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D:\cubebattle\配置表\策划配置\"/>
    </mc:Choice>
  </mc:AlternateContent>
  <xr:revisionPtr revIDLastSave="0" documentId="13_ncr:1_{71148B29-2AD9-4CDC-B23D-CB8CDFEFF4EB}" xr6:coauthVersionLast="47" xr6:coauthVersionMax="47" xr10:uidLastSave="{00000000-0000-0000-0000-000000000000}"/>
  <bookViews>
    <workbookView xWindow="-108" yWindow="-108" windowWidth="26136" windowHeight="16776" firstSheet="2" activeTab="11" xr2:uid="{2E0548D1-C6B9-45A8-9F28-256DEC021E0B}"/>
  </bookViews>
  <sheets>
    <sheet name="功能解锁" sheetId="9" r:id="rId1"/>
    <sheet name="产出" sheetId="8" r:id="rId2"/>
    <sheet name="玩家节奏1" sheetId="12" r:id="rId3"/>
    <sheet name="玩家节奏2" sheetId="13" r:id="rId4"/>
    <sheet name="关卡产出" sheetId="3" r:id="rId5"/>
    <sheet name="关卡对比" sheetId="11" r:id="rId6"/>
    <sheet name="图鉴" sheetId="10" r:id="rId7"/>
    <sheet name="局外广告" sheetId="2" r:id="rId8"/>
    <sheet name="武器升级消耗" sheetId="1" r:id="rId9"/>
    <sheet name="商城宝箱" sheetId="4" r:id="rId10"/>
    <sheet name="角色升级" sheetId="6" r:id="rId11"/>
    <sheet name="皮肤宠物" sheetId="14" r:id="rId12"/>
    <sheet name="配置" sheetId="7" r:id="rId13"/>
  </sheets>
  <functionGroups builtInGroupCount="19"/>
  <calcPr calcId="191029"/>
</workbook>
</file>

<file path=xl/calcChain.xml><?xml version="1.0" encoding="utf-8"?>
<calcChain xmlns="http://schemas.openxmlformats.org/spreadsheetml/2006/main">
  <c r="P103" i="7" l="1"/>
  <c r="Q103" i="7"/>
  <c r="V103" i="7"/>
  <c r="W103" i="7"/>
  <c r="X103" i="7"/>
  <c r="Y103" i="7"/>
  <c r="AB103" i="7"/>
  <c r="AC103" i="7"/>
  <c r="AD103" i="7"/>
  <c r="R103" i="7" s="1"/>
  <c r="AQ103" i="7" s="1"/>
  <c r="AE103" i="7"/>
  <c r="AG103" i="7"/>
  <c r="S103" i="7" s="1"/>
  <c r="AR103" i="7" s="1"/>
  <c r="AH103" i="7"/>
  <c r="AI103" i="7"/>
  <c r="AJ103" i="7"/>
  <c r="AN103" i="7"/>
  <c r="AO103" i="7"/>
  <c r="AP103" i="7"/>
  <c r="P104" i="7"/>
  <c r="AO104" i="7" s="1"/>
  <c r="Q104" i="7"/>
  <c r="AP104" i="7" s="1"/>
  <c r="V104" i="7"/>
  <c r="W104" i="7"/>
  <c r="X104" i="7"/>
  <c r="Y104" i="7"/>
  <c r="AB104" i="7"/>
  <c r="R104" i="7" s="1"/>
  <c r="AQ104" i="7" s="1"/>
  <c r="AC104" i="7"/>
  <c r="AD104" i="7"/>
  <c r="AE104" i="7"/>
  <c r="AG104" i="7"/>
  <c r="S104" i="7" s="1"/>
  <c r="AR104" i="7" s="1"/>
  <c r="AH104" i="7"/>
  <c r="AI104" i="7"/>
  <c r="AJ104" i="7"/>
  <c r="AM104" i="7"/>
  <c r="AN104" i="7"/>
  <c r="P105" i="7"/>
  <c r="Q105" i="7"/>
  <c r="S105" i="7"/>
  <c r="AR105" i="7" s="1"/>
  <c r="V105" i="7"/>
  <c r="W105" i="7"/>
  <c r="X105" i="7"/>
  <c r="Y105" i="7"/>
  <c r="AB105" i="7"/>
  <c r="AC105" i="7"/>
  <c r="AD105" i="7"/>
  <c r="AE105" i="7"/>
  <c r="R105" i="7" s="1"/>
  <c r="AQ105" i="7" s="1"/>
  <c r="AG105" i="7"/>
  <c r="AH105" i="7"/>
  <c r="AI105" i="7"/>
  <c r="AJ105" i="7"/>
  <c r="AN105" i="7"/>
  <c r="AO105" i="7"/>
  <c r="AP105" i="7"/>
  <c r="P106" i="7"/>
  <c r="Q106" i="7"/>
  <c r="AP106" i="7" s="1"/>
  <c r="V106" i="7"/>
  <c r="N106" i="7" s="1"/>
  <c r="AM106" i="7" s="1"/>
  <c r="W106" i="7"/>
  <c r="X106" i="7"/>
  <c r="Y106" i="7"/>
  <c r="AB106" i="7"/>
  <c r="R106" i="7" s="1"/>
  <c r="AQ106" i="7" s="1"/>
  <c r="AC106" i="7"/>
  <c r="AD106" i="7"/>
  <c r="AE106" i="7"/>
  <c r="AG106" i="7"/>
  <c r="S106" i="7" s="1"/>
  <c r="AR106" i="7" s="1"/>
  <c r="AH106" i="7"/>
  <c r="AI106" i="7"/>
  <c r="AJ106" i="7"/>
  <c r="AN106" i="7"/>
  <c r="AO106" i="7"/>
  <c r="P107" i="7"/>
  <c r="AO107" i="7" s="1"/>
  <c r="Q107" i="7"/>
  <c r="V107" i="7"/>
  <c r="W107" i="7"/>
  <c r="X107" i="7"/>
  <c r="N107" i="7" s="1"/>
  <c r="AM107" i="7" s="1"/>
  <c r="Y107" i="7"/>
  <c r="AB107" i="7"/>
  <c r="R107" i="7" s="1"/>
  <c r="AQ107" i="7" s="1"/>
  <c r="AC107" i="7"/>
  <c r="AD107" i="7"/>
  <c r="AE107" i="7"/>
  <c r="AG107" i="7"/>
  <c r="AH107" i="7"/>
  <c r="AI107" i="7"/>
  <c r="S107" i="7" s="1"/>
  <c r="AR107" i="7" s="1"/>
  <c r="AJ107" i="7"/>
  <c r="AN107" i="7"/>
  <c r="AP107" i="7"/>
  <c r="P108" i="7"/>
  <c r="AO108" i="7" s="1"/>
  <c r="Q108" i="7"/>
  <c r="AP108" i="7" s="1"/>
  <c r="V108" i="7"/>
  <c r="W108" i="7"/>
  <c r="X108" i="7"/>
  <c r="Y108" i="7"/>
  <c r="AB108" i="7"/>
  <c r="R108" i="7" s="1"/>
  <c r="AQ108" i="7" s="1"/>
  <c r="AC108" i="7"/>
  <c r="AD108" i="7"/>
  <c r="AE108" i="7"/>
  <c r="AG108" i="7"/>
  <c r="S108" i="7" s="1"/>
  <c r="AR108" i="7" s="1"/>
  <c r="AH108" i="7"/>
  <c r="AI108" i="7"/>
  <c r="AJ108" i="7"/>
  <c r="AM108" i="7"/>
  <c r="AN108" i="7"/>
  <c r="P109" i="7"/>
  <c r="Q109" i="7"/>
  <c r="S109" i="7"/>
  <c r="AR109" i="7" s="1"/>
  <c r="V109" i="7"/>
  <c r="W109" i="7"/>
  <c r="X109" i="7"/>
  <c r="Y109" i="7"/>
  <c r="AB109" i="7"/>
  <c r="AC109" i="7"/>
  <c r="AD109" i="7"/>
  <c r="R109" i="7" s="1"/>
  <c r="AQ109" i="7" s="1"/>
  <c r="AE109" i="7"/>
  <c r="AG109" i="7"/>
  <c r="AH109" i="7"/>
  <c r="AI109" i="7"/>
  <c r="AJ109" i="7"/>
  <c r="AN109" i="7"/>
  <c r="AO109" i="7"/>
  <c r="AP109" i="7"/>
  <c r="P110" i="7"/>
  <c r="Q110" i="7"/>
  <c r="AP110" i="7" s="1"/>
  <c r="V110" i="7"/>
  <c r="W110" i="7"/>
  <c r="N110" i="7" s="1"/>
  <c r="AM110" i="7" s="1"/>
  <c r="X110" i="7"/>
  <c r="Y110" i="7"/>
  <c r="AB110" i="7"/>
  <c r="R110" i="7" s="1"/>
  <c r="AQ110" i="7" s="1"/>
  <c r="AC110" i="7"/>
  <c r="AD110" i="7"/>
  <c r="AE110" i="7"/>
  <c r="AG110" i="7"/>
  <c r="S110" i="7" s="1"/>
  <c r="AR110" i="7" s="1"/>
  <c r="AH110" i="7"/>
  <c r="AI110" i="7"/>
  <c r="AJ110" i="7"/>
  <c r="AN110" i="7"/>
  <c r="AO110" i="7"/>
  <c r="P111" i="7"/>
  <c r="AO111" i="7" s="1"/>
  <c r="Q111" i="7"/>
  <c r="V111" i="7"/>
  <c r="W111" i="7"/>
  <c r="X111" i="7"/>
  <c r="N111" i="7" s="1"/>
  <c r="AM111" i="7" s="1"/>
  <c r="Y111" i="7"/>
  <c r="AB111" i="7"/>
  <c r="R111" i="7" s="1"/>
  <c r="AQ111" i="7" s="1"/>
  <c r="AC111" i="7"/>
  <c r="AD111" i="7"/>
  <c r="AE111" i="7"/>
  <c r="AG111" i="7"/>
  <c r="AH111" i="7"/>
  <c r="AI111" i="7"/>
  <c r="S111" i="7" s="1"/>
  <c r="AR111" i="7" s="1"/>
  <c r="AJ111" i="7"/>
  <c r="AN111" i="7"/>
  <c r="AP111" i="7"/>
  <c r="P112" i="7"/>
  <c r="AO112" i="7" s="1"/>
  <c r="Q112" i="7"/>
  <c r="AP112" i="7" s="1"/>
  <c r="V112" i="7"/>
  <c r="W112" i="7"/>
  <c r="X112" i="7"/>
  <c r="Y112" i="7"/>
  <c r="AB112" i="7"/>
  <c r="R112" i="7" s="1"/>
  <c r="AQ112" i="7" s="1"/>
  <c r="AC112" i="7"/>
  <c r="AD112" i="7"/>
  <c r="AE112" i="7"/>
  <c r="AG112" i="7"/>
  <c r="AH112" i="7"/>
  <c r="S112" i="7" s="1"/>
  <c r="AR112" i="7" s="1"/>
  <c r="AI112" i="7"/>
  <c r="AJ112" i="7"/>
  <c r="AM112" i="7"/>
  <c r="AN112" i="7"/>
  <c r="P113" i="7"/>
  <c r="Q113" i="7"/>
  <c r="S113" i="7"/>
  <c r="AR113" i="7" s="1"/>
  <c r="V113" i="7"/>
  <c r="W113" i="7"/>
  <c r="X113" i="7"/>
  <c r="Y113" i="7"/>
  <c r="AB113" i="7"/>
  <c r="AC113" i="7"/>
  <c r="AD113" i="7"/>
  <c r="R113" i="7" s="1"/>
  <c r="AQ113" i="7" s="1"/>
  <c r="AE113" i="7"/>
  <c r="AG113" i="7"/>
  <c r="AH113" i="7"/>
  <c r="AI113" i="7"/>
  <c r="AJ113" i="7"/>
  <c r="AN113" i="7"/>
  <c r="AO113" i="7"/>
  <c r="AP113" i="7"/>
  <c r="P114" i="7"/>
  <c r="AO114" i="7" s="1"/>
  <c r="Q114" i="7"/>
  <c r="AP114" i="7" s="1"/>
  <c r="V114" i="7"/>
  <c r="N114" i="7" s="1"/>
  <c r="AM114" i="7" s="1"/>
  <c r="W114" i="7"/>
  <c r="X114" i="7"/>
  <c r="Y114" i="7"/>
  <c r="AB114" i="7"/>
  <c r="R114" i="7" s="1"/>
  <c r="AQ114" i="7" s="1"/>
  <c r="AC114" i="7"/>
  <c r="AD114" i="7"/>
  <c r="AE114" i="7"/>
  <c r="AG114" i="7"/>
  <c r="S114" i="7" s="1"/>
  <c r="AR114" i="7" s="1"/>
  <c r="AH114" i="7"/>
  <c r="AI114" i="7"/>
  <c r="AJ114" i="7"/>
  <c r="AN114" i="7"/>
  <c r="P115" i="7"/>
  <c r="AO115" i="7" s="1"/>
  <c r="Q115" i="7"/>
  <c r="V115" i="7"/>
  <c r="W115" i="7"/>
  <c r="X115" i="7"/>
  <c r="N115" i="7" s="1"/>
  <c r="AM115" i="7" s="1"/>
  <c r="Y115" i="7"/>
  <c r="AB115" i="7"/>
  <c r="R115" i="7" s="1"/>
  <c r="AQ115" i="7" s="1"/>
  <c r="AC115" i="7"/>
  <c r="AD115" i="7"/>
  <c r="AE115" i="7"/>
  <c r="AG115" i="7"/>
  <c r="AH115" i="7"/>
  <c r="AI115" i="7"/>
  <c r="S115" i="7" s="1"/>
  <c r="AR115" i="7" s="1"/>
  <c r="AJ115" i="7"/>
  <c r="AN115" i="7"/>
  <c r="AP115" i="7"/>
  <c r="P116" i="7"/>
  <c r="AO116" i="7" s="1"/>
  <c r="Q116" i="7"/>
  <c r="AP116" i="7" s="1"/>
  <c r="V116" i="7"/>
  <c r="W116" i="7"/>
  <c r="X116" i="7"/>
  <c r="Y116" i="7"/>
  <c r="AB116" i="7"/>
  <c r="R116" i="7" s="1"/>
  <c r="AQ116" i="7" s="1"/>
  <c r="AC116" i="7"/>
  <c r="AD116" i="7"/>
  <c r="AE116" i="7"/>
  <c r="AG116" i="7"/>
  <c r="AH116" i="7"/>
  <c r="S116" i="7" s="1"/>
  <c r="AR116" i="7" s="1"/>
  <c r="AI116" i="7"/>
  <c r="AJ116" i="7"/>
  <c r="AM116" i="7"/>
  <c r="AN116" i="7"/>
  <c r="P117" i="7"/>
  <c r="Q117" i="7"/>
  <c r="S117" i="7"/>
  <c r="AR117" i="7" s="1"/>
  <c r="V117" i="7"/>
  <c r="W117" i="7"/>
  <c r="X117" i="7"/>
  <c r="Y117" i="7"/>
  <c r="AB117" i="7"/>
  <c r="AC117" i="7"/>
  <c r="AD117" i="7"/>
  <c r="R117" i="7" s="1"/>
  <c r="AQ117" i="7" s="1"/>
  <c r="AE117" i="7"/>
  <c r="AG117" i="7"/>
  <c r="AH117" i="7"/>
  <c r="AI117" i="7"/>
  <c r="AJ117" i="7"/>
  <c r="AN117" i="7"/>
  <c r="AO117" i="7"/>
  <c r="AP117" i="7"/>
  <c r="P118" i="7"/>
  <c r="AO118" i="7" s="1"/>
  <c r="Q118" i="7"/>
  <c r="AP118" i="7" s="1"/>
  <c r="V118" i="7"/>
  <c r="W118" i="7"/>
  <c r="X118" i="7"/>
  <c r="Y118" i="7"/>
  <c r="AB118" i="7"/>
  <c r="R118" i="7" s="1"/>
  <c r="AQ118" i="7" s="1"/>
  <c r="AC118" i="7"/>
  <c r="AD118" i="7"/>
  <c r="AE118" i="7"/>
  <c r="AG118" i="7"/>
  <c r="S118" i="7" s="1"/>
  <c r="AR118" i="7" s="1"/>
  <c r="AH118" i="7"/>
  <c r="AI118" i="7"/>
  <c r="AJ118" i="7"/>
  <c r="AN118" i="7"/>
  <c r="P119" i="7"/>
  <c r="AO119" i="7" s="1"/>
  <c r="Q119" i="7"/>
  <c r="V119" i="7"/>
  <c r="W119" i="7"/>
  <c r="X119" i="7"/>
  <c r="N119" i="7" s="1"/>
  <c r="AM119" i="7" s="1"/>
  <c r="Y119" i="7"/>
  <c r="AB119" i="7"/>
  <c r="R119" i="7" s="1"/>
  <c r="AQ119" i="7" s="1"/>
  <c r="AC119" i="7"/>
  <c r="AD119" i="7"/>
  <c r="AE119" i="7"/>
  <c r="AG119" i="7"/>
  <c r="AH119" i="7"/>
  <c r="AI119" i="7"/>
  <c r="S119" i="7" s="1"/>
  <c r="AR119" i="7" s="1"/>
  <c r="AJ119" i="7"/>
  <c r="AN119" i="7"/>
  <c r="AP119" i="7"/>
  <c r="P120" i="7"/>
  <c r="AO120" i="7" s="1"/>
  <c r="Q120" i="7"/>
  <c r="AP120" i="7" s="1"/>
  <c r="V120" i="7"/>
  <c r="W120" i="7"/>
  <c r="X120" i="7"/>
  <c r="Y120" i="7"/>
  <c r="AB120" i="7"/>
  <c r="R120" i="7" s="1"/>
  <c r="AQ120" i="7" s="1"/>
  <c r="AC120" i="7"/>
  <c r="AD120" i="7"/>
  <c r="AE120" i="7"/>
  <c r="AG120" i="7"/>
  <c r="AH120" i="7"/>
  <c r="S120" i="7" s="1"/>
  <c r="AR120" i="7" s="1"/>
  <c r="AI120" i="7"/>
  <c r="AJ120" i="7"/>
  <c r="AM120" i="7"/>
  <c r="AN120" i="7"/>
  <c r="P121" i="7"/>
  <c r="Q121" i="7"/>
  <c r="S121" i="7"/>
  <c r="AR121" i="7" s="1"/>
  <c r="V121" i="7"/>
  <c r="N121" i="7" s="1"/>
  <c r="AM121" i="7" s="1"/>
  <c r="W121" i="7"/>
  <c r="X121" i="7"/>
  <c r="Y121" i="7"/>
  <c r="AB121" i="7"/>
  <c r="AC121" i="7"/>
  <c r="AD121" i="7"/>
  <c r="R121" i="7" s="1"/>
  <c r="AQ121" i="7" s="1"/>
  <c r="AE121" i="7"/>
  <c r="AG121" i="7"/>
  <c r="AH121" i="7"/>
  <c r="AI121" i="7"/>
  <c r="AJ121" i="7"/>
  <c r="AN121" i="7"/>
  <c r="AO121" i="7"/>
  <c r="AP121" i="7"/>
  <c r="P122" i="7"/>
  <c r="AO122" i="7" s="1"/>
  <c r="Q122" i="7"/>
  <c r="AP122" i="7" s="1"/>
  <c r="V122" i="7"/>
  <c r="N122" i="7" s="1"/>
  <c r="AM122" i="7" s="1"/>
  <c r="W122" i="7"/>
  <c r="X122" i="7"/>
  <c r="Y122" i="7"/>
  <c r="AB122" i="7"/>
  <c r="R122" i="7" s="1"/>
  <c r="AQ122" i="7" s="1"/>
  <c r="AC122" i="7"/>
  <c r="AD122" i="7"/>
  <c r="AE122" i="7"/>
  <c r="AG122" i="7"/>
  <c r="S122" i="7" s="1"/>
  <c r="AR122" i="7" s="1"/>
  <c r="AH122" i="7"/>
  <c r="AI122" i="7"/>
  <c r="AJ122" i="7"/>
  <c r="AN122" i="7"/>
  <c r="P123" i="7"/>
  <c r="AO123" i="7" s="1"/>
  <c r="Q123" i="7"/>
  <c r="V123" i="7"/>
  <c r="W123" i="7"/>
  <c r="X123" i="7"/>
  <c r="N123" i="7" s="1"/>
  <c r="AM123" i="7" s="1"/>
  <c r="Y123" i="7"/>
  <c r="AB123" i="7"/>
  <c r="R123" i="7" s="1"/>
  <c r="AQ123" i="7" s="1"/>
  <c r="AC123" i="7"/>
  <c r="AD123" i="7"/>
  <c r="AE123" i="7"/>
  <c r="AG123" i="7"/>
  <c r="AH123" i="7"/>
  <c r="AI123" i="7"/>
  <c r="S123" i="7" s="1"/>
  <c r="AR123" i="7" s="1"/>
  <c r="AJ123" i="7"/>
  <c r="AN123" i="7"/>
  <c r="AP123" i="7"/>
  <c r="P124" i="7"/>
  <c r="AO124" i="7" s="1"/>
  <c r="Q124" i="7"/>
  <c r="AP124" i="7" s="1"/>
  <c r="V124" i="7"/>
  <c r="W124" i="7"/>
  <c r="X124" i="7"/>
  <c r="Y124" i="7"/>
  <c r="AB124" i="7"/>
  <c r="R124" i="7" s="1"/>
  <c r="AQ124" i="7" s="1"/>
  <c r="AC124" i="7"/>
  <c r="AD124" i="7"/>
  <c r="AE124" i="7"/>
  <c r="AG124" i="7"/>
  <c r="AH124" i="7"/>
  <c r="S124" i="7" s="1"/>
  <c r="AR124" i="7" s="1"/>
  <c r="AI124" i="7"/>
  <c r="AJ124" i="7"/>
  <c r="AM124" i="7"/>
  <c r="AN124" i="7"/>
  <c r="P125" i="7"/>
  <c r="Q125" i="7"/>
  <c r="S125" i="7"/>
  <c r="AR125" i="7" s="1"/>
  <c r="V125" i="7"/>
  <c r="W125" i="7"/>
  <c r="X125" i="7"/>
  <c r="Y125" i="7"/>
  <c r="AB125" i="7"/>
  <c r="AC125" i="7"/>
  <c r="AD125" i="7"/>
  <c r="R125" i="7" s="1"/>
  <c r="AQ125" i="7" s="1"/>
  <c r="AE125" i="7"/>
  <c r="AG125" i="7"/>
  <c r="AH125" i="7"/>
  <c r="AI125" i="7"/>
  <c r="AJ125" i="7"/>
  <c r="AN125" i="7"/>
  <c r="AO125" i="7"/>
  <c r="AP125" i="7"/>
  <c r="P126" i="7"/>
  <c r="AO126" i="7" s="1"/>
  <c r="Q126" i="7"/>
  <c r="AP126" i="7" s="1"/>
  <c r="V126" i="7"/>
  <c r="W126" i="7"/>
  <c r="X126" i="7"/>
  <c r="Y126" i="7"/>
  <c r="AB126" i="7"/>
  <c r="R126" i="7" s="1"/>
  <c r="AQ126" i="7" s="1"/>
  <c r="AC126" i="7"/>
  <c r="AD126" i="7"/>
  <c r="AE126" i="7"/>
  <c r="AG126" i="7"/>
  <c r="S126" i="7" s="1"/>
  <c r="AR126" i="7" s="1"/>
  <c r="AH126" i="7"/>
  <c r="AI126" i="7"/>
  <c r="AJ126" i="7"/>
  <c r="AN126" i="7"/>
  <c r="P127" i="7"/>
  <c r="AO127" i="7" s="1"/>
  <c r="Q127" i="7"/>
  <c r="V127" i="7"/>
  <c r="W127" i="7"/>
  <c r="X127" i="7"/>
  <c r="N127" i="7" s="1"/>
  <c r="AM127" i="7" s="1"/>
  <c r="Y127" i="7"/>
  <c r="AB127" i="7"/>
  <c r="R127" i="7" s="1"/>
  <c r="AQ127" i="7" s="1"/>
  <c r="AC127" i="7"/>
  <c r="AD127" i="7"/>
  <c r="AE127" i="7"/>
  <c r="AG127" i="7"/>
  <c r="AH127" i="7"/>
  <c r="AI127" i="7"/>
  <c r="S127" i="7" s="1"/>
  <c r="AR127" i="7" s="1"/>
  <c r="AJ127" i="7"/>
  <c r="AN127" i="7"/>
  <c r="AP127" i="7"/>
  <c r="P128" i="7"/>
  <c r="AO128" i="7" s="1"/>
  <c r="Q128" i="7"/>
  <c r="AP128" i="7" s="1"/>
  <c r="V128" i="7"/>
  <c r="W128" i="7"/>
  <c r="X128" i="7"/>
  <c r="Y128" i="7"/>
  <c r="AB128" i="7"/>
  <c r="R128" i="7" s="1"/>
  <c r="AQ128" i="7" s="1"/>
  <c r="AC128" i="7"/>
  <c r="AD128" i="7"/>
  <c r="AE128" i="7"/>
  <c r="AG128" i="7"/>
  <c r="AH128" i="7"/>
  <c r="S128" i="7" s="1"/>
  <c r="AR128" i="7" s="1"/>
  <c r="AI128" i="7"/>
  <c r="AJ128" i="7"/>
  <c r="AM128" i="7"/>
  <c r="AN128" i="7"/>
  <c r="P129" i="7"/>
  <c r="Q129" i="7"/>
  <c r="S129" i="7"/>
  <c r="AR129" i="7" s="1"/>
  <c r="V129" i="7"/>
  <c r="N129" i="7" s="1"/>
  <c r="AM129" i="7" s="1"/>
  <c r="W129" i="7"/>
  <c r="X129" i="7"/>
  <c r="Y129" i="7"/>
  <c r="AB129" i="7"/>
  <c r="AC129" i="7"/>
  <c r="AD129" i="7"/>
  <c r="R129" i="7" s="1"/>
  <c r="AQ129" i="7" s="1"/>
  <c r="AE129" i="7"/>
  <c r="AG129" i="7"/>
  <c r="AH129" i="7"/>
  <c r="AI129" i="7"/>
  <c r="AJ129" i="7"/>
  <c r="AN129" i="7"/>
  <c r="AO129" i="7"/>
  <c r="AP129" i="7"/>
  <c r="P130" i="7"/>
  <c r="AO130" i="7" s="1"/>
  <c r="Q130" i="7"/>
  <c r="AP130" i="7" s="1"/>
  <c r="V130" i="7"/>
  <c r="N130" i="7" s="1"/>
  <c r="AM130" i="7" s="1"/>
  <c r="W130" i="7"/>
  <c r="X130" i="7"/>
  <c r="Y130" i="7"/>
  <c r="AB130" i="7"/>
  <c r="R130" i="7" s="1"/>
  <c r="AQ130" i="7" s="1"/>
  <c r="AC130" i="7"/>
  <c r="AD130" i="7"/>
  <c r="AE130" i="7"/>
  <c r="AG130" i="7"/>
  <c r="S130" i="7" s="1"/>
  <c r="AR130" i="7" s="1"/>
  <c r="AH130" i="7"/>
  <c r="AI130" i="7"/>
  <c r="AJ130" i="7"/>
  <c r="AN130" i="7"/>
  <c r="P131" i="7"/>
  <c r="AO131" i="7" s="1"/>
  <c r="Q131" i="7"/>
  <c r="V131" i="7"/>
  <c r="W131" i="7"/>
  <c r="X131" i="7"/>
  <c r="N131" i="7" s="1"/>
  <c r="AM131" i="7" s="1"/>
  <c r="Y131" i="7"/>
  <c r="AB131" i="7"/>
  <c r="R131" i="7" s="1"/>
  <c r="AQ131" i="7" s="1"/>
  <c r="AC131" i="7"/>
  <c r="AD131" i="7"/>
  <c r="AE131" i="7"/>
  <c r="AG131" i="7"/>
  <c r="AH131" i="7"/>
  <c r="AI131" i="7"/>
  <c r="S131" i="7" s="1"/>
  <c r="AR131" i="7" s="1"/>
  <c r="AJ131" i="7"/>
  <c r="AN131" i="7"/>
  <c r="AP131" i="7"/>
  <c r="P132" i="7"/>
  <c r="AO132" i="7" s="1"/>
  <c r="Q132" i="7"/>
  <c r="AP132" i="7" s="1"/>
  <c r="V132" i="7"/>
  <c r="W132" i="7"/>
  <c r="N132" i="7" s="1"/>
  <c r="AM132" i="7" s="1"/>
  <c r="X132" i="7"/>
  <c r="Y132" i="7"/>
  <c r="AB132" i="7"/>
  <c r="R132" i="7" s="1"/>
  <c r="AQ132" i="7" s="1"/>
  <c r="AC132" i="7"/>
  <c r="AD132" i="7"/>
  <c r="AE132" i="7"/>
  <c r="AG132" i="7"/>
  <c r="AH132" i="7"/>
  <c r="S132" i="7" s="1"/>
  <c r="AR132" i="7" s="1"/>
  <c r="AI132" i="7"/>
  <c r="AJ132" i="7"/>
  <c r="AN132" i="7"/>
  <c r="P133" i="7"/>
  <c r="Q133" i="7"/>
  <c r="S133" i="7"/>
  <c r="AR133" i="7" s="1"/>
  <c r="V133" i="7"/>
  <c r="W133" i="7"/>
  <c r="X133" i="7"/>
  <c r="Y133" i="7"/>
  <c r="AB133" i="7"/>
  <c r="AC133" i="7"/>
  <c r="AD133" i="7"/>
  <c r="R133" i="7" s="1"/>
  <c r="AQ133" i="7" s="1"/>
  <c r="AE133" i="7"/>
  <c r="AG133" i="7"/>
  <c r="AH133" i="7"/>
  <c r="AI133" i="7"/>
  <c r="AJ133" i="7"/>
  <c r="AN133" i="7"/>
  <c r="AO133" i="7"/>
  <c r="AP133" i="7"/>
  <c r="P134" i="7"/>
  <c r="AO134" i="7" s="1"/>
  <c r="Q134" i="7"/>
  <c r="AP134" i="7" s="1"/>
  <c r="V134" i="7"/>
  <c r="W134" i="7"/>
  <c r="X134" i="7"/>
  <c r="Y134" i="7"/>
  <c r="AB134" i="7"/>
  <c r="R134" i="7" s="1"/>
  <c r="AQ134" i="7" s="1"/>
  <c r="AC134" i="7"/>
  <c r="AD134" i="7"/>
  <c r="AE134" i="7"/>
  <c r="AG134" i="7"/>
  <c r="S134" i="7" s="1"/>
  <c r="AR134" i="7" s="1"/>
  <c r="AH134" i="7"/>
  <c r="AI134" i="7"/>
  <c r="AJ134" i="7"/>
  <c r="AN134" i="7"/>
  <c r="P135" i="7"/>
  <c r="AO135" i="7" s="1"/>
  <c r="Q135" i="7"/>
  <c r="V135" i="7"/>
  <c r="W135" i="7"/>
  <c r="X135" i="7"/>
  <c r="N135" i="7" s="1"/>
  <c r="AM135" i="7" s="1"/>
  <c r="Y135" i="7"/>
  <c r="AB135" i="7"/>
  <c r="R135" i="7" s="1"/>
  <c r="AQ135" i="7" s="1"/>
  <c r="AC135" i="7"/>
  <c r="AD135" i="7"/>
  <c r="AE135" i="7"/>
  <c r="AG135" i="7"/>
  <c r="AH135" i="7"/>
  <c r="AI135" i="7"/>
  <c r="S135" i="7" s="1"/>
  <c r="AR135" i="7" s="1"/>
  <c r="AJ135" i="7"/>
  <c r="AN135" i="7"/>
  <c r="AP135" i="7"/>
  <c r="P136" i="7"/>
  <c r="AO136" i="7" s="1"/>
  <c r="Q136" i="7"/>
  <c r="AP136" i="7" s="1"/>
  <c r="V136" i="7"/>
  <c r="W136" i="7"/>
  <c r="N136" i="7" s="1"/>
  <c r="AM136" i="7" s="1"/>
  <c r="X136" i="7"/>
  <c r="Y136" i="7"/>
  <c r="AB136" i="7"/>
  <c r="R136" i="7" s="1"/>
  <c r="AQ136" i="7" s="1"/>
  <c r="AC136" i="7"/>
  <c r="AD136" i="7"/>
  <c r="AE136" i="7"/>
  <c r="AG136" i="7"/>
  <c r="AH136" i="7"/>
  <c r="S136" i="7" s="1"/>
  <c r="AR136" i="7" s="1"/>
  <c r="AI136" i="7"/>
  <c r="AJ136" i="7"/>
  <c r="AN136" i="7"/>
  <c r="P137" i="7"/>
  <c r="Q137" i="7"/>
  <c r="S137" i="7"/>
  <c r="AR137" i="7" s="1"/>
  <c r="V137" i="7"/>
  <c r="N137" i="7" s="1"/>
  <c r="AM137" i="7" s="1"/>
  <c r="W137" i="7"/>
  <c r="X137" i="7"/>
  <c r="Y137" i="7"/>
  <c r="AB137" i="7"/>
  <c r="AC137" i="7"/>
  <c r="AD137" i="7"/>
  <c r="R137" i="7" s="1"/>
  <c r="AQ137" i="7" s="1"/>
  <c r="AE137" i="7"/>
  <c r="AG137" i="7"/>
  <c r="AH137" i="7"/>
  <c r="AI137" i="7"/>
  <c r="AJ137" i="7"/>
  <c r="AN137" i="7"/>
  <c r="AO137" i="7"/>
  <c r="AP137" i="7"/>
  <c r="P138" i="7"/>
  <c r="AO138" i="7" s="1"/>
  <c r="Q138" i="7"/>
  <c r="AP138" i="7" s="1"/>
  <c r="V138" i="7"/>
  <c r="N138" i="7" s="1"/>
  <c r="AM138" i="7" s="1"/>
  <c r="W138" i="7"/>
  <c r="X138" i="7"/>
  <c r="Y138" i="7"/>
  <c r="AB138" i="7"/>
  <c r="R138" i="7" s="1"/>
  <c r="AQ138" i="7" s="1"/>
  <c r="AC138" i="7"/>
  <c r="AD138" i="7"/>
  <c r="AE138" i="7"/>
  <c r="AG138" i="7"/>
  <c r="S138" i="7" s="1"/>
  <c r="AR138" i="7" s="1"/>
  <c r="AH138" i="7"/>
  <c r="AI138" i="7"/>
  <c r="AJ138" i="7"/>
  <c r="AN138" i="7"/>
  <c r="P139" i="7"/>
  <c r="AO139" i="7" s="1"/>
  <c r="Q139" i="7"/>
  <c r="V139" i="7"/>
  <c r="W139" i="7"/>
  <c r="N139" i="7" s="1"/>
  <c r="AM139" i="7" s="1"/>
  <c r="X139" i="7"/>
  <c r="Y139" i="7"/>
  <c r="AB139" i="7"/>
  <c r="R139" i="7" s="1"/>
  <c r="AQ139" i="7" s="1"/>
  <c r="AC139" i="7"/>
  <c r="AD139" i="7"/>
  <c r="AE139" i="7"/>
  <c r="AG139" i="7"/>
  <c r="AH139" i="7"/>
  <c r="AI139" i="7"/>
  <c r="S139" i="7" s="1"/>
  <c r="AR139" i="7" s="1"/>
  <c r="AJ139" i="7"/>
  <c r="AN139" i="7"/>
  <c r="AP139" i="7"/>
  <c r="P140" i="7"/>
  <c r="AO140" i="7" s="1"/>
  <c r="Q140" i="7"/>
  <c r="AP140" i="7" s="1"/>
  <c r="V140" i="7"/>
  <c r="W140" i="7"/>
  <c r="N140" i="7" s="1"/>
  <c r="AM140" i="7" s="1"/>
  <c r="X140" i="7"/>
  <c r="Y140" i="7"/>
  <c r="AB140" i="7"/>
  <c r="R140" i="7" s="1"/>
  <c r="AQ140" i="7" s="1"/>
  <c r="AC140" i="7"/>
  <c r="AD140" i="7"/>
  <c r="AE140" i="7"/>
  <c r="AG140" i="7"/>
  <c r="AH140" i="7"/>
  <c r="S140" i="7" s="1"/>
  <c r="AR140" i="7" s="1"/>
  <c r="AI140" i="7"/>
  <c r="AJ140" i="7"/>
  <c r="AN140" i="7"/>
  <c r="P141" i="7"/>
  <c r="Q141" i="7"/>
  <c r="S141" i="7"/>
  <c r="AR141" i="7" s="1"/>
  <c r="V141" i="7"/>
  <c r="W141" i="7"/>
  <c r="X141" i="7"/>
  <c r="Y141" i="7"/>
  <c r="AB141" i="7"/>
  <c r="AC141" i="7"/>
  <c r="AD141" i="7"/>
  <c r="R141" i="7" s="1"/>
  <c r="AQ141" i="7" s="1"/>
  <c r="AE141" i="7"/>
  <c r="AG141" i="7"/>
  <c r="AH141" i="7"/>
  <c r="AI141" i="7"/>
  <c r="AJ141" i="7"/>
  <c r="AN141" i="7"/>
  <c r="AO141" i="7"/>
  <c r="AP141" i="7"/>
  <c r="P142" i="7"/>
  <c r="AO142" i="7" s="1"/>
  <c r="Q142" i="7"/>
  <c r="AP142" i="7" s="1"/>
  <c r="V142" i="7"/>
  <c r="W142" i="7"/>
  <c r="X142" i="7"/>
  <c r="Y142" i="7"/>
  <c r="AB142" i="7"/>
  <c r="R142" i="7" s="1"/>
  <c r="AQ142" i="7" s="1"/>
  <c r="AC142" i="7"/>
  <c r="AD142" i="7"/>
  <c r="AE142" i="7"/>
  <c r="AG142" i="7"/>
  <c r="S142" i="7" s="1"/>
  <c r="AR142" i="7" s="1"/>
  <c r="AH142" i="7"/>
  <c r="AI142" i="7"/>
  <c r="AJ142" i="7"/>
  <c r="AN142" i="7"/>
  <c r="N104" i="7"/>
  <c r="N105" i="7"/>
  <c r="AM105" i="7" s="1"/>
  <c r="N108" i="7"/>
  <c r="N109" i="7"/>
  <c r="AM109" i="7" s="1"/>
  <c r="N103" i="7"/>
  <c r="AM103" i="7" s="1"/>
  <c r="N112" i="7"/>
  <c r="N113" i="7"/>
  <c r="AM113" i="7" s="1"/>
  <c r="N116" i="7"/>
  <c r="N117" i="7"/>
  <c r="AM117" i="7" s="1"/>
  <c r="N118" i="7"/>
  <c r="AM118" i="7" s="1"/>
  <c r="N120" i="7"/>
  <c r="N124" i="7"/>
  <c r="N125" i="7"/>
  <c r="AM125" i="7" s="1"/>
  <c r="N126" i="7"/>
  <c r="AM126" i="7" s="1"/>
  <c r="N128" i="7"/>
  <c r="N133" i="7"/>
  <c r="AM133" i="7" s="1"/>
  <c r="N134" i="7"/>
  <c r="AM134" i="7" s="1"/>
  <c r="N141" i="7"/>
  <c r="AM141" i="7" s="1"/>
  <c r="N142" i="7"/>
  <c r="AM142" i="7" s="1"/>
  <c r="M82" i="7"/>
  <c r="M83" i="7"/>
  <c r="M84" i="7"/>
  <c r="M85" i="7"/>
  <c r="M86" i="7"/>
  <c r="M87" i="7"/>
  <c r="M88" i="7"/>
  <c r="M89" i="7"/>
  <c r="M90" i="7"/>
  <c r="M91" i="7"/>
  <c r="M92" i="7"/>
  <c r="M93" i="7"/>
  <c r="M94" i="7"/>
  <c r="M95" i="7"/>
  <c r="M96" i="7"/>
  <c r="M97" i="7"/>
  <c r="M98" i="7"/>
  <c r="M99" i="7"/>
  <c r="M100" i="7"/>
  <c r="M101" i="7"/>
  <c r="M102" i="7"/>
  <c r="M103" i="7"/>
  <c r="M104" i="7"/>
  <c r="M105" i="7"/>
  <c r="M106" i="7"/>
  <c r="M107" i="7"/>
  <c r="M108" i="7"/>
  <c r="M109" i="7"/>
  <c r="M110" i="7"/>
  <c r="M111" i="7"/>
  <c r="M112" i="7"/>
  <c r="M113" i="7"/>
  <c r="M114" i="7"/>
  <c r="M115" i="7"/>
  <c r="M116" i="7"/>
  <c r="M117" i="7"/>
  <c r="M118" i="7"/>
  <c r="M119" i="7"/>
  <c r="M120" i="7"/>
  <c r="M121" i="7"/>
  <c r="M122" i="7"/>
  <c r="M123" i="7"/>
  <c r="M124" i="7"/>
  <c r="M125" i="7"/>
  <c r="M126" i="7"/>
  <c r="M127" i="7"/>
  <c r="M128" i="7"/>
  <c r="M129" i="7"/>
  <c r="M130" i="7"/>
  <c r="M131" i="7"/>
  <c r="M132" i="7"/>
  <c r="M133" i="7"/>
  <c r="M134" i="7"/>
  <c r="M135" i="7"/>
  <c r="M136" i="7"/>
  <c r="M137" i="7"/>
  <c r="M138" i="7"/>
  <c r="M139" i="7"/>
  <c r="M140" i="7"/>
  <c r="M141" i="7"/>
  <c r="M142" i="7"/>
  <c r="C103" i="7"/>
  <c r="D103" i="7"/>
  <c r="E103" i="7"/>
  <c r="F103" i="7"/>
  <c r="G103" i="7"/>
  <c r="H103" i="7"/>
  <c r="I103" i="7"/>
  <c r="J103" i="7"/>
  <c r="K103" i="7"/>
  <c r="L103" i="7"/>
  <c r="C104" i="7"/>
  <c r="D104" i="7"/>
  <c r="E104" i="7"/>
  <c r="F104" i="7"/>
  <c r="G104" i="7"/>
  <c r="H104" i="7"/>
  <c r="I104" i="7"/>
  <c r="J104" i="7"/>
  <c r="K104" i="7"/>
  <c r="L104" i="7"/>
  <c r="C105" i="7"/>
  <c r="D105" i="7"/>
  <c r="E105" i="7"/>
  <c r="F105" i="7"/>
  <c r="G105" i="7"/>
  <c r="H105" i="7"/>
  <c r="I105" i="7"/>
  <c r="J105" i="7"/>
  <c r="K105" i="7"/>
  <c r="L105" i="7"/>
  <c r="C106" i="7"/>
  <c r="D106" i="7"/>
  <c r="E106" i="7"/>
  <c r="F106" i="7"/>
  <c r="G106" i="7"/>
  <c r="H106" i="7"/>
  <c r="I106" i="7"/>
  <c r="J106" i="7"/>
  <c r="K106" i="7"/>
  <c r="L106" i="7"/>
  <c r="C107" i="7"/>
  <c r="D107" i="7"/>
  <c r="E107" i="7"/>
  <c r="F107" i="7"/>
  <c r="G107" i="7"/>
  <c r="H107" i="7"/>
  <c r="I107" i="7"/>
  <c r="J107" i="7"/>
  <c r="K107" i="7"/>
  <c r="L107" i="7"/>
  <c r="C108" i="7"/>
  <c r="D108" i="7"/>
  <c r="E108" i="7"/>
  <c r="F108" i="7"/>
  <c r="G108" i="7"/>
  <c r="H108" i="7"/>
  <c r="I108" i="7"/>
  <c r="J108" i="7"/>
  <c r="K108" i="7"/>
  <c r="L108" i="7"/>
  <c r="C109" i="7"/>
  <c r="D109" i="7"/>
  <c r="E109" i="7"/>
  <c r="F109" i="7"/>
  <c r="G109" i="7"/>
  <c r="H109" i="7"/>
  <c r="I109" i="7"/>
  <c r="J109" i="7"/>
  <c r="K109" i="7"/>
  <c r="L109" i="7"/>
  <c r="C110" i="7"/>
  <c r="D110" i="7"/>
  <c r="E110" i="7"/>
  <c r="F110" i="7"/>
  <c r="G110" i="7"/>
  <c r="H110" i="7"/>
  <c r="I110" i="7"/>
  <c r="J110" i="7"/>
  <c r="K110" i="7"/>
  <c r="L110" i="7"/>
  <c r="C111" i="7"/>
  <c r="D111" i="7"/>
  <c r="E111" i="7"/>
  <c r="F111" i="7"/>
  <c r="G111" i="7"/>
  <c r="H111" i="7"/>
  <c r="I111" i="7"/>
  <c r="J111" i="7"/>
  <c r="K111" i="7"/>
  <c r="L111" i="7"/>
  <c r="C112" i="7"/>
  <c r="D112" i="7"/>
  <c r="E112" i="7"/>
  <c r="F112" i="7"/>
  <c r="G112" i="7"/>
  <c r="H112" i="7"/>
  <c r="I112" i="7"/>
  <c r="J112" i="7"/>
  <c r="K112" i="7"/>
  <c r="L112" i="7"/>
  <c r="C113" i="7"/>
  <c r="D113" i="7"/>
  <c r="E113" i="7"/>
  <c r="F113" i="7"/>
  <c r="G113" i="7"/>
  <c r="H113" i="7"/>
  <c r="I113" i="7"/>
  <c r="J113" i="7"/>
  <c r="K113" i="7"/>
  <c r="L113" i="7"/>
  <c r="C114" i="7"/>
  <c r="D114" i="7"/>
  <c r="E114" i="7"/>
  <c r="F114" i="7"/>
  <c r="G114" i="7"/>
  <c r="H114" i="7"/>
  <c r="I114" i="7"/>
  <c r="J114" i="7"/>
  <c r="K114" i="7"/>
  <c r="L114" i="7"/>
  <c r="C115" i="7"/>
  <c r="D115" i="7"/>
  <c r="E115" i="7"/>
  <c r="F115" i="7"/>
  <c r="G115" i="7"/>
  <c r="H115" i="7"/>
  <c r="I115" i="7"/>
  <c r="J115" i="7"/>
  <c r="K115" i="7"/>
  <c r="L115" i="7"/>
  <c r="C116" i="7"/>
  <c r="D116" i="7"/>
  <c r="E116" i="7"/>
  <c r="F116" i="7"/>
  <c r="G116" i="7"/>
  <c r="H116" i="7"/>
  <c r="I116" i="7"/>
  <c r="J116" i="7"/>
  <c r="K116" i="7"/>
  <c r="L116" i="7"/>
  <c r="C117" i="7"/>
  <c r="D117" i="7"/>
  <c r="E117" i="7"/>
  <c r="F117" i="7"/>
  <c r="G117" i="7"/>
  <c r="H117" i="7"/>
  <c r="I117" i="7"/>
  <c r="J117" i="7"/>
  <c r="K117" i="7"/>
  <c r="L117" i="7"/>
  <c r="C118" i="7"/>
  <c r="D118" i="7"/>
  <c r="E118" i="7"/>
  <c r="F118" i="7"/>
  <c r="G118" i="7"/>
  <c r="H118" i="7"/>
  <c r="I118" i="7"/>
  <c r="J118" i="7"/>
  <c r="K118" i="7"/>
  <c r="L118" i="7"/>
  <c r="C119" i="7"/>
  <c r="D119" i="7"/>
  <c r="E119" i="7"/>
  <c r="F119" i="7"/>
  <c r="G119" i="7"/>
  <c r="H119" i="7"/>
  <c r="I119" i="7"/>
  <c r="J119" i="7"/>
  <c r="K119" i="7"/>
  <c r="L119" i="7"/>
  <c r="C120" i="7"/>
  <c r="D120" i="7"/>
  <c r="E120" i="7"/>
  <c r="F120" i="7"/>
  <c r="G120" i="7"/>
  <c r="H120" i="7"/>
  <c r="I120" i="7"/>
  <c r="J120" i="7"/>
  <c r="K120" i="7"/>
  <c r="L120" i="7"/>
  <c r="C121" i="7"/>
  <c r="D121" i="7"/>
  <c r="E121" i="7"/>
  <c r="F121" i="7"/>
  <c r="G121" i="7"/>
  <c r="H121" i="7"/>
  <c r="I121" i="7"/>
  <c r="J121" i="7"/>
  <c r="K121" i="7"/>
  <c r="L121" i="7"/>
  <c r="C122" i="7"/>
  <c r="D122" i="7"/>
  <c r="E122" i="7"/>
  <c r="F122" i="7"/>
  <c r="G122" i="7"/>
  <c r="H122" i="7"/>
  <c r="I122" i="7"/>
  <c r="J122" i="7"/>
  <c r="K122" i="7"/>
  <c r="L122" i="7"/>
  <c r="C123" i="7"/>
  <c r="D123" i="7"/>
  <c r="E123" i="7"/>
  <c r="F123" i="7"/>
  <c r="G123" i="7"/>
  <c r="H123" i="7"/>
  <c r="I123" i="7"/>
  <c r="J123" i="7"/>
  <c r="K123" i="7"/>
  <c r="L123" i="7"/>
  <c r="C124" i="7"/>
  <c r="D124" i="7"/>
  <c r="E124" i="7"/>
  <c r="F124" i="7"/>
  <c r="G124" i="7"/>
  <c r="H124" i="7"/>
  <c r="I124" i="7"/>
  <c r="J124" i="7"/>
  <c r="K124" i="7"/>
  <c r="L124" i="7"/>
  <c r="C125" i="7"/>
  <c r="D125" i="7"/>
  <c r="E125" i="7"/>
  <c r="F125" i="7"/>
  <c r="G125" i="7"/>
  <c r="H125" i="7"/>
  <c r="I125" i="7"/>
  <c r="J125" i="7"/>
  <c r="K125" i="7"/>
  <c r="L125" i="7"/>
  <c r="C126" i="7"/>
  <c r="D126" i="7"/>
  <c r="E126" i="7"/>
  <c r="F126" i="7"/>
  <c r="G126" i="7"/>
  <c r="H126" i="7"/>
  <c r="I126" i="7"/>
  <c r="J126" i="7"/>
  <c r="K126" i="7"/>
  <c r="L126" i="7"/>
  <c r="C127" i="7"/>
  <c r="D127" i="7"/>
  <c r="E127" i="7"/>
  <c r="F127" i="7"/>
  <c r="G127" i="7"/>
  <c r="H127" i="7"/>
  <c r="I127" i="7"/>
  <c r="J127" i="7"/>
  <c r="K127" i="7"/>
  <c r="L127" i="7"/>
  <c r="C128" i="7"/>
  <c r="D128" i="7"/>
  <c r="E128" i="7"/>
  <c r="F128" i="7"/>
  <c r="G128" i="7"/>
  <c r="H128" i="7"/>
  <c r="I128" i="7"/>
  <c r="J128" i="7"/>
  <c r="K128" i="7"/>
  <c r="L128" i="7"/>
  <c r="C129" i="7"/>
  <c r="D129" i="7"/>
  <c r="E129" i="7"/>
  <c r="F129" i="7"/>
  <c r="G129" i="7"/>
  <c r="H129" i="7"/>
  <c r="I129" i="7"/>
  <c r="J129" i="7"/>
  <c r="K129" i="7"/>
  <c r="L129" i="7"/>
  <c r="C130" i="7"/>
  <c r="D130" i="7"/>
  <c r="E130" i="7"/>
  <c r="F130" i="7"/>
  <c r="G130" i="7"/>
  <c r="H130" i="7"/>
  <c r="I130" i="7"/>
  <c r="J130" i="7"/>
  <c r="K130" i="7"/>
  <c r="L130" i="7"/>
  <c r="C131" i="7"/>
  <c r="D131" i="7"/>
  <c r="E131" i="7"/>
  <c r="F131" i="7"/>
  <c r="G131" i="7"/>
  <c r="H131" i="7"/>
  <c r="I131" i="7"/>
  <c r="J131" i="7"/>
  <c r="K131" i="7"/>
  <c r="L131" i="7"/>
  <c r="C132" i="7"/>
  <c r="D132" i="7"/>
  <c r="E132" i="7"/>
  <c r="F132" i="7"/>
  <c r="G132" i="7"/>
  <c r="H132" i="7"/>
  <c r="I132" i="7"/>
  <c r="J132" i="7"/>
  <c r="K132" i="7"/>
  <c r="L132" i="7"/>
  <c r="C133" i="7"/>
  <c r="D133" i="7"/>
  <c r="E133" i="7"/>
  <c r="F133" i="7"/>
  <c r="G133" i="7"/>
  <c r="H133" i="7"/>
  <c r="I133" i="7"/>
  <c r="J133" i="7"/>
  <c r="K133" i="7"/>
  <c r="L133" i="7"/>
  <c r="C134" i="7"/>
  <c r="D134" i="7"/>
  <c r="E134" i="7"/>
  <c r="F134" i="7"/>
  <c r="G134" i="7"/>
  <c r="H134" i="7"/>
  <c r="I134" i="7"/>
  <c r="J134" i="7"/>
  <c r="K134" i="7"/>
  <c r="L134" i="7"/>
  <c r="C135" i="7"/>
  <c r="D135" i="7"/>
  <c r="E135" i="7"/>
  <c r="F135" i="7"/>
  <c r="G135" i="7"/>
  <c r="H135" i="7"/>
  <c r="I135" i="7"/>
  <c r="J135" i="7"/>
  <c r="K135" i="7"/>
  <c r="L135" i="7"/>
  <c r="C136" i="7"/>
  <c r="D136" i="7"/>
  <c r="E136" i="7"/>
  <c r="F136" i="7"/>
  <c r="G136" i="7"/>
  <c r="H136" i="7"/>
  <c r="I136" i="7"/>
  <c r="J136" i="7"/>
  <c r="K136" i="7"/>
  <c r="L136" i="7"/>
  <c r="C137" i="7"/>
  <c r="D137" i="7"/>
  <c r="E137" i="7"/>
  <c r="F137" i="7"/>
  <c r="G137" i="7"/>
  <c r="H137" i="7"/>
  <c r="I137" i="7"/>
  <c r="J137" i="7"/>
  <c r="K137" i="7"/>
  <c r="L137" i="7"/>
  <c r="C138" i="7"/>
  <c r="D138" i="7"/>
  <c r="E138" i="7"/>
  <c r="F138" i="7"/>
  <c r="G138" i="7"/>
  <c r="H138" i="7"/>
  <c r="I138" i="7"/>
  <c r="J138" i="7"/>
  <c r="K138" i="7"/>
  <c r="L138" i="7"/>
  <c r="C139" i="7"/>
  <c r="D139" i="7"/>
  <c r="E139" i="7"/>
  <c r="F139" i="7"/>
  <c r="G139" i="7"/>
  <c r="H139" i="7"/>
  <c r="I139" i="7"/>
  <c r="J139" i="7"/>
  <c r="K139" i="7"/>
  <c r="L139" i="7"/>
  <c r="C140" i="7"/>
  <c r="D140" i="7"/>
  <c r="E140" i="7"/>
  <c r="F140" i="7"/>
  <c r="G140" i="7"/>
  <c r="H140" i="7"/>
  <c r="I140" i="7"/>
  <c r="J140" i="7"/>
  <c r="K140" i="7"/>
  <c r="L140" i="7"/>
  <c r="C141" i="7"/>
  <c r="D141" i="7"/>
  <c r="E141" i="7"/>
  <c r="F141" i="7"/>
  <c r="G141" i="7"/>
  <c r="H141" i="7"/>
  <c r="I141" i="7"/>
  <c r="J141" i="7"/>
  <c r="K141" i="7"/>
  <c r="L141" i="7"/>
  <c r="C142" i="7"/>
  <c r="D142" i="7"/>
  <c r="E142" i="7"/>
  <c r="F142" i="7"/>
  <c r="G142" i="7"/>
  <c r="H142" i="7"/>
  <c r="I142" i="7"/>
  <c r="J142" i="7"/>
  <c r="K142" i="7"/>
  <c r="L14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N8" i="12"/>
  <c r="T7" i="7"/>
  <c r="T13" i="7"/>
  <c r="T21" i="7"/>
  <c r="J15" i="7"/>
  <c r="F16" i="7"/>
  <c r="P16" i="7" s="1"/>
  <c r="F17" i="7"/>
  <c r="F18" i="7"/>
  <c r="P18" i="7" s="1"/>
  <c r="F19" i="7"/>
  <c r="F20" i="7"/>
  <c r="F21" i="7"/>
  <c r="F22" i="7"/>
  <c r="F23" i="7"/>
  <c r="F24" i="7"/>
  <c r="P24" i="7" s="1"/>
  <c r="F25" i="7"/>
  <c r="F26" i="7"/>
  <c r="P26" i="7" s="1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B22" i="7"/>
  <c r="B23" i="7"/>
  <c r="V23" i="7" s="1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101" i="7"/>
  <c r="B102" i="7"/>
  <c r="C31" i="3"/>
  <c r="M16" i="1"/>
  <c r="K42" i="4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7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8" i="1"/>
  <c r="U1" i="1"/>
  <c r="T1" i="1"/>
  <c r="S1" i="1"/>
  <c r="J27" i="11"/>
  <c r="K24" i="11"/>
  <c r="J24" i="11"/>
  <c r="C33" i="3"/>
  <c r="D16" i="3"/>
  <c r="E16" i="3" s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16" i="3"/>
  <c r="J6" i="6"/>
  <c r="E9" i="11"/>
  <c r="AJ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7" i="11"/>
  <c r="C38" i="11"/>
  <c r="C39" i="11"/>
  <c r="C40" i="11"/>
  <c r="C41" i="11"/>
  <c r="C42" i="11"/>
  <c r="C43" i="11"/>
  <c r="C44" i="11"/>
  <c r="C45" i="11"/>
  <c r="C46" i="11"/>
  <c r="C48" i="11"/>
  <c r="C49" i="11"/>
  <c r="C50" i="11"/>
  <c r="C51" i="11"/>
  <c r="C52" i="11"/>
  <c r="C53" i="11"/>
  <c r="C54" i="11"/>
  <c r="C55" i="11"/>
  <c r="C56" i="11"/>
  <c r="C58" i="11"/>
  <c r="C59" i="11"/>
  <c r="C60" i="11"/>
  <c r="C61" i="11"/>
  <c r="C62" i="11"/>
  <c r="C63" i="11"/>
  <c r="C64" i="11"/>
  <c r="C65" i="11"/>
  <c r="C66" i="11"/>
  <c r="C37" i="11"/>
  <c r="C47" i="11" s="1"/>
  <c r="E8" i="11"/>
  <c r="E10" i="11"/>
  <c r="E11" i="11"/>
  <c r="E12" i="11"/>
  <c r="E13" i="11"/>
  <c r="E14" i="11"/>
  <c r="E15" i="11"/>
  <c r="E16" i="11"/>
  <c r="AY11" i="3" s="1"/>
  <c r="E17" i="11"/>
  <c r="E18" i="11"/>
  <c r="E19" i="11"/>
  <c r="E20" i="11"/>
  <c r="E21" i="11"/>
  <c r="O21" i="11" s="1"/>
  <c r="E22" i="11"/>
  <c r="E23" i="11"/>
  <c r="E24" i="11"/>
  <c r="E25" i="11"/>
  <c r="E26" i="11"/>
  <c r="AY12" i="3" s="1"/>
  <c r="E27" i="11"/>
  <c r="E28" i="11"/>
  <c r="E29" i="11"/>
  <c r="E30" i="11"/>
  <c r="E31" i="11"/>
  <c r="E32" i="11"/>
  <c r="E33" i="11"/>
  <c r="E34" i="11"/>
  <c r="E35" i="11"/>
  <c r="E36" i="11"/>
  <c r="AY13" i="3" s="1"/>
  <c r="E37" i="11"/>
  <c r="E38" i="11"/>
  <c r="E39" i="11"/>
  <c r="E40" i="11"/>
  <c r="E41" i="11"/>
  <c r="E42" i="11"/>
  <c r="E43" i="11"/>
  <c r="E44" i="11"/>
  <c r="E45" i="11"/>
  <c r="E46" i="11"/>
  <c r="E48" i="11"/>
  <c r="E49" i="11"/>
  <c r="E50" i="11"/>
  <c r="E51" i="11"/>
  <c r="AY14" i="3" s="1"/>
  <c r="E52" i="11"/>
  <c r="E53" i="11"/>
  <c r="E54" i="11"/>
  <c r="E55" i="11"/>
  <c r="E56" i="11"/>
  <c r="E58" i="11"/>
  <c r="E59" i="11"/>
  <c r="E60" i="11"/>
  <c r="E61" i="11"/>
  <c r="E62" i="11"/>
  <c r="E63" i="11"/>
  <c r="E64" i="11"/>
  <c r="E65" i="11"/>
  <c r="E66" i="11"/>
  <c r="AY15" i="3" s="1"/>
  <c r="E68" i="11"/>
  <c r="E69" i="11"/>
  <c r="E70" i="11"/>
  <c r="E71" i="11"/>
  <c r="E72" i="11"/>
  <c r="E73" i="11"/>
  <c r="E74" i="11"/>
  <c r="E75" i="11"/>
  <c r="E76" i="11"/>
  <c r="E78" i="11"/>
  <c r="E79" i="11"/>
  <c r="E80" i="11"/>
  <c r="E81" i="11"/>
  <c r="E82" i="11"/>
  <c r="E83" i="11"/>
  <c r="E84" i="11"/>
  <c r="E85" i="11"/>
  <c r="E86" i="11"/>
  <c r="E88" i="11"/>
  <c r="E89" i="11"/>
  <c r="E90" i="11"/>
  <c r="E91" i="11"/>
  <c r="E92" i="11"/>
  <c r="E93" i="11"/>
  <c r="E94" i="11"/>
  <c r="E95" i="11"/>
  <c r="E96" i="11"/>
  <c r="E98" i="11"/>
  <c r="E99" i="11"/>
  <c r="E100" i="11"/>
  <c r="E101" i="11"/>
  <c r="E102" i="11"/>
  <c r="E103" i="11"/>
  <c r="E104" i="11"/>
  <c r="E105" i="11"/>
  <c r="E106" i="11"/>
  <c r="E108" i="11"/>
  <c r="E109" i="11"/>
  <c r="E110" i="11"/>
  <c r="E111" i="11"/>
  <c r="E112" i="11"/>
  <c r="E113" i="11"/>
  <c r="E114" i="11"/>
  <c r="E115" i="11"/>
  <c r="E116" i="11"/>
  <c r="E118" i="11"/>
  <c r="E119" i="11"/>
  <c r="E120" i="11"/>
  <c r="E121" i="11"/>
  <c r="E122" i="11"/>
  <c r="E123" i="11"/>
  <c r="E124" i="11"/>
  <c r="E125" i="11"/>
  <c r="E126" i="11"/>
  <c r="E128" i="11"/>
  <c r="E129" i="11"/>
  <c r="E130" i="11"/>
  <c r="E131" i="11"/>
  <c r="E132" i="11"/>
  <c r="E133" i="11"/>
  <c r="E134" i="11"/>
  <c r="E135" i="11"/>
  <c r="E136" i="11"/>
  <c r="E138" i="11"/>
  <c r="E139" i="11"/>
  <c r="E140" i="11"/>
  <c r="E141" i="11"/>
  <c r="E142" i="11"/>
  <c r="E143" i="11"/>
  <c r="E144" i="11"/>
  <c r="E145" i="11"/>
  <c r="E146" i="11"/>
  <c r="E148" i="11"/>
  <c r="E149" i="11"/>
  <c r="E150" i="11"/>
  <c r="E151" i="11"/>
  <c r="E152" i="11"/>
  <c r="E153" i="11"/>
  <c r="E154" i="11"/>
  <c r="E155" i="11"/>
  <c r="E156" i="11"/>
  <c r="E158" i="11"/>
  <c r="E159" i="11"/>
  <c r="E160" i="11"/>
  <c r="E161" i="11"/>
  <c r="E162" i="11"/>
  <c r="E163" i="11"/>
  <c r="U163" i="11" s="1"/>
  <c r="E164" i="11"/>
  <c r="U164" i="11" s="1"/>
  <c r="E165" i="11"/>
  <c r="U165" i="11" s="1"/>
  <c r="E166" i="11"/>
  <c r="U166" i="11" s="1"/>
  <c r="E168" i="11"/>
  <c r="U168" i="11" s="1"/>
  <c r="E169" i="11"/>
  <c r="U169" i="11" s="1"/>
  <c r="E170" i="11"/>
  <c r="U170" i="11" s="1"/>
  <c r="E171" i="11"/>
  <c r="E172" i="11"/>
  <c r="U172" i="11" s="1"/>
  <c r="E173" i="11"/>
  <c r="U173" i="11" s="1"/>
  <c r="E174" i="11"/>
  <c r="E175" i="11"/>
  <c r="U175" i="11" s="1"/>
  <c r="E176" i="11"/>
  <c r="E178" i="11"/>
  <c r="U178" i="11" s="1"/>
  <c r="E179" i="11"/>
  <c r="U179" i="11" s="1"/>
  <c r="E180" i="11"/>
  <c r="U180" i="11" s="1"/>
  <c r="E181" i="11"/>
  <c r="U181" i="11" s="1"/>
  <c r="E182" i="11"/>
  <c r="U182" i="11" s="1"/>
  <c r="E183" i="11"/>
  <c r="U183" i="11" s="1"/>
  <c r="E184" i="11"/>
  <c r="U184" i="11" s="1"/>
  <c r="E185" i="11"/>
  <c r="U185" i="11" s="1"/>
  <c r="E186" i="11"/>
  <c r="U186" i="11" s="1"/>
  <c r="E188" i="11"/>
  <c r="U188" i="11" s="1"/>
  <c r="E189" i="11"/>
  <c r="U189" i="11" s="1"/>
  <c r="E190" i="11"/>
  <c r="U190" i="11" s="1"/>
  <c r="E191" i="11"/>
  <c r="U191" i="11" s="1"/>
  <c r="E192" i="11"/>
  <c r="U192" i="11" s="1"/>
  <c r="E193" i="11"/>
  <c r="U193" i="11" s="1"/>
  <c r="E194" i="11"/>
  <c r="E195" i="11"/>
  <c r="E196" i="11"/>
  <c r="E198" i="11"/>
  <c r="E199" i="11"/>
  <c r="E200" i="11"/>
  <c r="E201" i="11"/>
  <c r="E202" i="11"/>
  <c r="E203" i="11"/>
  <c r="E204" i="11"/>
  <c r="E205" i="11"/>
  <c r="E206" i="11"/>
  <c r="E208" i="11"/>
  <c r="AI7" i="11"/>
  <c r="AI8" i="1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1" i="11"/>
  <c r="AI22" i="11"/>
  <c r="AI23" i="11"/>
  <c r="AI24" i="11"/>
  <c r="AI25" i="11"/>
  <c r="AI26" i="11"/>
  <c r="AI27" i="11"/>
  <c r="AI28" i="11"/>
  <c r="AI29" i="11"/>
  <c r="AI30" i="11"/>
  <c r="AI31" i="11"/>
  <c r="AI32" i="11"/>
  <c r="AI33" i="11"/>
  <c r="AI34" i="11"/>
  <c r="AI35" i="11"/>
  <c r="AI36" i="11"/>
  <c r="AI37" i="11"/>
  <c r="AI38" i="11"/>
  <c r="AI39" i="11"/>
  <c r="AI40" i="11"/>
  <c r="AI41" i="11"/>
  <c r="AI42" i="11"/>
  <c r="AI43" i="11"/>
  <c r="AI44" i="11"/>
  <c r="AI45" i="11"/>
  <c r="AI46" i="11"/>
  <c r="AI47" i="11"/>
  <c r="AI48" i="11"/>
  <c r="AI49" i="11"/>
  <c r="AI50" i="11"/>
  <c r="AI51" i="11"/>
  <c r="AI52" i="11"/>
  <c r="AI53" i="11"/>
  <c r="AI54" i="11"/>
  <c r="AI55" i="11"/>
  <c r="AI56" i="11"/>
  <c r="AI57" i="11"/>
  <c r="AI58" i="11"/>
  <c r="AI59" i="11"/>
  <c r="AI60" i="11"/>
  <c r="AI61" i="11"/>
  <c r="AI62" i="11"/>
  <c r="AI63" i="11"/>
  <c r="AI64" i="11"/>
  <c r="AI65" i="11"/>
  <c r="AI66" i="11"/>
  <c r="AI67" i="11"/>
  <c r="AI68" i="11"/>
  <c r="AI69" i="11"/>
  <c r="AI70" i="11"/>
  <c r="AI71" i="11"/>
  <c r="AI72" i="11"/>
  <c r="AI73" i="11"/>
  <c r="AI74" i="11"/>
  <c r="AI75" i="11"/>
  <c r="AI76" i="11"/>
  <c r="AI77" i="11"/>
  <c r="AI78" i="11"/>
  <c r="AI79" i="11"/>
  <c r="AI80" i="11"/>
  <c r="AI81" i="11"/>
  <c r="AI82" i="11"/>
  <c r="AI83" i="11"/>
  <c r="AI84" i="11"/>
  <c r="AI85" i="11"/>
  <c r="AI86" i="11"/>
  <c r="AI87" i="11"/>
  <c r="AI88" i="11"/>
  <c r="AI89" i="11"/>
  <c r="AI90" i="11"/>
  <c r="AI91" i="11"/>
  <c r="AI92" i="11"/>
  <c r="AI93" i="11"/>
  <c r="AI94" i="11"/>
  <c r="AI95" i="11"/>
  <c r="AI96" i="11"/>
  <c r="AI97" i="11"/>
  <c r="AI98" i="11"/>
  <c r="AI99" i="11"/>
  <c r="AI100" i="11"/>
  <c r="AI101" i="11"/>
  <c r="AI102" i="11"/>
  <c r="AI103" i="11"/>
  <c r="AI104" i="11"/>
  <c r="AI105" i="11"/>
  <c r="AI106" i="11"/>
  <c r="AH7" i="11"/>
  <c r="AH8" i="11"/>
  <c r="AH9" i="11"/>
  <c r="AH10" i="11"/>
  <c r="AH11" i="11"/>
  <c r="AH12" i="11"/>
  <c r="AH13" i="11"/>
  <c r="AH14" i="11"/>
  <c r="AH15" i="11"/>
  <c r="AH16" i="11"/>
  <c r="AH17" i="11"/>
  <c r="AH18" i="11"/>
  <c r="AH19" i="11"/>
  <c r="AH20" i="11"/>
  <c r="AH22" i="11"/>
  <c r="K54" i="11"/>
  <c r="J54" i="11" s="1"/>
  <c r="EQ8" i="13"/>
  <c r="EQ9" i="13"/>
  <c r="EQ7" i="13"/>
  <c r="C76" i="14"/>
  <c r="C75" i="14"/>
  <c r="K107" i="11"/>
  <c r="J107" i="11"/>
  <c r="Z107" i="11" s="1"/>
  <c r="EF7" i="13"/>
  <c r="EL7" i="13" s="1"/>
  <c r="FE7" i="13" s="1"/>
  <c r="N5" i="14"/>
  <c r="N6" i="14"/>
  <c r="N7" i="14"/>
  <c r="N8" i="14"/>
  <c r="N9" i="14"/>
  <c r="N10" i="14"/>
  <c r="N11" i="14"/>
  <c r="N12" i="14"/>
  <c r="N13" i="14"/>
  <c r="N4" i="14"/>
  <c r="I79" i="14"/>
  <c r="D79" i="14"/>
  <c r="K78" i="14"/>
  <c r="L77" i="14"/>
  <c r="I77" i="14"/>
  <c r="L76" i="14"/>
  <c r="I76" i="14"/>
  <c r="E76" i="14"/>
  <c r="L75" i="14"/>
  <c r="I75" i="14"/>
  <c r="E75" i="14"/>
  <c r="C19" i="14"/>
  <c r="D19" i="14"/>
  <c r="E19" i="14"/>
  <c r="C20" i="14"/>
  <c r="D20" i="14"/>
  <c r="E20" i="14"/>
  <c r="C21" i="14"/>
  <c r="D21" i="14"/>
  <c r="E21" i="14"/>
  <c r="C22" i="14"/>
  <c r="D22" i="14"/>
  <c r="E22" i="14"/>
  <c r="C23" i="14"/>
  <c r="D23" i="14"/>
  <c r="E23" i="14"/>
  <c r="C24" i="14"/>
  <c r="D24" i="14"/>
  <c r="E24" i="14"/>
  <c r="C25" i="14"/>
  <c r="D25" i="14"/>
  <c r="E25" i="14"/>
  <c r="C26" i="14"/>
  <c r="D26" i="14"/>
  <c r="E26" i="14"/>
  <c r="C27" i="14"/>
  <c r="D27" i="14"/>
  <c r="E27" i="14"/>
  <c r="C28" i="14"/>
  <c r="D28" i="14"/>
  <c r="E28" i="14"/>
  <c r="C29" i="14"/>
  <c r="D29" i="14"/>
  <c r="E29" i="14"/>
  <c r="C30" i="14"/>
  <c r="D30" i="14"/>
  <c r="E30" i="14"/>
  <c r="C31" i="14"/>
  <c r="D31" i="14"/>
  <c r="E31" i="14"/>
  <c r="C32" i="14"/>
  <c r="D32" i="14"/>
  <c r="E32" i="14"/>
  <c r="C33" i="14"/>
  <c r="D33" i="14"/>
  <c r="E33" i="14"/>
  <c r="C34" i="14"/>
  <c r="D34" i="14"/>
  <c r="E34" i="14"/>
  <c r="C35" i="14"/>
  <c r="D35" i="14"/>
  <c r="E35" i="14"/>
  <c r="C36" i="14"/>
  <c r="D36" i="14"/>
  <c r="E36" i="14"/>
  <c r="C37" i="14"/>
  <c r="D37" i="14"/>
  <c r="E37" i="14"/>
  <c r="C38" i="14"/>
  <c r="D38" i="14"/>
  <c r="E38" i="14"/>
  <c r="C39" i="14"/>
  <c r="D39" i="14"/>
  <c r="E39" i="14"/>
  <c r="C40" i="14"/>
  <c r="D40" i="14"/>
  <c r="E40" i="14"/>
  <c r="C41" i="14"/>
  <c r="D41" i="14"/>
  <c r="E41" i="14"/>
  <c r="C42" i="14"/>
  <c r="D42" i="14"/>
  <c r="E42" i="14"/>
  <c r="C43" i="14"/>
  <c r="D43" i="14"/>
  <c r="E43" i="14"/>
  <c r="C44" i="14"/>
  <c r="D44" i="14"/>
  <c r="E44" i="14"/>
  <c r="C45" i="14"/>
  <c r="D45" i="14"/>
  <c r="E45" i="14"/>
  <c r="C46" i="14"/>
  <c r="D46" i="14"/>
  <c r="E46" i="14"/>
  <c r="C47" i="14"/>
  <c r="D47" i="14"/>
  <c r="E47" i="14"/>
  <c r="C48" i="14"/>
  <c r="D48" i="14"/>
  <c r="E48" i="14"/>
  <c r="C49" i="14"/>
  <c r="D49" i="14"/>
  <c r="E49" i="14"/>
  <c r="C50" i="14"/>
  <c r="D50" i="14"/>
  <c r="E50" i="14"/>
  <c r="C51" i="14"/>
  <c r="D51" i="14"/>
  <c r="E51" i="14"/>
  <c r="C52" i="14"/>
  <c r="D52" i="14"/>
  <c r="E52" i="14"/>
  <c r="C53" i="14"/>
  <c r="D53" i="14"/>
  <c r="E53" i="14"/>
  <c r="C54" i="14"/>
  <c r="D54" i="14"/>
  <c r="E54" i="14"/>
  <c r="C55" i="14"/>
  <c r="D55" i="14"/>
  <c r="E55" i="14"/>
  <c r="C56" i="14"/>
  <c r="D56" i="14"/>
  <c r="E56" i="14"/>
  <c r="C57" i="14"/>
  <c r="D57" i="14"/>
  <c r="E57" i="14"/>
  <c r="C58" i="14"/>
  <c r="D58" i="14"/>
  <c r="E58" i="14"/>
  <c r="C59" i="14"/>
  <c r="D59" i="14"/>
  <c r="E59" i="14"/>
  <c r="C60" i="14"/>
  <c r="D60" i="14"/>
  <c r="E60" i="14"/>
  <c r="C61" i="14"/>
  <c r="D61" i="14"/>
  <c r="E61" i="14"/>
  <c r="C62" i="14"/>
  <c r="D62" i="14"/>
  <c r="E62" i="14"/>
  <c r="C63" i="14"/>
  <c r="D63" i="14"/>
  <c r="E63" i="14"/>
  <c r="C64" i="14"/>
  <c r="D64" i="14"/>
  <c r="E64" i="14"/>
  <c r="C65" i="14"/>
  <c r="D65" i="14"/>
  <c r="E65" i="14"/>
  <c r="C66" i="14"/>
  <c r="D66" i="14"/>
  <c r="E66" i="14"/>
  <c r="C67" i="14"/>
  <c r="D67" i="14"/>
  <c r="E67" i="14"/>
  <c r="D18" i="14"/>
  <c r="E18" i="14"/>
  <c r="C18" i="14"/>
  <c r="K40" i="4"/>
  <c r="L42" i="4"/>
  <c r="AN4" i="7"/>
  <c r="AN5" i="7"/>
  <c r="AN6" i="7"/>
  <c r="AN7" i="7"/>
  <c r="AN8" i="7"/>
  <c r="AN9" i="7"/>
  <c r="AN10" i="7"/>
  <c r="AN11" i="7"/>
  <c r="AN12" i="7"/>
  <c r="AN13" i="7"/>
  <c r="AN14" i="7"/>
  <c r="AN15" i="7"/>
  <c r="AN16" i="7"/>
  <c r="AN17" i="7"/>
  <c r="AN18" i="7"/>
  <c r="AN19" i="7"/>
  <c r="AN20" i="7"/>
  <c r="AN21" i="7"/>
  <c r="AN22" i="7"/>
  <c r="AN23" i="7"/>
  <c r="AN24" i="7"/>
  <c r="AN25" i="7"/>
  <c r="AN26" i="7"/>
  <c r="AN27" i="7"/>
  <c r="AN28" i="7"/>
  <c r="AN29" i="7"/>
  <c r="AN30" i="7"/>
  <c r="AN31" i="7"/>
  <c r="AN32" i="7"/>
  <c r="AN33" i="7"/>
  <c r="AN34" i="7"/>
  <c r="AN35" i="7"/>
  <c r="AN36" i="7"/>
  <c r="AN37" i="7"/>
  <c r="AN38" i="7"/>
  <c r="AN39" i="7"/>
  <c r="AN40" i="7"/>
  <c r="AN41" i="7"/>
  <c r="AN42" i="7"/>
  <c r="AN43" i="7"/>
  <c r="AN44" i="7"/>
  <c r="AN45" i="7"/>
  <c r="AN46" i="7"/>
  <c r="AN47" i="7"/>
  <c r="AN48" i="7"/>
  <c r="AN49" i="7"/>
  <c r="AN50" i="7"/>
  <c r="AN51" i="7"/>
  <c r="AN52" i="7"/>
  <c r="AN53" i="7"/>
  <c r="AN54" i="7"/>
  <c r="AN55" i="7"/>
  <c r="AN56" i="7"/>
  <c r="AN57" i="7"/>
  <c r="AN58" i="7"/>
  <c r="AN59" i="7"/>
  <c r="AN60" i="7"/>
  <c r="AN61" i="7"/>
  <c r="AN62" i="7"/>
  <c r="AN63" i="7"/>
  <c r="AN64" i="7"/>
  <c r="AN65" i="7"/>
  <c r="AN66" i="7"/>
  <c r="AN67" i="7"/>
  <c r="AN68" i="7"/>
  <c r="AN69" i="7"/>
  <c r="AN70" i="7"/>
  <c r="AN71" i="7"/>
  <c r="AN72" i="7"/>
  <c r="AN73" i="7"/>
  <c r="AN74" i="7"/>
  <c r="AN75" i="7"/>
  <c r="AN76" i="7"/>
  <c r="AN77" i="7"/>
  <c r="AN78" i="7"/>
  <c r="AN79" i="7"/>
  <c r="AN80" i="7"/>
  <c r="AN81" i="7"/>
  <c r="AN82" i="7"/>
  <c r="AN83" i="7"/>
  <c r="AN84" i="7"/>
  <c r="AN85" i="7"/>
  <c r="AN86" i="7"/>
  <c r="AN87" i="7"/>
  <c r="AN88" i="7"/>
  <c r="AN89" i="7"/>
  <c r="AN90" i="7"/>
  <c r="AN91" i="7"/>
  <c r="AN92" i="7"/>
  <c r="AN93" i="7"/>
  <c r="AN94" i="7"/>
  <c r="AN95" i="7"/>
  <c r="AN96" i="7"/>
  <c r="AN97" i="7"/>
  <c r="AN98" i="7"/>
  <c r="AN99" i="7"/>
  <c r="AN100" i="7"/>
  <c r="AN101" i="7"/>
  <c r="AN102" i="7"/>
  <c r="AN3" i="7"/>
  <c r="G7" i="10"/>
  <c r="AM7" i="13"/>
  <c r="BT7" i="13" s="1"/>
  <c r="D15" i="13"/>
  <c r="G3" i="13"/>
  <c r="G3" i="12"/>
  <c r="AW206" i="13"/>
  <c r="BA206" i="13" s="1"/>
  <c r="AV206" i="13"/>
  <c r="BV206" i="13" s="1"/>
  <c r="AW205" i="13"/>
  <c r="BA205" i="13" s="1"/>
  <c r="AV205" i="13"/>
  <c r="BV205" i="13" s="1"/>
  <c r="AW204" i="13"/>
  <c r="BA204" i="13" s="1"/>
  <c r="AV204" i="13"/>
  <c r="BV204" i="13" s="1"/>
  <c r="AW203" i="13"/>
  <c r="BA203" i="13" s="1"/>
  <c r="AV203" i="13"/>
  <c r="BV203" i="13" s="1"/>
  <c r="AW202" i="13"/>
  <c r="BA202" i="13" s="1"/>
  <c r="AV202" i="13"/>
  <c r="BV202" i="13" s="1"/>
  <c r="AW201" i="13"/>
  <c r="BA201" i="13" s="1"/>
  <c r="AV201" i="13"/>
  <c r="BV201" i="13" s="1"/>
  <c r="AW200" i="13"/>
  <c r="BA200" i="13" s="1"/>
  <c r="AV200" i="13"/>
  <c r="BV200" i="13" s="1"/>
  <c r="AW199" i="13"/>
  <c r="BA199" i="13" s="1"/>
  <c r="AV199" i="13"/>
  <c r="BV199" i="13" s="1"/>
  <c r="AW198" i="13"/>
  <c r="BA198" i="13" s="1"/>
  <c r="AV198" i="13"/>
  <c r="BV198" i="13" s="1"/>
  <c r="AW197" i="13"/>
  <c r="BA197" i="13" s="1"/>
  <c r="AV197" i="13"/>
  <c r="BV197" i="13" s="1"/>
  <c r="AW196" i="13"/>
  <c r="BA196" i="13" s="1"/>
  <c r="AV196" i="13"/>
  <c r="BV196" i="13" s="1"/>
  <c r="AW195" i="13"/>
  <c r="BA195" i="13" s="1"/>
  <c r="AV195" i="13"/>
  <c r="BV195" i="13" s="1"/>
  <c r="AW194" i="13"/>
  <c r="BA194" i="13" s="1"/>
  <c r="AV194" i="13"/>
  <c r="BV194" i="13" s="1"/>
  <c r="AW193" i="13"/>
  <c r="BA193" i="13" s="1"/>
  <c r="AV193" i="13"/>
  <c r="BV193" i="13" s="1"/>
  <c r="AW192" i="13"/>
  <c r="BA192" i="13" s="1"/>
  <c r="AV192" i="13"/>
  <c r="BV192" i="13" s="1"/>
  <c r="AW191" i="13"/>
  <c r="BA191" i="13" s="1"/>
  <c r="AV191" i="13"/>
  <c r="BV191" i="13" s="1"/>
  <c r="AW190" i="13"/>
  <c r="BA190" i="13" s="1"/>
  <c r="AV190" i="13"/>
  <c r="BV190" i="13" s="1"/>
  <c r="AW189" i="13"/>
  <c r="BA189" i="13" s="1"/>
  <c r="AV189" i="13"/>
  <c r="BV189" i="13" s="1"/>
  <c r="AW188" i="13"/>
  <c r="BA188" i="13" s="1"/>
  <c r="AV188" i="13"/>
  <c r="BV188" i="13" s="1"/>
  <c r="AW187" i="13"/>
  <c r="BA187" i="13" s="1"/>
  <c r="AV187" i="13"/>
  <c r="BV187" i="13" s="1"/>
  <c r="AW186" i="13"/>
  <c r="BA186" i="13" s="1"/>
  <c r="AV186" i="13"/>
  <c r="BV186" i="13" s="1"/>
  <c r="AW185" i="13"/>
  <c r="BA185" i="13" s="1"/>
  <c r="AV185" i="13"/>
  <c r="BV185" i="13" s="1"/>
  <c r="AW184" i="13"/>
  <c r="BA184" i="13" s="1"/>
  <c r="AV184" i="13"/>
  <c r="BV184" i="13" s="1"/>
  <c r="AW183" i="13"/>
  <c r="BA183" i="13" s="1"/>
  <c r="AV183" i="13"/>
  <c r="BV183" i="13" s="1"/>
  <c r="AW182" i="13"/>
  <c r="BA182" i="13" s="1"/>
  <c r="AV182" i="13"/>
  <c r="BV182" i="13" s="1"/>
  <c r="AW181" i="13"/>
  <c r="BA181" i="13" s="1"/>
  <c r="AV181" i="13"/>
  <c r="BV181" i="13" s="1"/>
  <c r="AW180" i="13"/>
  <c r="BA180" i="13" s="1"/>
  <c r="AV180" i="13"/>
  <c r="BV180" i="13" s="1"/>
  <c r="AW179" i="13"/>
  <c r="BA179" i="13" s="1"/>
  <c r="AV179" i="13"/>
  <c r="BV179" i="13" s="1"/>
  <c r="AW178" i="13"/>
  <c r="BA178" i="13" s="1"/>
  <c r="AV178" i="13"/>
  <c r="BV178" i="13" s="1"/>
  <c r="AW177" i="13"/>
  <c r="BA177" i="13" s="1"/>
  <c r="AV177" i="13"/>
  <c r="BV177" i="13" s="1"/>
  <c r="AW176" i="13"/>
  <c r="BA176" i="13" s="1"/>
  <c r="AV176" i="13"/>
  <c r="BV176" i="13" s="1"/>
  <c r="AW175" i="13"/>
  <c r="BA175" i="13" s="1"/>
  <c r="AV175" i="13"/>
  <c r="BV175" i="13" s="1"/>
  <c r="AW174" i="13"/>
  <c r="BA174" i="13" s="1"/>
  <c r="AV174" i="13"/>
  <c r="BV174" i="13" s="1"/>
  <c r="AW173" i="13"/>
  <c r="BA173" i="13" s="1"/>
  <c r="AV173" i="13"/>
  <c r="BV173" i="13" s="1"/>
  <c r="AW172" i="13"/>
  <c r="BA172" i="13" s="1"/>
  <c r="AV172" i="13"/>
  <c r="BV172" i="13" s="1"/>
  <c r="AW171" i="13"/>
  <c r="BA171" i="13" s="1"/>
  <c r="AV171" i="13"/>
  <c r="BV171" i="13" s="1"/>
  <c r="AW170" i="13"/>
  <c r="BA170" i="13" s="1"/>
  <c r="AV170" i="13"/>
  <c r="BV170" i="13" s="1"/>
  <c r="AW169" i="13"/>
  <c r="BA169" i="13" s="1"/>
  <c r="AV169" i="13"/>
  <c r="BV169" i="13" s="1"/>
  <c r="AW168" i="13"/>
  <c r="BA168" i="13" s="1"/>
  <c r="AV168" i="13"/>
  <c r="BV168" i="13" s="1"/>
  <c r="AW167" i="13"/>
  <c r="BA167" i="13" s="1"/>
  <c r="AV167" i="13"/>
  <c r="BV167" i="13" s="1"/>
  <c r="AW166" i="13"/>
  <c r="BA166" i="13" s="1"/>
  <c r="AV166" i="13"/>
  <c r="BV166" i="13" s="1"/>
  <c r="AW165" i="13"/>
  <c r="BA165" i="13" s="1"/>
  <c r="AV165" i="13"/>
  <c r="BV165" i="13" s="1"/>
  <c r="AW164" i="13"/>
  <c r="BA164" i="13" s="1"/>
  <c r="AV164" i="13"/>
  <c r="BV164" i="13" s="1"/>
  <c r="AW163" i="13"/>
  <c r="BA163" i="13" s="1"/>
  <c r="AV163" i="13"/>
  <c r="BV163" i="13" s="1"/>
  <c r="AW162" i="13"/>
  <c r="BA162" i="13" s="1"/>
  <c r="AV162" i="13"/>
  <c r="BV162" i="13" s="1"/>
  <c r="AW161" i="13"/>
  <c r="BA161" i="13" s="1"/>
  <c r="AV161" i="13"/>
  <c r="BV161" i="13" s="1"/>
  <c r="AW160" i="13"/>
  <c r="BA160" i="13" s="1"/>
  <c r="AV160" i="13"/>
  <c r="BV160" i="13" s="1"/>
  <c r="AW159" i="13"/>
  <c r="BA159" i="13" s="1"/>
  <c r="AV159" i="13"/>
  <c r="BV159" i="13" s="1"/>
  <c r="AW158" i="13"/>
  <c r="BA158" i="13" s="1"/>
  <c r="AV158" i="13"/>
  <c r="BV158" i="13" s="1"/>
  <c r="AW157" i="13"/>
  <c r="BA157" i="13" s="1"/>
  <c r="AV157" i="13"/>
  <c r="BV157" i="13" s="1"/>
  <c r="AW156" i="13"/>
  <c r="BA156" i="13" s="1"/>
  <c r="AV156" i="13"/>
  <c r="BV156" i="13" s="1"/>
  <c r="AW155" i="13"/>
  <c r="BA155" i="13" s="1"/>
  <c r="AV155" i="13"/>
  <c r="BV155" i="13" s="1"/>
  <c r="AW154" i="13"/>
  <c r="BA154" i="13" s="1"/>
  <c r="AV154" i="13"/>
  <c r="BV154" i="13" s="1"/>
  <c r="AW153" i="13"/>
  <c r="BA153" i="13" s="1"/>
  <c r="AV153" i="13"/>
  <c r="BV153" i="13" s="1"/>
  <c r="AW152" i="13"/>
  <c r="BA152" i="13" s="1"/>
  <c r="AV152" i="13"/>
  <c r="BV152" i="13" s="1"/>
  <c r="AW151" i="13"/>
  <c r="BA151" i="13" s="1"/>
  <c r="AV151" i="13"/>
  <c r="BV151" i="13" s="1"/>
  <c r="AW150" i="13"/>
  <c r="BA150" i="13" s="1"/>
  <c r="AV150" i="13"/>
  <c r="BV150" i="13" s="1"/>
  <c r="AW149" i="13"/>
  <c r="BA149" i="13" s="1"/>
  <c r="AV149" i="13"/>
  <c r="BV149" i="13" s="1"/>
  <c r="AW148" i="13"/>
  <c r="BA148" i="13" s="1"/>
  <c r="AV148" i="13"/>
  <c r="BV148" i="13" s="1"/>
  <c r="AW147" i="13"/>
  <c r="BA147" i="13" s="1"/>
  <c r="AV147" i="13"/>
  <c r="BV147" i="13" s="1"/>
  <c r="AW146" i="13"/>
  <c r="BA146" i="13" s="1"/>
  <c r="AV146" i="13"/>
  <c r="BV146" i="13" s="1"/>
  <c r="AW145" i="13"/>
  <c r="BA145" i="13" s="1"/>
  <c r="AV145" i="13"/>
  <c r="BV145" i="13" s="1"/>
  <c r="AW144" i="13"/>
  <c r="BA144" i="13" s="1"/>
  <c r="AV144" i="13"/>
  <c r="BV144" i="13" s="1"/>
  <c r="AW143" i="13"/>
  <c r="BA143" i="13" s="1"/>
  <c r="AV143" i="13"/>
  <c r="BV143" i="13" s="1"/>
  <c r="AW142" i="13"/>
  <c r="BA142" i="13" s="1"/>
  <c r="AV142" i="13"/>
  <c r="BV142" i="13" s="1"/>
  <c r="AW141" i="13"/>
  <c r="BA141" i="13" s="1"/>
  <c r="AV141" i="13"/>
  <c r="BV141" i="13" s="1"/>
  <c r="AW140" i="13"/>
  <c r="BA140" i="13" s="1"/>
  <c r="AV140" i="13"/>
  <c r="BV140" i="13" s="1"/>
  <c r="AW139" i="13"/>
  <c r="BA139" i="13" s="1"/>
  <c r="AV139" i="13"/>
  <c r="BV139" i="13" s="1"/>
  <c r="AW138" i="13"/>
  <c r="BA138" i="13" s="1"/>
  <c r="AV138" i="13"/>
  <c r="BV138" i="13" s="1"/>
  <c r="AW137" i="13"/>
  <c r="BA137" i="13" s="1"/>
  <c r="AV137" i="13"/>
  <c r="BV137" i="13" s="1"/>
  <c r="AW136" i="13"/>
  <c r="BA136" i="13" s="1"/>
  <c r="AV136" i="13"/>
  <c r="BV136" i="13" s="1"/>
  <c r="AW135" i="13"/>
  <c r="BA135" i="13" s="1"/>
  <c r="AV135" i="13"/>
  <c r="BV135" i="13" s="1"/>
  <c r="AW134" i="13"/>
  <c r="BA134" i="13" s="1"/>
  <c r="AV134" i="13"/>
  <c r="BV134" i="13" s="1"/>
  <c r="AW133" i="13"/>
  <c r="BA133" i="13" s="1"/>
  <c r="AV133" i="13"/>
  <c r="BV133" i="13" s="1"/>
  <c r="AW132" i="13"/>
  <c r="BA132" i="13" s="1"/>
  <c r="AV132" i="13"/>
  <c r="BV132" i="13" s="1"/>
  <c r="AW131" i="13"/>
  <c r="BA131" i="13" s="1"/>
  <c r="AV131" i="13"/>
  <c r="BV131" i="13" s="1"/>
  <c r="AW130" i="13"/>
  <c r="BA130" i="13" s="1"/>
  <c r="AV130" i="13"/>
  <c r="BV130" i="13" s="1"/>
  <c r="AW129" i="13"/>
  <c r="BA129" i="13" s="1"/>
  <c r="AV129" i="13"/>
  <c r="BV129" i="13" s="1"/>
  <c r="AW128" i="13"/>
  <c r="BA128" i="13" s="1"/>
  <c r="AV128" i="13"/>
  <c r="BV128" i="13" s="1"/>
  <c r="AW127" i="13"/>
  <c r="BA127" i="13" s="1"/>
  <c r="AV127" i="13"/>
  <c r="BV127" i="13" s="1"/>
  <c r="AW126" i="13"/>
  <c r="BA126" i="13" s="1"/>
  <c r="AV126" i="13"/>
  <c r="BV126" i="13" s="1"/>
  <c r="AW125" i="13"/>
  <c r="BA125" i="13" s="1"/>
  <c r="AV125" i="13"/>
  <c r="BV125" i="13" s="1"/>
  <c r="AW124" i="13"/>
  <c r="BA124" i="13" s="1"/>
  <c r="AV124" i="13"/>
  <c r="BV124" i="13" s="1"/>
  <c r="AW123" i="13"/>
  <c r="BA123" i="13" s="1"/>
  <c r="AV123" i="13"/>
  <c r="BV123" i="13" s="1"/>
  <c r="AW122" i="13"/>
  <c r="BA122" i="13" s="1"/>
  <c r="AV122" i="13"/>
  <c r="BV122" i="13" s="1"/>
  <c r="AW121" i="13"/>
  <c r="BA121" i="13" s="1"/>
  <c r="AV121" i="13"/>
  <c r="BV121" i="13" s="1"/>
  <c r="AW120" i="13"/>
  <c r="BA120" i="13" s="1"/>
  <c r="AV120" i="13"/>
  <c r="BV120" i="13" s="1"/>
  <c r="AW119" i="13"/>
  <c r="BA119" i="13" s="1"/>
  <c r="AV119" i="13"/>
  <c r="BV119" i="13" s="1"/>
  <c r="AW118" i="13"/>
  <c r="BA118" i="13" s="1"/>
  <c r="AV118" i="13"/>
  <c r="BV118" i="13" s="1"/>
  <c r="AW117" i="13"/>
  <c r="BA117" i="13" s="1"/>
  <c r="AV117" i="13"/>
  <c r="BV117" i="13" s="1"/>
  <c r="AW116" i="13"/>
  <c r="BA116" i="13" s="1"/>
  <c r="AV116" i="13"/>
  <c r="BV116" i="13" s="1"/>
  <c r="AW115" i="13"/>
  <c r="BA115" i="13" s="1"/>
  <c r="AV115" i="13"/>
  <c r="BV115" i="13" s="1"/>
  <c r="AW114" i="13"/>
  <c r="BA114" i="13" s="1"/>
  <c r="AV114" i="13"/>
  <c r="BV114" i="13" s="1"/>
  <c r="AW113" i="13"/>
  <c r="BA113" i="13" s="1"/>
  <c r="AV113" i="13"/>
  <c r="BV113" i="13" s="1"/>
  <c r="AW112" i="13"/>
  <c r="BA112" i="13" s="1"/>
  <c r="AV112" i="13"/>
  <c r="BV112" i="13" s="1"/>
  <c r="AW111" i="13"/>
  <c r="BA111" i="13" s="1"/>
  <c r="AV111" i="13"/>
  <c r="BV111" i="13" s="1"/>
  <c r="AW110" i="13"/>
  <c r="BA110" i="13" s="1"/>
  <c r="AV110" i="13"/>
  <c r="BV110" i="13" s="1"/>
  <c r="AW109" i="13"/>
  <c r="BA109" i="13" s="1"/>
  <c r="AV109" i="13"/>
  <c r="BV109" i="13" s="1"/>
  <c r="AW108" i="13"/>
  <c r="BA108" i="13" s="1"/>
  <c r="AV108" i="13"/>
  <c r="BV108" i="13" s="1"/>
  <c r="AW107" i="13"/>
  <c r="BA107" i="13" s="1"/>
  <c r="AV107" i="13"/>
  <c r="BV107" i="13" s="1"/>
  <c r="AW106" i="13"/>
  <c r="BA106" i="13" s="1"/>
  <c r="AV106" i="13"/>
  <c r="BV106" i="13" s="1"/>
  <c r="AW105" i="13"/>
  <c r="BA105" i="13" s="1"/>
  <c r="AV105" i="13"/>
  <c r="BV105" i="13" s="1"/>
  <c r="AW104" i="13"/>
  <c r="BA104" i="13" s="1"/>
  <c r="AV104" i="13"/>
  <c r="BV104" i="13" s="1"/>
  <c r="AW103" i="13"/>
  <c r="BA103" i="13" s="1"/>
  <c r="AV103" i="13"/>
  <c r="BV103" i="13" s="1"/>
  <c r="AW102" i="13"/>
  <c r="BA102" i="13" s="1"/>
  <c r="AV102" i="13"/>
  <c r="BV102" i="13" s="1"/>
  <c r="AW101" i="13"/>
  <c r="BA101" i="13" s="1"/>
  <c r="AV101" i="13"/>
  <c r="BV101" i="13" s="1"/>
  <c r="AW100" i="13"/>
  <c r="BA100" i="13" s="1"/>
  <c r="AV100" i="13"/>
  <c r="BV100" i="13" s="1"/>
  <c r="AW99" i="13"/>
  <c r="BA99" i="13" s="1"/>
  <c r="AV99" i="13"/>
  <c r="BV99" i="13" s="1"/>
  <c r="AW98" i="13"/>
  <c r="BA98" i="13" s="1"/>
  <c r="AV98" i="13"/>
  <c r="BV98" i="13" s="1"/>
  <c r="AW97" i="13"/>
  <c r="BA97" i="13" s="1"/>
  <c r="AV97" i="13"/>
  <c r="BV97" i="13" s="1"/>
  <c r="AW96" i="13"/>
  <c r="BA96" i="13" s="1"/>
  <c r="AV96" i="13"/>
  <c r="BV96" i="13" s="1"/>
  <c r="AW95" i="13"/>
  <c r="BA95" i="13" s="1"/>
  <c r="AV95" i="13"/>
  <c r="BV95" i="13" s="1"/>
  <c r="AW94" i="13"/>
  <c r="BA94" i="13" s="1"/>
  <c r="AV94" i="13"/>
  <c r="BV94" i="13" s="1"/>
  <c r="AW93" i="13"/>
  <c r="BA93" i="13" s="1"/>
  <c r="AV93" i="13"/>
  <c r="BV93" i="13" s="1"/>
  <c r="AW92" i="13"/>
  <c r="BA92" i="13" s="1"/>
  <c r="AV92" i="13"/>
  <c r="BV92" i="13" s="1"/>
  <c r="AW91" i="13"/>
  <c r="BA91" i="13" s="1"/>
  <c r="AV91" i="13"/>
  <c r="BV91" i="13" s="1"/>
  <c r="AW90" i="13"/>
  <c r="BA90" i="13" s="1"/>
  <c r="AV90" i="13"/>
  <c r="BV90" i="13" s="1"/>
  <c r="AW89" i="13"/>
  <c r="BA89" i="13" s="1"/>
  <c r="AV89" i="13"/>
  <c r="BV89" i="13" s="1"/>
  <c r="AW88" i="13"/>
  <c r="BA88" i="13" s="1"/>
  <c r="AV88" i="13"/>
  <c r="BV88" i="13" s="1"/>
  <c r="AW87" i="13"/>
  <c r="BA87" i="13" s="1"/>
  <c r="AV87" i="13"/>
  <c r="BV87" i="13" s="1"/>
  <c r="AW86" i="13"/>
  <c r="BA86" i="13" s="1"/>
  <c r="AV86" i="13"/>
  <c r="BV86" i="13" s="1"/>
  <c r="AW85" i="13"/>
  <c r="BA85" i="13" s="1"/>
  <c r="AV85" i="13"/>
  <c r="BV85" i="13" s="1"/>
  <c r="AW84" i="13"/>
  <c r="BA84" i="13" s="1"/>
  <c r="AV84" i="13"/>
  <c r="BV84" i="13" s="1"/>
  <c r="AW83" i="13"/>
  <c r="BA83" i="13" s="1"/>
  <c r="AV83" i="13"/>
  <c r="BV83" i="13" s="1"/>
  <c r="AW82" i="13"/>
  <c r="BA82" i="13" s="1"/>
  <c r="AV82" i="13"/>
  <c r="BV82" i="13" s="1"/>
  <c r="AW81" i="13"/>
  <c r="BA81" i="13" s="1"/>
  <c r="AV81" i="13"/>
  <c r="BV81" i="13" s="1"/>
  <c r="AW80" i="13"/>
  <c r="BA80" i="13" s="1"/>
  <c r="AV80" i="13"/>
  <c r="BV80" i="13" s="1"/>
  <c r="AW79" i="13"/>
  <c r="BA79" i="13" s="1"/>
  <c r="AV79" i="13"/>
  <c r="BV79" i="13" s="1"/>
  <c r="AW78" i="13"/>
  <c r="BA78" i="13" s="1"/>
  <c r="AV78" i="13"/>
  <c r="BV78" i="13" s="1"/>
  <c r="AW77" i="13"/>
  <c r="BA77" i="13" s="1"/>
  <c r="AV77" i="13"/>
  <c r="BV77" i="13" s="1"/>
  <c r="AW76" i="13"/>
  <c r="BA76" i="13" s="1"/>
  <c r="AV76" i="13"/>
  <c r="BV76" i="13" s="1"/>
  <c r="AW75" i="13"/>
  <c r="BA75" i="13" s="1"/>
  <c r="AV75" i="13"/>
  <c r="BV75" i="13" s="1"/>
  <c r="AW74" i="13"/>
  <c r="BA74" i="13" s="1"/>
  <c r="AV74" i="13"/>
  <c r="BV74" i="13" s="1"/>
  <c r="AW73" i="13"/>
  <c r="BA73" i="13" s="1"/>
  <c r="AV73" i="13"/>
  <c r="BV73" i="13" s="1"/>
  <c r="AW72" i="13"/>
  <c r="BA72" i="13" s="1"/>
  <c r="AV72" i="13"/>
  <c r="BV72" i="13" s="1"/>
  <c r="AW71" i="13"/>
  <c r="BA71" i="13" s="1"/>
  <c r="AV71" i="13"/>
  <c r="BV71" i="13" s="1"/>
  <c r="AW70" i="13"/>
  <c r="BA70" i="13" s="1"/>
  <c r="AV70" i="13"/>
  <c r="BV70" i="13" s="1"/>
  <c r="AW69" i="13"/>
  <c r="BA69" i="13" s="1"/>
  <c r="AV69" i="13"/>
  <c r="BV69" i="13" s="1"/>
  <c r="AW68" i="13"/>
  <c r="BA68" i="13" s="1"/>
  <c r="AV68" i="13"/>
  <c r="BV68" i="13" s="1"/>
  <c r="AW67" i="13"/>
  <c r="BA67" i="13" s="1"/>
  <c r="AV67" i="13"/>
  <c r="BV67" i="13" s="1"/>
  <c r="AW66" i="13"/>
  <c r="BA66" i="13" s="1"/>
  <c r="AV66" i="13"/>
  <c r="BV66" i="13" s="1"/>
  <c r="AW65" i="13"/>
  <c r="BA65" i="13" s="1"/>
  <c r="AV65" i="13"/>
  <c r="BV65" i="13" s="1"/>
  <c r="AW64" i="13"/>
  <c r="BA64" i="13" s="1"/>
  <c r="AV64" i="13"/>
  <c r="BV64" i="13" s="1"/>
  <c r="AW63" i="13"/>
  <c r="BA63" i="13" s="1"/>
  <c r="AV63" i="13"/>
  <c r="BV63" i="13" s="1"/>
  <c r="AW62" i="13"/>
  <c r="BA62" i="13" s="1"/>
  <c r="AV62" i="13"/>
  <c r="BV62" i="13" s="1"/>
  <c r="AW61" i="13"/>
  <c r="BA61" i="13" s="1"/>
  <c r="AV61" i="13"/>
  <c r="BV61" i="13" s="1"/>
  <c r="AW60" i="13"/>
  <c r="BA60" i="13" s="1"/>
  <c r="AV60" i="13"/>
  <c r="BV60" i="13" s="1"/>
  <c r="AW59" i="13"/>
  <c r="BA59" i="13" s="1"/>
  <c r="AV59" i="13"/>
  <c r="BV59" i="13" s="1"/>
  <c r="AW58" i="13"/>
  <c r="BA58" i="13" s="1"/>
  <c r="AV58" i="13"/>
  <c r="BV58" i="13" s="1"/>
  <c r="AW57" i="13"/>
  <c r="BA57" i="13" s="1"/>
  <c r="AV57" i="13"/>
  <c r="BV57" i="13" s="1"/>
  <c r="AW56" i="13"/>
  <c r="BA56" i="13" s="1"/>
  <c r="AV56" i="13"/>
  <c r="BV56" i="13" s="1"/>
  <c r="AW55" i="13"/>
  <c r="BA55" i="13" s="1"/>
  <c r="AV55" i="13"/>
  <c r="BV55" i="13" s="1"/>
  <c r="AW54" i="13"/>
  <c r="BA54" i="13" s="1"/>
  <c r="AV54" i="13"/>
  <c r="BV54" i="13" s="1"/>
  <c r="AW53" i="13"/>
  <c r="BA53" i="13" s="1"/>
  <c r="AV53" i="13"/>
  <c r="BV53" i="13" s="1"/>
  <c r="AW52" i="13"/>
  <c r="BA52" i="13" s="1"/>
  <c r="AV52" i="13"/>
  <c r="BV52" i="13" s="1"/>
  <c r="AW51" i="13"/>
  <c r="BA51" i="13" s="1"/>
  <c r="AV51" i="13"/>
  <c r="BV51" i="13" s="1"/>
  <c r="AW50" i="13"/>
  <c r="BA50" i="13" s="1"/>
  <c r="AV50" i="13"/>
  <c r="BV50" i="13" s="1"/>
  <c r="AW49" i="13"/>
  <c r="BA49" i="13" s="1"/>
  <c r="AV49" i="13"/>
  <c r="BV49" i="13" s="1"/>
  <c r="AW48" i="13"/>
  <c r="BA48" i="13" s="1"/>
  <c r="AV48" i="13"/>
  <c r="BV48" i="13" s="1"/>
  <c r="AW47" i="13"/>
  <c r="BA47" i="13" s="1"/>
  <c r="AV47" i="13"/>
  <c r="BV47" i="13" s="1"/>
  <c r="AW46" i="13"/>
  <c r="BA46" i="13" s="1"/>
  <c r="AV46" i="13"/>
  <c r="BV46" i="13" s="1"/>
  <c r="AW45" i="13"/>
  <c r="BA45" i="13" s="1"/>
  <c r="AV45" i="13"/>
  <c r="BV45" i="13" s="1"/>
  <c r="AW44" i="13"/>
  <c r="BA44" i="13" s="1"/>
  <c r="AV44" i="13"/>
  <c r="BV44" i="13" s="1"/>
  <c r="AW43" i="13"/>
  <c r="BA43" i="13" s="1"/>
  <c r="AV43" i="13"/>
  <c r="BV43" i="13" s="1"/>
  <c r="AW42" i="13"/>
  <c r="BA42" i="13" s="1"/>
  <c r="AV42" i="13"/>
  <c r="BV42" i="13" s="1"/>
  <c r="AW41" i="13"/>
  <c r="BA41" i="13" s="1"/>
  <c r="AV41" i="13"/>
  <c r="BV41" i="13" s="1"/>
  <c r="AW40" i="13"/>
  <c r="BA40" i="13" s="1"/>
  <c r="AV40" i="13"/>
  <c r="BV40" i="13" s="1"/>
  <c r="AW39" i="13"/>
  <c r="BA39" i="13" s="1"/>
  <c r="AV39" i="13"/>
  <c r="BV39" i="13" s="1"/>
  <c r="AW38" i="13"/>
  <c r="BA38" i="13" s="1"/>
  <c r="AV38" i="13"/>
  <c r="BV38" i="13" s="1"/>
  <c r="AW37" i="13"/>
  <c r="BA37" i="13" s="1"/>
  <c r="AV37" i="13"/>
  <c r="BV37" i="13" s="1"/>
  <c r="AW36" i="13"/>
  <c r="BA36" i="13" s="1"/>
  <c r="AV36" i="13"/>
  <c r="BV36" i="13" s="1"/>
  <c r="AW35" i="13"/>
  <c r="BA35" i="13" s="1"/>
  <c r="AV35" i="13"/>
  <c r="BV35" i="13" s="1"/>
  <c r="AW34" i="13"/>
  <c r="BA34" i="13" s="1"/>
  <c r="AV34" i="13"/>
  <c r="BV34" i="13" s="1"/>
  <c r="AW33" i="13"/>
  <c r="BA33" i="13" s="1"/>
  <c r="AV33" i="13"/>
  <c r="BV33" i="13" s="1"/>
  <c r="AW32" i="13"/>
  <c r="BA32" i="13" s="1"/>
  <c r="AV32" i="13"/>
  <c r="BV32" i="13" s="1"/>
  <c r="AW31" i="13"/>
  <c r="BA31" i="13" s="1"/>
  <c r="AV31" i="13"/>
  <c r="BV31" i="13" s="1"/>
  <c r="AW30" i="13"/>
  <c r="BA30" i="13" s="1"/>
  <c r="AV30" i="13"/>
  <c r="BV30" i="13" s="1"/>
  <c r="AW29" i="13"/>
  <c r="BA29" i="13" s="1"/>
  <c r="AV29" i="13"/>
  <c r="BV29" i="13" s="1"/>
  <c r="AW28" i="13"/>
  <c r="BA28" i="13" s="1"/>
  <c r="AV28" i="13"/>
  <c r="BV28" i="13" s="1"/>
  <c r="AW27" i="13"/>
  <c r="BA27" i="13" s="1"/>
  <c r="AV27" i="13"/>
  <c r="BV27" i="13" s="1"/>
  <c r="AW26" i="13"/>
  <c r="BA26" i="13" s="1"/>
  <c r="AV26" i="13"/>
  <c r="BV26" i="13" s="1"/>
  <c r="AW25" i="13"/>
  <c r="BA25" i="13" s="1"/>
  <c r="AV25" i="13"/>
  <c r="BV25" i="13" s="1"/>
  <c r="AW24" i="13"/>
  <c r="BA24" i="13" s="1"/>
  <c r="AV24" i="13"/>
  <c r="BV24" i="13" s="1"/>
  <c r="AW23" i="13"/>
  <c r="BA23" i="13" s="1"/>
  <c r="AV23" i="13"/>
  <c r="BV23" i="13" s="1"/>
  <c r="AW22" i="13"/>
  <c r="BA22" i="13" s="1"/>
  <c r="AV22" i="13"/>
  <c r="BV22" i="13" s="1"/>
  <c r="AW21" i="13"/>
  <c r="BA21" i="13" s="1"/>
  <c r="AV21" i="13"/>
  <c r="BV21" i="13" s="1"/>
  <c r="AW20" i="13"/>
  <c r="BA20" i="13" s="1"/>
  <c r="AV20" i="13"/>
  <c r="BV20" i="13" s="1"/>
  <c r="AW19" i="13"/>
  <c r="BA19" i="13" s="1"/>
  <c r="AV19" i="13"/>
  <c r="BV19" i="13" s="1"/>
  <c r="AW18" i="13"/>
  <c r="BA18" i="13" s="1"/>
  <c r="AV18" i="13"/>
  <c r="BV18" i="13" s="1"/>
  <c r="AW17" i="13"/>
  <c r="BA17" i="13" s="1"/>
  <c r="AV17" i="13"/>
  <c r="BV17" i="13" s="1"/>
  <c r="AW16" i="13"/>
  <c r="BA16" i="13" s="1"/>
  <c r="AV16" i="13"/>
  <c r="BV16" i="13" s="1"/>
  <c r="AW15" i="13"/>
  <c r="BA15" i="13" s="1"/>
  <c r="AV15" i="13"/>
  <c r="BV15" i="13" s="1"/>
  <c r="AW14" i="13"/>
  <c r="BA14" i="13" s="1"/>
  <c r="AV14" i="13"/>
  <c r="BV14" i="13" s="1"/>
  <c r="D14" i="13"/>
  <c r="AW13" i="13"/>
  <c r="BA13" i="13" s="1"/>
  <c r="AV13" i="13"/>
  <c r="BV13" i="13" s="1"/>
  <c r="D13" i="13"/>
  <c r="AW12" i="13"/>
  <c r="BA12" i="13" s="1"/>
  <c r="AV12" i="13"/>
  <c r="BV12" i="13" s="1"/>
  <c r="D12" i="13"/>
  <c r="AW11" i="13"/>
  <c r="BA11" i="13" s="1"/>
  <c r="AV11" i="13"/>
  <c r="BV11" i="13" s="1"/>
  <c r="D11" i="13"/>
  <c r="AW10" i="13"/>
  <c r="BA10" i="13" s="1"/>
  <c r="AV10" i="13"/>
  <c r="BV10" i="13" s="1"/>
  <c r="D10" i="13"/>
  <c r="AW9" i="13"/>
  <c r="BA9" i="13" s="1"/>
  <c r="AV9" i="13"/>
  <c r="BV9" i="13" s="1"/>
  <c r="AW8" i="13"/>
  <c r="BA8" i="13" s="1"/>
  <c r="AV8" i="13"/>
  <c r="BV8" i="13" s="1"/>
  <c r="AW7" i="13"/>
  <c r="BA7" i="13" s="1"/>
  <c r="AV7" i="13"/>
  <c r="BV7" i="13" s="1"/>
  <c r="AO7" i="13"/>
  <c r="AN7" i="13"/>
  <c r="D7" i="13"/>
  <c r="ED3" i="13"/>
  <c r="EC3" i="13"/>
  <c r="X416" i="3"/>
  <c r="Q415" i="3"/>
  <c r="Q416" i="3"/>
  <c r="Q417" i="3"/>
  <c r="Q418" i="3"/>
  <c r="Q419" i="3"/>
  <c r="Q420" i="3"/>
  <c r="Q421" i="3"/>
  <c r="Q414" i="3"/>
  <c r="P415" i="3"/>
  <c r="P416" i="3"/>
  <c r="P417" i="3"/>
  <c r="P418" i="3"/>
  <c r="P419" i="3"/>
  <c r="P420" i="3"/>
  <c r="P421" i="3"/>
  <c r="P422" i="3"/>
  <c r="Q422" i="3" s="1"/>
  <c r="P423" i="3"/>
  <c r="Q423" i="3" s="1"/>
  <c r="P424" i="3"/>
  <c r="Q424" i="3" s="1"/>
  <c r="P425" i="3"/>
  <c r="Q425" i="3" s="1"/>
  <c r="P426" i="3"/>
  <c r="Q426" i="3" s="1"/>
  <c r="P427" i="3"/>
  <c r="Q427" i="3" s="1"/>
  <c r="P428" i="3"/>
  <c r="Q428" i="3" s="1"/>
  <c r="P429" i="3"/>
  <c r="Q429" i="3" s="1"/>
  <c r="P430" i="3"/>
  <c r="Q430" i="3" s="1"/>
  <c r="P431" i="3"/>
  <c r="Q431" i="3" s="1"/>
  <c r="P432" i="3"/>
  <c r="Q432" i="3" s="1"/>
  <c r="P433" i="3"/>
  <c r="Q433" i="3" s="1"/>
  <c r="P434" i="3"/>
  <c r="Q434" i="3" s="1"/>
  <c r="P435" i="3"/>
  <c r="Q435" i="3" s="1"/>
  <c r="P436" i="3"/>
  <c r="Q436" i="3" s="1"/>
  <c r="P437" i="3"/>
  <c r="Q437" i="3" s="1"/>
  <c r="P438" i="3"/>
  <c r="Q438" i="3" s="1"/>
  <c r="P439" i="3"/>
  <c r="Q439" i="3" s="1"/>
  <c r="P440" i="3"/>
  <c r="Q440" i="3" s="1"/>
  <c r="P441" i="3"/>
  <c r="Q441" i="3" s="1"/>
  <c r="P442" i="3"/>
  <c r="Q442" i="3" s="1"/>
  <c r="P443" i="3"/>
  <c r="Q443" i="3" s="1"/>
  <c r="P444" i="3"/>
  <c r="Q444" i="3" s="1"/>
  <c r="P445" i="3"/>
  <c r="Q445" i="3" s="1"/>
  <c r="P446" i="3"/>
  <c r="Q446" i="3" s="1"/>
  <c r="P447" i="3"/>
  <c r="Q447" i="3" s="1"/>
  <c r="P448" i="3"/>
  <c r="Q448" i="3" s="1"/>
  <c r="P449" i="3"/>
  <c r="Q449" i="3" s="1"/>
  <c r="P450" i="3"/>
  <c r="Q450" i="3" s="1"/>
  <c r="P451" i="3"/>
  <c r="Q451" i="3" s="1"/>
  <c r="P452" i="3"/>
  <c r="Q452" i="3" s="1"/>
  <c r="P453" i="3"/>
  <c r="Q453" i="3" s="1"/>
  <c r="P454" i="3"/>
  <c r="Q454" i="3" s="1"/>
  <c r="P455" i="3"/>
  <c r="Q455" i="3" s="1"/>
  <c r="P456" i="3"/>
  <c r="Q456" i="3" s="1"/>
  <c r="P457" i="3"/>
  <c r="Q457" i="3" s="1"/>
  <c r="P458" i="3"/>
  <c r="Q458" i="3" s="1"/>
  <c r="P459" i="3"/>
  <c r="Q459" i="3" s="1"/>
  <c r="P460" i="3"/>
  <c r="Q460" i="3" s="1"/>
  <c r="P461" i="3"/>
  <c r="Q461" i="3" s="1"/>
  <c r="P462" i="3"/>
  <c r="Q462" i="3" s="1"/>
  <c r="P463" i="3"/>
  <c r="Q463" i="3" s="1"/>
  <c r="P464" i="3"/>
  <c r="Q464" i="3" s="1"/>
  <c r="P465" i="3"/>
  <c r="Q465" i="3" s="1"/>
  <c r="P466" i="3"/>
  <c r="Q466" i="3" s="1"/>
  <c r="P467" i="3"/>
  <c r="Q467" i="3" s="1"/>
  <c r="P468" i="3"/>
  <c r="Q468" i="3" s="1"/>
  <c r="P469" i="3"/>
  <c r="Q469" i="3" s="1"/>
  <c r="P470" i="3"/>
  <c r="Q470" i="3" s="1"/>
  <c r="P471" i="3"/>
  <c r="Q471" i="3" s="1"/>
  <c r="P472" i="3"/>
  <c r="Q472" i="3" s="1"/>
  <c r="P473" i="3"/>
  <c r="Q473" i="3" s="1"/>
  <c r="P474" i="3"/>
  <c r="Q474" i="3" s="1"/>
  <c r="P475" i="3"/>
  <c r="Q475" i="3" s="1"/>
  <c r="P476" i="3"/>
  <c r="Q476" i="3" s="1"/>
  <c r="P477" i="3"/>
  <c r="Q477" i="3" s="1"/>
  <c r="P478" i="3"/>
  <c r="Q478" i="3" s="1"/>
  <c r="P479" i="3"/>
  <c r="Q479" i="3" s="1"/>
  <c r="P480" i="3"/>
  <c r="Q480" i="3" s="1"/>
  <c r="P481" i="3"/>
  <c r="Q481" i="3" s="1"/>
  <c r="P482" i="3"/>
  <c r="Q482" i="3" s="1"/>
  <c r="P483" i="3"/>
  <c r="Q483" i="3" s="1"/>
  <c r="P484" i="3"/>
  <c r="Q484" i="3" s="1"/>
  <c r="P485" i="3"/>
  <c r="Q485" i="3" s="1"/>
  <c r="P486" i="3"/>
  <c r="Q486" i="3" s="1"/>
  <c r="P487" i="3"/>
  <c r="Q487" i="3" s="1"/>
  <c r="P488" i="3"/>
  <c r="Q488" i="3" s="1"/>
  <c r="P489" i="3"/>
  <c r="Q489" i="3" s="1"/>
  <c r="P490" i="3"/>
  <c r="Q490" i="3" s="1"/>
  <c r="P491" i="3"/>
  <c r="Q491" i="3" s="1"/>
  <c r="P492" i="3"/>
  <c r="Q492" i="3" s="1"/>
  <c r="P493" i="3"/>
  <c r="Q493" i="3" s="1"/>
  <c r="P494" i="3"/>
  <c r="Q494" i="3" s="1"/>
  <c r="P495" i="3"/>
  <c r="Q495" i="3" s="1"/>
  <c r="P496" i="3"/>
  <c r="Q496" i="3" s="1"/>
  <c r="P497" i="3"/>
  <c r="Q497" i="3" s="1"/>
  <c r="P498" i="3"/>
  <c r="Q498" i="3" s="1"/>
  <c r="P499" i="3"/>
  <c r="Q499" i="3" s="1"/>
  <c r="P500" i="3"/>
  <c r="Q500" i="3" s="1"/>
  <c r="P501" i="3"/>
  <c r="Q501" i="3" s="1"/>
  <c r="P502" i="3"/>
  <c r="Q502" i="3" s="1"/>
  <c r="P503" i="3"/>
  <c r="Q503" i="3" s="1"/>
  <c r="P504" i="3"/>
  <c r="Q504" i="3" s="1"/>
  <c r="P505" i="3"/>
  <c r="Q505" i="3" s="1"/>
  <c r="P506" i="3"/>
  <c r="Q506" i="3" s="1"/>
  <c r="P507" i="3"/>
  <c r="Q507" i="3" s="1"/>
  <c r="P508" i="3"/>
  <c r="Q508" i="3" s="1"/>
  <c r="P509" i="3"/>
  <c r="Q509" i="3" s="1"/>
  <c r="P510" i="3"/>
  <c r="Q510" i="3" s="1"/>
  <c r="P511" i="3"/>
  <c r="Q511" i="3" s="1"/>
  <c r="P512" i="3"/>
  <c r="Q512" i="3" s="1"/>
  <c r="P513" i="3"/>
  <c r="Q513" i="3" s="1"/>
  <c r="P514" i="3"/>
  <c r="Q514" i="3" s="1"/>
  <c r="P515" i="3"/>
  <c r="Q515" i="3" s="1"/>
  <c r="P516" i="3"/>
  <c r="Q516" i="3" s="1"/>
  <c r="P517" i="3"/>
  <c r="Q517" i="3" s="1"/>
  <c r="P518" i="3"/>
  <c r="Q518" i="3" s="1"/>
  <c r="P519" i="3"/>
  <c r="Q519" i="3" s="1"/>
  <c r="P520" i="3"/>
  <c r="Q520" i="3" s="1"/>
  <c r="P521" i="3"/>
  <c r="Q521" i="3" s="1"/>
  <c r="P522" i="3"/>
  <c r="Q522" i="3" s="1"/>
  <c r="P523" i="3"/>
  <c r="Q523" i="3" s="1"/>
  <c r="P524" i="3"/>
  <c r="Q524" i="3" s="1"/>
  <c r="P525" i="3"/>
  <c r="Q525" i="3" s="1"/>
  <c r="P526" i="3"/>
  <c r="Q526" i="3" s="1"/>
  <c r="P527" i="3"/>
  <c r="Q527" i="3" s="1"/>
  <c r="P528" i="3"/>
  <c r="Q528" i="3" s="1"/>
  <c r="P529" i="3"/>
  <c r="Q529" i="3" s="1"/>
  <c r="P530" i="3"/>
  <c r="Q530" i="3" s="1"/>
  <c r="P531" i="3"/>
  <c r="Q531" i="3" s="1"/>
  <c r="P532" i="3"/>
  <c r="Q532" i="3" s="1"/>
  <c r="P533" i="3"/>
  <c r="Q533" i="3" s="1"/>
  <c r="P534" i="3"/>
  <c r="Q534" i="3" s="1"/>
  <c r="P535" i="3"/>
  <c r="Q535" i="3" s="1"/>
  <c r="P536" i="3"/>
  <c r="Q536" i="3" s="1"/>
  <c r="P537" i="3"/>
  <c r="Q537" i="3" s="1"/>
  <c r="P538" i="3"/>
  <c r="Q538" i="3" s="1"/>
  <c r="P539" i="3"/>
  <c r="Q539" i="3" s="1"/>
  <c r="P540" i="3"/>
  <c r="Q540" i="3" s="1"/>
  <c r="P541" i="3"/>
  <c r="Q541" i="3" s="1"/>
  <c r="P542" i="3"/>
  <c r="Q542" i="3" s="1"/>
  <c r="P543" i="3"/>
  <c r="Q543" i="3" s="1"/>
  <c r="P544" i="3"/>
  <c r="Q544" i="3" s="1"/>
  <c r="P545" i="3"/>
  <c r="Q545" i="3" s="1"/>
  <c r="P546" i="3"/>
  <c r="Q546" i="3" s="1"/>
  <c r="P547" i="3"/>
  <c r="Q547" i="3" s="1"/>
  <c r="P548" i="3"/>
  <c r="Q548" i="3" s="1"/>
  <c r="P549" i="3"/>
  <c r="Q549" i="3" s="1"/>
  <c r="P550" i="3"/>
  <c r="Q550" i="3" s="1"/>
  <c r="P551" i="3"/>
  <c r="Q551" i="3" s="1"/>
  <c r="P552" i="3"/>
  <c r="Q552" i="3" s="1"/>
  <c r="P553" i="3"/>
  <c r="Q553" i="3" s="1"/>
  <c r="P554" i="3"/>
  <c r="Q554" i="3" s="1"/>
  <c r="P555" i="3"/>
  <c r="Q555" i="3" s="1"/>
  <c r="P556" i="3"/>
  <c r="Q556" i="3" s="1"/>
  <c r="P557" i="3"/>
  <c r="Q557" i="3" s="1"/>
  <c r="P558" i="3"/>
  <c r="Q558" i="3" s="1"/>
  <c r="P559" i="3"/>
  <c r="Q559" i="3" s="1"/>
  <c r="P560" i="3"/>
  <c r="Q560" i="3" s="1"/>
  <c r="P561" i="3"/>
  <c r="Q561" i="3" s="1"/>
  <c r="P562" i="3"/>
  <c r="Q562" i="3" s="1"/>
  <c r="P563" i="3"/>
  <c r="Q563" i="3" s="1"/>
  <c r="P564" i="3"/>
  <c r="Q564" i="3" s="1"/>
  <c r="P565" i="3"/>
  <c r="Q565" i="3" s="1"/>
  <c r="P566" i="3"/>
  <c r="Q566" i="3" s="1"/>
  <c r="P567" i="3"/>
  <c r="Q567" i="3" s="1"/>
  <c r="P568" i="3"/>
  <c r="Q568" i="3" s="1"/>
  <c r="P569" i="3"/>
  <c r="Q569" i="3" s="1"/>
  <c r="P570" i="3"/>
  <c r="Q570" i="3" s="1"/>
  <c r="P571" i="3"/>
  <c r="Q571" i="3" s="1"/>
  <c r="P572" i="3"/>
  <c r="Q572" i="3" s="1"/>
  <c r="P573" i="3"/>
  <c r="Q573" i="3" s="1"/>
  <c r="P574" i="3"/>
  <c r="Q574" i="3" s="1"/>
  <c r="P575" i="3"/>
  <c r="Q575" i="3" s="1"/>
  <c r="P576" i="3"/>
  <c r="Q576" i="3" s="1"/>
  <c r="P577" i="3"/>
  <c r="Q577" i="3" s="1"/>
  <c r="P578" i="3"/>
  <c r="Q578" i="3" s="1"/>
  <c r="P579" i="3"/>
  <c r="Q579" i="3" s="1"/>
  <c r="P580" i="3"/>
  <c r="Q580" i="3" s="1"/>
  <c r="P581" i="3"/>
  <c r="Q581" i="3" s="1"/>
  <c r="P582" i="3"/>
  <c r="Q582" i="3" s="1"/>
  <c r="P583" i="3"/>
  <c r="Q583" i="3" s="1"/>
  <c r="P584" i="3"/>
  <c r="Q584" i="3" s="1"/>
  <c r="P585" i="3"/>
  <c r="Q585" i="3" s="1"/>
  <c r="P586" i="3"/>
  <c r="Q586" i="3" s="1"/>
  <c r="P587" i="3"/>
  <c r="Q587" i="3" s="1"/>
  <c r="P588" i="3"/>
  <c r="Q588" i="3" s="1"/>
  <c r="P589" i="3"/>
  <c r="Q589" i="3" s="1"/>
  <c r="P590" i="3"/>
  <c r="Q590" i="3" s="1"/>
  <c r="P591" i="3"/>
  <c r="Q591" i="3" s="1"/>
  <c r="P592" i="3"/>
  <c r="Q592" i="3" s="1"/>
  <c r="P593" i="3"/>
  <c r="Q593" i="3" s="1"/>
  <c r="P594" i="3"/>
  <c r="Q594" i="3" s="1"/>
  <c r="P595" i="3"/>
  <c r="Q595" i="3" s="1"/>
  <c r="P596" i="3"/>
  <c r="Q596" i="3" s="1"/>
  <c r="P597" i="3"/>
  <c r="Q597" i="3" s="1"/>
  <c r="P598" i="3"/>
  <c r="Q598" i="3" s="1"/>
  <c r="P599" i="3"/>
  <c r="Q599" i="3" s="1"/>
  <c r="P600" i="3"/>
  <c r="Q600" i="3" s="1"/>
  <c r="P601" i="3"/>
  <c r="Q601" i="3" s="1"/>
  <c r="P602" i="3"/>
  <c r="Q602" i="3" s="1"/>
  <c r="P603" i="3"/>
  <c r="Q603" i="3" s="1"/>
  <c r="P604" i="3"/>
  <c r="Q604" i="3" s="1"/>
  <c r="P605" i="3"/>
  <c r="Q605" i="3" s="1"/>
  <c r="P606" i="3"/>
  <c r="Q606" i="3" s="1"/>
  <c r="P607" i="3"/>
  <c r="Q607" i="3" s="1"/>
  <c r="P608" i="3"/>
  <c r="Q608" i="3" s="1"/>
  <c r="P609" i="3"/>
  <c r="Q609" i="3" s="1"/>
  <c r="P610" i="3"/>
  <c r="Q610" i="3" s="1"/>
  <c r="P611" i="3"/>
  <c r="Q611" i="3" s="1"/>
  <c r="P612" i="3"/>
  <c r="Q612" i="3" s="1"/>
  <c r="P613" i="3"/>
  <c r="Q613" i="3" s="1"/>
  <c r="P414" i="3"/>
  <c r="O414" i="3"/>
  <c r="ED3" i="12"/>
  <c r="EC3" i="12"/>
  <c r="Q1023" i="6"/>
  <c r="P6" i="4"/>
  <c r="T7" i="4"/>
  <c r="O4" i="4"/>
  <c r="P4" i="4" s="1"/>
  <c r="O22" i="4"/>
  <c r="Q4" i="4"/>
  <c r="S8" i="3"/>
  <c r="R8" i="3"/>
  <c r="U9" i="3"/>
  <c r="U10" i="3"/>
  <c r="U11" i="3"/>
  <c r="U12" i="3"/>
  <c r="U13" i="3"/>
  <c r="U14" i="3"/>
  <c r="U15" i="3"/>
  <c r="U16" i="3"/>
  <c r="U17" i="3"/>
  <c r="U18" i="3"/>
  <c r="U19" i="3"/>
  <c r="U20" i="3"/>
  <c r="U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S26" i="3"/>
  <c r="S27" i="3"/>
  <c r="S28" i="3"/>
  <c r="S29" i="3"/>
  <c r="S30" i="3"/>
  <c r="S31" i="3"/>
  <c r="S32" i="3"/>
  <c r="S33" i="3"/>
  <c r="S34" i="3"/>
  <c r="R9" i="3"/>
  <c r="R10" i="3"/>
  <c r="R11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R28" i="3"/>
  <c r="R29" i="3"/>
  <c r="R30" i="3"/>
  <c r="R31" i="3"/>
  <c r="R32" i="3"/>
  <c r="R33" i="3"/>
  <c r="Q8" i="3"/>
  <c r="AV8" i="12"/>
  <c r="BV8" i="12" s="1"/>
  <c r="AW8" i="12"/>
  <c r="BA8" i="12" s="1"/>
  <c r="AV9" i="12"/>
  <c r="BV9" i="12" s="1"/>
  <c r="AW9" i="12"/>
  <c r="BA9" i="12" s="1"/>
  <c r="AV10" i="12"/>
  <c r="BV10" i="12" s="1"/>
  <c r="AW10" i="12"/>
  <c r="BA10" i="12" s="1"/>
  <c r="AV11" i="12"/>
  <c r="BV11" i="12" s="1"/>
  <c r="AW11" i="12"/>
  <c r="BA11" i="12" s="1"/>
  <c r="AV12" i="12"/>
  <c r="BV12" i="12" s="1"/>
  <c r="AW12" i="12"/>
  <c r="BA12" i="12" s="1"/>
  <c r="AV13" i="12"/>
  <c r="BV13" i="12" s="1"/>
  <c r="AW13" i="12"/>
  <c r="BA13" i="12" s="1"/>
  <c r="AV14" i="12"/>
  <c r="BV14" i="12" s="1"/>
  <c r="AW14" i="12"/>
  <c r="BA14" i="12" s="1"/>
  <c r="AV15" i="12"/>
  <c r="BV15" i="12" s="1"/>
  <c r="AW15" i="12"/>
  <c r="BA15" i="12" s="1"/>
  <c r="AV16" i="12"/>
  <c r="BV16" i="12" s="1"/>
  <c r="AW16" i="12"/>
  <c r="BA16" i="12" s="1"/>
  <c r="AV17" i="12"/>
  <c r="BV17" i="12" s="1"/>
  <c r="AW17" i="12"/>
  <c r="BA17" i="12" s="1"/>
  <c r="AV18" i="12"/>
  <c r="BV18" i="12" s="1"/>
  <c r="AW18" i="12"/>
  <c r="BA18" i="12" s="1"/>
  <c r="AV19" i="12"/>
  <c r="BV19" i="12" s="1"/>
  <c r="AW19" i="12"/>
  <c r="BA19" i="12" s="1"/>
  <c r="AV20" i="12"/>
  <c r="BV20" i="12" s="1"/>
  <c r="AW20" i="12"/>
  <c r="BA20" i="12" s="1"/>
  <c r="AV21" i="12"/>
  <c r="BV21" i="12" s="1"/>
  <c r="AW21" i="12"/>
  <c r="BA21" i="12" s="1"/>
  <c r="AV22" i="12"/>
  <c r="BV22" i="12" s="1"/>
  <c r="AW22" i="12"/>
  <c r="BA22" i="12" s="1"/>
  <c r="AV23" i="12"/>
  <c r="BV23" i="12" s="1"/>
  <c r="AW23" i="12"/>
  <c r="BA23" i="12" s="1"/>
  <c r="AV24" i="12"/>
  <c r="BV24" i="12" s="1"/>
  <c r="AW24" i="12"/>
  <c r="BA24" i="12" s="1"/>
  <c r="AV25" i="12"/>
  <c r="BV25" i="12" s="1"/>
  <c r="AW25" i="12"/>
  <c r="BA25" i="12" s="1"/>
  <c r="AV26" i="12"/>
  <c r="BV26" i="12" s="1"/>
  <c r="AW26" i="12"/>
  <c r="BA26" i="12" s="1"/>
  <c r="AV27" i="12"/>
  <c r="BV27" i="12" s="1"/>
  <c r="AW27" i="12"/>
  <c r="BA27" i="12" s="1"/>
  <c r="AV28" i="12"/>
  <c r="BV28" i="12" s="1"/>
  <c r="AW28" i="12"/>
  <c r="BA28" i="12" s="1"/>
  <c r="AV29" i="12"/>
  <c r="BV29" i="12" s="1"/>
  <c r="AW29" i="12"/>
  <c r="BA29" i="12" s="1"/>
  <c r="AV30" i="12"/>
  <c r="BV30" i="12" s="1"/>
  <c r="AW30" i="12"/>
  <c r="BA30" i="12" s="1"/>
  <c r="AV31" i="12"/>
  <c r="BV31" i="12" s="1"/>
  <c r="AW31" i="12"/>
  <c r="BA31" i="12" s="1"/>
  <c r="AV32" i="12"/>
  <c r="BV32" i="12" s="1"/>
  <c r="AW32" i="12"/>
  <c r="BA32" i="12" s="1"/>
  <c r="AV33" i="12"/>
  <c r="BV33" i="12" s="1"/>
  <c r="AW33" i="12"/>
  <c r="BA33" i="12" s="1"/>
  <c r="AV34" i="12"/>
  <c r="BV34" i="12" s="1"/>
  <c r="AW34" i="12"/>
  <c r="BA34" i="12" s="1"/>
  <c r="AV35" i="12"/>
  <c r="BV35" i="12" s="1"/>
  <c r="AW35" i="12"/>
  <c r="BA35" i="12" s="1"/>
  <c r="AV36" i="12"/>
  <c r="BV36" i="12" s="1"/>
  <c r="AW36" i="12"/>
  <c r="BA36" i="12" s="1"/>
  <c r="AV37" i="12"/>
  <c r="BV37" i="12" s="1"/>
  <c r="AW37" i="12"/>
  <c r="BA37" i="12" s="1"/>
  <c r="AV38" i="12"/>
  <c r="BV38" i="12" s="1"/>
  <c r="AW38" i="12"/>
  <c r="BA38" i="12" s="1"/>
  <c r="AV39" i="12"/>
  <c r="BV39" i="12" s="1"/>
  <c r="AW39" i="12"/>
  <c r="BA39" i="12" s="1"/>
  <c r="AV40" i="12"/>
  <c r="BV40" i="12" s="1"/>
  <c r="AW40" i="12"/>
  <c r="BA40" i="12" s="1"/>
  <c r="AV41" i="12"/>
  <c r="BV41" i="12" s="1"/>
  <c r="AW41" i="12"/>
  <c r="BA41" i="12" s="1"/>
  <c r="AV42" i="12"/>
  <c r="BV42" i="12" s="1"/>
  <c r="AW42" i="12"/>
  <c r="BA42" i="12" s="1"/>
  <c r="AV43" i="12"/>
  <c r="BV43" i="12" s="1"/>
  <c r="AW43" i="12"/>
  <c r="BA43" i="12" s="1"/>
  <c r="AV44" i="12"/>
  <c r="BV44" i="12" s="1"/>
  <c r="AW44" i="12"/>
  <c r="BA44" i="12" s="1"/>
  <c r="AV45" i="12"/>
  <c r="BV45" i="12" s="1"/>
  <c r="AW45" i="12"/>
  <c r="BA45" i="12" s="1"/>
  <c r="AV46" i="12"/>
  <c r="BV46" i="12" s="1"/>
  <c r="AW46" i="12"/>
  <c r="BA46" i="12" s="1"/>
  <c r="AV47" i="12"/>
  <c r="BV47" i="12" s="1"/>
  <c r="AW47" i="12"/>
  <c r="BA47" i="12" s="1"/>
  <c r="AV48" i="12"/>
  <c r="BV48" i="12" s="1"/>
  <c r="AW48" i="12"/>
  <c r="BA48" i="12" s="1"/>
  <c r="AV49" i="12"/>
  <c r="BV49" i="12" s="1"/>
  <c r="AW49" i="12"/>
  <c r="BA49" i="12" s="1"/>
  <c r="AV50" i="12"/>
  <c r="BV50" i="12" s="1"/>
  <c r="AW50" i="12"/>
  <c r="BA50" i="12" s="1"/>
  <c r="AV51" i="12"/>
  <c r="BV51" i="12" s="1"/>
  <c r="AW51" i="12"/>
  <c r="BA51" i="12" s="1"/>
  <c r="AV52" i="12"/>
  <c r="BV52" i="12" s="1"/>
  <c r="AW52" i="12"/>
  <c r="BA52" i="12" s="1"/>
  <c r="AV53" i="12"/>
  <c r="BV53" i="12" s="1"/>
  <c r="AW53" i="12"/>
  <c r="BA53" i="12" s="1"/>
  <c r="AV54" i="12"/>
  <c r="BV54" i="12" s="1"/>
  <c r="AW54" i="12"/>
  <c r="BA54" i="12" s="1"/>
  <c r="AV55" i="12"/>
  <c r="BV55" i="12" s="1"/>
  <c r="AW55" i="12"/>
  <c r="BA55" i="12" s="1"/>
  <c r="AV56" i="12"/>
  <c r="BV56" i="12" s="1"/>
  <c r="AW56" i="12"/>
  <c r="BA56" i="12" s="1"/>
  <c r="AV57" i="12"/>
  <c r="BV57" i="12" s="1"/>
  <c r="AW57" i="12"/>
  <c r="BA57" i="12" s="1"/>
  <c r="AV58" i="12"/>
  <c r="BV58" i="12" s="1"/>
  <c r="AW58" i="12"/>
  <c r="BA58" i="12" s="1"/>
  <c r="AV59" i="12"/>
  <c r="BV59" i="12" s="1"/>
  <c r="AW59" i="12"/>
  <c r="BA59" i="12" s="1"/>
  <c r="AV60" i="12"/>
  <c r="BV60" i="12" s="1"/>
  <c r="AW60" i="12"/>
  <c r="BA60" i="12" s="1"/>
  <c r="AV61" i="12"/>
  <c r="BV61" i="12" s="1"/>
  <c r="AW61" i="12"/>
  <c r="BA61" i="12" s="1"/>
  <c r="AV62" i="12"/>
  <c r="BV62" i="12" s="1"/>
  <c r="AW62" i="12"/>
  <c r="BA62" i="12" s="1"/>
  <c r="AV63" i="12"/>
  <c r="BV63" i="12" s="1"/>
  <c r="AW63" i="12"/>
  <c r="BA63" i="12" s="1"/>
  <c r="AV64" i="12"/>
  <c r="BV64" i="12" s="1"/>
  <c r="AW64" i="12"/>
  <c r="BA64" i="12" s="1"/>
  <c r="AV65" i="12"/>
  <c r="BV65" i="12" s="1"/>
  <c r="AW65" i="12"/>
  <c r="BA65" i="12" s="1"/>
  <c r="AV66" i="12"/>
  <c r="BV66" i="12" s="1"/>
  <c r="AW66" i="12"/>
  <c r="BA66" i="12" s="1"/>
  <c r="AV67" i="12"/>
  <c r="BV67" i="12" s="1"/>
  <c r="AW67" i="12"/>
  <c r="BA67" i="12" s="1"/>
  <c r="AV68" i="12"/>
  <c r="BV68" i="12" s="1"/>
  <c r="AW68" i="12"/>
  <c r="BA68" i="12" s="1"/>
  <c r="AV69" i="12"/>
  <c r="BV69" i="12" s="1"/>
  <c r="AW69" i="12"/>
  <c r="BA69" i="12" s="1"/>
  <c r="AV70" i="12"/>
  <c r="BV70" i="12" s="1"/>
  <c r="AW70" i="12"/>
  <c r="BA70" i="12" s="1"/>
  <c r="AV71" i="12"/>
  <c r="BV71" i="12" s="1"/>
  <c r="AW71" i="12"/>
  <c r="BA71" i="12" s="1"/>
  <c r="AV72" i="12"/>
  <c r="BV72" i="12" s="1"/>
  <c r="AW72" i="12"/>
  <c r="BA72" i="12" s="1"/>
  <c r="AV73" i="12"/>
  <c r="BV73" i="12" s="1"/>
  <c r="AW73" i="12"/>
  <c r="BA73" i="12" s="1"/>
  <c r="AV74" i="12"/>
  <c r="BV74" i="12" s="1"/>
  <c r="AW74" i="12"/>
  <c r="BA74" i="12" s="1"/>
  <c r="AV75" i="12"/>
  <c r="BV75" i="12" s="1"/>
  <c r="AW75" i="12"/>
  <c r="BA75" i="12" s="1"/>
  <c r="AV76" i="12"/>
  <c r="BV76" i="12" s="1"/>
  <c r="AW76" i="12"/>
  <c r="BA76" i="12" s="1"/>
  <c r="AV77" i="12"/>
  <c r="BV77" i="12" s="1"/>
  <c r="AW77" i="12"/>
  <c r="BA77" i="12" s="1"/>
  <c r="AV78" i="12"/>
  <c r="BV78" i="12" s="1"/>
  <c r="AW78" i="12"/>
  <c r="BA78" i="12" s="1"/>
  <c r="AV79" i="12"/>
  <c r="BV79" i="12" s="1"/>
  <c r="AW79" i="12"/>
  <c r="BA79" i="12" s="1"/>
  <c r="AV80" i="12"/>
  <c r="BV80" i="12" s="1"/>
  <c r="AW80" i="12"/>
  <c r="BA80" i="12" s="1"/>
  <c r="AV81" i="12"/>
  <c r="BV81" i="12" s="1"/>
  <c r="AW81" i="12"/>
  <c r="BA81" i="12" s="1"/>
  <c r="AV82" i="12"/>
  <c r="BV82" i="12" s="1"/>
  <c r="AW82" i="12"/>
  <c r="BA82" i="12" s="1"/>
  <c r="AV83" i="12"/>
  <c r="BV83" i="12" s="1"/>
  <c r="AW83" i="12"/>
  <c r="BA83" i="12" s="1"/>
  <c r="AV84" i="12"/>
  <c r="BV84" i="12" s="1"/>
  <c r="AW84" i="12"/>
  <c r="BA84" i="12" s="1"/>
  <c r="AV85" i="12"/>
  <c r="BV85" i="12" s="1"/>
  <c r="AW85" i="12"/>
  <c r="BA85" i="12" s="1"/>
  <c r="AV86" i="12"/>
  <c r="BV86" i="12" s="1"/>
  <c r="AW86" i="12"/>
  <c r="BA86" i="12" s="1"/>
  <c r="AV87" i="12"/>
  <c r="BV87" i="12" s="1"/>
  <c r="AW87" i="12"/>
  <c r="BA87" i="12" s="1"/>
  <c r="AV88" i="12"/>
  <c r="BV88" i="12" s="1"/>
  <c r="AW88" i="12"/>
  <c r="BA88" i="12" s="1"/>
  <c r="AV89" i="12"/>
  <c r="BV89" i="12" s="1"/>
  <c r="AW89" i="12"/>
  <c r="BA89" i="12" s="1"/>
  <c r="AV90" i="12"/>
  <c r="BV90" i="12" s="1"/>
  <c r="AW90" i="12"/>
  <c r="BA90" i="12" s="1"/>
  <c r="AV91" i="12"/>
  <c r="BV91" i="12" s="1"/>
  <c r="AW91" i="12"/>
  <c r="BA91" i="12" s="1"/>
  <c r="AV92" i="12"/>
  <c r="BV92" i="12" s="1"/>
  <c r="AW92" i="12"/>
  <c r="BA92" i="12" s="1"/>
  <c r="AV93" i="12"/>
  <c r="BV93" i="12" s="1"/>
  <c r="AW93" i="12"/>
  <c r="BA93" i="12" s="1"/>
  <c r="AV94" i="12"/>
  <c r="BV94" i="12" s="1"/>
  <c r="AW94" i="12"/>
  <c r="BA94" i="12" s="1"/>
  <c r="AV95" i="12"/>
  <c r="BV95" i="12" s="1"/>
  <c r="AW95" i="12"/>
  <c r="BA95" i="12" s="1"/>
  <c r="AV96" i="12"/>
  <c r="BV96" i="12" s="1"/>
  <c r="AW96" i="12"/>
  <c r="BA96" i="12" s="1"/>
  <c r="AV97" i="12"/>
  <c r="BV97" i="12" s="1"/>
  <c r="AW97" i="12"/>
  <c r="BA97" i="12" s="1"/>
  <c r="AV98" i="12"/>
  <c r="BV98" i="12" s="1"/>
  <c r="AW98" i="12"/>
  <c r="BA98" i="12" s="1"/>
  <c r="AV99" i="12"/>
  <c r="BV99" i="12" s="1"/>
  <c r="AW99" i="12"/>
  <c r="BA99" i="12" s="1"/>
  <c r="AV100" i="12"/>
  <c r="BV100" i="12" s="1"/>
  <c r="AW100" i="12"/>
  <c r="BA100" i="12" s="1"/>
  <c r="AV101" i="12"/>
  <c r="BV101" i="12" s="1"/>
  <c r="AW101" i="12"/>
  <c r="BA101" i="12" s="1"/>
  <c r="AV102" i="12"/>
  <c r="BV102" i="12" s="1"/>
  <c r="AW102" i="12"/>
  <c r="BA102" i="12" s="1"/>
  <c r="AV103" i="12"/>
  <c r="BV103" i="12" s="1"/>
  <c r="AW103" i="12"/>
  <c r="BA103" i="12" s="1"/>
  <c r="AV104" i="12"/>
  <c r="BV104" i="12" s="1"/>
  <c r="AW104" i="12"/>
  <c r="BA104" i="12" s="1"/>
  <c r="AV105" i="12"/>
  <c r="BV105" i="12" s="1"/>
  <c r="AW105" i="12"/>
  <c r="BA105" i="12" s="1"/>
  <c r="AV106" i="12"/>
  <c r="BV106" i="12" s="1"/>
  <c r="AW106" i="12"/>
  <c r="BA106" i="12" s="1"/>
  <c r="AV107" i="12"/>
  <c r="BV107" i="12" s="1"/>
  <c r="AW107" i="12"/>
  <c r="BA107" i="12" s="1"/>
  <c r="AV108" i="12"/>
  <c r="BV108" i="12" s="1"/>
  <c r="AW108" i="12"/>
  <c r="BA108" i="12" s="1"/>
  <c r="AV109" i="12"/>
  <c r="BV109" i="12" s="1"/>
  <c r="AW109" i="12"/>
  <c r="BA109" i="12" s="1"/>
  <c r="AV110" i="12"/>
  <c r="BV110" i="12" s="1"/>
  <c r="AW110" i="12"/>
  <c r="BA110" i="12" s="1"/>
  <c r="AV111" i="12"/>
  <c r="BV111" i="12" s="1"/>
  <c r="AW111" i="12"/>
  <c r="BA111" i="12" s="1"/>
  <c r="AV112" i="12"/>
  <c r="BV112" i="12" s="1"/>
  <c r="AW112" i="12"/>
  <c r="BA112" i="12" s="1"/>
  <c r="AV113" i="12"/>
  <c r="BV113" i="12" s="1"/>
  <c r="AW113" i="12"/>
  <c r="BA113" i="12" s="1"/>
  <c r="AV114" i="12"/>
  <c r="BV114" i="12" s="1"/>
  <c r="AW114" i="12"/>
  <c r="BA114" i="12" s="1"/>
  <c r="AV115" i="12"/>
  <c r="BV115" i="12" s="1"/>
  <c r="AW115" i="12"/>
  <c r="BA115" i="12" s="1"/>
  <c r="AV116" i="12"/>
  <c r="BV116" i="12" s="1"/>
  <c r="AW116" i="12"/>
  <c r="BA116" i="12" s="1"/>
  <c r="AV117" i="12"/>
  <c r="BV117" i="12" s="1"/>
  <c r="AW117" i="12"/>
  <c r="BA117" i="12" s="1"/>
  <c r="AV118" i="12"/>
  <c r="BV118" i="12" s="1"/>
  <c r="AW118" i="12"/>
  <c r="BA118" i="12" s="1"/>
  <c r="AV119" i="12"/>
  <c r="BV119" i="12" s="1"/>
  <c r="AW119" i="12"/>
  <c r="BA119" i="12" s="1"/>
  <c r="AV120" i="12"/>
  <c r="BV120" i="12" s="1"/>
  <c r="AW120" i="12"/>
  <c r="BA120" i="12" s="1"/>
  <c r="AV121" i="12"/>
  <c r="BV121" i="12" s="1"/>
  <c r="AW121" i="12"/>
  <c r="BA121" i="12" s="1"/>
  <c r="AV122" i="12"/>
  <c r="BV122" i="12" s="1"/>
  <c r="AW122" i="12"/>
  <c r="BA122" i="12" s="1"/>
  <c r="AV123" i="12"/>
  <c r="BV123" i="12" s="1"/>
  <c r="AW123" i="12"/>
  <c r="BA123" i="12" s="1"/>
  <c r="AV124" i="12"/>
  <c r="BV124" i="12" s="1"/>
  <c r="AW124" i="12"/>
  <c r="BA124" i="12" s="1"/>
  <c r="AV125" i="12"/>
  <c r="BV125" i="12" s="1"/>
  <c r="AW125" i="12"/>
  <c r="BA125" i="12" s="1"/>
  <c r="AV126" i="12"/>
  <c r="BV126" i="12" s="1"/>
  <c r="AW126" i="12"/>
  <c r="BA126" i="12" s="1"/>
  <c r="AV127" i="12"/>
  <c r="BV127" i="12" s="1"/>
  <c r="AW127" i="12"/>
  <c r="BA127" i="12" s="1"/>
  <c r="AV128" i="12"/>
  <c r="BV128" i="12" s="1"/>
  <c r="AW128" i="12"/>
  <c r="BA128" i="12" s="1"/>
  <c r="AV129" i="12"/>
  <c r="BV129" i="12" s="1"/>
  <c r="AW129" i="12"/>
  <c r="BA129" i="12" s="1"/>
  <c r="AV130" i="12"/>
  <c r="BV130" i="12" s="1"/>
  <c r="AW130" i="12"/>
  <c r="BA130" i="12" s="1"/>
  <c r="AV131" i="12"/>
  <c r="BV131" i="12" s="1"/>
  <c r="AW131" i="12"/>
  <c r="BA131" i="12" s="1"/>
  <c r="AV132" i="12"/>
  <c r="BV132" i="12" s="1"/>
  <c r="AW132" i="12"/>
  <c r="BA132" i="12" s="1"/>
  <c r="AV133" i="12"/>
  <c r="BV133" i="12" s="1"/>
  <c r="AW133" i="12"/>
  <c r="BA133" i="12" s="1"/>
  <c r="AV134" i="12"/>
  <c r="BV134" i="12" s="1"/>
  <c r="AW134" i="12"/>
  <c r="BA134" i="12" s="1"/>
  <c r="AV135" i="12"/>
  <c r="BV135" i="12" s="1"/>
  <c r="AW135" i="12"/>
  <c r="BA135" i="12" s="1"/>
  <c r="AV136" i="12"/>
  <c r="BV136" i="12" s="1"/>
  <c r="AW136" i="12"/>
  <c r="BA136" i="12" s="1"/>
  <c r="AV137" i="12"/>
  <c r="BV137" i="12" s="1"/>
  <c r="AW137" i="12"/>
  <c r="BA137" i="12" s="1"/>
  <c r="AV138" i="12"/>
  <c r="BV138" i="12" s="1"/>
  <c r="AW138" i="12"/>
  <c r="BA138" i="12" s="1"/>
  <c r="AV139" i="12"/>
  <c r="BV139" i="12" s="1"/>
  <c r="AW139" i="12"/>
  <c r="BA139" i="12" s="1"/>
  <c r="AV140" i="12"/>
  <c r="BV140" i="12" s="1"/>
  <c r="AW140" i="12"/>
  <c r="BA140" i="12" s="1"/>
  <c r="AV141" i="12"/>
  <c r="BV141" i="12" s="1"/>
  <c r="AW141" i="12"/>
  <c r="BA141" i="12" s="1"/>
  <c r="AV142" i="12"/>
  <c r="BV142" i="12" s="1"/>
  <c r="AW142" i="12"/>
  <c r="BA142" i="12" s="1"/>
  <c r="AV143" i="12"/>
  <c r="BV143" i="12" s="1"/>
  <c r="AW143" i="12"/>
  <c r="BA143" i="12" s="1"/>
  <c r="AV144" i="12"/>
  <c r="BV144" i="12" s="1"/>
  <c r="AW144" i="12"/>
  <c r="BA144" i="12" s="1"/>
  <c r="AV145" i="12"/>
  <c r="BV145" i="12" s="1"/>
  <c r="AW145" i="12"/>
  <c r="BA145" i="12" s="1"/>
  <c r="AV146" i="12"/>
  <c r="BV146" i="12" s="1"/>
  <c r="AW146" i="12"/>
  <c r="BA146" i="12" s="1"/>
  <c r="AV147" i="12"/>
  <c r="BV147" i="12" s="1"/>
  <c r="AW147" i="12"/>
  <c r="BA147" i="12" s="1"/>
  <c r="AV148" i="12"/>
  <c r="BV148" i="12" s="1"/>
  <c r="AW148" i="12"/>
  <c r="BA148" i="12" s="1"/>
  <c r="AV149" i="12"/>
  <c r="BV149" i="12" s="1"/>
  <c r="AW149" i="12"/>
  <c r="BA149" i="12" s="1"/>
  <c r="AV150" i="12"/>
  <c r="BV150" i="12" s="1"/>
  <c r="AW150" i="12"/>
  <c r="BA150" i="12" s="1"/>
  <c r="AV151" i="12"/>
  <c r="BV151" i="12" s="1"/>
  <c r="AW151" i="12"/>
  <c r="BA151" i="12" s="1"/>
  <c r="AV152" i="12"/>
  <c r="BV152" i="12" s="1"/>
  <c r="AW152" i="12"/>
  <c r="BA152" i="12" s="1"/>
  <c r="AV153" i="12"/>
  <c r="BV153" i="12" s="1"/>
  <c r="AW153" i="12"/>
  <c r="BA153" i="12" s="1"/>
  <c r="AV154" i="12"/>
  <c r="BV154" i="12" s="1"/>
  <c r="AW154" i="12"/>
  <c r="BA154" i="12" s="1"/>
  <c r="AV155" i="12"/>
  <c r="BV155" i="12" s="1"/>
  <c r="AW155" i="12"/>
  <c r="BA155" i="12" s="1"/>
  <c r="AV156" i="12"/>
  <c r="BV156" i="12" s="1"/>
  <c r="AW156" i="12"/>
  <c r="BA156" i="12" s="1"/>
  <c r="AV157" i="12"/>
  <c r="BV157" i="12" s="1"/>
  <c r="AW157" i="12"/>
  <c r="BA157" i="12" s="1"/>
  <c r="AV158" i="12"/>
  <c r="BV158" i="12" s="1"/>
  <c r="AW158" i="12"/>
  <c r="BA158" i="12" s="1"/>
  <c r="AV159" i="12"/>
  <c r="BV159" i="12" s="1"/>
  <c r="AW159" i="12"/>
  <c r="BA159" i="12" s="1"/>
  <c r="AV160" i="12"/>
  <c r="BV160" i="12" s="1"/>
  <c r="AW160" i="12"/>
  <c r="BA160" i="12" s="1"/>
  <c r="AV161" i="12"/>
  <c r="BV161" i="12" s="1"/>
  <c r="AW161" i="12"/>
  <c r="BA161" i="12" s="1"/>
  <c r="AV162" i="12"/>
  <c r="BV162" i="12" s="1"/>
  <c r="AW162" i="12"/>
  <c r="BA162" i="12" s="1"/>
  <c r="AV163" i="12"/>
  <c r="BV163" i="12" s="1"/>
  <c r="AW163" i="12"/>
  <c r="BA163" i="12" s="1"/>
  <c r="AV164" i="12"/>
  <c r="BV164" i="12" s="1"/>
  <c r="AW164" i="12"/>
  <c r="BA164" i="12" s="1"/>
  <c r="AV165" i="12"/>
  <c r="BV165" i="12" s="1"/>
  <c r="AW165" i="12"/>
  <c r="BA165" i="12" s="1"/>
  <c r="AV166" i="12"/>
  <c r="BV166" i="12" s="1"/>
  <c r="AW166" i="12"/>
  <c r="BA166" i="12" s="1"/>
  <c r="AV167" i="12"/>
  <c r="BV167" i="12" s="1"/>
  <c r="AW167" i="12"/>
  <c r="BA167" i="12" s="1"/>
  <c r="AV168" i="12"/>
  <c r="BV168" i="12" s="1"/>
  <c r="AW168" i="12"/>
  <c r="BA168" i="12" s="1"/>
  <c r="AV169" i="12"/>
  <c r="BV169" i="12" s="1"/>
  <c r="AW169" i="12"/>
  <c r="BA169" i="12" s="1"/>
  <c r="AV170" i="12"/>
  <c r="BV170" i="12" s="1"/>
  <c r="AW170" i="12"/>
  <c r="BA170" i="12" s="1"/>
  <c r="AV171" i="12"/>
  <c r="BV171" i="12" s="1"/>
  <c r="AW171" i="12"/>
  <c r="BA171" i="12" s="1"/>
  <c r="AV172" i="12"/>
  <c r="BV172" i="12" s="1"/>
  <c r="AW172" i="12"/>
  <c r="BA172" i="12" s="1"/>
  <c r="AV173" i="12"/>
  <c r="BV173" i="12" s="1"/>
  <c r="AW173" i="12"/>
  <c r="BA173" i="12" s="1"/>
  <c r="AV174" i="12"/>
  <c r="BV174" i="12" s="1"/>
  <c r="AW174" i="12"/>
  <c r="BA174" i="12" s="1"/>
  <c r="AV175" i="12"/>
  <c r="BV175" i="12" s="1"/>
  <c r="AW175" i="12"/>
  <c r="BA175" i="12" s="1"/>
  <c r="AV176" i="12"/>
  <c r="BV176" i="12" s="1"/>
  <c r="AW176" i="12"/>
  <c r="BA176" i="12" s="1"/>
  <c r="AV177" i="12"/>
  <c r="BV177" i="12" s="1"/>
  <c r="AW177" i="12"/>
  <c r="BA177" i="12" s="1"/>
  <c r="AV178" i="12"/>
  <c r="BV178" i="12" s="1"/>
  <c r="AW178" i="12"/>
  <c r="BA178" i="12" s="1"/>
  <c r="AV179" i="12"/>
  <c r="BV179" i="12" s="1"/>
  <c r="AW179" i="12"/>
  <c r="BA179" i="12" s="1"/>
  <c r="AV180" i="12"/>
  <c r="BV180" i="12" s="1"/>
  <c r="AW180" i="12"/>
  <c r="BA180" i="12" s="1"/>
  <c r="AV181" i="12"/>
  <c r="BV181" i="12" s="1"/>
  <c r="AW181" i="12"/>
  <c r="BA181" i="12" s="1"/>
  <c r="AV182" i="12"/>
  <c r="BV182" i="12" s="1"/>
  <c r="AW182" i="12"/>
  <c r="BA182" i="12" s="1"/>
  <c r="AV183" i="12"/>
  <c r="BV183" i="12" s="1"/>
  <c r="AW183" i="12"/>
  <c r="BA183" i="12" s="1"/>
  <c r="AV184" i="12"/>
  <c r="BV184" i="12" s="1"/>
  <c r="AW184" i="12"/>
  <c r="BA184" i="12" s="1"/>
  <c r="AV185" i="12"/>
  <c r="BV185" i="12" s="1"/>
  <c r="AW185" i="12"/>
  <c r="BA185" i="12" s="1"/>
  <c r="AV186" i="12"/>
  <c r="BV186" i="12" s="1"/>
  <c r="AW186" i="12"/>
  <c r="BA186" i="12" s="1"/>
  <c r="AV187" i="12"/>
  <c r="BV187" i="12" s="1"/>
  <c r="AW187" i="12"/>
  <c r="BA187" i="12" s="1"/>
  <c r="AV188" i="12"/>
  <c r="BV188" i="12" s="1"/>
  <c r="AW188" i="12"/>
  <c r="BA188" i="12" s="1"/>
  <c r="AV189" i="12"/>
  <c r="BV189" i="12" s="1"/>
  <c r="AW189" i="12"/>
  <c r="BA189" i="12" s="1"/>
  <c r="AV190" i="12"/>
  <c r="BV190" i="12" s="1"/>
  <c r="AW190" i="12"/>
  <c r="BA190" i="12" s="1"/>
  <c r="AV191" i="12"/>
  <c r="BV191" i="12" s="1"/>
  <c r="AW191" i="12"/>
  <c r="BA191" i="12" s="1"/>
  <c r="AV192" i="12"/>
  <c r="BV192" i="12" s="1"/>
  <c r="AW192" i="12"/>
  <c r="BA192" i="12" s="1"/>
  <c r="AV193" i="12"/>
  <c r="BV193" i="12" s="1"/>
  <c r="AW193" i="12"/>
  <c r="BA193" i="12" s="1"/>
  <c r="AV194" i="12"/>
  <c r="BV194" i="12" s="1"/>
  <c r="AW194" i="12"/>
  <c r="BA194" i="12" s="1"/>
  <c r="AV195" i="12"/>
  <c r="BV195" i="12" s="1"/>
  <c r="AW195" i="12"/>
  <c r="BA195" i="12" s="1"/>
  <c r="AV196" i="12"/>
  <c r="BV196" i="12" s="1"/>
  <c r="AW196" i="12"/>
  <c r="BA196" i="12" s="1"/>
  <c r="AV197" i="12"/>
  <c r="BV197" i="12" s="1"/>
  <c r="AW197" i="12"/>
  <c r="BA197" i="12" s="1"/>
  <c r="AV198" i="12"/>
  <c r="BV198" i="12" s="1"/>
  <c r="AW198" i="12"/>
  <c r="BA198" i="12" s="1"/>
  <c r="AV199" i="12"/>
  <c r="BV199" i="12" s="1"/>
  <c r="AW199" i="12"/>
  <c r="BA199" i="12" s="1"/>
  <c r="AV200" i="12"/>
  <c r="BV200" i="12" s="1"/>
  <c r="AW200" i="12"/>
  <c r="BA200" i="12" s="1"/>
  <c r="AV201" i="12"/>
  <c r="BV201" i="12" s="1"/>
  <c r="AW201" i="12"/>
  <c r="BA201" i="12" s="1"/>
  <c r="AV202" i="12"/>
  <c r="BV202" i="12" s="1"/>
  <c r="AW202" i="12"/>
  <c r="BA202" i="12" s="1"/>
  <c r="AV203" i="12"/>
  <c r="BV203" i="12" s="1"/>
  <c r="AW203" i="12"/>
  <c r="BA203" i="12" s="1"/>
  <c r="AV204" i="12"/>
  <c r="BV204" i="12" s="1"/>
  <c r="AW204" i="12"/>
  <c r="BA204" i="12" s="1"/>
  <c r="AV205" i="12"/>
  <c r="BV205" i="12" s="1"/>
  <c r="AW205" i="12"/>
  <c r="BA205" i="12" s="1"/>
  <c r="AV206" i="12"/>
  <c r="BV206" i="12" s="1"/>
  <c r="AW206" i="12"/>
  <c r="BA206" i="12" s="1"/>
  <c r="AW7" i="12"/>
  <c r="BA7" i="12" s="1"/>
  <c r="AV7" i="12"/>
  <c r="BV7" i="12" s="1"/>
  <c r="AO7" i="12"/>
  <c r="AN7" i="12"/>
  <c r="AM7" i="12"/>
  <c r="BT7" i="12" s="1"/>
  <c r="V202" i="10"/>
  <c r="V201" i="10"/>
  <c r="V200" i="10"/>
  <c r="V199" i="10"/>
  <c r="V198" i="10"/>
  <c r="V197" i="10"/>
  <c r="V196" i="10"/>
  <c r="V195" i="10"/>
  <c r="V194" i="10"/>
  <c r="V193" i="10"/>
  <c r="V192" i="10"/>
  <c r="V191" i="10"/>
  <c r="V190" i="10"/>
  <c r="V189" i="10"/>
  <c r="V188" i="10"/>
  <c r="V187" i="10"/>
  <c r="V186" i="10"/>
  <c r="V185" i="10"/>
  <c r="V184" i="10"/>
  <c r="V183" i="10"/>
  <c r="V182" i="10"/>
  <c r="V181" i="10"/>
  <c r="V180" i="10"/>
  <c r="V179" i="10"/>
  <c r="V178" i="10"/>
  <c r="V177" i="10"/>
  <c r="V176" i="10"/>
  <c r="V175" i="10"/>
  <c r="V174" i="10"/>
  <c r="V173" i="10"/>
  <c r="V172" i="10"/>
  <c r="V171" i="10"/>
  <c r="V170" i="10"/>
  <c r="V169" i="10"/>
  <c r="V168" i="10"/>
  <c r="V167" i="10"/>
  <c r="V166" i="10"/>
  <c r="V165" i="10"/>
  <c r="V164" i="10"/>
  <c r="V163" i="10"/>
  <c r="V162" i="10"/>
  <c r="V161" i="10"/>
  <c r="V160" i="10"/>
  <c r="V159" i="10"/>
  <c r="V158" i="10"/>
  <c r="V157" i="10"/>
  <c r="V156" i="10"/>
  <c r="V155" i="10"/>
  <c r="V154" i="10"/>
  <c r="V153" i="10"/>
  <c r="V152" i="10"/>
  <c r="V151" i="10"/>
  <c r="V150" i="10"/>
  <c r="V149" i="10"/>
  <c r="V148" i="10"/>
  <c r="V147" i="10"/>
  <c r="V146" i="10"/>
  <c r="V145" i="10"/>
  <c r="V144" i="10"/>
  <c r="V143" i="10"/>
  <c r="V142" i="10"/>
  <c r="V141" i="10"/>
  <c r="V140" i="10"/>
  <c r="V139" i="10"/>
  <c r="V138" i="10"/>
  <c r="V137" i="10"/>
  <c r="V136" i="10"/>
  <c r="V135" i="10"/>
  <c r="V134" i="10"/>
  <c r="V133" i="10"/>
  <c r="V132" i="10"/>
  <c r="V131" i="10"/>
  <c r="V130" i="10"/>
  <c r="V129" i="10"/>
  <c r="V128" i="10"/>
  <c r="V127" i="10"/>
  <c r="V126" i="10"/>
  <c r="V125" i="10"/>
  <c r="V124" i="10"/>
  <c r="V123" i="10"/>
  <c r="V122" i="10"/>
  <c r="V121" i="10"/>
  <c r="V120" i="10"/>
  <c r="V119" i="10"/>
  <c r="V118" i="10"/>
  <c r="V117" i="10"/>
  <c r="V116" i="10"/>
  <c r="V115" i="10"/>
  <c r="V114" i="10"/>
  <c r="V113" i="10"/>
  <c r="V112" i="10"/>
  <c r="V111" i="10"/>
  <c r="V110" i="10"/>
  <c r="V109" i="10"/>
  <c r="V108" i="10"/>
  <c r="V107" i="10"/>
  <c r="V106" i="10"/>
  <c r="V105" i="10"/>
  <c r="V104" i="10"/>
  <c r="V103" i="10"/>
  <c r="K208" i="11"/>
  <c r="J208" i="11" s="1"/>
  <c r="K207" i="11"/>
  <c r="J207" i="11" s="1"/>
  <c r="K206" i="11"/>
  <c r="J206" i="11" s="1"/>
  <c r="K205" i="11"/>
  <c r="J205" i="11" s="1"/>
  <c r="K204" i="11"/>
  <c r="J204" i="11" s="1"/>
  <c r="K203" i="11"/>
  <c r="J203" i="11" s="1"/>
  <c r="K202" i="11"/>
  <c r="J202" i="11" s="1"/>
  <c r="K201" i="11"/>
  <c r="J201" i="11" s="1"/>
  <c r="K200" i="11"/>
  <c r="J200" i="11"/>
  <c r="K199" i="11"/>
  <c r="J199" i="11" s="1"/>
  <c r="K198" i="11"/>
  <c r="J198" i="11"/>
  <c r="K197" i="11"/>
  <c r="J197" i="11" s="1"/>
  <c r="K196" i="11"/>
  <c r="J196" i="11" s="1"/>
  <c r="K195" i="11"/>
  <c r="J195" i="11" s="1"/>
  <c r="K194" i="11"/>
  <c r="J194" i="11" s="1"/>
  <c r="K193" i="11"/>
  <c r="J193" i="11" s="1"/>
  <c r="K192" i="11"/>
  <c r="J192" i="11" s="1"/>
  <c r="K191" i="11"/>
  <c r="J191" i="11" s="1"/>
  <c r="K190" i="11"/>
  <c r="J190" i="11" s="1"/>
  <c r="K189" i="11"/>
  <c r="J189" i="11" s="1"/>
  <c r="K188" i="11"/>
  <c r="J188" i="11" s="1"/>
  <c r="K187" i="11"/>
  <c r="J187" i="11"/>
  <c r="K186" i="11"/>
  <c r="J186" i="11" s="1"/>
  <c r="K185" i="11"/>
  <c r="J185" i="11" s="1"/>
  <c r="K184" i="11"/>
  <c r="J184" i="11" s="1"/>
  <c r="K183" i="11"/>
  <c r="J183" i="11" s="1"/>
  <c r="K182" i="11"/>
  <c r="J182" i="11"/>
  <c r="K181" i="11"/>
  <c r="J181" i="11" s="1"/>
  <c r="K180" i="11"/>
  <c r="J180" i="11" s="1"/>
  <c r="K179" i="11"/>
  <c r="J179" i="11" s="1"/>
  <c r="K178" i="11"/>
  <c r="J178" i="11" s="1"/>
  <c r="K177" i="11"/>
  <c r="J177" i="11" s="1"/>
  <c r="K176" i="11"/>
  <c r="J176" i="11" s="1"/>
  <c r="K175" i="11"/>
  <c r="J175" i="11" s="1"/>
  <c r="K174" i="11"/>
  <c r="J174" i="11" s="1"/>
  <c r="K173" i="11"/>
  <c r="J173" i="11" s="1"/>
  <c r="K172" i="11"/>
  <c r="J172" i="11" s="1"/>
  <c r="K171" i="11"/>
  <c r="J171" i="11" s="1"/>
  <c r="K170" i="11"/>
  <c r="J170" i="11"/>
  <c r="K169" i="11"/>
  <c r="J169" i="11" s="1"/>
  <c r="K168" i="11"/>
  <c r="J168" i="11" s="1"/>
  <c r="K167" i="11"/>
  <c r="J167" i="11" s="1"/>
  <c r="K166" i="11"/>
  <c r="J166" i="11" s="1"/>
  <c r="K165" i="11"/>
  <c r="J165" i="11" s="1"/>
  <c r="K164" i="11"/>
  <c r="J164" i="11"/>
  <c r="K163" i="11"/>
  <c r="J163" i="11" s="1"/>
  <c r="K162" i="11"/>
  <c r="J162" i="11"/>
  <c r="K161" i="11"/>
  <c r="J161" i="11" s="1"/>
  <c r="K160" i="11"/>
  <c r="J160" i="11" s="1"/>
  <c r="K159" i="11"/>
  <c r="J159" i="11" s="1"/>
  <c r="K158" i="11"/>
  <c r="J158" i="11" s="1"/>
  <c r="K157" i="11"/>
  <c r="J157" i="11" s="1"/>
  <c r="K156" i="11"/>
  <c r="J156" i="11" s="1"/>
  <c r="Q156" i="11" s="1"/>
  <c r="AA156" i="11" s="1"/>
  <c r="K155" i="11"/>
  <c r="J155" i="11" s="1"/>
  <c r="K154" i="11"/>
  <c r="J154" i="11" s="1"/>
  <c r="K153" i="11"/>
  <c r="J153" i="11"/>
  <c r="K152" i="11"/>
  <c r="J152" i="11" s="1"/>
  <c r="K151" i="11"/>
  <c r="J151" i="11" s="1"/>
  <c r="K150" i="11"/>
  <c r="J150" i="11" s="1"/>
  <c r="K149" i="11"/>
  <c r="J149" i="11" s="1"/>
  <c r="K148" i="11"/>
  <c r="J148" i="11" s="1"/>
  <c r="K147" i="11"/>
  <c r="J147" i="11" s="1"/>
  <c r="K146" i="11"/>
  <c r="J146" i="11" s="1"/>
  <c r="K145" i="11"/>
  <c r="J145" i="11"/>
  <c r="K144" i="11"/>
  <c r="J144" i="11" s="1"/>
  <c r="K143" i="11"/>
  <c r="J143" i="11" s="1"/>
  <c r="K142" i="11"/>
  <c r="J142" i="11" s="1"/>
  <c r="K141" i="11"/>
  <c r="J141" i="11" s="1"/>
  <c r="K140" i="11"/>
  <c r="J140" i="11" s="1"/>
  <c r="K139" i="11"/>
  <c r="J139" i="11"/>
  <c r="K138" i="11"/>
  <c r="J138" i="11" s="1"/>
  <c r="W138" i="11" s="1"/>
  <c r="AB138" i="11" s="1"/>
  <c r="K137" i="11"/>
  <c r="J137" i="11"/>
  <c r="K136" i="11"/>
  <c r="J136" i="11" s="1"/>
  <c r="K135" i="11"/>
  <c r="J135" i="11" s="1"/>
  <c r="K134" i="11"/>
  <c r="J134" i="11" s="1"/>
  <c r="K133" i="11"/>
  <c r="J133" i="11" s="1"/>
  <c r="K132" i="11"/>
  <c r="J132" i="11" s="1"/>
  <c r="K131" i="11"/>
  <c r="J131" i="11"/>
  <c r="K130" i="11"/>
  <c r="J130" i="11" s="1"/>
  <c r="K129" i="11"/>
  <c r="J129" i="11" s="1"/>
  <c r="K128" i="11"/>
  <c r="J128" i="11"/>
  <c r="K127" i="11"/>
  <c r="J127" i="11" s="1"/>
  <c r="K126" i="11"/>
  <c r="J126" i="11"/>
  <c r="K125" i="11"/>
  <c r="J125" i="11" s="1"/>
  <c r="K124" i="11"/>
  <c r="J124" i="11" s="1"/>
  <c r="K123" i="11"/>
  <c r="J123" i="11"/>
  <c r="K122" i="11"/>
  <c r="J122" i="11" s="1"/>
  <c r="K121" i="11"/>
  <c r="J121" i="11" s="1"/>
  <c r="K120" i="11"/>
  <c r="J120" i="11" s="1"/>
  <c r="K119" i="11"/>
  <c r="J119" i="11" s="1"/>
  <c r="K118" i="11"/>
  <c r="J118" i="11"/>
  <c r="K117" i="11"/>
  <c r="J117" i="11" s="1"/>
  <c r="W117" i="11" s="1"/>
  <c r="AB117" i="11" s="1"/>
  <c r="K116" i="11"/>
  <c r="J116" i="11" s="1"/>
  <c r="K115" i="11"/>
  <c r="J115" i="11" s="1"/>
  <c r="K114" i="11"/>
  <c r="J114" i="11" s="1"/>
  <c r="K113" i="11"/>
  <c r="J113" i="11" s="1"/>
  <c r="K112" i="11"/>
  <c r="J112" i="11" s="1"/>
  <c r="K111" i="11"/>
  <c r="J111" i="11" s="1"/>
  <c r="K110" i="11"/>
  <c r="J110" i="11" s="1"/>
  <c r="Z110" i="11" s="1"/>
  <c r="K109" i="11"/>
  <c r="J109" i="11" s="1"/>
  <c r="K108" i="11"/>
  <c r="J108" i="11" s="1"/>
  <c r="AX12" i="3"/>
  <c r="AX13" i="3"/>
  <c r="AX14" i="3"/>
  <c r="AX15" i="3"/>
  <c r="AX11" i="3"/>
  <c r="BW4" i="10"/>
  <c r="BW5" i="10"/>
  <c r="BW6" i="10"/>
  <c r="BW7" i="10"/>
  <c r="BW8" i="10"/>
  <c r="BW9" i="10"/>
  <c r="BW10" i="10"/>
  <c r="BW11" i="10"/>
  <c r="BW12" i="10"/>
  <c r="BW13" i="10"/>
  <c r="BW14" i="10"/>
  <c r="BW15" i="10"/>
  <c r="BW16" i="10"/>
  <c r="BW17" i="10"/>
  <c r="BW18" i="10"/>
  <c r="BW19" i="10"/>
  <c r="BW20" i="10"/>
  <c r="BW21" i="10"/>
  <c r="BW22" i="10"/>
  <c r="BW23" i="10"/>
  <c r="BW24" i="10"/>
  <c r="BW25" i="10"/>
  <c r="BW26" i="10"/>
  <c r="BW27" i="10"/>
  <c r="BW28" i="10"/>
  <c r="BW29" i="10"/>
  <c r="BW30" i="10"/>
  <c r="BW31" i="10"/>
  <c r="BW32" i="10"/>
  <c r="BW3" i="10"/>
  <c r="BS4" i="10"/>
  <c r="BT4" i="10"/>
  <c r="BU4" i="10"/>
  <c r="BS5" i="10"/>
  <c r="BT5" i="10"/>
  <c r="BU5" i="10"/>
  <c r="BS6" i="10"/>
  <c r="BT6" i="10"/>
  <c r="BU6" i="10"/>
  <c r="BS7" i="10"/>
  <c r="BT7" i="10"/>
  <c r="BU7" i="10"/>
  <c r="BS8" i="10"/>
  <c r="BT8" i="10"/>
  <c r="BU8" i="10"/>
  <c r="BS9" i="10"/>
  <c r="BT9" i="10"/>
  <c r="BU9" i="10"/>
  <c r="BS10" i="10"/>
  <c r="BT10" i="10"/>
  <c r="BU10" i="10"/>
  <c r="BS11" i="10"/>
  <c r="BT11" i="10"/>
  <c r="BU11" i="10"/>
  <c r="BS12" i="10"/>
  <c r="BV12" i="10" s="1"/>
  <c r="BT12" i="10"/>
  <c r="BU12" i="10"/>
  <c r="BS13" i="10"/>
  <c r="BT13" i="10"/>
  <c r="BU13" i="10"/>
  <c r="BS14" i="10"/>
  <c r="BV14" i="10" s="1"/>
  <c r="BT14" i="10"/>
  <c r="BU14" i="10"/>
  <c r="BS15" i="10"/>
  <c r="BT15" i="10"/>
  <c r="BU15" i="10"/>
  <c r="BS16" i="10"/>
  <c r="BT16" i="10"/>
  <c r="BU16" i="10"/>
  <c r="BS17" i="10"/>
  <c r="BT17" i="10"/>
  <c r="BU17" i="10"/>
  <c r="BS18" i="10"/>
  <c r="BT18" i="10"/>
  <c r="BU18" i="10"/>
  <c r="BS19" i="10"/>
  <c r="BT19" i="10"/>
  <c r="BU19" i="10"/>
  <c r="BS20" i="10"/>
  <c r="BT20" i="10"/>
  <c r="BU20" i="10"/>
  <c r="BS21" i="10"/>
  <c r="BV21" i="10" s="1"/>
  <c r="BT21" i="10"/>
  <c r="BU21" i="10"/>
  <c r="BS22" i="10"/>
  <c r="BT22" i="10"/>
  <c r="BU22" i="10"/>
  <c r="BS23" i="10"/>
  <c r="BT23" i="10"/>
  <c r="BU23" i="10"/>
  <c r="BS24" i="10"/>
  <c r="BV24" i="10" s="1"/>
  <c r="BT24" i="10"/>
  <c r="BU24" i="10"/>
  <c r="BS25" i="10"/>
  <c r="BV25" i="10" s="1"/>
  <c r="BT25" i="10"/>
  <c r="BU25" i="10"/>
  <c r="BS26" i="10"/>
  <c r="BT26" i="10"/>
  <c r="BU26" i="10"/>
  <c r="BS27" i="10"/>
  <c r="BT27" i="10"/>
  <c r="BU27" i="10"/>
  <c r="BS28" i="10"/>
  <c r="BT28" i="10"/>
  <c r="BU28" i="10"/>
  <c r="BS29" i="10"/>
  <c r="BT29" i="10"/>
  <c r="BU29" i="10"/>
  <c r="BS30" i="10"/>
  <c r="BT30" i="10"/>
  <c r="BU30" i="10"/>
  <c r="BS31" i="10"/>
  <c r="BT31" i="10"/>
  <c r="BU31" i="10"/>
  <c r="BS32" i="10"/>
  <c r="BT32" i="10"/>
  <c r="BU32" i="10"/>
  <c r="BT3" i="10"/>
  <c r="BU3" i="10"/>
  <c r="BS3" i="10"/>
  <c r="BV3" i="10" s="1"/>
  <c r="V4" i="10"/>
  <c r="V5" i="10"/>
  <c r="V6" i="10"/>
  <c r="V7" i="10"/>
  <c r="V8" i="10"/>
  <c r="V9" i="10"/>
  <c r="V10" i="10"/>
  <c r="V11" i="10"/>
  <c r="V12" i="10"/>
  <c r="V13" i="10"/>
  <c r="V14" i="10"/>
  <c r="V15" i="10"/>
  <c r="V16" i="10"/>
  <c r="V17" i="10"/>
  <c r="V18" i="10"/>
  <c r="V19" i="10"/>
  <c r="V20" i="10"/>
  <c r="V21" i="10"/>
  <c r="V22" i="10"/>
  <c r="V23" i="10"/>
  <c r="V24" i="10"/>
  <c r="V25" i="10"/>
  <c r="V26" i="10"/>
  <c r="V27" i="10"/>
  <c r="V28" i="10"/>
  <c r="V29" i="10"/>
  <c r="V30" i="10"/>
  <c r="V31" i="10"/>
  <c r="V32" i="10"/>
  <c r="V33" i="10"/>
  <c r="V34" i="10"/>
  <c r="V35" i="10"/>
  <c r="V36" i="10"/>
  <c r="V37" i="10"/>
  <c r="V38" i="10"/>
  <c r="V39" i="10"/>
  <c r="V40" i="10"/>
  <c r="V41" i="10"/>
  <c r="V42" i="10"/>
  <c r="V43" i="10"/>
  <c r="V44" i="10"/>
  <c r="V45" i="10"/>
  <c r="V46" i="10"/>
  <c r="V47" i="10"/>
  <c r="Y47" i="10" s="1"/>
  <c r="AE47" i="10" s="1"/>
  <c r="V48" i="10"/>
  <c r="Y48" i="10" s="1"/>
  <c r="AE48" i="10" s="1"/>
  <c r="V49" i="10"/>
  <c r="Y49" i="10" s="1"/>
  <c r="AE49" i="10" s="1"/>
  <c r="V50" i="10"/>
  <c r="Y50" i="10" s="1"/>
  <c r="AE50" i="10" s="1"/>
  <c r="V51" i="10"/>
  <c r="Y51" i="10" s="1"/>
  <c r="AE51" i="10" s="1"/>
  <c r="V52" i="10"/>
  <c r="Y52" i="10" s="1"/>
  <c r="AE52" i="10" s="1"/>
  <c r="V53" i="10"/>
  <c r="Y53" i="10" s="1"/>
  <c r="AE53" i="10" s="1"/>
  <c r="V54" i="10"/>
  <c r="Y54" i="10" s="1"/>
  <c r="AE54" i="10" s="1"/>
  <c r="V55" i="10"/>
  <c r="Y55" i="10" s="1"/>
  <c r="AE55" i="10" s="1"/>
  <c r="V56" i="10"/>
  <c r="Y56" i="10" s="1"/>
  <c r="AE56" i="10" s="1"/>
  <c r="V57" i="10"/>
  <c r="V58" i="10"/>
  <c r="V59" i="10"/>
  <c r="V60" i="10"/>
  <c r="V61" i="10"/>
  <c r="V62" i="10"/>
  <c r="V63" i="10"/>
  <c r="V64" i="10"/>
  <c r="V65" i="10"/>
  <c r="V66" i="10"/>
  <c r="V67" i="10"/>
  <c r="V68" i="10"/>
  <c r="V69" i="10"/>
  <c r="V70" i="10"/>
  <c r="V71" i="10"/>
  <c r="V72" i="10"/>
  <c r="V73" i="10"/>
  <c r="V74" i="10"/>
  <c r="V75" i="10"/>
  <c r="V76" i="10"/>
  <c r="V77" i="10"/>
  <c r="V78" i="10"/>
  <c r="V79" i="10"/>
  <c r="V80" i="10"/>
  <c r="V81" i="10"/>
  <c r="V82" i="10"/>
  <c r="V83" i="10"/>
  <c r="V84" i="10"/>
  <c r="V85" i="10"/>
  <c r="V86" i="10"/>
  <c r="V87" i="10"/>
  <c r="V88" i="10"/>
  <c r="V89" i="10"/>
  <c r="V90" i="10"/>
  <c r="V91" i="10"/>
  <c r="V92" i="10"/>
  <c r="V93" i="10"/>
  <c r="V94" i="10"/>
  <c r="V95" i="10"/>
  <c r="V96" i="10"/>
  <c r="V97" i="10"/>
  <c r="V98" i="10"/>
  <c r="V99" i="10"/>
  <c r="V100" i="10"/>
  <c r="V101" i="10"/>
  <c r="V102" i="10"/>
  <c r="V3" i="10"/>
  <c r="D11" i="12"/>
  <c r="D12" i="12"/>
  <c r="D13" i="12"/>
  <c r="D14" i="12"/>
  <c r="D15" i="12"/>
  <c r="D10" i="12"/>
  <c r="D7" i="12"/>
  <c r="Q4" i="6"/>
  <c r="Q5" i="6"/>
  <c r="Q6" i="6"/>
  <c r="Q7" i="6"/>
  <c r="Q8" i="6"/>
  <c r="Q9" i="6"/>
  <c r="Q10" i="6"/>
  <c r="Q11" i="6"/>
  <c r="Q12" i="6"/>
  <c r="Q13" i="6"/>
  <c r="Q14" i="6"/>
  <c r="Q15" i="6"/>
  <c r="Q16" i="6"/>
  <c r="Q17" i="6"/>
  <c r="Q18" i="6"/>
  <c r="Q19" i="6"/>
  <c r="Q20" i="6"/>
  <c r="Q21" i="6"/>
  <c r="Q22" i="6"/>
  <c r="Q23" i="6"/>
  <c r="Q24" i="6"/>
  <c r="Q25" i="6"/>
  <c r="Q26" i="6"/>
  <c r="Q27" i="6"/>
  <c r="Q28" i="6"/>
  <c r="Q29" i="6"/>
  <c r="Q30" i="6"/>
  <c r="Q31" i="6"/>
  <c r="Q32" i="6"/>
  <c r="Q33" i="6"/>
  <c r="Q34" i="6"/>
  <c r="Q35" i="6"/>
  <c r="Q36" i="6"/>
  <c r="Q37" i="6"/>
  <c r="Q38" i="6"/>
  <c r="Q39" i="6"/>
  <c r="Q40" i="6"/>
  <c r="Q41" i="6"/>
  <c r="Q42" i="6"/>
  <c r="Q43" i="6"/>
  <c r="Q44" i="6"/>
  <c r="Q45" i="6"/>
  <c r="Q46" i="6"/>
  <c r="Q47" i="6"/>
  <c r="Q48" i="6"/>
  <c r="Q49" i="6"/>
  <c r="Q50" i="6"/>
  <c r="Q51" i="6"/>
  <c r="Q52" i="6"/>
  <c r="Q53" i="6"/>
  <c r="Q54" i="6"/>
  <c r="Q55" i="6"/>
  <c r="Q56" i="6"/>
  <c r="Q57" i="6"/>
  <c r="Q58" i="6"/>
  <c r="Q59" i="6"/>
  <c r="Q60" i="6"/>
  <c r="Q61" i="6"/>
  <c r="Q62" i="6"/>
  <c r="Q63" i="6"/>
  <c r="Q64" i="6"/>
  <c r="Q65" i="6"/>
  <c r="Q66" i="6"/>
  <c r="Q67" i="6"/>
  <c r="Q68" i="6"/>
  <c r="Q69" i="6"/>
  <c r="Q70" i="6"/>
  <c r="Q71" i="6"/>
  <c r="Q72" i="6"/>
  <c r="Q73" i="6"/>
  <c r="Q74" i="6"/>
  <c r="Q75" i="6"/>
  <c r="Q76" i="6"/>
  <c r="Q77" i="6"/>
  <c r="Q78" i="6"/>
  <c r="Q79" i="6"/>
  <c r="Q80" i="6"/>
  <c r="Q81" i="6"/>
  <c r="Q82" i="6"/>
  <c r="Q83" i="6"/>
  <c r="Q84" i="6"/>
  <c r="Q85" i="6"/>
  <c r="Q86" i="6"/>
  <c r="Q87" i="6"/>
  <c r="Q88" i="6"/>
  <c r="Q89" i="6"/>
  <c r="Q90" i="6"/>
  <c r="Q91" i="6"/>
  <c r="Q92" i="6"/>
  <c r="Q93" i="6"/>
  <c r="Q94" i="6"/>
  <c r="Q95" i="6"/>
  <c r="Q96" i="6"/>
  <c r="Q97" i="6"/>
  <c r="Q98" i="6"/>
  <c r="Q99" i="6"/>
  <c r="Q100" i="6"/>
  <c r="Q101" i="6"/>
  <c r="Q102" i="6"/>
  <c r="Q103" i="6"/>
  <c r="Q104" i="6"/>
  <c r="Q105" i="6"/>
  <c r="Q106" i="6"/>
  <c r="Q107" i="6"/>
  <c r="Q108" i="6"/>
  <c r="Q109" i="6"/>
  <c r="Q110" i="6"/>
  <c r="Q111" i="6"/>
  <c r="Q112" i="6"/>
  <c r="Q113" i="6"/>
  <c r="Q114" i="6"/>
  <c r="Q115" i="6"/>
  <c r="Q116" i="6"/>
  <c r="Q117" i="6"/>
  <c r="Q118" i="6"/>
  <c r="Q119" i="6"/>
  <c r="Q120" i="6"/>
  <c r="Q121" i="6"/>
  <c r="Q122" i="6"/>
  <c r="Q123" i="6"/>
  <c r="Q124" i="6"/>
  <c r="Q125" i="6"/>
  <c r="Q126" i="6"/>
  <c r="Q127" i="6"/>
  <c r="Q128" i="6"/>
  <c r="Q129" i="6"/>
  <c r="Q130" i="6"/>
  <c r="Q131" i="6"/>
  <c r="Q132" i="6"/>
  <c r="Q133" i="6"/>
  <c r="Q134" i="6"/>
  <c r="Q135" i="6"/>
  <c r="Q136" i="6"/>
  <c r="Q137" i="6"/>
  <c r="Q138" i="6"/>
  <c r="Q139" i="6"/>
  <c r="Q140" i="6"/>
  <c r="Q141" i="6"/>
  <c r="Q142" i="6"/>
  <c r="Q143" i="6"/>
  <c r="Q144" i="6"/>
  <c r="Q145" i="6"/>
  <c r="Q146" i="6"/>
  <c r="Q147" i="6"/>
  <c r="Q148" i="6"/>
  <c r="Q149" i="6"/>
  <c r="Q150" i="6"/>
  <c r="Q151" i="6"/>
  <c r="Q152" i="6"/>
  <c r="Q153" i="6"/>
  <c r="Q154" i="6"/>
  <c r="Q155" i="6"/>
  <c r="Q156" i="6"/>
  <c r="Q157" i="6"/>
  <c r="Q158" i="6"/>
  <c r="Q159" i="6"/>
  <c r="Q160" i="6"/>
  <c r="Q161" i="6"/>
  <c r="Q162" i="6"/>
  <c r="Q163" i="6"/>
  <c r="Q164" i="6"/>
  <c r="Q165" i="6"/>
  <c r="Q166" i="6"/>
  <c r="Q167" i="6"/>
  <c r="Q168" i="6"/>
  <c r="Q169" i="6"/>
  <c r="Q170" i="6"/>
  <c r="Q171" i="6"/>
  <c r="Q172" i="6"/>
  <c r="Q173" i="6"/>
  <c r="Q174" i="6"/>
  <c r="Q175" i="6"/>
  <c r="Q176" i="6"/>
  <c r="Q177" i="6"/>
  <c r="Q178" i="6"/>
  <c r="Q179" i="6"/>
  <c r="Q180" i="6"/>
  <c r="Q181" i="6"/>
  <c r="Q182" i="6"/>
  <c r="Q183" i="6"/>
  <c r="Q184" i="6"/>
  <c r="Q185" i="6"/>
  <c r="Q186" i="6"/>
  <c r="Q187" i="6"/>
  <c r="Q188" i="6"/>
  <c r="Q189" i="6"/>
  <c r="Q190" i="6"/>
  <c r="Q191" i="6"/>
  <c r="Q192" i="6"/>
  <c r="Q193" i="6"/>
  <c r="Q194" i="6"/>
  <c r="Q195" i="6"/>
  <c r="Q196" i="6"/>
  <c r="Q197" i="6"/>
  <c r="Q198" i="6"/>
  <c r="Q199" i="6"/>
  <c r="Q200" i="6"/>
  <c r="Q201" i="6"/>
  <c r="Q202" i="6"/>
  <c r="Q203" i="6"/>
  <c r="Q204" i="6"/>
  <c r="Q205" i="6"/>
  <c r="Q206" i="6"/>
  <c r="Q207" i="6"/>
  <c r="Q208" i="6"/>
  <c r="Q209" i="6"/>
  <c r="Q210" i="6"/>
  <c r="Q211" i="6"/>
  <c r="Q212" i="6"/>
  <c r="Q213" i="6"/>
  <c r="Q214" i="6"/>
  <c r="Q215" i="6"/>
  <c r="Q216" i="6"/>
  <c r="Q217" i="6"/>
  <c r="Q218" i="6"/>
  <c r="Q219" i="6"/>
  <c r="Q220" i="6"/>
  <c r="Q221" i="6"/>
  <c r="Q222" i="6"/>
  <c r="Q223" i="6"/>
  <c r="Q224" i="6"/>
  <c r="Q225" i="6"/>
  <c r="Q226" i="6"/>
  <c r="Q227" i="6"/>
  <c r="Q228" i="6"/>
  <c r="Q229" i="6"/>
  <c r="Q230" i="6"/>
  <c r="Q231" i="6"/>
  <c r="Q232" i="6"/>
  <c r="Q233" i="6"/>
  <c r="Q234" i="6"/>
  <c r="Q235" i="6"/>
  <c r="Q236" i="6"/>
  <c r="Q237" i="6"/>
  <c r="Q238" i="6"/>
  <c r="Q239" i="6"/>
  <c r="Q240" i="6"/>
  <c r="Q241" i="6"/>
  <c r="Q242" i="6"/>
  <c r="Q243" i="6"/>
  <c r="Q244" i="6"/>
  <c r="Q245" i="6"/>
  <c r="Q246" i="6"/>
  <c r="Q247" i="6"/>
  <c r="Q248" i="6"/>
  <c r="Q249" i="6"/>
  <c r="Q250" i="6"/>
  <c r="Q251" i="6"/>
  <c r="Q252" i="6"/>
  <c r="Q253" i="6"/>
  <c r="Q254" i="6"/>
  <c r="Q255" i="6"/>
  <c r="Q256" i="6"/>
  <c r="Q257" i="6"/>
  <c r="Q258" i="6"/>
  <c r="Q259" i="6"/>
  <c r="Q260" i="6"/>
  <c r="Q261" i="6"/>
  <c r="Q262" i="6"/>
  <c r="Q263" i="6"/>
  <c r="Q264" i="6"/>
  <c r="Q265" i="6"/>
  <c r="Q266" i="6"/>
  <c r="Q267" i="6"/>
  <c r="Q268" i="6"/>
  <c r="Q269" i="6"/>
  <c r="Q270" i="6"/>
  <c r="Q271" i="6"/>
  <c r="Q272" i="6"/>
  <c r="Q273" i="6"/>
  <c r="Q274" i="6"/>
  <c r="Q275" i="6"/>
  <c r="Q276" i="6"/>
  <c r="Q277" i="6"/>
  <c r="Q278" i="6"/>
  <c r="Q279" i="6"/>
  <c r="Q280" i="6"/>
  <c r="Q281" i="6"/>
  <c r="Q282" i="6"/>
  <c r="Q283" i="6"/>
  <c r="Q284" i="6"/>
  <c r="Q285" i="6"/>
  <c r="Q286" i="6"/>
  <c r="Q287" i="6"/>
  <c r="Q288" i="6"/>
  <c r="Q289" i="6"/>
  <c r="Q290" i="6"/>
  <c r="Q291" i="6"/>
  <c r="Q292" i="6"/>
  <c r="Q293" i="6"/>
  <c r="Q294" i="6"/>
  <c r="Q295" i="6"/>
  <c r="Q296" i="6"/>
  <c r="Q297" i="6"/>
  <c r="Q298" i="6"/>
  <c r="Q299" i="6"/>
  <c r="Q300" i="6"/>
  <c r="Q301" i="6"/>
  <c r="Q302" i="6"/>
  <c r="Q303" i="6"/>
  <c r="Q304" i="6"/>
  <c r="Q305" i="6"/>
  <c r="Q306" i="6"/>
  <c r="Q307" i="6"/>
  <c r="Q308" i="6"/>
  <c r="Q309" i="6"/>
  <c r="Q310" i="6"/>
  <c r="Q311" i="6"/>
  <c r="Q312" i="6"/>
  <c r="Q313" i="6"/>
  <c r="Q314" i="6"/>
  <c r="Q315" i="6"/>
  <c r="Q316" i="6"/>
  <c r="Q317" i="6"/>
  <c r="Q318" i="6"/>
  <c r="Q319" i="6"/>
  <c r="Q320" i="6"/>
  <c r="Q321" i="6"/>
  <c r="Q322" i="6"/>
  <c r="Q323" i="6"/>
  <c r="Q324" i="6"/>
  <c r="Q325" i="6"/>
  <c r="Q326" i="6"/>
  <c r="Q327" i="6"/>
  <c r="Q328" i="6"/>
  <c r="Q329" i="6"/>
  <c r="Q330" i="6"/>
  <c r="Q331" i="6"/>
  <c r="Q332" i="6"/>
  <c r="Q333" i="6"/>
  <c r="Q334" i="6"/>
  <c r="Q335" i="6"/>
  <c r="Q336" i="6"/>
  <c r="Q337" i="6"/>
  <c r="Q338" i="6"/>
  <c r="Q339" i="6"/>
  <c r="Q340" i="6"/>
  <c r="Q341" i="6"/>
  <c r="Q342" i="6"/>
  <c r="Q343" i="6"/>
  <c r="Q344" i="6"/>
  <c r="Q345" i="6"/>
  <c r="Q346" i="6"/>
  <c r="Q347" i="6"/>
  <c r="Q348" i="6"/>
  <c r="Q349" i="6"/>
  <c r="Q350" i="6"/>
  <c r="Q351" i="6"/>
  <c r="Q352" i="6"/>
  <c r="Q353" i="6"/>
  <c r="Q354" i="6"/>
  <c r="Q355" i="6"/>
  <c r="Q356" i="6"/>
  <c r="Q357" i="6"/>
  <c r="Q358" i="6"/>
  <c r="Q359" i="6"/>
  <c r="Q360" i="6"/>
  <c r="Q361" i="6"/>
  <c r="Q362" i="6"/>
  <c r="Q363" i="6"/>
  <c r="Q364" i="6"/>
  <c r="Q365" i="6"/>
  <c r="Q366" i="6"/>
  <c r="Q367" i="6"/>
  <c r="Q368" i="6"/>
  <c r="Q369" i="6"/>
  <c r="Q370" i="6"/>
  <c r="Q371" i="6"/>
  <c r="Q372" i="6"/>
  <c r="Q373" i="6"/>
  <c r="Q374" i="6"/>
  <c r="Q375" i="6"/>
  <c r="Q376" i="6"/>
  <c r="Q377" i="6"/>
  <c r="Q378" i="6"/>
  <c r="Q379" i="6"/>
  <c r="Q380" i="6"/>
  <c r="Q381" i="6"/>
  <c r="Q382" i="6"/>
  <c r="Q383" i="6"/>
  <c r="Q384" i="6"/>
  <c r="Q385" i="6"/>
  <c r="Q386" i="6"/>
  <c r="Q387" i="6"/>
  <c r="Q388" i="6"/>
  <c r="Q389" i="6"/>
  <c r="Q390" i="6"/>
  <c r="Q391" i="6"/>
  <c r="Q392" i="6"/>
  <c r="Q393" i="6"/>
  <c r="Q394" i="6"/>
  <c r="Q395" i="6"/>
  <c r="Q396" i="6"/>
  <c r="Q397" i="6"/>
  <c r="Q398" i="6"/>
  <c r="Q399" i="6"/>
  <c r="Q400" i="6"/>
  <c r="Q401" i="6"/>
  <c r="Q402" i="6"/>
  <c r="Q403" i="6"/>
  <c r="Q404" i="6"/>
  <c r="Q405" i="6"/>
  <c r="Q406" i="6"/>
  <c r="Q407" i="6"/>
  <c r="Q408" i="6"/>
  <c r="Q409" i="6"/>
  <c r="Q410" i="6"/>
  <c r="Q411" i="6"/>
  <c r="Q412" i="6"/>
  <c r="Q413" i="6"/>
  <c r="Q414" i="6"/>
  <c r="Q415" i="6"/>
  <c r="Q416" i="6"/>
  <c r="Q417" i="6"/>
  <c r="Q418" i="6"/>
  <c r="Q419" i="6"/>
  <c r="Q420" i="6"/>
  <c r="Q421" i="6"/>
  <c r="Q422" i="6"/>
  <c r="Q423" i="6"/>
  <c r="Q424" i="6"/>
  <c r="Q425" i="6"/>
  <c r="Q426" i="6"/>
  <c r="Q427" i="6"/>
  <c r="Q428" i="6"/>
  <c r="Q429" i="6"/>
  <c r="Q430" i="6"/>
  <c r="Q431" i="6"/>
  <c r="Q432" i="6"/>
  <c r="Q433" i="6"/>
  <c r="Q434" i="6"/>
  <c r="Q435" i="6"/>
  <c r="Q436" i="6"/>
  <c r="Q437" i="6"/>
  <c r="Q438" i="6"/>
  <c r="Q439" i="6"/>
  <c r="Q440" i="6"/>
  <c r="Q441" i="6"/>
  <c r="Q442" i="6"/>
  <c r="Q443" i="6"/>
  <c r="Q444" i="6"/>
  <c r="Q445" i="6"/>
  <c r="Q446" i="6"/>
  <c r="Q447" i="6"/>
  <c r="Q448" i="6"/>
  <c r="Q449" i="6"/>
  <c r="Q450" i="6"/>
  <c r="Q451" i="6"/>
  <c r="Q452" i="6"/>
  <c r="Q453" i="6"/>
  <c r="Q454" i="6"/>
  <c r="Q455" i="6"/>
  <c r="Q456" i="6"/>
  <c r="Q457" i="6"/>
  <c r="Q458" i="6"/>
  <c r="Q459" i="6"/>
  <c r="Q460" i="6"/>
  <c r="Q461" i="6"/>
  <c r="Q462" i="6"/>
  <c r="Q463" i="6"/>
  <c r="Q464" i="6"/>
  <c r="Q465" i="6"/>
  <c r="Q466" i="6"/>
  <c r="Q467" i="6"/>
  <c r="Q468" i="6"/>
  <c r="Q469" i="6"/>
  <c r="Q470" i="6"/>
  <c r="Q471" i="6"/>
  <c r="Q472" i="6"/>
  <c r="Q473" i="6"/>
  <c r="Q474" i="6"/>
  <c r="Q475" i="6"/>
  <c r="Q476" i="6"/>
  <c r="Q477" i="6"/>
  <c r="Q478" i="6"/>
  <c r="Q479" i="6"/>
  <c r="Q480" i="6"/>
  <c r="Q481" i="6"/>
  <c r="Q482" i="6"/>
  <c r="Q483" i="6"/>
  <c r="Q484" i="6"/>
  <c r="Q485" i="6"/>
  <c r="Q486" i="6"/>
  <c r="Q487" i="6"/>
  <c r="Q488" i="6"/>
  <c r="Q489" i="6"/>
  <c r="Q490" i="6"/>
  <c r="Q491" i="6"/>
  <c r="Q492" i="6"/>
  <c r="Q493" i="6"/>
  <c r="Q494" i="6"/>
  <c r="Q495" i="6"/>
  <c r="Q496" i="6"/>
  <c r="Q497" i="6"/>
  <c r="Q498" i="6"/>
  <c r="Q499" i="6"/>
  <c r="Q500" i="6"/>
  <c r="Q501" i="6"/>
  <c r="Q502" i="6"/>
  <c r="Q503" i="6"/>
  <c r="Q504" i="6"/>
  <c r="Q505" i="6"/>
  <c r="Q506" i="6"/>
  <c r="Q507" i="6"/>
  <c r="Q508" i="6"/>
  <c r="Q509" i="6"/>
  <c r="Q510" i="6"/>
  <c r="Q511" i="6"/>
  <c r="Q512" i="6"/>
  <c r="Q513" i="6"/>
  <c r="Q514" i="6"/>
  <c r="Q515" i="6"/>
  <c r="Q516" i="6"/>
  <c r="Q517" i="6"/>
  <c r="Q518" i="6"/>
  <c r="Q519" i="6"/>
  <c r="Q520" i="6"/>
  <c r="Q521" i="6"/>
  <c r="Q522" i="6"/>
  <c r="Q523" i="6"/>
  <c r="Q524" i="6"/>
  <c r="Q525" i="6"/>
  <c r="Q526" i="6"/>
  <c r="Q527" i="6"/>
  <c r="Q528" i="6"/>
  <c r="Q529" i="6"/>
  <c r="Q530" i="6"/>
  <c r="Q531" i="6"/>
  <c r="Q532" i="6"/>
  <c r="Q533" i="6"/>
  <c r="Q534" i="6"/>
  <c r="Q535" i="6"/>
  <c r="Q536" i="6"/>
  <c r="Q537" i="6"/>
  <c r="Q538" i="6"/>
  <c r="Q539" i="6"/>
  <c r="Q540" i="6"/>
  <c r="Q541" i="6"/>
  <c r="Q542" i="6"/>
  <c r="Q543" i="6"/>
  <c r="Q544" i="6"/>
  <c r="Q545" i="6"/>
  <c r="Q546" i="6"/>
  <c r="Q547" i="6"/>
  <c r="Q548" i="6"/>
  <c r="Q549" i="6"/>
  <c r="Q550" i="6"/>
  <c r="Q551" i="6"/>
  <c r="Q552" i="6"/>
  <c r="Q553" i="6"/>
  <c r="Q554" i="6"/>
  <c r="Q555" i="6"/>
  <c r="Q556" i="6"/>
  <c r="Q557" i="6"/>
  <c r="Q558" i="6"/>
  <c r="Q559" i="6"/>
  <c r="Q560" i="6"/>
  <c r="Q561" i="6"/>
  <c r="Q562" i="6"/>
  <c r="Q563" i="6"/>
  <c r="Q564" i="6"/>
  <c r="Q565" i="6"/>
  <c r="Q566" i="6"/>
  <c r="Q567" i="6"/>
  <c r="Q568" i="6"/>
  <c r="Q569" i="6"/>
  <c r="Q570" i="6"/>
  <c r="Q571" i="6"/>
  <c r="Q572" i="6"/>
  <c r="Q573" i="6"/>
  <c r="Q574" i="6"/>
  <c r="Q575" i="6"/>
  <c r="Q576" i="6"/>
  <c r="Q577" i="6"/>
  <c r="Q578" i="6"/>
  <c r="Q579" i="6"/>
  <c r="Q580" i="6"/>
  <c r="Q581" i="6"/>
  <c r="Q582" i="6"/>
  <c r="Q583" i="6"/>
  <c r="Q584" i="6"/>
  <c r="Q585" i="6"/>
  <c r="Q586" i="6"/>
  <c r="Q587" i="6"/>
  <c r="Q588" i="6"/>
  <c r="Q589" i="6"/>
  <c r="Q590" i="6"/>
  <c r="Q591" i="6"/>
  <c r="Q592" i="6"/>
  <c r="Q593" i="6"/>
  <c r="Q594" i="6"/>
  <c r="Q595" i="6"/>
  <c r="Q596" i="6"/>
  <c r="Q597" i="6"/>
  <c r="Q598" i="6"/>
  <c r="Q599" i="6"/>
  <c r="Q600" i="6"/>
  <c r="Q601" i="6"/>
  <c r="Q602" i="6"/>
  <c r="Q603" i="6"/>
  <c r="Q604" i="6"/>
  <c r="Q605" i="6"/>
  <c r="Q606" i="6"/>
  <c r="Q607" i="6"/>
  <c r="Q608" i="6"/>
  <c r="Q609" i="6"/>
  <c r="Q610" i="6"/>
  <c r="Q611" i="6"/>
  <c r="Q612" i="6"/>
  <c r="Q613" i="6"/>
  <c r="Q614" i="6"/>
  <c r="Q615" i="6"/>
  <c r="Q616" i="6"/>
  <c r="Q617" i="6"/>
  <c r="Q618" i="6"/>
  <c r="Q619" i="6"/>
  <c r="Q620" i="6"/>
  <c r="Q621" i="6"/>
  <c r="Q622" i="6"/>
  <c r="Q623" i="6"/>
  <c r="Q624" i="6"/>
  <c r="Q625" i="6"/>
  <c r="Q626" i="6"/>
  <c r="Q627" i="6"/>
  <c r="Q628" i="6"/>
  <c r="Q629" i="6"/>
  <c r="Q630" i="6"/>
  <c r="Q631" i="6"/>
  <c r="Q632" i="6"/>
  <c r="Q633" i="6"/>
  <c r="Q634" i="6"/>
  <c r="Q635" i="6"/>
  <c r="Q636" i="6"/>
  <c r="Q637" i="6"/>
  <c r="Q638" i="6"/>
  <c r="Q639" i="6"/>
  <c r="Q640" i="6"/>
  <c r="Q641" i="6"/>
  <c r="Q642" i="6"/>
  <c r="Q643" i="6"/>
  <c r="Q644" i="6"/>
  <c r="Q645" i="6"/>
  <c r="Q646" i="6"/>
  <c r="Q647" i="6"/>
  <c r="Q648" i="6"/>
  <c r="Q649" i="6"/>
  <c r="Q650" i="6"/>
  <c r="Q651" i="6"/>
  <c r="Q652" i="6"/>
  <c r="Q653" i="6"/>
  <c r="Q654" i="6"/>
  <c r="Q655" i="6"/>
  <c r="Q656" i="6"/>
  <c r="Q657" i="6"/>
  <c r="Q658" i="6"/>
  <c r="Q659" i="6"/>
  <c r="Q660" i="6"/>
  <c r="Q661" i="6"/>
  <c r="Q662" i="6"/>
  <c r="Q663" i="6"/>
  <c r="Q664" i="6"/>
  <c r="Q665" i="6"/>
  <c r="Q666" i="6"/>
  <c r="Q667" i="6"/>
  <c r="Q668" i="6"/>
  <c r="Q669" i="6"/>
  <c r="Q670" i="6"/>
  <c r="Q671" i="6"/>
  <c r="Q672" i="6"/>
  <c r="Q673" i="6"/>
  <c r="Q674" i="6"/>
  <c r="Q675" i="6"/>
  <c r="Q676" i="6"/>
  <c r="Q677" i="6"/>
  <c r="Q678" i="6"/>
  <c r="Q679" i="6"/>
  <c r="Q680" i="6"/>
  <c r="Q681" i="6"/>
  <c r="Q682" i="6"/>
  <c r="Q683" i="6"/>
  <c r="Q684" i="6"/>
  <c r="Q685" i="6"/>
  <c r="Q686" i="6"/>
  <c r="Q687" i="6"/>
  <c r="Q688" i="6"/>
  <c r="Q689" i="6"/>
  <c r="Q690" i="6"/>
  <c r="Q691" i="6"/>
  <c r="Q692" i="6"/>
  <c r="Q693" i="6"/>
  <c r="Q694" i="6"/>
  <c r="Q695" i="6"/>
  <c r="Q696" i="6"/>
  <c r="Q697" i="6"/>
  <c r="Q698" i="6"/>
  <c r="Q699" i="6"/>
  <c r="Q700" i="6"/>
  <c r="Q701" i="6"/>
  <c r="Q702" i="6"/>
  <c r="Q703" i="6"/>
  <c r="Q704" i="6"/>
  <c r="Q705" i="6"/>
  <c r="Q706" i="6"/>
  <c r="Q707" i="6"/>
  <c r="Q708" i="6"/>
  <c r="Q709" i="6"/>
  <c r="Q710" i="6"/>
  <c r="Q711" i="6"/>
  <c r="Q712" i="6"/>
  <c r="Q713" i="6"/>
  <c r="Q714" i="6"/>
  <c r="Q715" i="6"/>
  <c r="Q716" i="6"/>
  <c r="Q717" i="6"/>
  <c r="Q718" i="6"/>
  <c r="Q719" i="6"/>
  <c r="Q720" i="6"/>
  <c r="Q721" i="6"/>
  <c r="Q722" i="6"/>
  <c r="Q723" i="6"/>
  <c r="Q724" i="6"/>
  <c r="Q725" i="6"/>
  <c r="Q726" i="6"/>
  <c r="Q727" i="6"/>
  <c r="Q728" i="6"/>
  <c r="Q729" i="6"/>
  <c r="Q730" i="6"/>
  <c r="Q731" i="6"/>
  <c r="Q732" i="6"/>
  <c r="Q733" i="6"/>
  <c r="Q734" i="6"/>
  <c r="Q735" i="6"/>
  <c r="Q736" i="6"/>
  <c r="Q737" i="6"/>
  <c r="Q738" i="6"/>
  <c r="Q739" i="6"/>
  <c r="Q740" i="6"/>
  <c r="Q741" i="6"/>
  <c r="Q742" i="6"/>
  <c r="Q743" i="6"/>
  <c r="Q744" i="6"/>
  <c r="Q745" i="6"/>
  <c r="Q746" i="6"/>
  <c r="Q747" i="6"/>
  <c r="Q748" i="6"/>
  <c r="Q749" i="6"/>
  <c r="Q750" i="6"/>
  <c r="Q751" i="6"/>
  <c r="Q752" i="6"/>
  <c r="Q753" i="6"/>
  <c r="Q754" i="6"/>
  <c r="Q755" i="6"/>
  <c r="Q756" i="6"/>
  <c r="Q757" i="6"/>
  <c r="Q758" i="6"/>
  <c r="Q759" i="6"/>
  <c r="Q760" i="6"/>
  <c r="Q761" i="6"/>
  <c r="Q762" i="6"/>
  <c r="Q763" i="6"/>
  <c r="Q764" i="6"/>
  <c r="Q765" i="6"/>
  <c r="Q766" i="6"/>
  <c r="Q767" i="6"/>
  <c r="Q768" i="6"/>
  <c r="Q769" i="6"/>
  <c r="Q770" i="6"/>
  <c r="Q771" i="6"/>
  <c r="Q772" i="6"/>
  <c r="Q773" i="6"/>
  <c r="Q774" i="6"/>
  <c r="Q775" i="6"/>
  <c r="Q776" i="6"/>
  <c r="Q777" i="6"/>
  <c r="Q778" i="6"/>
  <c r="Q779" i="6"/>
  <c r="Q780" i="6"/>
  <c r="Q781" i="6"/>
  <c r="Q782" i="6"/>
  <c r="Q783" i="6"/>
  <c r="Q784" i="6"/>
  <c r="Q785" i="6"/>
  <c r="Q786" i="6"/>
  <c r="Q787" i="6"/>
  <c r="Q788" i="6"/>
  <c r="Q789" i="6"/>
  <c r="Q790" i="6"/>
  <c r="Q791" i="6"/>
  <c r="Q792" i="6"/>
  <c r="Q793" i="6"/>
  <c r="Q794" i="6"/>
  <c r="Q795" i="6"/>
  <c r="Q796" i="6"/>
  <c r="Q797" i="6"/>
  <c r="Q798" i="6"/>
  <c r="Q799" i="6"/>
  <c r="Q800" i="6"/>
  <c r="Q801" i="6"/>
  <c r="Q802" i="6"/>
  <c r="Q803" i="6"/>
  <c r="Q804" i="6"/>
  <c r="Q805" i="6"/>
  <c r="Q806" i="6"/>
  <c r="Q807" i="6"/>
  <c r="Q808" i="6"/>
  <c r="Q809" i="6"/>
  <c r="Q810" i="6"/>
  <c r="Q811" i="6"/>
  <c r="Q812" i="6"/>
  <c r="Q813" i="6"/>
  <c r="Q814" i="6"/>
  <c r="Q815" i="6"/>
  <c r="Q816" i="6"/>
  <c r="Q817" i="6"/>
  <c r="Q818" i="6"/>
  <c r="Q819" i="6"/>
  <c r="Q820" i="6"/>
  <c r="Q821" i="6"/>
  <c r="Q822" i="6"/>
  <c r="Q823" i="6"/>
  <c r="Q824" i="6"/>
  <c r="Q825" i="6"/>
  <c r="Q826" i="6"/>
  <c r="Q827" i="6"/>
  <c r="Q828" i="6"/>
  <c r="Q829" i="6"/>
  <c r="Q830" i="6"/>
  <c r="Q831" i="6"/>
  <c r="Q832" i="6"/>
  <c r="Q833" i="6"/>
  <c r="Q834" i="6"/>
  <c r="Q835" i="6"/>
  <c r="Q836" i="6"/>
  <c r="Q837" i="6"/>
  <c r="Q838" i="6"/>
  <c r="Q839" i="6"/>
  <c r="Q840" i="6"/>
  <c r="Q841" i="6"/>
  <c r="Q842" i="6"/>
  <c r="Q843" i="6"/>
  <c r="Q844" i="6"/>
  <c r="Q845" i="6"/>
  <c r="Q846" i="6"/>
  <c r="Q847" i="6"/>
  <c r="Q848" i="6"/>
  <c r="Q849" i="6"/>
  <c r="Q850" i="6"/>
  <c r="Q851" i="6"/>
  <c r="Q852" i="6"/>
  <c r="Q853" i="6"/>
  <c r="Q854" i="6"/>
  <c r="Q855" i="6"/>
  <c r="Q856" i="6"/>
  <c r="Q857" i="6"/>
  <c r="Q858" i="6"/>
  <c r="Q859" i="6"/>
  <c r="Q860" i="6"/>
  <c r="Q861" i="6"/>
  <c r="Q862" i="6"/>
  <c r="Q863" i="6"/>
  <c r="Q864" i="6"/>
  <c r="Q865" i="6"/>
  <c r="Q866" i="6"/>
  <c r="Q867" i="6"/>
  <c r="Q868" i="6"/>
  <c r="Q869" i="6"/>
  <c r="Q870" i="6"/>
  <c r="Q871" i="6"/>
  <c r="Q872" i="6"/>
  <c r="Q873" i="6"/>
  <c r="Q874" i="6"/>
  <c r="Q875" i="6"/>
  <c r="Q876" i="6"/>
  <c r="Q877" i="6"/>
  <c r="Q878" i="6"/>
  <c r="Q879" i="6"/>
  <c r="Q880" i="6"/>
  <c r="Q881" i="6"/>
  <c r="Q882" i="6"/>
  <c r="Q883" i="6"/>
  <c r="Q884" i="6"/>
  <c r="Q885" i="6"/>
  <c r="Q886" i="6"/>
  <c r="Q887" i="6"/>
  <c r="Q888" i="6"/>
  <c r="Q889" i="6"/>
  <c r="Q890" i="6"/>
  <c r="Q891" i="6"/>
  <c r="Q892" i="6"/>
  <c r="Q893" i="6"/>
  <c r="Q894" i="6"/>
  <c r="Q895" i="6"/>
  <c r="Q896" i="6"/>
  <c r="Q897" i="6"/>
  <c r="Q898" i="6"/>
  <c r="Q899" i="6"/>
  <c r="Q900" i="6"/>
  <c r="Q901" i="6"/>
  <c r="Q902" i="6"/>
  <c r="Q903" i="6"/>
  <c r="Q904" i="6"/>
  <c r="Q905" i="6"/>
  <c r="Q906" i="6"/>
  <c r="Q907" i="6"/>
  <c r="Q908" i="6"/>
  <c r="Q909" i="6"/>
  <c r="Q910" i="6"/>
  <c r="Q911" i="6"/>
  <c r="Q912" i="6"/>
  <c r="Q913" i="6"/>
  <c r="Q914" i="6"/>
  <c r="Q915" i="6"/>
  <c r="Q916" i="6"/>
  <c r="Q917" i="6"/>
  <c r="Q918" i="6"/>
  <c r="Q919" i="6"/>
  <c r="Q920" i="6"/>
  <c r="Q921" i="6"/>
  <c r="Q922" i="6"/>
  <c r="Q923" i="6"/>
  <c r="Q924" i="6"/>
  <c r="Q925" i="6"/>
  <c r="Q926" i="6"/>
  <c r="Q927" i="6"/>
  <c r="Q928" i="6"/>
  <c r="Q929" i="6"/>
  <c r="Q930" i="6"/>
  <c r="Q931" i="6"/>
  <c r="Q932" i="6"/>
  <c r="Q933" i="6"/>
  <c r="Q934" i="6"/>
  <c r="Q935" i="6"/>
  <c r="Q936" i="6"/>
  <c r="Q937" i="6"/>
  <c r="Q938" i="6"/>
  <c r="Q939" i="6"/>
  <c r="Q940" i="6"/>
  <c r="Q941" i="6"/>
  <c r="Q942" i="6"/>
  <c r="Q943" i="6"/>
  <c r="Q944" i="6"/>
  <c r="Q945" i="6"/>
  <c r="Q946" i="6"/>
  <c r="Q947" i="6"/>
  <c r="Q948" i="6"/>
  <c r="Q949" i="6"/>
  <c r="Q950" i="6"/>
  <c r="Q951" i="6"/>
  <c r="Q952" i="6"/>
  <c r="Q953" i="6"/>
  <c r="Q954" i="6"/>
  <c r="Q955" i="6"/>
  <c r="Q956" i="6"/>
  <c r="Q957" i="6"/>
  <c r="Q958" i="6"/>
  <c r="Q959" i="6"/>
  <c r="Q960" i="6"/>
  <c r="Q961" i="6"/>
  <c r="Q962" i="6"/>
  <c r="Q963" i="6"/>
  <c r="Q964" i="6"/>
  <c r="Q965" i="6"/>
  <c r="Q966" i="6"/>
  <c r="Q967" i="6"/>
  <c r="Q968" i="6"/>
  <c r="Q969" i="6"/>
  <c r="Q970" i="6"/>
  <c r="Q971" i="6"/>
  <c r="Q972" i="6"/>
  <c r="Q973" i="6"/>
  <c r="Q974" i="6"/>
  <c r="Q975" i="6"/>
  <c r="Q976" i="6"/>
  <c r="Q977" i="6"/>
  <c r="Q978" i="6"/>
  <c r="Q979" i="6"/>
  <c r="Q980" i="6"/>
  <c r="Q981" i="6"/>
  <c r="Q982" i="6"/>
  <c r="Q983" i="6"/>
  <c r="Q984" i="6"/>
  <c r="Q985" i="6"/>
  <c r="Q986" i="6"/>
  <c r="Q987" i="6"/>
  <c r="Q988" i="6"/>
  <c r="Q989" i="6"/>
  <c r="Q990" i="6"/>
  <c r="Q991" i="6"/>
  <c r="Q992" i="6"/>
  <c r="Q993" i="6"/>
  <c r="Q994" i="6"/>
  <c r="Q995" i="6"/>
  <c r="Q996" i="6"/>
  <c r="Q997" i="6"/>
  <c r="Q998" i="6"/>
  <c r="Q999" i="6"/>
  <c r="Q1000" i="6"/>
  <c r="Q1001" i="6"/>
  <c r="Q1002" i="6"/>
  <c r="Q1003" i="6"/>
  <c r="Q1004" i="6"/>
  <c r="Q1005" i="6"/>
  <c r="Q1006" i="6"/>
  <c r="Q1007" i="6"/>
  <c r="Q1008" i="6"/>
  <c r="Q1009" i="6"/>
  <c r="Q1010" i="6"/>
  <c r="Q1011" i="6"/>
  <c r="Q1012" i="6"/>
  <c r="Q1013" i="6"/>
  <c r="Q1014" i="6"/>
  <c r="Q1015" i="6"/>
  <c r="Q1016" i="6"/>
  <c r="Q1017" i="6"/>
  <c r="Q1018" i="6"/>
  <c r="Q1019" i="6"/>
  <c r="Q1020" i="6"/>
  <c r="Q1021" i="6"/>
  <c r="Q1022" i="6"/>
  <c r="Q1024" i="6"/>
  <c r="Q1025" i="6"/>
  <c r="Q1026" i="6"/>
  <c r="Q1027" i="6"/>
  <c r="Q1028" i="6"/>
  <c r="Q1029" i="6"/>
  <c r="Q1030" i="6"/>
  <c r="Q1031" i="6"/>
  <c r="Q1032" i="6"/>
  <c r="Q1033" i="6"/>
  <c r="Q1034" i="6"/>
  <c r="Q1035" i="6"/>
  <c r="Q1036" i="6"/>
  <c r="Q1037" i="6"/>
  <c r="Q1038" i="6"/>
  <c r="Q1039" i="6"/>
  <c r="Q1040" i="6"/>
  <c r="Q1041" i="6"/>
  <c r="Q1042" i="6"/>
  <c r="Q1043" i="6"/>
  <c r="Q1044" i="6"/>
  <c r="Q1045" i="6"/>
  <c r="Q1046" i="6"/>
  <c r="Q1047" i="6"/>
  <c r="Q1048" i="6"/>
  <c r="Q1049" i="6"/>
  <c r="Q3" i="6"/>
  <c r="BD3" i="6"/>
  <c r="P4" i="6"/>
  <c r="P5" i="6"/>
  <c r="P6" i="6"/>
  <c r="P7" i="6"/>
  <c r="P8" i="6"/>
  <c r="P9" i="6"/>
  <c r="P10" i="6"/>
  <c r="P11" i="6"/>
  <c r="P12" i="6"/>
  <c r="P13" i="6"/>
  <c r="P14" i="6"/>
  <c r="P15" i="6"/>
  <c r="P16" i="6"/>
  <c r="P17" i="6"/>
  <c r="P18" i="6"/>
  <c r="P19" i="6"/>
  <c r="P20" i="6"/>
  <c r="P21" i="6"/>
  <c r="P22" i="6"/>
  <c r="P23" i="6"/>
  <c r="P24" i="6"/>
  <c r="P25" i="6"/>
  <c r="P26" i="6"/>
  <c r="P27" i="6"/>
  <c r="P28" i="6"/>
  <c r="P29" i="6"/>
  <c r="P30" i="6"/>
  <c r="P31" i="6"/>
  <c r="P32" i="6"/>
  <c r="P33" i="6"/>
  <c r="P34" i="6"/>
  <c r="P35" i="6"/>
  <c r="P36" i="6"/>
  <c r="P37" i="6"/>
  <c r="P38" i="6"/>
  <c r="P39" i="6"/>
  <c r="P40" i="6"/>
  <c r="P41" i="6"/>
  <c r="P42" i="6"/>
  <c r="P43" i="6"/>
  <c r="P44" i="6"/>
  <c r="P45" i="6"/>
  <c r="P46" i="6"/>
  <c r="P47" i="6"/>
  <c r="P48" i="6"/>
  <c r="P49" i="6"/>
  <c r="P50" i="6"/>
  <c r="P51" i="6"/>
  <c r="P52" i="6"/>
  <c r="P53" i="6"/>
  <c r="P54" i="6"/>
  <c r="P55" i="6"/>
  <c r="P56" i="6"/>
  <c r="P57" i="6"/>
  <c r="P58" i="6"/>
  <c r="P59" i="6"/>
  <c r="P60" i="6"/>
  <c r="P61" i="6"/>
  <c r="P62" i="6"/>
  <c r="P63" i="6"/>
  <c r="P64" i="6"/>
  <c r="P65" i="6"/>
  <c r="P66" i="6"/>
  <c r="P67" i="6"/>
  <c r="P68" i="6"/>
  <c r="P69" i="6"/>
  <c r="P70" i="6"/>
  <c r="P71" i="6"/>
  <c r="P72" i="6"/>
  <c r="P73" i="6"/>
  <c r="P74" i="6"/>
  <c r="P75" i="6"/>
  <c r="P76" i="6"/>
  <c r="P77" i="6"/>
  <c r="P78" i="6"/>
  <c r="P79" i="6"/>
  <c r="P80" i="6"/>
  <c r="P81" i="6"/>
  <c r="P82" i="6"/>
  <c r="P83" i="6"/>
  <c r="P84" i="6"/>
  <c r="P85" i="6"/>
  <c r="P86" i="6"/>
  <c r="P87" i="6"/>
  <c r="P88" i="6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P133" i="6"/>
  <c r="P134" i="6"/>
  <c r="P135" i="6"/>
  <c r="P136" i="6"/>
  <c r="P137" i="6"/>
  <c r="P138" i="6"/>
  <c r="P139" i="6"/>
  <c r="P140" i="6"/>
  <c r="P141" i="6"/>
  <c r="P142" i="6"/>
  <c r="P143" i="6"/>
  <c r="P144" i="6"/>
  <c r="P145" i="6"/>
  <c r="P146" i="6"/>
  <c r="P147" i="6"/>
  <c r="P148" i="6"/>
  <c r="P149" i="6"/>
  <c r="P150" i="6"/>
  <c r="P151" i="6"/>
  <c r="P152" i="6"/>
  <c r="P153" i="6"/>
  <c r="P154" i="6"/>
  <c r="P155" i="6"/>
  <c r="P156" i="6"/>
  <c r="P157" i="6"/>
  <c r="P158" i="6"/>
  <c r="P159" i="6"/>
  <c r="P160" i="6"/>
  <c r="P161" i="6"/>
  <c r="P162" i="6"/>
  <c r="P163" i="6"/>
  <c r="P164" i="6"/>
  <c r="P165" i="6"/>
  <c r="P166" i="6"/>
  <c r="P167" i="6"/>
  <c r="P168" i="6"/>
  <c r="P169" i="6"/>
  <c r="P170" i="6"/>
  <c r="P171" i="6"/>
  <c r="P172" i="6"/>
  <c r="P173" i="6"/>
  <c r="P174" i="6"/>
  <c r="P175" i="6"/>
  <c r="P176" i="6"/>
  <c r="P177" i="6"/>
  <c r="P178" i="6"/>
  <c r="P179" i="6"/>
  <c r="P180" i="6"/>
  <c r="P181" i="6"/>
  <c r="P182" i="6"/>
  <c r="P183" i="6"/>
  <c r="P184" i="6"/>
  <c r="P185" i="6"/>
  <c r="P186" i="6"/>
  <c r="P187" i="6"/>
  <c r="P188" i="6"/>
  <c r="P189" i="6"/>
  <c r="P190" i="6"/>
  <c r="P191" i="6"/>
  <c r="P192" i="6"/>
  <c r="P193" i="6"/>
  <c r="P194" i="6"/>
  <c r="P195" i="6"/>
  <c r="P196" i="6"/>
  <c r="P197" i="6"/>
  <c r="P198" i="6"/>
  <c r="P199" i="6"/>
  <c r="P200" i="6"/>
  <c r="P201" i="6"/>
  <c r="P202" i="6"/>
  <c r="P203" i="6"/>
  <c r="P204" i="6"/>
  <c r="P205" i="6"/>
  <c r="P206" i="6"/>
  <c r="P207" i="6"/>
  <c r="P208" i="6"/>
  <c r="P209" i="6"/>
  <c r="P210" i="6"/>
  <c r="P211" i="6"/>
  <c r="P212" i="6"/>
  <c r="P213" i="6"/>
  <c r="P214" i="6"/>
  <c r="P215" i="6"/>
  <c r="P216" i="6"/>
  <c r="P217" i="6"/>
  <c r="P218" i="6"/>
  <c r="P219" i="6"/>
  <c r="P220" i="6"/>
  <c r="P221" i="6"/>
  <c r="P222" i="6"/>
  <c r="P223" i="6"/>
  <c r="P224" i="6"/>
  <c r="P225" i="6"/>
  <c r="P226" i="6"/>
  <c r="P227" i="6"/>
  <c r="P228" i="6"/>
  <c r="P229" i="6"/>
  <c r="P230" i="6"/>
  <c r="P231" i="6"/>
  <c r="P232" i="6"/>
  <c r="P233" i="6"/>
  <c r="P234" i="6"/>
  <c r="P235" i="6"/>
  <c r="P236" i="6"/>
  <c r="P237" i="6"/>
  <c r="P238" i="6"/>
  <c r="P239" i="6"/>
  <c r="P240" i="6"/>
  <c r="P241" i="6"/>
  <c r="P242" i="6"/>
  <c r="P243" i="6"/>
  <c r="P244" i="6"/>
  <c r="P245" i="6"/>
  <c r="P246" i="6"/>
  <c r="P247" i="6"/>
  <c r="P248" i="6"/>
  <c r="P249" i="6"/>
  <c r="P250" i="6"/>
  <c r="P251" i="6"/>
  <c r="P252" i="6"/>
  <c r="P253" i="6"/>
  <c r="P254" i="6"/>
  <c r="P255" i="6"/>
  <c r="P256" i="6"/>
  <c r="P257" i="6"/>
  <c r="P258" i="6"/>
  <c r="P259" i="6"/>
  <c r="P260" i="6"/>
  <c r="P261" i="6"/>
  <c r="P262" i="6"/>
  <c r="P263" i="6"/>
  <c r="P264" i="6"/>
  <c r="P265" i="6"/>
  <c r="P266" i="6"/>
  <c r="P267" i="6"/>
  <c r="P268" i="6"/>
  <c r="P269" i="6"/>
  <c r="P270" i="6"/>
  <c r="P271" i="6"/>
  <c r="P272" i="6"/>
  <c r="P273" i="6"/>
  <c r="P274" i="6"/>
  <c r="P275" i="6"/>
  <c r="P276" i="6"/>
  <c r="P277" i="6"/>
  <c r="P278" i="6"/>
  <c r="P279" i="6"/>
  <c r="P280" i="6"/>
  <c r="P281" i="6"/>
  <c r="P282" i="6"/>
  <c r="P283" i="6"/>
  <c r="P284" i="6"/>
  <c r="P285" i="6"/>
  <c r="P286" i="6"/>
  <c r="P287" i="6"/>
  <c r="P288" i="6"/>
  <c r="P289" i="6"/>
  <c r="P290" i="6"/>
  <c r="P291" i="6"/>
  <c r="P292" i="6"/>
  <c r="P293" i="6"/>
  <c r="P294" i="6"/>
  <c r="P295" i="6"/>
  <c r="P296" i="6"/>
  <c r="P297" i="6"/>
  <c r="P298" i="6"/>
  <c r="P299" i="6"/>
  <c r="P300" i="6"/>
  <c r="P301" i="6"/>
  <c r="P302" i="6"/>
  <c r="P303" i="6"/>
  <c r="P304" i="6"/>
  <c r="P305" i="6"/>
  <c r="P306" i="6"/>
  <c r="P307" i="6"/>
  <c r="P308" i="6"/>
  <c r="P309" i="6"/>
  <c r="P310" i="6"/>
  <c r="P311" i="6"/>
  <c r="P312" i="6"/>
  <c r="P313" i="6"/>
  <c r="P314" i="6"/>
  <c r="P315" i="6"/>
  <c r="P316" i="6"/>
  <c r="P317" i="6"/>
  <c r="P318" i="6"/>
  <c r="P319" i="6"/>
  <c r="P320" i="6"/>
  <c r="P321" i="6"/>
  <c r="P322" i="6"/>
  <c r="P323" i="6"/>
  <c r="P324" i="6"/>
  <c r="P325" i="6"/>
  <c r="P326" i="6"/>
  <c r="P327" i="6"/>
  <c r="P328" i="6"/>
  <c r="P329" i="6"/>
  <c r="P330" i="6"/>
  <c r="P331" i="6"/>
  <c r="P332" i="6"/>
  <c r="P333" i="6"/>
  <c r="P334" i="6"/>
  <c r="P335" i="6"/>
  <c r="P336" i="6"/>
  <c r="P337" i="6"/>
  <c r="P338" i="6"/>
  <c r="P339" i="6"/>
  <c r="P340" i="6"/>
  <c r="P341" i="6"/>
  <c r="P342" i="6"/>
  <c r="P343" i="6"/>
  <c r="P344" i="6"/>
  <c r="P345" i="6"/>
  <c r="P346" i="6"/>
  <c r="P347" i="6"/>
  <c r="P348" i="6"/>
  <c r="P349" i="6"/>
  <c r="P350" i="6"/>
  <c r="P351" i="6"/>
  <c r="P352" i="6"/>
  <c r="P353" i="6"/>
  <c r="P354" i="6"/>
  <c r="P355" i="6"/>
  <c r="P356" i="6"/>
  <c r="P357" i="6"/>
  <c r="P358" i="6"/>
  <c r="P359" i="6"/>
  <c r="P360" i="6"/>
  <c r="P361" i="6"/>
  <c r="P362" i="6"/>
  <c r="P363" i="6"/>
  <c r="P364" i="6"/>
  <c r="P365" i="6"/>
  <c r="P366" i="6"/>
  <c r="P367" i="6"/>
  <c r="P368" i="6"/>
  <c r="P369" i="6"/>
  <c r="P370" i="6"/>
  <c r="P371" i="6"/>
  <c r="P372" i="6"/>
  <c r="P373" i="6"/>
  <c r="P374" i="6"/>
  <c r="P375" i="6"/>
  <c r="P376" i="6"/>
  <c r="P377" i="6"/>
  <c r="P378" i="6"/>
  <c r="P379" i="6"/>
  <c r="P380" i="6"/>
  <c r="P381" i="6"/>
  <c r="P382" i="6"/>
  <c r="P383" i="6"/>
  <c r="P384" i="6"/>
  <c r="P385" i="6"/>
  <c r="P386" i="6"/>
  <c r="P387" i="6"/>
  <c r="P388" i="6"/>
  <c r="P389" i="6"/>
  <c r="P390" i="6"/>
  <c r="P391" i="6"/>
  <c r="P392" i="6"/>
  <c r="P393" i="6"/>
  <c r="P394" i="6"/>
  <c r="P395" i="6"/>
  <c r="P396" i="6"/>
  <c r="P397" i="6"/>
  <c r="P398" i="6"/>
  <c r="P399" i="6"/>
  <c r="P400" i="6"/>
  <c r="P401" i="6"/>
  <c r="P402" i="6"/>
  <c r="P403" i="6"/>
  <c r="P404" i="6"/>
  <c r="P405" i="6"/>
  <c r="P406" i="6"/>
  <c r="P407" i="6"/>
  <c r="P408" i="6"/>
  <c r="P409" i="6"/>
  <c r="P410" i="6"/>
  <c r="P411" i="6"/>
  <c r="P412" i="6"/>
  <c r="P413" i="6"/>
  <c r="P414" i="6"/>
  <c r="P415" i="6"/>
  <c r="P416" i="6"/>
  <c r="P417" i="6"/>
  <c r="P418" i="6"/>
  <c r="P419" i="6"/>
  <c r="P420" i="6"/>
  <c r="P421" i="6"/>
  <c r="P422" i="6"/>
  <c r="P423" i="6"/>
  <c r="P424" i="6"/>
  <c r="P425" i="6"/>
  <c r="P426" i="6"/>
  <c r="P427" i="6"/>
  <c r="P428" i="6"/>
  <c r="P429" i="6"/>
  <c r="P430" i="6"/>
  <c r="P431" i="6"/>
  <c r="P432" i="6"/>
  <c r="P433" i="6"/>
  <c r="P434" i="6"/>
  <c r="P435" i="6"/>
  <c r="P436" i="6"/>
  <c r="P437" i="6"/>
  <c r="P438" i="6"/>
  <c r="P439" i="6"/>
  <c r="P440" i="6"/>
  <c r="P441" i="6"/>
  <c r="P442" i="6"/>
  <c r="P443" i="6"/>
  <c r="P444" i="6"/>
  <c r="P445" i="6"/>
  <c r="P446" i="6"/>
  <c r="P447" i="6"/>
  <c r="P448" i="6"/>
  <c r="P449" i="6"/>
  <c r="P450" i="6"/>
  <c r="P451" i="6"/>
  <c r="P452" i="6"/>
  <c r="P453" i="6"/>
  <c r="P454" i="6"/>
  <c r="P455" i="6"/>
  <c r="P456" i="6"/>
  <c r="P457" i="6"/>
  <c r="P458" i="6"/>
  <c r="P459" i="6"/>
  <c r="P460" i="6"/>
  <c r="P461" i="6"/>
  <c r="P462" i="6"/>
  <c r="P463" i="6"/>
  <c r="P464" i="6"/>
  <c r="P465" i="6"/>
  <c r="P466" i="6"/>
  <c r="P467" i="6"/>
  <c r="P468" i="6"/>
  <c r="P469" i="6"/>
  <c r="P470" i="6"/>
  <c r="P471" i="6"/>
  <c r="P472" i="6"/>
  <c r="P473" i="6"/>
  <c r="P474" i="6"/>
  <c r="P475" i="6"/>
  <c r="P476" i="6"/>
  <c r="P477" i="6"/>
  <c r="P478" i="6"/>
  <c r="P479" i="6"/>
  <c r="P480" i="6"/>
  <c r="P481" i="6"/>
  <c r="P482" i="6"/>
  <c r="P483" i="6"/>
  <c r="P484" i="6"/>
  <c r="P485" i="6"/>
  <c r="P486" i="6"/>
  <c r="P487" i="6"/>
  <c r="P488" i="6"/>
  <c r="P489" i="6"/>
  <c r="P490" i="6"/>
  <c r="P491" i="6"/>
  <c r="P492" i="6"/>
  <c r="P493" i="6"/>
  <c r="P494" i="6"/>
  <c r="P495" i="6"/>
  <c r="P496" i="6"/>
  <c r="P497" i="6"/>
  <c r="P498" i="6"/>
  <c r="P499" i="6"/>
  <c r="P500" i="6"/>
  <c r="P501" i="6"/>
  <c r="P502" i="6"/>
  <c r="P503" i="6"/>
  <c r="P504" i="6"/>
  <c r="P505" i="6"/>
  <c r="P506" i="6"/>
  <c r="P507" i="6"/>
  <c r="P508" i="6"/>
  <c r="P509" i="6"/>
  <c r="P510" i="6"/>
  <c r="P511" i="6"/>
  <c r="P512" i="6"/>
  <c r="P513" i="6"/>
  <c r="P514" i="6"/>
  <c r="P515" i="6"/>
  <c r="P516" i="6"/>
  <c r="P517" i="6"/>
  <c r="P518" i="6"/>
  <c r="P519" i="6"/>
  <c r="P520" i="6"/>
  <c r="P521" i="6"/>
  <c r="P522" i="6"/>
  <c r="P523" i="6"/>
  <c r="P524" i="6"/>
  <c r="P525" i="6"/>
  <c r="P526" i="6"/>
  <c r="P527" i="6"/>
  <c r="P528" i="6"/>
  <c r="P529" i="6"/>
  <c r="P530" i="6"/>
  <c r="P531" i="6"/>
  <c r="P532" i="6"/>
  <c r="P533" i="6"/>
  <c r="P534" i="6"/>
  <c r="P535" i="6"/>
  <c r="P536" i="6"/>
  <c r="P537" i="6"/>
  <c r="P538" i="6"/>
  <c r="P539" i="6"/>
  <c r="P540" i="6"/>
  <c r="P541" i="6"/>
  <c r="P542" i="6"/>
  <c r="P543" i="6"/>
  <c r="P544" i="6"/>
  <c r="P545" i="6"/>
  <c r="P546" i="6"/>
  <c r="P547" i="6"/>
  <c r="P548" i="6"/>
  <c r="P549" i="6"/>
  <c r="P550" i="6"/>
  <c r="P551" i="6"/>
  <c r="P552" i="6"/>
  <c r="P553" i="6"/>
  <c r="P554" i="6"/>
  <c r="P555" i="6"/>
  <c r="P556" i="6"/>
  <c r="P557" i="6"/>
  <c r="P558" i="6"/>
  <c r="P559" i="6"/>
  <c r="P560" i="6"/>
  <c r="P561" i="6"/>
  <c r="P562" i="6"/>
  <c r="P563" i="6"/>
  <c r="P564" i="6"/>
  <c r="P565" i="6"/>
  <c r="P566" i="6"/>
  <c r="P567" i="6"/>
  <c r="P568" i="6"/>
  <c r="P569" i="6"/>
  <c r="P570" i="6"/>
  <c r="P571" i="6"/>
  <c r="P572" i="6"/>
  <c r="P573" i="6"/>
  <c r="P574" i="6"/>
  <c r="P575" i="6"/>
  <c r="P576" i="6"/>
  <c r="P577" i="6"/>
  <c r="P578" i="6"/>
  <c r="P579" i="6"/>
  <c r="P580" i="6"/>
  <c r="P581" i="6"/>
  <c r="P582" i="6"/>
  <c r="P583" i="6"/>
  <c r="P584" i="6"/>
  <c r="P585" i="6"/>
  <c r="P586" i="6"/>
  <c r="P587" i="6"/>
  <c r="P588" i="6"/>
  <c r="P589" i="6"/>
  <c r="P590" i="6"/>
  <c r="P591" i="6"/>
  <c r="P592" i="6"/>
  <c r="P593" i="6"/>
  <c r="P594" i="6"/>
  <c r="P595" i="6"/>
  <c r="P596" i="6"/>
  <c r="P597" i="6"/>
  <c r="P598" i="6"/>
  <c r="P599" i="6"/>
  <c r="P600" i="6"/>
  <c r="P601" i="6"/>
  <c r="P602" i="6"/>
  <c r="P603" i="6"/>
  <c r="P604" i="6"/>
  <c r="P605" i="6"/>
  <c r="P606" i="6"/>
  <c r="P607" i="6"/>
  <c r="P608" i="6"/>
  <c r="P609" i="6"/>
  <c r="P610" i="6"/>
  <c r="P611" i="6"/>
  <c r="P612" i="6"/>
  <c r="P613" i="6"/>
  <c r="P614" i="6"/>
  <c r="P615" i="6"/>
  <c r="P616" i="6"/>
  <c r="P617" i="6"/>
  <c r="P618" i="6"/>
  <c r="P619" i="6"/>
  <c r="P620" i="6"/>
  <c r="P621" i="6"/>
  <c r="P622" i="6"/>
  <c r="P623" i="6"/>
  <c r="P624" i="6"/>
  <c r="P625" i="6"/>
  <c r="P626" i="6"/>
  <c r="P627" i="6"/>
  <c r="P628" i="6"/>
  <c r="P629" i="6"/>
  <c r="P630" i="6"/>
  <c r="P631" i="6"/>
  <c r="P632" i="6"/>
  <c r="P633" i="6"/>
  <c r="P634" i="6"/>
  <c r="P635" i="6"/>
  <c r="P636" i="6"/>
  <c r="P637" i="6"/>
  <c r="P638" i="6"/>
  <c r="P639" i="6"/>
  <c r="P640" i="6"/>
  <c r="P641" i="6"/>
  <c r="P642" i="6"/>
  <c r="P643" i="6"/>
  <c r="P644" i="6"/>
  <c r="P645" i="6"/>
  <c r="P646" i="6"/>
  <c r="P647" i="6"/>
  <c r="P648" i="6"/>
  <c r="P649" i="6"/>
  <c r="P650" i="6"/>
  <c r="P651" i="6"/>
  <c r="P652" i="6"/>
  <c r="P653" i="6"/>
  <c r="P654" i="6"/>
  <c r="P655" i="6"/>
  <c r="P656" i="6"/>
  <c r="P657" i="6"/>
  <c r="P658" i="6"/>
  <c r="P659" i="6"/>
  <c r="P660" i="6"/>
  <c r="P661" i="6"/>
  <c r="P662" i="6"/>
  <c r="P663" i="6"/>
  <c r="P664" i="6"/>
  <c r="P665" i="6"/>
  <c r="P666" i="6"/>
  <c r="P667" i="6"/>
  <c r="P668" i="6"/>
  <c r="P669" i="6"/>
  <c r="P670" i="6"/>
  <c r="P671" i="6"/>
  <c r="P672" i="6"/>
  <c r="P673" i="6"/>
  <c r="P674" i="6"/>
  <c r="P675" i="6"/>
  <c r="P676" i="6"/>
  <c r="P677" i="6"/>
  <c r="P678" i="6"/>
  <c r="P679" i="6"/>
  <c r="P680" i="6"/>
  <c r="P681" i="6"/>
  <c r="P682" i="6"/>
  <c r="P683" i="6"/>
  <c r="P684" i="6"/>
  <c r="P685" i="6"/>
  <c r="P686" i="6"/>
  <c r="P687" i="6"/>
  <c r="P688" i="6"/>
  <c r="P689" i="6"/>
  <c r="P690" i="6"/>
  <c r="P691" i="6"/>
  <c r="P692" i="6"/>
  <c r="P693" i="6"/>
  <c r="P694" i="6"/>
  <c r="P695" i="6"/>
  <c r="P696" i="6"/>
  <c r="P697" i="6"/>
  <c r="P698" i="6"/>
  <c r="P699" i="6"/>
  <c r="P700" i="6"/>
  <c r="P701" i="6"/>
  <c r="P702" i="6"/>
  <c r="P703" i="6"/>
  <c r="P704" i="6"/>
  <c r="P705" i="6"/>
  <c r="P706" i="6"/>
  <c r="P707" i="6"/>
  <c r="P708" i="6"/>
  <c r="P709" i="6"/>
  <c r="P710" i="6"/>
  <c r="P711" i="6"/>
  <c r="P712" i="6"/>
  <c r="P713" i="6"/>
  <c r="P714" i="6"/>
  <c r="P715" i="6"/>
  <c r="P716" i="6"/>
  <c r="P717" i="6"/>
  <c r="P718" i="6"/>
  <c r="P719" i="6"/>
  <c r="P720" i="6"/>
  <c r="P721" i="6"/>
  <c r="P722" i="6"/>
  <c r="P723" i="6"/>
  <c r="P724" i="6"/>
  <c r="P725" i="6"/>
  <c r="P726" i="6"/>
  <c r="P727" i="6"/>
  <c r="P728" i="6"/>
  <c r="P729" i="6"/>
  <c r="P730" i="6"/>
  <c r="P731" i="6"/>
  <c r="P732" i="6"/>
  <c r="P733" i="6"/>
  <c r="P734" i="6"/>
  <c r="P735" i="6"/>
  <c r="P736" i="6"/>
  <c r="P737" i="6"/>
  <c r="P738" i="6"/>
  <c r="P739" i="6"/>
  <c r="P740" i="6"/>
  <c r="P741" i="6"/>
  <c r="P742" i="6"/>
  <c r="P743" i="6"/>
  <c r="P744" i="6"/>
  <c r="P745" i="6"/>
  <c r="P746" i="6"/>
  <c r="P747" i="6"/>
  <c r="P748" i="6"/>
  <c r="P749" i="6"/>
  <c r="P750" i="6"/>
  <c r="P751" i="6"/>
  <c r="P752" i="6"/>
  <c r="P753" i="6"/>
  <c r="P754" i="6"/>
  <c r="P755" i="6"/>
  <c r="P756" i="6"/>
  <c r="P757" i="6"/>
  <c r="P758" i="6"/>
  <c r="P759" i="6"/>
  <c r="P760" i="6"/>
  <c r="P761" i="6"/>
  <c r="P762" i="6"/>
  <c r="P763" i="6"/>
  <c r="P764" i="6"/>
  <c r="P765" i="6"/>
  <c r="P766" i="6"/>
  <c r="P767" i="6"/>
  <c r="P768" i="6"/>
  <c r="P769" i="6"/>
  <c r="P770" i="6"/>
  <c r="P771" i="6"/>
  <c r="P772" i="6"/>
  <c r="P773" i="6"/>
  <c r="P774" i="6"/>
  <c r="P775" i="6"/>
  <c r="P776" i="6"/>
  <c r="P777" i="6"/>
  <c r="P778" i="6"/>
  <c r="P779" i="6"/>
  <c r="P780" i="6"/>
  <c r="P781" i="6"/>
  <c r="P782" i="6"/>
  <c r="P783" i="6"/>
  <c r="P784" i="6"/>
  <c r="P785" i="6"/>
  <c r="P786" i="6"/>
  <c r="P787" i="6"/>
  <c r="P788" i="6"/>
  <c r="P789" i="6"/>
  <c r="P790" i="6"/>
  <c r="P791" i="6"/>
  <c r="P792" i="6"/>
  <c r="P793" i="6"/>
  <c r="P794" i="6"/>
  <c r="P795" i="6"/>
  <c r="P796" i="6"/>
  <c r="P797" i="6"/>
  <c r="P798" i="6"/>
  <c r="P799" i="6"/>
  <c r="P800" i="6"/>
  <c r="P801" i="6"/>
  <c r="P802" i="6"/>
  <c r="P803" i="6"/>
  <c r="P804" i="6"/>
  <c r="P805" i="6"/>
  <c r="P806" i="6"/>
  <c r="P807" i="6"/>
  <c r="P808" i="6"/>
  <c r="P809" i="6"/>
  <c r="P810" i="6"/>
  <c r="P811" i="6"/>
  <c r="P812" i="6"/>
  <c r="P813" i="6"/>
  <c r="P814" i="6"/>
  <c r="P815" i="6"/>
  <c r="P816" i="6"/>
  <c r="P817" i="6"/>
  <c r="P818" i="6"/>
  <c r="P819" i="6"/>
  <c r="P820" i="6"/>
  <c r="P821" i="6"/>
  <c r="P822" i="6"/>
  <c r="P823" i="6"/>
  <c r="P824" i="6"/>
  <c r="P825" i="6"/>
  <c r="P826" i="6"/>
  <c r="P827" i="6"/>
  <c r="P828" i="6"/>
  <c r="P829" i="6"/>
  <c r="P830" i="6"/>
  <c r="P831" i="6"/>
  <c r="P832" i="6"/>
  <c r="P833" i="6"/>
  <c r="P834" i="6"/>
  <c r="P835" i="6"/>
  <c r="P836" i="6"/>
  <c r="P837" i="6"/>
  <c r="P838" i="6"/>
  <c r="P839" i="6"/>
  <c r="P840" i="6"/>
  <c r="P841" i="6"/>
  <c r="P842" i="6"/>
  <c r="P843" i="6"/>
  <c r="P844" i="6"/>
  <c r="P845" i="6"/>
  <c r="P846" i="6"/>
  <c r="P847" i="6"/>
  <c r="P848" i="6"/>
  <c r="P849" i="6"/>
  <c r="P850" i="6"/>
  <c r="P851" i="6"/>
  <c r="P852" i="6"/>
  <c r="P853" i="6"/>
  <c r="P854" i="6"/>
  <c r="P855" i="6"/>
  <c r="P856" i="6"/>
  <c r="P857" i="6"/>
  <c r="P858" i="6"/>
  <c r="P859" i="6"/>
  <c r="P860" i="6"/>
  <c r="P861" i="6"/>
  <c r="P862" i="6"/>
  <c r="P863" i="6"/>
  <c r="P864" i="6"/>
  <c r="P865" i="6"/>
  <c r="P866" i="6"/>
  <c r="P867" i="6"/>
  <c r="P868" i="6"/>
  <c r="P869" i="6"/>
  <c r="P870" i="6"/>
  <c r="P871" i="6"/>
  <c r="P872" i="6"/>
  <c r="P873" i="6"/>
  <c r="P874" i="6"/>
  <c r="P875" i="6"/>
  <c r="P876" i="6"/>
  <c r="P877" i="6"/>
  <c r="P878" i="6"/>
  <c r="P879" i="6"/>
  <c r="P880" i="6"/>
  <c r="P881" i="6"/>
  <c r="P882" i="6"/>
  <c r="P883" i="6"/>
  <c r="P884" i="6"/>
  <c r="P885" i="6"/>
  <c r="P886" i="6"/>
  <c r="P887" i="6"/>
  <c r="P888" i="6"/>
  <c r="P889" i="6"/>
  <c r="P890" i="6"/>
  <c r="P891" i="6"/>
  <c r="P892" i="6"/>
  <c r="P893" i="6"/>
  <c r="P894" i="6"/>
  <c r="P895" i="6"/>
  <c r="P896" i="6"/>
  <c r="P897" i="6"/>
  <c r="P898" i="6"/>
  <c r="P899" i="6"/>
  <c r="P900" i="6"/>
  <c r="P901" i="6"/>
  <c r="P902" i="6"/>
  <c r="P903" i="6"/>
  <c r="P904" i="6"/>
  <c r="P905" i="6"/>
  <c r="P906" i="6"/>
  <c r="P907" i="6"/>
  <c r="P908" i="6"/>
  <c r="P909" i="6"/>
  <c r="P910" i="6"/>
  <c r="P911" i="6"/>
  <c r="P912" i="6"/>
  <c r="P913" i="6"/>
  <c r="P914" i="6"/>
  <c r="P915" i="6"/>
  <c r="P916" i="6"/>
  <c r="P917" i="6"/>
  <c r="P918" i="6"/>
  <c r="P919" i="6"/>
  <c r="P920" i="6"/>
  <c r="P921" i="6"/>
  <c r="P922" i="6"/>
  <c r="P923" i="6"/>
  <c r="P924" i="6"/>
  <c r="P925" i="6"/>
  <c r="P926" i="6"/>
  <c r="P927" i="6"/>
  <c r="P928" i="6"/>
  <c r="P929" i="6"/>
  <c r="P930" i="6"/>
  <c r="P931" i="6"/>
  <c r="P932" i="6"/>
  <c r="P933" i="6"/>
  <c r="P934" i="6"/>
  <c r="P935" i="6"/>
  <c r="P936" i="6"/>
  <c r="P937" i="6"/>
  <c r="P938" i="6"/>
  <c r="P939" i="6"/>
  <c r="P940" i="6"/>
  <c r="P941" i="6"/>
  <c r="P942" i="6"/>
  <c r="P943" i="6"/>
  <c r="P944" i="6"/>
  <c r="P945" i="6"/>
  <c r="P946" i="6"/>
  <c r="P947" i="6"/>
  <c r="P948" i="6"/>
  <c r="P949" i="6"/>
  <c r="P950" i="6"/>
  <c r="P951" i="6"/>
  <c r="P952" i="6"/>
  <c r="P953" i="6"/>
  <c r="P954" i="6"/>
  <c r="P955" i="6"/>
  <c r="P956" i="6"/>
  <c r="P957" i="6"/>
  <c r="P958" i="6"/>
  <c r="P959" i="6"/>
  <c r="P960" i="6"/>
  <c r="P961" i="6"/>
  <c r="P962" i="6"/>
  <c r="P963" i="6"/>
  <c r="P964" i="6"/>
  <c r="P965" i="6"/>
  <c r="P966" i="6"/>
  <c r="P967" i="6"/>
  <c r="P968" i="6"/>
  <c r="P969" i="6"/>
  <c r="P970" i="6"/>
  <c r="P971" i="6"/>
  <c r="P972" i="6"/>
  <c r="P973" i="6"/>
  <c r="P974" i="6"/>
  <c r="P975" i="6"/>
  <c r="P976" i="6"/>
  <c r="P977" i="6"/>
  <c r="P978" i="6"/>
  <c r="P979" i="6"/>
  <c r="P980" i="6"/>
  <c r="P981" i="6"/>
  <c r="P982" i="6"/>
  <c r="P983" i="6"/>
  <c r="P984" i="6"/>
  <c r="P985" i="6"/>
  <c r="P986" i="6"/>
  <c r="P987" i="6"/>
  <c r="P988" i="6"/>
  <c r="P989" i="6"/>
  <c r="P990" i="6"/>
  <c r="P991" i="6"/>
  <c r="P992" i="6"/>
  <c r="P993" i="6"/>
  <c r="P994" i="6"/>
  <c r="P995" i="6"/>
  <c r="P996" i="6"/>
  <c r="P997" i="6"/>
  <c r="P998" i="6"/>
  <c r="P999" i="6"/>
  <c r="P1000" i="6"/>
  <c r="P1001" i="6"/>
  <c r="P1002" i="6"/>
  <c r="P1003" i="6"/>
  <c r="P1004" i="6"/>
  <c r="P1005" i="6"/>
  <c r="P1006" i="6"/>
  <c r="P1007" i="6"/>
  <c r="P1008" i="6"/>
  <c r="P1009" i="6"/>
  <c r="P1010" i="6"/>
  <c r="P1011" i="6"/>
  <c r="P1012" i="6"/>
  <c r="P1013" i="6"/>
  <c r="P1014" i="6"/>
  <c r="P1015" i="6"/>
  <c r="P1016" i="6"/>
  <c r="P1017" i="6"/>
  <c r="P1018" i="6"/>
  <c r="P1019" i="6"/>
  <c r="P1020" i="6"/>
  <c r="P1021" i="6"/>
  <c r="P1022" i="6"/>
  <c r="P1023" i="6"/>
  <c r="P1024" i="6"/>
  <c r="P1025" i="6"/>
  <c r="P1026" i="6"/>
  <c r="P1027" i="6"/>
  <c r="P1028" i="6"/>
  <c r="P1029" i="6"/>
  <c r="P1030" i="6"/>
  <c r="P1031" i="6"/>
  <c r="P1032" i="6"/>
  <c r="P1033" i="6"/>
  <c r="P1034" i="6"/>
  <c r="P1035" i="6"/>
  <c r="P1036" i="6"/>
  <c r="P1037" i="6"/>
  <c r="P1038" i="6"/>
  <c r="P1039" i="6"/>
  <c r="P1040" i="6"/>
  <c r="P1041" i="6"/>
  <c r="P1042" i="6"/>
  <c r="P1043" i="6"/>
  <c r="P1044" i="6"/>
  <c r="P1045" i="6"/>
  <c r="P1046" i="6"/>
  <c r="P1047" i="6"/>
  <c r="P1048" i="6"/>
  <c r="P1049" i="6"/>
  <c r="P3" i="6"/>
  <c r="Q7" i="11"/>
  <c r="AA7" i="11" s="1"/>
  <c r="Z8" i="11"/>
  <c r="Z9" i="11"/>
  <c r="Z10" i="11"/>
  <c r="Z11" i="11"/>
  <c r="Z12" i="11"/>
  <c r="Z13" i="11"/>
  <c r="Z14" i="11"/>
  <c r="Z15" i="11"/>
  <c r="Z16" i="11"/>
  <c r="Z17" i="11"/>
  <c r="Z18" i="11"/>
  <c r="Z19" i="11"/>
  <c r="Z20" i="11"/>
  <c r="Z21" i="11"/>
  <c r="Z22" i="11"/>
  <c r="Z23" i="11"/>
  <c r="Z7" i="11"/>
  <c r="W8" i="11"/>
  <c r="AB8" i="11" s="1"/>
  <c r="W9" i="11"/>
  <c r="AB9" i="11" s="1"/>
  <c r="W10" i="11"/>
  <c r="AB10" i="11" s="1"/>
  <c r="W11" i="11"/>
  <c r="AB11" i="11" s="1"/>
  <c r="W12" i="11"/>
  <c r="AB12" i="11" s="1"/>
  <c r="W13" i="11"/>
  <c r="AB13" i="11" s="1"/>
  <c r="W14" i="11"/>
  <c r="AB14" i="11" s="1"/>
  <c r="W15" i="11"/>
  <c r="AB15" i="11" s="1"/>
  <c r="W16" i="11"/>
  <c r="AB16" i="11" s="1"/>
  <c r="W17" i="11"/>
  <c r="AB17" i="11" s="1"/>
  <c r="W18" i="11"/>
  <c r="AB18" i="11" s="1"/>
  <c r="W19" i="11"/>
  <c r="AB19" i="11" s="1"/>
  <c r="W20" i="11"/>
  <c r="AB20" i="11" s="1"/>
  <c r="W21" i="11"/>
  <c r="AB21" i="11" s="1"/>
  <c r="W22" i="11"/>
  <c r="AB22" i="11" s="1"/>
  <c r="W23" i="11"/>
  <c r="AB23" i="11" s="1"/>
  <c r="W7" i="11"/>
  <c r="AB7" i="11" s="1"/>
  <c r="Q8" i="11"/>
  <c r="AA8" i="11" s="1"/>
  <c r="Q9" i="11"/>
  <c r="AA9" i="11" s="1"/>
  <c r="Q10" i="11"/>
  <c r="AA10" i="11" s="1"/>
  <c r="Q11" i="11"/>
  <c r="AA11" i="11" s="1"/>
  <c r="Q12" i="11"/>
  <c r="AA12" i="11" s="1"/>
  <c r="Q13" i="11"/>
  <c r="AA13" i="11" s="1"/>
  <c r="Q14" i="11"/>
  <c r="AA14" i="11" s="1"/>
  <c r="Q15" i="11"/>
  <c r="AA15" i="11" s="1"/>
  <c r="Q16" i="11"/>
  <c r="AA16" i="11" s="1"/>
  <c r="Q17" i="11"/>
  <c r="AA17" i="11" s="1"/>
  <c r="Q18" i="11"/>
  <c r="AA18" i="11" s="1"/>
  <c r="Q19" i="11"/>
  <c r="AA19" i="11" s="1"/>
  <c r="Q20" i="11"/>
  <c r="AA20" i="11" s="1"/>
  <c r="Q21" i="11"/>
  <c r="Q22" i="11"/>
  <c r="AA22" i="11" s="1"/>
  <c r="Q23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5" i="11"/>
  <c r="J25" i="11" s="1"/>
  <c r="K26" i="11"/>
  <c r="J26" i="11" s="1"/>
  <c r="K27" i="11"/>
  <c r="K28" i="11"/>
  <c r="J28" i="11" s="1"/>
  <c r="K29" i="11"/>
  <c r="J29" i="11" s="1"/>
  <c r="K30" i="11"/>
  <c r="J30" i="11" s="1"/>
  <c r="K31" i="11"/>
  <c r="J31" i="11" s="1"/>
  <c r="K32" i="11"/>
  <c r="J32" i="11" s="1"/>
  <c r="K33" i="11"/>
  <c r="J33" i="11" s="1"/>
  <c r="K34" i="11"/>
  <c r="J34" i="11" s="1"/>
  <c r="K35" i="11"/>
  <c r="J35" i="11" s="1"/>
  <c r="K36" i="11"/>
  <c r="J36" i="11" s="1"/>
  <c r="K37" i="11"/>
  <c r="J37" i="11" s="1"/>
  <c r="K38" i="11"/>
  <c r="J38" i="11" s="1"/>
  <c r="K39" i="11"/>
  <c r="J39" i="11" s="1"/>
  <c r="K40" i="11"/>
  <c r="J40" i="11" s="1"/>
  <c r="K41" i="11"/>
  <c r="J41" i="11" s="1"/>
  <c r="K42" i="11"/>
  <c r="J42" i="11" s="1"/>
  <c r="K43" i="11"/>
  <c r="J43" i="11" s="1"/>
  <c r="K44" i="11"/>
  <c r="J44" i="11" s="1"/>
  <c r="K45" i="11"/>
  <c r="J45" i="11" s="1"/>
  <c r="K46" i="11"/>
  <c r="J46" i="11" s="1"/>
  <c r="K47" i="11"/>
  <c r="J47" i="11" s="1"/>
  <c r="K48" i="11"/>
  <c r="J48" i="11" s="1"/>
  <c r="K49" i="11"/>
  <c r="J49" i="11" s="1"/>
  <c r="K50" i="11"/>
  <c r="J50" i="11" s="1"/>
  <c r="K51" i="11"/>
  <c r="J51" i="11" s="1"/>
  <c r="K52" i="11"/>
  <c r="J52" i="11" s="1"/>
  <c r="K53" i="11"/>
  <c r="J53" i="11" s="1"/>
  <c r="K55" i="11"/>
  <c r="J55" i="11" s="1"/>
  <c r="K56" i="11"/>
  <c r="J56" i="11" s="1"/>
  <c r="K57" i="11"/>
  <c r="J57" i="11" s="1"/>
  <c r="K58" i="11"/>
  <c r="J58" i="11" s="1"/>
  <c r="K59" i="11"/>
  <c r="J59" i="11" s="1"/>
  <c r="K60" i="11"/>
  <c r="J60" i="11" s="1"/>
  <c r="K61" i="11"/>
  <c r="J61" i="11" s="1"/>
  <c r="K62" i="11"/>
  <c r="J62" i="11" s="1"/>
  <c r="K63" i="11"/>
  <c r="J63" i="11" s="1"/>
  <c r="K64" i="11"/>
  <c r="J64" i="11" s="1"/>
  <c r="K65" i="11"/>
  <c r="J65" i="11" s="1"/>
  <c r="K66" i="11"/>
  <c r="J66" i="11" s="1"/>
  <c r="K67" i="11"/>
  <c r="J67" i="11" s="1"/>
  <c r="K68" i="11"/>
  <c r="J68" i="11" s="1"/>
  <c r="K69" i="11"/>
  <c r="J69" i="11" s="1"/>
  <c r="K70" i="11"/>
  <c r="J70" i="11" s="1"/>
  <c r="K71" i="11"/>
  <c r="J71" i="11" s="1"/>
  <c r="K72" i="11"/>
  <c r="J72" i="11" s="1"/>
  <c r="K73" i="11"/>
  <c r="J73" i="11" s="1"/>
  <c r="K74" i="11"/>
  <c r="J74" i="11" s="1"/>
  <c r="K75" i="11"/>
  <c r="J75" i="11" s="1"/>
  <c r="K76" i="11"/>
  <c r="J76" i="11" s="1"/>
  <c r="K77" i="11"/>
  <c r="J77" i="11" s="1"/>
  <c r="K78" i="11"/>
  <c r="J78" i="11" s="1"/>
  <c r="K79" i="11"/>
  <c r="J79" i="11" s="1"/>
  <c r="K80" i="11"/>
  <c r="J80" i="11" s="1"/>
  <c r="K81" i="11"/>
  <c r="J81" i="11" s="1"/>
  <c r="K82" i="11"/>
  <c r="J82" i="11" s="1"/>
  <c r="K83" i="11"/>
  <c r="J83" i="11" s="1"/>
  <c r="K84" i="11"/>
  <c r="J84" i="11" s="1"/>
  <c r="K85" i="11"/>
  <c r="J85" i="11" s="1"/>
  <c r="K86" i="11"/>
  <c r="J86" i="11" s="1"/>
  <c r="K87" i="11"/>
  <c r="J87" i="11" s="1"/>
  <c r="K88" i="11"/>
  <c r="J88" i="11" s="1"/>
  <c r="K89" i="11"/>
  <c r="J89" i="11" s="1"/>
  <c r="K90" i="11"/>
  <c r="J90" i="11" s="1"/>
  <c r="K91" i="11"/>
  <c r="J91" i="11" s="1"/>
  <c r="K92" i="11"/>
  <c r="J92" i="11" s="1"/>
  <c r="K93" i="11"/>
  <c r="J93" i="11" s="1"/>
  <c r="K94" i="11"/>
  <c r="J94" i="11" s="1"/>
  <c r="K95" i="11"/>
  <c r="J95" i="11" s="1"/>
  <c r="K96" i="11"/>
  <c r="J96" i="11" s="1"/>
  <c r="K97" i="11"/>
  <c r="J97" i="11" s="1"/>
  <c r="K98" i="11"/>
  <c r="J98" i="11" s="1"/>
  <c r="K99" i="11"/>
  <c r="J99" i="11" s="1"/>
  <c r="K100" i="11"/>
  <c r="J100" i="11" s="1"/>
  <c r="K101" i="11"/>
  <c r="J101" i="11" s="1"/>
  <c r="K102" i="11"/>
  <c r="J102" i="11" s="1"/>
  <c r="K103" i="11"/>
  <c r="J103" i="11" s="1"/>
  <c r="K104" i="11"/>
  <c r="J104" i="11" s="1"/>
  <c r="K105" i="11"/>
  <c r="J105" i="11" s="1"/>
  <c r="K106" i="11"/>
  <c r="K7" i="11"/>
  <c r="J106" i="11"/>
  <c r="C4" i="10"/>
  <c r="G4" i="10" s="1"/>
  <c r="E4" i="10"/>
  <c r="I4" i="10" s="1"/>
  <c r="F4" i="10"/>
  <c r="J4" i="10" s="1"/>
  <c r="C5" i="10"/>
  <c r="G5" i="10" s="1"/>
  <c r="E5" i="10"/>
  <c r="I5" i="10" s="1"/>
  <c r="C6" i="10"/>
  <c r="G6" i="10" s="1"/>
  <c r="E6" i="10"/>
  <c r="I6" i="10" s="1"/>
  <c r="C7" i="10"/>
  <c r="C8" i="10"/>
  <c r="G8" i="10" s="1"/>
  <c r="C9" i="10"/>
  <c r="G9" i="10" s="1"/>
  <c r="C10" i="10"/>
  <c r="G10" i="10" s="1"/>
  <c r="C11" i="10"/>
  <c r="G11" i="10" s="1"/>
  <c r="C12" i="10"/>
  <c r="G12" i="10" s="1"/>
  <c r="C13" i="10"/>
  <c r="G13" i="10" s="1"/>
  <c r="C14" i="10"/>
  <c r="G14" i="10" s="1"/>
  <c r="C15" i="10"/>
  <c r="G15" i="10" s="1"/>
  <c r="C16" i="10"/>
  <c r="G16" i="10" s="1"/>
  <c r="C17" i="10"/>
  <c r="G17" i="10" s="1"/>
  <c r="C18" i="10"/>
  <c r="G18" i="10" s="1"/>
  <c r="E3" i="10"/>
  <c r="I3" i="10" s="1"/>
  <c r="F3" i="10"/>
  <c r="J3" i="10" s="1"/>
  <c r="C3" i="10"/>
  <c r="G3" i="10" s="1"/>
  <c r="BD4" i="6"/>
  <c r="AS4" i="6"/>
  <c r="AS5" i="6"/>
  <c r="AS6" i="6"/>
  <c r="AS7" i="6"/>
  <c r="AS8" i="6"/>
  <c r="AS9" i="6"/>
  <c r="AS10" i="6"/>
  <c r="AS11" i="6"/>
  <c r="AS12" i="6"/>
  <c r="AS13" i="6"/>
  <c r="AS14" i="6"/>
  <c r="AS15" i="6"/>
  <c r="AS16" i="6"/>
  <c r="AS17" i="6"/>
  <c r="AS18" i="6"/>
  <c r="AS19" i="6"/>
  <c r="AS20" i="6"/>
  <c r="AS21" i="6"/>
  <c r="AS22" i="6"/>
  <c r="AS23" i="6"/>
  <c r="AS24" i="6"/>
  <c r="AS25" i="6"/>
  <c r="AS26" i="6"/>
  <c r="AS27" i="6"/>
  <c r="AS28" i="6"/>
  <c r="AS29" i="6"/>
  <c r="AS30" i="6"/>
  <c r="AS31" i="6"/>
  <c r="AS32" i="6"/>
  <c r="AS33" i="6"/>
  <c r="AS34" i="6"/>
  <c r="AS35" i="6"/>
  <c r="AS36" i="6"/>
  <c r="AS37" i="6"/>
  <c r="AS38" i="6"/>
  <c r="AS39" i="6"/>
  <c r="AS40" i="6"/>
  <c r="AS41" i="6"/>
  <c r="AS42" i="6"/>
  <c r="AS43" i="6"/>
  <c r="AS44" i="6"/>
  <c r="AS45" i="6"/>
  <c r="AS46" i="6"/>
  <c r="AS47" i="6"/>
  <c r="AS48" i="6"/>
  <c r="AS49" i="6"/>
  <c r="AS50" i="6"/>
  <c r="AS51" i="6"/>
  <c r="AS52" i="6"/>
  <c r="AS53" i="6"/>
  <c r="AS54" i="6"/>
  <c r="AS55" i="6"/>
  <c r="AS56" i="6"/>
  <c r="AS57" i="6"/>
  <c r="AS58" i="6"/>
  <c r="AS59" i="6"/>
  <c r="AS60" i="6"/>
  <c r="AS61" i="6"/>
  <c r="AS62" i="6"/>
  <c r="AS63" i="6"/>
  <c r="AS64" i="6"/>
  <c r="AS65" i="6"/>
  <c r="AS66" i="6"/>
  <c r="AS67" i="6"/>
  <c r="AS68" i="6"/>
  <c r="AS69" i="6"/>
  <c r="AS70" i="6"/>
  <c r="AS71" i="6"/>
  <c r="AS72" i="6"/>
  <c r="AS73" i="6"/>
  <c r="AS74" i="6"/>
  <c r="AS75" i="6"/>
  <c r="AS76" i="6"/>
  <c r="AS77" i="6"/>
  <c r="AS78" i="6"/>
  <c r="AS79" i="6"/>
  <c r="AS80" i="6"/>
  <c r="AS81" i="6"/>
  <c r="AS82" i="6"/>
  <c r="AS83" i="6"/>
  <c r="AS84" i="6"/>
  <c r="AS85" i="6"/>
  <c r="AS86" i="6"/>
  <c r="AS87" i="6"/>
  <c r="AS88" i="6"/>
  <c r="AS89" i="6"/>
  <c r="AS90" i="6"/>
  <c r="AS91" i="6"/>
  <c r="AS92" i="6"/>
  <c r="AS93" i="6"/>
  <c r="AS94" i="6"/>
  <c r="AS95" i="6"/>
  <c r="AS96" i="6"/>
  <c r="AS97" i="6"/>
  <c r="AS98" i="6"/>
  <c r="AS99" i="6"/>
  <c r="AS100" i="6"/>
  <c r="AS101" i="6"/>
  <c r="AS102" i="6"/>
  <c r="AS3" i="6"/>
  <c r="BD5" i="6"/>
  <c r="C19" i="2"/>
  <c r="H4" i="2"/>
  <c r="H5" i="2"/>
  <c r="H6" i="2"/>
  <c r="H3" i="2"/>
  <c r="K613" i="3"/>
  <c r="V613" i="3" s="1"/>
  <c r="K612" i="3"/>
  <c r="V612" i="3" s="1"/>
  <c r="K611" i="3"/>
  <c r="V611" i="3" s="1"/>
  <c r="K610" i="3"/>
  <c r="V610" i="3" s="1"/>
  <c r="K609" i="3"/>
  <c r="V609" i="3" s="1"/>
  <c r="K608" i="3"/>
  <c r="V608" i="3" s="1"/>
  <c r="K607" i="3"/>
  <c r="V607" i="3" s="1"/>
  <c r="K606" i="3"/>
  <c r="V606" i="3" s="1"/>
  <c r="K605" i="3"/>
  <c r="V605" i="3" s="1"/>
  <c r="K604" i="3"/>
  <c r="V604" i="3" s="1"/>
  <c r="K603" i="3"/>
  <c r="V603" i="3" s="1"/>
  <c r="K602" i="3"/>
  <c r="V602" i="3" s="1"/>
  <c r="K601" i="3"/>
  <c r="V601" i="3" s="1"/>
  <c r="K600" i="3"/>
  <c r="V600" i="3" s="1"/>
  <c r="K599" i="3"/>
  <c r="V599" i="3" s="1"/>
  <c r="K598" i="3"/>
  <c r="V598" i="3" s="1"/>
  <c r="K597" i="3"/>
  <c r="V597" i="3" s="1"/>
  <c r="K596" i="3"/>
  <c r="V596" i="3" s="1"/>
  <c r="K595" i="3"/>
  <c r="V595" i="3" s="1"/>
  <c r="K594" i="3"/>
  <c r="V594" i="3" s="1"/>
  <c r="K593" i="3"/>
  <c r="V593" i="3" s="1"/>
  <c r="K592" i="3"/>
  <c r="V592" i="3" s="1"/>
  <c r="K591" i="3"/>
  <c r="V591" i="3" s="1"/>
  <c r="K590" i="3"/>
  <c r="V590" i="3" s="1"/>
  <c r="K589" i="3"/>
  <c r="V589" i="3" s="1"/>
  <c r="K588" i="3"/>
  <c r="V588" i="3" s="1"/>
  <c r="K587" i="3"/>
  <c r="V587" i="3" s="1"/>
  <c r="K586" i="3"/>
  <c r="V586" i="3" s="1"/>
  <c r="K585" i="3"/>
  <c r="V585" i="3" s="1"/>
  <c r="K584" i="3"/>
  <c r="V584" i="3" s="1"/>
  <c r="K583" i="3"/>
  <c r="V583" i="3" s="1"/>
  <c r="K582" i="3"/>
  <c r="V582" i="3" s="1"/>
  <c r="K581" i="3"/>
  <c r="V581" i="3" s="1"/>
  <c r="K580" i="3"/>
  <c r="V580" i="3" s="1"/>
  <c r="K579" i="3"/>
  <c r="V579" i="3" s="1"/>
  <c r="K578" i="3"/>
  <c r="V578" i="3" s="1"/>
  <c r="K577" i="3"/>
  <c r="V577" i="3" s="1"/>
  <c r="K576" i="3"/>
  <c r="V576" i="3" s="1"/>
  <c r="K575" i="3"/>
  <c r="V575" i="3" s="1"/>
  <c r="K574" i="3"/>
  <c r="V574" i="3" s="1"/>
  <c r="K573" i="3"/>
  <c r="V573" i="3" s="1"/>
  <c r="K572" i="3"/>
  <c r="V572" i="3" s="1"/>
  <c r="K571" i="3"/>
  <c r="V571" i="3" s="1"/>
  <c r="K570" i="3"/>
  <c r="V570" i="3" s="1"/>
  <c r="K569" i="3"/>
  <c r="V569" i="3" s="1"/>
  <c r="K568" i="3"/>
  <c r="V568" i="3" s="1"/>
  <c r="K567" i="3"/>
  <c r="V567" i="3" s="1"/>
  <c r="K566" i="3"/>
  <c r="V566" i="3" s="1"/>
  <c r="K565" i="3"/>
  <c r="V565" i="3" s="1"/>
  <c r="K564" i="3"/>
  <c r="V564" i="3" s="1"/>
  <c r="K563" i="3"/>
  <c r="V563" i="3" s="1"/>
  <c r="K562" i="3"/>
  <c r="V562" i="3" s="1"/>
  <c r="K561" i="3"/>
  <c r="V561" i="3" s="1"/>
  <c r="K560" i="3"/>
  <c r="V560" i="3" s="1"/>
  <c r="K559" i="3"/>
  <c r="V559" i="3" s="1"/>
  <c r="K558" i="3"/>
  <c r="V558" i="3" s="1"/>
  <c r="K557" i="3"/>
  <c r="V557" i="3" s="1"/>
  <c r="K556" i="3"/>
  <c r="V556" i="3" s="1"/>
  <c r="K555" i="3"/>
  <c r="V555" i="3" s="1"/>
  <c r="K554" i="3"/>
  <c r="V554" i="3" s="1"/>
  <c r="K553" i="3"/>
  <c r="V553" i="3" s="1"/>
  <c r="K552" i="3"/>
  <c r="V552" i="3" s="1"/>
  <c r="K551" i="3"/>
  <c r="V551" i="3" s="1"/>
  <c r="K550" i="3"/>
  <c r="V550" i="3" s="1"/>
  <c r="K549" i="3"/>
  <c r="V549" i="3" s="1"/>
  <c r="K548" i="3"/>
  <c r="V548" i="3" s="1"/>
  <c r="K547" i="3"/>
  <c r="V547" i="3" s="1"/>
  <c r="K546" i="3"/>
  <c r="V546" i="3" s="1"/>
  <c r="K545" i="3"/>
  <c r="V545" i="3" s="1"/>
  <c r="K544" i="3"/>
  <c r="V544" i="3" s="1"/>
  <c r="K543" i="3"/>
  <c r="V543" i="3" s="1"/>
  <c r="K542" i="3"/>
  <c r="V542" i="3" s="1"/>
  <c r="K541" i="3"/>
  <c r="V541" i="3" s="1"/>
  <c r="K540" i="3"/>
  <c r="V540" i="3" s="1"/>
  <c r="K539" i="3"/>
  <c r="V539" i="3" s="1"/>
  <c r="K538" i="3"/>
  <c r="V538" i="3" s="1"/>
  <c r="K537" i="3"/>
  <c r="V537" i="3" s="1"/>
  <c r="K536" i="3"/>
  <c r="V536" i="3" s="1"/>
  <c r="K535" i="3"/>
  <c r="V535" i="3" s="1"/>
  <c r="K534" i="3"/>
  <c r="V534" i="3" s="1"/>
  <c r="K533" i="3"/>
  <c r="V533" i="3" s="1"/>
  <c r="K532" i="3"/>
  <c r="V532" i="3" s="1"/>
  <c r="K531" i="3"/>
  <c r="V531" i="3" s="1"/>
  <c r="K530" i="3"/>
  <c r="V530" i="3" s="1"/>
  <c r="K529" i="3"/>
  <c r="V529" i="3" s="1"/>
  <c r="K528" i="3"/>
  <c r="V528" i="3" s="1"/>
  <c r="K527" i="3"/>
  <c r="V527" i="3" s="1"/>
  <c r="K526" i="3"/>
  <c r="V526" i="3" s="1"/>
  <c r="K525" i="3"/>
  <c r="V525" i="3" s="1"/>
  <c r="K524" i="3"/>
  <c r="V524" i="3" s="1"/>
  <c r="K523" i="3"/>
  <c r="V523" i="3" s="1"/>
  <c r="K522" i="3"/>
  <c r="V522" i="3" s="1"/>
  <c r="K521" i="3"/>
  <c r="V521" i="3" s="1"/>
  <c r="K520" i="3"/>
  <c r="V520" i="3" s="1"/>
  <c r="K519" i="3"/>
  <c r="V519" i="3" s="1"/>
  <c r="K518" i="3"/>
  <c r="V518" i="3" s="1"/>
  <c r="K517" i="3"/>
  <c r="V517" i="3" s="1"/>
  <c r="K516" i="3"/>
  <c r="V516" i="3" s="1"/>
  <c r="K515" i="3"/>
  <c r="V515" i="3" s="1"/>
  <c r="K514" i="3"/>
  <c r="V514" i="3" s="1"/>
  <c r="E415" i="3"/>
  <c r="E416" i="3"/>
  <c r="E417" i="3"/>
  <c r="E414" i="3"/>
  <c r="M415" i="3"/>
  <c r="N415" i="3"/>
  <c r="O415" i="3"/>
  <c r="M416" i="3"/>
  <c r="N416" i="3"/>
  <c r="O416" i="3"/>
  <c r="M417" i="3"/>
  <c r="N417" i="3"/>
  <c r="O417" i="3"/>
  <c r="M418" i="3"/>
  <c r="N418" i="3"/>
  <c r="O418" i="3"/>
  <c r="M419" i="3"/>
  <c r="N419" i="3"/>
  <c r="O419" i="3"/>
  <c r="M420" i="3"/>
  <c r="N420" i="3"/>
  <c r="O420" i="3"/>
  <c r="M421" i="3"/>
  <c r="N421" i="3"/>
  <c r="O421" i="3"/>
  <c r="M422" i="3"/>
  <c r="N422" i="3"/>
  <c r="O422" i="3"/>
  <c r="M423" i="3"/>
  <c r="N423" i="3"/>
  <c r="O423" i="3"/>
  <c r="M424" i="3"/>
  <c r="N424" i="3"/>
  <c r="O424" i="3"/>
  <c r="M425" i="3"/>
  <c r="N425" i="3"/>
  <c r="O425" i="3"/>
  <c r="M426" i="3"/>
  <c r="N426" i="3"/>
  <c r="O426" i="3"/>
  <c r="M427" i="3"/>
  <c r="N427" i="3"/>
  <c r="M428" i="3"/>
  <c r="N428" i="3"/>
  <c r="O428" i="3"/>
  <c r="M429" i="3"/>
  <c r="N429" i="3"/>
  <c r="M430" i="3"/>
  <c r="N430" i="3"/>
  <c r="O430" i="3"/>
  <c r="M431" i="3"/>
  <c r="N431" i="3"/>
  <c r="M432" i="3"/>
  <c r="N432" i="3"/>
  <c r="O432" i="3"/>
  <c r="U432" i="3" s="1"/>
  <c r="M433" i="3"/>
  <c r="N433" i="3"/>
  <c r="M434" i="3"/>
  <c r="N434" i="3"/>
  <c r="O434" i="3"/>
  <c r="M435" i="3"/>
  <c r="N435" i="3"/>
  <c r="M436" i="3"/>
  <c r="N436" i="3"/>
  <c r="O436" i="3"/>
  <c r="M437" i="3"/>
  <c r="N437" i="3"/>
  <c r="M438" i="3"/>
  <c r="N438" i="3"/>
  <c r="O438" i="3"/>
  <c r="M439" i="3"/>
  <c r="N439" i="3"/>
  <c r="M440" i="3"/>
  <c r="N440" i="3"/>
  <c r="O440" i="3"/>
  <c r="M441" i="3"/>
  <c r="S441" i="3" s="1"/>
  <c r="N441" i="3"/>
  <c r="T441" i="3" s="1"/>
  <c r="O442" i="3"/>
  <c r="O444" i="3"/>
  <c r="O446" i="3"/>
  <c r="O448" i="3"/>
  <c r="O450" i="3"/>
  <c r="O452" i="3"/>
  <c r="O454" i="3"/>
  <c r="O456" i="3"/>
  <c r="O458" i="3"/>
  <c r="O460" i="3"/>
  <c r="O462" i="3"/>
  <c r="O464" i="3"/>
  <c r="N414" i="3"/>
  <c r="T414" i="3" s="1"/>
  <c r="M414" i="3"/>
  <c r="S414" i="3" s="1"/>
  <c r="H415" i="3"/>
  <c r="J415" i="3"/>
  <c r="G250" i="7" s="1"/>
  <c r="K415" i="3"/>
  <c r="V415" i="3" s="1"/>
  <c r="H416" i="3"/>
  <c r="J416" i="3"/>
  <c r="G251" i="7" s="1"/>
  <c r="K416" i="3"/>
  <c r="V416" i="3" s="1"/>
  <c r="H417" i="3"/>
  <c r="J417" i="3"/>
  <c r="G252" i="7" s="1"/>
  <c r="K417" i="3"/>
  <c r="V417" i="3" s="1"/>
  <c r="H418" i="3"/>
  <c r="J418" i="3"/>
  <c r="G253" i="7" s="1"/>
  <c r="K418" i="3"/>
  <c r="V418" i="3" s="1"/>
  <c r="H419" i="3"/>
  <c r="J419" i="3"/>
  <c r="G254" i="7" s="1"/>
  <c r="K419" i="3"/>
  <c r="V419" i="3" s="1"/>
  <c r="H420" i="3"/>
  <c r="J420" i="3"/>
  <c r="G255" i="7" s="1"/>
  <c r="K420" i="3"/>
  <c r="V420" i="3" s="1"/>
  <c r="H421" i="3"/>
  <c r="J421" i="3"/>
  <c r="G256" i="7" s="1"/>
  <c r="K421" i="3"/>
  <c r="V421" i="3" s="1"/>
  <c r="H422" i="3"/>
  <c r="J422" i="3"/>
  <c r="G257" i="7" s="1"/>
  <c r="K422" i="3"/>
  <c r="V422" i="3" s="1"/>
  <c r="H423" i="3"/>
  <c r="J423" i="3"/>
  <c r="G258" i="7" s="1"/>
  <c r="K423" i="3"/>
  <c r="V423" i="3" s="1"/>
  <c r="H424" i="3"/>
  <c r="J424" i="3"/>
  <c r="G259" i="7" s="1"/>
  <c r="K424" i="3"/>
  <c r="V424" i="3" s="1"/>
  <c r="H425" i="3"/>
  <c r="J425" i="3"/>
  <c r="G260" i="7" s="1"/>
  <c r="K425" i="3"/>
  <c r="V425" i="3" s="1"/>
  <c r="H426" i="3"/>
  <c r="J426" i="3"/>
  <c r="G261" i="7" s="1"/>
  <c r="K426" i="3"/>
  <c r="V426" i="3" s="1"/>
  <c r="H427" i="3"/>
  <c r="J427" i="3"/>
  <c r="G262" i="7" s="1"/>
  <c r="K427" i="3"/>
  <c r="V427" i="3" s="1"/>
  <c r="H428" i="3"/>
  <c r="J428" i="3"/>
  <c r="G263" i="7" s="1"/>
  <c r="K428" i="3"/>
  <c r="V428" i="3" s="1"/>
  <c r="H429" i="3"/>
  <c r="J429" i="3"/>
  <c r="G264" i="7" s="1"/>
  <c r="K429" i="3"/>
  <c r="V429" i="3" s="1"/>
  <c r="H430" i="3"/>
  <c r="J430" i="3"/>
  <c r="G265" i="7" s="1"/>
  <c r="K430" i="3"/>
  <c r="V430" i="3" s="1"/>
  <c r="H431" i="3"/>
  <c r="J431" i="3"/>
  <c r="G266" i="7" s="1"/>
  <c r="K431" i="3"/>
  <c r="V431" i="3" s="1"/>
  <c r="H432" i="3"/>
  <c r="J432" i="3"/>
  <c r="G267" i="7" s="1"/>
  <c r="K432" i="3"/>
  <c r="V432" i="3" s="1"/>
  <c r="H433" i="3"/>
  <c r="J433" i="3"/>
  <c r="G268" i="7" s="1"/>
  <c r="K433" i="3"/>
  <c r="H434" i="3"/>
  <c r="J434" i="3"/>
  <c r="G269" i="7" s="1"/>
  <c r="K434" i="3"/>
  <c r="H435" i="3"/>
  <c r="J435" i="3"/>
  <c r="G270" i="7" s="1"/>
  <c r="K435" i="3"/>
  <c r="H436" i="3"/>
  <c r="J436" i="3"/>
  <c r="G271" i="7" s="1"/>
  <c r="K436" i="3"/>
  <c r="H437" i="3"/>
  <c r="J437" i="3"/>
  <c r="G272" i="7" s="1"/>
  <c r="K437" i="3"/>
  <c r="H438" i="3"/>
  <c r="J438" i="3"/>
  <c r="G273" i="7" s="1"/>
  <c r="K438" i="3"/>
  <c r="H439" i="3"/>
  <c r="J439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414" i="3"/>
  <c r="V414" i="3" s="1"/>
  <c r="J414" i="3"/>
  <c r="G249" i="7" s="1"/>
  <c r="H414" i="3"/>
  <c r="C415" i="3"/>
  <c r="D415" i="3"/>
  <c r="F415" i="3"/>
  <c r="C416" i="3"/>
  <c r="D416" i="3"/>
  <c r="F416" i="3"/>
  <c r="C417" i="3"/>
  <c r="D417" i="3"/>
  <c r="F417" i="3"/>
  <c r="C418" i="3"/>
  <c r="D418" i="3"/>
  <c r="C419" i="3"/>
  <c r="D419" i="3"/>
  <c r="C420" i="3"/>
  <c r="C421" i="3"/>
  <c r="C422" i="3"/>
  <c r="D422" i="3"/>
  <c r="C423" i="3"/>
  <c r="C424" i="3"/>
  <c r="C425" i="3"/>
  <c r="C426" i="3"/>
  <c r="C427" i="3"/>
  <c r="C428" i="3"/>
  <c r="C429" i="3"/>
  <c r="C437" i="3"/>
  <c r="C439" i="3"/>
  <c r="F414" i="3"/>
  <c r="C414" i="3"/>
  <c r="M212" i="3"/>
  <c r="N212" i="3"/>
  <c r="O212" i="3"/>
  <c r="P212" i="3"/>
  <c r="Q212" i="3" s="1"/>
  <c r="M213" i="3"/>
  <c r="N213" i="3"/>
  <c r="O213" i="3"/>
  <c r="P213" i="3"/>
  <c r="Q213" i="3" s="1"/>
  <c r="M214" i="3"/>
  <c r="N214" i="3"/>
  <c r="O214" i="3"/>
  <c r="P214" i="3"/>
  <c r="Q214" i="3" s="1"/>
  <c r="M215" i="3"/>
  <c r="N215" i="3"/>
  <c r="O215" i="3"/>
  <c r="P215" i="3"/>
  <c r="Q215" i="3" s="1"/>
  <c r="M216" i="3"/>
  <c r="N216" i="3"/>
  <c r="O216" i="3"/>
  <c r="P216" i="3"/>
  <c r="Q216" i="3" s="1"/>
  <c r="M217" i="3"/>
  <c r="N217" i="3"/>
  <c r="O217" i="3"/>
  <c r="P217" i="3"/>
  <c r="Q217" i="3" s="1"/>
  <c r="M218" i="3"/>
  <c r="N218" i="3"/>
  <c r="O218" i="3"/>
  <c r="P218" i="3"/>
  <c r="Q218" i="3" s="1"/>
  <c r="M219" i="3"/>
  <c r="N219" i="3"/>
  <c r="O219" i="3"/>
  <c r="P219" i="3"/>
  <c r="Q219" i="3" s="1"/>
  <c r="M220" i="3"/>
  <c r="N220" i="3"/>
  <c r="O220" i="3"/>
  <c r="P220" i="3"/>
  <c r="Q220" i="3" s="1"/>
  <c r="M221" i="3"/>
  <c r="N221" i="3"/>
  <c r="O221" i="3"/>
  <c r="P221" i="3"/>
  <c r="Q221" i="3" s="1"/>
  <c r="M222" i="3"/>
  <c r="N222" i="3"/>
  <c r="O222" i="3"/>
  <c r="P222" i="3"/>
  <c r="Q222" i="3" s="1"/>
  <c r="M223" i="3"/>
  <c r="N223" i="3"/>
  <c r="O223" i="3"/>
  <c r="P223" i="3"/>
  <c r="Q223" i="3" s="1"/>
  <c r="M224" i="3"/>
  <c r="N224" i="3"/>
  <c r="O224" i="3"/>
  <c r="P224" i="3"/>
  <c r="Q224" i="3" s="1"/>
  <c r="M225" i="3"/>
  <c r="N225" i="3"/>
  <c r="O225" i="3"/>
  <c r="P225" i="3"/>
  <c r="Q225" i="3" s="1"/>
  <c r="M226" i="3"/>
  <c r="N226" i="3"/>
  <c r="P226" i="3"/>
  <c r="Q226" i="3" s="1"/>
  <c r="M227" i="3"/>
  <c r="N227" i="3"/>
  <c r="O227" i="3"/>
  <c r="P227" i="3"/>
  <c r="Q227" i="3" s="1"/>
  <c r="M228" i="3"/>
  <c r="N228" i="3"/>
  <c r="P228" i="3"/>
  <c r="Q228" i="3" s="1"/>
  <c r="M229" i="3"/>
  <c r="N229" i="3"/>
  <c r="O229" i="3"/>
  <c r="U229" i="3" s="1"/>
  <c r="P229" i="3"/>
  <c r="Q229" i="3" s="1"/>
  <c r="M230" i="3"/>
  <c r="N230" i="3"/>
  <c r="P230" i="3"/>
  <c r="M231" i="3"/>
  <c r="N231" i="3"/>
  <c r="O231" i="3"/>
  <c r="U231" i="3" s="1"/>
  <c r="P231" i="3"/>
  <c r="M232" i="3"/>
  <c r="N232" i="3"/>
  <c r="P232" i="3"/>
  <c r="M233" i="3"/>
  <c r="N233" i="3"/>
  <c r="O233" i="3"/>
  <c r="U233" i="3" s="1"/>
  <c r="P233" i="3"/>
  <c r="M234" i="3"/>
  <c r="N234" i="3"/>
  <c r="P234" i="3"/>
  <c r="M235" i="3"/>
  <c r="N235" i="3"/>
  <c r="O235" i="3"/>
  <c r="U235" i="3" s="1"/>
  <c r="P235" i="3"/>
  <c r="M236" i="3"/>
  <c r="N236" i="3"/>
  <c r="P236" i="3"/>
  <c r="M237" i="3"/>
  <c r="N237" i="3"/>
  <c r="O237" i="3"/>
  <c r="U237" i="3" s="1"/>
  <c r="P237" i="3"/>
  <c r="P238" i="3"/>
  <c r="O239" i="3"/>
  <c r="U239" i="3" s="1"/>
  <c r="P239" i="3"/>
  <c r="P240" i="3"/>
  <c r="O241" i="3"/>
  <c r="U241" i="3" s="1"/>
  <c r="P241" i="3"/>
  <c r="P242" i="3"/>
  <c r="O243" i="3"/>
  <c r="U243" i="3" s="1"/>
  <c r="P243" i="3"/>
  <c r="P244" i="3"/>
  <c r="O245" i="3"/>
  <c r="U245" i="3" s="1"/>
  <c r="P245" i="3"/>
  <c r="P246" i="3"/>
  <c r="O247" i="3"/>
  <c r="U247" i="3" s="1"/>
  <c r="P247" i="3"/>
  <c r="P248" i="3"/>
  <c r="O249" i="3"/>
  <c r="U249" i="3" s="1"/>
  <c r="P249" i="3"/>
  <c r="P250" i="3"/>
  <c r="O251" i="3"/>
  <c r="U251" i="3" s="1"/>
  <c r="P251" i="3"/>
  <c r="P252" i="3"/>
  <c r="O253" i="3"/>
  <c r="U253" i="3" s="1"/>
  <c r="P253" i="3"/>
  <c r="P254" i="3"/>
  <c r="O255" i="3"/>
  <c r="U255" i="3" s="1"/>
  <c r="P255" i="3"/>
  <c r="P256" i="3"/>
  <c r="O257" i="3"/>
  <c r="U257" i="3" s="1"/>
  <c r="P257" i="3"/>
  <c r="P258" i="3"/>
  <c r="O259" i="3"/>
  <c r="U259" i="3" s="1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Q311" i="3" s="1"/>
  <c r="P312" i="3"/>
  <c r="Q312" i="3" s="1"/>
  <c r="P313" i="3"/>
  <c r="Q313" i="3" s="1"/>
  <c r="P314" i="3"/>
  <c r="Q314" i="3" s="1"/>
  <c r="P315" i="3"/>
  <c r="Q315" i="3" s="1"/>
  <c r="P316" i="3"/>
  <c r="Q316" i="3" s="1"/>
  <c r="P317" i="3"/>
  <c r="Q317" i="3" s="1"/>
  <c r="P318" i="3"/>
  <c r="Q318" i="3" s="1"/>
  <c r="P319" i="3"/>
  <c r="Q319" i="3" s="1"/>
  <c r="P320" i="3"/>
  <c r="Q320" i="3" s="1"/>
  <c r="P321" i="3"/>
  <c r="Q321" i="3" s="1"/>
  <c r="P322" i="3"/>
  <c r="Q322" i="3" s="1"/>
  <c r="P323" i="3"/>
  <c r="Q323" i="3" s="1"/>
  <c r="P324" i="3"/>
  <c r="Q324" i="3" s="1"/>
  <c r="P325" i="3"/>
  <c r="Q325" i="3" s="1"/>
  <c r="P326" i="3"/>
  <c r="Q326" i="3" s="1"/>
  <c r="P327" i="3"/>
  <c r="Q327" i="3" s="1"/>
  <c r="P328" i="3"/>
  <c r="Q328" i="3" s="1"/>
  <c r="P329" i="3"/>
  <c r="Q329" i="3" s="1"/>
  <c r="P330" i="3"/>
  <c r="Q330" i="3" s="1"/>
  <c r="P331" i="3"/>
  <c r="Q331" i="3" s="1"/>
  <c r="P332" i="3"/>
  <c r="Q332" i="3" s="1"/>
  <c r="P333" i="3"/>
  <c r="Q333" i="3" s="1"/>
  <c r="P334" i="3"/>
  <c r="Q334" i="3" s="1"/>
  <c r="P335" i="3"/>
  <c r="Q335" i="3" s="1"/>
  <c r="P336" i="3"/>
  <c r="Q336" i="3" s="1"/>
  <c r="P337" i="3"/>
  <c r="Q337" i="3" s="1"/>
  <c r="P338" i="3"/>
  <c r="Q338" i="3" s="1"/>
  <c r="P339" i="3"/>
  <c r="Q339" i="3" s="1"/>
  <c r="P340" i="3"/>
  <c r="Q340" i="3" s="1"/>
  <c r="P341" i="3"/>
  <c r="Q341" i="3" s="1"/>
  <c r="P342" i="3"/>
  <c r="Q342" i="3" s="1"/>
  <c r="P343" i="3"/>
  <c r="Q343" i="3" s="1"/>
  <c r="P344" i="3"/>
  <c r="Q344" i="3" s="1"/>
  <c r="P345" i="3"/>
  <c r="Q345" i="3" s="1"/>
  <c r="P346" i="3"/>
  <c r="Q346" i="3" s="1"/>
  <c r="P347" i="3"/>
  <c r="Q347" i="3" s="1"/>
  <c r="P348" i="3"/>
  <c r="Q348" i="3" s="1"/>
  <c r="P349" i="3"/>
  <c r="Q349" i="3" s="1"/>
  <c r="P350" i="3"/>
  <c r="Q350" i="3" s="1"/>
  <c r="P351" i="3"/>
  <c r="Q351" i="3" s="1"/>
  <c r="P352" i="3"/>
  <c r="Q352" i="3" s="1"/>
  <c r="P353" i="3"/>
  <c r="Q353" i="3" s="1"/>
  <c r="P354" i="3"/>
  <c r="Q354" i="3" s="1"/>
  <c r="P355" i="3"/>
  <c r="Q355" i="3" s="1"/>
  <c r="P356" i="3"/>
  <c r="Q356" i="3" s="1"/>
  <c r="P357" i="3"/>
  <c r="Q357" i="3" s="1"/>
  <c r="P358" i="3"/>
  <c r="Q358" i="3" s="1"/>
  <c r="P359" i="3"/>
  <c r="Q359" i="3" s="1"/>
  <c r="P360" i="3"/>
  <c r="Q360" i="3" s="1"/>
  <c r="P361" i="3"/>
  <c r="Q361" i="3" s="1"/>
  <c r="P362" i="3"/>
  <c r="Q362" i="3" s="1"/>
  <c r="P363" i="3"/>
  <c r="Q363" i="3" s="1"/>
  <c r="P364" i="3"/>
  <c r="Q364" i="3" s="1"/>
  <c r="P365" i="3"/>
  <c r="Q365" i="3" s="1"/>
  <c r="P366" i="3"/>
  <c r="Q366" i="3" s="1"/>
  <c r="P367" i="3"/>
  <c r="Q367" i="3" s="1"/>
  <c r="P368" i="3"/>
  <c r="Q368" i="3" s="1"/>
  <c r="P369" i="3"/>
  <c r="Q369" i="3" s="1"/>
  <c r="P370" i="3"/>
  <c r="Q370" i="3" s="1"/>
  <c r="P371" i="3"/>
  <c r="Q371" i="3" s="1"/>
  <c r="P372" i="3"/>
  <c r="Q372" i="3" s="1"/>
  <c r="P373" i="3"/>
  <c r="Q373" i="3" s="1"/>
  <c r="P374" i="3"/>
  <c r="Q374" i="3" s="1"/>
  <c r="P375" i="3"/>
  <c r="Q375" i="3" s="1"/>
  <c r="P376" i="3"/>
  <c r="Q376" i="3" s="1"/>
  <c r="P377" i="3"/>
  <c r="Q377" i="3" s="1"/>
  <c r="P378" i="3"/>
  <c r="Q378" i="3" s="1"/>
  <c r="P379" i="3"/>
  <c r="Q379" i="3" s="1"/>
  <c r="P380" i="3"/>
  <c r="Q380" i="3" s="1"/>
  <c r="P381" i="3"/>
  <c r="Q381" i="3" s="1"/>
  <c r="P382" i="3"/>
  <c r="Q382" i="3" s="1"/>
  <c r="P383" i="3"/>
  <c r="Q383" i="3" s="1"/>
  <c r="P384" i="3"/>
  <c r="Q384" i="3" s="1"/>
  <c r="P385" i="3"/>
  <c r="Q385" i="3" s="1"/>
  <c r="P386" i="3"/>
  <c r="Q386" i="3" s="1"/>
  <c r="P387" i="3"/>
  <c r="Q387" i="3" s="1"/>
  <c r="P388" i="3"/>
  <c r="Q388" i="3" s="1"/>
  <c r="P389" i="3"/>
  <c r="Q389" i="3" s="1"/>
  <c r="P390" i="3"/>
  <c r="Q390" i="3" s="1"/>
  <c r="P391" i="3"/>
  <c r="Q391" i="3" s="1"/>
  <c r="P392" i="3"/>
  <c r="Q392" i="3" s="1"/>
  <c r="P393" i="3"/>
  <c r="Q393" i="3" s="1"/>
  <c r="P394" i="3"/>
  <c r="Q394" i="3" s="1"/>
  <c r="P395" i="3"/>
  <c r="Q395" i="3" s="1"/>
  <c r="P396" i="3"/>
  <c r="Q396" i="3" s="1"/>
  <c r="P397" i="3"/>
  <c r="Q397" i="3" s="1"/>
  <c r="P398" i="3"/>
  <c r="Q398" i="3" s="1"/>
  <c r="P399" i="3"/>
  <c r="Q399" i="3" s="1"/>
  <c r="P400" i="3"/>
  <c r="Q400" i="3" s="1"/>
  <c r="P401" i="3"/>
  <c r="Q401" i="3" s="1"/>
  <c r="P402" i="3"/>
  <c r="Q402" i="3" s="1"/>
  <c r="P403" i="3"/>
  <c r="Q403" i="3" s="1"/>
  <c r="P404" i="3"/>
  <c r="Q404" i="3" s="1"/>
  <c r="P405" i="3"/>
  <c r="Q405" i="3" s="1"/>
  <c r="P406" i="3"/>
  <c r="Q406" i="3" s="1"/>
  <c r="P407" i="3"/>
  <c r="Q407" i="3" s="1"/>
  <c r="P408" i="3"/>
  <c r="Q408" i="3" s="1"/>
  <c r="P409" i="3"/>
  <c r="Q409" i="3" s="1"/>
  <c r="P410" i="3"/>
  <c r="Q410" i="3" s="1"/>
  <c r="P211" i="3"/>
  <c r="O211" i="3"/>
  <c r="N211" i="3"/>
  <c r="M211" i="3"/>
  <c r="K212" i="3"/>
  <c r="V212" i="3" s="1"/>
  <c r="K213" i="3"/>
  <c r="V213" i="3" s="1"/>
  <c r="K214" i="3"/>
  <c r="V214" i="3" s="1"/>
  <c r="K215" i="3"/>
  <c r="V215" i="3" s="1"/>
  <c r="K216" i="3"/>
  <c r="V216" i="3" s="1"/>
  <c r="K217" i="3"/>
  <c r="V217" i="3" s="1"/>
  <c r="K218" i="3"/>
  <c r="V218" i="3" s="1"/>
  <c r="K219" i="3"/>
  <c r="V219" i="3" s="1"/>
  <c r="K220" i="3"/>
  <c r="V220" i="3" s="1"/>
  <c r="K221" i="3"/>
  <c r="V221" i="3" s="1"/>
  <c r="K222" i="3"/>
  <c r="V222" i="3" s="1"/>
  <c r="K223" i="3"/>
  <c r="V223" i="3" s="1"/>
  <c r="K224" i="3"/>
  <c r="V224" i="3" s="1"/>
  <c r="K225" i="3"/>
  <c r="V225" i="3" s="1"/>
  <c r="K226" i="3"/>
  <c r="V226" i="3" s="1"/>
  <c r="K227" i="3"/>
  <c r="V227" i="3" s="1"/>
  <c r="K228" i="3"/>
  <c r="V228" i="3" s="1"/>
  <c r="K229" i="3"/>
  <c r="V229" i="3" s="1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V311" i="3" s="1"/>
  <c r="K312" i="3"/>
  <c r="V312" i="3" s="1"/>
  <c r="K313" i="3"/>
  <c r="V313" i="3" s="1"/>
  <c r="K314" i="3"/>
  <c r="V314" i="3" s="1"/>
  <c r="K315" i="3"/>
  <c r="V315" i="3" s="1"/>
  <c r="K316" i="3"/>
  <c r="V316" i="3" s="1"/>
  <c r="K317" i="3"/>
  <c r="V317" i="3" s="1"/>
  <c r="K318" i="3"/>
  <c r="V318" i="3" s="1"/>
  <c r="K319" i="3"/>
  <c r="V319" i="3" s="1"/>
  <c r="K320" i="3"/>
  <c r="V320" i="3" s="1"/>
  <c r="K321" i="3"/>
  <c r="V321" i="3" s="1"/>
  <c r="K322" i="3"/>
  <c r="V322" i="3" s="1"/>
  <c r="K323" i="3"/>
  <c r="V323" i="3" s="1"/>
  <c r="K324" i="3"/>
  <c r="V324" i="3" s="1"/>
  <c r="K325" i="3"/>
  <c r="V325" i="3" s="1"/>
  <c r="K326" i="3"/>
  <c r="V326" i="3" s="1"/>
  <c r="K327" i="3"/>
  <c r="V327" i="3" s="1"/>
  <c r="K328" i="3"/>
  <c r="V328" i="3" s="1"/>
  <c r="K329" i="3"/>
  <c r="V329" i="3" s="1"/>
  <c r="K330" i="3"/>
  <c r="V330" i="3" s="1"/>
  <c r="K331" i="3"/>
  <c r="V331" i="3" s="1"/>
  <c r="K332" i="3"/>
  <c r="V332" i="3" s="1"/>
  <c r="K333" i="3"/>
  <c r="V333" i="3" s="1"/>
  <c r="K334" i="3"/>
  <c r="V334" i="3" s="1"/>
  <c r="K335" i="3"/>
  <c r="V335" i="3" s="1"/>
  <c r="K336" i="3"/>
  <c r="V336" i="3" s="1"/>
  <c r="K337" i="3"/>
  <c r="V337" i="3" s="1"/>
  <c r="K338" i="3"/>
  <c r="V338" i="3" s="1"/>
  <c r="K339" i="3"/>
  <c r="V339" i="3" s="1"/>
  <c r="K340" i="3"/>
  <c r="V340" i="3" s="1"/>
  <c r="K341" i="3"/>
  <c r="V341" i="3" s="1"/>
  <c r="K342" i="3"/>
  <c r="V342" i="3" s="1"/>
  <c r="K343" i="3"/>
  <c r="V343" i="3" s="1"/>
  <c r="K344" i="3"/>
  <c r="V344" i="3" s="1"/>
  <c r="K345" i="3"/>
  <c r="V345" i="3" s="1"/>
  <c r="K346" i="3"/>
  <c r="V346" i="3" s="1"/>
  <c r="K347" i="3"/>
  <c r="V347" i="3" s="1"/>
  <c r="K348" i="3"/>
  <c r="V348" i="3" s="1"/>
  <c r="K349" i="3"/>
  <c r="V349" i="3" s="1"/>
  <c r="K350" i="3"/>
  <c r="V350" i="3" s="1"/>
  <c r="K351" i="3"/>
  <c r="V351" i="3" s="1"/>
  <c r="K352" i="3"/>
  <c r="V352" i="3" s="1"/>
  <c r="K353" i="3"/>
  <c r="V353" i="3" s="1"/>
  <c r="K354" i="3"/>
  <c r="V354" i="3" s="1"/>
  <c r="K355" i="3"/>
  <c r="V355" i="3" s="1"/>
  <c r="K356" i="3"/>
  <c r="V356" i="3" s="1"/>
  <c r="K357" i="3"/>
  <c r="V357" i="3" s="1"/>
  <c r="K358" i="3"/>
  <c r="V358" i="3" s="1"/>
  <c r="K359" i="3"/>
  <c r="V359" i="3" s="1"/>
  <c r="K360" i="3"/>
  <c r="V360" i="3" s="1"/>
  <c r="K361" i="3"/>
  <c r="V361" i="3" s="1"/>
  <c r="K362" i="3"/>
  <c r="V362" i="3" s="1"/>
  <c r="K363" i="3"/>
  <c r="V363" i="3" s="1"/>
  <c r="K364" i="3"/>
  <c r="V364" i="3" s="1"/>
  <c r="K365" i="3"/>
  <c r="V365" i="3" s="1"/>
  <c r="K366" i="3"/>
  <c r="V366" i="3" s="1"/>
  <c r="K367" i="3"/>
  <c r="V367" i="3" s="1"/>
  <c r="K368" i="3"/>
  <c r="V368" i="3" s="1"/>
  <c r="K369" i="3"/>
  <c r="V369" i="3" s="1"/>
  <c r="K370" i="3"/>
  <c r="V370" i="3" s="1"/>
  <c r="K371" i="3"/>
  <c r="V371" i="3" s="1"/>
  <c r="K372" i="3"/>
  <c r="V372" i="3" s="1"/>
  <c r="K373" i="3"/>
  <c r="V373" i="3" s="1"/>
  <c r="K374" i="3"/>
  <c r="V374" i="3" s="1"/>
  <c r="K375" i="3"/>
  <c r="V375" i="3" s="1"/>
  <c r="K376" i="3"/>
  <c r="V376" i="3" s="1"/>
  <c r="K377" i="3"/>
  <c r="V377" i="3" s="1"/>
  <c r="K378" i="3"/>
  <c r="V378" i="3" s="1"/>
  <c r="K379" i="3"/>
  <c r="V379" i="3" s="1"/>
  <c r="K380" i="3"/>
  <c r="V380" i="3" s="1"/>
  <c r="K381" i="3"/>
  <c r="V381" i="3" s="1"/>
  <c r="K382" i="3"/>
  <c r="V382" i="3" s="1"/>
  <c r="K383" i="3"/>
  <c r="V383" i="3" s="1"/>
  <c r="K384" i="3"/>
  <c r="V384" i="3" s="1"/>
  <c r="K385" i="3"/>
  <c r="V385" i="3" s="1"/>
  <c r="K386" i="3"/>
  <c r="V386" i="3" s="1"/>
  <c r="K387" i="3"/>
  <c r="V387" i="3" s="1"/>
  <c r="K388" i="3"/>
  <c r="V388" i="3" s="1"/>
  <c r="K389" i="3"/>
  <c r="V389" i="3" s="1"/>
  <c r="K390" i="3"/>
  <c r="V390" i="3" s="1"/>
  <c r="K391" i="3"/>
  <c r="V391" i="3" s="1"/>
  <c r="K392" i="3"/>
  <c r="V392" i="3" s="1"/>
  <c r="K393" i="3"/>
  <c r="V393" i="3" s="1"/>
  <c r="K394" i="3"/>
  <c r="V394" i="3" s="1"/>
  <c r="K395" i="3"/>
  <c r="V395" i="3" s="1"/>
  <c r="K396" i="3"/>
  <c r="V396" i="3" s="1"/>
  <c r="K397" i="3"/>
  <c r="V397" i="3" s="1"/>
  <c r="K398" i="3"/>
  <c r="V398" i="3" s="1"/>
  <c r="K399" i="3"/>
  <c r="V399" i="3" s="1"/>
  <c r="K400" i="3"/>
  <c r="V400" i="3" s="1"/>
  <c r="K401" i="3"/>
  <c r="V401" i="3" s="1"/>
  <c r="K402" i="3"/>
  <c r="V402" i="3" s="1"/>
  <c r="K403" i="3"/>
  <c r="V403" i="3" s="1"/>
  <c r="K404" i="3"/>
  <c r="V404" i="3" s="1"/>
  <c r="K405" i="3"/>
  <c r="V405" i="3" s="1"/>
  <c r="K406" i="3"/>
  <c r="V406" i="3" s="1"/>
  <c r="K407" i="3"/>
  <c r="V407" i="3" s="1"/>
  <c r="K408" i="3"/>
  <c r="V408" i="3" s="1"/>
  <c r="K409" i="3"/>
  <c r="V409" i="3" s="1"/>
  <c r="K410" i="3"/>
  <c r="V410" i="3" s="1"/>
  <c r="K211" i="3"/>
  <c r="J212" i="3"/>
  <c r="G147" i="7" s="1"/>
  <c r="J213" i="3"/>
  <c r="G148" i="7" s="1"/>
  <c r="J214" i="3"/>
  <c r="G149" i="7" s="1"/>
  <c r="J215" i="3"/>
  <c r="G150" i="7" s="1"/>
  <c r="J216" i="3"/>
  <c r="G151" i="7" s="1"/>
  <c r="J217" i="3"/>
  <c r="G152" i="7" s="1"/>
  <c r="J218" i="3"/>
  <c r="G153" i="7" s="1"/>
  <c r="J219" i="3"/>
  <c r="G154" i="7" s="1"/>
  <c r="J220" i="3"/>
  <c r="G155" i="7" s="1"/>
  <c r="J221" i="3"/>
  <c r="G156" i="7" s="1"/>
  <c r="J222" i="3"/>
  <c r="G157" i="7" s="1"/>
  <c r="J223" i="3"/>
  <c r="G158" i="7" s="1"/>
  <c r="J224" i="3"/>
  <c r="G159" i="7" s="1"/>
  <c r="J225" i="3"/>
  <c r="G160" i="7" s="1"/>
  <c r="J226" i="3"/>
  <c r="G161" i="7" s="1"/>
  <c r="J227" i="3"/>
  <c r="G162" i="7" s="1"/>
  <c r="J228" i="3"/>
  <c r="G163" i="7" s="1"/>
  <c r="J229" i="3"/>
  <c r="G164" i="7" s="1"/>
  <c r="J230" i="3"/>
  <c r="G165" i="7" s="1"/>
  <c r="J231" i="3"/>
  <c r="G166" i="7" s="1"/>
  <c r="J232" i="3"/>
  <c r="G167" i="7" s="1"/>
  <c r="J233" i="3"/>
  <c r="G168" i="7" s="1"/>
  <c r="J234" i="3"/>
  <c r="G169" i="7" s="1"/>
  <c r="J235" i="3"/>
  <c r="G170" i="7" s="1"/>
  <c r="J236" i="3"/>
  <c r="J211" i="3"/>
  <c r="G146" i="7" s="1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R236" i="3" s="1"/>
  <c r="H211" i="3"/>
  <c r="C212" i="3"/>
  <c r="D212" i="3"/>
  <c r="E212" i="3"/>
  <c r="F212" i="3"/>
  <c r="C213" i="3"/>
  <c r="E213" i="3"/>
  <c r="C214" i="3"/>
  <c r="E214" i="3"/>
  <c r="C215" i="3"/>
  <c r="C216" i="3"/>
  <c r="C217" i="3"/>
  <c r="C218" i="3"/>
  <c r="C219" i="3"/>
  <c r="D219" i="3"/>
  <c r="C220" i="3"/>
  <c r="C221" i="3"/>
  <c r="C222" i="3"/>
  <c r="C223" i="3"/>
  <c r="C224" i="3"/>
  <c r="C225" i="3"/>
  <c r="B160" i="7" s="1"/>
  <c r="C226" i="3"/>
  <c r="B161" i="7" s="1"/>
  <c r="C234" i="3"/>
  <c r="C236" i="3"/>
  <c r="D211" i="3"/>
  <c r="E211" i="3"/>
  <c r="F211" i="3"/>
  <c r="C211" i="3"/>
  <c r="G211" i="3" s="1"/>
  <c r="G212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211" i="3"/>
  <c r="B414" i="3" s="1"/>
  <c r="V207" i="3"/>
  <c r="Q207" i="3"/>
  <c r="V206" i="3"/>
  <c r="Q206" i="3"/>
  <c r="V205" i="3"/>
  <c r="Q205" i="3"/>
  <c r="V204" i="3"/>
  <c r="Q204" i="3"/>
  <c r="V203" i="3"/>
  <c r="Q203" i="3"/>
  <c r="V202" i="3"/>
  <c r="Q202" i="3"/>
  <c r="V201" i="3"/>
  <c r="Q201" i="3"/>
  <c r="V200" i="3"/>
  <c r="Q200" i="3"/>
  <c r="V199" i="3"/>
  <c r="Q199" i="3"/>
  <c r="V198" i="3"/>
  <c r="Q198" i="3"/>
  <c r="V197" i="3"/>
  <c r="Q197" i="3"/>
  <c r="V196" i="3"/>
  <c r="Q196" i="3"/>
  <c r="V195" i="3"/>
  <c r="Q195" i="3"/>
  <c r="V194" i="3"/>
  <c r="Q194" i="3"/>
  <c r="V193" i="3"/>
  <c r="Q193" i="3"/>
  <c r="V192" i="3"/>
  <c r="Q192" i="3"/>
  <c r="V191" i="3"/>
  <c r="Q191" i="3"/>
  <c r="V190" i="3"/>
  <c r="Q190" i="3"/>
  <c r="V189" i="3"/>
  <c r="Q189" i="3"/>
  <c r="V188" i="3"/>
  <c r="Q188" i="3"/>
  <c r="V187" i="3"/>
  <c r="Q187" i="3"/>
  <c r="V186" i="3"/>
  <c r="Q186" i="3"/>
  <c r="V185" i="3"/>
  <c r="Q185" i="3"/>
  <c r="V184" i="3"/>
  <c r="Q184" i="3"/>
  <c r="V183" i="3"/>
  <c r="Q183" i="3"/>
  <c r="V182" i="3"/>
  <c r="Q182" i="3"/>
  <c r="V181" i="3"/>
  <c r="Q181" i="3"/>
  <c r="V180" i="3"/>
  <c r="Q180" i="3"/>
  <c r="V179" i="3"/>
  <c r="Q179" i="3"/>
  <c r="V178" i="3"/>
  <c r="Q178" i="3"/>
  <c r="V177" i="3"/>
  <c r="Q177" i="3"/>
  <c r="V176" i="3"/>
  <c r="Q176" i="3"/>
  <c r="V175" i="3"/>
  <c r="Q175" i="3"/>
  <c r="V174" i="3"/>
  <c r="Q174" i="3"/>
  <c r="V173" i="3"/>
  <c r="Q173" i="3"/>
  <c r="V172" i="3"/>
  <c r="Q172" i="3"/>
  <c r="V171" i="3"/>
  <c r="Q171" i="3"/>
  <c r="V170" i="3"/>
  <c r="Q170" i="3"/>
  <c r="V169" i="3"/>
  <c r="Q169" i="3"/>
  <c r="V168" i="3"/>
  <c r="Q168" i="3"/>
  <c r="V167" i="3"/>
  <c r="Q167" i="3"/>
  <c r="V166" i="3"/>
  <c r="Q166" i="3"/>
  <c r="V165" i="3"/>
  <c r="Q165" i="3"/>
  <c r="V164" i="3"/>
  <c r="Q164" i="3"/>
  <c r="V163" i="3"/>
  <c r="Q163" i="3"/>
  <c r="V162" i="3"/>
  <c r="Q162" i="3"/>
  <c r="V161" i="3"/>
  <c r="Q161" i="3"/>
  <c r="V160" i="3"/>
  <c r="Q160" i="3"/>
  <c r="V159" i="3"/>
  <c r="Q159" i="3"/>
  <c r="V158" i="3"/>
  <c r="Q158" i="3"/>
  <c r="V157" i="3"/>
  <c r="Q157" i="3"/>
  <c r="V156" i="3"/>
  <c r="Q156" i="3"/>
  <c r="V155" i="3"/>
  <c r="Q155" i="3"/>
  <c r="V154" i="3"/>
  <c r="Q154" i="3"/>
  <c r="V153" i="3"/>
  <c r="Q153" i="3"/>
  <c r="V152" i="3"/>
  <c r="Q152" i="3"/>
  <c r="V151" i="3"/>
  <c r="Q151" i="3"/>
  <c r="V150" i="3"/>
  <c r="Q150" i="3"/>
  <c r="V149" i="3"/>
  <c r="Q149" i="3"/>
  <c r="V148" i="3"/>
  <c r="Q148" i="3"/>
  <c r="V147" i="3"/>
  <c r="Q147" i="3"/>
  <c r="V146" i="3"/>
  <c r="Q146" i="3"/>
  <c r="V145" i="3"/>
  <c r="Q145" i="3"/>
  <c r="V144" i="3"/>
  <c r="Q144" i="3"/>
  <c r="V143" i="3"/>
  <c r="Q143" i="3"/>
  <c r="V142" i="3"/>
  <c r="Q142" i="3"/>
  <c r="V141" i="3"/>
  <c r="Q141" i="3"/>
  <c r="V140" i="3"/>
  <c r="Q140" i="3"/>
  <c r="V139" i="3"/>
  <c r="Q139" i="3"/>
  <c r="V138" i="3"/>
  <c r="Q138" i="3"/>
  <c r="V137" i="3"/>
  <c r="Q137" i="3"/>
  <c r="V136" i="3"/>
  <c r="Q136" i="3"/>
  <c r="V135" i="3"/>
  <c r="Q135" i="3"/>
  <c r="V134" i="3"/>
  <c r="Q134" i="3"/>
  <c r="V133" i="3"/>
  <c r="Q133" i="3"/>
  <c r="V132" i="3"/>
  <c r="Q132" i="3"/>
  <c r="V131" i="3"/>
  <c r="Q131" i="3"/>
  <c r="V130" i="3"/>
  <c r="Q130" i="3"/>
  <c r="V129" i="3"/>
  <c r="Q129" i="3"/>
  <c r="V128" i="3"/>
  <c r="Q128" i="3"/>
  <c r="V127" i="3"/>
  <c r="Q127" i="3"/>
  <c r="V126" i="3"/>
  <c r="Q126" i="3"/>
  <c r="V125" i="3"/>
  <c r="Q125" i="3"/>
  <c r="V124" i="3"/>
  <c r="Q124" i="3"/>
  <c r="V123" i="3"/>
  <c r="Q123" i="3"/>
  <c r="V122" i="3"/>
  <c r="Q122" i="3"/>
  <c r="V121" i="3"/>
  <c r="Q121" i="3"/>
  <c r="V120" i="3"/>
  <c r="Q120" i="3"/>
  <c r="V119" i="3"/>
  <c r="Q119" i="3"/>
  <c r="V118" i="3"/>
  <c r="Q118" i="3"/>
  <c r="V117" i="3"/>
  <c r="Q117" i="3"/>
  <c r="V116" i="3"/>
  <c r="Q116" i="3"/>
  <c r="V115" i="3"/>
  <c r="Q115" i="3"/>
  <c r="V114" i="3"/>
  <c r="Q114" i="3"/>
  <c r="V113" i="3"/>
  <c r="Q113" i="3"/>
  <c r="V112" i="3"/>
  <c r="Q112" i="3"/>
  <c r="V111" i="3"/>
  <c r="Q111" i="3"/>
  <c r="V110" i="3"/>
  <c r="Q110" i="3"/>
  <c r="V109" i="3"/>
  <c r="Q109" i="3"/>
  <c r="V108" i="3"/>
  <c r="Q108" i="3"/>
  <c r="D22" i="3"/>
  <c r="C29" i="3"/>
  <c r="C30" i="3"/>
  <c r="C32" i="3"/>
  <c r="C34" i="3"/>
  <c r="C28" i="3"/>
  <c r="U24" i="3"/>
  <c r="K30" i="4"/>
  <c r="L31" i="4"/>
  <c r="L32" i="4"/>
  <c r="L33" i="4"/>
  <c r="K6" i="7"/>
  <c r="AD6" i="7" s="1"/>
  <c r="D9" i="3"/>
  <c r="D10" i="3"/>
  <c r="D11" i="3"/>
  <c r="D12" i="3"/>
  <c r="D13" i="3"/>
  <c r="D14" i="3"/>
  <c r="D420" i="3" s="1"/>
  <c r="D15" i="3"/>
  <c r="D17" i="3"/>
  <c r="D18" i="3"/>
  <c r="D19" i="3"/>
  <c r="D20" i="3"/>
  <c r="D21" i="3"/>
  <c r="D23" i="3"/>
  <c r="D8" i="3"/>
  <c r="K25" i="4"/>
  <c r="I37" i="4"/>
  <c r="J37" i="4" s="1"/>
  <c r="Q9" i="3"/>
  <c r="G8" i="3"/>
  <c r="G50" i="1"/>
  <c r="G48" i="1"/>
  <c r="G49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47" i="1"/>
  <c r="K26" i="4"/>
  <c r="L26" i="4"/>
  <c r="K27" i="4"/>
  <c r="L27" i="4"/>
  <c r="K28" i="4"/>
  <c r="L28" i="4"/>
  <c r="K29" i="4"/>
  <c r="L29" i="4"/>
  <c r="L30" i="4"/>
  <c r="K31" i="4"/>
  <c r="K32" i="4"/>
  <c r="K33" i="4"/>
  <c r="K34" i="4"/>
  <c r="L34" i="4"/>
  <c r="K35" i="4"/>
  <c r="L35" i="4"/>
  <c r="K36" i="4"/>
  <c r="L36" i="4"/>
  <c r="K37" i="4"/>
  <c r="L37" i="4"/>
  <c r="K38" i="4"/>
  <c r="L38" i="4"/>
  <c r="K39" i="4"/>
  <c r="L39" i="4"/>
  <c r="L40" i="4"/>
  <c r="K41" i="4"/>
  <c r="L41" i="4"/>
  <c r="L25" i="4"/>
  <c r="W4" i="1"/>
  <c r="X4" i="1"/>
  <c r="Y4" i="1"/>
  <c r="P202" i="1"/>
  <c r="O202" i="1"/>
  <c r="N202" i="1"/>
  <c r="P201" i="1"/>
  <c r="O201" i="1"/>
  <c r="N201" i="1"/>
  <c r="P200" i="1"/>
  <c r="O200" i="1"/>
  <c r="N200" i="1"/>
  <c r="P199" i="1"/>
  <c r="O199" i="1"/>
  <c r="N199" i="1"/>
  <c r="P198" i="1"/>
  <c r="O198" i="1"/>
  <c r="N198" i="1"/>
  <c r="P197" i="1"/>
  <c r="O197" i="1"/>
  <c r="N197" i="1"/>
  <c r="P196" i="1"/>
  <c r="O196" i="1"/>
  <c r="N196" i="1"/>
  <c r="P195" i="1"/>
  <c r="O195" i="1"/>
  <c r="N195" i="1"/>
  <c r="P194" i="1"/>
  <c r="O194" i="1"/>
  <c r="N194" i="1"/>
  <c r="P193" i="1"/>
  <c r="O193" i="1"/>
  <c r="N193" i="1"/>
  <c r="P192" i="1"/>
  <c r="O192" i="1"/>
  <c r="N192" i="1"/>
  <c r="P191" i="1"/>
  <c r="O191" i="1"/>
  <c r="N191" i="1"/>
  <c r="P190" i="1"/>
  <c r="O190" i="1"/>
  <c r="N190" i="1"/>
  <c r="P189" i="1"/>
  <c r="O189" i="1"/>
  <c r="N189" i="1"/>
  <c r="P188" i="1"/>
  <c r="O188" i="1"/>
  <c r="N188" i="1"/>
  <c r="P187" i="1"/>
  <c r="O187" i="1"/>
  <c r="N187" i="1"/>
  <c r="N53" i="1"/>
  <c r="O53" i="1"/>
  <c r="P53" i="1"/>
  <c r="N54" i="1"/>
  <c r="O54" i="1"/>
  <c r="P54" i="1"/>
  <c r="N55" i="1"/>
  <c r="O55" i="1"/>
  <c r="P55" i="1"/>
  <c r="N56" i="1"/>
  <c r="O56" i="1"/>
  <c r="P56" i="1"/>
  <c r="N57" i="1"/>
  <c r="O57" i="1"/>
  <c r="P57" i="1"/>
  <c r="N58" i="1"/>
  <c r="O58" i="1"/>
  <c r="P58" i="1"/>
  <c r="N59" i="1"/>
  <c r="O59" i="1"/>
  <c r="P59" i="1"/>
  <c r="N60" i="1"/>
  <c r="O60" i="1"/>
  <c r="P60" i="1"/>
  <c r="N61" i="1"/>
  <c r="O61" i="1"/>
  <c r="P61" i="1"/>
  <c r="N62" i="1"/>
  <c r="O62" i="1"/>
  <c r="P62" i="1"/>
  <c r="N63" i="1"/>
  <c r="O63" i="1"/>
  <c r="P63" i="1"/>
  <c r="N64" i="1"/>
  <c r="O64" i="1"/>
  <c r="P64" i="1"/>
  <c r="N65" i="1"/>
  <c r="O65" i="1"/>
  <c r="P65" i="1"/>
  <c r="N66" i="1"/>
  <c r="O66" i="1"/>
  <c r="P66" i="1"/>
  <c r="N67" i="1"/>
  <c r="O67" i="1"/>
  <c r="P67" i="1"/>
  <c r="N68" i="1"/>
  <c r="O68" i="1"/>
  <c r="P68" i="1"/>
  <c r="N69" i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76" i="1"/>
  <c r="O76" i="1"/>
  <c r="P76" i="1"/>
  <c r="N77" i="1"/>
  <c r="O77" i="1"/>
  <c r="P77" i="1"/>
  <c r="N78" i="1"/>
  <c r="O78" i="1"/>
  <c r="P78" i="1"/>
  <c r="N79" i="1"/>
  <c r="O79" i="1"/>
  <c r="P79" i="1"/>
  <c r="N80" i="1"/>
  <c r="O80" i="1"/>
  <c r="P80" i="1"/>
  <c r="N81" i="1"/>
  <c r="O81" i="1"/>
  <c r="P81" i="1"/>
  <c r="N82" i="1"/>
  <c r="O82" i="1"/>
  <c r="P82" i="1"/>
  <c r="N83" i="1"/>
  <c r="O83" i="1"/>
  <c r="P83" i="1"/>
  <c r="N84" i="1"/>
  <c r="O84" i="1"/>
  <c r="P84" i="1"/>
  <c r="N85" i="1"/>
  <c r="O85" i="1"/>
  <c r="P85" i="1"/>
  <c r="N86" i="1"/>
  <c r="O86" i="1"/>
  <c r="P86" i="1"/>
  <c r="N87" i="1"/>
  <c r="O87" i="1"/>
  <c r="P87" i="1"/>
  <c r="N88" i="1"/>
  <c r="O88" i="1"/>
  <c r="P88" i="1"/>
  <c r="N89" i="1"/>
  <c r="O89" i="1"/>
  <c r="P89" i="1"/>
  <c r="N90" i="1"/>
  <c r="O90" i="1"/>
  <c r="P90" i="1"/>
  <c r="N91" i="1"/>
  <c r="O91" i="1"/>
  <c r="P91" i="1"/>
  <c r="N92" i="1"/>
  <c r="O92" i="1"/>
  <c r="P92" i="1"/>
  <c r="N93" i="1"/>
  <c r="O93" i="1"/>
  <c r="P93" i="1"/>
  <c r="N94" i="1"/>
  <c r="O94" i="1"/>
  <c r="P94" i="1"/>
  <c r="N95" i="1"/>
  <c r="O95" i="1"/>
  <c r="P95" i="1"/>
  <c r="N96" i="1"/>
  <c r="O96" i="1"/>
  <c r="P96" i="1"/>
  <c r="N97" i="1"/>
  <c r="O97" i="1"/>
  <c r="P97" i="1"/>
  <c r="N98" i="1"/>
  <c r="O98" i="1"/>
  <c r="P98" i="1"/>
  <c r="N99" i="1"/>
  <c r="O99" i="1"/>
  <c r="P99" i="1"/>
  <c r="N100" i="1"/>
  <c r="O100" i="1"/>
  <c r="P100" i="1"/>
  <c r="N101" i="1"/>
  <c r="O101" i="1"/>
  <c r="P101" i="1"/>
  <c r="N102" i="1"/>
  <c r="O102" i="1"/>
  <c r="P102" i="1"/>
  <c r="N103" i="1"/>
  <c r="O103" i="1"/>
  <c r="P103" i="1"/>
  <c r="N104" i="1"/>
  <c r="O104" i="1"/>
  <c r="P104" i="1"/>
  <c r="N105" i="1"/>
  <c r="O105" i="1"/>
  <c r="P105" i="1"/>
  <c r="N106" i="1"/>
  <c r="O106" i="1"/>
  <c r="P106" i="1"/>
  <c r="N107" i="1"/>
  <c r="O107" i="1"/>
  <c r="P107" i="1"/>
  <c r="N108" i="1"/>
  <c r="O108" i="1"/>
  <c r="P108" i="1"/>
  <c r="N109" i="1"/>
  <c r="O109" i="1"/>
  <c r="P109" i="1"/>
  <c r="N110" i="1"/>
  <c r="O110" i="1"/>
  <c r="P110" i="1"/>
  <c r="N111" i="1"/>
  <c r="O111" i="1"/>
  <c r="P111" i="1"/>
  <c r="N112" i="1"/>
  <c r="O112" i="1"/>
  <c r="P112" i="1"/>
  <c r="N113" i="1"/>
  <c r="O113" i="1"/>
  <c r="P113" i="1"/>
  <c r="N114" i="1"/>
  <c r="O114" i="1"/>
  <c r="P114" i="1"/>
  <c r="N115" i="1"/>
  <c r="O115" i="1"/>
  <c r="P115" i="1"/>
  <c r="N116" i="1"/>
  <c r="O116" i="1"/>
  <c r="P116" i="1"/>
  <c r="N117" i="1"/>
  <c r="O117" i="1"/>
  <c r="P117" i="1"/>
  <c r="N118" i="1"/>
  <c r="O118" i="1"/>
  <c r="P118" i="1"/>
  <c r="N119" i="1"/>
  <c r="O119" i="1"/>
  <c r="P119" i="1"/>
  <c r="N120" i="1"/>
  <c r="O120" i="1"/>
  <c r="P120" i="1"/>
  <c r="N121" i="1"/>
  <c r="O121" i="1"/>
  <c r="P121" i="1"/>
  <c r="N122" i="1"/>
  <c r="O122" i="1"/>
  <c r="P122" i="1"/>
  <c r="N123" i="1"/>
  <c r="O123" i="1"/>
  <c r="P123" i="1"/>
  <c r="N124" i="1"/>
  <c r="O124" i="1"/>
  <c r="P124" i="1"/>
  <c r="N125" i="1"/>
  <c r="O125" i="1"/>
  <c r="P125" i="1"/>
  <c r="N126" i="1"/>
  <c r="O126" i="1"/>
  <c r="P126" i="1"/>
  <c r="N127" i="1"/>
  <c r="O127" i="1"/>
  <c r="P127" i="1"/>
  <c r="N128" i="1"/>
  <c r="O128" i="1"/>
  <c r="P128" i="1"/>
  <c r="N129" i="1"/>
  <c r="O129" i="1"/>
  <c r="P129" i="1"/>
  <c r="N130" i="1"/>
  <c r="O130" i="1"/>
  <c r="P130" i="1"/>
  <c r="N131" i="1"/>
  <c r="O131" i="1"/>
  <c r="P131" i="1"/>
  <c r="N132" i="1"/>
  <c r="O132" i="1"/>
  <c r="P132" i="1"/>
  <c r="N133" i="1"/>
  <c r="O133" i="1"/>
  <c r="P133" i="1"/>
  <c r="N134" i="1"/>
  <c r="O134" i="1"/>
  <c r="P134" i="1"/>
  <c r="N135" i="1"/>
  <c r="O135" i="1"/>
  <c r="P135" i="1"/>
  <c r="N136" i="1"/>
  <c r="O136" i="1"/>
  <c r="P136" i="1"/>
  <c r="N137" i="1"/>
  <c r="O137" i="1"/>
  <c r="P137" i="1"/>
  <c r="N138" i="1"/>
  <c r="O138" i="1"/>
  <c r="P138" i="1"/>
  <c r="N139" i="1"/>
  <c r="O139" i="1"/>
  <c r="P139" i="1"/>
  <c r="N140" i="1"/>
  <c r="O140" i="1"/>
  <c r="P140" i="1"/>
  <c r="N141" i="1"/>
  <c r="O141" i="1"/>
  <c r="P141" i="1"/>
  <c r="N142" i="1"/>
  <c r="O142" i="1"/>
  <c r="P142" i="1"/>
  <c r="N143" i="1"/>
  <c r="O143" i="1"/>
  <c r="P143" i="1"/>
  <c r="N144" i="1"/>
  <c r="O144" i="1"/>
  <c r="P144" i="1"/>
  <c r="N145" i="1"/>
  <c r="O145" i="1"/>
  <c r="P145" i="1"/>
  <c r="N146" i="1"/>
  <c r="O146" i="1"/>
  <c r="P146" i="1"/>
  <c r="N147" i="1"/>
  <c r="O147" i="1"/>
  <c r="P147" i="1"/>
  <c r="N148" i="1"/>
  <c r="O148" i="1"/>
  <c r="P148" i="1"/>
  <c r="N149" i="1"/>
  <c r="O149" i="1"/>
  <c r="P149" i="1"/>
  <c r="N150" i="1"/>
  <c r="O150" i="1"/>
  <c r="P150" i="1"/>
  <c r="N151" i="1"/>
  <c r="O151" i="1"/>
  <c r="P151" i="1"/>
  <c r="N152" i="1"/>
  <c r="O152" i="1"/>
  <c r="P152" i="1"/>
  <c r="N153" i="1"/>
  <c r="O153" i="1"/>
  <c r="P153" i="1"/>
  <c r="N154" i="1"/>
  <c r="O154" i="1"/>
  <c r="P154" i="1"/>
  <c r="N155" i="1"/>
  <c r="O155" i="1"/>
  <c r="P155" i="1"/>
  <c r="N156" i="1"/>
  <c r="O156" i="1"/>
  <c r="P156" i="1"/>
  <c r="N157" i="1"/>
  <c r="O157" i="1"/>
  <c r="P157" i="1"/>
  <c r="N158" i="1"/>
  <c r="O158" i="1"/>
  <c r="P158" i="1"/>
  <c r="N159" i="1"/>
  <c r="O159" i="1"/>
  <c r="P159" i="1"/>
  <c r="N160" i="1"/>
  <c r="O160" i="1"/>
  <c r="P160" i="1"/>
  <c r="N161" i="1"/>
  <c r="O161" i="1"/>
  <c r="P161" i="1"/>
  <c r="N162" i="1"/>
  <c r="O162" i="1"/>
  <c r="P162" i="1"/>
  <c r="N163" i="1"/>
  <c r="O163" i="1"/>
  <c r="P163" i="1"/>
  <c r="N164" i="1"/>
  <c r="O164" i="1"/>
  <c r="P164" i="1"/>
  <c r="N165" i="1"/>
  <c r="O165" i="1"/>
  <c r="P165" i="1"/>
  <c r="N166" i="1"/>
  <c r="O166" i="1"/>
  <c r="P166" i="1"/>
  <c r="N167" i="1"/>
  <c r="O167" i="1"/>
  <c r="P167" i="1"/>
  <c r="N168" i="1"/>
  <c r="O168" i="1"/>
  <c r="P168" i="1"/>
  <c r="N169" i="1"/>
  <c r="O169" i="1"/>
  <c r="P169" i="1"/>
  <c r="N170" i="1"/>
  <c r="O170" i="1"/>
  <c r="P170" i="1"/>
  <c r="N171" i="1"/>
  <c r="O171" i="1"/>
  <c r="P171" i="1"/>
  <c r="N172" i="1"/>
  <c r="O172" i="1"/>
  <c r="P172" i="1"/>
  <c r="N173" i="1"/>
  <c r="O173" i="1"/>
  <c r="P173" i="1"/>
  <c r="N174" i="1"/>
  <c r="O174" i="1"/>
  <c r="P174" i="1"/>
  <c r="N175" i="1"/>
  <c r="O175" i="1"/>
  <c r="P175" i="1"/>
  <c r="N176" i="1"/>
  <c r="O176" i="1"/>
  <c r="P176" i="1"/>
  <c r="N177" i="1"/>
  <c r="O177" i="1"/>
  <c r="P177" i="1"/>
  <c r="N178" i="1"/>
  <c r="O178" i="1"/>
  <c r="P178" i="1"/>
  <c r="N179" i="1"/>
  <c r="O179" i="1"/>
  <c r="P179" i="1"/>
  <c r="N180" i="1"/>
  <c r="O180" i="1"/>
  <c r="P180" i="1"/>
  <c r="N181" i="1"/>
  <c r="O181" i="1"/>
  <c r="P181" i="1"/>
  <c r="N182" i="1"/>
  <c r="O182" i="1"/>
  <c r="P182" i="1"/>
  <c r="N183" i="1"/>
  <c r="O183" i="1"/>
  <c r="P183" i="1"/>
  <c r="N184" i="1"/>
  <c r="O184" i="1"/>
  <c r="P184" i="1"/>
  <c r="N185" i="1"/>
  <c r="O185" i="1"/>
  <c r="P185" i="1"/>
  <c r="N186" i="1"/>
  <c r="O186" i="1"/>
  <c r="P186" i="1"/>
  <c r="F31" i="6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33" i="9"/>
  <c r="D34" i="9"/>
  <c r="D35" i="9"/>
  <c r="D36" i="9"/>
  <c r="D37" i="9"/>
  <c r="D38" i="9"/>
  <c r="D39" i="9"/>
  <c r="D40" i="9"/>
  <c r="D41" i="9"/>
  <c r="D42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" i="9"/>
  <c r="AF24" i="6"/>
  <c r="AF25" i="6" s="1"/>
  <c r="Z17" i="6"/>
  <c r="Z18" i="6" s="1"/>
  <c r="AF15" i="6"/>
  <c r="Y143" i="7"/>
  <c r="X143" i="7"/>
  <c r="W143" i="7"/>
  <c r="V143" i="7"/>
  <c r="L102" i="7"/>
  <c r="AE102" i="7" s="1"/>
  <c r="H102" i="7"/>
  <c r="L101" i="7"/>
  <c r="AE101" i="7" s="1"/>
  <c r="H101" i="7"/>
  <c r="L100" i="7"/>
  <c r="AE100" i="7" s="1"/>
  <c r="H100" i="7"/>
  <c r="L99" i="7"/>
  <c r="AE99" i="7" s="1"/>
  <c r="H99" i="7"/>
  <c r="L98" i="7"/>
  <c r="AE98" i="7" s="1"/>
  <c r="H98" i="7"/>
  <c r="L97" i="7"/>
  <c r="AE97" i="7" s="1"/>
  <c r="H97" i="7"/>
  <c r="L96" i="7"/>
  <c r="AE96" i="7" s="1"/>
  <c r="H96" i="7"/>
  <c r="L95" i="7"/>
  <c r="AE95" i="7" s="1"/>
  <c r="H95" i="7"/>
  <c r="L94" i="7"/>
  <c r="AE94" i="7" s="1"/>
  <c r="H94" i="7"/>
  <c r="L93" i="7"/>
  <c r="AE93" i="7" s="1"/>
  <c r="H93" i="7"/>
  <c r="L92" i="7"/>
  <c r="AE92" i="7" s="1"/>
  <c r="H92" i="7"/>
  <c r="L91" i="7"/>
  <c r="AE91" i="7" s="1"/>
  <c r="H91" i="7"/>
  <c r="L90" i="7"/>
  <c r="AE90" i="7" s="1"/>
  <c r="H90" i="7"/>
  <c r="L89" i="7"/>
  <c r="AE89" i="7" s="1"/>
  <c r="H89" i="7"/>
  <c r="L88" i="7"/>
  <c r="AE88" i="7" s="1"/>
  <c r="H88" i="7"/>
  <c r="L87" i="7"/>
  <c r="AE87" i="7" s="1"/>
  <c r="H87" i="7"/>
  <c r="L86" i="7"/>
  <c r="AE86" i="7" s="1"/>
  <c r="H86" i="7"/>
  <c r="L85" i="7"/>
  <c r="AE85" i="7" s="1"/>
  <c r="H85" i="7"/>
  <c r="L84" i="7"/>
  <c r="AE84" i="7" s="1"/>
  <c r="H84" i="7"/>
  <c r="L83" i="7"/>
  <c r="AE83" i="7" s="1"/>
  <c r="H83" i="7"/>
  <c r="L82" i="7"/>
  <c r="AE82" i="7" s="1"/>
  <c r="H82" i="7"/>
  <c r="L81" i="7"/>
  <c r="AE81" i="7" s="1"/>
  <c r="H81" i="7"/>
  <c r="L80" i="7"/>
  <c r="AE80" i="7" s="1"/>
  <c r="H80" i="7"/>
  <c r="L79" i="7"/>
  <c r="AE79" i="7" s="1"/>
  <c r="H79" i="7"/>
  <c r="L78" i="7"/>
  <c r="AE78" i="7" s="1"/>
  <c r="H78" i="7"/>
  <c r="L77" i="7"/>
  <c r="AE77" i="7" s="1"/>
  <c r="H77" i="7"/>
  <c r="L76" i="7"/>
  <c r="AE76" i="7" s="1"/>
  <c r="H76" i="7"/>
  <c r="L75" i="7"/>
  <c r="AE75" i="7" s="1"/>
  <c r="H75" i="7"/>
  <c r="L74" i="7"/>
  <c r="AE74" i="7" s="1"/>
  <c r="H74" i="7"/>
  <c r="L73" i="7"/>
  <c r="AE73" i="7" s="1"/>
  <c r="H73" i="7"/>
  <c r="L72" i="7"/>
  <c r="AE72" i="7" s="1"/>
  <c r="H72" i="7"/>
  <c r="L71" i="7"/>
  <c r="AE71" i="7" s="1"/>
  <c r="H71" i="7"/>
  <c r="L70" i="7"/>
  <c r="AE70" i="7" s="1"/>
  <c r="H70" i="7"/>
  <c r="L69" i="7"/>
  <c r="AE69" i="7" s="1"/>
  <c r="H69" i="7"/>
  <c r="L68" i="7"/>
  <c r="AE68" i="7" s="1"/>
  <c r="H68" i="7"/>
  <c r="L67" i="7"/>
  <c r="AE67" i="7" s="1"/>
  <c r="H67" i="7"/>
  <c r="L66" i="7"/>
  <c r="AE66" i="7" s="1"/>
  <c r="H66" i="7"/>
  <c r="L65" i="7"/>
  <c r="AE65" i="7" s="1"/>
  <c r="H65" i="7"/>
  <c r="L64" i="7"/>
  <c r="AE64" i="7" s="1"/>
  <c r="H64" i="7"/>
  <c r="L63" i="7"/>
  <c r="AE63" i="7" s="1"/>
  <c r="H63" i="7"/>
  <c r="L62" i="7"/>
  <c r="AE62" i="7" s="1"/>
  <c r="H62" i="7"/>
  <c r="L61" i="7"/>
  <c r="AE61" i="7" s="1"/>
  <c r="H61" i="7"/>
  <c r="L60" i="7"/>
  <c r="AE60" i="7" s="1"/>
  <c r="H60" i="7"/>
  <c r="L59" i="7"/>
  <c r="AE59" i="7" s="1"/>
  <c r="H59" i="7"/>
  <c r="L58" i="7"/>
  <c r="AE58" i="7" s="1"/>
  <c r="H58" i="7"/>
  <c r="L57" i="7"/>
  <c r="AE57" i="7" s="1"/>
  <c r="H57" i="7"/>
  <c r="L56" i="7"/>
  <c r="AE56" i="7" s="1"/>
  <c r="H56" i="7"/>
  <c r="L55" i="7"/>
  <c r="AE55" i="7" s="1"/>
  <c r="H55" i="7"/>
  <c r="L54" i="7"/>
  <c r="AE54" i="7" s="1"/>
  <c r="H54" i="7"/>
  <c r="L53" i="7"/>
  <c r="AE53" i="7" s="1"/>
  <c r="H53" i="7"/>
  <c r="L52" i="7"/>
  <c r="AE52" i="7" s="1"/>
  <c r="H52" i="7"/>
  <c r="L51" i="7"/>
  <c r="AE51" i="7" s="1"/>
  <c r="H51" i="7"/>
  <c r="L50" i="7"/>
  <c r="AE50" i="7" s="1"/>
  <c r="H50" i="7"/>
  <c r="L49" i="7"/>
  <c r="AE49" i="7" s="1"/>
  <c r="H49" i="7"/>
  <c r="L48" i="7"/>
  <c r="AE48" i="7" s="1"/>
  <c r="H48" i="7"/>
  <c r="L47" i="7"/>
  <c r="AE47" i="7" s="1"/>
  <c r="H47" i="7"/>
  <c r="L46" i="7"/>
  <c r="AE46" i="7" s="1"/>
  <c r="H46" i="7"/>
  <c r="L45" i="7"/>
  <c r="AE45" i="7" s="1"/>
  <c r="H45" i="7"/>
  <c r="L44" i="7"/>
  <c r="AE44" i="7" s="1"/>
  <c r="H44" i="7"/>
  <c r="L43" i="7"/>
  <c r="AE43" i="7" s="1"/>
  <c r="H43" i="7"/>
  <c r="L42" i="7"/>
  <c r="AE42" i="7" s="1"/>
  <c r="H42" i="7"/>
  <c r="L41" i="7"/>
  <c r="AE41" i="7" s="1"/>
  <c r="H41" i="7"/>
  <c r="L40" i="7"/>
  <c r="AE40" i="7" s="1"/>
  <c r="H40" i="7"/>
  <c r="L39" i="7"/>
  <c r="AE39" i="7" s="1"/>
  <c r="H39" i="7"/>
  <c r="L38" i="7"/>
  <c r="AE38" i="7" s="1"/>
  <c r="H38" i="7"/>
  <c r="L37" i="7"/>
  <c r="AE37" i="7" s="1"/>
  <c r="H37" i="7"/>
  <c r="L36" i="7"/>
  <c r="AE36" i="7" s="1"/>
  <c r="H36" i="7"/>
  <c r="L35" i="7"/>
  <c r="AE35" i="7" s="1"/>
  <c r="H35" i="7"/>
  <c r="L34" i="7"/>
  <c r="AE34" i="7" s="1"/>
  <c r="H34" i="7"/>
  <c r="L33" i="7"/>
  <c r="AE33" i="7" s="1"/>
  <c r="H33" i="7"/>
  <c r="L32" i="7"/>
  <c r="AE32" i="7" s="1"/>
  <c r="H32" i="7"/>
  <c r="L31" i="7"/>
  <c r="AE31" i="7" s="1"/>
  <c r="H31" i="7"/>
  <c r="L30" i="7"/>
  <c r="AE30" i="7" s="1"/>
  <c r="H30" i="7"/>
  <c r="L29" i="7"/>
  <c r="AE29" i="7" s="1"/>
  <c r="J29" i="7"/>
  <c r="AC29" i="7" s="1"/>
  <c r="I29" i="7"/>
  <c r="AB29" i="7" s="1"/>
  <c r="H29" i="7"/>
  <c r="L28" i="7"/>
  <c r="AE28" i="7" s="1"/>
  <c r="J28" i="7"/>
  <c r="AC28" i="7" s="1"/>
  <c r="I28" i="7"/>
  <c r="AB28" i="7" s="1"/>
  <c r="H28" i="7"/>
  <c r="L27" i="7"/>
  <c r="AE27" i="7" s="1"/>
  <c r="J27" i="7"/>
  <c r="AC27" i="7" s="1"/>
  <c r="I27" i="7"/>
  <c r="AB27" i="7" s="1"/>
  <c r="H27" i="7"/>
  <c r="G27" i="7"/>
  <c r="Q27" i="7" s="1"/>
  <c r="P27" i="7"/>
  <c r="L26" i="7"/>
  <c r="AE26" i="7" s="1"/>
  <c r="J26" i="7"/>
  <c r="AC26" i="7" s="1"/>
  <c r="I26" i="7"/>
  <c r="AB26" i="7" s="1"/>
  <c r="H26" i="7"/>
  <c r="G26" i="7"/>
  <c r="L25" i="7"/>
  <c r="AE25" i="7" s="1"/>
  <c r="J25" i="7"/>
  <c r="AC25" i="7" s="1"/>
  <c r="I25" i="7"/>
  <c r="AB25" i="7" s="1"/>
  <c r="H25" i="7"/>
  <c r="G25" i="7"/>
  <c r="P25" i="7"/>
  <c r="L24" i="7"/>
  <c r="AE24" i="7" s="1"/>
  <c r="J24" i="7"/>
  <c r="AC24" i="7" s="1"/>
  <c r="I24" i="7"/>
  <c r="AB24" i="7" s="1"/>
  <c r="H24" i="7"/>
  <c r="G24" i="7"/>
  <c r="L23" i="7"/>
  <c r="AE23" i="7" s="1"/>
  <c r="J23" i="7"/>
  <c r="AC23" i="7" s="1"/>
  <c r="I23" i="7"/>
  <c r="AB23" i="7" s="1"/>
  <c r="H23" i="7"/>
  <c r="G23" i="7"/>
  <c r="P23" i="7"/>
  <c r="L22" i="7"/>
  <c r="AE22" i="7" s="1"/>
  <c r="J22" i="7"/>
  <c r="AC22" i="7" s="1"/>
  <c r="I22" i="7"/>
  <c r="AB22" i="7" s="1"/>
  <c r="H22" i="7"/>
  <c r="G22" i="7"/>
  <c r="P22" i="7"/>
  <c r="L21" i="7"/>
  <c r="AE21" i="7" s="1"/>
  <c r="J21" i="7"/>
  <c r="AC21" i="7" s="1"/>
  <c r="I21" i="7"/>
  <c r="AB21" i="7" s="1"/>
  <c r="H21" i="7"/>
  <c r="G21" i="7"/>
  <c r="P21" i="7"/>
  <c r="L20" i="7"/>
  <c r="AE20" i="7" s="1"/>
  <c r="J20" i="7"/>
  <c r="AC20" i="7" s="1"/>
  <c r="I20" i="7"/>
  <c r="AB20" i="7" s="1"/>
  <c r="H20" i="7"/>
  <c r="G20" i="7"/>
  <c r="P20" i="7"/>
  <c r="L19" i="7"/>
  <c r="AE19" i="7" s="1"/>
  <c r="J19" i="7"/>
  <c r="AC19" i="7" s="1"/>
  <c r="I19" i="7"/>
  <c r="AB19" i="7" s="1"/>
  <c r="H19" i="7"/>
  <c r="G19" i="7"/>
  <c r="P19" i="7"/>
  <c r="L18" i="7"/>
  <c r="AE18" i="7" s="1"/>
  <c r="J18" i="7"/>
  <c r="AC18" i="7" s="1"/>
  <c r="I18" i="7"/>
  <c r="AB18" i="7" s="1"/>
  <c r="H18" i="7"/>
  <c r="G18" i="7"/>
  <c r="B18" i="7"/>
  <c r="L17" i="7"/>
  <c r="AE17" i="7" s="1"/>
  <c r="J17" i="7"/>
  <c r="AC17" i="7" s="1"/>
  <c r="I17" i="7"/>
  <c r="AB17" i="7" s="1"/>
  <c r="H17" i="7"/>
  <c r="G17" i="7"/>
  <c r="P17" i="7"/>
  <c r="B17" i="7"/>
  <c r="L16" i="7"/>
  <c r="AE16" i="7" s="1"/>
  <c r="J16" i="7"/>
  <c r="AC16" i="7" s="1"/>
  <c r="I16" i="7"/>
  <c r="AB16" i="7" s="1"/>
  <c r="H16" i="7"/>
  <c r="G16" i="7"/>
  <c r="B16" i="7"/>
  <c r="L15" i="7"/>
  <c r="AE15" i="7" s="1"/>
  <c r="K15" i="7"/>
  <c r="AD15" i="7" s="1"/>
  <c r="AC15" i="7"/>
  <c r="I15" i="7"/>
  <c r="AB15" i="7" s="1"/>
  <c r="H15" i="7"/>
  <c r="G15" i="7"/>
  <c r="F15" i="7"/>
  <c r="P15" i="7" s="1"/>
  <c r="B15" i="7"/>
  <c r="L14" i="7"/>
  <c r="AE14" i="7" s="1"/>
  <c r="K14" i="7"/>
  <c r="AD14" i="7" s="1"/>
  <c r="J14" i="7"/>
  <c r="AC14" i="7" s="1"/>
  <c r="I14" i="7"/>
  <c r="AB14" i="7" s="1"/>
  <c r="H14" i="7"/>
  <c r="G14" i="7"/>
  <c r="F14" i="7"/>
  <c r="P14" i="7" s="1"/>
  <c r="B14" i="7"/>
  <c r="L13" i="7"/>
  <c r="AE13" i="7" s="1"/>
  <c r="K13" i="7"/>
  <c r="AD13" i="7" s="1"/>
  <c r="J13" i="7"/>
  <c r="AC13" i="7" s="1"/>
  <c r="I13" i="7"/>
  <c r="AB13" i="7" s="1"/>
  <c r="H13" i="7"/>
  <c r="G13" i="7"/>
  <c r="F13" i="7"/>
  <c r="P13" i="7" s="1"/>
  <c r="B13" i="7"/>
  <c r="L12" i="7"/>
  <c r="AE12" i="7" s="1"/>
  <c r="K12" i="7"/>
  <c r="AD12" i="7" s="1"/>
  <c r="J12" i="7"/>
  <c r="AC12" i="7" s="1"/>
  <c r="I12" i="7"/>
  <c r="AB12" i="7" s="1"/>
  <c r="H12" i="7"/>
  <c r="G12" i="7"/>
  <c r="F12" i="7"/>
  <c r="P12" i="7" s="1"/>
  <c r="B12" i="7"/>
  <c r="L11" i="7"/>
  <c r="AE11" i="7" s="1"/>
  <c r="K11" i="7"/>
  <c r="AD11" i="7" s="1"/>
  <c r="J11" i="7"/>
  <c r="AC11" i="7" s="1"/>
  <c r="I11" i="7"/>
  <c r="AB11" i="7" s="1"/>
  <c r="H11" i="7"/>
  <c r="G11" i="7"/>
  <c r="F11" i="7"/>
  <c r="P11" i="7" s="1"/>
  <c r="B11" i="7"/>
  <c r="L10" i="7"/>
  <c r="AE10" i="7" s="1"/>
  <c r="K10" i="7"/>
  <c r="AD10" i="7" s="1"/>
  <c r="J10" i="7"/>
  <c r="AC10" i="7" s="1"/>
  <c r="I10" i="7"/>
  <c r="AB10" i="7" s="1"/>
  <c r="H10" i="7"/>
  <c r="G10" i="7"/>
  <c r="F10" i="7"/>
  <c r="P10" i="7" s="1"/>
  <c r="B10" i="7"/>
  <c r="L9" i="7"/>
  <c r="AE9" i="7" s="1"/>
  <c r="K9" i="7"/>
  <c r="AD9" i="7" s="1"/>
  <c r="J9" i="7"/>
  <c r="AC9" i="7" s="1"/>
  <c r="I9" i="7"/>
  <c r="AB9" i="7" s="1"/>
  <c r="H9" i="7"/>
  <c r="G9" i="7"/>
  <c r="F9" i="7"/>
  <c r="P9" i="7" s="1"/>
  <c r="B9" i="7"/>
  <c r="L8" i="7"/>
  <c r="AE8" i="7" s="1"/>
  <c r="K8" i="7"/>
  <c r="AD8" i="7" s="1"/>
  <c r="J8" i="7"/>
  <c r="AC8" i="7" s="1"/>
  <c r="I8" i="7"/>
  <c r="AB8" i="7" s="1"/>
  <c r="H8" i="7"/>
  <c r="G8" i="7"/>
  <c r="F8" i="7"/>
  <c r="P8" i="7" s="1"/>
  <c r="B8" i="7"/>
  <c r="L7" i="7"/>
  <c r="AE7" i="7" s="1"/>
  <c r="K7" i="7"/>
  <c r="AD7" i="7" s="1"/>
  <c r="J7" i="7"/>
  <c r="AC7" i="7" s="1"/>
  <c r="I7" i="7"/>
  <c r="AB7" i="7" s="1"/>
  <c r="H7" i="7"/>
  <c r="G7" i="7"/>
  <c r="F7" i="7"/>
  <c r="P7" i="7" s="1"/>
  <c r="B7" i="7"/>
  <c r="L6" i="7"/>
  <c r="AE6" i="7" s="1"/>
  <c r="J6" i="7"/>
  <c r="AC6" i="7" s="1"/>
  <c r="I6" i="7"/>
  <c r="AB6" i="7" s="1"/>
  <c r="H6" i="7"/>
  <c r="G6" i="7"/>
  <c r="Q6" i="7" s="1"/>
  <c r="F6" i="7"/>
  <c r="P6" i="7" s="1"/>
  <c r="D6" i="7"/>
  <c r="B6" i="7"/>
  <c r="L5" i="7"/>
  <c r="AE5" i="7" s="1"/>
  <c r="K5" i="7"/>
  <c r="AD5" i="7" s="1"/>
  <c r="J5" i="7"/>
  <c r="AC5" i="7" s="1"/>
  <c r="I5" i="7"/>
  <c r="AB5" i="7" s="1"/>
  <c r="H5" i="7"/>
  <c r="G5" i="7"/>
  <c r="F5" i="7"/>
  <c r="P5" i="7" s="1"/>
  <c r="D5" i="7"/>
  <c r="B5" i="7"/>
  <c r="L4" i="7"/>
  <c r="AE4" i="7" s="1"/>
  <c r="K4" i="7"/>
  <c r="AD4" i="7" s="1"/>
  <c r="J4" i="7"/>
  <c r="AC4" i="7" s="1"/>
  <c r="I4" i="7"/>
  <c r="AB4" i="7" s="1"/>
  <c r="H4" i="7"/>
  <c r="G4" i="7"/>
  <c r="F4" i="7"/>
  <c r="P4" i="7" s="1"/>
  <c r="E4" i="7"/>
  <c r="M4" i="7" s="1"/>
  <c r="D4" i="7"/>
  <c r="B4" i="7"/>
  <c r="L3" i="7"/>
  <c r="AE3" i="7" s="1"/>
  <c r="K3" i="7"/>
  <c r="AD3" i="7" s="1"/>
  <c r="J3" i="7"/>
  <c r="AC3" i="7" s="1"/>
  <c r="I3" i="7"/>
  <c r="AB3" i="7" s="1"/>
  <c r="H3" i="7"/>
  <c r="G3" i="7"/>
  <c r="F3" i="7"/>
  <c r="P3" i="7" s="1"/>
  <c r="E3" i="7"/>
  <c r="M3" i="7" s="1"/>
  <c r="D3" i="7"/>
  <c r="B3" i="7"/>
  <c r="C62" i="6"/>
  <c r="D62" i="6" s="1"/>
  <c r="B62" i="6"/>
  <c r="B92" i="6" s="1"/>
  <c r="B122" i="6" s="1"/>
  <c r="B152" i="6" s="1"/>
  <c r="B182" i="6" s="1"/>
  <c r="B212" i="6" s="1"/>
  <c r="B242" i="6" s="1"/>
  <c r="B272" i="6" s="1"/>
  <c r="B302" i="6" s="1"/>
  <c r="B332" i="6" s="1"/>
  <c r="B362" i="6" s="1"/>
  <c r="B392" i="6" s="1"/>
  <c r="B422" i="6" s="1"/>
  <c r="B452" i="6" s="1"/>
  <c r="B482" i="6" s="1"/>
  <c r="B512" i="6" s="1"/>
  <c r="B542" i="6" s="1"/>
  <c r="B572" i="6" s="1"/>
  <c r="B602" i="6" s="1"/>
  <c r="B632" i="6" s="1"/>
  <c r="B662" i="6" s="1"/>
  <c r="B692" i="6" s="1"/>
  <c r="B722" i="6" s="1"/>
  <c r="B752" i="6" s="1"/>
  <c r="B782" i="6" s="1"/>
  <c r="B812" i="6" s="1"/>
  <c r="B842" i="6" s="1"/>
  <c r="B872" i="6" s="1"/>
  <c r="B902" i="6" s="1"/>
  <c r="B932" i="6" s="1"/>
  <c r="B962" i="6" s="1"/>
  <c r="B992" i="6" s="1"/>
  <c r="B1022" i="6" s="1"/>
  <c r="C61" i="6"/>
  <c r="B61" i="6"/>
  <c r="B91" i="6" s="1"/>
  <c r="B121" i="6" s="1"/>
  <c r="B151" i="6" s="1"/>
  <c r="B181" i="6" s="1"/>
  <c r="B211" i="6" s="1"/>
  <c r="B241" i="6" s="1"/>
  <c r="B271" i="6" s="1"/>
  <c r="B301" i="6" s="1"/>
  <c r="B331" i="6" s="1"/>
  <c r="B361" i="6" s="1"/>
  <c r="B391" i="6" s="1"/>
  <c r="B421" i="6" s="1"/>
  <c r="B451" i="6" s="1"/>
  <c r="B481" i="6" s="1"/>
  <c r="B511" i="6" s="1"/>
  <c r="B541" i="6" s="1"/>
  <c r="B571" i="6" s="1"/>
  <c r="B601" i="6" s="1"/>
  <c r="B631" i="6" s="1"/>
  <c r="B661" i="6" s="1"/>
  <c r="B691" i="6" s="1"/>
  <c r="B721" i="6" s="1"/>
  <c r="B751" i="6" s="1"/>
  <c r="B781" i="6" s="1"/>
  <c r="B811" i="6" s="1"/>
  <c r="B841" i="6" s="1"/>
  <c r="B871" i="6" s="1"/>
  <c r="B901" i="6" s="1"/>
  <c r="B931" i="6" s="1"/>
  <c r="B961" i="6" s="1"/>
  <c r="B991" i="6" s="1"/>
  <c r="B1021" i="6" s="1"/>
  <c r="C60" i="6"/>
  <c r="B60" i="6"/>
  <c r="C59" i="6"/>
  <c r="B59" i="6"/>
  <c r="B89" i="6" s="1"/>
  <c r="B119" i="6" s="1"/>
  <c r="B149" i="6" s="1"/>
  <c r="B179" i="6" s="1"/>
  <c r="B209" i="6" s="1"/>
  <c r="B239" i="6" s="1"/>
  <c r="B269" i="6" s="1"/>
  <c r="B299" i="6" s="1"/>
  <c r="B329" i="6" s="1"/>
  <c r="B359" i="6" s="1"/>
  <c r="B389" i="6" s="1"/>
  <c r="B419" i="6" s="1"/>
  <c r="B449" i="6" s="1"/>
  <c r="B479" i="6" s="1"/>
  <c r="B509" i="6" s="1"/>
  <c r="B539" i="6" s="1"/>
  <c r="B569" i="6" s="1"/>
  <c r="B599" i="6" s="1"/>
  <c r="B629" i="6" s="1"/>
  <c r="B659" i="6" s="1"/>
  <c r="B689" i="6" s="1"/>
  <c r="B719" i="6" s="1"/>
  <c r="B749" i="6" s="1"/>
  <c r="B779" i="6" s="1"/>
  <c r="B809" i="6" s="1"/>
  <c r="B839" i="6" s="1"/>
  <c r="B869" i="6" s="1"/>
  <c r="B899" i="6" s="1"/>
  <c r="B929" i="6" s="1"/>
  <c r="B959" i="6" s="1"/>
  <c r="B989" i="6" s="1"/>
  <c r="B1019" i="6" s="1"/>
  <c r="B1049" i="6" s="1"/>
  <c r="C58" i="6"/>
  <c r="B58" i="6"/>
  <c r="B88" i="6" s="1"/>
  <c r="B118" i="6" s="1"/>
  <c r="B148" i="6" s="1"/>
  <c r="B178" i="6" s="1"/>
  <c r="B208" i="6" s="1"/>
  <c r="B238" i="6" s="1"/>
  <c r="B268" i="6" s="1"/>
  <c r="B298" i="6" s="1"/>
  <c r="B328" i="6" s="1"/>
  <c r="B358" i="6" s="1"/>
  <c r="B388" i="6" s="1"/>
  <c r="B418" i="6" s="1"/>
  <c r="B448" i="6" s="1"/>
  <c r="B478" i="6" s="1"/>
  <c r="B508" i="6" s="1"/>
  <c r="B538" i="6" s="1"/>
  <c r="B568" i="6" s="1"/>
  <c r="B598" i="6" s="1"/>
  <c r="B628" i="6" s="1"/>
  <c r="B658" i="6" s="1"/>
  <c r="B688" i="6" s="1"/>
  <c r="B718" i="6" s="1"/>
  <c r="B748" i="6" s="1"/>
  <c r="B778" i="6" s="1"/>
  <c r="B808" i="6" s="1"/>
  <c r="B838" i="6" s="1"/>
  <c r="B868" i="6" s="1"/>
  <c r="B898" i="6" s="1"/>
  <c r="B928" i="6" s="1"/>
  <c r="B958" i="6" s="1"/>
  <c r="B988" i="6" s="1"/>
  <c r="B1018" i="6" s="1"/>
  <c r="B1048" i="6" s="1"/>
  <c r="C57" i="6"/>
  <c r="B57" i="6"/>
  <c r="B87" i="6" s="1"/>
  <c r="B117" i="6" s="1"/>
  <c r="B147" i="6" s="1"/>
  <c r="B177" i="6" s="1"/>
  <c r="B207" i="6" s="1"/>
  <c r="B237" i="6" s="1"/>
  <c r="B267" i="6" s="1"/>
  <c r="B297" i="6" s="1"/>
  <c r="B327" i="6" s="1"/>
  <c r="B357" i="6" s="1"/>
  <c r="B387" i="6" s="1"/>
  <c r="B417" i="6" s="1"/>
  <c r="B447" i="6" s="1"/>
  <c r="B477" i="6" s="1"/>
  <c r="B507" i="6" s="1"/>
  <c r="B537" i="6" s="1"/>
  <c r="B567" i="6" s="1"/>
  <c r="B597" i="6" s="1"/>
  <c r="B627" i="6" s="1"/>
  <c r="B657" i="6" s="1"/>
  <c r="B687" i="6" s="1"/>
  <c r="B717" i="6" s="1"/>
  <c r="B747" i="6" s="1"/>
  <c r="B777" i="6" s="1"/>
  <c r="B807" i="6" s="1"/>
  <c r="B837" i="6" s="1"/>
  <c r="B867" i="6" s="1"/>
  <c r="B897" i="6" s="1"/>
  <c r="B927" i="6" s="1"/>
  <c r="B957" i="6" s="1"/>
  <c r="B987" i="6" s="1"/>
  <c r="B1017" i="6" s="1"/>
  <c r="B1047" i="6" s="1"/>
  <c r="C56" i="6"/>
  <c r="C86" i="6" s="1"/>
  <c r="B56" i="6"/>
  <c r="B86" i="6" s="1"/>
  <c r="B116" i="6" s="1"/>
  <c r="B146" i="6" s="1"/>
  <c r="B176" i="6" s="1"/>
  <c r="B206" i="6" s="1"/>
  <c r="B236" i="6" s="1"/>
  <c r="B266" i="6" s="1"/>
  <c r="B296" i="6" s="1"/>
  <c r="B326" i="6" s="1"/>
  <c r="B356" i="6" s="1"/>
  <c r="B386" i="6" s="1"/>
  <c r="B416" i="6" s="1"/>
  <c r="B446" i="6" s="1"/>
  <c r="B476" i="6" s="1"/>
  <c r="B506" i="6" s="1"/>
  <c r="B536" i="6" s="1"/>
  <c r="B566" i="6" s="1"/>
  <c r="B596" i="6" s="1"/>
  <c r="B626" i="6" s="1"/>
  <c r="B656" i="6" s="1"/>
  <c r="B686" i="6" s="1"/>
  <c r="B716" i="6" s="1"/>
  <c r="B746" i="6" s="1"/>
  <c r="B776" i="6" s="1"/>
  <c r="B806" i="6" s="1"/>
  <c r="B836" i="6" s="1"/>
  <c r="B866" i="6" s="1"/>
  <c r="B896" i="6" s="1"/>
  <c r="B926" i="6" s="1"/>
  <c r="B956" i="6" s="1"/>
  <c r="B986" i="6" s="1"/>
  <c r="B1016" i="6" s="1"/>
  <c r="B1046" i="6" s="1"/>
  <c r="C55" i="6"/>
  <c r="C85" i="6" s="1"/>
  <c r="B55" i="6"/>
  <c r="B85" i="6" s="1"/>
  <c r="B115" i="6" s="1"/>
  <c r="B145" i="6" s="1"/>
  <c r="B175" i="6" s="1"/>
  <c r="B205" i="6" s="1"/>
  <c r="B235" i="6" s="1"/>
  <c r="B265" i="6" s="1"/>
  <c r="B295" i="6" s="1"/>
  <c r="B325" i="6" s="1"/>
  <c r="B355" i="6" s="1"/>
  <c r="B385" i="6" s="1"/>
  <c r="B415" i="6" s="1"/>
  <c r="B445" i="6" s="1"/>
  <c r="B475" i="6" s="1"/>
  <c r="B505" i="6" s="1"/>
  <c r="B535" i="6" s="1"/>
  <c r="B565" i="6" s="1"/>
  <c r="B595" i="6" s="1"/>
  <c r="B625" i="6" s="1"/>
  <c r="B655" i="6" s="1"/>
  <c r="B685" i="6" s="1"/>
  <c r="B715" i="6" s="1"/>
  <c r="B745" i="6" s="1"/>
  <c r="B775" i="6" s="1"/>
  <c r="B805" i="6" s="1"/>
  <c r="B835" i="6" s="1"/>
  <c r="B865" i="6" s="1"/>
  <c r="B895" i="6" s="1"/>
  <c r="B925" i="6" s="1"/>
  <c r="B955" i="6" s="1"/>
  <c r="B985" i="6" s="1"/>
  <c r="B1015" i="6" s="1"/>
  <c r="B1045" i="6" s="1"/>
  <c r="C54" i="6"/>
  <c r="C84" i="6" s="1"/>
  <c r="B54" i="6"/>
  <c r="B84" i="6" s="1"/>
  <c r="B114" i="6" s="1"/>
  <c r="B144" i="6" s="1"/>
  <c r="B174" i="6" s="1"/>
  <c r="B204" i="6" s="1"/>
  <c r="B234" i="6" s="1"/>
  <c r="B264" i="6" s="1"/>
  <c r="B294" i="6" s="1"/>
  <c r="B324" i="6" s="1"/>
  <c r="B354" i="6" s="1"/>
  <c r="B384" i="6" s="1"/>
  <c r="B414" i="6" s="1"/>
  <c r="B444" i="6" s="1"/>
  <c r="B474" i="6" s="1"/>
  <c r="B504" i="6" s="1"/>
  <c r="B534" i="6" s="1"/>
  <c r="B564" i="6" s="1"/>
  <c r="B594" i="6" s="1"/>
  <c r="B624" i="6" s="1"/>
  <c r="B654" i="6" s="1"/>
  <c r="B684" i="6" s="1"/>
  <c r="B714" i="6" s="1"/>
  <c r="B744" i="6" s="1"/>
  <c r="B774" i="6" s="1"/>
  <c r="B804" i="6" s="1"/>
  <c r="B834" i="6" s="1"/>
  <c r="B864" i="6" s="1"/>
  <c r="B894" i="6" s="1"/>
  <c r="B924" i="6" s="1"/>
  <c r="B954" i="6" s="1"/>
  <c r="B984" i="6" s="1"/>
  <c r="B1014" i="6" s="1"/>
  <c r="B1044" i="6" s="1"/>
  <c r="C53" i="6"/>
  <c r="C83" i="6" s="1"/>
  <c r="B53" i="6"/>
  <c r="B83" i="6" s="1"/>
  <c r="B113" i="6" s="1"/>
  <c r="B143" i="6" s="1"/>
  <c r="B173" i="6" s="1"/>
  <c r="B203" i="6" s="1"/>
  <c r="B233" i="6" s="1"/>
  <c r="B263" i="6" s="1"/>
  <c r="B293" i="6" s="1"/>
  <c r="B323" i="6" s="1"/>
  <c r="B353" i="6" s="1"/>
  <c r="B383" i="6" s="1"/>
  <c r="B413" i="6" s="1"/>
  <c r="B443" i="6" s="1"/>
  <c r="B473" i="6" s="1"/>
  <c r="B503" i="6" s="1"/>
  <c r="B533" i="6" s="1"/>
  <c r="B563" i="6" s="1"/>
  <c r="B593" i="6" s="1"/>
  <c r="B623" i="6" s="1"/>
  <c r="B653" i="6" s="1"/>
  <c r="B683" i="6" s="1"/>
  <c r="B713" i="6" s="1"/>
  <c r="B743" i="6" s="1"/>
  <c r="B773" i="6" s="1"/>
  <c r="B803" i="6" s="1"/>
  <c r="B833" i="6" s="1"/>
  <c r="B863" i="6" s="1"/>
  <c r="B893" i="6" s="1"/>
  <c r="B923" i="6" s="1"/>
  <c r="B953" i="6" s="1"/>
  <c r="B983" i="6" s="1"/>
  <c r="B1013" i="6" s="1"/>
  <c r="B1043" i="6" s="1"/>
  <c r="C52" i="6"/>
  <c r="C82" i="6" s="1"/>
  <c r="B52" i="6"/>
  <c r="B82" i="6" s="1"/>
  <c r="B112" i="6" s="1"/>
  <c r="B142" i="6" s="1"/>
  <c r="B172" i="6" s="1"/>
  <c r="B202" i="6" s="1"/>
  <c r="B232" i="6" s="1"/>
  <c r="B262" i="6" s="1"/>
  <c r="B292" i="6" s="1"/>
  <c r="B322" i="6" s="1"/>
  <c r="B352" i="6" s="1"/>
  <c r="B382" i="6" s="1"/>
  <c r="B412" i="6" s="1"/>
  <c r="B442" i="6" s="1"/>
  <c r="B472" i="6" s="1"/>
  <c r="B502" i="6" s="1"/>
  <c r="B532" i="6" s="1"/>
  <c r="B562" i="6" s="1"/>
  <c r="B592" i="6" s="1"/>
  <c r="B622" i="6" s="1"/>
  <c r="B652" i="6" s="1"/>
  <c r="B682" i="6" s="1"/>
  <c r="B712" i="6" s="1"/>
  <c r="B742" i="6" s="1"/>
  <c r="B772" i="6" s="1"/>
  <c r="B802" i="6" s="1"/>
  <c r="B832" i="6" s="1"/>
  <c r="B862" i="6" s="1"/>
  <c r="B892" i="6" s="1"/>
  <c r="B922" i="6" s="1"/>
  <c r="B952" i="6" s="1"/>
  <c r="B982" i="6" s="1"/>
  <c r="B1012" i="6" s="1"/>
  <c r="B1042" i="6" s="1"/>
  <c r="C51" i="6"/>
  <c r="C81" i="6" s="1"/>
  <c r="B51" i="6"/>
  <c r="B81" i="6" s="1"/>
  <c r="B111" i="6" s="1"/>
  <c r="B141" i="6" s="1"/>
  <c r="B171" i="6" s="1"/>
  <c r="B201" i="6" s="1"/>
  <c r="B231" i="6" s="1"/>
  <c r="B261" i="6" s="1"/>
  <c r="B291" i="6" s="1"/>
  <c r="B321" i="6" s="1"/>
  <c r="B351" i="6" s="1"/>
  <c r="B381" i="6" s="1"/>
  <c r="B411" i="6" s="1"/>
  <c r="B441" i="6" s="1"/>
  <c r="B471" i="6" s="1"/>
  <c r="B501" i="6" s="1"/>
  <c r="B531" i="6" s="1"/>
  <c r="B561" i="6" s="1"/>
  <c r="B591" i="6" s="1"/>
  <c r="B621" i="6" s="1"/>
  <c r="B651" i="6" s="1"/>
  <c r="B681" i="6" s="1"/>
  <c r="B711" i="6" s="1"/>
  <c r="B741" i="6" s="1"/>
  <c r="B771" i="6" s="1"/>
  <c r="B801" i="6" s="1"/>
  <c r="B831" i="6" s="1"/>
  <c r="B861" i="6" s="1"/>
  <c r="B891" i="6" s="1"/>
  <c r="B921" i="6" s="1"/>
  <c r="B951" i="6" s="1"/>
  <c r="B981" i="6" s="1"/>
  <c r="B1011" i="6" s="1"/>
  <c r="B1041" i="6" s="1"/>
  <c r="C50" i="6"/>
  <c r="C80" i="6" s="1"/>
  <c r="B50" i="6"/>
  <c r="B80" i="6" s="1"/>
  <c r="B110" i="6" s="1"/>
  <c r="B140" i="6" s="1"/>
  <c r="B170" i="6" s="1"/>
  <c r="B200" i="6" s="1"/>
  <c r="B230" i="6" s="1"/>
  <c r="B260" i="6" s="1"/>
  <c r="B290" i="6" s="1"/>
  <c r="B320" i="6" s="1"/>
  <c r="B350" i="6" s="1"/>
  <c r="B380" i="6" s="1"/>
  <c r="B410" i="6" s="1"/>
  <c r="B440" i="6" s="1"/>
  <c r="B470" i="6" s="1"/>
  <c r="B500" i="6" s="1"/>
  <c r="B530" i="6" s="1"/>
  <c r="B560" i="6" s="1"/>
  <c r="B590" i="6" s="1"/>
  <c r="B620" i="6" s="1"/>
  <c r="B650" i="6" s="1"/>
  <c r="B680" i="6" s="1"/>
  <c r="B710" i="6" s="1"/>
  <c r="B740" i="6" s="1"/>
  <c r="B770" i="6" s="1"/>
  <c r="B800" i="6" s="1"/>
  <c r="B830" i="6" s="1"/>
  <c r="B860" i="6" s="1"/>
  <c r="B890" i="6" s="1"/>
  <c r="B920" i="6" s="1"/>
  <c r="B950" i="6" s="1"/>
  <c r="B980" i="6" s="1"/>
  <c r="B1010" i="6" s="1"/>
  <c r="B1040" i="6" s="1"/>
  <c r="C49" i="6"/>
  <c r="C79" i="6" s="1"/>
  <c r="B49" i="6"/>
  <c r="B79" i="6" s="1"/>
  <c r="B109" i="6" s="1"/>
  <c r="B139" i="6" s="1"/>
  <c r="B169" i="6" s="1"/>
  <c r="B199" i="6" s="1"/>
  <c r="B229" i="6" s="1"/>
  <c r="B259" i="6" s="1"/>
  <c r="B289" i="6" s="1"/>
  <c r="B319" i="6" s="1"/>
  <c r="B349" i="6" s="1"/>
  <c r="B379" i="6" s="1"/>
  <c r="B409" i="6" s="1"/>
  <c r="B439" i="6" s="1"/>
  <c r="B469" i="6" s="1"/>
  <c r="B499" i="6" s="1"/>
  <c r="B529" i="6" s="1"/>
  <c r="B559" i="6" s="1"/>
  <c r="B589" i="6" s="1"/>
  <c r="B619" i="6" s="1"/>
  <c r="B649" i="6" s="1"/>
  <c r="B679" i="6" s="1"/>
  <c r="B709" i="6" s="1"/>
  <c r="B739" i="6" s="1"/>
  <c r="B769" i="6" s="1"/>
  <c r="B799" i="6" s="1"/>
  <c r="B829" i="6" s="1"/>
  <c r="B859" i="6" s="1"/>
  <c r="B889" i="6" s="1"/>
  <c r="B919" i="6" s="1"/>
  <c r="B949" i="6" s="1"/>
  <c r="B979" i="6" s="1"/>
  <c r="B1009" i="6" s="1"/>
  <c r="B1039" i="6" s="1"/>
  <c r="C48" i="6"/>
  <c r="C78" i="6" s="1"/>
  <c r="D78" i="6" s="1"/>
  <c r="B48" i="6"/>
  <c r="B78" i="6" s="1"/>
  <c r="B108" i="6" s="1"/>
  <c r="B138" i="6" s="1"/>
  <c r="B168" i="6" s="1"/>
  <c r="B198" i="6" s="1"/>
  <c r="B228" i="6" s="1"/>
  <c r="B258" i="6" s="1"/>
  <c r="B288" i="6" s="1"/>
  <c r="B318" i="6" s="1"/>
  <c r="B348" i="6" s="1"/>
  <c r="B378" i="6" s="1"/>
  <c r="B408" i="6" s="1"/>
  <c r="B438" i="6" s="1"/>
  <c r="B468" i="6" s="1"/>
  <c r="B498" i="6" s="1"/>
  <c r="B528" i="6" s="1"/>
  <c r="B558" i="6" s="1"/>
  <c r="B588" i="6" s="1"/>
  <c r="B618" i="6" s="1"/>
  <c r="B648" i="6" s="1"/>
  <c r="B678" i="6" s="1"/>
  <c r="B708" i="6" s="1"/>
  <c r="B738" i="6" s="1"/>
  <c r="B768" i="6" s="1"/>
  <c r="B798" i="6" s="1"/>
  <c r="B828" i="6" s="1"/>
  <c r="B858" i="6" s="1"/>
  <c r="B888" i="6" s="1"/>
  <c r="B918" i="6" s="1"/>
  <c r="B948" i="6" s="1"/>
  <c r="B978" i="6" s="1"/>
  <c r="B1008" i="6" s="1"/>
  <c r="B1038" i="6" s="1"/>
  <c r="C47" i="6"/>
  <c r="C77" i="6" s="1"/>
  <c r="B47" i="6"/>
  <c r="B77" i="6" s="1"/>
  <c r="B107" i="6" s="1"/>
  <c r="B137" i="6" s="1"/>
  <c r="B167" i="6" s="1"/>
  <c r="B197" i="6" s="1"/>
  <c r="B227" i="6" s="1"/>
  <c r="B257" i="6" s="1"/>
  <c r="B287" i="6" s="1"/>
  <c r="B317" i="6" s="1"/>
  <c r="B347" i="6" s="1"/>
  <c r="B377" i="6" s="1"/>
  <c r="B407" i="6" s="1"/>
  <c r="B437" i="6" s="1"/>
  <c r="B467" i="6" s="1"/>
  <c r="B497" i="6" s="1"/>
  <c r="B527" i="6" s="1"/>
  <c r="B557" i="6" s="1"/>
  <c r="B587" i="6" s="1"/>
  <c r="B617" i="6" s="1"/>
  <c r="B647" i="6" s="1"/>
  <c r="B677" i="6" s="1"/>
  <c r="B707" i="6" s="1"/>
  <c r="B737" i="6" s="1"/>
  <c r="B767" i="6" s="1"/>
  <c r="B797" i="6" s="1"/>
  <c r="B827" i="6" s="1"/>
  <c r="B857" i="6" s="1"/>
  <c r="B887" i="6" s="1"/>
  <c r="B917" i="6" s="1"/>
  <c r="B947" i="6" s="1"/>
  <c r="B977" i="6" s="1"/>
  <c r="B1007" i="6" s="1"/>
  <c r="B1037" i="6" s="1"/>
  <c r="C46" i="6"/>
  <c r="C76" i="6" s="1"/>
  <c r="B46" i="6"/>
  <c r="B76" i="6" s="1"/>
  <c r="B106" i="6" s="1"/>
  <c r="B136" i="6" s="1"/>
  <c r="B166" i="6" s="1"/>
  <c r="B196" i="6" s="1"/>
  <c r="B226" i="6" s="1"/>
  <c r="B256" i="6" s="1"/>
  <c r="B286" i="6" s="1"/>
  <c r="B316" i="6" s="1"/>
  <c r="B346" i="6" s="1"/>
  <c r="B376" i="6" s="1"/>
  <c r="B406" i="6" s="1"/>
  <c r="B436" i="6" s="1"/>
  <c r="B466" i="6" s="1"/>
  <c r="B496" i="6" s="1"/>
  <c r="B526" i="6" s="1"/>
  <c r="B556" i="6" s="1"/>
  <c r="B586" i="6" s="1"/>
  <c r="B616" i="6" s="1"/>
  <c r="B646" i="6" s="1"/>
  <c r="B676" i="6" s="1"/>
  <c r="B706" i="6" s="1"/>
  <c r="B736" i="6" s="1"/>
  <c r="B766" i="6" s="1"/>
  <c r="B796" i="6" s="1"/>
  <c r="B826" i="6" s="1"/>
  <c r="B856" i="6" s="1"/>
  <c r="B886" i="6" s="1"/>
  <c r="B916" i="6" s="1"/>
  <c r="B946" i="6" s="1"/>
  <c r="B976" i="6" s="1"/>
  <c r="B1006" i="6" s="1"/>
  <c r="B1036" i="6" s="1"/>
  <c r="C45" i="6"/>
  <c r="C75" i="6" s="1"/>
  <c r="B45" i="6"/>
  <c r="B75" i="6" s="1"/>
  <c r="B105" i="6" s="1"/>
  <c r="B135" i="6" s="1"/>
  <c r="B165" i="6" s="1"/>
  <c r="B195" i="6" s="1"/>
  <c r="B225" i="6" s="1"/>
  <c r="B255" i="6" s="1"/>
  <c r="B285" i="6" s="1"/>
  <c r="B315" i="6" s="1"/>
  <c r="B345" i="6" s="1"/>
  <c r="B375" i="6" s="1"/>
  <c r="B405" i="6" s="1"/>
  <c r="B435" i="6" s="1"/>
  <c r="B465" i="6" s="1"/>
  <c r="B495" i="6" s="1"/>
  <c r="B525" i="6" s="1"/>
  <c r="B555" i="6" s="1"/>
  <c r="B585" i="6" s="1"/>
  <c r="B615" i="6" s="1"/>
  <c r="B645" i="6" s="1"/>
  <c r="B675" i="6" s="1"/>
  <c r="B705" i="6" s="1"/>
  <c r="B735" i="6" s="1"/>
  <c r="B765" i="6" s="1"/>
  <c r="B795" i="6" s="1"/>
  <c r="B825" i="6" s="1"/>
  <c r="B855" i="6" s="1"/>
  <c r="B885" i="6" s="1"/>
  <c r="B915" i="6" s="1"/>
  <c r="B945" i="6" s="1"/>
  <c r="B975" i="6" s="1"/>
  <c r="B1005" i="6" s="1"/>
  <c r="B1035" i="6" s="1"/>
  <c r="C44" i="6"/>
  <c r="C74" i="6" s="1"/>
  <c r="B44" i="6"/>
  <c r="B74" i="6" s="1"/>
  <c r="B104" i="6" s="1"/>
  <c r="B134" i="6" s="1"/>
  <c r="B164" i="6" s="1"/>
  <c r="B194" i="6" s="1"/>
  <c r="B224" i="6" s="1"/>
  <c r="B254" i="6" s="1"/>
  <c r="B284" i="6" s="1"/>
  <c r="B314" i="6" s="1"/>
  <c r="B344" i="6" s="1"/>
  <c r="B374" i="6" s="1"/>
  <c r="B404" i="6" s="1"/>
  <c r="B434" i="6" s="1"/>
  <c r="B464" i="6" s="1"/>
  <c r="B494" i="6" s="1"/>
  <c r="B524" i="6" s="1"/>
  <c r="B554" i="6" s="1"/>
  <c r="B584" i="6" s="1"/>
  <c r="B614" i="6" s="1"/>
  <c r="B644" i="6" s="1"/>
  <c r="B674" i="6" s="1"/>
  <c r="B704" i="6" s="1"/>
  <c r="B734" i="6" s="1"/>
  <c r="B764" i="6" s="1"/>
  <c r="B794" i="6" s="1"/>
  <c r="B824" i="6" s="1"/>
  <c r="B854" i="6" s="1"/>
  <c r="B884" i="6" s="1"/>
  <c r="B914" i="6" s="1"/>
  <c r="B944" i="6" s="1"/>
  <c r="B974" i="6" s="1"/>
  <c r="B1004" i="6" s="1"/>
  <c r="B1034" i="6" s="1"/>
  <c r="C43" i="6"/>
  <c r="C73" i="6" s="1"/>
  <c r="B43" i="6"/>
  <c r="B73" i="6" s="1"/>
  <c r="B103" i="6" s="1"/>
  <c r="B133" i="6" s="1"/>
  <c r="B163" i="6" s="1"/>
  <c r="B193" i="6" s="1"/>
  <c r="B223" i="6" s="1"/>
  <c r="B253" i="6" s="1"/>
  <c r="B283" i="6" s="1"/>
  <c r="B313" i="6" s="1"/>
  <c r="B343" i="6" s="1"/>
  <c r="B373" i="6" s="1"/>
  <c r="B403" i="6" s="1"/>
  <c r="B433" i="6" s="1"/>
  <c r="B463" i="6" s="1"/>
  <c r="B493" i="6" s="1"/>
  <c r="B523" i="6" s="1"/>
  <c r="B553" i="6" s="1"/>
  <c r="B583" i="6" s="1"/>
  <c r="B613" i="6" s="1"/>
  <c r="B643" i="6" s="1"/>
  <c r="B673" i="6" s="1"/>
  <c r="B703" i="6" s="1"/>
  <c r="B733" i="6" s="1"/>
  <c r="B763" i="6" s="1"/>
  <c r="B793" i="6" s="1"/>
  <c r="B823" i="6" s="1"/>
  <c r="B853" i="6" s="1"/>
  <c r="B883" i="6" s="1"/>
  <c r="B913" i="6" s="1"/>
  <c r="B943" i="6" s="1"/>
  <c r="B973" i="6" s="1"/>
  <c r="B1003" i="6" s="1"/>
  <c r="B1033" i="6" s="1"/>
  <c r="C42" i="6"/>
  <c r="C72" i="6" s="1"/>
  <c r="B42" i="6"/>
  <c r="B72" i="6" s="1"/>
  <c r="B102" i="6" s="1"/>
  <c r="B132" i="6" s="1"/>
  <c r="B162" i="6" s="1"/>
  <c r="B192" i="6" s="1"/>
  <c r="B222" i="6" s="1"/>
  <c r="B252" i="6" s="1"/>
  <c r="B282" i="6" s="1"/>
  <c r="B312" i="6" s="1"/>
  <c r="B342" i="6" s="1"/>
  <c r="B372" i="6" s="1"/>
  <c r="B402" i="6" s="1"/>
  <c r="B432" i="6" s="1"/>
  <c r="B462" i="6" s="1"/>
  <c r="B492" i="6" s="1"/>
  <c r="B522" i="6" s="1"/>
  <c r="B552" i="6" s="1"/>
  <c r="B582" i="6" s="1"/>
  <c r="B612" i="6" s="1"/>
  <c r="B642" i="6" s="1"/>
  <c r="B672" i="6" s="1"/>
  <c r="B702" i="6" s="1"/>
  <c r="B732" i="6" s="1"/>
  <c r="B762" i="6" s="1"/>
  <c r="B792" i="6" s="1"/>
  <c r="B822" i="6" s="1"/>
  <c r="B852" i="6" s="1"/>
  <c r="B882" i="6" s="1"/>
  <c r="B912" i="6" s="1"/>
  <c r="B942" i="6" s="1"/>
  <c r="B972" i="6" s="1"/>
  <c r="B1002" i="6" s="1"/>
  <c r="B1032" i="6" s="1"/>
  <c r="C41" i="6"/>
  <c r="C71" i="6" s="1"/>
  <c r="B41" i="6"/>
  <c r="B71" i="6" s="1"/>
  <c r="B101" i="6" s="1"/>
  <c r="B131" i="6" s="1"/>
  <c r="B161" i="6" s="1"/>
  <c r="B191" i="6" s="1"/>
  <c r="B221" i="6" s="1"/>
  <c r="B251" i="6" s="1"/>
  <c r="B281" i="6" s="1"/>
  <c r="B311" i="6" s="1"/>
  <c r="B341" i="6" s="1"/>
  <c r="B371" i="6" s="1"/>
  <c r="B401" i="6" s="1"/>
  <c r="B431" i="6" s="1"/>
  <c r="B461" i="6" s="1"/>
  <c r="B491" i="6" s="1"/>
  <c r="B521" i="6" s="1"/>
  <c r="B551" i="6" s="1"/>
  <c r="B581" i="6" s="1"/>
  <c r="B611" i="6" s="1"/>
  <c r="B641" i="6" s="1"/>
  <c r="B671" i="6" s="1"/>
  <c r="B701" i="6" s="1"/>
  <c r="B731" i="6" s="1"/>
  <c r="B761" i="6" s="1"/>
  <c r="B791" i="6" s="1"/>
  <c r="B821" i="6" s="1"/>
  <c r="B851" i="6" s="1"/>
  <c r="B881" i="6" s="1"/>
  <c r="B911" i="6" s="1"/>
  <c r="B941" i="6" s="1"/>
  <c r="B971" i="6" s="1"/>
  <c r="B1001" i="6" s="1"/>
  <c r="B1031" i="6" s="1"/>
  <c r="C40" i="6"/>
  <c r="C70" i="6" s="1"/>
  <c r="B40" i="6"/>
  <c r="B70" i="6" s="1"/>
  <c r="B100" i="6" s="1"/>
  <c r="B130" i="6" s="1"/>
  <c r="B160" i="6" s="1"/>
  <c r="B190" i="6" s="1"/>
  <c r="B220" i="6" s="1"/>
  <c r="B250" i="6" s="1"/>
  <c r="B280" i="6" s="1"/>
  <c r="B310" i="6" s="1"/>
  <c r="B340" i="6" s="1"/>
  <c r="B370" i="6" s="1"/>
  <c r="B400" i="6" s="1"/>
  <c r="B430" i="6" s="1"/>
  <c r="B460" i="6" s="1"/>
  <c r="B490" i="6" s="1"/>
  <c r="B520" i="6" s="1"/>
  <c r="B550" i="6" s="1"/>
  <c r="B580" i="6" s="1"/>
  <c r="B610" i="6" s="1"/>
  <c r="B640" i="6" s="1"/>
  <c r="B670" i="6" s="1"/>
  <c r="B700" i="6" s="1"/>
  <c r="B730" i="6" s="1"/>
  <c r="B760" i="6" s="1"/>
  <c r="B790" i="6" s="1"/>
  <c r="B820" i="6" s="1"/>
  <c r="B850" i="6" s="1"/>
  <c r="B880" i="6" s="1"/>
  <c r="B910" i="6" s="1"/>
  <c r="B940" i="6" s="1"/>
  <c r="B970" i="6" s="1"/>
  <c r="B1000" i="6" s="1"/>
  <c r="B1030" i="6" s="1"/>
  <c r="C39" i="6"/>
  <c r="C69" i="6" s="1"/>
  <c r="E69" i="6" s="1"/>
  <c r="B39" i="6"/>
  <c r="B69" i="6" s="1"/>
  <c r="B99" i="6" s="1"/>
  <c r="B129" i="6" s="1"/>
  <c r="B159" i="6" s="1"/>
  <c r="B189" i="6" s="1"/>
  <c r="B219" i="6" s="1"/>
  <c r="B249" i="6" s="1"/>
  <c r="B279" i="6" s="1"/>
  <c r="B309" i="6" s="1"/>
  <c r="B339" i="6" s="1"/>
  <c r="B369" i="6" s="1"/>
  <c r="B399" i="6" s="1"/>
  <c r="B429" i="6" s="1"/>
  <c r="B459" i="6" s="1"/>
  <c r="B489" i="6" s="1"/>
  <c r="B519" i="6" s="1"/>
  <c r="B549" i="6" s="1"/>
  <c r="B579" i="6" s="1"/>
  <c r="B609" i="6" s="1"/>
  <c r="B639" i="6" s="1"/>
  <c r="B669" i="6" s="1"/>
  <c r="B699" i="6" s="1"/>
  <c r="B729" i="6" s="1"/>
  <c r="B759" i="6" s="1"/>
  <c r="B789" i="6" s="1"/>
  <c r="B819" i="6" s="1"/>
  <c r="B849" i="6" s="1"/>
  <c r="B879" i="6" s="1"/>
  <c r="B909" i="6" s="1"/>
  <c r="B939" i="6" s="1"/>
  <c r="B969" i="6" s="1"/>
  <c r="B999" i="6" s="1"/>
  <c r="B1029" i="6" s="1"/>
  <c r="C38" i="6"/>
  <c r="C68" i="6" s="1"/>
  <c r="B38" i="6"/>
  <c r="B68" i="6" s="1"/>
  <c r="B98" i="6" s="1"/>
  <c r="B128" i="6" s="1"/>
  <c r="B158" i="6" s="1"/>
  <c r="B188" i="6" s="1"/>
  <c r="B218" i="6" s="1"/>
  <c r="B248" i="6" s="1"/>
  <c r="B278" i="6" s="1"/>
  <c r="B308" i="6" s="1"/>
  <c r="B338" i="6" s="1"/>
  <c r="B368" i="6" s="1"/>
  <c r="B398" i="6" s="1"/>
  <c r="B428" i="6" s="1"/>
  <c r="B458" i="6" s="1"/>
  <c r="B488" i="6" s="1"/>
  <c r="B518" i="6" s="1"/>
  <c r="B548" i="6" s="1"/>
  <c r="B578" i="6" s="1"/>
  <c r="B608" i="6" s="1"/>
  <c r="B638" i="6" s="1"/>
  <c r="B668" i="6" s="1"/>
  <c r="B698" i="6" s="1"/>
  <c r="B728" i="6" s="1"/>
  <c r="B758" i="6" s="1"/>
  <c r="B788" i="6" s="1"/>
  <c r="B818" i="6" s="1"/>
  <c r="B848" i="6" s="1"/>
  <c r="B878" i="6" s="1"/>
  <c r="B908" i="6" s="1"/>
  <c r="B938" i="6" s="1"/>
  <c r="B968" i="6" s="1"/>
  <c r="B998" i="6" s="1"/>
  <c r="B1028" i="6" s="1"/>
  <c r="C37" i="6"/>
  <c r="C67" i="6" s="1"/>
  <c r="B37" i="6"/>
  <c r="B67" i="6" s="1"/>
  <c r="B97" i="6" s="1"/>
  <c r="B127" i="6" s="1"/>
  <c r="B157" i="6" s="1"/>
  <c r="B187" i="6" s="1"/>
  <c r="B217" i="6" s="1"/>
  <c r="B247" i="6" s="1"/>
  <c r="B277" i="6" s="1"/>
  <c r="B307" i="6" s="1"/>
  <c r="B337" i="6" s="1"/>
  <c r="B367" i="6" s="1"/>
  <c r="B397" i="6" s="1"/>
  <c r="B427" i="6" s="1"/>
  <c r="B457" i="6" s="1"/>
  <c r="B487" i="6" s="1"/>
  <c r="B517" i="6" s="1"/>
  <c r="B547" i="6" s="1"/>
  <c r="B577" i="6" s="1"/>
  <c r="B607" i="6" s="1"/>
  <c r="B637" i="6" s="1"/>
  <c r="B667" i="6" s="1"/>
  <c r="B697" i="6" s="1"/>
  <c r="B727" i="6" s="1"/>
  <c r="B757" i="6" s="1"/>
  <c r="B787" i="6" s="1"/>
  <c r="B817" i="6" s="1"/>
  <c r="B847" i="6" s="1"/>
  <c r="B877" i="6" s="1"/>
  <c r="B907" i="6" s="1"/>
  <c r="B937" i="6" s="1"/>
  <c r="B967" i="6" s="1"/>
  <c r="B997" i="6" s="1"/>
  <c r="B1027" i="6" s="1"/>
  <c r="C36" i="6"/>
  <c r="C66" i="6" s="1"/>
  <c r="B36" i="6"/>
  <c r="B66" i="6" s="1"/>
  <c r="B96" i="6" s="1"/>
  <c r="B126" i="6" s="1"/>
  <c r="B156" i="6" s="1"/>
  <c r="B186" i="6" s="1"/>
  <c r="B216" i="6" s="1"/>
  <c r="B246" i="6" s="1"/>
  <c r="B276" i="6" s="1"/>
  <c r="B306" i="6" s="1"/>
  <c r="B336" i="6" s="1"/>
  <c r="B366" i="6" s="1"/>
  <c r="B396" i="6" s="1"/>
  <c r="B426" i="6" s="1"/>
  <c r="B456" i="6" s="1"/>
  <c r="B486" i="6" s="1"/>
  <c r="B516" i="6" s="1"/>
  <c r="B546" i="6" s="1"/>
  <c r="B576" i="6" s="1"/>
  <c r="B606" i="6" s="1"/>
  <c r="B636" i="6" s="1"/>
  <c r="B666" i="6" s="1"/>
  <c r="B696" i="6" s="1"/>
  <c r="B726" i="6" s="1"/>
  <c r="B756" i="6" s="1"/>
  <c r="B786" i="6" s="1"/>
  <c r="B816" i="6" s="1"/>
  <c r="B846" i="6" s="1"/>
  <c r="B876" i="6" s="1"/>
  <c r="B906" i="6" s="1"/>
  <c r="B936" i="6" s="1"/>
  <c r="B966" i="6" s="1"/>
  <c r="B996" i="6" s="1"/>
  <c r="B1026" i="6" s="1"/>
  <c r="C35" i="6"/>
  <c r="C65" i="6" s="1"/>
  <c r="B35" i="6"/>
  <c r="B65" i="6" s="1"/>
  <c r="B95" i="6" s="1"/>
  <c r="B125" i="6" s="1"/>
  <c r="B155" i="6" s="1"/>
  <c r="B185" i="6" s="1"/>
  <c r="B215" i="6" s="1"/>
  <c r="B245" i="6" s="1"/>
  <c r="B275" i="6" s="1"/>
  <c r="B305" i="6" s="1"/>
  <c r="B335" i="6" s="1"/>
  <c r="B365" i="6" s="1"/>
  <c r="B395" i="6" s="1"/>
  <c r="B425" i="6" s="1"/>
  <c r="B455" i="6" s="1"/>
  <c r="B485" i="6" s="1"/>
  <c r="B515" i="6" s="1"/>
  <c r="B545" i="6" s="1"/>
  <c r="B575" i="6" s="1"/>
  <c r="B605" i="6" s="1"/>
  <c r="B635" i="6" s="1"/>
  <c r="B665" i="6" s="1"/>
  <c r="B695" i="6" s="1"/>
  <c r="B725" i="6" s="1"/>
  <c r="B755" i="6" s="1"/>
  <c r="B785" i="6" s="1"/>
  <c r="B815" i="6" s="1"/>
  <c r="B845" i="6" s="1"/>
  <c r="B875" i="6" s="1"/>
  <c r="B905" i="6" s="1"/>
  <c r="B935" i="6" s="1"/>
  <c r="B965" i="6" s="1"/>
  <c r="B995" i="6" s="1"/>
  <c r="B1025" i="6" s="1"/>
  <c r="C34" i="6"/>
  <c r="C64" i="6" s="1"/>
  <c r="E64" i="6" s="1"/>
  <c r="B34" i="6"/>
  <c r="B64" i="6" s="1"/>
  <c r="B94" i="6" s="1"/>
  <c r="B124" i="6" s="1"/>
  <c r="B154" i="6" s="1"/>
  <c r="B184" i="6" s="1"/>
  <c r="B214" i="6" s="1"/>
  <c r="B244" i="6" s="1"/>
  <c r="B274" i="6" s="1"/>
  <c r="B304" i="6" s="1"/>
  <c r="B334" i="6" s="1"/>
  <c r="B364" i="6" s="1"/>
  <c r="B394" i="6" s="1"/>
  <c r="B424" i="6" s="1"/>
  <c r="B454" i="6" s="1"/>
  <c r="B484" i="6" s="1"/>
  <c r="B514" i="6" s="1"/>
  <c r="B544" i="6" s="1"/>
  <c r="B574" i="6" s="1"/>
  <c r="B604" i="6" s="1"/>
  <c r="B634" i="6" s="1"/>
  <c r="B664" i="6" s="1"/>
  <c r="B694" i="6" s="1"/>
  <c r="B724" i="6" s="1"/>
  <c r="B754" i="6" s="1"/>
  <c r="B784" i="6" s="1"/>
  <c r="B814" i="6" s="1"/>
  <c r="B844" i="6" s="1"/>
  <c r="B874" i="6" s="1"/>
  <c r="B904" i="6" s="1"/>
  <c r="B934" i="6" s="1"/>
  <c r="B964" i="6" s="1"/>
  <c r="B994" i="6" s="1"/>
  <c r="B1024" i="6" s="1"/>
  <c r="C33" i="6"/>
  <c r="C63" i="6" s="1"/>
  <c r="B33" i="6"/>
  <c r="B63" i="6" s="1"/>
  <c r="B93" i="6" s="1"/>
  <c r="B123" i="6" s="1"/>
  <c r="B153" i="6" s="1"/>
  <c r="B183" i="6" s="1"/>
  <c r="B213" i="6" s="1"/>
  <c r="B243" i="6" s="1"/>
  <c r="B273" i="6" s="1"/>
  <c r="B303" i="6" s="1"/>
  <c r="B333" i="6" s="1"/>
  <c r="B363" i="6" s="1"/>
  <c r="B393" i="6" s="1"/>
  <c r="B423" i="6" s="1"/>
  <c r="B453" i="6" s="1"/>
  <c r="B483" i="6" s="1"/>
  <c r="B513" i="6" s="1"/>
  <c r="B543" i="6" s="1"/>
  <c r="B573" i="6" s="1"/>
  <c r="B603" i="6" s="1"/>
  <c r="B633" i="6" s="1"/>
  <c r="B663" i="6" s="1"/>
  <c r="B693" i="6" s="1"/>
  <c r="B723" i="6" s="1"/>
  <c r="B753" i="6" s="1"/>
  <c r="B783" i="6" s="1"/>
  <c r="B813" i="6" s="1"/>
  <c r="B843" i="6" s="1"/>
  <c r="B873" i="6" s="1"/>
  <c r="B903" i="6" s="1"/>
  <c r="B933" i="6" s="1"/>
  <c r="B963" i="6" s="1"/>
  <c r="B993" i="6" s="1"/>
  <c r="B1023" i="6" s="1"/>
  <c r="I32" i="6"/>
  <c r="H32" i="6"/>
  <c r="G32" i="6"/>
  <c r="F32" i="6"/>
  <c r="E32" i="6"/>
  <c r="D32" i="6"/>
  <c r="I31" i="6"/>
  <c r="H31" i="6"/>
  <c r="G31" i="6"/>
  <c r="E31" i="6"/>
  <c r="D31" i="6"/>
  <c r="I30" i="6"/>
  <c r="H30" i="6"/>
  <c r="G30" i="6"/>
  <c r="F30" i="6"/>
  <c r="E30" i="6"/>
  <c r="D30" i="6"/>
  <c r="I29" i="6"/>
  <c r="H29" i="6"/>
  <c r="G29" i="6"/>
  <c r="F29" i="6"/>
  <c r="E29" i="6"/>
  <c r="D29" i="6"/>
  <c r="I28" i="6"/>
  <c r="H28" i="6"/>
  <c r="G28" i="6"/>
  <c r="F28" i="6"/>
  <c r="E28" i="6"/>
  <c r="D28" i="6"/>
  <c r="I27" i="6"/>
  <c r="H27" i="6"/>
  <c r="G27" i="6"/>
  <c r="F27" i="6"/>
  <c r="E27" i="6"/>
  <c r="D27" i="6"/>
  <c r="I26" i="6"/>
  <c r="H26" i="6"/>
  <c r="G26" i="6"/>
  <c r="F26" i="6"/>
  <c r="E26" i="6"/>
  <c r="D26" i="6"/>
  <c r="I25" i="6"/>
  <c r="H25" i="6"/>
  <c r="G25" i="6"/>
  <c r="F25" i="6"/>
  <c r="E25" i="6"/>
  <c r="D25" i="6"/>
  <c r="I24" i="6"/>
  <c r="H24" i="6"/>
  <c r="G24" i="6"/>
  <c r="F24" i="6"/>
  <c r="E24" i="6"/>
  <c r="D24" i="6"/>
  <c r="I23" i="6"/>
  <c r="H23" i="6"/>
  <c r="G23" i="6"/>
  <c r="F23" i="6"/>
  <c r="E23" i="6"/>
  <c r="D23" i="6"/>
  <c r="I22" i="6"/>
  <c r="H22" i="6"/>
  <c r="G22" i="6"/>
  <c r="F22" i="6"/>
  <c r="E22" i="6"/>
  <c r="D22" i="6"/>
  <c r="I21" i="6"/>
  <c r="H21" i="6"/>
  <c r="G21" i="6"/>
  <c r="F21" i="6"/>
  <c r="E21" i="6"/>
  <c r="D21" i="6"/>
  <c r="I20" i="6"/>
  <c r="H20" i="6"/>
  <c r="G20" i="6"/>
  <c r="F20" i="6"/>
  <c r="E20" i="6"/>
  <c r="D20" i="6"/>
  <c r="I19" i="6"/>
  <c r="H19" i="6"/>
  <c r="G19" i="6"/>
  <c r="F19" i="6"/>
  <c r="E19" i="6"/>
  <c r="D19" i="6"/>
  <c r="I18" i="6"/>
  <c r="H18" i="6"/>
  <c r="G18" i="6"/>
  <c r="F18" i="6"/>
  <c r="E18" i="6"/>
  <c r="D18" i="6"/>
  <c r="I17" i="6"/>
  <c r="H17" i="6"/>
  <c r="G17" i="6"/>
  <c r="F17" i="6"/>
  <c r="E17" i="6"/>
  <c r="D17" i="6"/>
  <c r="I16" i="6"/>
  <c r="H16" i="6"/>
  <c r="G16" i="6"/>
  <c r="F16" i="6"/>
  <c r="E16" i="6"/>
  <c r="D16" i="6"/>
  <c r="I15" i="6"/>
  <c r="H15" i="6"/>
  <c r="G15" i="6"/>
  <c r="F15" i="6"/>
  <c r="E15" i="6"/>
  <c r="D15" i="6"/>
  <c r="I14" i="6"/>
  <c r="H14" i="6"/>
  <c r="G14" i="6"/>
  <c r="F14" i="6"/>
  <c r="E14" i="6"/>
  <c r="D14" i="6"/>
  <c r="I13" i="6"/>
  <c r="H13" i="6"/>
  <c r="G13" i="6"/>
  <c r="F13" i="6"/>
  <c r="E13" i="6"/>
  <c r="D13" i="6"/>
  <c r="I12" i="6"/>
  <c r="H12" i="6"/>
  <c r="G12" i="6"/>
  <c r="F12" i="6"/>
  <c r="E12" i="6"/>
  <c r="D12" i="6"/>
  <c r="I11" i="6"/>
  <c r="H11" i="6"/>
  <c r="G11" i="6"/>
  <c r="F11" i="6"/>
  <c r="E11" i="6"/>
  <c r="D11" i="6"/>
  <c r="I10" i="6"/>
  <c r="H10" i="6"/>
  <c r="G10" i="6"/>
  <c r="F10" i="6"/>
  <c r="E10" i="6"/>
  <c r="D10" i="6"/>
  <c r="I9" i="6"/>
  <c r="H9" i="6"/>
  <c r="G9" i="6"/>
  <c r="F9" i="6"/>
  <c r="E9" i="6"/>
  <c r="D9" i="6"/>
  <c r="I8" i="6"/>
  <c r="H8" i="6"/>
  <c r="G8" i="6"/>
  <c r="F8" i="6"/>
  <c r="E8" i="6"/>
  <c r="D8" i="6"/>
  <c r="I7" i="6"/>
  <c r="H7" i="6"/>
  <c r="G7" i="6"/>
  <c r="F7" i="6"/>
  <c r="E7" i="6"/>
  <c r="D7" i="6"/>
  <c r="I6" i="6"/>
  <c r="H6" i="6"/>
  <c r="G6" i="6"/>
  <c r="F6" i="6"/>
  <c r="E6" i="6"/>
  <c r="D6" i="6"/>
  <c r="I5" i="6"/>
  <c r="H5" i="6"/>
  <c r="G5" i="6"/>
  <c r="F5" i="6"/>
  <c r="E5" i="6"/>
  <c r="D5" i="6"/>
  <c r="I4" i="6"/>
  <c r="H4" i="6"/>
  <c r="G4" i="6"/>
  <c r="F4" i="6"/>
  <c r="E4" i="6"/>
  <c r="D4" i="6"/>
  <c r="I3" i="6"/>
  <c r="H3" i="6"/>
  <c r="J4" i="6" s="1"/>
  <c r="G3" i="6"/>
  <c r="F3" i="6"/>
  <c r="E3" i="6"/>
  <c r="D3" i="6"/>
  <c r="K18" i="6" s="1"/>
  <c r="I42" i="4"/>
  <c r="J42" i="4" s="1"/>
  <c r="B42" i="4"/>
  <c r="I41" i="4"/>
  <c r="J41" i="4" s="1"/>
  <c r="B41" i="4"/>
  <c r="I40" i="4"/>
  <c r="J40" i="4" s="1"/>
  <c r="B40" i="4"/>
  <c r="I39" i="4"/>
  <c r="J39" i="4" s="1"/>
  <c r="B39" i="4"/>
  <c r="I38" i="4"/>
  <c r="J38" i="4" s="1"/>
  <c r="B38" i="4"/>
  <c r="B37" i="4"/>
  <c r="I36" i="4"/>
  <c r="J36" i="4" s="1"/>
  <c r="B36" i="4"/>
  <c r="I35" i="4"/>
  <c r="J35" i="4" s="1"/>
  <c r="B35" i="4"/>
  <c r="I34" i="4"/>
  <c r="J34" i="4" s="1"/>
  <c r="B34" i="4"/>
  <c r="I33" i="4"/>
  <c r="J33" i="4" s="1"/>
  <c r="B33" i="4"/>
  <c r="I32" i="4"/>
  <c r="J32" i="4" s="1"/>
  <c r="B32" i="4"/>
  <c r="I31" i="4"/>
  <c r="J31" i="4" s="1"/>
  <c r="B31" i="4"/>
  <c r="I30" i="4"/>
  <c r="J30" i="4" s="1"/>
  <c r="B30" i="4"/>
  <c r="I29" i="4"/>
  <c r="J29" i="4" s="1"/>
  <c r="B29" i="4"/>
  <c r="I28" i="4"/>
  <c r="J28" i="4" s="1"/>
  <c r="B28" i="4"/>
  <c r="I27" i="4"/>
  <c r="J27" i="4" s="1"/>
  <c r="B27" i="4"/>
  <c r="I26" i="4"/>
  <c r="J26" i="4" s="1"/>
  <c r="B26" i="4"/>
  <c r="I25" i="4"/>
  <c r="J25" i="4" s="1"/>
  <c r="B25" i="4"/>
  <c r="I24" i="4"/>
  <c r="B24" i="4"/>
  <c r="I23" i="4"/>
  <c r="B23" i="4"/>
  <c r="S22" i="4"/>
  <c r="R22" i="4"/>
  <c r="Q22" i="4"/>
  <c r="P22" i="4"/>
  <c r="I22" i="4"/>
  <c r="B22" i="4"/>
  <c r="P21" i="4"/>
  <c r="O21" i="4"/>
  <c r="N21" i="4"/>
  <c r="I21" i="4"/>
  <c r="B21" i="4"/>
  <c r="O20" i="4"/>
  <c r="N20" i="4"/>
  <c r="I20" i="4"/>
  <c r="B20" i="4"/>
  <c r="O19" i="4"/>
  <c r="N19" i="4"/>
  <c r="I19" i="4"/>
  <c r="B19" i="4"/>
  <c r="O18" i="4"/>
  <c r="N18" i="4"/>
  <c r="I18" i="4"/>
  <c r="B18" i="4"/>
  <c r="O17" i="4"/>
  <c r="N17" i="4"/>
  <c r="I17" i="4"/>
  <c r="B17" i="4"/>
  <c r="O16" i="4"/>
  <c r="N16" i="4"/>
  <c r="I16" i="4"/>
  <c r="B16" i="4"/>
  <c r="O15" i="4"/>
  <c r="N15" i="4"/>
  <c r="I15" i="4"/>
  <c r="B15" i="4"/>
  <c r="O14" i="4"/>
  <c r="N14" i="4"/>
  <c r="I14" i="4"/>
  <c r="B14" i="4"/>
  <c r="O13" i="4"/>
  <c r="N13" i="4"/>
  <c r="I13" i="4"/>
  <c r="B13" i="4"/>
  <c r="O12" i="4"/>
  <c r="N12" i="4"/>
  <c r="I12" i="4"/>
  <c r="B12" i="4"/>
  <c r="O11" i="4"/>
  <c r="N11" i="4"/>
  <c r="I11" i="4"/>
  <c r="B11" i="4"/>
  <c r="O10" i="4"/>
  <c r="N10" i="4"/>
  <c r="I10" i="4"/>
  <c r="B10" i="4"/>
  <c r="O9" i="4"/>
  <c r="N9" i="4"/>
  <c r="I9" i="4"/>
  <c r="B9" i="4"/>
  <c r="O8" i="4"/>
  <c r="N8" i="4"/>
  <c r="I8" i="4"/>
  <c r="B8" i="4"/>
  <c r="O7" i="4"/>
  <c r="N7" i="4"/>
  <c r="I7" i="4"/>
  <c r="B7" i="4"/>
  <c r="O6" i="4"/>
  <c r="N6" i="4"/>
  <c r="I6" i="4"/>
  <c r="B6" i="4"/>
  <c r="O5" i="4"/>
  <c r="N5" i="4"/>
  <c r="I5" i="4"/>
  <c r="B5" i="4"/>
  <c r="S4" i="4"/>
  <c r="R4" i="4"/>
  <c r="N4" i="4"/>
  <c r="I4" i="4"/>
  <c r="B4" i="4"/>
  <c r="O3" i="4"/>
  <c r="N3" i="4"/>
  <c r="I3" i="4"/>
  <c r="B3" i="4"/>
  <c r="E16" i="2"/>
  <c r="E15" i="2"/>
  <c r="E14" i="2"/>
  <c r="E13" i="2"/>
  <c r="V107" i="3"/>
  <c r="Q107" i="3"/>
  <c r="V106" i="3"/>
  <c r="Q106" i="3"/>
  <c r="V105" i="3"/>
  <c r="Q105" i="3"/>
  <c r="V104" i="3"/>
  <c r="Q104" i="3"/>
  <c r="V103" i="3"/>
  <c r="Q103" i="3"/>
  <c r="V102" i="3"/>
  <c r="Q102" i="3"/>
  <c r="V101" i="3"/>
  <c r="Q101" i="3"/>
  <c r="V100" i="3"/>
  <c r="Q100" i="3"/>
  <c r="V99" i="3"/>
  <c r="Q99" i="3"/>
  <c r="V98" i="3"/>
  <c r="Q98" i="3"/>
  <c r="V97" i="3"/>
  <c r="Q97" i="3"/>
  <c r="V96" i="3"/>
  <c r="Q96" i="3"/>
  <c r="V95" i="3"/>
  <c r="Q95" i="3"/>
  <c r="V94" i="3"/>
  <c r="Q94" i="3"/>
  <c r="V93" i="3"/>
  <c r="Q93" i="3"/>
  <c r="V92" i="3"/>
  <c r="Q92" i="3"/>
  <c r="V91" i="3"/>
  <c r="Q91" i="3"/>
  <c r="V90" i="3"/>
  <c r="Q90" i="3"/>
  <c r="V89" i="3"/>
  <c r="Q89" i="3"/>
  <c r="V88" i="3"/>
  <c r="Q88" i="3"/>
  <c r="V87" i="3"/>
  <c r="Q87" i="3"/>
  <c r="V86" i="3"/>
  <c r="Q86" i="3"/>
  <c r="V85" i="3"/>
  <c r="Q85" i="3"/>
  <c r="V84" i="3"/>
  <c r="Q84" i="3"/>
  <c r="V83" i="3"/>
  <c r="Q83" i="3"/>
  <c r="V82" i="3"/>
  <c r="Q82" i="3"/>
  <c r="V81" i="3"/>
  <c r="Q81" i="3"/>
  <c r="V80" i="3"/>
  <c r="Q80" i="3"/>
  <c r="V79" i="3"/>
  <c r="Q79" i="3"/>
  <c r="V78" i="3"/>
  <c r="Q78" i="3"/>
  <c r="V77" i="3"/>
  <c r="Q77" i="3"/>
  <c r="V76" i="3"/>
  <c r="Q76" i="3"/>
  <c r="V75" i="3"/>
  <c r="Q75" i="3"/>
  <c r="V74" i="3"/>
  <c r="Q74" i="3"/>
  <c r="V73" i="3"/>
  <c r="Q73" i="3"/>
  <c r="V72" i="3"/>
  <c r="Q72" i="3"/>
  <c r="V71" i="3"/>
  <c r="Q71" i="3"/>
  <c r="V70" i="3"/>
  <c r="Q70" i="3"/>
  <c r="V69" i="3"/>
  <c r="Q69" i="3"/>
  <c r="V68" i="3"/>
  <c r="Q68" i="3"/>
  <c r="V67" i="3"/>
  <c r="Q67" i="3"/>
  <c r="V66" i="3"/>
  <c r="Q66" i="3"/>
  <c r="V65" i="3"/>
  <c r="Q65" i="3"/>
  <c r="V64" i="3"/>
  <c r="Q64" i="3"/>
  <c r="V63" i="3"/>
  <c r="Q63" i="3"/>
  <c r="V62" i="3"/>
  <c r="Q62" i="3"/>
  <c r="V61" i="3"/>
  <c r="Q61" i="3"/>
  <c r="V60" i="3"/>
  <c r="Q60" i="3"/>
  <c r="V59" i="3"/>
  <c r="Q59" i="3"/>
  <c r="V58" i="3"/>
  <c r="Q58" i="3"/>
  <c r="V57" i="3"/>
  <c r="Q57" i="3"/>
  <c r="V56" i="3"/>
  <c r="Q56" i="3"/>
  <c r="V55" i="3"/>
  <c r="Q55" i="3"/>
  <c r="V54" i="3"/>
  <c r="Q54" i="3"/>
  <c r="V53" i="3"/>
  <c r="Q53" i="3"/>
  <c r="V52" i="3"/>
  <c r="Q52" i="3"/>
  <c r="V51" i="3"/>
  <c r="Q51" i="3"/>
  <c r="V50" i="3"/>
  <c r="Q50" i="3"/>
  <c r="V49" i="3"/>
  <c r="Q49" i="3"/>
  <c r="V48" i="3"/>
  <c r="Q48" i="3"/>
  <c r="V47" i="3"/>
  <c r="Q47" i="3"/>
  <c r="V46" i="3"/>
  <c r="Q46" i="3"/>
  <c r="V45" i="3"/>
  <c r="Q45" i="3"/>
  <c r="V44" i="3"/>
  <c r="Q44" i="3"/>
  <c r="V43" i="3"/>
  <c r="Q43" i="3"/>
  <c r="V42" i="3"/>
  <c r="Q42" i="3"/>
  <c r="V41" i="3"/>
  <c r="Q41" i="3"/>
  <c r="V40" i="3"/>
  <c r="Q40" i="3"/>
  <c r="V39" i="3"/>
  <c r="Q39" i="3"/>
  <c r="V38" i="3"/>
  <c r="Q38" i="3"/>
  <c r="V37" i="3"/>
  <c r="Q37" i="3"/>
  <c r="V36" i="3"/>
  <c r="Q36" i="3"/>
  <c r="V35" i="3"/>
  <c r="Q35" i="3"/>
  <c r="S35" i="3"/>
  <c r="V34" i="3"/>
  <c r="Q34" i="3"/>
  <c r="V33" i="3"/>
  <c r="Q33" i="3"/>
  <c r="V32" i="3"/>
  <c r="Q32" i="3"/>
  <c r="V31" i="3"/>
  <c r="Q31" i="3"/>
  <c r="V30" i="3"/>
  <c r="Q30" i="3"/>
  <c r="V29" i="3"/>
  <c r="Q29" i="3"/>
  <c r="V28" i="3"/>
  <c r="Q28" i="3"/>
  <c r="V27" i="3"/>
  <c r="Q27" i="3"/>
  <c r="V26" i="3"/>
  <c r="Q26" i="3"/>
  <c r="V25" i="3"/>
  <c r="Q25" i="3"/>
  <c r="V24" i="3"/>
  <c r="Q24" i="3"/>
  <c r="V23" i="3"/>
  <c r="Q23" i="3"/>
  <c r="V22" i="3"/>
  <c r="Q22" i="3"/>
  <c r="AI21" i="3"/>
  <c r="V21" i="3"/>
  <c r="Q21" i="3"/>
  <c r="AI20" i="3"/>
  <c r="V20" i="3"/>
  <c r="Q20" i="3"/>
  <c r="AI19" i="3"/>
  <c r="V19" i="3"/>
  <c r="Q19" i="3"/>
  <c r="AI18" i="3"/>
  <c r="V18" i="3"/>
  <c r="Q18" i="3"/>
  <c r="AI17" i="3"/>
  <c r="V17" i="3"/>
  <c r="Q17" i="3"/>
  <c r="AI16" i="3"/>
  <c r="V16" i="3"/>
  <c r="Q16" i="3"/>
  <c r="AI15" i="3"/>
  <c r="V15" i="3"/>
  <c r="Q15" i="3"/>
  <c r="AI14" i="3"/>
  <c r="V14" i="3"/>
  <c r="Q14" i="3"/>
  <c r="AI13" i="3"/>
  <c r="V13" i="3"/>
  <c r="Q13" i="3"/>
  <c r="AI12" i="3"/>
  <c r="V12" i="3"/>
  <c r="Q12" i="3"/>
  <c r="AI11" i="3"/>
  <c r="V11" i="3"/>
  <c r="Q11" i="3"/>
  <c r="F11" i="3"/>
  <c r="F6" i="10" s="1"/>
  <c r="J6" i="10" s="1"/>
  <c r="AI10" i="3"/>
  <c r="V10" i="3"/>
  <c r="Q10" i="3"/>
  <c r="F10" i="3"/>
  <c r="F5" i="10" s="1"/>
  <c r="J5" i="10" s="1"/>
  <c r="AI9" i="3"/>
  <c r="V9" i="3"/>
  <c r="AI8" i="3"/>
  <c r="V8" i="3"/>
  <c r="B3" i="3"/>
  <c r="P52" i="1"/>
  <c r="O52" i="1"/>
  <c r="N52" i="1"/>
  <c r="P51" i="1"/>
  <c r="O51" i="1"/>
  <c r="N51" i="1"/>
  <c r="P50" i="1"/>
  <c r="O50" i="1"/>
  <c r="N50" i="1"/>
  <c r="P49" i="1"/>
  <c r="O49" i="1"/>
  <c r="N49" i="1"/>
  <c r="P48" i="1"/>
  <c r="O48" i="1"/>
  <c r="N48" i="1"/>
  <c r="P47" i="1"/>
  <c r="O47" i="1"/>
  <c r="N47" i="1"/>
  <c r="P46" i="1"/>
  <c r="O46" i="1"/>
  <c r="N46" i="1"/>
  <c r="P45" i="1"/>
  <c r="O45" i="1"/>
  <c r="N45" i="1"/>
  <c r="P44" i="1"/>
  <c r="O44" i="1"/>
  <c r="N44" i="1"/>
  <c r="P43" i="1"/>
  <c r="O43" i="1"/>
  <c r="N43" i="1"/>
  <c r="P42" i="1"/>
  <c r="O42" i="1"/>
  <c r="N42" i="1"/>
  <c r="P41" i="1"/>
  <c r="O41" i="1"/>
  <c r="N41" i="1"/>
  <c r="P40" i="1"/>
  <c r="O40" i="1"/>
  <c r="N40" i="1"/>
  <c r="P39" i="1"/>
  <c r="O39" i="1"/>
  <c r="N39" i="1"/>
  <c r="P38" i="1"/>
  <c r="O38" i="1"/>
  <c r="N38" i="1"/>
  <c r="P37" i="1"/>
  <c r="O37" i="1"/>
  <c r="N37" i="1"/>
  <c r="P36" i="1"/>
  <c r="O36" i="1"/>
  <c r="N36" i="1"/>
  <c r="P35" i="1"/>
  <c r="O35" i="1"/>
  <c r="N35" i="1"/>
  <c r="P34" i="1"/>
  <c r="O34" i="1"/>
  <c r="N34" i="1"/>
  <c r="P33" i="1"/>
  <c r="O33" i="1"/>
  <c r="N33" i="1"/>
  <c r="P32" i="1"/>
  <c r="O32" i="1"/>
  <c r="N32" i="1"/>
  <c r="P31" i="1"/>
  <c r="O31" i="1"/>
  <c r="N31" i="1"/>
  <c r="P30" i="1"/>
  <c r="O30" i="1"/>
  <c r="N30" i="1"/>
  <c r="P29" i="1"/>
  <c r="O29" i="1"/>
  <c r="N29" i="1"/>
  <c r="P28" i="1"/>
  <c r="O28" i="1"/>
  <c r="N28" i="1"/>
  <c r="P27" i="1"/>
  <c r="O27" i="1"/>
  <c r="N27" i="1"/>
  <c r="P26" i="1"/>
  <c r="O26" i="1"/>
  <c r="N26" i="1"/>
  <c r="P25" i="1"/>
  <c r="O25" i="1"/>
  <c r="N25" i="1"/>
  <c r="P24" i="1"/>
  <c r="O24" i="1"/>
  <c r="N24" i="1"/>
  <c r="P23" i="1"/>
  <c r="O23" i="1"/>
  <c r="N23" i="1"/>
  <c r="P22" i="1"/>
  <c r="O22" i="1"/>
  <c r="N22" i="1"/>
  <c r="P21" i="1"/>
  <c r="O21" i="1"/>
  <c r="N21" i="1"/>
  <c r="P20" i="1"/>
  <c r="O20" i="1"/>
  <c r="N20" i="1"/>
  <c r="P19" i="1"/>
  <c r="O19" i="1"/>
  <c r="N19" i="1"/>
  <c r="P18" i="1"/>
  <c r="O18" i="1"/>
  <c r="N18" i="1"/>
  <c r="P17" i="1"/>
  <c r="O17" i="1"/>
  <c r="N17" i="1"/>
  <c r="P16" i="1"/>
  <c r="O16" i="1"/>
  <c r="N16" i="1"/>
  <c r="P15" i="1"/>
  <c r="O15" i="1"/>
  <c r="N15" i="1"/>
  <c r="P14" i="1"/>
  <c r="O14" i="1"/>
  <c r="N14" i="1"/>
  <c r="P13" i="1"/>
  <c r="O13" i="1"/>
  <c r="N13" i="1"/>
  <c r="P12" i="1"/>
  <c r="O12" i="1"/>
  <c r="N12" i="1"/>
  <c r="P11" i="1"/>
  <c r="O11" i="1"/>
  <c r="N11" i="1"/>
  <c r="P10" i="1"/>
  <c r="O10" i="1"/>
  <c r="N10" i="1"/>
  <c r="P9" i="1"/>
  <c r="O9" i="1"/>
  <c r="N9" i="1"/>
  <c r="P8" i="1"/>
  <c r="O8" i="1"/>
  <c r="N8" i="1"/>
  <c r="P7" i="1"/>
  <c r="O7" i="1"/>
  <c r="N7" i="1"/>
  <c r="M7" i="1"/>
  <c r="P6" i="1"/>
  <c r="O6" i="1"/>
  <c r="N6" i="1"/>
  <c r="M6" i="1"/>
  <c r="P5" i="1"/>
  <c r="O5" i="1"/>
  <c r="N5" i="1"/>
  <c r="M5" i="1"/>
  <c r="P4" i="1"/>
  <c r="O4" i="1"/>
  <c r="N4" i="1"/>
  <c r="M4" i="1"/>
  <c r="P3" i="1"/>
  <c r="O3" i="1"/>
  <c r="N3" i="1"/>
  <c r="M3" i="1"/>
  <c r="Q20" i="7" l="1"/>
  <c r="Q19" i="7"/>
  <c r="Q23" i="7"/>
  <c r="Q22" i="7"/>
  <c r="Q8" i="7"/>
  <c r="R7" i="7"/>
  <c r="Q3" i="7"/>
  <c r="Q7" i="7"/>
  <c r="Q9" i="7"/>
  <c r="Q14" i="7"/>
  <c r="Q21" i="7"/>
  <c r="Q25" i="7"/>
  <c r="AA21" i="11"/>
  <c r="AH21" i="11"/>
  <c r="D220" i="3"/>
  <c r="D423" i="3"/>
  <c r="D421" i="3"/>
  <c r="D218" i="3"/>
  <c r="D429" i="3"/>
  <c r="D226" i="3"/>
  <c r="C433" i="3"/>
  <c r="C230" i="3"/>
  <c r="D428" i="3"/>
  <c r="D225" i="3"/>
  <c r="C432" i="3"/>
  <c r="C229" i="3"/>
  <c r="D224" i="3"/>
  <c r="D427" i="3"/>
  <c r="C228" i="3"/>
  <c r="C431" i="3"/>
  <c r="D426" i="3"/>
  <c r="D223" i="3"/>
  <c r="C430" i="3"/>
  <c r="C227" i="3"/>
  <c r="D222" i="3"/>
  <c r="C157" i="7" s="1"/>
  <c r="D425" i="3"/>
  <c r="C260" i="7" s="1"/>
  <c r="D424" i="3"/>
  <c r="C259" i="7" s="1"/>
  <c r="D221" i="3"/>
  <c r="C156" i="7" s="1"/>
  <c r="C232" i="3"/>
  <c r="C435" i="3"/>
  <c r="C233" i="3"/>
  <c r="C436" i="3"/>
  <c r="C438" i="3"/>
  <c r="C235" i="3"/>
  <c r="C440" i="3"/>
  <c r="C237" i="3"/>
  <c r="C231" i="3"/>
  <c r="C434" i="3"/>
  <c r="Z5" i="4"/>
  <c r="Z6" i="4"/>
  <c r="Z7" i="4"/>
  <c r="Z8" i="4"/>
  <c r="Z9" i="4"/>
  <c r="Z10" i="4"/>
  <c r="AC10" i="4" s="1"/>
  <c r="Z11" i="4"/>
  <c r="Z12" i="4"/>
  <c r="Z13" i="4"/>
  <c r="Z14" i="4"/>
  <c r="Z15" i="4"/>
  <c r="Z16" i="4"/>
  <c r="Z17" i="4"/>
  <c r="Z18" i="4"/>
  <c r="Z19" i="4"/>
  <c r="AC19" i="4" s="1"/>
  <c r="Z20" i="4"/>
  <c r="Z21" i="4"/>
  <c r="Z22" i="4"/>
  <c r="M177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89" i="1"/>
  <c r="M188" i="1"/>
  <c r="M187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2" i="1"/>
  <c r="M73" i="1"/>
  <c r="M74" i="1"/>
  <c r="M76" i="1"/>
  <c r="M77" i="1"/>
  <c r="M78" i="1"/>
  <c r="M80" i="1"/>
  <c r="M81" i="1"/>
  <c r="M83" i="1"/>
  <c r="M85" i="1"/>
  <c r="M87" i="1"/>
  <c r="M89" i="1"/>
  <c r="M91" i="1"/>
  <c r="M93" i="1"/>
  <c r="M95" i="1"/>
  <c r="M97" i="1"/>
  <c r="M99" i="1"/>
  <c r="M101" i="1"/>
  <c r="M103" i="1"/>
  <c r="M105" i="1"/>
  <c r="M107" i="1"/>
  <c r="M109" i="1"/>
  <c r="M111" i="1"/>
  <c r="M113" i="1"/>
  <c r="M114" i="1"/>
  <c r="M116" i="1"/>
  <c r="M118" i="1"/>
  <c r="M120" i="1"/>
  <c r="M121" i="1"/>
  <c r="M123" i="1"/>
  <c r="M125" i="1"/>
  <c r="M127" i="1"/>
  <c r="M129" i="1"/>
  <c r="M131" i="1"/>
  <c r="M133" i="1"/>
  <c r="M135" i="1"/>
  <c r="M137" i="1"/>
  <c r="M139" i="1"/>
  <c r="M141" i="1"/>
  <c r="M143" i="1"/>
  <c r="M145" i="1"/>
  <c r="M147" i="1"/>
  <c r="M149" i="1"/>
  <c r="M151" i="1"/>
  <c r="M153" i="1"/>
  <c r="M155" i="1"/>
  <c r="M156" i="1"/>
  <c r="M157" i="1"/>
  <c r="M159" i="1"/>
  <c r="M161" i="1"/>
  <c r="M163" i="1"/>
  <c r="M164" i="1"/>
  <c r="M52" i="1"/>
  <c r="M49" i="1"/>
  <c r="M48" i="1"/>
  <c r="M46" i="1"/>
  <c r="M44" i="1"/>
  <c r="M42" i="1"/>
  <c r="M40" i="1"/>
  <c r="M39" i="1"/>
  <c r="M37" i="1"/>
  <c r="M36" i="1"/>
  <c r="M34" i="1"/>
  <c r="M32" i="1"/>
  <c r="M30" i="1"/>
  <c r="M29" i="1"/>
  <c r="M28" i="1"/>
  <c r="M26" i="1"/>
  <c r="M24" i="1"/>
  <c r="M22" i="1"/>
  <c r="M21" i="1"/>
  <c r="M19" i="1"/>
  <c r="M15" i="1"/>
  <c r="M13" i="1"/>
  <c r="M12" i="1"/>
  <c r="M9" i="1"/>
  <c r="M50" i="1"/>
  <c r="M18" i="1"/>
  <c r="M11" i="1"/>
  <c r="M190" i="1"/>
  <c r="M71" i="1"/>
  <c r="M75" i="1"/>
  <c r="M79" i="1"/>
  <c r="M82" i="1"/>
  <c r="M84" i="1"/>
  <c r="M86" i="1"/>
  <c r="M88" i="1"/>
  <c r="M90" i="1"/>
  <c r="M92" i="1"/>
  <c r="M94" i="1"/>
  <c r="M96" i="1"/>
  <c r="M98" i="1"/>
  <c r="M100" i="1"/>
  <c r="M102" i="1"/>
  <c r="M104" i="1"/>
  <c r="M106" i="1"/>
  <c r="M108" i="1"/>
  <c r="M110" i="1"/>
  <c r="M112" i="1"/>
  <c r="M115" i="1"/>
  <c r="M117" i="1"/>
  <c r="M119" i="1"/>
  <c r="M122" i="1"/>
  <c r="M124" i="1"/>
  <c r="M126" i="1"/>
  <c r="M128" i="1"/>
  <c r="M130" i="1"/>
  <c r="M132" i="1"/>
  <c r="M134" i="1"/>
  <c r="M136" i="1"/>
  <c r="M138" i="1"/>
  <c r="M140" i="1"/>
  <c r="M142" i="1"/>
  <c r="M144" i="1"/>
  <c r="M146" i="1"/>
  <c r="M148" i="1"/>
  <c r="M150" i="1"/>
  <c r="M152" i="1"/>
  <c r="M154" i="1"/>
  <c r="M158" i="1"/>
  <c r="M160" i="1"/>
  <c r="M162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8" i="1"/>
  <c r="M179" i="1"/>
  <c r="M180" i="1"/>
  <c r="M181" i="1"/>
  <c r="M182" i="1"/>
  <c r="M183" i="1"/>
  <c r="M184" i="1"/>
  <c r="M185" i="1"/>
  <c r="M186" i="1"/>
  <c r="M51" i="1"/>
  <c r="M47" i="1"/>
  <c r="M43" i="1"/>
  <c r="M41" i="1"/>
  <c r="M38" i="1"/>
  <c r="M35" i="1"/>
  <c r="M33" i="1"/>
  <c r="M31" i="1"/>
  <c r="M27" i="1"/>
  <c r="M25" i="1"/>
  <c r="M23" i="1"/>
  <c r="M20" i="1"/>
  <c r="M17" i="1"/>
  <c r="M14" i="1"/>
  <c r="M8" i="1"/>
  <c r="M45" i="1"/>
  <c r="M10" i="1"/>
  <c r="R439" i="3"/>
  <c r="BV23" i="10"/>
  <c r="BV26" i="10"/>
  <c r="BV27" i="10"/>
  <c r="BV28" i="10"/>
  <c r="BV29" i="10"/>
  <c r="BV30" i="10"/>
  <c r="BV31" i="10"/>
  <c r="BV32" i="10"/>
  <c r="BV13" i="10"/>
  <c r="BV15" i="10"/>
  <c r="BV16" i="10"/>
  <c r="BV17" i="10"/>
  <c r="BV18" i="10"/>
  <c r="BV19" i="10"/>
  <c r="BV20" i="10"/>
  <c r="BV22" i="10"/>
  <c r="BV10" i="10"/>
  <c r="BV8" i="10"/>
  <c r="BV11" i="10"/>
  <c r="BV9" i="10"/>
  <c r="BV7" i="10"/>
  <c r="BV6" i="10"/>
  <c r="BV4" i="10"/>
  <c r="BV5" i="10"/>
  <c r="E47" i="11"/>
  <c r="C57" i="11"/>
  <c r="U171" i="11"/>
  <c r="O171" i="11"/>
  <c r="U174" i="11"/>
  <c r="O174" i="11"/>
  <c r="U176" i="11"/>
  <c r="O176" i="11"/>
  <c r="O27" i="11"/>
  <c r="U27" i="11"/>
  <c r="O8" i="11"/>
  <c r="U8" i="11"/>
  <c r="O9" i="11"/>
  <c r="U9" i="11"/>
  <c r="O10" i="11"/>
  <c r="U10" i="11"/>
  <c r="O11" i="11"/>
  <c r="U11" i="11"/>
  <c r="O12" i="11"/>
  <c r="U12" i="11"/>
  <c r="O13" i="11"/>
  <c r="U13" i="11"/>
  <c r="O14" i="11"/>
  <c r="U14" i="11"/>
  <c r="O15" i="11"/>
  <c r="U15" i="11"/>
  <c r="O16" i="11"/>
  <c r="U16" i="11"/>
  <c r="O17" i="11"/>
  <c r="U17" i="11"/>
  <c r="O18" i="11"/>
  <c r="U18" i="11"/>
  <c r="O19" i="11"/>
  <c r="U19" i="11"/>
  <c r="O20" i="11"/>
  <c r="U20" i="11"/>
  <c r="U21" i="11"/>
  <c r="AJ21" i="11" s="1"/>
  <c r="O22" i="11"/>
  <c r="U22" i="11"/>
  <c r="O23" i="11"/>
  <c r="U23" i="11"/>
  <c r="O24" i="11"/>
  <c r="U24" i="11"/>
  <c r="O25" i="11"/>
  <c r="U25" i="11"/>
  <c r="O26" i="11"/>
  <c r="U26" i="11"/>
  <c r="O28" i="11"/>
  <c r="U28" i="11"/>
  <c r="O29" i="11"/>
  <c r="U29" i="11"/>
  <c r="O30" i="11"/>
  <c r="U30" i="11"/>
  <c r="O31" i="11"/>
  <c r="U31" i="11"/>
  <c r="O32" i="11"/>
  <c r="U32" i="11"/>
  <c r="O33" i="11"/>
  <c r="U33" i="11"/>
  <c r="O34" i="11"/>
  <c r="U34" i="11"/>
  <c r="O35" i="11"/>
  <c r="U35" i="11"/>
  <c r="O36" i="11"/>
  <c r="U36" i="11"/>
  <c r="O37" i="11"/>
  <c r="U37" i="11"/>
  <c r="O38" i="11"/>
  <c r="U38" i="11"/>
  <c r="O39" i="11"/>
  <c r="U39" i="11"/>
  <c r="O40" i="11"/>
  <c r="U40" i="11"/>
  <c r="O41" i="11"/>
  <c r="U41" i="11"/>
  <c r="O42" i="11"/>
  <c r="U42" i="11"/>
  <c r="O43" i="11"/>
  <c r="U43" i="11"/>
  <c r="O44" i="11"/>
  <c r="U44" i="11"/>
  <c r="O45" i="11"/>
  <c r="U45" i="11"/>
  <c r="O46" i="11"/>
  <c r="U46" i="11"/>
  <c r="O48" i="11"/>
  <c r="U48" i="11"/>
  <c r="O49" i="11"/>
  <c r="U49" i="11"/>
  <c r="O50" i="11"/>
  <c r="U50" i="11"/>
  <c r="O51" i="11"/>
  <c r="U51" i="11"/>
  <c r="O52" i="11"/>
  <c r="U52" i="11"/>
  <c r="O53" i="11"/>
  <c r="U53" i="11"/>
  <c r="O54" i="11"/>
  <c r="U54" i="11"/>
  <c r="O55" i="11"/>
  <c r="U55" i="11"/>
  <c r="O56" i="11"/>
  <c r="U56" i="11"/>
  <c r="O58" i="11"/>
  <c r="U58" i="11"/>
  <c r="O59" i="11"/>
  <c r="U59" i="11"/>
  <c r="O60" i="11"/>
  <c r="U60" i="11"/>
  <c r="O61" i="11"/>
  <c r="U61" i="11"/>
  <c r="O62" i="11"/>
  <c r="U62" i="11"/>
  <c r="O63" i="11"/>
  <c r="U63" i="11"/>
  <c r="O64" i="11"/>
  <c r="U64" i="11"/>
  <c r="O65" i="11"/>
  <c r="U65" i="11"/>
  <c r="O66" i="11"/>
  <c r="U66" i="11"/>
  <c r="O68" i="11"/>
  <c r="U68" i="11"/>
  <c r="O69" i="11"/>
  <c r="U69" i="11"/>
  <c r="O70" i="11"/>
  <c r="U70" i="11"/>
  <c r="O71" i="11"/>
  <c r="U71" i="11"/>
  <c r="O72" i="11"/>
  <c r="U72" i="11"/>
  <c r="O73" i="11"/>
  <c r="U73" i="11"/>
  <c r="O74" i="11"/>
  <c r="U74" i="11"/>
  <c r="O75" i="11"/>
  <c r="U75" i="11"/>
  <c r="O76" i="11"/>
  <c r="U76" i="11"/>
  <c r="O78" i="11"/>
  <c r="U78" i="11"/>
  <c r="O79" i="11"/>
  <c r="U79" i="11"/>
  <c r="O80" i="11"/>
  <c r="U80" i="11"/>
  <c r="O81" i="11"/>
  <c r="U81" i="11"/>
  <c r="O82" i="11"/>
  <c r="U82" i="11"/>
  <c r="O83" i="11"/>
  <c r="U83" i="11"/>
  <c r="O84" i="11"/>
  <c r="U84" i="11"/>
  <c r="O85" i="11"/>
  <c r="U85" i="11"/>
  <c r="O86" i="11"/>
  <c r="U86" i="11"/>
  <c r="O88" i="11"/>
  <c r="U88" i="11"/>
  <c r="O89" i="11"/>
  <c r="U89" i="11"/>
  <c r="O90" i="11"/>
  <c r="U90" i="11"/>
  <c r="O91" i="11"/>
  <c r="U91" i="11"/>
  <c r="O92" i="11"/>
  <c r="U92" i="11"/>
  <c r="O93" i="11"/>
  <c r="U93" i="11"/>
  <c r="O94" i="11"/>
  <c r="U94" i="11"/>
  <c r="O95" i="11"/>
  <c r="U95" i="11"/>
  <c r="O96" i="11"/>
  <c r="U96" i="11"/>
  <c r="O98" i="11"/>
  <c r="U98" i="11"/>
  <c r="O99" i="11"/>
  <c r="U99" i="11"/>
  <c r="O100" i="11"/>
  <c r="U100" i="11"/>
  <c r="O101" i="11"/>
  <c r="U101" i="11"/>
  <c r="O102" i="11"/>
  <c r="U102" i="11"/>
  <c r="O103" i="11"/>
  <c r="U103" i="11"/>
  <c r="O104" i="11"/>
  <c r="U104" i="11"/>
  <c r="O105" i="11"/>
  <c r="U105" i="11"/>
  <c r="O106" i="11"/>
  <c r="U106" i="11"/>
  <c r="O108" i="11"/>
  <c r="U108" i="11"/>
  <c r="O109" i="11"/>
  <c r="U109" i="11"/>
  <c r="O110" i="11"/>
  <c r="U110" i="11"/>
  <c r="O111" i="11"/>
  <c r="U111" i="11"/>
  <c r="O112" i="11"/>
  <c r="U112" i="11"/>
  <c r="O113" i="11"/>
  <c r="U113" i="11"/>
  <c r="O114" i="11"/>
  <c r="U114" i="11"/>
  <c r="O115" i="11"/>
  <c r="U115" i="11"/>
  <c r="O116" i="11"/>
  <c r="U116" i="11"/>
  <c r="O118" i="11"/>
  <c r="U118" i="11"/>
  <c r="O119" i="11"/>
  <c r="U119" i="11"/>
  <c r="O120" i="11"/>
  <c r="U120" i="11"/>
  <c r="O121" i="11"/>
  <c r="U121" i="11"/>
  <c r="O122" i="11"/>
  <c r="U122" i="11"/>
  <c r="O123" i="11"/>
  <c r="U123" i="11"/>
  <c r="O124" i="11"/>
  <c r="U124" i="11"/>
  <c r="O125" i="11"/>
  <c r="U125" i="11"/>
  <c r="O126" i="11"/>
  <c r="U126" i="11"/>
  <c r="O128" i="11"/>
  <c r="U128" i="11"/>
  <c r="O129" i="11"/>
  <c r="U129" i="11"/>
  <c r="O130" i="11"/>
  <c r="U130" i="11"/>
  <c r="O131" i="11"/>
  <c r="U131" i="11"/>
  <c r="O132" i="11"/>
  <c r="U132" i="11"/>
  <c r="O133" i="11"/>
  <c r="U133" i="11"/>
  <c r="O134" i="11"/>
  <c r="U134" i="11"/>
  <c r="O135" i="11"/>
  <c r="U135" i="11"/>
  <c r="O136" i="11"/>
  <c r="U136" i="11"/>
  <c r="O138" i="11"/>
  <c r="U138" i="11"/>
  <c r="O139" i="11"/>
  <c r="U139" i="11"/>
  <c r="O140" i="11"/>
  <c r="U140" i="11"/>
  <c r="O141" i="11"/>
  <c r="U141" i="11"/>
  <c r="O142" i="11"/>
  <c r="U142" i="11"/>
  <c r="O143" i="11"/>
  <c r="U143" i="11"/>
  <c r="O144" i="11"/>
  <c r="U144" i="11"/>
  <c r="O145" i="11"/>
  <c r="U145" i="11"/>
  <c r="O146" i="11"/>
  <c r="U146" i="11"/>
  <c r="O148" i="11"/>
  <c r="U148" i="11"/>
  <c r="O149" i="11"/>
  <c r="U149" i="11"/>
  <c r="O150" i="11"/>
  <c r="U150" i="11"/>
  <c r="O151" i="11"/>
  <c r="U151" i="11"/>
  <c r="O152" i="11"/>
  <c r="U152" i="11"/>
  <c r="O153" i="11"/>
  <c r="U153" i="11"/>
  <c r="O154" i="11"/>
  <c r="U154" i="11"/>
  <c r="O155" i="11"/>
  <c r="U155" i="11"/>
  <c r="O156" i="11"/>
  <c r="U156" i="11"/>
  <c r="O158" i="11"/>
  <c r="U158" i="11"/>
  <c r="O159" i="11"/>
  <c r="U159" i="11"/>
  <c r="O160" i="11"/>
  <c r="U160" i="11"/>
  <c r="O161" i="11"/>
  <c r="U161" i="11"/>
  <c r="O162" i="11"/>
  <c r="U162" i="11"/>
  <c r="O163" i="11"/>
  <c r="O164" i="11"/>
  <c r="O165" i="11"/>
  <c r="O166" i="11"/>
  <c r="O168" i="11"/>
  <c r="O169" i="11"/>
  <c r="O170" i="11"/>
  <c r="O172" i="11"/>
  <c r="O173" i="11"/>
  <c r="O175" i="11"/>
  <c r="O178" i="11"/>
  <c r="O179" i="11"/>
  <c r="O180" i="11"/>
  <c r="O181" i="11"/>
  <c r="O182" i="11"/>
  <c r="O183" i="11"/>
  <c r="O184" i="11"/>
  <c r="O185" i="11"/>
  <c r="O186" i="11"/>
  <c r="O188" i="11"/>
  <c r="O189" i="11"/>
  <c r="O190" i="11"/>
  <c r="O191" i="11"/>
  <c r="O192" i="11"/>
  <c r="O193" i="11"/>
  <c r="O194" i="11"/>
  <c r="U194" i="11"/>
  <c r="O195" i="11"/>
  <c r="U195" i="11"/>
  <c r="O196" i="11"/>
  <c r="U196" i="11"/>
  <c r="O198" i="11"/>
  <c r="U198" i="11"/>
  <c r="O199" i="11"/>
  <c r="U199" i="11"/>
  <c r="O200" i="11"/>
  <c r="U200" i="11"/>
  <c r="O201" i="11"/>
  <c r="U201" i="11"/>
  <c r="O202" i="11"/>
  <c r="U202" i="11"/>
  <c r="O203" i="11"/>
  <c r="U203" i="11"/>
  <c r="O204" i="11"/>
  <c r="U204" i="11"/>
  <c r="O205" i="11"/>
  <c r="U205" i="11"/>
  <c r="O206" i="11"/>
  <c r="U206" i="11"/>
  <c r="O208" i="11"/>
  <c r="U208" i="11"/>
  <c r="O7" i="11"/>
  <c r="U7" i="11"/>
  <c r="Z54" i="11"/>
  <c r="AA23" i="11"/>
  <c r="AH23" i="11"/>
  <c r="Z24" i="11"/>
  <c r="Z25" i="11"/>
  <c r="Z26" i="11"/>
  <c r="Z27" i="11"/>
  <c r="Z28" i="11"/>
  <c r="Z29" i="11"/>
  <c r="Z30" i="11"/>
  <c r="Z31" i="11"/>
  <c r="Z32" i="11"/>
  <c r="Z33" i="11"/>
  <c r="Z34" i="11"/>
  <c r="Z35" i="11"/>
  <c r="Z36" i="11"/>
  <c r="Z37" i="11"/>
  <c r="Z38" i="11"/>
  <c r="Z39" i="11"/>
  <c r="Z40" i="11"/>
  <c r="Z41" i="11"/>
  <c r="Z42" i="11"/>
  <c r="Z52" i="11"/>
  <c r="Z106" i="11"/>
  <c r="Z105" i="11"/>
  <c r="Z104" i="11"/>
  <c r="Z103" i="11"/>
  <c r="Z102" i="11"/>
  <c r="Z101" i="11"/>
  <c r="Z100" i="11"/>
  <c r="Z99" i="11"/>
  <c r="Z98" i="11"/>
  <c r="Z97" i="11"/>
  <c r="Z96" i="11"/>
  <c r="Z95" i="11"/>
  <c r="Z94" i="11"/>
  <c r="Z93" i="11"/>
  <c r="Z92" i="11"/>
  <c r="Z91" i="11"/>
  <c r="Z90" i="11"/>
  <c r="Z89" i="11"/>
  <c r="Z88" i="11"/>
  <c r="Z87" i="11"/>
  <c r="Z86" i="11"/>
  <c r="Z85" i="11"/>
  <c r="Z84" i="11"/>
  <c r="Z83" i="11"/>
  <c r="Z82" i="11"/>
  <c r="Z81" i="11"/>
  <c r="Z80" i="11"/>
  <c r="Z79" i="11"/>
  <c r="Z78" i="11"/>
  <c r="Z77" i="11"/>
  <c r="Z76" i="11"/>
  <c r="Z75" i="11"/>
  <c r="Z74" i="11"/>
  <c r="Z73" i="11"/>
  <c r="Z72" i="11"/>
  <c r="Z71" i="11"/>
  <c r="Z70" i="11"/>
  <c r="Z69" i="11"/>
  <c r="Z68" i="11"/>
  <c r="Z67" i="11"/>
  <c r="Z66" i="11"/>
  <c r="Z65" i="11"/>
  <c r="Z64" i="11"/>
  <c r="Z63" i="11"/>
  <c r="Z62" i="11"/>
  <c r="Z61" i="11"/>
  <c r="Z60" i="11"/>
  <c r="Z59" i="11"/>
  <c r="Z58" i="11"/>
  <c r="Z57" i="11"/>
  <c r="Z56" i="11"/>
  <c r="Z55" i="11"/>
  <c r="Z53" i="11"/>
  <c r="Z51" i="11"/>
  <c r="Z50" i="11"/>
  <c r="Z49" i="11"/>
  <c r="Z48" i="11"/>
  <c r="Z47" i="11"/>
  <c r="Z46" i="11"/>
  <c r="Z45" i="11"/>
  <c r="Z44" i="11"/>
  <c r="Z43" i="11"/>
  <c r="EJ7" i="13"/>
  <c r="AR7" i="13"/>
  <c r="AZ7" i="13" s="1"/>
  <c r="AQ7" i="13"/>
  <c r="BU7" i="13" s="1"/>
  <c r="X498" i="3"/>
  <c r="X613" i="3"/>
  <c r="X610" i="3"/>
  <c r="X609" i="3"/>
  <c r="X606" i="3"/>
  <c r="X605" i="3"/>
  <c r="X602" i="3"/>
  <c r="X599" i="3"/>
  <c r="X597" i="3"/>
  <c r="X593" i="3"/>
  <c r="X591" i="3"/>
  <c r="X589" i="3"/>
  <c r="X586" i="3"/>
  <c r="X582" i="3"/>
  <c r="X580" i="3"/>
  <c r="X577" i="3"/>
  <c r="X574" i="3"/>
  <c r="X571" i="3"/>
  <c r="X568" i="3"/>
  <c r="X564" i="3"/>
  <c r="X561" i="3"/>
  <c r="X560" i="3"/>
  <c r="X558" i="3"/>
  <c r="X555" i="3"/>
  <c r="X550" i="3"/>
  <c r="X548" i="3"/>
  <c r="X546" i="3"/>
  <c r="X543" i="3"/>
  <c r="X541" i="3"/>
  <c r="X538" i="3"/>
  <c r="X535" i="3"/>
  <c r="X532" i="3"/>
  <c r="X529" i="3"/>
  <c r="X527" i="3"/>
  <c r="X524" i="3"/>
  <c r="X523" i="3"/>
  <c r="X520" i="3"/>
  <c r="X517" i="3"/>
  <c r="X514" i="3"/>
  <c r="X417" i="3"/>
  <c r="X420" i="3"/>
  <c r="X423" i="3"/>
  <c r="X425" i="3"/>
  <c r="X427" i="3"/>
  <c r="X428" i="3"/>
  <c r="X431" i="3"/>
  <c r="X434" i="3"/>
  <c r="X437" i="3"/>
  <c r="X439" i="3"/>
  <c r="X442" i="3"/>
  <c r="X444" i="3"/>
  <c r="X447" i="3"/>
  <c r="X449" i="3"/>
  <c r="X451" i="3"/>
  <c r="X453" i="3"/>
  <c r="X455" i="3"/>
  <c r="X456" i="3"/>
  <c r="X459" i="3"/>
  <c r="X462" i="3"/>
  <c r="X464" i="3"/>
  <c r="X467" i="3"/>
  <c r="X470" i="3"/>
  <c r="X473" i="3"/>
  <c r="X476" i="3"/>
  <c r="X478" i="3"/>
  <c r="X481" i="3"/>
  <c r="X484" i="3"/>
  <c r="X487" i="3"/>
  <c r="X488" i="3"/>
  <c r="X492" i="3"/>
  <c r="X493" i="3"/>
  <c r="X496" i="3"/>
  <c r="X499" i="3"/>
  <c r="X502" i="3"/>
  <c r="X505" i="3"/>
  <c r="X508" i="3"/>
  <c r="X414" i="3"/>
  <c r="X495" i="3"/>
  <c r="X611" i="3"/>
  <c r="X608" i="3"/>
  <c r="X604" i="3"/>
  <c r="X601" i="3"/>
  <c r="X598" i="3"/>
  <c r="X594" i="3"/>
  <c r="X587" i="3"/>
  <c r="X584" i="3"/>
  <c r="X581" i="3"/>
  <c r="X578" i="3"/>
  <c r="X575" i="3"/>
  <c r="X572" i="3"/>
  <c r="X569" i="3"/>
  <c r="X566" i="3"/>
  <c r="X562" i="3"/>
  <c r="X559" i="3"/>
  <c r="X556" i="3"/>
  <c r="X551" i="3"/>
  <c r="X547" i="3"/>
  <c r="X544" i="3"/>
  <c r="X540" i="3"/>
  <c r="X537" i="3"/>
  <c r="X534" i="3"/>
  <c r="X530" i="3"/>
  <c r="X525" i="3"/>
  <c r="X522" i="3"/>
  <c r="X519" i="3"/>
  <c r="X515" i="3"/>
  <c r="X419" i="3"/>
  <c r="X422" i="3"/>
  <c r="X433" i="3"/>
  <c r="X436" i="3"/>
  <c r="X441" i="3"/>
  <c r="X445" i="3"/>
  <c r="X452" i="3"/>
  <c r="X457" i="3"/>
  <c r="X461" i="3"/>
  <c r="X465" i="3"/>
  <c r="X468" i="3"/>
  <c r="X471" i="3"/>
  <c r="X474" i="3"/>
  <c r="X477" i="3"/>
  <c r="X480" i="3"/>
  <c r="X483" i="3"/>
  <c r="X486" i="3"/>
  <c r="X490" i="3"/>
  <c r="X500" i="3"/>
  <c r="X504" i="3"/>
  <c r="X507" i="3"/>
  <c r="X510" i="3"/>
  <c r="X513" i="3"/>
  <c r="X553" i="3"/>
  <c r="X512" i="3"/>
  <c r="X430" i="3"/>
  <c r="X612" i="3"/>
  <c r="X607" i="3"/>
  <c r="X603" i="3"/>
  <c r="X600" i="3"/>
  <c r="X596" i="3"/>
  <c r="X595" i="3"/>
  <c r="X592" i="3"/>
  <c r="X590" i="3"/>
  <c r="X588" i="3"/>
  <c r="X585" i="3"/>
  <c r="X583" i="3"/>
  <c r="X579" i="3"/>
  <c r="X576" i="3"/>
  <c r="X573" i="3"/>
  <c r="X570" i="3"/>
  <c r="X567" i="3"/>
  <c r="X565" i="3"/>
  <c r="X563" i="3"/>
  <c r="X557" i="3"/>
  <c r="X554" i="3"/>
  <c r="X552" i="3"/>
  <c r="X549" i="3"/>
  <c r="X545" i="3"/>
  <c r="X542" i="3"/>
  <c r="X539" i="3"/>
  <c r="X536" i="3"/>
  <c r="X533" i="3"/>
  <c r="X531" i="3"/>
  <c r="X528" i="3"/>
  <c r="X526" i="3"/>
  <c r="X521" i="3"/>
  <c r="X518" i="3"/>
  <c r="X516" i="3"/>
  <c r="X415" i="3"/>
  <c r="X418" i="3"/>
  <c r="X421" i="3"/>
  <c r="X424" i="3"/>
  <c r="X426" i="3"/>
  <c r="X429" i="3"/>
  <c r="X432" i="3"/>
  <c r="X435" i="3"/>
  <c r="X438" i="3"/>
  <c r="X440" i="3"/>
  <c r="X443" i="3"/>
  <c r="X446" i="3"/>
  <c r="X448" i="3"/>
  <c r="X450" i="3"/>
  <c r="X454" i="3"/>
  <c r="X458" i="3"/>
  <c r="X460" i="3"/>
  <c r="X463" i="3"/>
  <c r="X466" i="3"/>
  <c r="X469" i="3"/>
  <c r="X472" i="3"/>
  <c r="X475" i="3"/>
  <c r="X479" i="3"/>
  <c r="X482" i="3"/>
  <c r="X485" i="3"/>
  <c r="X489" i="3"/>
  <c r="X491" i="3"/>
  <c r="X494" i="3"/>
  <c r="X497" i="3"/>
  <c r="X501" i="3"/>
  <c r="X503" i="3"/>
  <c r="X506" i="3"/>
  <c r="X509" i="3"/>
  <c r="X511" i="3"/>
  <c r="I250" i="7"/>
  <c r="AB250" i="7" s="1"/>
  <c r="S415" i="3"/>
  <c r="Z415" i="3" s="1"/>
  <c r="J250" i="7"/>
  <c r="AC250" i="7" s="1"/>
  <c r="T415" i="3"/>
  <c r="K250" i="7"/>
  <c r="AD250" i="7" s="1"/>
  <c r="U415" i="3"/>
  <c r="I251" i="7"/>
  <c r="AB251" i="7" s="1"/>
  <c r="S416" i="3"/>
  <c r="Z416" i="3" s="1"/>
  <c r="J251" i="7"/>
  <c r="AC251" i="7" s="1"/>
  <c r="T416" i="3"/>
  <c r="K251" i="7"/>
  <c r="AD251" i="7" s="1"/>
  <c r="U416" i="3"/>
  <c r="I252" i="7"/>
  <c r="AB252" i="7" s="1"/>
  <c r="S417" i="3"/>
  <c r="J252" i="7"/>
  <c r="AC252" i="7" s="1"/>
  <c r="T417" i="3"/>
  <c r="K252" i="7"/>
  <c r="AD252" i="7" s="1"/>
  <c r="U417" i="3"/>
  <c r="I253" i="7"/>
  <c r="AB253" i="7" s="1"/>
  <c r="S418" i="3"/>
  <c r="Z418" i="3" s="1"/>
  <c r="J253" i="7"/>
  <c r="AC253" i="7" s="1"/>
  <c r="T418" i="3"/>
  <c r="K253" i="7"/>
  <c r="AD253" i="7" s="1"/>
  <c r="U418" i="3"/>
  <c r="I254" i="7"/>
  <c r="AB254" i="7" s="1"/>
  <c r="S419" i="3"/>
  <c r="Z419" i="3" s="1"/>
  <c r="J254" i="7"/>
  <c r="AC254" i="7" s="1"/>
  <c r="T419" i="3"/>
  <c r="K254" i="7"/>
  <c r="AD254" i="7" s="1"/>
  <c r="U419" i="3"/>
  <c r="I255" i="7"/>
  <c r="AB255" i="7" s="1"/>
  <c r="S420" i="3"/>
  <c r="Z420" i="3" s="1"/>
  <c r="J255" i="7"/>
  <c r="AC255" i="7" s="1"/>
  <c r="T420" i="3"/>
  <c r="K255" i="7"/>
  <c r="AD255" i="7" s="1"/>
  <c r="U420" i="3"/>
  <c r="I256" i="7"/>
  <c r="AB256" i="7" s="1"/>
  <c r="S421" i="3"/>
  <c r="Z421" i="3" s="1"/>
  <c r="J256" i="7"/>
  <c r="AC256" i="7" s="1"/>
  <c r="T421" i="3"/>
  <c r="K256" i="7"/>
  <c r="AD256" i="7" s="1"/>
  <c r="U421" i="3"/>
  <c r="I257" i="7"/>
  <c r="AB257" i="7" s="1"/>
  <c r="S422" i="3"/>
  <c r="Z422" i="3" s="1"/>
  <c r="J257" i="7"/>
  <c r="AC257" i="7" s="1"/>
  <c r="T422" i="3"/>
  <c r="K257" i="7"/>
  <c r="AD257" i="7" s="1"/>
  <c r="U422" i="3"/>
  <c r="I258" i="7"/>
  <c r="AB258" i="7" s="1"/>
  <c r="S423" i="3"/>
  <c r="Z423" i="3" s="1"/>
  <c r="J258" i="7"/>
  <c r="AC258" i="7" s="1"/>
  <c r="T423" i="3"/>
  <c r="K258" i="7"/>
  <c r="AD258" i="7" s="1"/>
  <c r="U423" i="3"/>
  <c r="I259" i="7"/>
  <c r="AB259" i="7" s="1"/>
  <c r="S424" i="3"/>
  <c r="Z424" i="3" s="1"/>
  <c r="J259" i="7"/>
  <c r="AC259" i="7" s="1"/>
  <c r="T424" i="3"/>
  <c r="K259" i="7"/>
  <c r="AD259" i="7" s="1"/>
  <c r="U424" i="3"/>
  <c r="I260" i="7"/>
  <c r="AB260" i="7" s="1"/>
  <c r="S425" i="3"/>
  <c r="Z425" i="3" s="1"/>
  <c r="J260" i="7"/>
  <c r="AC260" i="7" s="1"/>
  <c r="T425" i="3"/>
  <c r="K260" i="7"/>
  <c r="AD260" i="7" s="1"/>
  <c r="U425" i="3"/>
  <c r="I261" i="7"/>
  <c r="AB261" i="7" s="1"/>
  <c r="S426" i="3"/>
  <c r="Z426" i="3" s="1"/>
  <c r="J261" i="7"/>
  <c r="AC261" i="7" s="1"/>
  <c r="T426" i="3"/>
  <c r="K261" i="7"/>
  <c r="AD261" i="7" s="1"/>
  <c r="U426" i="3"/>
  <c r="I262" i="7"/>
  <c r="AB262" i="7" s="1"/>
  <c r="S427" i="3"/>
  <c r="Z427" i="3" s="1"/>
  <c r="J262" i="7"/>
  <c r="AC262" i="7" s="1"/>
  <c r="T427" i="3"/>
  <c r="I263" i="7"/>
  <c r="AB263" i="7" s="1"/>
  <c r="S428" i="3"/>
  <c r="Z428" i="3" s="1"/>
  <c r="J263" i="7"/>
  <c r="AC263" i="7" s="1"/>
  <c r="T428" i="3"/>
  <c r="K263" i="7"/>
  <c r="AD263" i="7" s="1"/>
  <c r="U428" i="3"/>
  <c r="I264" i="7"/>
  <c r="AB264" i="7" s="1"/>
  <c r="S429" i="3"/>
  <c r="Z429" i="3" s="1"/>
  <c r="J264" i="7"/>
  <c r="AC264" i="7" s="1"/>
  <c r="T429" i="3"/>
  <c r="I265" i="7"/>
  <c r="AB265" i="7" s="1"/>
  <c r="S430" i="3"/>
  <c r="Z430" i="3" s="1"/>
  <c r="J265" i="7"/>
  <c r="AC265" i="7" s="1"/>
  <c r="T430" i="3"/>
  <c r="K265" i="7"/>
  <c r="AD265" i="7" s="1"/>
  <c r="U430" i="3"/>
  <c r="I266" i="7"/>
  <c r="AB266" i="7" s="1"/>
  <c r="S431" i="3"/>
  <c r="Z431" i="3" s="1"/>
  <c r="J266" i="7"/>
  <c r="AC266" i="7" s="1"/>
  <c r="T431" i="3"/>
  <c r="I267" i="7"/>
  <c r="AB267" i="7" s="1"/>
  <c r="S432" i="3"/>
  <c r="Z432" i="3" s="1"/>
  <c r="J267" i="7"/>
  <c r="AC267" i="7" s="1"/>
  <c r="T432" i="3"/>
  <c r="I268" i="7"/>
  <c r="AB268" i="7" s="1"/>
  <c r="S433" i="3"/>
  <c r="J268" i="7"/>
  <c r="AC268" i="7" s="1"/>
  <c r="T433" i="3"/>
  <c r="I269" i="7"/>
  <c r="AB269" i="7" s="1"/>
  <c r="S434" i="3"/>
  <c r="J269" i="7"/>
  <c r="AC269" i="7" s="1"/>
  <c r="T434" i="3"/>
  <c r="I270" i="7"/>
  <c r="AB270" i="7" s="1"/>
  <c r="S435" i="3"/>
  <c r="J270" i="7"/>
  <c r="AC270" i="7" s="1"/>
  <c r="T435" i="3"/>
  <c r="I271" i="7"/>
  <c r="AB271" i="7" s="1"/>
  <c r="S436" i="3"/>
  <c r="J271" i="7"/>
  <c r="AC271" i="7" s="1"/>
  <c r="T436" i="3"/>
  <c r="I272" i="7"/>
  <c r="AB272" i="7" s="1"/>
  <c r="S437" i="3"/>
  <c r="J272" i="7"/>
  <c r="AC272" i="7" s="1"/>
  <c r="T437" i="3"/>
  <c r="I273" i="7"/>
  <c r="AB273" i="7" s="1"/>
  <c r="S438" i="3"/>
  <c r="J273" i="7"/>
  <c r="AC273" i="7" s="1"/>
  <c r="T438" i="3"/>
  <c r="I274" i="7"/>
  <c r="AB274" i="7" s="1"/>
  <c r="S439" i="3"/>
  <c r="J274" i="7"/>
  <c r="AC274" i="7" s="1"/>
  <c r="T439" i="3"/>
  <c r="I275" i="7"/>
  <c r="AB275" i="7" s="1"/>
  <c r="S440" i="3"/>
  <c r="J275" i="7"/>
  <c r="AC275" i="7" s="1"/>
  <c r="T440" i="3"/>
  <c r="K249" i="7"/>
  <c r="AD249" i="7" s="1"/>
  <c r="U414" i="3"/>
  <c r="F250" i="7"/>
  <c r="P250" i="7" s="1"/>
  <c r="R415" i="3"/>
  <c r="W415" i="3" s="1"/>
  <c r="F251" i="7"/>
  <c r="P251" i="7" s="1"/>
  <c r="R416" i="3"/>
  <c r="W416" i="3" s="1"/>
  <c r="F252" i="7"/>
  <c r="P252" i="7" s="1"/>
  <c r="R417" i="3"/>
  <c r="F253" i="7"/>
  <c r="P253" i="7" s="1"/>
  <c r="R418" i="3"/>
  <c r="F254" i="7"/>
  <c r="P254" i="7" s="1"/>
  <c r="R419" i="3"/>
  <c r="F255" i="7"/>
  <c r="P255" i="7" s="1"/>
  <c r="R420" i="3"/>
  <c r="F256" i="7"/>
  <c r="P256" i="7" s="1"/>
  <c r="R421" i="3"/>
  <c r="F257" i="7"/>
  <c r="P257" i="7" s="1"/>
  <c r="R422" i="3"/>
  <c r="F258" i="7"/>
  <c r="P258" i="7" s="1"/>
  <c r="R423" i="3"/>
  <c r="F259" i="7"/>
  <c r="P259" i="7" s="1"/>
  <c r="R424" i="3"/>
  <c r="F260" i="7"/>
  <c r="P260" i="7" s="1"/>
  <c r="R425" i="3"/>
  <c r="F261" i="7"/>
  <c r="P261" i="7" s="1"/>
  <c r="R426" i="3"/>
  <c r="F262" i="7"/>
  <c r="P262" i="7" s="1"/>
  <c r="R427" i="3"/>
  <c r="F263" i="7"/>
  <c r="P263" i="7" s="1"/>
  <c r="R428" i="3"/>
  <c r="F264" i="7"/>
  <c r="P264" i="7" s="1"/>
  <c r="R429" i="3"/>
  <c r="F265" i="7"/>
  <c r="P265" i="7" s="1"/>
  <c r="R430" i="3"/>
  <c r="F266" i="7"/>
  <c r="P266" i="7" s="1"/>
  <c r="R431" i="3"/>
  <c r="F267" i="7"/>
  <c r="P267" i="7" s="1"/>
  <c r="R432" i="3"/>
  <c r="F268" i="7"/>
  <c r="P268" i="7" s="1"/>
  <c r="R433" i="3"/>
  <c r="F269" i="7"/>
  <c r="P269" i="7" s="1"/>
  <c r="R434" i="3"/>
  <c r="F270" i="7"/>
  <c r="P270" i="7" s="1"/>
  <c r="R435" i="3"/>
  <c r="F271" i="7"/>
  <c r="P271" i="7" s="1"/>
  <c r="R436" i="3"/>
  <c r="F272" i="7"/>
  <c r="P272" i="7" s="1"/>
  <c r="R437" i="3"/>
  <c r="F273" i="7"/>
  <c r="P273" i="7" s="1"/>
  <c r="R438" i="3"/>
  <c r="F249" i="7"/>
  <c r="P249" i="7" s="1"/>
  <c r="R414" i="3"/>
  <c r="I147" i="7"/>
  <c r="AB147" i="7" s="1"/>
  <c r="S212" i="3"/>
  <c r="J147" i="7"/>
  <c r="AC147" i="7" s="1"/>
  <c r="T212" i="3"/>
  <c r="K147" i="7"/>
  <c r="AD147" i="7" s="1"/>
  <c r="U212" i="3"/>
  <c r="I148" i="7"/>
  <c r="AB148" i="7" s="1"/>
  <c r="S213" i="3"/>
  <c r="J148" i="7"/>
  <c r="AC148" i="7" s="1"/>
  <c r="T213" i="3"/>
  <c r="K148" i="7"/>
  <c r="AD148" i="7" s="1"/>
  <c r="U213" i="3"/>
  <c r="I149" i="7"/>
  <c r="AB149" i="7" s="1"/>
  <c r="S214" i="3"/>
  <c r="J149" i="7"/>
  <c r="AC149" i="7" s="1"/>
  <c r="T214" i="3"/>
  <c r="K149" i="7"/>
  <c r="AD149" i="7" s="1"/>
  <c r="U214" i="3"/>
  <c r="I150" i="7"/>
  <c r="AB150" i="7" s="1"/>
  <c r="S215" i="3"/>
  <c r="J150" i="7"/>
  <c r="AC150" i="7" s="1"/>
  <c r="T215" i="3"/>
  <c r="K150" i="7"/>
  <c r="AD150" i="7" s="1"/>
  <c r="U215" i="3"/>
  <c r="I151" i="7"/>
  <c r="AB151" i="7" s="1"/>
  <c r="S216" i="3"/>
  <c r="J151" i="7"/>
  <c r="AC151" i="7" s="1"/>
  <c r="T216" i="3"/>
  <c r="K151" i="7"/>
  <c r="AD151" i="7" s="1"/>
  <c r="U216" i="3"/>
  <c r="I152" i="7"/>
  <c r="AB152" i="7" s="1"/>
  <c r="S217" i="3"/>
  <c r="J152" i="7"/>
  <c r="AC152" i="7" s="1"/>
  <c r="T217" i="3"/>
  <c r="K152" i="7"/>
  <c r="AD152" i="7" s="1"/>
  <c r="U217" i="3"/>
  <c r="I153" i="7"/>
  <c r="AB153" i="7" s="1"/>
  <c r="S218" i="3"/>
  <c r="J153" i="7"/>
  <c r="AC153" i="7" s="1"/>
  <c r="T218" i="3"/>
  <c r="K153" i="7"/>
  <c r="AD153" i="7" s="1"/>
  <c r="U218" i="3"/>
  <c r="I154" i="7"/>
  <c r="AB154" i="7" s="1"/>
  <c r="S219" i="3"/>
  <c r="J154" i="7"/>
  <c r="AC154" i="7" s="1"/>
  <c r="T219" i="3"/>
  <c r="K154" i="7"/>
  <c r="AD154" i="7" s="1"/>
  <c r="U219" i="3"/>
  <c r="I155" i="7"/>
  <c r="AB155" i="7" s="1"/>
  <c r="S220" i="3"/>
  <c r="J155" i="7"/>
  <c r="AC155" i="7" s="1"/>
  <c r="T220" i="3"/>
  <c r="K155" i="7"/>
  <c r="AD155" i="7" s="1"/>
  <c r="U220" i="3"/>
  <c r="I156" i="7"/>
  <c r="AB156" i="7" s="1"/>
  <c r="S221" i="3"/>
  <c r="J156" i="7"/>
  <c r="AC156" i="7" s="1"/>
  <c r="T221" i="3"/>
  <c r="K156" i="7"/>
  <c r="AD156" i="7" s="1"/>
  <c r="U221" i="3"/>
  <c r="I157" i="7"/>
  <c r="AB157" i="7" s="1"/>
  <c r="S222" i="3"/>
  <c r="J157" i="7"/>
  <c r="AC157" i="7" s="1"/>
  <c r="T222" i="3"/>
  <c r="K157" i="7"/>
  <c r="AD157" i="7" s="1"/>
  <c r="U222" i="3"/>
  <c r="I158" i="7"/>
  <c r="AB158" i="7" s="1"/>
  <c r="S223" i="3"/>
  <c r="J158" i="7"/>
  <c r="AC158" i="7" s="1"/>
  <c r="T223" i="3"/>
  <c r="K158" i="7"/>
  <c r="AD158" i="7" s="1"/>
  <c r="U223" i="3"/>
  <c r="I159" i="7"/>
  <c r="AB159" i="7" s="1"/>
  <c r="S224" i="3"/>
  <c r="J159" i="7"/>
  <c r="AC159" i="7" s="1"/>
  <c r="T224" i="3"/>
  <c r="K159" i="7"/>
  <c r="AD159" i="7" s="1"/>
  <c r="U224" i="3"/>
  <c r="I160" i="7"/>
  <c r="AB160" i="7" s="1"/>
  <c r="S225" i="3"/>
  <c r="J160" i="7"/>
  <c r="AC160" i="7" s="1"/>
  <c r="T225" i="3"/>
  <c r="K160" i="7"/>
  <c r="AD160" i="7" s="1"/>
  <c r="U225" i="3"/>
  <c r="I161" i="7"/>
  <c r="AB161" i="7" s="1"/>
  <c r="S226" i="3"/>
  <c r="J161" i="7"/>
  <c r="AC161" i="7" s="1"/>
  <c r="T226" i="3"/>
  <c r="I162" i="7"/>
  <c r="AB162" i="7" s="1"/>
  <c r="S227" i="3"/>
  <c r="J162" i="7"/>
  <c r="AC162" i="7" s="1"/>
  <c r="T227" i="3"/>
  <c r="K162" i="7"/>
  <c r="AD162" i="7" s="1"/>
  <c r="U227" i="3"/>
  <c r="I163" i="7"/>
  <c r="AB163" i="7" s="1"/>
  <c r="S228" i="3"/>
  <c r="J163" i="7"/>
  <c r="AC163" i="7" s="1"/>
  <c r="T228" i="3"/>
  <c r="I164" i="7"/>
  <c r="AB164" i="7" s="1"/>
  <c r="S229" i="3"/>
  <c r="J164" i="7"/>
  <c r="AC164" i="7" s="1"/>
  <c r="T229" i="3"/>
  <c r="I165" i="7"/>
  <c r="AB165" i="7" s="1"/>
  <c r="S230" i="3"/>
  <c r="J165" i="7"/>
  <c r="AC165" i="7" s="1"/>
  <c r="T230" i="3"/>
  <c r="I166" i="7"/>
  <c r="AB166" i="7" s="1"/>
  <c r="S231" i="3"/>
  <c r="J166" i="7"/>
  <c r="AC166" i="7" s="1"/>
  <c r="T231" i="3"/>
  <c r="I167" i="7"/>
  <c r="AB167" i="7" s="1"/>
  <c r="S232" i="3"/>
  <c r="J167" i="7"/>
  <c r="AC167" i="7" s="1"/>
  <c r="T232" i="3"/>
  <c r="I168" i="7"/>
  <c r="AB168" i="7" s="1"/>
  <c r="S233" i="3"/>
  <c r="J168" i="7"/>
  <c r="AC168" i="7" s="1"/>
  <c r="T233" i="3"/>
  <c r="I169" i="7"/>
  <c r="AB169" i="7" s="1"/>
  <c r="S234" i="3"/>
  <c r="J169" i="7"/>
  <c r="AC169" i="7" s="1"/>
  <c r="T234" i="3"/>
  <c r="I170" i="7"/>
  <c r="AB170" i="7" s="1"/>
  <c r="S235" i="3"/>
  <c r="J170" i="7"/>
  <c r="AC170" i="7" s="1"/>
  <c r="T235" i="3"/>
  <c r="I171" i="7"/>
  <c r="AB171" i="7" s="1"/>
  <c r="S236" i="3"/>
  <c r="J171" i="7"/>
  <c r="AC171" i="7" s="1"/>
  <c r="T236" i="3"/>
  <c r="I172" i="7"/>
  <c r="AB172" i="7" s="1"/>
  <c r="S237" i="3"/>
  <c r="J172" i="7"/>
  <c r="AC172" i="7" s="1"/>
  <c r="T237" i="3"/>
  <c r="K146" i="7"/>
  <c r="AD146" i="7" s="1"/>
  <c r="U211" i="3"/>
  <c r="J146" i="7"/>
  <c r="AC146" i="7" s="1"/>
  <c r="T211" i="3"/>
  <c r="I146" i="7"/>
  <c r="AB146" i="7" s="1"/>
  <c r="S211" i="3"/>
  <c r="F147" i="7"/>
  <c r="P147" i="7" s="1"/>
  <c r="R212" i="3"/>
  <c r="W212" i="3" s="1"/>
  <c r="F148" i="7"/>
  <c r="P148" i="7" s="1"/>
  <c r="R213" i="3"/>
  <c r="F149" i="7"/>
  <c r="P149" i="7" s="1"/>
  <c r="R214" i="3"/>
  <c r="F150" i="7"/>
  <c r="P150" i="7" s="1"/>
  <c r="R215" i="3"/>
  <c r="F151" i="7"/>
  <c r="P151" i="7" s="1"/>
  <c r="R216" i="3"/>
  <c r="F152" i="7"/>
  <c r="P152" i="7" s="1"/>
  <c r="R217" i="3"/>
  <c r="F153" i="7"/>
  <c r="P153" i="7" s="1"/>
  <c r="R218" i="3"/>
  <c r="F154" i="7"/>
  <c r="P154" i="7" s="1"/>
  <c r="R219" i="3"/>
  <c r="F155" i="7"/>
  <c r="P155" i="7" s="1"/>
  <c r="R220" i="3"/>
  <c r="F156" i="7"/>
  <c r="P156" i="7" s="1"/>
  <c r="R221" i="3"/>
  <c r="F157" i="7"/>
  <c r="P157" i="7" s="1"/>
  <c r="R222" i="3"/>
  <c r="F158" i="7"/>
  <c r="P158" i="7" s="1"/>
  <c r="R223" i="3"/>
  <c r="F159" i="7"/>
  <c r="P159" i="7" s="1"/>
  <c r="R224" i="3"/>
  <c r="F160" i="7"/>
  <c r="P160" i="7" s="1"/>
  <c r="R225" i="3"/>
  <c r="F161" i="7"/>
  <c r="P161" i="7" s="1"/>
  <c r="R226" i="3"/>
  <c r="F162" i="7"/>
  <c r="P162" i="7" s="1"/>
  <c r="R227" i="3"/>
  <c r="F163" i="7"/>
  <c r="P163" i="7" s="1"/>
  <c r="R228" i="3"/>
  <c r="F164" i="7"/>
  <c r="P164" i="7" s="1"/>
  <c r="R229" i="3"/>
  <c r="F165" i="7"/>
  <c r="P165" i="7" s="1"/>
  <c r="R230" i="3"/>
  <c r="F166" i="7"/>
  <c r="P166" i="7" s="1"/>
  <c r="R231" i="3"/>
  <c r="F167" i="7"/>
  <c r="P167" i="7" s="1"/>
  <c r="R232" i="3"/>
  <c r="F168" i="7"/>
  <c r="P168" i="7" s="1"/>
  <c r="R233" i="3"/>
  <c r="F169" i="7"/>
  <c r="P169" i="7" s="1"/>
  <c r="R234" i="3"/>
  <c r="F170" i="7"/>
  <c r="P170" i="7" s="1"/>
  <c r="R235" i="3"/>
  <c r="F146" i="7"/>
  <c r="P146" i="7" s="1"/>
  <c r="R211" i="3"/>
  <c r="E22" i="3"/>
  <c r="D17" i="10"/>
  <c r="H17" i="10" s="1"/>
  <c r="D29" i="3"/>
  <c r="C24" i="10"/>
  <c r="G24" i="10" s="1"/>
  <c r="D30" i="3"/>
  <c r="C25" i="10"/>
  <c r="G25" i="10" s="1"/>
  <c r="D31" i="3"/>
  <c r="C26" i="10"/>
  <c r="G26" i="10" s="1"/>
  <c r="D32" i="3"/>
  <c r="C27" i="10"/>
  <c r="G27" i="10" s="1"/>
  <c r="D33" i="3"/>
  <c r="C28" i="10"/>
  <c r="G28" i="10" s="1"/>
  <c r="D34" i="3"/>
  <c r="C29" i="10"/>
  <c r="G29" i="10" s="1"/>
  <c r="D28" i="3"/>
  <c r="C23" i="10"/>
  <c r="G23" i="10" s="1"/>
  <c r="K17" i="7"/>
  <c r="AD17" i="7" s="1"/>
  <c r="R17" i="7" s="1"/>
  <c r="U22" i="3"/>
  <c r="E26" i="3"/>
  <c r="U26" i="3"/>
  <c r="E28" i="3"/>
  <c r="U28" i="3"/>
  <c r="E30" i="3"/>
  <c r="U30" i="3"/>
  <c r="E32" i="3"/>
  <c r="U32" i="3"/>
  <c r="E34" i="3"/>
  <c r="U34" i="3"/>
  <c r="E36" i="3"/>
  <c r="U36" i="3"/>
  <c r="E38" i="3"/>
  <c r="U38" i="3"/>
  <c r="E40" i="3"/>
  <c r="U40" i="3"/>
  <c r="E42" i="3"/>
  <c r="U42" i="3"/>
  <c r="E44" i="3"/>
  <c r="U44" i="3"/>
  <c r="E46" i="3"/>
  <c r="U46" i="3"/>
  <c r="E48" i="3"/>
  <c r="U48" i="3"/>
  <c r="E50" i="3"/>
  <c r="U50" i="3"/>
  <c r="E52" i="3"/>
  <c r="U52" i="3"/>
  <c r="E54" i="3"/>
  <c r="U54" i="3"/>
  <c r="E56" i="3"/>
  <c r="U56" i="3"/>
  <c r="O261" i="3"/>
  <c r="U58" i="3"/>
  <c r="O427" i="3"/>
  <c r="U21" i="3"/>
  <c r="N238" i="3"/>
  <c r="T35" i="3"/>
  <c r="D27" i="3"/>
  <c r="C22" i="10"/>
  <c r="G22" i="10" s="1"/>
  <c r="D26" i="3"/>
  <c r="C21" i="10"/>
  <c r="G21" i="10" s="1"/>
  <c r="D25" i="3"/>
  <c r="C20" i="10"/>
  <c r="G20" i="10" s="1"/>
  <c r="D24" i="3"/>
  <c r="C19" i="10"/>
  <c r="G19" i="10" s="1"/>
  <c r="Q21" i="4"/>
  <c r="R21" i="4"/>
  <c r="S21" i="4"/>
  <c r="S20" i="4"/>
  <c r="R20" i="4"/>
  <c r="P20" i="4"/>
  <c r="Q20" i="4"/>
  <c r="S19" i="4"/>
  <c r="R19" i="4"/>
  <c r="Q19" i="4"/>
  <c r="P19" i="4"/>
  <c r="S18" i="4"/>
  <c r="R18" i="4"/>
  <c r="Q18" i="4"/>
  <c r="P18" i="4"/>
  <c r="S17" i="4"/>
  <c r="Q17" i="4"/>
  <c r="P17" i="4"/>
  <c r="R17" i="4"/>
  <c r="P16" i="4"/>
  <c r="R16" i="4"/>
  <c r="S16" i="4"/>
  <c r="Q16" i="4"/>
  <c r="R15" i="4"/>
  <c r="S15" i="4"/>
  <c r="Q15" i="4"/>
  <c r="P15" i="4"/>
  <c r="S14" i="4"/>
  <c r="R14" i="4"/>
  <c r="Q14" i="4"/>
  <c r="P14" i="4"/>
  <c r="P13" i="4"/>
  <c r="S13" i="4"/>
  <c r="R13" i="4"/>
  <c r="Q13" i="4"/>
  <c r="S12" i="4"/>
  <c r="P12" i="4"/>
  <c r="Q12" i="4"/>
  <c r="R12" i="4"/>
  <c r="R11" i="4"/>
  <c r="Q11" i="4"/>
  <c r="S11" i="4"/>
  <c r="P11" i="4"/>
  <c r="P10" i="4"/>
  <c r="Q10" i="4"/>
  <c r="R10" i="4"/>
  <c r="S10" i="4"/>
  <c r="P9" i="4"/>
  <c r="Q9" i="4"/>
  <c r="R9" i="4"/>
  <c r="S9" i="4"/>
  <c r="Q8" i="4"/>
  <c r="P8" i="4"/>
  <c r="R8" i="4"/>
  <c r="S8" i="4"/>
  <c r="P7" i="4"/>
  <c r="Q7" i="4"/>
  <c r="R7" i="4"/>
  <c r="S7" i="4"/>
  <c r="Q6" i="4"/>
  <c r="R6" i="4"/>
  <c r="S6" i="4"/>
  <c r="P5" i="4"/>
  <c r="R5" i="4"/>
  <c r="S5" i="4"/>
  <c r="Q5" i="4"/>
  <c r="Q3" i="4"/>
  <c r="R3" i="4"/>
  <c r="P3" i="4"/>
  <c r="S3" i="4"/>
  <c r="AR7" i="12"/>
  <c r="AZ7" i="12" s="1"/>
  <c r="AQ7" i="12"/>
  <c r="BU7" i="12" s="1"/>
  <c r="AF150" i="10"/>
  <c r="AD150" i="10"/>
  <c r="AF122" i="10"/>
  <c r="AB122" i="10"/>
  <c r="Y122" i="10"/>
  <c r="AE122" i="10" s="1"/>
  <c r="AC122" i="10"/>
  <c r="AD122" i="10"/>
  <c r="AB202" i="10"/>
  <c r="AC202" i="10"/>
  <c r="AD202" i="10"/>
  <c r="AF202" i="10"/>
  <c r="Y202" i="10"/>
  <c r="AE202" i="10" s="1"/>
  <c r="Y201" i="10"/>
  <c r="AE201" i="10" s="1"/>
  <c r="AB201" i="10"/>
  <c r="AC201" i="10"/>
  <c r="AD201" i="10"/>
  <c r="AF201" i="10"/>
  <c r="AB200" i="10"/>
  <c r="AC200" i="10"/>
  <c r="AF200" i="10"/>
  <c r="AD200" i="10"/>
  <c r="Y200" i="10"/>
  <c r="AE200" i="10" s="1"/>
  <c r="AF199" i="10"/>
  <c r="AD199" i="10"/>
  <c r="AC199" i="10"/>
  <c r="AB199" i="10"/>
  <c r="Y199" i="10"/>
  <c r="AE199" i="10" s="1"/>
  <c r="AC198" i="10"/>
  <c r="AB198" i="10"/>
  <c r="Y198" i="10"/>
  <c r="AE198" i="10" s="1"/>
  <c r="AF198" i="10"/>
  <c r="AD198" i="10"/>
  <c r="AD197" i="10"/>
  <c r="Y197" i="10"/>
  <c r="AE197" i="10" s="1"/>
  <c r="AB197" i="10"/>
  <c r="AC197" i="10"/>
  <c r="AF197" i="10"/>
  <c r="AF196" i="10"/>
  <c r="Y196" i="10"/>
  <c r="AE196" i="10" s="1"/>
  <c r="AB196" i="10"/>
  <c r="AC196" i="10"/>
  <c r="AD196" i="10"/>
  <c r="AB195" i="10"/>
  <c r="AC195" i="10"/>
  <c r="AD195" i="10"/>
  <c r="AF195" i="10"/>
  <c r="Y195" i="10"/>
  <c r="AE195" i="10" s="1"/>
  <c r="Y194" i="10"/>
  <c r="AE194" i="10" s="1"/>
  <c r="AB194" i="10"/>
  <c r="AC194" i="10"/>
  <c r="AD194" i="10"/>
  <c r="AF194" i="10"/>
  <c r="AD193" i="10"/>
  <c r="AF193" i="10"/>
  <c r="AB193" i="10"/>
  <c r="Y193" i="10"/>
  <c r="AE193" i="10" s="1"/>
  <c r="AC193" i="10"/>
  <c r="AC192" i="10"/>
  <c r="AB192" i="10"/>
  <c r="Y192" i="10"/>
  <c r="AE192" i="10" s="1"/>
  <c r="AF192" i="10"/>
  <c r="AD192" i="10"/>
  <c r="AF191" i="10"/>
  <c r="AD191" i="10"/>
  <c r="AC191" i="10"/>
  <c r="AB191" i="10"/>
  <c r="Y191" i="10"/>
  <c r="AE191" i="10" s="1"/>
  <c r="AF190" i="10"/>
  <c r="AD190" i="10"/>
  <c r="AC190" i="10"/>
  <c r="AB190" i="10"/>
  <c r="Y190" i="10"/>
  <c r="AE190" i="10" s="1"/>
  <c r="AC189" i="10"/>
  <c r="AB189" i="10"/>
  <c r="Y189" i="10"/>
  <c r="AE189" i="10" s="1"/>
  <c r="AF189" i="10"/>
  <c r="AD189" i="10"/>
  <c r="AF188" i="10"/>
  <c r="AD188" i="10"/>
  <c r="AC188" i="10"/>
  <c r="AB188" i="10"/>
  <c r="Y188" i="10"/>
  <c r="AE188" i="10" s="1"/>
  <c r="AF187" i="10"/>
  <c r="AD187" i="10"/>
  <c r="AC187" i="10"/>
  <c r="AB187" i="10"/>
  <c r="Y187" i="10"/>
  <c r="AE187" i="10" s="1"/>
  <c r="AC186" i="10"/>
  <c r="AB186" i="10"/>
  <c r="Y186" i="10"/>
  <c r="AE186" i="10" s="1"/>
  <c r="AF186" i="10"/>
  <c r="AD186" i="10"/>
  <c r="AF185" i="10"/>
  <c r="AD185" i="10"/>
  <c r="AC185" i="10"/>
  <c r="AB185" i="10"/>
  <c r="Y185" i="10"/>
  <c r="AE185" i="10" s="1"/>
  <c r="AF184" i="10"/>
  <c r="AD184" i="10"/>
  <c r="AC184" i="10"/>
  <c r="AB184" i="10"/>
  <c r="Y184" i="10"/>
  <c r="AE184" i="10" s="1"/>
  <c r="AC183" i="10"/>
  <c r="AB183" i="10"/>
  <c r="Y183" i="10"/>
  <c r="AE183" i="10" s="1"/>
  <c r="AF183" i="10"/>
  <c r="AD183" i="10"/>
  <c r="AD182" i="10"/>
  <c r="Y182" i="10"/>
  <c r="AE182" i="10" s="1"/>
  <c r="AC182" i="10"/>
  <c r="AF182" i="10"/>
  <c r="AB182" i="10"/>
  <c r="Y181" i="10"/>
  <c r="AE181" i="10" s="1"/>
  <c r="AD181" i="10"/>
  <c r="AF181" i="10"/>
  <c r="AC181" i="10"/>
  <c r="AB181" i="10"/>
  <c r="AF180" i="10"/>
  <c r="AD180" i="10"/>
  <c r="Y180" i="10"/>
  <c r="AE180" i="10" s="1"/>
  <c r="AC180" i="10"/>
  <c r="AB180" i="10"/>
  <c r="AB179" i="10"/>
  <c r="AD179" i="10"/>
  <c r="Y179" i="10"/>
  <c r="AE179" i="10" s="1"/>
  <c r="AC179" i="10"/>
  <c r="AF179" i="10"/>
  <c r="AF178" i="10"/>
  <c r="AD178" i="10"/>
  <c r="AC178" i="10"/>
  <c r="Y178" i="10"/>
  <c r="AE178" i="10" s="1"/>
  <c r="AB178" i="10"/>
  <c r="Y177" i="10"/>
  <c r="AE177" i="10" s="1"/>
  <c r="AB177" i="10"/>
  <c r="AC177" i="10"/>
  <c r="AD177" i="10"/>
  <c r="AF177" i="10"/>
  <c r="AB176" i="10"/>
  <c r="AF176" i="10"/>
  <c r="AD176" i="10"/>
  <c r="AC176" i="10"/>
  <c r="Y176" i="10"/>
  <c r="AE176" i="10" s="1"/>
  <c r="AC175" i="10"/>
  <c r="AB175" i="10"/>
  <c r="Y175" i="10"/>
  <c r="AE175" i="10" s="1"/>
  <c r="AF175" i="10"/>
  <c r="AD175" i="10"/>
  <c r="AF174" i="10"/>
  <c r="Y174" i="10"/>
  <c r="AE174" i="10" s="1"/>
  <c r="AB174" i="10"/>
  <c r="AC174" i="10"/>
  <c r="AD174" i="10"/>
  <c r="AC173" i="10"/>
  <c r="AB173" i="10"/>
  <c r="Y173" i="10"/>
  <c r="AE173" i="10" s="1"/>
  <c r="AD173" i="10"/>
  <c r="AF173" i="10"/>
  <c r="AD172" i="10"/>
  <c r="Y172" i="10"/>
  <c r="AE172" i="10" s="1"/>
  <c r="AB172" i="10"/>
  <c r="AC172" i="10"/>
  <c r="AF172" i="10"/>
  <c r="Y171" i="10"/>
  <c r="AE171" i="10" s="1"/>
  <c r="AB171" i="10"/>
  <c r="AC171" i="10"/>
  <c r="AD171" i="10"/>
  <c r="AF171" i="10"/>
  <c r="AC170" i="10"/>
  <c r="AB170" i="10"/>
  <c r="Y170" i="10"/>
  <c r="AE170" i="10" s="1"/>
  <c r="AF170" i="10"/>
  <c r="AD170" i="10"/>
  <c r="AF169" i="10"/>
  <c r="Y169" i="10"/>
  <c r="AE169" i="10" s="1"/>
  <c r="AB169" i="10"/>
  <c r="AC169" i="10"/>
  <c r="AD169" i="10"/>
  <c r="AC168" i="10"/>
  <c r="AD168" i="10"/>
  <c r="AB168" i="10"/>
  <c r="Y168" i="10"/>
  <c r="AE168" i="10" s="1"/>
  <c r="AF168" i="10"/>
  <c r="AB167" i="10"/>
  <c r="Y167" i="10"/>
  <c r="AE167" i="10" s="1"/>
  <c r="AF167" i="10"/>
  <c r="AD167" i="10"/>
  <c r="AC167" i="10"/>
  <c r="AC166" i="10"/>
  <c r="AF166" i="10"/>
  <c r="AB166" i="10"/>
  <c r="Y166" i="10"/>
  <c r="AE166" i="10" s="1"/>
  <c r="AD166" i="10"/>
  <c r="AF165" i="10"/>
  <c r="Y165" i="10"/>
  <c r="AE165" i="10" s="1"/>
  <c r="AC165" i="10"/>
  <c r="AD165" i="10"/>
  <c r="AB165" i="10"/>
  <c r="Y164" i="10"/>
  <c r="AE164" i="10" s="1"/>
  <c r="AB164" i="10"/>
  <c r="AC164" i="10"/>
  <c r="AD164" i="10"/>
  <c r="AF164" i="10"/>
  <c r="AB163" i="10"/>
  <c r="Y163" i="10"/>
  <c r="AE163" i="10" s="1"/>
  <c r="AF163" i="10"/>
  <c r="AD163" i="10"/>
  <c r="AC163" i="10"/>
  <c r="Y162" i="10"/>
  <c r="AE162" i="10" s="1"/>
  <c r="AB162" i="10"/>
  <c r="AC162" i="10"/>
  <c r="AD162" i="10"/>
  <c r="AF162" i="10"/>
  <c r="AF161" i="10"/>
  <c r="AC161" i="10"/>
  <c r="AB161" i="10"/>
  <c r="AD161" i="10"/>
  <c r="Y161" i="10"/>
  <c r="AE161" i="10" s="1"/>
  <c r="Y160" i="10"/>
  <c r="AE160" i="10" s="1"/>
  <c r="AB160" i="10"/>
  <c r="AD160" i="10"/>
  <c r="AF160" i="10"/>
  <c r="AC160" i="10"/>
  <c r="AD159" i="10"/>
  <c r="Y159" i="10"/>
  <c r="AE159" i="10" s="1"/>
  <c r="AC159" i="10"/>
  <c r="AF159" i="10"/>
  <c r="AB159" i="10"/>
  <c r="AC158" i="10"/>
  <c r="Y158" i="10"/>
  <c r="AE158" i="10" s="1"/>
  <c r="AD158" i="10"/>
  <c r="AF158" i="10"/>
  <c r="AB158" i="10"/>
  <c r="AD157" i="10"/>
  <c r="AC157" i="10"/>
  <c r="AB157" i="10"/>
  <c r="AF157" i="10"/>
  <c r="Y157" i="10"/>
  <c r="AE157" i="10" s="1"/>
  <c r="AF156" i="10"/>
  <c r="Y156" i="10"/>
  <c r="AE156" i="10" s="1"/>
  <c r="AD156" i="10"/>
  <c r="AC156" i="10"/>
  <c r="AB156" i="10"/>
  <c r="AB155" i="10"/>
  <c r="AF155" i="10"/>
  <c r="AC155" i="10"/>
  <c r="AD155" i="10"/>
  <c r="Y155" i="10"/>
  <c r="AE155" i="10" s="1"/>
  <c r="Y154" i="10"/>
  <c r="AE154" i="10" s="1"/>
  <c r="AF154" i="10"/>
  <c r="AC154" i="10"/>
  <c r="AB154" i="10"/>
  <c r="AD154" i="10"/>
  <c r="AF153" i="10"/>
  <c r="AC153" i="10"/>
  <c r="Y153" i="10"/>
  <c r="AE153" i="10" s="1"/>
  <c r="AD153" i="10"/>
  <c r="AB153" i="10"/>
  <c r="AF152" i="10"/>
  <c r="Y152" i="10"/>
  <c r="AE152" i="10" s="1"/>
  <c r="AD152" i="10"/>
  <c r="AC152" i="10"/>
  <c r="AB152" i="10"/>
  <c r="Y151" i="10"/>
  <c r="AE151" i="10" s="1"/>
  <c r="AF151" i="10"/>
  <c r="AD151" i="10"/>
  <c r="AB151" i="10"/>
  <c r="AC151" i="10"/>
  <c r="Y150" i="10"/>
  <c r="AE150" i="10" s="1"/>
  <c r="AB150" i="10"/>
  <c r="AC150" i="10"/>
  <c r="AD149" i="10"/>
  <c r="AF149" i="10"/>
  <c r="Y149" i="10"/>
  <c r="AE149" i="10" s="1"/>
  <c r="AB149" i="10"/>
  <c r="AC149" i="10"/>
  <c r="AD148" i="10"/>
  <c r="AC148" i="10"/>
  <c r="AB148" i="10"/>
  <c r="Y148" i="10"/>
  <c r="AE148" i="10" s="1"/>
  <c r="AF148" i="10"/>
  <c r="AB147" i="10"/>
  <c r="AF147" i="10"/>
  <c r="AD147" i="10"/>
  <c r="AC147" i="10"/>
  <c r="Y147" i="10"/>
  <c r="AE147" i="10" s="1"/>
  <c r="AF146" i="10"/>
  <c r="AD146" i="10"/>
  <c r="AC146" i="10"/>
  <c r="AB146" i="10"/>
  <c r="Y146" i="10"/>
  <c r="AE146" i="10" s="1"/>
  <c r="AB145" i="10"/>
  <c r="Y145" i="10"/>
  <c r="AE145" i="10" s="1"/>
  <c r="AF145" i="10"/>
  <c r="AD145" i="10"/>
  <c r="AC145" i="10"/>
  <c r="AF144" i="10"/>
  <c r="AD144" i="10"/>
  <c r="AC144" i="10"/>
  <c r="AB144" i="10"/>
  <c r="Y144" i="10"/>
  <c r="AE144" i="10" s="1"/>
  <c r="AC143" i="10"/>
  <c r="AD143" i="10"/>
  <c r="AF143" i="10"/>
  <c r="AB143" i="10"/>
  <c r="Y143" i="10"/>
  <c r="AE143" i="10" s="1"/>
  <c r="AF142" i="10"/>
  <c r="Y142" i="10"/>
  <c r="AE142" i="10" s="1"/>
  <c r="AD142" i="10"/>
  <c r="AC142" i="10"/>
  <c r="AB142" i="10"/>
  <c r="AB141" i="10"/>
  <c r="AC141" i="10"/>
  <c r="AD141" i="10"/>
  <c r="AF141" i="10"/>
  <c r="Y141" i="10"/>
  <c r="AE141" i="10" s="1"/>
  <c r="AF140" i="10"/>
  <c r="Y140" i="10"/>
  <c r="AE140" i="10" s="1"/>
  <c r="AD140" i="10"/>
  <c r="AB140" i="10"/>
  <c r="AC140" i="10"/>
  <c r="Y139" i="10"/>
  <c r="AE139" i="10" s="1"/>
  <c r="AB139" i="10"/>
  <c r="AD139" i="10"/>
  <c r="AC139" i="10"/>
  <c r="AF139" i="10"/>
  <c r="AF138" i="10"/>
  <c r="AD138" i="10"/>
  <c r="AC138" i="10"/>
  <c r="Y138" i="10"/>
  <c r="AE138" i="10" s="1"/>
  <c r="AB138" i="10"/>
  <c r="Y137" i="10"/>
  <c r="AE137" i="10" s="1"/>
  <c r="AB137" i="10"/>
  <c r="AC137" i="10"/>
  <c r="AD137" i="10"/>
  <c r="AF137" i="10"/>
  <c r="Y136" i="10"/>
  <c r="AE136" i="10" s="1"/>
  <c r="AC136" i="10"/>
  <c r="AF136" i="10"/>
  <c r="AD136" i="10"/>
  <c r="AB136" i="10"/>
  <c r="Y135" i="10"/>
  <c r="AE135" i="10" s="1"/>
  <c r="AB135" i="10"/>
  <c r="AC135" i="10"/>
  <c r="AD135" i="10"/>
  <c r="AF135" i="10"/>
  <c r="Y134" i="10"/>
  <c r="AE134" i="10" s="1"/>
  <c r="AB134" i="10"/>
  <c r="AC134" i="10"/>
  <c r="AD134" i="10"/>
  <c r="AF134" i="10"/>
  <c r="Y133" i="10"/>
  <c r="AE133" i="10" s="1"/>
  <c r="AB133" i="10"/>
  <c r="AC133" i="10"/>
  <c r="AD133" i="10"/>
  <c r="AF133" i="10"/>
  <c r="AB132" i="10"/>
  <c r="AC132" i="10"/>
  <c r="AD132" i="10"/>
  <c r="Y132" i="10"/>
  <c r="AE132" i="10" s="1"/>
  <c r="AF132" i="10"/>
  <c r="AB131" i="10"/>
  <c r="AF131" i="10"/>
  <c r="AC131" i="10"/>
  <c r="Y131" i="10"/>
  <c r="AE131" i="10" s="1"/>
  <c r="AD131" i="10"/>
  <c r="Y130" i="10"/>
  <c r="AE130" i="10" s="1"/>
  <c r="AC130" i="10"/>
  <c r="AF130" i="10"/>
  <c r="AD130" i="10"/>
  <c r="AB130" i="10"/>
  <c r="Y129" i="10"/>
  <c r="AE129" i="10" s="1"/>
  <c r="AB129" i="10"/>
  <c r="AC129" i="10"/>
  <c r="AD129" i="10"/>
  <c r="AF129" i="10"/>
  <c r="AF128" i="10"/>
  <c r="AC128" i="10"/>
  <c r="AB128" i="10"/>
  <c r="Y128" i="10"/>
  <c r="AE128" i="10" s="1"/>
  <c r="AD128" i="10"/>
  <c r="AC127" i="10"/>
  <c r="AF127" i="10"/>
  <c r="AD127" i="10"/>
  <c r="AB127" i="10"/>
  <c r="Y127" i="10"/>
  <c r="AE127" i="10" s="1"/>
  <c r="Y126" i="10"/>
  <c r="AE126" i="10" s="1"/>
  <c r="AB126" i="10"/>
  <c r="AF126" i="10"/>
  <c r="AD126" i="10"/>
  <c r="AC126" i="10"/>
  <c r="Y125" i="10"/>
  <c r="AE125" i="10" s="1"/>
  <c r="AB125" i="10"/>
  <c r="AD125" i="10"/>
  <c r="AC125" i="10"/>
  <c r="AF125" i="10"/>
  <c r="AC124" i="10"/>
  <c r="AB124" i="10"/>
  <c r="Y124" i="10"/>
  <c r="AE124" i="10" s="1"/>
  <c r="AD124" i="10"/>
  <c r="AF124" i="10"/>
  <c r="AF123" i="10"/>
  <c r="AD123" i="10"/>
  <c r="Y123" i="10"/>
  <c r="AE123" i="10" s="1"/>
  <c r="AB123" i="10"/>
  <c r="AC123" i="10"/>
  <c r="AF121" i="10"/>
  <c r="AD121" i="10"/>
  <c r="AC121" i="10"/>
  <c r="AB121" i="10"/>
  <c r="Y121" i="10"/>
  <c r="AE121" i="10" s="1"/>
  <c r="AF120" i="10"/>
  <c r="AD120" i="10"/>
  <c r="AC120" i="10"/>
  <c r="AB120" i="10"/>
  <c r="Y120" i="10"/>
  <c r="AE120" i="10" s="1"/>
  <c r="AF119" i="10"/>
  <c r="AC119" i="10"/>
  <c r="AB119" i="10"/>
  <c r="Y119" i="10"/>
  <c r="AE119" i="10" s="1"/>
  <c r="AD119" i="10"/>
  <c r="AF118" i="10"/>
  <c r="AD118" i="10"/>
  <c r="AC118" i="10"/>
  <c r="AB118" i="10"/>
  <c r="Y118" i="10"/>
  <c r="AE118" i="10" s="1"/>
  <c r="AF117" i="10"/>
  <c r="AD117" i="10"/>
  <c r="AC117" i="10"/>
  <c r="AB117" i="10"/>
  <c r="Y117" i="10"/>
  <c r="AE117" i="10" s="1"/>
  <c r="AF116" i="10"/>
  <c r="AD116" i="10"/>
  <c r="AC116" i="10"/>
  <c r="AB116" i="10"/>
  <c r="Y116" i="10"/>
  <c r="AE116" i="10" s="1"/>
  <c r="AD115" i="10"/>
  <c r="AB115" i="10"/>
  <c r="Y115" i="10"/>
  <c r="AE115" i="10" s="1"/>
  <c r="AF115" i="10"/>
  <c r="AC115" i="10"/>
  <c r="Y114" i="10"/>
  <c r="AE114" i="10" s="1"/>
  <c r="AB114" i="10"/>
  <c r="AD114" i="10"/>
  <c r="AF114" i="10"/>
  <c r="AC114" i="10"/>
  <c r="AC113" i="10"/>
  <c r="AB113" i="10"/>
  <c r="Y113" i="10"/>
  <c r="AE113" i="10" s="1"/>
  <c r="AD113" i="10"/>
  <c r="AF113" i="10"/>
  <c r="AD112" i="10"/>
  <c r="AC112" i="10"/>
  <c r="Y112" i="10"/>
  <c r="AE112" i="10" s="1"/>
  <c r="AB112" i="10"/>
  <c r="AF112" i="10"/>
  <c r="AF111" i="10"/>
  <c r="AD111" i="10"/>
  <c r="AC111" i="10"/>
  <c r="AB111" i="10"/>
  <c r="Y111" i="10"/>
  <c r="AE111" i="10" s="1"/>
  <c r="AC110" i="10"/>
  <c r="Y110" i="10"/>
  <c r="AE110" i="10" s="1"/>
  <c r="AD110" i="10"/>
  <c r="AF110" i="10"/>
  <c r="AB110" i="10"/>
  <c r="AB109" i="10"/>
  <c r="AC109" i="10"/>
  <c r="AF109" i="10"/>
  <c r="AD109" i="10"/>
  <c r="Y109" i="10"/>
  <c r="AE109" i="10" s="1"/>
  <c r="AF108" i="10"/>
  <c r="Y108" i="10"/>
  <c r="AE108" i="10" s="1"/>
  <c r="AB108" i="10"/>
  <c r="AD108" i="10"/>
  <c r="AC108" i="10"/>
  <c r="AF107" i="10"/>
  <c r="AD107" i="10"/>
  <c r="AC107" i="10"/>
  <c r="AB107" i="10"/>
  <c r="Y107" i="10"/>
  <c r="AE107" i="10" s="1"/>
  <c r="Y106" i="10"/>
  <c r="AE106" i="10" s="1"/>
  <c r="AB106" i="10"/>
  <c r="AC106" i="10"/>
  <c r="AD106" i="10"/>
  <c r="AF106" i="10"/>
  <c r="AF105" i="10"/>
  <c r="AD105" i="10"/>
  <c r="AC105" i="10"/>
  <c r="AB105" i="10"/>
  <c r="Y105" i="10"/>
  <c r="AE105" i="10" s="1"/>
  <c r="Y104" i="10"/>
  <c r="AE104" i="10" s="1"/>
  <c r="AC104" i="10"/>
  <c r="AD104" i="10"/>
  <c r="AF104" i="10"/>
  <c r="AB104" i="10"/>
  <c r="AD103" i="10"/>
  <c r="AF103" i="10"/>
  <c r="AB103" i="10"/>
  <c r="AC103" i="10"/>
  <c r="Y103" i="10"/>
  <c r="AE103" i="10" s="1"/>
  <c r="Q174" i="11"/>
  <c r="Z174" i="11"/>
  <c r="W174" i="11"/>
  <c r="AB174" i="11" s="1"/>
  <c r="Z208" i="11"/>
  <c r="W208" i="11"/>
  <c r="AB208" i="11" s="1"/>
  <c r="Q208" i="11"/>
  <c r="Z207" i="11"/>
  <c r="W207" i="11"/>
  <c r="AB207" i="11" s="1"/>
  <c r="Q207" i="11"/>
  <c r="Z206" i="11"/>
  <c r="W206" i="11"/>
  <c r="AB206" i="11" s="1"/>
  <c r="Q206" i="11"/>
  <c r="Z205" i="11"/>
  <c r="W205" i="11"/>
  <c r="AB205" i="11" s="1"/>
  <c r="Q205" i="11"/>
  <c r="Z204" i="11"/>
  <c r="W204" i="11"/>
  <c r="AB204" i="11" s="1"/>
  <c r="Q204" i="11"/>
  <c r="Z203" i="11"/>
  <c r="W203" i="11"/>
  <c r="AB203" i="11" s="1"/>
  <c r="Q203" i="11"/>
  <c r="Z202" i="11"/>
  <c r="W202" i="11"/>
  <c r="AB202" i="11" s="1"/>
  <c r="Q202" i="11"/>
  <c r="Z201" i="11"/>
  <c r="W201" i="11"/>
  <c r="AB201" i="11" s="1"/>
  <c r="Q201" i="11"/>
  <c r="Z200" i="11"/>
  <c r="W200" i="11"/>
  <c r="AB200" i="11" s="1"/>
  <c r="Q200" i="11"/>
  <c r="Z199" i="11"/>
  <c r="W199" i="11"/>
  <c r="AB199" i="11" s="1"/>
  <c r="Q199" i="11"/>
  <c r="Z198" i="11"/>
  <c r="W198" i="11"/>
  <c r="AB198" i="11" s="1"/>
  <c r="Q198" i="11"/>
  <c r="Z197" i="11"/>
  <c r="W197" i="11"/>
  <c r="AB197" i="11" s="1"/>
  <c r="Q197" i="11"/>
  <c r="Z196" i="11"/>
  <c r="W196" i="11"/>
  <c r="AB196" i="11" s="1"/>
  <c r="Q196" i="11"/>
  <c r="Z195" i="11"/>
  <c r="W195" i="11"/>
  <c r="AB195" i="11" s="1"/>
  <c r="Q195" i="11"/>
  <c r="Z194" i="11"/>
  <c r="W194" i="11"/>
  <c r="AB194" i="11" s="1"/>
  <c r="Q194" i="11"/>
  <c r="Z193" i="11"/>
  <c r="W193" i="11"/>
  <c r="AB193" i="11" s="1"/>
  <c r="Q193" i="11"/>
  <c r="Z192" i="11"/>
  <c r="W192" i="11"/>
  <c r="AB192" i="11" s="1"/>
  <c r="Q192" i="11"/>
  <c r="Z191" i="11"/>
  <c r="W191" i="11"/>
  <c r="AB191" i="11" s="1"/>
  <c r="Q191" i="11"/>
  <c r="Z190" i="11"/>
  <c r="W190" i="11"/>
  <c r="AB190" i="11" s="1"/>
  <c r="Q190" i="11"/>
  <c r="Z189" i="11"/>
  <c r="W189" i="11"/>
  <c r="AB189" i="11" s="1"/>
  <c r="Q189" i="11"/>
  <c r="Z188" i="11"/>
  <c r="W188" i="11"/>
  <c r="AB188" i="11" s="1"/>
  <c r="Q188" i="11"/>
  <c r="Z187" i="11"/>
  <c r="W187" i="11"/>
  <c r="AB187" i="11" s="1"/>
  <c r="Q187" i="11"/>
  <c r="Z186" i="11"/>
  <c r="W186" i="11"/>
  <c r="AB186" i="11" s="1"/>
  <c r="Q186" i="11"/>
  <c r="Z185" i="11"/>
  <c r="W185" i="11"/>
  <c r="AB185" i="11" s="1"/>
  <c r="Q185" i="11"/>
  <c r="Z184" i="11"/>
  <c r="W184" i="11"/>
  <c r="AB184" i="11" s="1"/>
  <c r="Q184" i="11"/>
  <c r="Z183" i="11"/>
  <c r="W183" i="11"/>
  <c r="AB183" i="11" s="1"/>
  <c r="Q183" i="11"/>
  <c r="Z182" i="11"/>
  <c r="W182" i="11"/>
  <c r="AB182" i="11" s="1"/>
  <c r="Q182" i="11"/>
  <c r="Z181" i="11"/>
  <c r="W181" i="11"/>
  <c r="AB181" i="11" s="1"/>
  <c r="Q181" i="11"/>
  <c r="Z180" i="11"/>
  <c r="W180" i="11"/>
  <c r="AB180" i="11" s="1"/>
  <c r="Q180" i="11"/>
  <c r="Z179" i="11"/>
  <c r="W179" i="11"/>
  <c r="AB179" i="11" s="1"/>
  <c r="Q179" i="11"/>
  <c r="Z178" i="11"/>
  <c r="W178" i="11"/>
  <c r="AB178" i="11" s="1"/>
  <c r="Q178" i="11"/>
  <c r="Z177" i="11"/>
  <c r="W177" i="11"/>
  <c r="AB177" i="11" s="1"/>
  <c r="Q177" i="11"/>
  <c r="Z176" i="11"/>
  <c r="W176" i="11"/>
  <c r="AB176" i="11" s="1"/>
  <c r="Q176" i="11"/>
  <c r="Z175" i="11"/>
  <c r="W175" i="11"/>
  <c r="AB175" i="11" s="1"/>
  <c r="Q175" i="11"/>
  <c r="Z173" i="11"/>
  <c r="W173" i="11"/>
  <c r="AB173" i="11" s="1"/>
  <c r="Q173" i="11"/>
  <c r="Q172" i="11"/>
  <c r="W172" i="11"/>
  <c r="AB172" i="11" s="1"/>
  <c r="Z172" i="11"/>
  <c r="Q171" i="11"/>
  <c r="W171" i="11"/>
  <c r="AB171" i="11" s="1"/>
  <c r="Z171" i="11"/>
  <c r="Q170" i="11"/>
  <c r="W170" i="11"/>
  <c r="AB170" i="11" s="1"/>
  <c r="Z170" i="11"/>
  <c r="Z169" i="11"/>
  <c r="W169" i="11"/>
  <c r="AB169" i="11" s="1"/>
  <c r="Q169" i="11"/>
  <c r="Q168" i="11"/>
  <c r="Z168" i="11"/>
  <c r="W168" i="11"/>
  <c r="AB168" i="11" s="1"/>
  <c r="Z167" i="11"/>
  <c r="W167" i="11"/>
  <c r="AB167" i="11" s="1"/>
  <c r="Q167" i="11"/>
  <c r="Z166" i="11"/>
  <c r="Q166" i="11"/>
  <c r="W166" i="11"/>
  <c r="AB166" i="11" s="1"/>
  <c r="Q165" i="11"/>
  <c r="W165" i="11"/>
  <c r="AB165" i="11" s="1"/>
  <c r="Z165" i="11"/>
  <c r="Q164" i="11"/>
  <c r="W164" i="11"/>
  <c r="AB164" i="11" s="1"/>
  <c r="Z164" i="11"/>
  <c r="Z163" i="11"/>
  <c r="W163" i="11"/>
  <c r="AB163" i="11" s="1"/>
  <c r="Q163" i="11"/>
  <c r="Z162" i="11"/>
  <c r="W162" i="11"/>
  <c r="AB162" i="11" s="1"/>
  <c r="Q162" i="11"/>
  <c r="Q161" i="11"/>
  <c r="W161" i="11"/>
  <c r="AB161" i="11" s="1"/>
  <c r="Z161" i="11"/>
  <c r="Q160" i="11"/>
  <c r="Z160" i="11"/>
  <c r="W160" i="11"/>
  <c r="AB160" i="11" s="1"/>
  <c r="Z159" i="11"/>
  <c r="Q159" i="11"/>
  <c r="W159" i="11"/>
  <c r="AB159" i="11" s="1"/>
  <c r="Q158" i="11"/>
  <c r="W158" i="11"/>
  <c r="AB158" i="11" s="1"/>
  <c r="Z158" i="11"/>
  <c r="Z157" i="11"/>
  <c r="W157" i="11"/>
  <c r="AB157" i="11" s="1"/>
  <c r="Q157" i="11"/>
  <c r="Z156" i="11"/>
  <c r="W156" i="11"/>
  <c r="W155" i="11"/>
  <c r="AB155" i="11" s="1"/>
  <c r="Z155" i="11"/>
  <c r="Q155" i="11"/>
  <c r="W154" i="11"/>
  <c r="AB154" i="11" s="1"/>
  <c r="Q154" i="11"/>
  <c r="Z154" i="11"/>
  <c r="Z153" i="11"/>
  <c r="W153" i="11"/>
  <c r="AB153" i="11" s="1"/>
  <c r="Q153" i="11"/>
  <c r="Z152" i="11"/>
  <c r="W152" i="11"/>
  <c r="AB152" i="11" s="1"/>
  <c r="Q152" i="11"/>
  <c r="Z151" i="11"/>
  <c r="W151" i="11"/>
  <c r="AB151" i="11" s="1"/>
  <c r="Q151" i="11"/>
  <c r="Z150" i="11"/>
  <c r="W150" i="11"/>
  <c r="AB150" i="11" s="1"/>
  <c r="Q150" i="11"/>
  <c r="Z149" i="11"/>
  <c r="W149" i="11"/>
  <c r="AB149" i="11" s="1"/>
  <c r="Q149" i="11"/>
  <c r="Z148" i="11"/>
  <c r="W148" i="11"/>
  <c r="AB148" i="11" s="1"/>
  <c r="Q148" i="11"/>
  <c r="Z147" i="11"/>
  <c r="W147" i="11"/>
  <c r="AB147" i="11" s="1"/>
  <c r="Q147" i="11"/>
  <c r="Z146" i="11"/>
  <c r="Q146" i="11"/>
  <c r="W146" i="11"/>
  <c r="AB146" i="11" s="1"/>
  <c r="Q145" i="11"/>
  <c r="W145" i="11"/>
  <c r="AB145" i="11" s="1"/>
  <c r="Z145" i="11"/>
  <c r="Q144" i="11"/>
  <c r="Z144" i="11"/>
  <c r="W144" i="11"/>
  <c r="AB144" i="11" s="1"/>
  <c r="Z143" i="11"/>
  <c r="W143" i="11"/>
  <c r="AB143" i="11" s="1"/>
  <c r="Q143" i="11"/>
  <c r="Z142" i="11"/>
  <c r="W142" i="11"/>
  <c r="AB142" i="11" s="1"/>
  <c r="Q142" i="11"/>
  <c r="Z141" i="11"/>
  <c r="W141" i="11"/>
  <c r="AB141" i="11" s="1"/>
  <c r="Q141" i="11"/>
  <c r="Z140" i="11"/>
  <c r="W140" i="11"/>
  <c r="AB140" i="11" s="1"/>
  <c r="Q140" i="11"/>
  <c r="Z139" i="11"/>
  <c r="W139" i="11"/>
  <c r="AB139" i="11" s="1"/>
  <c r="Q139" i="11"/>
  <c r="Z138" i="11"/>
  <c r="Q138" i="11"/>
  <c r="Z137" i="11"/>
  <c r="W137" i="11"/>
  <c r="AB137" i="11" s="1"/>
  <c r="Q137" i="11"/>
  <c r="Q136" i="11"/>
  <c r="W136" i="11"/>
  <c r="AB136" i="11" s="1"/>
  <c r="Z136" i="11"/>
  <c r="W135" i="11"/>
  <c r="AB135" i="11" s="1"/>
  <c r="Z135" i="11"/>
  <c r="Q135" i="11"/>
  <c r="W134" i="11"/>
  <c r="AB134" i="11" s="1"/>
  <c r="Q134" i="11"/>
  <c r="Z134" i="11"/>
  <c r="Q133" i="11"/>
  <c r="Z133" i="11"/>
  <c r="W133" i="11"/>
  <c r="AB133" i="11" s="1"/>
  <c r="Q132" i="11"/>
  <c r="Z132" i="11"/>
  <c r="W132" i="11"/>
  <c r="AB132" i="11" s="1"/>
  <c r="Z131" i="11"/>
  <c r="Q131" i="11"/>
  <c r="W131" i="11"/>
  <c r="AB131" i="11" s="1"/>
  <c r="Q130" i="11"/>
  <c r="Z130" i="11"/>
  <c r="W130" i="11"/>
  <c r="AB130" i="11" s="1"/>
  <c r="Q129" i="11"/>
  <c r="W129" i="11"/>
  <c r="AB129" i="11" s="1"/>
  <c r="Z129" i="11"/>
  <c r="Z128" i="11"/>
  <c r="W128" i="11"/>
  <c r="AB128" i="11" s="1"/>
  <c r="Q128" i="11"/>
  <c r="Z127" i="11"/>
  <c r="W127" i="11"/>
  <c r="AB127" i="11" s="1"/>
  <c r="Q127" i="11"/>
  <c r="W126" i="11"/>
  <c r="AB126" i="11" s="1"/>
  <c r="Q126" i="11"/>
  <c r="Z126" i="11"/>
  <c r="Z125" i="11"/>
  <c r="Q125" i="11"/>
  <c r="W125" i="11"/>
  <c r="AB125" i="11" s="1"/>
  <c r="Q124" i="11"/>
  <c r="Z124" i="11"/>
  <c r="W124" i="11"/>
  <c r="AB124" i="11" s="1"/>
  <c r="Z123" i="11"/>
  <c r="W123" i="11"/>
  <c r="AB123" i="11" s="1"/>
  <c r="Q123" i="11"/>
  <c r="Z122" i="11"/>
  <c r="W122" i="11"/>
  <c r="AB122" i="11" s="1"/>
  <c r="Q122" i="11"/>
  <c r="Z121" i="11"/>
  <c r="W121" i="11"/>
  <c r="AB121" i="11" s="1"/>
  <c r="Q121" i="11"/>
  <c r="Z120" i="11"/>
  <c r="W120" i="11"/>
  <c r="AB120" i="11" s="1"/>
  <c r="Q120" i="11"/>
  <c r="Z119" i="11"/>
  <c r="W119" i="11"/>
  <c r="AB119" i="11" s="1"/>
  <c r="Q119" i="11"/>
  <c r="Z118" i="11"/>
  <c r="W118" i="11"/>
  <c r="AB118" i="11" s="1"/>
  <c r="Q118" i="11"/>
  <c r="Q117" i="11"/>
  <c r="Z117" i="11"/>
  <c r="Q116" i="11"/>
  <c r="W116" i="11"/>
  <c r="AB116" i="11" s="1"/>
  <c r="Z116" i="11"/>
  <c r="Z115" i="11"/>
  <c r="Q115" i="11"/>
  <c r="W115" i="11"/>
  <c r="AB115" i="11" s="1"/>
  <c r="Q114" i="11"/>
  <c r="W114" i="11"/>
  <c r="AB114" i="11" s="1"/>
  <c r="Z114" i="11"/>
  <c r="Z113" i="11"/>
  <c r="Q113" i="11"/>
  <c r="W113" i="11"/>
  <c r="AB113" i="11" s="1"/>
  <c r="W112" i="11"/>
  <c r="AB112" i="11" s="1"/>
  <c r="Z112" i="11"/>
  <c r="Q112" i="11"/>
  <c r="W111" i="11"/>
  <c r="AB111" i="11" s="1"/>
  <c r="Z111" i="11"/>
  <c r="Q111" i="11"/>
  <c r="Q110" i="11"/>
  <c r="W110" i="11"/>
  <c r="AB110" i="11" s="1"/>
  <c r="W109" i="11"/>
  <c r="AB109" i="11" s="1"/>
  <c r="Z109" i="11"/>
  <c r="Q109" i="11"/>
  <c r="Q108" i="11"/>
  <c r="W108" i="11"/>
  <c r="AB108" i="11" s="1"/>
  <c r="Z108" i="11"/>
  <c r="W107" i="11"/>
  <c r="AB107" i="11" s="1"/>
  <c r="Q107" i="11"/>
  <c r="G417" i="3"/>
  <c r="G415" i="3"/>
  <c r="D250" i="7"/>
  <c r="X250" i="7" s="1"/>
  <c r="G416" i="3"/>
  <c r="D251" i="7"/>
  <c r="X251" i="7" s="1"/>
  <c r="I249" i="7"/>
  <c r="AB249" i="7" s="1"/>
  <c r="Z414" i="3"/>
  <c r="AC414" i="3"/>
  <c r="AC419" i="3"/>
  <c r="AC430" i="3"/>
  <c r="AC422" i="3"/>
  <c r="AC416" i="3"/>
  <c r="AC429" i="3"/>
  <c r="AC423" i="3"/>
  <c r="AC417" i="3"/>
  <c r="AC431" i="3"/>
  <c r="AC428" i="3"/>
  <c r="AC425" i="3"/>
  <c r="AC421" i="3"/>
  <c r="AC418" i="3"/>
  <c r="AC415" i="3"/>
  <c r="AC424" i="3"/>
  <c r="AC426" i="3"/>
  <c r="AC432" i="3"/>
  <c r="AC427" i="3"/>
  <c r="AC420" i="3"/>
  <c r="B252" i="7"/>
  <c r="AG252" i="7" s="1"/>
  <c r="B253" i="7"/>
  <c r="AG253" i="7" s="1"/>
  <c r="B254" i="7"/>
  <c r="AG254" i="7" s="1"/>
  <c r="B255" i="7"/>
  <c r="AG255" i="7" s="1"/>
  <c r="B256" i="7"/>
  <c r="B257" i="7"/>
  <c r="V257" i="7" s="1"/>
  <c r="B258" i="7"/>
  <c r="B259" i="7"/>
  <c r="B261" i="7"/>
  <c r="V261" i="7" s="1"/>
  <c r="B262" i="7"/>
  <c r="V262" i="7" s="1"/>
  <c r="B263" i="7"/>
  <c r="AG263" i="7" s="1"/>
  <c r="B264" i="7"/>
  <c r="AG264" i="7" s="1"/>
  <c r="D147" i="7"/>
  <c r="D148" i="7"/>
  <c r="X148" i="7" s="1"/>
  <c r="G9" i="3"/>
  <c r="C4" i="7"/>
  <c r="AH4" i="7" s="1"/>
  <c r="D4" i="10"/>
  <c r="H4" i="10" s="1"/>
  <c r="D5" i="10"/>
  <c r="H5" i="10" s="1"/>
  <c r="C5" i="7"/>
  <c r="D213" i="3"/>
  <c r="C6" i="7"/>
  <c r="D214" i="3"/>
  <c r="D6" i="10"/>
  <c r="H6" i="10" s="1"/>
  <c r="E12" i="3"/>
  <c r="E418" i="3" s="1"/>
  <c r="C7" i="7"/>
  <c r="W7" i="7" s="1"/>
  <c r="D215" i="3"/>
  <c r="D7" i="10"/>
  <c r="H7" i="10" s="1"/>
  <c r="E13" i="3"/>
  <c r="E419" i="3" s="1"/>
  <c r="C8" i="7"/>
  <c r="D216" i="3"/>
  <c r="D8" i="10"/>
  <c r="H8" i="10" s="1"/>
  <c r="E14" i="3"/>
  <c r="E420" i="3" s="1"/>
  <c r="D255" i="7" s="1"/>
  <c r="D9" i="10"/>
  <c r="H9" i="10" s="1"/>
  <c r="D217" i="3"/>
  <c r="C152" i="7" s="1"/>
  <c r="C9" i="7"/>
  <c r="AH9" i="7" s="1"/>
  <c r="E15" i="3"/>
  <c r="D10" i="10"/>
  <c r="H10" i="10" s="1"/>
  <c r="C10" i="7"/>
  <c r="W10" i="7" s="1"/>
  <c r="D11" i="10"/>
  <c r="H11" i="10" s="1"/>
  <c r="C11" i="7"/>
  <c r="E17" i="3"/>
  <c r="D12" i="7" s="1"/>
  <c r="D12" i="10"/>
  <c r="H12" i="10" s="1"/>
  <c r="C12" i="7"/>
  <c r="D13" i="10"/>
  <c r="H13" i="10" s="1"/>
  <c r="D14" i="10"/>
  <c r="H14" i="10" s="1"/>
  <c r="E20" i="3"/>
  <c r="D15" i="10"/>
  <c r="H15" i="10" s="1"/>
  <c r="E21" i="3"/>
  <c r="D16" i="10"/>
  <c r="H16" i="10" s="1"/>
  <c r="E23" i="3"/>
  <c r="D18" i="10"/>
  <c r="H18" i="10" s="1"/>
  <c r="D414" i="3"/>
  <c r="D3" i="10"/>
  <c r="H3" i="10" s="1"/>
  <c r="AB42" i="10"/>
  <c r="Y42" i="10"/>
  <c r="AE42" i="10" s="1"/>
  <c r="AB43" i="10"/>
  <c r="Y43" i="10"/>
  <c r="AE43" i="10" s="1"/>
  <c r="AB44" i="10"/>
  <c r="Y44" i="10"/>
  <c r="AE44" i="10" s="1"/>
  <c r="Y45" i="10"/>
  <c r="AE45" i="10" s="1"/>
  <c r="AB45" i="10"/>
  <c r="AB46" i="10"/>
  <c r="Y46" i="10"/>
  <c r="AE46" i="10" s="1"/>
  <c r="Y4" i="10"/>
  <c r="AE4" i="10" s="1"/>
  <c r="AT4" i="10" s="1"/>
  <c r="AB4" i="10"/>
  <c r="AQ4" i="10" s="1"/>
  <c r="AC4" i="10"/>
  <c r="AR4" i="10" s="1"/>
  <c r="AF4" i="10"/>
  <c r="AU4" i="10" s="1"/>
  <c r="AD4" i="10"/>
  <c r="AS4" i="10" s="1"/>
  <c r="Y5" i="10"/>
  <c r="AE5" i="10" s="1"/>
  <c r="AT5" i="10" s="1"/>
  <c r="AC5" i="10"/>
  <c r="AR5" i="10" s="1"/>
  <c r="AD5" i="10"/>
  <c r="AS5" i="10" s="1"/>
  <c r="AB5" i="10"/>
  <c r="AQ5" i="10" s="1"/>
  <c r="AF5" i="10"/>
  <c r="AU5" i="10" s="1"/>
  <c r="Y6" i="10"/>
  <c r="AE6" i="10" s="1"/>
  <c r="AT6" i="10" s="1"/>
  <c r="AB6" i="10"/>
  <c r="AQ6" i="10" s="1"/>
  <c r="AC6" i="10"/>
  <c r="AR6" i="10" s="1"/>
  <c r="AD6" i="10"/>
  <c r="AS6" i="10" s="1"/>
  <c r="AF6" i="10"/>
  <c r="AU6" i="10" s="1"/>
  <c r="AB7" i="10"/>
  <c r="AQ7" i="10" s="1"/>
  <c r="AC7" i="10"/>
  <c r="AR7" i="10" s="1"/>
  <c r="AE7" i="10"/>
  <c r="AT7" i="10" s="1"/>
  <c r="AD7" i="10"/>
  <c r="AS7" i="10" s="1"/>
  <c r="AF7" i="10"/>
  <c r="AU7" i="10" s="1"/>
  <c r="AB8" i="10"/>
  <c r="AQ8" i="10" s="1"/>
  <c r="AF8" i="10"/>
  <c r="AU8" i="10" s="1"/>
  <c r="AC8" i="10"/>
  <c r="AR8" i="10" s="1"/>
  <c r="AD8" i="10"/>
  <c r="AS8" i="10" s="1"/>
  <c r="Y8" i="10"/>
  <c r="AE8" i="10" s="1"/>
  <c r="AT8" i="10" s="1"/>
  <c r="AC9" i="10"/>
  <c r="AR9" i="10" s="1"/>
  <c r="AF9" i="10"/>
  <c r="AU9" i="10" s="1"/>
  <c r="AD9" i="10"/>
  <c r="AS9" i="10" s="1"/>
  <c r="Y9" i="10"/>
  <c r="AE9" i="10" s="1"/>
  <c r="AT9" i="10" s="1"/>
  <c r="AB9" i="10"/>
  <c r="AQ9" i="10" s="1"/>
  <c r="Y10" i="10"/>
  <c r="AE10" i="10" s="1"/>
  <c r="AT10" i="10" s="1"/>
  <c r="AC10" i="10"/>
  <c r="AR10" i="10" s="1"/>
  <c r="AD10" i="10"/>
  <c r="AS10" i="10" s="1"/>
  <c r="AB10" i="10"/>
  <c r="AQ10" i="10" s="1"/>
  <c r="AF10" i="10"/>
  <c r="AU10" i="10" s="1"/>
  <c r="AF11" i="10"/>
  <c r="AU11" i="10" s="1"/>
  <c r="AC11" i="10"/>
  <c r="AR11" i="10" s="1"/>
  <c r="Y11" i="10"/>
  <c r="AE11" i="10" s="1"/>
  <c r="AT11" i="10" s="1"/>
  <c r="AB11" i="10"/>
  <c r="AQ11" i="10" s="1"/>
  <c r="AD11" i="10"/>
  <c r="AS11" i="10" s="1"/>
  <c r="AB12" i="10"/>
  <c r="AD12" i="10"/>
  <c r="AC12" i="10"/>
  <c r="Y12" i="10"/>
  <c r="AE12" i="10" s="1"/>
  <c r="AF12" i="10"/>
  <c r="AF13" i="10"/>
  <c r="AB13" i="10"/>
  <c r="AC13" i="10"/>
  <c r="AD13" i="10"/>
  <c r="Y13" i="10"/>
  <c r="AE13" i="10" s="1"/>
  <c r="AB14" i="10"/>
  <c r="AF14" i="10"/>
  <c r="AC14" i="10"/>
  <c r="Y14" i="10"/>
  <c r="AE14" i="10" s="1"/>
  <c r="AD14" i="10"/>
  <c r="Y15" i="10"/>
  <c r="AE15" i="10" s="1"/>
  <c r="AF15" i="10"/>
  <c r="AB15" i="10"/>
  <c r="AC15" i="10"/>
  <c r="AD15" i="10"/>
  <c r="AC16" i="10"/>
  <c r="AD16" i="10"/>
  <c r="AF16" i="10"/>
  <c r="Y16" i="10"/>
  <c r="AE16" i="10" s="1"/>
  <c r="AB16" i="10"/>
  <c r="AF17" i="10"/>
  <c r="AB17" i="10"/>
  <c r="AC17" i="10"/>
  <c r="AD17" i="10"/>
  <c r="Y17" i="10"/>
  <c r="AE17" i="10" s="1"/>
  <c r="AF18" i="10"/>
  <c r="Y18" i="10"/>
  <c r="AE18" i="10" s="1"/>
  <c r="AB18" i="10"/>
  <c r="AC18" i="10"/>
  <c r="AD18" i="10"/>
  <c r="AF19" i="10"/>
  <c r="AC19" i="10"/>
  <c r="Y19" i="10"/>
  <c r="AE19" i="10" s="1"/>
  <c r="AB19" i="10"/>
  <c r="AD19" i="10"/>
  <c r="AC20" i="10"/>
  <c r="AD20" i="10"/>
  <c r="AF20" i="10"/>
  <c r="Y20" i="10"/>
  <c r="AE20" i="10" s="1"/>
  <c r="AB20" i="10"/>
  <c r="AC21" i="10"/>
  <c r="Y21" i="10"/>
  <c r="AE21" i="10" s="1"/>
  <c r="AF21" i="10"/>
  <c r="AD21" i="10"/>
  <c r="AB21" i="10"/>
  <c r="AF22" i="10"/>
  <c r="Y22" i="10"/>
  <c r="AE22" i="10" s="1"/>
  <c r="AB22" i="10"/>
  <c r="AD22" i="10"/>
  <c r="AC22" i="10"/>
  <c r="AC23" i="10"/>
  <c r="AD23" i="10"/>
  <c r="AB23" i="10"/>
  <c r="Y23" i="10"/>
  <c r="AE23" i="10" s="1"/>
  <c r="AF23" i="10"/>
  <c r="AC24" i="10"/>
  <c r="Y24" i="10"/>
  <c r="AE24" i="10" s="1"/>
  <c r="AB24" i="10"/>
  <c r="AD24" i="10"/>
  <c r="AF24" i="10"/>
  <c r="AF25" i="10"/>
  <c r="AD25" i="10"/>
  <c r="Y25" i="10"/>
  <c r="AE25" i="10" s="1"/>
  <c r="AC25" i="10"/>
  <c r="AB25" i="10"/>
  <c r="AC26" i="10"/>
  <c r="AF26" i="10"/>
  <c r="Y26" i="10"/>
  <c r="AE26" i="10" s="1"/>
  <c r="AB26" i="10"/>
  <c r="AD26" i="10"/>
  <c r="AC27" i="10"/>
  <c r="AD27" i="10"/>
  <c r="AF27" i="10"/>
  <c r="Y27" i="10"/>
  <c r="AE27" i="10" s="1"/>
  <c r="AB27" i="10"/>
  <c r="AC28" i="10"/>
  <c r="Y28" i="10"/>
  <c r="AE28" i="10" s="1"/>
  <c r="AF28" i="10"/>
  <c r="AD28" i="10"/>
  <c r="AB28" i="10"/>
  <c r="Y29" i="10"/>
  <c r="AE29" i="10" s="1"/>
  <c r="AD29" i="10"/>
  <c r="AF29" i="10"/>
  <c r="AC29" i="10"/>
  <c r="AB29" i="10"/>
  <c r="Y30" i="10"/>
  <c r="AE30" i="10" s="1"/>
  <c r="AF30" i="10"/>
  <c r="AB30" i="10"/>
  <c r="AD30" i="10"/>
  <c r="AC30" i="10"/>
  <c r="AC31" i="10"/>
  <c r="AD31" i="10"/>
  <c r="AB31" i="10"/>
  <c r="AF31" i="10"/>
  <c r="Y31" i="10"/>
  <c r="AE31" i="10" s="1"/>
  <c r="AF32" i="10"/>
  <c r="AB32" i="10"/>
  <c r="AC32" i="10"/>
  <c r="AD32" i="10"/>
  <c r="Y32" i="10"/>
  <c r="AE32" i="10" s="1"/>
  <c r="AD33" i="10"/>
  <c r="AF33" i="10"/>
  <c r="AB33" i="10"/>
  <c r="Y33" i="10"/>
  <c r="AE33" i="10" s="1"/>
  <c r="AC33" i="10"/>
  <c r="AF34" i="10"/>
  <c r="Y34" i="10"/>
  <c r="AE34" i="10" s="1"/>
  <c r="AB34" i="10"/>
  <c r="AC34" i="10"/>
  <c r="AD34" i="10"/>
  <c r="AB35" i="10"/>
  <c r="AF35" i="10"/>
  <c r="Y35" i="10"/>
  <c r="AE35" i="10" s="1"/>
  <c r="AC35" i="10"/>
  <c r="AD35" i="10"/>
  <c r="AF36" i="10"/>
  <c r="Y36" i="10"/>
  <c r="AE36" i="10" s="1"/>
  <c r="AB36" i="10"/>
  <c r="AD36" i="10"/>
  <c r="AC36" i="10"/>
  <c r="AF37" i="10"/>
  <c r="AB37" i="10"/>
  <c r="Y37" i="10"/>
  <c r="AE37" i="10" s="1"/>
  <c r="AC37" i="10"/>
  <c r="AD37" i="10"/>
  <c r="AF38" i="10"/>
  <c r="Y38" i="10"/>
  <c r="AE38" i="10" s="1"/>
  <c r="AB38" i="10"/>
  <c r="AD38" i="10"/>
  <c r="AC38" i="10"/>
  <c r="AB39" i="10"/>
  <c r="AC39" i="10"/>
  <c r="AD39" i="10"/>
  <c r="Y39" i="10"/>
  <c r="AE39" i="10" s="1"/>
  <c r="AF39" i="10"/>
  <c r="AB40" i="10"/>
  <c r="AC40" i="10"/>
  <c r="AD40" i="10"/>
  <c r="Y40" i="10"/>
  <c r="AE40" i="10" s="1"/>
  <c r="AF40" i="10"/>
  <c r="Y41" i="10"/>
  <c r="AE41" i="10" s="1"/>
  <c r="AC41" i="10"/>
  <c r="AB41" i="10"/>
  <c r="AD41" i="10"/>
  <c r="AF41" i="10"/>
  <c r="AF42" i="10"/>
  <c r="AD42" i="10"/>
  <c r="AC42" i="10"/>
  <c r="AF43" i="10"/>
  <c r="AD43" i="10"/>
  <c r="AC43" i="10"/>
  <c r="AF44" i="10"/>
  <c r="AD44" i="10"/>
  <c r="AC44" i="10"/>
  <c r="AD45" i="10"/>
  <c r="AF45" i="10"/>
  <c r="AC45" i="10"/>
  <c r="AC46" i="10"/>
  <c r="AD46" i="10"/>
  <c r="AF46" i="10"/>
  <c r="AF47" i="10"/>
  <c r="AC47" i="10"/>
  <c r="AB47" i="10"/>
  <c r="AD47" i="10"/>
  <c r="AF48" i="10"/>
  <c r="AC48" i="10"/>
  <c r="AD48" i="10"/>
  <c r="AB48" i="10"/>
  <c r="AB49" i="10"/>
  <c r="AF49" i="10"/>
  <c r="AC49" i="10"/>
  <c r="AD49" i="10"/>
  <c r="AF50" i="10"/>
  <c r="AB50" i="10"/>
  <c r="AC50" i="10"/>
  <c r="AD50" i="10"/>
  <c r="AC51" i="10"/>
  <c r="AD51" i="10"/>
  <c r="AF51" i="10"/>
  <c r="AB51" i="10"/>
  <c r="AF52" i="10"/>
  <c r="AB52" i="10"/>
  <c r="AC52" i="10"/>
  <c r="AD52" i="10"/>
  <c r="AF53" i="10"/>
  <c r="AC53" i="10"/>
  <c r="AD53" i="10"/>
  <c r="AB53" i="10"/>
  <c r="AF54" i="10"/>
  <c r="AD54" i="10"/>
  <c r="AC54" i="10"/>
  <c r="AB54" i="10"/>
  <c r="AF55" i="10"/>
  <c r="AB55" i="10"/>
  <c r="AD55" i="10"/>
  <c r="AC55" i="10"/>
  <c r="AF56" i="10"/>
  <c r="AB56" i="10"/>
  <c r="AD56" i="10"/>
  <c r="AC56" i="10"/>
  <c r="AC57" i="10"/>
  <c r="Y57" i="10"/>
  <c r="AE57" i="10" s="1"/>
  <c r="AB57" i="10"/>
  <c r="AD57" i="10"/>
  <c r="AF57" i="10"/>
  <c r="AC58" i="10"/>
  <c r="AD58" i="10"/>
  <c r="Y58" i="10"/>
  <c r="AE58" i="10" s="1"/>
  <c r="AF58" i="10"/>
  <c r="AB58" i="10"/>
  <c r="AC59" i="10"/>
  <c r="AD59" i="10"/>
  <c r="Y59" i="10"/>
  <c r="AE59" i="10" s="1"/>
  <c r="AF59" i="10"/>
  <c r="AB59" i="10"/>
  <c r="AC60" i="10"/>
  <c r="AD60" i="10"/>
  <c r="AB60" i="10"/>
  <c r="Y60" i="10"/>
  <c r="AE60" i="10" s="1"/>
  <c r="AF60" i="10"/>
  <c r="AF61" i="10"/>
  <c r="AD61" i="10"/>
  <c r="AC61" i="10"/>
  <c r="AB61" i="10"/>
  <c r="Y61" i="10"/>
  <c r="AE61" i="10" s="1"/>
  <c r="Y62" i="10"/>
  <c r="AE62" i="10" s="1"/>
  <c r="AB62" i="10"/>
  <c r="AF62" i="10"/>
  <c r="AC62" i="10"/>
  <c r="AD62" i="10"/>
  <c r="Y63" i="10"/>
  <c r="AE63" i="10" s="1"/>
  <c r="AB63" i="10"/>
  <c r="AF63" i="10"/>
  <c r="AC63" i="10"/>
  <c r="AD63" i="10"/>
  <c r="AF64" i="10"/>
  <c r="AB64" i="10"/>
  <c r="AC64" i="10"/>
  <c r="AD64" i="10"/>
  <c r="Y64" i="10"/>
  <c r="AE64" i="10" s="1"/>
  <c r="AF65" i="10"/>
  <c r="Y65" i="10"/>
  <c r="AE65" i="10" s="1"/>
  <c r="AB65" i="10"/>
  <c r="AC65" i="10"/>
  <c r="AD65" i="10"/>
  <c r="AB66" i="10"/>
  <c r="Y66" i="10"/>
  <c r="AE66" i="10" s="1"/>
  <c r="AF66" i="10"/>
  <c r="AC66" i="10"/>
  <c r="AD66" i="10"/>
  <c r="Y67" i="10"/>
  <c r="AE67" i="10" s="1"/>
  <c r="AD67" i="10"/>
  <c r="AC67" i="10"/>
  <c r="AF67" i="10"/>
  <c r="AB67" i="10"/>
  <c r="AB68" i="10"/>
  <c r="Y68" i="10"/>
  <c r="AE68" i="10" s="1"/>
  <c r="AF68" i="10"/>
  <c r="AC68" i="10"/>
  <c r="AD68" i="10"/>
  <c r="AC69" i="10"/>
  <c r="AD69" i="10"/>
  <c r="Y69" i="10"/>
  <c r="AE69" i="10" s="1"/>
  <c r="AF69" i="10"/>
  <c r="AB69" i="10"/>
  <c r="AB70" i="10"/>
  <c r="AC70" i="10"/>
  <c r="AD70" i="10"/>
  <c r="AF70" i="10"/>
  <c r="Y70" i="10"/>
  <c r="AE70" i="10" s="1"/>
  <c r="Y71" i="10"/>
  <c r="AE71" i="10" s="1"/>
  <c r="AC71" i="10"/>
  <c r="AD71" i="10"/>
  <c r="AF71" i="10"/>
  <c r="AB71" i="10"/>
  <c r="AC72" i="10"/>
  <c r="AD72" i="10"/>
  <c r="Y72" i="10"/>
  <c r="AE72" i="10" s="1"/>
  <c r="AB72" i="10"/>
  <c r="AF72" i="10"/>
  <c r="Y73" i="10"/>
  <c r="AE73" i="10" s="1"/>
  <c r="AF73" i="10"/>
  <c r="AC73" i="10"/>
  <c r="AD73" i="10"/>
  <c r="AB73" i="10"/>
  <c r="AB74" i="10"/>
  <c r="AC74" i="10"/>
  <c r="AD74" i="10"/>
  <c r="Y74" i="10"/>
  <c r="AE74" i="10" s="1"/>
  <c r="AF74" i="10"/>
  <c r="Y75" i="10"/>
  <c r="AE75" i="10" s="1"/>
  <c r="AB75" i="10"/>
  <c r="AC75" i="10"/>
  <c r="AD75" i="10"/>
  <c r="AF75" i="10"/>
  <c r="AB76" i="10"/>
  <c r="AD76" i="10"/>
  <c r="Y76" i="10"/>
  <c r="AE76" i="10" s="1"/>
  <c r="AC76" i="10"/>
  <c r="AF76" i="10"/>
  <c r="AF77" i="10"/>
  <c r="Y77" i="10"/>
  <c r="AE77" i="10" s="1"/>
  <c r="AB77" i="10"/>
  <c r="AD77" i="10"/>
  <c r="AC77" i="10"/>
  <c r="AF78" i="10"/>
  <c r="AD78" i="10"/>
  <c r="AC78" i="10"/>
  <c r="AB78" i="10"/>
  <c r="Y78" i="10"/>
  <c r="AE78" i="10" s="1"/>
  <c r="AD79" i="10"/>
  <c r="AC79" i="10"/>
  <c r="Y79" i="10"/>
  <c r="AE79" i="10" s="1"/>
  <c r="AF79" i="10"/>
  <c r="AB79" i="10"/>
  <c r="Y80" i="10"/>
  <c r="AE80" i="10" s="1"/>
  <c r="AB80" i="10"/>
  <c r="AF80" i="10"/>
  <c r="AC80" i="10"/>
  <c r="AD80" i="10"/>
  <c r="AD81" i="10"/>
  <c r="Y81" i="10"/>
  <c r="AE81" i="10" s="1"/>
  <c r="AB81" i="10"/>
  <c r="AC81" i="10"/>
  <c r="AF81" i="10"/>
  <c r="AB82" i="10"/>
  <c r="AC82" i="10"/>
  <c r="AD82" i="10"/>
  <c r="AF82" i="10"/>
  <c r="Y82" i="10"/>
  <c r="AE82" i="10" s="1"/>
  <c r="AD83" i="10"/>
  <c r="AB83" i="10"/>
  <c r="Y83" i="10"/>
  <c r="AE83" i="10" s="1"/>
  <c r="AC83" i="10"/>
  <c r="AF83" i="10"/>
  <c r="AB84" i="10"/>
  <c r="Y84" i="10"/>
  <c r="AE84" i="10" s="1"/>
  <c r="AD84" i="10"/>
  <c r="AF84" i="10"/>
  <c r="AC84" i="10"/>
  <c r="Y85" i="10"/>
  <c r="AE85" i="10" s="1"/>
  <c r="AD85" i="10"/>
  <c r="AC85" i="10"/>
  <c r="AF85" i="10"/>
  <c r="AB85" i="10"/>
  <c r="AD86" i="10"/>
  <c r="AC86" i="10"/>
  <c r="Y86" i="10"/>
  <c r="AE86" i="10" s="1"/>
  <c r="AB86" i="10"/>
  <c r="AF86" i="10"/>
  <c r="AD87" i="10"/>
  <c r="AB87" i="10"/>
  <c r="AF87" i="10"/>
  <c r="Y87" i="10"/>
  <c r="AE87" i="10" s="1"/>
  <c r="AC87" i="10"/>
  <c r="AB88" i="10"/>
  <c r="AC88" i="10"/>
  <c r="AD88" i="10"/>
  <c r="Y88" i="10"/>
  <c r="AE88" i="10" s="1"/>
  <c r="AF88" i="10"/>
  <c r="Y89" i="10"/>
  <c r="AE89" i="10" s="1"/>
  <c r="AC89" i="10"/>
  <c r="AB89" i="10"/>
  <c r="AD89" i="10"/>
  <c r="AF89" i="10"/>
  <c r="AC90" i="10"/>
  <c r="AF90" i="10"/>
  <c r="AD90" i="10"/>
  <c r="AB90" i="10"/>
  <c r="Y90" i="10"/>
  <c r="AE90" i="10" s="1"/>
  <c r="AC91" i="10"/>
  <c r="AF91" i="10"/>
  <c r="Y91" i="10"/>
  <c r="AE91" i="10" s="1"/>
  <c r="AB91" i="10"/>
  <c r="AD91" i="10"/>
  <c r="AF92" i="10"/>
  <c r="AC92" i="10"/>
  <c r="AD92" i="10"/>
  <c r="Y92" i="10"/>
  <c r="AE92" i="10" s="1"/>
  <c r="AB92" i="10"/>
  <c r="AC93" i="10"/>
  <c r="AD93" i="10"/>
  <c r="Y93" i="10"/>
  <c r="AE93" i="10" s="1"/>
  <c r="AF93" i="10"/>
  <c r="AB93" i="10"/>
  <c r="AF94" i="10"/>
  <c r="Y94" i="10"/>
  <c r="AE94" i="10" s="1"/>
  <c r="AC94" i="10"/>
  <c r="AD94" i="10"/>
  <c r="AB94" i="10"/>
  <c r="AF95" i="10"/>
  <c r="AC95" i="10"/>
  <c r="AD95" i="10"/>
  <c r="AB95" i="10"/>
  <c r="Y95" i="10"/>
  <c r="AE95" i="10" s="1"/>
  <c r="AC96" i="10"/>
  <c r="AF96" i="10"/>
  <c r="AD96" i="10"/>
  <c r="AB96" i="10"/>
  <c r="Y96" i="10"/>
  <c r="AE96" i="10" s="1"/>
  <c r="Y97" i="10"/>
  <c r="AE97" i="10" s="1"/>
  <c r="AF97" i="10"/>
  <c r="AC97" i="10"/>
  <c r="AD97" i="10"/>
  <c r="AB97" i="10"/>
  <c r="AF98" i="10"/>
  <c r="AB98" i="10"/>
  <c r="AD98" i="10"/>
  <c r="AC98" i="10"/>
  <c r="Y98" i="10"/>
  <c r="AE98" i="10" s="1"/>
  <c r="AD99" i="10"/>
  <c r="AC99" i="10"/>
  <c r="AF99" i="10"/>
  <c r="Y99" i="10"/>
  <c r="AE99" i="10" s="1"/>
  <c r="AB99" i="10"/>
  <c r="AD100" i="10"/>
  <c r="AC100" i="10"/>
  <c r="AF100" i="10"/>
  <c r="Y100" i="10"/>
  <c r="AE100" i="10" s="1"/>
  <c r="AB100" i="10"/>
  <c r="AD101" i="10"/>
  <c r="AC101" i="10"/>
  <c r="AF101" i="10"/>
  <c r="AB101" i="10"/>
  <c r="Y101" i="10"/>
  <c r="AE101" i="10" s="1"/>
  <c r="AD102" i="10"/>
  <c r="AC102" i="10"/>
  <c r="AF102" i="10"/>
  <c r="AB102" i="10"/>
  <c r="Y102" i="10"/>
  <c r="AE102" i="10" s="1"/>
  <c r="Y3" i="10"/>
  <c r="AE3" i="10" s="1"/>
  <c r="AT3" i="10" s="1"/>
  <c r="AF3" i="10"/>
  <c r="AU3" i="10" s="1"/>
  <c r="AB3" i="10"/>
  <c r="AQ3" i="10" s="1"/>
  <c r="AD3" i="10"/>
  <c r="AS3" i="10" s="1"/>
  <c r="AC3" i="10"/>
  <c r="AR3" i="10" s="1"/>
  <c r="Q25" i="11"/>
  <c r="W25" i="11"/>
  <c r="AB25" i="11" s="1"/>
  <c r="Q26" i="11"/>
  <c r="W26" i="11"/>
  <c r="AB26" i="11" s="1"/>
  <c r="Q27" i="11"/>
  <c r="W27" i="11"/>
  <c r="AB27" i="11" s="1"/>
  <c r="Q28" i="11"/>
  <c r="W28" i="11"/>
  <c r="AB28" i="11" s="1"/>
  <c r="Q106" i="11"/>
  <c r="W106" i="11"/>
  <c r="AB106" i="11" s="1"/>
  <c r="Q105" i="11"/>
  <c r="W105" i="11"/>
  <c r="AB105" i="11" s="1"/>
  <c r="Q104" i="11"/>
  <c r="W104" i="11"/>
  <c r="AB104" i="11" s="1"/>
  <c r="Q103" i="11"/>
  <c r="W103" i="11"/>
  <c r="AB103" i="11" s="1"/>
  <c r="Q102" i="11"/>
  <c r="W102" i="11"/>
  <c r="AB102" i="11" s="1"/>
  <c r="Q101" i="11"/>
  <c r="W101" i="11"/>
  <c r="AB101" i="11" s="1"/>
  <c r="Q100" i="11"/>
  <c r="W100" i="11"/>
  <c r="AB100" i="11" s="1"/>
  <c r="Q99" i="11"/>
  <c r="W99" i="11"/>
  <c r="AB99" i="11" s="1"/>
  <c r="Q98" i="11"/>
  <c r="W98" i="11"/>
  <c r="AB98" i="11" s="1"/>
  <c r="Q97" i="11"/>
  <c r="W97" i="11"/>
  <c r="AB97" i="11" s="1"/>
  <c r="Q96" i="11"/>
  <c r="W96" i="11"/>
  <c r="AB96" i="11" s="1"/>
  <c r="Q95" i="11"/>
  <c r="W95" i="11"/>
  <c r="AB95" i="11" s="1"/>
  <c r="Q94" i="11"/>
  <c r="W94" i="11"/>
  <c r="AB94" i="11" s="1"/>
  <c r="Q93" i="11"/>
  <c r="W93" i="11"/>
  <c r="AB93" i="11" s="1"/>
  <c r="Q92" i="11"/>
  <c r="W92" i="11"/>
  <c r="AB92" i="11" s="1"/>
  <c r="Q91" i="11"/>
  <c r="W91" i="11"/>
  <c r="AB91" i="11" s="1"/>
  <c r="Q90" i="11"/>
  <c r="W90" i="11"/>
  <c r="AB90" i="11" s="1"/>
  <c r="Q89" i="11"/>
  <c r="W89" i="11"/>
  <c r="AB89" i="11" s="1"/>
  <c r="Q88" i="11"/>
  <c r="W88" i="11"/>
  <c r="AB88" i="11" s="1"/>
  <c r="Q87" i="11"/>
  <c r="W87" i="11"/>
  <c r="AB87" i="11" s="1"/>
  <c r="Q86" i="11"/>
  <c r="W86" i="11"/>
  <c r="AB86" i="11" s="1"/>
  <c r="Q85" i="11"/>
  <c r="W85" i="11"/>
  <c r="AB85" i="11" s="1"/>
  <c r="Q84" i="11"/>
  <c r="W84" i="11"/>
  <c r="AB84" i="11" s="1"/>
  <c r="Q83" i="11"/>
  <c r="W83" i="11"/>
  <c r="AB83" i="11" s="1"/>
  <c r="Q82" i="11"/>
  <c r="W82" i="11"/>
  <c r="AB82" i="11" s="1"/>
  <c r="Q81" i="11"/>
  <c r="W81" i="11"/>
  <c r="AB81" i="11" s="1"/>
  <c r="Q80" i="11"/>
  <c r="W80" i="11"/>
  <c r="AB80" i="11" s="1"/>
  <c r="Q79" i="11"/>
  <c r="W79" i="11"/>
  <c r="AB79" i="11" s="1"/>
  <c r="Q78" i="11"/>
  <c r="W78" i="11"/>
  <c r="AB78" i="11" s="1"/>
  <c r="Q77" i="11"/>
  <c r="W77" i="11"/>
  <c r="AB77" i="11" s="1"/>
  <c r="Q76" i="11"/>
  <c r="W76" i="11"/>
  <c r="AB76" i="11" s="1"/>
  <c r="Q75" i="11"/>
  <c r="W75" i="11"/>
  <c r="AB75" i="11" s="1"/>
  <c r="Q74" i="11"/>
  <c r="W74" i="11"/>
  <c r="AB74" i="11" s="1"/>
  <c r="Q73" i="11"/>
  <c r="W73" i="11"/>
  <c r="AB73" i="11" s="1"/>
  <c r="Q72" i="11"/>
  <c r="W72" i="11"/>
  <c r="AB72" i="11" s="1"/>
  <c r="Q71" i="11"/>
  <c r="W71" i="11"/>
  <c r="AB71" i="11" s="1"/>
  <c r="Q70" i="11"/>
  <c r="W70" i="11"/>
  <c r="AB70" i="11" s="1"/>
  <c r="Q69" i="11"/>
  <c r="W69" i="11"/>
  <c r="AB69" i="11" s="1"/>
  <c r="W68" i="11"/>
  <c r="AB68" i="11" s="1"/>
  <c r="Q68" i="11"/>
  <c r="W67" i="11"/>
  <c r="AB67" i="11" s="1"/>
  <c r="Q67" i="11"/>
  <c r="W66" i="11"/>
  <c r="AB66" i="11" s="1"/>
  <c r="Q66" i="11"/>
  <c r="W65" i="11"/>
  <c r="AB65" i="11" s="1"/>
  <c r="Q65" i="11"/>
  <c r="W64" i="11"/>
  <c r="AB64" i="11" s="1"/>
  <c r="Q64" i="11"/>
  <c r="Q63" i="11"/>
  <c r="W63" i="11"/>
  <c r="AB63" i="11" s="1"/>
  <c r="Q62" i="11"/>
  <c r="W62" i="11"/>
  <c r="AB62" i="11" s="1"/>
  <c r="Q61" i="11"/>
  <c r="W61" i="11"/>
  <c r="AB61" i="11" s="1"/>
  <c r="W60" i="11"/>
  <c r="AB60" i="11" s="1"/>
  <c r="Q60" i="11"/>
  <c r="Q59" i="11"/>
  <c r="W59" i="11"/>
  <c r="AB59" i="11" s="1"/>
  <c r="Q58" i="11"/>
  <c r="W58" i="11"/>
  <c r="AB58" i="11" s="1"/>
  <c r="W57" i="11"/>
  <c r="AB57" i="11" s="1"/>
  <c r="Q57" i="11"/>
  <c r="W56" i="11"/>
  <c r="AB56" i="11" s="1"/>
  <c r="Q56" i="11"/>
  <c r="Q55" i="11"/>
  <c r="W55" i="11"/>
  <c r="AB55" i="11" s="1"/>
  <c r="Q54" i="11"/>
  <c r="W54" i="11"/>
  <c r="AB54" i="11" s="1"/>
  <c r="W53" i="11"/>
  <c r="AB53" i="11" s="1"/>
  <c r="Q53" i="11"/>
  <c r="Q52" i="11"/>
  <c r="W52" i="11"/>
  <c r="AB52" i="11" s="1"/>
  <c r="Q51" i="11"/>
  <c r="W51" i="11"/>
  <c r="AB51" i="11" s="1"/>
  <c r="Q50" i="11"/>
  <c r="W50" i="11"/>
  <c r="AB50" i="11" s="1"/>
  <c r="Q49" i="11"/>
  <c r="W49" i="11"/>
  <c r="AB49" i="11" s="1"/>
  <c r="Q48" i="11"/>
  <c r="W48" i="11"/>
  <c r="AB48" i="11" s="1"/>
  <c r="Q47" i="11"/>
  <c r="W47" i="11"/>
  <c r="AB47" i="11" s="1"/>
  <c r="Q46" i="11"/>
  <c r="W46" i="11"/>
  <c r="AB46" i="11" s="1"/>
  <c r="Q45" i="11"/>
  <c r="W45" i="11"/>
  <c r="AB45" i="11" s="1"/>
  <c r="Q44" i="11"/>
  <c r="W44" i="11"/>
  <c r="AB44" i="11" s="1"/>
  <c r="Q43" i="11"/>
  <c r="W43" i="11"/>
  <c r="AB43" i="11" s="1"/>
  <c r="Q42" i="11"/>
  <c r="W42" i="11"/>
  <c r="AB42" i="11" s="1"/>
  <c r="Q41" i="11"/>
  <c r="W41" i="11"/>
  <c r="AB41" i="11" s="1"/>
  <c r="Q40" i="11"/>
  <c r="W40" i="11"/>
  <c r="AB40" i="11" s="1"/>
  <c r="Q39" i="11"/>
  <c r="W39" i="11"/>
  <c r="AB39" i="11" s="1"/>
  <c r="Q38" i="11"/>
  <c r="W38" i="11"/>
  <c r="AB38" i="11" s="1"/>
  <c r="Q24" i="11"/>
  <c r="W24" i="11"/>
  <c r="AB24" i="11" s="1"/>
  <c r="Q37" i="11"/>
  <c r="W37" i="11"/>
  <c r="AB37" i="11" s="1"/>
  <c r="Q36" i="11"/>
  <c r="W36" i="11"/>
  <c r="AB36" i="11" s="1"/>
  <c r="Q35" i="11"/>
  <c r="W35" i="11"/>
  <c r="AB35" i="11" s="1"/>
  <c r="Q34" i="11"/>
  <c r="W34" i="11"/>
  <c r="AB34" i="11" s="1"/>
  <c r="Q33" i="11"/>
  <c r="W33" i="11"/>
  <c r="AB33" i="11" s="1"/>
  <c r="Q32" i="11"/>
  <c r="W32" i="11"/>
  <c r="AB32" i="11" s="1"/>
  <c r="Q31" i="11"/>
  <c r="W31" i="11"/>
  <c r="AB31" i="11" s="1"/>
  <c r="Q30" i="11"/>
  <c r="W30" i="11"/>
  <c r="AB30" i="11" s="1"/>
  <c r="Q29" i="11"/>
  <c r="W29" i="11"/>
  <c r="AB29" i="11" s="1"/>
  <c r="I57" i="6"/>
  <c r="H57" i="6"/>
  <c r="C87" i="6"/>
  <c r="D87" i="6" s="1"/>
  <c r="F85" i="6"/>
  <c r="E85" i="6"/>
  <c r="I76" i="6"/>
  <c r="G76" i="6"/>
  <c r="E74" i="6"/>
  <c r="D74" i="6"/>
  <c r="D67" i="6"/>
  <c r="D66" i="6"/>
  <c r="N4" i="6"/>
  <c r="I87" i="6"/>
  <c r="G87" i="6"/>
  <c r="F87" i="6"/>
  <c r="E87" i="6"/>
  <c r="H87" i="6"/>
  <c r="C117" i="6"/>
  <c r="G86" i="6"/>
  <c r="H86" i="6"/>
  <c r="I86" i="6"/>
  <c r="D86" i="6"/>
  <c r="E86" i="6"/>
  <c r="F86" i="6"/>
  <c r="C116" i="6"/>
  <c r="H85" i="6"/>
  <c r="D85" i="6"/>
  <c r="C115" i="6"/>
  <c r="G85" i="6"/>
  <c r="I85" i="6"/>
  <c r="H84" i="6"/>
  <c r="G84" i="6"/>
  <c r="D84" i="6"/>
  <c r="C114" i="6"/>
  <c r="I84" i="6"/>
  <c r="E84" i="6"/>
  <c r="F84" i="6"/>
  <c r="D83" i="6"/>
  <c r="I83" i="6"/>
  <c r="C113" i="6"/>
  <c r="E83" i="6"/>
  <c r="H83" i="6"/>
  <c r="F83" i="6"/>
  <c r="G83" i="6"/>
  <c r="H82" i="6"/>
  <c r="I82" i="6"/>
  <c r="C112" i="6"/>
  <c r="G82" i="6"/>
  <c r="D82" i="6"/>
  <c r="E82" i="6"/>
  <c r="F82" i="6"/>
  <c r="H81" i="6"/>
  <c r="F81" i="6"/>
  <c r="D81" i="6"/>
  <c r="E81" i="6"/>
  <c r="I81" i="6"/>
  <c r="G81" i="6"/>
  <c r="C111" i="6"/>
  <c r="I80" i="6"/>
  <c r="G80" i="6"/>
  <c r="E80" i="6"/>
  <c r="H80" i="6"/>
  <c r="D80" i="6"/>
  <c r="F80" i="6"/>
  <c r="C110" i="6"/>
  <c r="H79" i="6"/>
  <c r="E79" i="6"/>
  <c r="G79" i="6"/>
  <c r="D79" i="6"/>
  <c r="C109" i="6"/>
  <c r="I79" i="6"/>
  <c r="F79" i="6"/>
  <c r="E78" i="6"/>
  <c r="I78" i="6"/>
  <c r="H78" i="6"/>
  <c r="F78" i="6"/>
  <c r="G78" i="6"/>
  <c r="C108" i="6"/>
  <c r="G77" i="6"/>
  <c r="F77" i="6"/>
  <c r="E77" i="6"/>
  <c r="H77" i="6"/>
  <c r="I77" i="6"/>
  <c r="D77" i="6"/>
  <c r="C107" i="6"/>
  <c r="F76" i="6"/>
  <c r="E76" i="6"/>
  <c r="H76" i="6"/>
  <c r="C106" i="6"/>
  <c r="D76" i="6"/>
  <c r="C105" i="6"/>
  <c r="G75" i="6"/>
  <c r="I75" i="6"/>
  <c r="F75" i="6"/>
  <c r="D75" i="6"/>
  <c r="E75" i="6"/>
  <c r="H75" i="6"/>
  <c r="I74" i="6"/>
  <c r="C104" i="6"/>
  <c r="H74" i="6"/>
  <c r="G74" i="6"/>
  <c r="F74" i="6"/>
  <c r="H73" i="6"/>
  <c r="F73" i="6"/>
  <c r="D73" i="6"/>
  <c r="I73" i="6"/>
  <c r="C103" i="6"/>
  <c r="E73" i="6"/>
  <c r="G73" i="6"/>
  <c r="F72" i="6"/>
  <c r="E72" i="6"/>
  <c r="I72" i="6"/>
  <c r="D72" i="6"/>
  <c r="G72" i="6"/>
  <c r="H72" i="6"/>
  <c r="C102" i="6"/>
  <c r="D71" i="6"/>
  <c r="F71" i="6"/>
  <c r="H71" i="6"/>
  <c r="C101" i="6"/>
  <c r="G71" i="6"/>
  <c r="E71" i="6"/>
  <c r="I71" i="6"/>
  <c r="F70" i="6"/>
  <c r="E70" i="6"/>
  <c r="G70" i="6"/>
  <c r="C100" i="6"/>
  <c r="D70" i="6"/>
  <c r="H70" i="6"/>
  <c r="I70" i="6"/>
  <c r="G69" i="6"/>
  <c r="I69" i="6"/>
  <c r="F69" i="6"/>
  <c r="D69" i="6"/>
  <c r="C99" i="6"/>
  <c r="H69" i="6"/>
  <c r="C98" i="6"/>
  <c r="H68" i="6"/>
  <c r="G68" i="6"/>
  <c r="I68" i="6"/>
  <c r="E68" i="6"/>
  <c r="F68" i="6"/>
  <c r="D68" i="6"/>
  <c r="G67" i="6"/>
  <c r="F67" i="6"/>
  <c r="C97" i="6"/>
  <c r="I67" i="6"/>
  <c r="H67" i="6"/>
  <c r="E67" i="6"/>
  <c r="H66" i="6"/>
  <c r="G66" i="6"/>
  <c r="I66" i="6"/>
  <c r="F66" i="6"/>
  <c r="C96" i="6"/>
  <c r="E66" i="6"/>
  <c r="C95" i="6"/>
  <c r="D65" i="6"/>
  <c r="G65" i="6"/>
  <c r="F65" i="6"/>
  <c r="I65" i="6"/>
  <c r="E65" i="6"/>
  <c r="H65" i="6"/>
  <c r="G64" i="6"/>
  <c r="H64" i="6"/>
  <c r="F64" i="6"/>
  <c r="D64" i="6"/>
  <c r="C94" i="6"/>
  <c r="I64" i="6"/>
  <c r="H63" i="6"/>
  <c r="G63" i="6"/>
  <c r="E63" i="6"/>
  <c r="C93" i="6"/>
  <c r="I63" i="6"/>
  <c r="D63" i="6"/>
  <c r="F63" i="6"/>
  <c r="G62" i="6"/>
  <c r="E62" i="6"/>
  <c r="H62" i="6"/>
  <c r="C92" i="6"/>
  <c r="I62" i="6"/>
  <c r="F62" i="6"/>
  <c r="C91" i="6"/>
  <c r="F61" i="6"/>
  <c r="E61" i="6"/>
  <c r="D61" i="6"/>
  <c r="I61" i="6"/>
  <c r="H61" i="6"/>
  <c r="G61" i="6"/>
  <c r="D60" i="6"/>
  <c r="G60" i="6"/>
  <c r="H60" i="6"/>
  <c r="F60" i="6"/>
  <c r="E60" i="6"/>
  <c r="C90" i="6"/>
  <c r="I60" i="6"/>
  <c r="B90" i="6"/>
  <c r="B120" i="6" s="1"/>
  <c r="B150" i="6" s="1"/>
  <c r="B180" i="6" s="1"/>
  <c r="B210" i="6" s="1"/>
  <c r="B240" i="6" s="1"/>
  <c r="B270" i="6" s="1"/>
  <c r="B300" i="6" s="1"/>
  <c r="B330" i="6" s="1"/>
  <c r="B360" i="6" s="1"/>
  <c r="B390" i="6" s="1"/>
  <c r="B420" i="6" s="1"/>
  <c r="B450" i="6" s="1"/>
  <c r="B480" i="6" s="1"/>
  <c r="B510" i="6" s="1"/>
  <c r="B540" i="6" s="1"/>
  <c r="B570" i="6" s="1"/>
  <c r="B600" i="6" s="1"/>
  <c r="B630" i="6" s="1"/>
  <c r="B660" i="6" s="1"/>
  <c r="B690" i="6" s="1"/>
  <c r="B720" i="6" s="1"/>
  <c r="B750" i="6" s="1"/>
  <c r="B780" i="6" s="1"/>
  <c r="B810" i="6" s="1"/>
  <c r="B840" i="6" s="1"/>
  <c r="B870" i="6" s="1"/>
  <c r="B900" i="6" s="1"/>
  <c r="B930" i="6" s="1"/>
  <c r="B960" i="6" s="1"/>
  <c r="B990" i="6" s="1"/>
  <c r="B1020" i="6" s="1"/>
  <c r="I59" i="6"/>
  <c r="F59" i="6"/>
  <c r="D59" i="6"/>
  <c r="C89" i="6"/>
  <c r="E59" i="6"/>
  <c r="H59" i="6"/>
  <c r="G59" i="6"/>
  <c r="G58" i="6"/>
  <c r="C88" i="6"/>
  <c r="I58" i="6"/>
  <c r="H58" i="6"/>
  <c r="D58" i="6"/>
  <c r="F58" i="6"/>
  <c r="E58" i="6"/>
  <c r="G57" i="6"/>
  <c r="F57" i="6"/>
  <c r="E57" i="6"/>
  <c r="D57" i="6"/>
  <c r="H56" i="6"/>
  <c r="G56" i="6"/>
  <c r="F56" i="6"/>
  <c r="E56" i="6"/>
  <c r="D56" i="6"/>
  <c r="I56" i="6"/>
  <c r="H55" i="6"/>
  <c r="G55" i="6"/>
  <c r="F55" i="6"/>
  <c r="E55" i="6"/>
  <c r="D55" i="6"/>
  <c r="I55" i="6"/>
  <c r="I54" i="6"/>
  <c r="H54" i="6"/>
  <c r="G54" i="6"/>
  <c r="F54" i="6"/>
  <c r="E54" i="6"/>
  <c r="D54" i="6"/>
  <c r="I53" i="6"/>
  <c r="H53" i="6"/>
  <c r="G53" i="6"/>
  <c r="F53" i="6"/>
  <c r="E53" i="6"/>
  <c r="D53" i="6"/>
  <c r="I52" i="6"/>
  <c r="G52" i="6"/>
  <c r="F52" i="6"/>
  <c r="E52" i="6"/>
  <c r="D52" i="6"/>
  <c r="H52" i="6"/>
  <c r="I51" i="6"/>
  <c r="H51" i="6"/>
  <c r="G51" i="6"/>
  <c r="F51" i="6"/>
  <c r="E51" i="6"/>
  <c r="D51" i="6"/>
  <c r="I50" i="6"/>
  <c r="H50" i="6"/>
  <c r="G50" i="6"/>
  <c r="F50" i="6"/>
  <c r="E50" i="6"/>
  <c r="D50" i="6"/>
  <c r="H49" i="6"/>
  <c r="G49" i="6"/>
  <c r="F49" i="6"/>
  <c r="E49" i="6"/>
  <c r="D49" i="6"/>
  <c r="I49" i="6"/>
  <c r="H48" i="6"/>
  <c r="G48" i="6"/>
  <c r="F48" i="6"/>
  <c r="E48" i="6"/>
  <c r="D48" i="6"/>
  <c r="I48" i="6"/>
  <c r="I47" i="6"/>
  <c r="H47" i="6"/>
  <c r="G47" i="6"/>
  <c r="F47" i="6"/>
  <c r="E47" i="6"/>
  <c r="D47" i="6"/>
  <c r="H46" i="6"/>
  <c r="G46" i="6"/>
  <c r="F46" i="6"/>
  <c r="E46" i="6"/>
  <c r="D46" i="6"/>
  <c r="I46" i="6"/>
  <c r="I45" i="6"/>
  <c r="H45" i="6"/>
  <c r="G45" i="6"/>
  <c r="E45" i="6"/>
  <c r="D45" i="6"/>
  <c r="F45" i="6"/>
  <c r="I44" i="6"/>
  <c r="H44" i="6"/>
  <c r="G44" i="6"/>
  <c r="F44" i="6"/>
  <c r="E44" i="6"/>
  <c r="D44" i="6"/>
  <c r="H43" i="6"/>
  <c r="G43" i="6"/>
  <c r="F43" i="6"/>
  <c r="E43" i="6"/>
  <c r="D43" i="6"/>
  <c r="I43" i="6"/>
  <c r="H42" i="6"/>
  <c r="G42" i="6"/>
  <c r="F42" i="6"/>
  <c r="E42" i="6"/>
  <c r="D42" i="6"/>
  <c r="I42" i="6"/>
  <c r="I41" i="6"/>
  <c r="H41" i="6"/>
  <c r="G41" i="6"/>
  <c r="F41" i="6"/>
  <c r="E41" i="6"/>
  <c r="D41" i="6"/>
  <c r="I40" i="6"/>
  <c r="H40" i="6"/>
  <c r="G40" i="6"/>
  <c r="F40" i="6"/>
  <c r="E40" i="6"/>
  <c r="D40" i="6"/>
  <c r="I39" i="6"/>
  <c r="H39" i="6"/>
  <c r="G39" i="6"/>
  <c r="F39" i="6"/>
  <c r="E39" i="6"/>
  <c r="D39" i="6"/>
  <c r="I38" i="6"/>
  <c r="H38" i="6"/>
  <c r="G38" i="6"/>
  <c r="F38" i="6"/>
  <c r="D38" i="6"/>
  <c r="E38" i="6"/>
  <c r="H37" i="6"/>
  <c r="G37" i="6"/>
  <c r="F37" i="6"/>
  <c r="E37" i="6"/>
  <c r="D37" i="6"/>
  <c r="I37" i="6"/>
  <c r="H36" i="6"/>
  <c r="G36" i="6"/>
  <c r="F36" i="6"/>
  <c r="E36" i="6"/>
  <c r="D36" i="6"/>
  <c r="I36" i="6"/>
  <c r="I35" i="6"/>
  <c r="H35" i="6"/>
  <c r="G35" i="6"/>
  <c r="F35" i="6"/>
  <c r="E35" i="6"/>
  <c r="D35" i="6"/>
  <c r="H34" i="6"/>
  <c r="G34" i="6"/>
  <c r="F34" i="6"/>
  <c r="E34" i="6"/>
  <c r="D34" i="6"/>
  <c r="I34" i="6"/>
  <c r="I33" i="6"/>
  <c r="H33" i="6"/>
  <c r="F33" i="6"/>
  <c r="M33" i="6" s="1"/>
  <c r="E33" i="6"/>
  <c r="L48" i="6" s="1"/>
  <c r="D33" i="6"/>
  <c r="G33" i="6"/>
  <c r="J5" i="6"/>
  <c r="N5" i="6" s="1"/>
  <c r="J10" i="6"/>
  <c r="N10" i="6" s="1"/>
  <c r="J3" i="6"/>
  <c r="N3" i="6" s="1"/>
  <c r="I3" i="2"/>
  <c r="J249" i="7"/>
  <c r="AC249" i="7" s="1"/>
  <c r="D249" i="7"/>
  <c r="Q24" i="7"/>
  <c r="D146" i="7"/>
  <c r="AI146" i="7" s="1"/>
  <c r="C35" i="3"/>
  <c r="M238" i="3"/>
  <c r="S238" i="3" s="1"/>
  <c r="G11" i="3"/>
  <c r="F214" i="3"/>
  <c r="G10" i="3"/>
  <c r="F213" i="3"/>
  <c r="Q5" i="7"/>
  <c r="W9" i="3"/>
  <c r="Q18" i="7"/>
  <c r="Q12" i="7"/>
  <c r="E58" i="3"/>
  <c r="U60" i="3"/>
  <c r="W8" i="3"/>
  <c r="X189" i="3"/>
  <c r="X188" i="3"/>
  <c r="X187" i="3"/>
  <c r="X148" i="3"/>
  <c r="X186" i="3"/>
  <c r="X185" i="3"/>
  <c r="X184" i="3"/>
  <c r="X182" i="3"/>
  <c r="X181" i="3"/>
  <c r="X177" i="3"/>
  <c r="X147" i="3"/>
  <c r="X176" i="3"/>
  <c r="X175" i="3"/>
  <c r="X174" i="3"/>
  <c r="X143" i="3"/>
  <c r="X173" i="3"/>
  <c r="X171" i="3"/>
  <c r="X108" i="3"/>
  <c r="X168" i="3"/>
  <c r="X146" i="3"/>
  <c r="X140" i="3"/>
  <c r="X144" i="3"/>
  <c r="X169" i="3"/>
  <c r="X141" i="3"/>
  <c r="X152" i="3"/>
  <c r="X125" i="3"/>
  <c r="X124" i="3"/>
  <c r="X123" i="3"/>
  <c r="X115" i="3"/>
  <c r="X122" i="3"/>
  <c r="X126" i="3"/>
  <c r="X121" i="3"/>
  <c r="X120" i="3"/>
  <c r="X170" i="3"/>
  <c r="X119" i="3"/>
  <c r="X118" i="3"/>
  <c r="X172" i="3"/>
  <c r="X154" i="3"/>
  <c r="X117" i="3"/>
  <c r="X116" i="3"/>
  <c r="X178" i="3"/>
  <c r="X207" i="3"/>
  <c r="X206" i="3"/>
  <c r="X205" i="3"/>
  <c r="X151" i="3"/>
  <c r="X179" i="3"/>
  <c r="X204" i="3"/>
  <c r="X203" i="3"/>
  <c r="X114" i="3"/>
  <c r="X202" i="3"/>
  <c r="X201" i="3"/>
  <c r="X200" i="3"/>
  <c r="X183" i="3"/>
  <c r="X199" i="3"/>
  <c r="X113" i="3"/>
  <c r="X180" i="3"/>
  <c r="X150" i="3"/>
  <c r="X198" i="3"/>
  <c r="X197" i="3"/>
  <c r="X142" i="3"/>
  <c r="X196" i="3"/>
  <c r="X112" i="3"/>
  <c r="X153" i="3"/>
  <c r="X195" i="3"/>
  <c r="X194" i="3"/>
  <c r="X111" i="3"/>
  <c r="X193" i="3"/>
  <c r="X149" i="3"/>
  <c r="X110" i="3"/>
  <c r="X192" i="3"/>
  <c r="X145" i="3"/>
  <c r="X109" i="3"/>
  <c r="X191" i="3"/>
  <c r="X190" i="3"/>
  <c r="X166" i="3"/>
  <c r="X159" i="3"/>
  <c r="X133" i="3"/>
  <c r="X136" i="3"/>
  <c r="X156" i="3"/>
  <c r="X163" i="3"/>
  <c r="X138" i="3"/>
  <c r="X160" i="3"/>
  <c r="X162" i="3"/>
  <c r="X161" i="3"/>
  <c r="X128" i="3"/>
  <c r="X164" i="3"/>
  <c r="X167" i="3"/>
  <c r="X139" i="3"/>
  <c r="X135" i="3"/>
  <c r="X127" i="3"/>
  <c r="X134" i="3"/>
  <c r="X158" i="3"/>
  <c r="X165" i="3"/>
  <c r="X132" i="3"/>
  <c r="X130" i="3"/>
  <c r="X137" i="3"/>
  <c r="X129" i="3"/>
  <c r="X157" i="3"/>
  <c r="X155" i="3"/>
  <c r="X131" i="3"/>
  <c r="AC148" i="3"/>
  <c r="AC147" i="3"/>
  <c r="AC129" i="3"/>
  <c r="AC146" i="3"/>
  <c r="AC120" i="3"/>
  <c r="AC145" i="3"/>
  <c r="AC144" i="3"/>
  <c r="AC121" i="3"/>
  <c r="AC169" i="3"/>
  <c r="AC143" i="3"/>
  <c r="AC119" i="3"/>
  <c r="AC132" i="3"/>
  <c r="AC142" i="3"/>
  <c r="AC131" i="3"/>
  <c r="AC141" i="3"/>
  <c r="AC140" i="3"/>
  <c r="AC139" i="3"/>
  <c r="AC118" i="3"/>
  <c r="AC138" i="3"/>
  <c r="AC137" i="3"/>
  <c r="AC136" i="3"/>
  <c r="AC135" i="3"/>
  <c r="AC170" i="3"/>
  <c r="AC171" i="3"/>
  <c r="AC134" i="3"/>
  <c r="AC117" i="3"/>
  <c r="AC154" i="3"/>
  <c r="AC133" i="3"/>
  <c r="AC159" i="3"/>
  <c r="AC155" i="3"/>
  <c r="AC172" i="3"/>
  <c r="AC174" i="3"/>
  <c r="AC207" i="3"/>
  <c r="AC116" i="3"/>
  <c r="AC153" i="3"/>
  <c r="AC157" i="3"/>
  <c r="AC206" i="3"/>
  <c r="AC205" i="3"/>
  <c r="AC177" i="3"/>
  <c r="AC204" i="3"/>
  <c r="AC203" i="3"/>
  <c r="AC115" i="3"/>
  <c r="AC202" i="3"/>
  <c r="AC201" i="3"/>
  <c r="AC200" i="3"/>
  <c r="AC199" i="3"/>
  <c r="AC178" i="3"/>
  <c r="AC198" i="3"/>
  <c r="AC197" i="3"/>
  <c r="AC160" i="3"/>
  <c r="AC196" i="3"/>
  <c r="AC195" i="3"/>
  <c r="AC125" i="3"/>
  <c r="AC194" i="3"/>
  <c r="AC179" i="3"/>
  <c r="AC113" i="3"/>
  <c r="AC193" i="3"/>
  <c r="AC192" i="3"/>
  <c r="AC191" i="3"/>
  <c r="AC161" i="3"/>
  <c r="AC190" i="3"/>
  <c r="AC124" i="3"/>
  <c r="AC189" i="3"/>
  <c r="AC180" i="3"/>
  <c r="AC112" i="3"/>
  <c r="AC188" i="3"/>
  <c r="AC187" i="3"/>
  <c r="AC186" i="3"/>
  <c r="AC163" i="3"/>
  <c r="AC126" i="3"/>
  <c r="AC185" i="3"/>
  <c r="AC127" i="3"/>
  <c r="AC128" i="3"/>
  <c r="AC111" i="3"/>
  <c r="AC184" i="3"/>
  <c r="AC123" i="3"/>
  <c r="AC183" i="3"/>
  <c r="AC182" i="3"/>
  <c r="AC181" i="3"/>
  <c r="AC176" i="3"/>
  <c r="AC165" i="3"/>
  <c r="AC110" i="3"/>
  <c r="AC152" i="3"/>
  <c r="AC175" i="3"/>
  <c r="AC173" i="3"/>
  <c r="AC122" i="3"/>
  <c r="AC168" i="3"/>
  <c r="AC166" i="3"/>
  <c r="AC109" i="3"/>
  <c r="AC164" i="3"/>
  <c r="AC162" i="3"/>
  <c r="AC158" i="3"/>
  <c r="AC167" i="3"/>
  <c r="AC156" i="3"/>
  <c r="AC108" i="3"/>
  <c r="AC130" i="3"/>
  <c r="AC151" i="3"/>
  <c r="AC150" i="3"/>
  <c r="AC149" i="3"/>
  <c r="AC114" i="3"/>
  <c r="Q10" i="7"/>
  <c r="R13" i="7"/>
  <c r="Q4" i="7"/>
  <c r="R3" i="7"/>
  <c r="E24" i="3"/>
  <c r="K19" i="7"/>
  <c r="AD19" i="7" s="1"/>
  <c r="R19" i="7" s="1"/>
  <c r="U23" i="3"/>
  <c r="K16" i="7"/>
  <c r="AD16" i="7" s="1"/>
  <c r="R16" i="7" s="1"/>
  <c r="R6" i="7"/>
  <c r="Q17" i="7"/>
  <c r="R8" i="7"/>
  <c r="C13" i="7"/>
  <c r="W13" i="7" s="1"/>
  <c r="E18" i="3"/>
  <c r="D13" i="7" s="1"/>
  <c r="C14" i="7"/>
  <c r="W14" i="7" s="1"/>
  <c r="E19" i="3"/>
  <c r="D8" i="7"/>
  <c r="D9" i="7"/>
  <c r="D10" i="7"/>
  <c r="D11" i="7"/>
  <c r="D7" i="7"/>
  <c r="C3" i="7"/>
  <c r="R11" i="7"/>
  <c r="R9" i="7"/>
  <c r="V513" i="3"/>
  <c r="H348" i="7"/>
  <c r="L345" i="7"/>
  <c r="AE345" i="7" s="1"/>
  <c r="V510" i="3"/>
  <c r="H345" i="7"/>
  <c r="L344" i="7"/>
  <c r="AE344" i="7" s="1"/>
  <c r="V509" i="3"/>
  <c r="H344" i="7"/>
  <c r="L343" i="7"/>
  <c r="AE343" i="7" s="1"/>
  <c r="V508" i="3"/>
  <c r="H343" i="7"/>
  <c r="L342" i="7"/>
  <c r="AE342" i="7" s="1"/>
  <c r="V507" i="3"/>
  <c r="H342" i="7"/>
  <c r="L341" i="7"/>
  <c r="AE341" i="7" s="1"/>
  <c r="V506" i="3"/>
  <c r="H341" i="7"/>
  <c r="L340" i="7"/>
  <c r="AE340" i="7" s="1"/>
  <c r="V505" i="3"/>
  <c r="H340" i="7"/>
  <c r="L339" i="7"/>
  <c r="AE339" i="7" s="1"/>
  <c r="V504" i="3"/>
  <c r="H339" i="7"/>
  <c r="L338" i="7"/>
  <c r="AE338" i="7" s="1"/>
  <c r="V503" i="3"/>
  <c r="H338" i="7"/>
  <c r="L337" i="7"/>
  <c r="AE337" i="7" s="1"/>
  <c r="V502" i="3"/>
  <c r="H337" i="7"/>
  <c r="L336" i="7"/>
  <c r="AE336" i="7" s="1"/>
  <c r="V501" i="3"/>
  <c r="H336" i="7"/>
  <c r="L335" i="7"/>
  <c r="AE335" i="7" s="1"/>
  <c r="V500" i="3"/>
  <c r="H335" i="7"/>
  <c r="L334" i="7"/>
  <c r="AE334" i="7" s="1"/>
  <c r="V499" i="3"/>
  <c r="H334" i="7"/>
  <c r="L333" i="7"/>
  <c r="AE333" i="7" s="1"/>
  <c r="V498" i="3"/>
  <c r="H333" i="7"/>
  <c r="L332" i="7"/>
  <c r="AE332" i="7" s="1"/>
  <c r="V497" i="3"/>
  <c r="H332" i="7"/>
  <c r="L331" i="7"/>
  <c r="AE331" i="7" s="1"/>
  <c r="V496" i="3"/>
  <c r="H331" i="7"/>
  <c r="L330" i="7"/>
  <c r="AE330" i="7" s="1"/>
  <c r="V495" i="3"/>
  <c r="H330" i="7"/>
  <c r="L329" i="7"/>
  <c r="AE329" i="7" s="1"/>
  <c r="V494" i="3"/>
  <c r="H329" i="7"/>
  <c r="L328" i="7"/>
  <c r="AE328" i="7" s="1"/>
  <c r="V493" i="3"/>
  <c r="H328" i="7"/>
  <c r="L327" i="7"/>
  <c r="AE327" i="7" s="1"/>
  <c r="V492" i="3"/>
  <c r="H327" i="7"/>
  <c r="L326" i="7"/>
  <c r="AE326" i="7" s="1"/>
  <c r="V491" i="3"/>
  <c r="H326" i="7"/>
  <c r="L325" i="7"/>
  <c r="AE325" i="7" s="1"/>
  <c r="V490" i="3"/>
  <c r="H325" i="7"/>
  <c r="L324" i="7"/>
  <c r="AE324" i="7" s="1"/>
  <c r="V489" i="3"/>
  <c r="H324" i="7"/>
  <c r="L323" i="7"/>
  <c r="AE323" i="7" s="1"/>
  <c r="V488" i="3"/>
  <c r="H323" i="7"/>
  <c r="L322" i="7"/>
  <c r="AE322" i="7" s="1"/>
  <c r="V487" i="3"/>
  <c r="H322" i="7"/>
  <c r="L321" i="7"/>
  <c r="AE321" i="7" s="1"/>
  <c r="V486" i="3"/>
  <c r="H321" i="7"/>
  <c r="L320" i="7"/>
  <c r="AE320" i="7" s="1"/>
  <c r="V485" i="3"/>
  <c r="H320" i="7"/>
  <c r="L319" i="7"/>
  <c r="AE319" i="7" s="1"/>
  <c r="V484" i="3"/>
  <c r="H319" i="7"/>
  <c r="L318" i="7"/>
  <c r="AE318" i="7" s="1"/>
  <c r="V483" i="3"/>
  <c r="H318" i="7"/>
  <c r="L317" i="7"/>
  <c r="AE317" i="7" s="1"/>
  <c r="V482" i="3"/>
  <c r="H317" i="7"/>
  <c r="L316" i="7"/>
  <c r="AE316" i="7" s="1"/>
  <c r="V481" i="3"/>
  <c r="H316" i="7"/>
  <c r="L315" i="7"/>
  <c r="AE315" i="7" s="1"/>
  <c r="V480" i="3"/>
  <c r="H315" i="7"/>
  <c r="L314" i="7"/>
  <c r="AE314" i="7" s="1"/>
  <c r="L282" i="7"/>
  <c r="AE282" i="7" s="1"/>
  <c r="V447" i="3"/>
  <c r="H282" i="7"/>
  <c r="L281" i="7"/>
  <c r="AE281" i="7" s="1"/>
  <c r="V446" i="3"/>
  <c r="H281" i="7"/>
  <c r="L275" i="7"/>
  <c r="AE275" i="7" s="1"/>
  <c r="V440" i="3"/>
  <c r="H275" i="7"/>
  <c r="L274" i="7"/>
  <c r="AE274" i="7" s="1"/>
  <c r="V439" i="3"/>
  <c r="H274" i="7"/>
  <c r="L273" i="7"/>
  <c r="AE273" i="7" s="1"/>
  <c r="V438" i="3"/>
  <c r="H273" i="7"/>
  <c r="Q273" i="7" s="1"/>
  <c r="L272" i="7"/>
  <c r="AE272" i="7" s="1"/>
  <c r="V437" i="3"/>
  <c r="H272" i="7"/>
  <c r="Q272" i="7" s="1"/>
  <c r="L271" i="7"/>
  <c r="AE271" i="7" s="1"/>
  <c r="V436" i="3"/>
  <c r="H271" i="7"/>
  <c r="Q271" i="7" s="1"/>
  <c r="L270" i="7"/>
  <c r="AE270" i="7" s="1"/>
  <c r="V435" i="3"/>
  <c r="H270" i="7"/>
  <c r="Q270" i="7" s="1"/>
  <c r="H239" i="7"/>
  <c r="V304" i="3"/>
  <c r="H176" i="7"/>
  <c r="V241" i="3"/>
  <c r="H167" i="7"/>
  <c r="Q167" i="7" s="1"/>
  <c r="V232" i="3"/>
  <c r="Q26" i="7"/>
  <c r="Q16" i="7"/>
  <c r="Q15" i="7"/>
  <c r="R10" i="7"/>
  <c r="R5" i="7"/>
  <c r="R4" i="7"/>
  <c r="R15" i="7"/>
  <c r="R14" i="7"/>
  <c r="Q13" i="7"/>
  <c r="R12" i="7"/>
  <c r="Q11" i="7"/>
  <c r="V16" i="7"/>
  <c r="AG16" i="7"/>
  <c r="V18" i="7"/>
  <c r="AG18" i="7"/>
  <c r="AG17" i="7"/>
  <c r="V17" i="7"/>
  <c r="AG15" i="7"/>
  <c r="V15" i="7"/>
  <c r="AG14" i="7"/>
  <c r="V14" i="7"/>
  <c r="V13" i="7"/>
  <c r="AG13" i="7"/>
  <c r="V12" i="7"/>
  <c r="AG12" i="7"/>
  <c r="V11" i="7"/>
  <c r="AG11" i="7"/>
  <c r="AG10" i="7"/>
  <c r="V10" i="7"/>
  <c r="AG9" i="7"/>
  <c r="V9" i="7"/>
  <c r="AH8" i="7"/>
  <c r="W8" i="7"/>
  <c r="AG8" i="7"/>
  <c r="V8" i="7"/>
  <c r="AH7" i="7"/>
  <c r="V7" i="7"/>
  <c r="AG7" i="7"/>
  <c r="AI6" i="7"/>
  <c r="X6" i="7"/>
  <c r="W6" i="7"/>
  <c r="AH6" i="7"/>
  <c r="V6" i="7"/>
  <c r="AG6" i="7"/>
  <c r="AI5" i="7"/>
  <c r="X5" i="7"/>
  <c r="AH5" i="7"/>
  <c r="W5" i="7"/>
  <c r="V5" i="7"/>
  <c r="AG5" i="7"/>
  <c r="AJ4" i="7"/>
  <c r="Y4" i="7"/>
  <c r="X4" i="7"/>
  <c r="AI4" i="7"/>
  <c r="V4" i="7"/>
  <c r="AG4" i="7"/>
  <c r="Y3" i="7"/>
  <c r="AJ3" i="7"/>
  <c r="X3" i="7"/>
  <c r="AI3" i="7"/>
  <c r="AG3" i="7"/>
  <c r="V3" i="7"/>
  <c r="L348" i="7"/>
  <c r="AE348" i="7" s="1"/>
  <c r="L347" i="7"/>
  <c r="AE347" i="7" s="1"/>
  <c r="V512" i="3"/>
  <c r="H347" i="7"/>
  <c r="L346" i="7"/>
  <c r="AE346" i="7" s="1"/>
  <c r="V511" i="3"/>
  <c r="H346" i="7"/>
  <c r="V479" i="3"/>
  <c r="H314" i="7"/>
  <c r="L313" i="7"/>
  <c r="AE313" i="7" s="1"/>
  <c r="V478" i="3"/>
  <c r="H313" i="7"/>
  <c r="L312" i="7"/>
  <c r="AE312" i="7" s="1"/>
  <c r="V477" i="3"/>
  <c r="H312" i="7"/>
  <c r="L311" i="7"/>
  <c r="AE311" i="7" s="1"/>
  <c r="V476" i="3"/>
  <c r="H311" i="7"/>
  <c r="L310" i="7"/>
  <c r="AE310" i="7" s="1"/>
  <c r="V475" i="3"/>
  <c r="H310" i="7"/>
  <c r="L309" i="7"/>
  <c r="AE309" i="7" s="1"/>
  <c r="V474" i="3"/>
  <c r="H309" i="7"/>
  <c r="L308" i="7"/>
  <c r="AE308" i="7" s="1"/>
  <c r="V473" i="3"/>
  <c r="H308" i="7"/>
  <c r="L307" i="7"/>
  <c r="AE307" i="7" s="1"/>
  <c r="V472" i="3"/>
  <c r="H307" i="7"/>
  <c r="L306" i="7"/>
  <c r="AE306" i="7" s="1"/>
  <c r="V471" i="3"/>
  <c r="H306" i="7"/>
  <c r="L305" i="7"/>
  <c r="AE305" i="7" s="1"/>
  <c r="V470" i="3"/>
  <c r="H305" i="7"/>
  <c r="L304" i="7"/>
  <c r="AE304" i="7" s="1"/>
  <c r="V469" i="3"/>
  <c r="H304" i="7"/>
  <c r="L303" i="7"/>
  <c r="AE303" i="7" s="1"/>
  <c r="V468" i="3"/>
  <c r="H303" i="7"/>
  <c r="L302" i="7"/>
  <c r="AE302" i="7" s="1"/>
  <c r="V467" i="3"/>
  <c r="H302" i="7"/>
  <c r="L301" i="7"/>
  <c r="AE301" i="7" s="1"/>
  <c r="V466" i="3"/>
  <c r="H301" i="7"/>
  <c r="L300" i="7"/>
  <c r="AE300" i="7" s="1"/>
  <c r="V465" i="3"/>
  <c r="H300" i="7"/>
  <c r="L299" i="7"/>
  <c r="AE299" i="7" s="1"/>
  <c r="V464" i="3"/>
  <c r="H299" i="7"/>
  <c r="L298" i="7"/>
  <c r="AE298" i="7" s="1"/>
  <c r="V463" i="3"/>
  <c r="H298" i="7"/>
  <c r="L297" i="7"/>
  <c r="AE297" i="7" s="1"/>
  <c r="V462" i="3"/>
  <c r="H297" i="7"/>
  <c r="L296" i="7"/>
  <c r="AE296" i="7" s="1"/>
  <c r="V461" i="3"/>
  <c r="H296" i="7"/>
  <c r="L295" i="7"/>
  <c r="AE295" i="7" s="1"/>
  <c r="V460" i="3"/>
  <c r="H295" i="7"/>
  <c r="L294" i="7"/>
  <c r="AE294" i="7" s="1"/>
  <c r="V459" i="3"/>
  <c r="H294" i="7"/>
  <c r="L293" i="7"/>
  <c r="AE293" i="7" s="1"/>
  <c r="H293" i="7"/>
  <c r="V458" i="3"/>
  <c r="L292" i="7"/>
  <c r="AE292" i="7" s="1"/>
  <c r="V457" i="3"/>
  <c r="H292" i="7"/>
  <c r="L291" i="7"/>
  <c r="AE291" i="7" s="1"/>
  <c r="V456" i="3"/>
  <c r="H291" i="7"/>
  <c r="L290" i="7"/>
  <c r="AE290" i="7" s="1"/>
  <c r="V455" i="3"/>
  <c r="H290" i="7"/>
  <c r="L289" i="7"/>
  <c r="AE289" i="7" s="1"/>
  <c r="V454" i="3"/>
  <c r="H289" i="7"/>
  <c r="L288" i="7"/>
  <c r="AE288" i="7" s="1"/>
  <c r="V453" i="3"/>
  <c r="H288" i="7"/>
  <c r="L287" i="7"/>
  <c r="AE287" i="7" s="1"/>
  <c r="V452" i="3"/>
  <c r="H287" i="7"/>
  <c r="L286" i="7"/>
  <c r="AE286" i="7" s="1"/>
  <c r="V451" i="3"/>
  <c r="H286" i="7"/>
  <c r="L285" i="7"/>
  <c r="AE285" i="7" s="1"/>
  <c r="V450" i="3"/>
  <c r="H285" i="7"/>
  <c r="L284" i="7"/>
  <c r="AE284" i="7" s="1"/>
  <c r="V449" i="3"/>
  <c r="H284" i="7"/>
  <c r="L283" i="7"/>
  <c r="AE283" i="7" s="1"/>
  <c r="V448" i="3"/>
  <c r="H283" i="7"/>
  <c r="L269" i="7"/>
  <c r="AE269" i="7" s="1"/>
  <c r="V434" i="3"/>
  <c r="H269" i="7"/>
  <c r="Q269" i="7" s="1"/>
  <c r="L268" i="7"/>
  <c r="AE268" i="7" s="1"/>
  <c r="V433" i="3"/>
  <c r="H268" i="7"/>
  <c r="Q268" i="7" s="1"/>
  <c r="L267" i="7"/>
  <c r="AE267" i="7" s="1"/>
  <c r="H267" i="7"/>
  <c r="Q267" i="7" s="1"/>
  <c r="L266" i="7"/>
  <c r="AE266" i="7" s="1"/>
  <c r="H266" i="7"/>
  <c r="Q266" i="7" s="1"/>
  <c r="L265" i="7"/>
  <c r="AE265" i="7" s="1"/>
  <c r="H265" i="7"/>
  <c r="Q265" i="7" s="1"/>
  <c r="L264" i="7"/>
  <c r="AE264" i="7" s="1"/>
  <c r="H264" i="7"/>
  <c r="Q264" i="7" s="1"/>
  <c r="L263" i="7"/>
  <c r="AE263" i="7" s="1"/>
  <c r="H263" i="7"/>
  <c r="Q263" i="7" s="1"/>
  <c r="L262" i="7"/>
  <c r="AE262" i="7" s="1"/>
  <c r="H262" i="7"/>
  <c r="Q262" i="7" s="1"/>
  <c r="L261" i="7"/>
  <c r="AE261" i="7" s="1"/>
  <c r="H261" i="7"/>
  <c r="Q261" i="7" s="1"/>
  <c r="L260" i="7"/>
  <c r="AE260" i="7" s="1"/>
  <c r="H260" i="7"/>
  <c r="Q260" i="7" s="1"/>
  <c r="B260" i="7"/>
  <c r="L259" i="7"/>
  <c r="AE259" i="7" s="1"/>
  <c r="H259" i="7"/>
  <c r="Q259" i="7" s="1"/>
  <c r="L258" i="7"/>
  <c r="AE258" i="7" s="1"/>
  <c r="H258" i="7"/>
  <c r="Q258" i="7" s="1"/>
  <c r="C258" i="7"/>
  <c r="L257" i="7"/>
  <c r="AE257" i="7" s="1"/>
  <c r="H257" i="7"/>
  <c r="Q257" i="7" s="1"/>
  <c r="C257" i="7"/>
  <c r="L256" i="7"/>
  <c r="AE256" i="7" s="1"/>
  <c r="H256" i="7"/>
  <c r="Q256" i="7" s="1"/>
  <c r="C256" i="7"/>
  <c r="L255" i="7"/>
  <c r="AE255" i="7" s="1"/>
  <c r="H255" i="7"/>
  <c r="Q255" i="7" s="1"/>
  <c r="C255" i="7"/>
  <c r="L254" i="7"/>
  <c r="AE254" i="7" s="1"/>
  <c r="H254" i="7"/>
  <c r="Q254" i="7" s="1"/>
  <c r="C254" i="7"/>
  <c r="L253" i="7"/>
  <c r="AE253" i="7" s="1"/>
  <c r="H253" i="7"/>
  <c r="Q253" i="7" s="1"/>
  <c r="C253" i="7"/>
  <c r="L252" i="7"/>
  <c r="AE252" i="7" s="1"/>
  <c r="H252" i="7"/>
  <c r="Q252" i="7" s="1"/>
  <c r="D252" i="7"/>
  <c r="C252" i="7"/>
  <c r="L251" i="7"/>
  <c r="AE251" i="7" s="1"/>
  <c r="H251" i="7"/>
  <c r="Q251" i="7" s="1"/>
  <c r="H245" i="7"/>
  <c r="V310" i="3"/>
  <c r="H244" i="7"/>
  <c r="V309" i="3"/>
  <c r="V308" i="3"/>
  <c r="H243" i="7"/>
  <c r="H242" i="7"/>
  <c r="V307" i="3"/>
  <c r="V306" i="3"/>
  <c r="H241" i="7"/>
  <c r="V305" i="3"/>
  <c r="H240" i="7"/>
  <c r="V303" i="3"/>
  <c r="H238" i="7"/>
  <c r="H237" i="7"/>
  <c r="V302" i="3"/>
  <c r="Q301" i="3"/>
  <c r="L236" i="7"/>
  <c r="AE236" i="7" s="1"/>
  <c r="H236" i="7"/>
  <c r="V301" i="3"/>
  <c r="Q300" i="3"/>
  <c r="L235" i="7"/>
  <c r="AE235" i="7" s="1"/>
  <c r="V300" i="3"/>
  <c r="H235" i="7"/>
  <c r="Q299" i="3"/>
  <c r="L234" i="7"/>
  <c r="AE234" i="7" s="1"/>
  <c r="V299" i="3"/>
  <c r="H234" i="7"/>
  <c r="Q298" i="3"/>
  <c r="L233" i="7"/>
  <c r="AE233" i="7" s="1"/>
  <c r="H233" i="7"/>
  <c r="V298" i="3"/>
  <c r="Q297" i="3"/>
  <c r="L232" i="7"/>
  <c r="AE232" i="7" s="1"/>
  <c r="V297" i="3"/>
  <c r="H232" i="7"/>
  <c r="Q296" i="3"/>
  <c r="L231" i="7"/>
  <c r="AE231" i="7" s="1"/>
  <c r="H231" i="7"/>
  <c r="V296" i="3"/>
  <c r="Q295" i="3"/>
  <c r="L230" i="7"/>
  <c r="AE230" i="7" s="1"/>
  <c r="H230" i="7"/>
  <c r="V295" i="3"/>
  <c r="Q294" i="3"/>
  <c r="L229" i="7"/>
  <c r="AE229" i="7" s="1"/>
  <c r="H229" i="7"/>
  <c r="V294" i="3"/>
  <c r="Q293" i="3"/>
  <c r="L228" i="7"/>
  <c r="AE228" i="7" s="1"/>
  <c r="H228" i="7"/>
  <c r="V293" i="3"/>
  <c r="Q292" i="3"/>
  <c r="L227" i="7"/>
  <c r="AE227" i="7" s="1"/>
  <c r="H227" i="7"/>
  <c r="V292" i="3"/>
  <c r="Q291" i="3"/>
  <c r="L226" i="7"/>
  <c r="AE226" i="7" s="1"/>
  <c r="H226" i="7"/>
  <c r="V291" i="3"/>
  <c r="Q290" i="3"/>
  <c r="L225" i="7"/>
  <c r="AE225" i="7" s="1"/>
  <c r="V290" i="3"/>
  <c r="H225" i="7"/>
  <c r="Q289" i="3"/>
  <c r="L224" i="7"/>
  <c r="AE224" i="7" s="1"/>
  <c r="H224" i="7"/>
  <c r="V289" i="3"/>
  <c r="Q288" i="3"/>
  <c r="L223" i="7"/>
  <c r="AE223" i="7" s="1"/>
  <c r="V288" i="3"/>
  <c r="H223" i="7"/>
  <c r="Q287" i="3"/>
  <c r="L222" i="7"/>
  <c r="AE222" i="7" s="1"/>
  <c r="V287" i="3"/>
  <c r="H222" i="7"/>
  <c r="Q286" i="3"/>
  <c r="L221" i="7"/>
  <c r="AE221" i="7" s="1"/>
  <c r="H221" i="7"/>
  <c r="V286" i="3"/>
  <c r="Q285" i="3"/>
  <c r="L220" i="7"/>
  <c r="AE220" i="7" s="1"/>
  <c r="V285" i="3"/>
  <c r="H220" i="7"/>
  <c r="Q284" i="3"/>
  <c r="L219" i="7"/>
  <c r="AE219" i="7" s="1"/>
  <c r="H219" i="7"/>
  <c r="V284" i="3"/>
  <c r="Q283" i="3"/>
  <c r="L218" i="7"/>
  <c r="AE218" i="7" s="1"/>
  <c r="H218" i="7"/>
  <c r="V283" i="3"/>
  <c r="V282" i="3"/>
  <c r="H217" i="7"/>
  <c r="V281" i="3"/>
  <c r="H216" i="7"/>
  <c r="V280" i="3"/>
  <c r="H215" i="7"/>
  <c r="H214" i="7"/>
  <c r="V279" i="3"/>
  <c r="V278" i="3"/>
  <c r="H213" i="7"/>
  <c r="V277" i="3"/>
  <c r="H212" i="7"/>
  <c r="H211" i="7"/>
  <c r="V276" i="3"/>
  <c r="H210" i="7"/>
  <c r="V275" i="3"/>
  <c r="V274" i="3"/>
  <c r="H209" i="7"/>
  <c r="V273" i="3"/>
  <c r="H208" i="7"/>
  <c r="V272" i="3"/>
  <c r="H207" i="7"/>
  <c r="V271" i="3"/>
  <c r="H206" i="7"/>
  <c r="H205" i="7"/>
  <c r="V270" i="3"/>
  <c r="V269" i="3"/>
  <c r="H204" i="7"/>
  <c r="H203" i="7"/>
  <c r="V268" i="3"/>
  <c r="V267" i="3"/>
  <c r="H202" i="7"/>
  <c r="V266" i="3"/>
  <c r="H201" i="7"/>
  <c r="V265" i="3"/>
  <c r="H200" i="7"/>
  <c r="Q264" i="3"/>
  <c r="L199" i="7"/>
  <c r="AE199" i="7" s="1"/>
  <c r="V264" i="3"/>
  <c r="H199" i="7"/>
  <c r="Q263" i="3"/>
  <c r="L198" i="7"/>
  <c r="AE198" i="7" s="1"/>
  <c r="V263" i="3"/>
  <c r="H198" i="7"/>
  <c r="Q262" i="3"/>
  <c r="L197" i="7"/>
  <c r="AE197" i="7" s="1"/>
  <c r="V262" i="3"/>
  <c r="H197" i="7"/>
  <c r="Q261" i="3"/>
  <c r="L196" i="7"/>
  <c r="AE196" i="7" s="1"/>
  <c r="H196" i="7"/>
  <c r="V261" i="3"/>
  <c r="Q260" i="3"/>
  <c r="L195" i="7"/>
  <c r="AE195" i="7" s="1"/>
  <c r="V260" i="3"/>
  <c r="H195" i="7"/>
  <c r="Q259" i="3"/>
  <c r="L194" i="7"/>
  <c r="AE194" i="7" s="1"/>
  <c r="V259" i="3"/>
  <c r="H194" i="7"/>
  <c r="Q258" i="3"/>
  <c r="L193" i="7"/>
  <c r="AE193" i="7" s="1"/>
  <c r="V258" i="3"/>
  <c r="H193" i="7"/>
  <c r="Q257" i="3"/>
  <c r="L192" i="7"/>
  <c r="AE192" i="7" s="1"/>
  <c r="V257" i="3"/>
  <c r="H192" i="7"/>
  <c r="Q256" i="3"/>
  <c r="L191" i="7"/>
  <c r="AE191" i="7" s="1"/>
  <c r="V256" i="3"/>
  <c r="H191" i="7"/>
  <c r="Q255" i="3"/>
  <c r="L190" i="7"/>
  <c r="AE190" i="7" s="1"/>
  <c r="H190" i="7"/>
  <c r="V255" i="3"/>
  <c r="Q254" i="3"/>
  <c r="L189" i="7"/>
  <c r="AE189" i="7" s="1"/>
  <c r="V254" i="3"/>
  <c r="H189" i="7"/>
  <c r="V253" i="3"/>
  <c r="H188" i="7"/>
  <c r="V252" i="3"/>
  <c r="H187" i="7"/>
  <c r="H186" i="7"/>
  <c r="V251" i="3"/>
  <c r="H185" i="7"/>
  <c r="V250" i="3"/>
  <c r="H184" i="7"/>
  <c r="V249" i="3"/>
  <c r="H183" i="7"/>
  <c r="V248" i="3"/>
  <c r="H182" i="7"/>
  <c r="V247" i="3"/>
  <c r="H181" i="7"/>
  <c r="V246" i="3"/>
  <c r="H180" i="7"/>
  <c r="V245" i="3"/>
  <c r="H179" i="7"/>
  <c r="V244" i="3"/>
  <c r="H178" i="7"/>
  <c r="V243" i="3"/>
  <c r="H177" i="7"/>
  <c r="V242" i="3"/>
  <c r="H175" i="7"/>
  <c r="V240" i="3"/>
  <c r="H174" i="7"/>
  <c r="V239" i="3"/>
  <c r="Q238" i="3"/>
  <c r="L173" i="7"/>
  <c r="AE173" i="7" s="1"/>
  <c r="H173" i="7"/>
  <c r="V238" i="3"/>
  <c r="Q237" i="3"/>
  <c r="L172" i="7"/>
  <c r="AE172" i="7" s="1"/>
  <c r="H172" i="7"/>
  <c r="V237" i="3"/>
  <c r="Q236" i="3"/>
  <c r="L171" i="7"/>
  <c r="AE171" i="7" s="1"/>
  <c r="H171" i="7"/>
  <c r="V236" i="3"/>
  <c r="Q235" i="3"/>
  <c r="L170" i="7"/>
  <c r="AE170" i="7" s="1"/>
  <c r="H170" i="7"/>
  <c r="Q170" i="7" s="1"/>
  <c r="V235" i="3"/>
  <c r="Q234" i="3"/>
  <c r="L169" i="7"/>
  <c r="AE169" i="7" s="1"/>
  <c r="V234" i="3"/>
  <c r="H169" i="7"/>
  <c r="Q169" i="7" s="1"/>
  <c r="Q233" i="3"/>
  <c r="L168" i="7"/>
  <c r="AE168" i="7" s="1"/>
  <c r="V233" i="3"/>
  <c r="H168" i="7"/>
  <c r="Q168" i="7" s="1"/>
  <c r="Q232" i="3"/>
  <c r="L167" i="7"/>
  <c r="AE167" i="7" s="1"/>
  <c r="L166" i="7"/>
  <c r="AE166" i="7" s="1"/>
  <c r="Q231" i="3"/>
  <c r="H166" i="7"/>
  <c r="Q166" i="7" s="1"/>
  <c r="V231" i="3"/>
  <c r="L165" i="7"/>
  <c r="AE165" i="7" s="1"/>
  <c r="Q230" i="3"/>
  <c r="H165" i="7"/>
  <c r="Q165" i="7" s="1"/>
  <c r="V230" i="3"/>
  <c r="L164" i="7"/>
  <c r="AE164" i="7" s="1"/>
  <c r="H164" i="7"/>
  <c r="Q164" i="7" s="1"/>
  <c r="L163" i="7"/>
  <c r="AE163" i="7" s="1"/>
  <c r="H163" i="7"/>
  <c r="Q163" i="7" s="1"/>
  <c r="L162" i="7"/>
  <c r="AE162" i="7" s="1"/>
  <c r="H162" i="7"/>
  <c r="Q162" i="7" s="1"/>
  <c r="L161" i="7"/>
  <c r="AE161" i="7" s="1"/>
  <c r="H161" i="7"/>
  <c r="Q161" i="7" s="1"/>
  <c r="L160" i="7"/>
  <c r="AE160" i="7" s="1"/>
  <c r="H160" i="7"/>
  <c r="Q160" i="7" s="1"/>
  <c r="L159" i="7"/>
  <c r="AE159" i="7" s="1"/>
  <c r="H159" i="7"/>
  <c r="Q159" i="7" s="1"/>
  <c r="B159" i="7"/>
  <c r="H158" i="7"/>
  <c r="Q158" i="7" s="1"/>
  <c r="H157" i="7"/>
  <c r="Q157" i="7" s="1"/>
  <c r="H156" i="7"/>
  <c r="Q156" i="7" s="1"/>
  <c r="H155" i="7"/>
  <c r="Q155" i="7" s="1"/>
  <c r="H154" i="7"/>
  <c r="Q154" i="7" s="1"/>
  <c r="H153" i="7"/>
  <c r="Q153" i="7" s="1"/>
  <c r="H152" i="7"/>
  <c r="Q152" i="7" s="1"/>
  <c r="H151" i="7"/>
  <c r="Q151" i="7" s="1"/>
  <c r="H150" i="7"/>
  <c r="Q150" i="7" s="1"/>
  <c r="H149" i="7"/>
  <c r="Q149" i="7" s="1"/>
  <c r="H148" i="7"/>
  <c r="Q148" i="7" s="1"/>
  <c r="H147" i="7"/>
  <c r="Q147" i="7" s="1"/>
  <c r="V211" i="3"/>
  <c r="H146" i="7"/>
  <c r="Q146" i="7" s="1"/>
  <c r="J30" i="7"/>
  <c r="AC30" i="7" s="1"/>
  <c r="J276" i="7"/>
  <c r="AC276" i="7" s="1"/>
  <c r="T36" i="3"/>
  <c r="I30" i="7"/>
  <c r="AB30" i="7" s="1"/>
  <c r="I276" i="7"/>
  <c r="AB276" i="7" s="1"/>
  <c r="I173" i="7"/>
  <c r="AB173" i="7" s="1"/>
  <c r="G28" i="7"/>
  <c r="Q28" i="7" s="1"/>
  <c r="G171" i="7"/>
  <c r="G274" i="7"/>
  <c r="F171" i="7"/>
  <c r="P171" i="7" s="1"/>
  <c r="P28" i="7"/>
  <c r="F274" i="7"/>
  <c r="P274" i="7" s="1"/>
  <c r="R34" i="3"/>
  <c r="K164" i="7"/>
  <c r="AD164" i="7" s="1"/>
  <c r="K21" i="7"/>
  <c r="AD21" i="7" s="1"/>
  <c r="R21" i="7" s="1"/>
  <c r="K267" i="7"/>
  <c r="AD267" i="7" s="1"/>
  <c r="B21" i="7"/>
  <c r="C20" i="7"/>
  <c r="B20" i="7"/>
  <c r="C19" i="7"/>
  <c r="B19" i="7"/>
  <c r="D18" i="7"/>
  <c r="C18" i="7"/>
  <c r="C17" i="7"/>
  <c r="D16" i="7"/>
  <c r="C16" i="7"/>
  <c r="D15" i="7"/>
  <c r="C15" i="7"/>
  <c r="E6" i="7"/>
  <c r="M6" i="7" s="1"/>
  <c r="F13" i="3"/>
  <c r="W11" i="3"/>
  <c r="E5" i="7"/>
  <c r="M5" i="7" s="1"/>
  <c r="W10" i="3"/>
  <c r="F12" i="3"/>
  <c r="AC102" i="3"/>
  <c r="AC37" i="3"/>
  <c r="AC97" i="3"/>
  <c r="AC12" i="3"/>
  <c r="AC96" i="3"/>
  <c r="AC26" i="3"/>
  <c r="AC28" i="3"/>
  <c r="AC34" i="3"/>
  <c r="AC19" i="3"/>
  <c r="AC15" i="3"/>
  <c r="AC24" i="3"/>
  <c r="AC51" i="3"/>
  <c r="AC25" i="3"/>
  <c r="AC22" i="3"/>
  <c r="AC40" i="3"/>
  <c r="AC41" i="3"/>
  <c r="AC29" i="3"/>
  <c r="AC104" i="3"/>
  <c r="AC32" i="3"/>
  <c r="AC39" i="3"/>
  <c r="AC50" i="3"/>
  <c r="AC27" i="3"/>
  <c r="AC48" i="3"/>
  <c r="AC103" i="3"/>
  <c r="AC9" i="3"/>
  <c r="AC23" i="3"/>
  <c r="AC100" i="3"/>
  <c r="AC31" i="3"/>
  <c r="AC46" i="3"/>
  <c r="AC16" i="3"/>
  <c r="AC49" i="3"/>
  <c r="AC45" i="3"/>
  <c r="AC17" i="3"/>
  <c r="AC106" i="3"/>
  <c r="AC11" i="3"/>
  <c r="AC14" i="3"/>
  <c r="AC33" i="3"/>
  <c r="AC36" i="3"/>
  <c r="AC10" i="3"/>
  <c r="AC18" i="3"/>
  <c r="AC53" i="3"/>
  <c r="AC20" i="3"/>
  <c r="AC56" i="3"/>
  <c r="AC38" i="3"/>
  <c r="AC101" i="3"/>
  <c r="AC44" i="3"/>
  <c r="AC8" i="3"/>
  <c r="AC43" i="3"/>
  <c r="AC107" i="3"/>
  <c r="AC98" i="3"/>
  <c r="AC52" i="3"/>
  <c r="AC42" i="3"/>
  <c r="AC21" i="3"/>
  <c r="AC30" i="3"/>
  <c r="AC47" i="3"/>
  <c r="AC55" i="3"/>
  <c r="AC95" i="3"/>
  <c r="AC94" i="3"/>
  <c r="AC93" i="3"/>
  <c r="AC92" i="3"/>
  <c r="AC91" i="3"/>
  <c r="AC90" i="3"/>
  <c r="AC89" i="3"/>
  <c r="AC105" i="3"/>
  <c r="AC87" i="3"/>
  <c r="AC86" i="3"/>
  <c r="AC85" i="3"/>
  <c r="AC84" i="3"/>
  <c r="AC83" i="3"/>
  <c r="AC82" i="3"/>
  <c r="AC81" i="3"/>
  <c r="AC80" i="3"/>
  <c r="AC79" i="3"/>
  <c r="AC78" i="3"/>
  <c r="AC77" i="3"/>
  <c r="AC76" i="3"/>
  <c r="AC75" i="3"/>
  <c r="AC74" i="3"/>
  <c r="AC73" i="3"/>
  <c r="AC72" i="3"/>
  <c r="AC71" i="3"/>
  <c r="AC70" i="3"/>
  <c r="AC69" i="3"/>
  <c r="AC68" i="3"/>
  <c r="AC67" i="3"/>
  <c r="AC66" i="3"/>
  <c r="AC65" i="3"/>
  <c r="AC64" i="3"/>
  <c r="AC63" i="3"/>
  <c r="AC62" i="3"/>
  <c r="AC61" i="3"/>
  <c r="AC60" i="3"/>
  <c r="AC59" i="3"/>
  <c r="AC58" i="3"/>
  <c r="AC57" i="3"/>
  <c r="AC54" i="3"/>
  <c r="AC35" i="3"/>
  <c r="AC99" i="3"/>
  <c r="AC13" i="3"/>
  <c r="AC88" i="3"/>
  <c r="AB10" i="3"/>
  <c r="AB9" i="3"/>
  <c r="AB8" i="3"/>
  <c r="AB11" i="3"/>
  <c r="Z16" i="3"/>
  <c r="Z8" i="3"/>
  <c r="Z15" i="3"/>
  <c r="Z20" i="3"/>
  <c r="Z9" i="3"/>
  <c r="Z18" i="3"/>
  <c r="Z11" i="3"/>
  <c r="Z13" i="3"/>
  <c r="Z17" i="3"/>
  <c r="Z23" i="3"/>
  <c r="Z12" i="3"/>
  <c r="Z14" i="3"/>
  <c r="Z19" i="3"/>
  <c r="Z21" i="3"/>
  <c r="Z22" i="3"/>
  <c r="Z10" i="3"/>
  <c r="Y9" i="3"/>
  <c r="Y8" i="3"/>
  <c r="X21" i="3"/>
  <c r="X95" i="3"/>
  <c r="X69" i="3"/>
  <c r="X32" i="3"/>
  <c r="X10" i="3"/>
  <c r="X35" i="3"/>
  <c r="X81" i="3"/>
  <c r="X99" i="3"/>
  <c r="X68" i="3"/>
  <c r="X9" i="3"/>
  <c r="X100" i="3"/>
  <c r="X56" i="3"/>
  <c r="X88" i="3"/>
  <c r="X80" i="3"/>
  <c r="X67" i="3"/>
  <c r="X36" i="3"/>
  <c r="X54" i="3"/>
  <c r="X52" i="3"/>
  <c r="X47" i="3"/>
  <c r="X89" i="3"/>
  <c r="X66" i="3"/>
  <c r="X79" i="3"/>
  <c r="X44" i="3"/>
  <c r="X50" i="3"/>
  <c r="X17" i="3"/>
  <c r="X30" i="3"/>
  <c r="X65" i="3"/>
  <c r="X97" i="3"/>
  <c r="X78" i="3"/>
  <c r="X41" i="3"/>
  <c r="X14" i="3"/>
  <c r="X22" i="3"/>
  <c r="X64" i="3"/>
  <c r="X43" i="3"/>
  <c r="X42" i="3"/>
  <c r="X84" i="3"/>
  <c r="X77" i="3"/>
  <c r="X107" i="3"/>
  <c r="X63" i="3"/>
  <c r="X46" i="3"/>
  <c r="X105" i="3"/>
  <c r="X101" i="3"/>
  <c r="X102" i="3"/>
  <c r="X76" i="3"/>
  <c r="X62" i="3"/>
  <c r="X27" i="3"/>
  <c r="X90" i="3"/>
  <c r="X55" i="3"/>
  <c r="X31" i="3"/>
  <c r="X86" i="3"/>
  <c r="X61" i="3"/>
  <c r="X91" i="3"/>
  <c r="X75" i="3"/>
  <c r="X18" i="3"/>
  <c r="X12" i="3"/>
  <c r="X38" i="3"/>
  <c r="X60" i="3"/>
  <c r="X51" i="3"/>
  <c r="X87" i="3"/>
  <c r="X74" i="3"/>
  <c r="X19" i="3"/>
  <c r="X83" i="3"/>
  <c r="X59" i="3"/>
  <c r="X96" i="3"/>
  <c r="X48" i="3"/>
  <c r="X92" i="3"/>
  <c r="X73" i="3"/>
  <c r="X103" i="3"/>
  <c r="X58" i="3"/>
  <c r="X28" i="3"/>
  <c r="X98" i="3"/>
  <c r="X26" i="3"/>
  <c r="X24" i="3"/>
  <c r="X93" i="3"/>
  <c r="X57" i="3"/>
  <c r="X72" i="3"/>
  <c r="X106" i="3"/>
  <c r="X16" i="3"/>
  <c r="X49" i="3"/>
  <c r="X39" i="3"/>
  <c r="X45" i="3"/>
  <c r="X37" i="3"/>
  <c r="X8" i="3"/>
  <c r="X85" i="3"/>
  <c r="X71" i="3"/>
  <c r="X40" i="3"/>
  <c r="X82" i="3"/>
  <c r="X29" i="3"/>
  <c r="X104" i="3"/>
  <c r="X25" i="3"/>
  <c r="X20" i="3"/>
  <c r="X23" i="3"/>
  <c r="X33" i="3"/>
  <c r="X94" i="3"/>
  <c r="X70" i="3"/>
  <c r="X15" i="3"/>
  <c r="X13" i="3"/>
  <c r="X34" i="3"/>
  <c r="X53" i="3"/>
  <c r="X11" i="3"/>
  <c r="O1" i="1"/>
  <c r="O205" i="1"/>
  <c r="P1" i="1"/>
  <c r="N205" i="1"/>
  <c r="Y17" i="4"/>
  <c r="Y21" i="4"/>
  <c r="Y4" i="4"/>
  <c r="Y20" i="4"/>
  <c r="Y16" i="4"/>
  <c r="Y19" i="4"/>
  <c r="Y12" i="4"/>
  <c r="Y18" i="4"/>
  <c r="Y11" i="4"/>
  <c r="Y10" i="4"/>
  <c r="Y9" i="4"/>
  <c r="Y8" i="4"/>
  <c r="Y7" i="4"/>
  <c r="Y15" i="4"/>
  <c r="Y6" i="4"/>
  <c r="Y14" i="4"/>
  <c r="Y5" i="4"/>
  <c r="AB5" i="4" s="1"/>
  <c r="Y13" i="4"/>
  <c r="AB13" i="4" s="1"/>
  <c r="AB12" i="4"/>
  <c r="AB20" i="4"/>
  <c r="AB21" i="4"/>
  <c r="AG261" i="7"/>
  <c r="AG256" i="7"/>
  <c r="V256" i="7"/>
  <c r="V161" i="7"/>
  <c r="AG161" i="7"/>
  <c r="AG160" i="7"/>
  <c r="V160" i="7"/>
  <c r="L280" i="7"/>
  <c r="AE280" i="7" s="1"/>
  <c r="H280" i="7"/>
  <c r="V445" i="3"/>
  <c r="L279" i="7"/>
  <c r="AE279" i="7" s="1"/>
  <c r="H279" i="7"/>
  <c r="V444" i="3"/>
  <c r="L278" i="7"/>
  <c r="AE278" i="7" s="1"/>
  <c r="V443" i="3"/>
  <c r="H278" i="7"/>
  <c r="L277" i="7"/>
  <c r="AE277" i="7" s="1"/>
  <c r="V442" i="3"/>
  <c r="H277" i="7"/>
  <c r="L276" i="7"/>
  <c r="AE276" i="7" s="1"/>
  <c r="H276" i="7"/>
  <c r="V441" i="3"/>
  <c r="C251" i="7"/>
  <c r="B251" i="7"/>
  <c r="L250" i="7"/>
  <c r="AE250" i="7" s="1"/>
  <c r="H250" i="7"/>
  <c r="Q250" i="7" s="1"/>
  <c r="E250" i="7"/>
  <c r="C250" i="7"/>
  <c r="B250" i="7"/>
  <c r="L249" i="7"/>
  <c r="AE249" i="7" s="1"/>
  <c r="H249" i="7"/>
  <c r="Q249" i="7" s="1"/>
  <c r="E249" i="7"/>
  <c r="B249" i="7"/>
  <c r="L245" i="7"/>
  <c r="AE245" i="7" s="1"/>
  <c r="Q310" i="3"/>
  <c r="Q309" i="3"/>
  <c r="L244" i="7"/>
  <c r="AE244" i="7" s="1"/>
  <c r="Q308" i="3"/>
  <c r="L243" i="7"/>
  <c r="AE243" i="7" s="1"/>
  <c r="L242" i="7"/>
  <c r="AE242" i="7" s="1"/>
  <c r="Q307" i="3"/>
  <c r="Q306" i="3"/>
  <c r="L241" i="7"/>
  <c r="AE241" i="7" s="1"/>
  <c r="Q305" i="3"/>
  <c r="L240" i="7"/>
  <c r="AE240" i="7" s="1"/>
  <c r="Q304" i="3"/>
  <c r="L239" i="7"/>
  <c r="AE239" i="7" s="1"/>
  <c r="L238" i="7"/>
  <c r="AE238" i="7" s="1"/>
  <c r="Q303" i="3"/>
  <c r="Q302" i="3"/>
  <c r="L237" i="7"/>
  <c r="AE237" i="7" s="1"/>
  <c r="Q282" i="3"/>
  <c r="L217" i="7"/>
  <c r="AE217" i="7" s="1"/>
  <c r="L216" i="7"/>
  <c r="AE216" i="7" s="1"/>
  <c r="Q281" i="3"/>
  <c r="L215" i="7"/>
  <c r="AE215" i="7" s="1"/>
  <c r="Q280" i="3"/>
  <c r="Q279" i="3"/>
  <c r="L214" i="7"/>
  <c r="AE214" i="7" s="1"/>
  <c r="Q278" i="3"/>
  <c r="L213" i="7"/>
  <c r="AE213" i="7" s="1"/>
  <c r="L212" i="7"/>
  <c r="AE212" i="7" s="1"/>
  <c r="Q277" i="3"/>
  <c r="Q276" i="3"/>
  <c r="L211" i="7"/>
  <c r="AE211" i="7" s="1"/>
  <c r="Q275" i="3"/>
  <c r="L210" i="7"/>
  <c r="AE210" i="7" s="1"/>
  <c r="L209" i="7"/>
  <c r="AE209" i="7" s="1"/>
  <c r="Q274" i="3"/>
  <c r="L208" i="7"/>
  <c r="AE208" i="7" s="1"/>
  <c r="Q273" i="3"/>
  <c r="L207" i="7"/>
  <c r="AE207" i="7" s="1"/>
  <c r="Q272" i="3"/>
  <c r="L206" i="7"/>
  <c r="AE206" i="7" s="1"/>
  <c r="Q271" i="3"/>
  <c r="L205" i="7"/>
  <c r="AE205" i="7" s="1"/>
  <c r="Q270" i="3"/>
  <c r="L204" i="7"/>
  <c r="AE204" i="7" s="1"/>
  <c r="Q269" i="3"/>
  <c r="L203" i="7"/>
  <c r="AE203" i="7" s="1"/>
  <c r="Q268" i="3"/>
  <c r="L202" i="7"/>
  <c r="AE202" i="7" s="1"/>
  <c r="Q267" i="3"/>
  <c r="Q266" i="3"/>
  <c r="L201" i="7"/>
  <c r="AE201" i="7" s="1"/>
  <c r="L200" i="7"/>
  <c r="AE200" i="7" s="1"/>
  <c r="Q265" i="3"/>
  <c r="L188" i="7"/>
  <c r="AE188" i="7" s="1"/>
  <c r="Q253" i="3"/>
  <c r="L187" i="7"/>
  <c r="AE187" i="7" s="1"/>
  <c r="Q252" i="3"/>
  <c r="L186" i="7"/>
  <c r="AE186" i="7" s="1"/>
  <c r="Q251" i="3"/>
  <c r="L185" i="7"/>
  <c r="AE185" i="7" s="1"/>
  <c r="Q250" i="3"/>
  <c r="L184" i="7"/>
  <c r="AE184" i="7" s="1"/>
  <c r="Q249" i="3"/>
  <c r="L183" i="7"/>
  <c r="AE183" i="7" s="1"/>
  <c r="Q248" i="3"/>
  <c r="L182" i="7"/>
  <c r="AE182" i="7" s="1"/>
  <c r="Q247" i="3"/>
  <c r="L181" i="7"/>
  <c r="AE181" i="7" s="1"/>
  <c r="Q246" i="3"/>
  <c r="L180" i="7"/>
  <c r="AE180" i="7" s="1"/>
  <c r="Q245" i="3"/>
  <c r="L179" i="7"/>
  <c r="AE179" i="7" s="1"/>
  <c r="Q244" i="3"/>
  <c r="L178" i="7"/>
  <c r="AE178" i="7" s="1"/>
  <c r="Q243" i="3"/>
  <c r="L177" i="7"/>
  <c r="AE177" i="7" s="1"/>
  <c r="Q242" i="3"/>
  <c r="L176" i="7"/>
  <c r="AE176" i="7" s="1"/>
  <c r="Q241" i="3"/>
  <c r="Q240" i="3"/>
  <c r="L175" i="7"/>
  <c r="AE175" i="7" s="1"/>
  <c r="L174" i="7"/>
  <c r="AE174" i="7" s="1"/>
  <c r="Q239" i="3"/>
  <c r="L158" i="7"/>
  <c r="AE158" i="7" s="1"/>
  <c r="B158" i="7"/>
  <c r="L157" i="7"/>
  <c r="AE157" i="7" s="1"/>
  <c r="B157" i="7"/>
  <c r="L156" i="7"/>
  <c r="AE156" i="7" s="1"/>
  <c r="B156" i="7"/>
  <c r="L155" i="7"/>
  <c r="AE155" i="7" s="1"/>
  <c r="C155" i="7"/>
  <c r="B155" i="7"/>
  <c r="L154" i="7"/>
  <c r="AE154" i="7" s="1"/>
  <c r="C154" i="7"/>
  <c r="B154" i="7"/>
  <c r="L153" i="7"/>
  <c r="AE153" i="7" s="1"/>
  <c r="C153" i="7"/>
  <c r="B153" i="7"/>
  <c r="L152" i="7"/>
  <c r="AE152" i="7" s="1"/>
  <c r="B152" i="7"/>
  <c r="L151" i="7"/>
  <c r="AE151" i="7" s="1"/>
  <c r="C151" i="7"/>
  <c r="B151" i="7"/>
  <c r="L150" i="7"/>
  <c r="AE150" i="7" s="1"/>
  <c r="C150" i="7"/>
  <c r="B150" i="7"/>
  <c r="L149" i="7"/>
  <c r="AE149" i="7" s="1"/>
  <c r="D149" i="7"/>
  <c r="C149" i="7"/>
  <c r="B149" i="7"/>
  <c r="L148" i="7"/>
  <c r="AE148" i="7" s="1"/>
  <c r="C148" i="7"/>
  <c r="B148" i="7"/>
  <c r="L147" i="7"/>
  <c r="AE147" i="7" s="1"/>
  <c r="E147" i="7"/>
  <c r="X147" i="7"/>
  <c r="AI147" i="7"/>
  <c r="C147" i="7"/>
  <c r="B147" i="7"/>
  <c r="L146" i="7"/>
  <c r="AE146" i="7" s="1"/>
  <c r="Q211" i="3"/>
  <c r="E146" i="7"/>
  <c r="B146" i="7"/>
  <c r="J18" i="6"/>
  <c r="N18" i="6" s="1"/>
  <c r="Z19" i="6"/>
  <c r="AF26" i="6"/>
  <c r="L6" i="6"/>
  <c r="M6" i="6"/>
  <c r="L27" i="6"/>
  <c r="M27" i="6"/>
  <c r="J26" i="6"/>
  <c r="N26" i="6" s="1"/>
  <c r="M30" i="6"/>
  <c r="K15" i="6"/>
  <c r="M3" i="6"/>
  <c r="M15" i="6"/>
  <c r="L32" i="6"/>
  <c r="L24" i="6"/>
  <c r="L16" i="6"/>
  <c r="L8" i="6"/>
  <c r="L29" i="6"/>
  <c r="L21" i="6"/>
  <c r="L28" i="6"/>
  <c r="L31" i="6"/>
  <c r="L25" i="6"/>
  <c r="L19" i="6"/>
  <c r="L22" i="6"/>
  <c r="L13" i="6"/>
  <c r="L10" i="6"/>
  <c r="L7" i="6"/>
  <c r="L30" i="6"/>
  <c r="L26" i="6"/>
  <c r="L23" i="6"/>
  <c r="L18" i="6"/>
  <c r="L9" i="6"/>
  <c r="L4" i="6"/>
  <c r="L14" i="6"/>
  <c r="L11" i="6"/>
  <c r="L15" i="6"/>
  <c r="M24" i="6"/>
  <c r="M28" i="6"/>
  <c r="J20" i="6"/>
  <c r="N20" i="6" s="1"/>
  <c r="J8" i="6"/>
  <c r="N8" i="6" s="1"/>
  <c r="J12" i="6"/>
  <c r="N12" i="6" s="1"/>
  <c r="K20" i="6"/>
  <c r="L12" i="6"/>
  <c r="L20" i="6"/>
  <c r="M20" i="6"/>
  <c r="K11" i="6"/>
  <c r="K3" i="6"/>
  <c r="K32" i="6"/>
  <c r="K24" i="6"/>
  <c r="K16" i="6"/>
  <c r="K8" i="6"/>
  <c r="K29" i="6"/>
  <c r="K21" i="6"/>
  <c r="K5" i="6"/>
  <c r="K28" i="6"/>
  <c r="K31" i="6"/>
  <c r="K25" i="6"/>
  <c r="K19" i="6"/>
  <c r="K22" i="6"/>
  <c r="K13" i="6"/>
  <c r="K30" i="6"/>
  <c r="K10" i="6"/>
  <c r="K23" i="6"/>
  <c r="K26" i="6"/>
  <c r="K12" i="6"/>
  <c r="K7" i="6"/>
  <c r="K14" i="6"/>
  <c r="K4" i="6"/>
  <c r="K17" i="6"/>
  <c r="K6" i="6"/>
  <c r="M8" i="6"/>
  <c r="M29" i="6"/>
  <c r="M21" i="6"/>
  <c r="M13" i="6"/>
  <c r="M26" i="6"/>
  <c r="M18" i="6"/>
  <c r="M31" i="6"/>
  <c r="M25" i="6"/>
  <c r="M19" i="6"/>
  <c r="M22" i="6"/>
  <c r="M16" i="6"/>
  <c r="M10" i="6"/>
  <c r="M7" i="6"/>
  <c r="M23" i="6"/>
  <c r="M4" i="6"/>
  <c r="M11" i="6"/>
  <c r="M14" i="6"/>
  <c r="M17" i="6"/>
  <c r="M32" i="6"/>
  <c r="M12" i="6"/>
  <c r="J9" i="6"/>
  <c r="N9" i="6" s="1"/>
  <c r="J27" i="6"/>
  <c r="N27" i="6" s="1"/>
  <c r="K27" i="6"/>
  <c r="O27" i="6" s="1"/>
  <c r="L3" i="6"/>
  <c r="L5" i="6"/>
  <c r="K9" i="6"/>
  <c r="L17" i="6"/>
  <c r="J15" i="6"/>
  <c r="N15" i="6" s="1"/>
  <c r="J14" i="6"/>
  <c r="N14" i="6" s="1"/>
  <c r="J11" i="6"/>
  <c r="N11" i="6" s="1"/>
  <c r="J29" i="6"/>
  <c r="N29" i="6" s="1"/>
  <c r="J21" i="6"/>
  <c r="N21" i="6" s="1"/>
  <c r="J7" i="6"/>
  <c r="N7" i="6" s="1"/>
  <c r="J17" i="6"/>
  <c r="N17" i="6" s="1"/>
  <c r="N6" i="6"/>
  <c r="M5" i="6"/>
  <c r="M9" i="6"/>
  <c r="J23" i="6"/>
  <c r="N23" i="6" s="1"/>
  <c r="J28" i="6"/>
  <c r="N28" i="6" s="1"/>
  <c r="J31" i="6"/>
  <c r="N31" i="6" s="1"/>
  <c r="J25" i="6"/>
  <c r="N25" i="6" s="1"/>
  <c r="J19" i="6"/>
  <c r="N19" i="6" s="1"/>
  <c r="J22" i="6"/>
  <c r="N22" i="6" s="1"/>
  <c r="J30" i="6"/>
  <c r="N30" i="6" s="1"/>
  <c r="J13" i="6"/>
  <c r="N13" i="6" s="1"/>
  <c r="J16" i="6"/>
  <c r="N16" i="6" s="1"/>
  <c r="J24" i="6"/>
  <c r="N24" i="6" s="1"/>
  <c r="J32" i="6"/>
  <c r="N32" i="6" s="1"/>
  <c r="AP8" i="7" l="1"/>
  <c r="R252" i="7"/>
  <c r="AH14" i="7"/>
  <c r="AG257" i="7"/>
  <c r="AP6" i="7"/>
  <c r="AO3" i="7"/>
  <c r="AO24" i="7"/>
  <c r="AO20" i="7"/>
  <c r="AO16" i="7"/>
  <c r="AO12" i="7"/>
  <c r="AO8" i="7"/>
  <c r="AO4" i="7"/>
  <c r="AI148" i="7"/>
  <c r="AH10" i="7"/>
  <c r="AI250" i="7"/>
  <c r="AO10" i="7"/>
  <c r="X146" i="7"/>
  <c r="V254" i="7"/>
  <c r="V263" i="7"/>
  <c r="W9" i="7"/>
  <c r="Q274" i="7"/>
  <c r="AI251" i="7"/>
  <c r="AP23" i="7"/>
  <c r="AO5" i="7"/>
  <c r="V255" i="7"/>
  <c r="AO15" i="7"/>
  <c r="V264" i="7"/>
  <c r="AO23" i="7"/>
  <c r="R153" i="7"/>
  <c r="AO6" i="7"/>
  <c r="AO7" i="7"/>
  <c r="R156" i="7"/>
  <c r="AP20" i="7"/>
  <c r="R263" i="7"/>
  <c r="AO19" i="7"/>
  <c r="R157" i="7"/>
  <c r="Q171" i="7"/>
  <c r="AP28" i="7" s="1"/>
  <c r="R254" i="7"/>
  <c r="AP22" i="7"/>
  <c r="AO27" i="7"/>
  <c r="R150" i="7"/>
  <c r="R260" i="7"/>
  <c r="AP19" i="7"/>
  <c r="AP27" i="7"/>
  <c r="AP17" i="7"/>
  <c r="AP10" i="7"/>
  <c r="AP24" i="7"/>
  <c r="AO18" i="7"/>
  <c r="R154" i="7"/>
  <c r="R250" i="7"/>
  <c r="V252" i="7"/>
  <c r="R255" i="7"/>
  <c r="R261" i="7"/>
  <c r="R265" i="7"/>
  <c r="AP16" i="7"/>
  <c r="AP21" i="7"/>
  <c r="AP11" i="7"/>
  <c r="AO26" i="7"/>
  <c r="AO14" i="7"/>
  <c r="AP25" i="7"/>
  <c r="AP3" i="7"/>
  <c r="R151" i="7"/>
  <c r="R147" i="7"/>
  <c r="R158" i="7"/>
  <c r="R258" i="7"/>
  <c r="W4" i="7"/>
  <c r="N4" i="7" s="1"/>
  <c r="AH13" i="7"/>
  <c r="AP13" i="7"/>
  <c r="AP26" i="7"/>
  <c r="AO25" i="7"/>
  <c r="AO21" i="7"/>
  <c r="AO17" i="7"/>
  <c r="AO13" i="7"/>
  <c r="AO9" i="7"/>
  <c r="AP14" i="7"/>
  <c r="AP5" i="7"/>
  <c r="AG262" i="7"/>
  <c r="AO22" i="7"/>
  <c r="R149" i="7"/>
  <c r="R152" i="7"/>
  <c r="V253" i="7"/>
  <c r="R253" i="7"/>
  <c r="AP12" i="7"/>
  <c r="AP9" i="7"/>
  <c r="R148" i="7"/>
  <c r="R257" i="7"/>
  <c r="AP15" i="7"/>
  <c r="R146" i="7"/>
  <c r="R155" i="7"/>
  <c r="AQ12" i="7" s="1"/>
  <c r="R251" i="7"/>
  <c r="R256" i="7"/>
  <c r="R259" i="7"/>
  <c r="AP18" i="7"/>
  <c r="AP7" i="7"/>
  <c r="AP4" i="7"/>
  <c r="AJ11" i="11"/>
  <c r="AJ12" i="11"/>
  <c r="AJ14" i="11"/>
  <c r="AJ18" i="11"/>
  <c r="AJ16" i="11"/>
  <c r="AJ17" i="11"/>
  <c r="AJ19" i="11"/>
  <c r="AJ20" i="11"/>
  <c r="AJ22" i="11"/>
  <c r="O47" i="11"/>
  <c r="U47" i="11"/>
  <c r="AJ27" i="11"/>
  <c r="AJ9" i="11"/>
  <c r="AJ10" i="11"/>
  <c r="AJ13" i="11"/>
  <c r="AJ23" i="11"/>
  <c r="AJ24" i="11"/>
  <c r="AJ25" i="11"/>
  <c r="AJ26" i="11"/>
  <c r="AJ28" i="11"/>
  <c r="AJ29" i="11"/>
  <c r="AJ30" i="11"/>
  <c r="AJ31" i="11"/>
  <c r="AJ32" i="11"/>
  <c r="AJ33" i="11"/>
  <c r="AJ34" i="11"/>
  <c r="AJ35" i="11"/>
  <c r="AG258" i="7"/>
  <c r="V258" i="7"/>
  <c r="W12" i="7"/>
  <c r="AH12" i="7"/>
  <c r="W11" i="7"/>
  <c r="AH11" i="7"/>
  <c r="D22" i="10"/>
  <c r="H22" i="10" s="1"/>
  <c r="D230" i="3"/>
  <c r="D433" i="3"/>
  <c r="E17" i="10"/>
  <c r="I17" i="10" s="1"/>
  <c r="E428" i="3"/>
  <c r="E225" i="3"/>
  <c r="D21" i="10"/>
  <c r="H21" i="10" s="1"/>
  <c r="D432" i="3"/>
  <c r="D229" i="3"/>
  <c r="D20" i="10"/>
  <c r="H20" i="10" s="1"/>
  <c r="D228" i="3"/>
  <c r="C163" i="7" s="1"/>
  <c r="D431" i="3"/>
  <c r="C266" i="7" s="1"/>
  <c r="D19" i="10"/>
  <c r="H19" i="10" s="1"/>
  <c r="D430" i="3"/>
  <c r="C265" i="7" s="1"/>
  <c r="D227" i="3"/>
  <c r="C162" i="7" s="1"/>
  <c r="W260" i="7"/>
  <c r="AH260" i="7"/>
  <c r="AG259" i="7"/>
  <c r="V259" i="7"/>
  <c r="R162" i="7"/>
  <c r="R160" i="7"/>
  <c r="R159" i="7"/>
  <c r="D24" i="10"/>
  <c r="H24" i="10" s="1"/>
  <c r="D435" i="3"/>
  <c r="D232" i="3"/>
  <c r="D25" i="10"/>
  <c r="H25" i="10" s="1"/>
  <c r="D233" i="3"/>
  <c r="D436" i="3"/>
  <c r="D27" i="10"/>
  <c r="H27" i="10" s="1"/>
  <c r="D438" i="3"/>
  <c r="D235" i="3"/>
  <c r="D29" i="10"/>
  <c r="H29" i="10" s="1"/>
  <c r="D440" i="3"/>
  <c r="D237" i="3"/>
  <c r="D23" i="10"/>
  <c r="H23" i="10" s="1"/>
  <c r="D434" i="3"/>
  <c r="D231" i="3"/>
  <c r="E21" i="10"/>
  <c r="I21" i="10" s="1"/>
  <c r="D21" i="7"/>
  <c r="E432" i="3"/>
  <c r="D267" i="7" s="1"/>
  <c r="E229" i="3"/>
  <c r="D164" i="7" s="1"/>
  <c r="E23" i="10"/>
  <c r="I23" i="10" s="1"/>
  <c r="E434" i="3"/>
  <c r="D269" i="7" s="1"/>
  <c r="E231" i="3"/>
  <c r="D166" i="7" s="1"/>
  <c r="E25" i="10"/>
  <c r="I25" i="10" s="1"/>
  <c r="E233" i="3"/>
  <c r="E436" i="3"/>
  <c r="E27" i="10"/>
  <c r="I27" i="10" s="1"/>
  <c r="E235" i="3"/>
  <c r="E438" i="3"/>
  <c r="E29" i="10"/>
  <c r="I29" i="10" s="1"/>
  <c r="E237" i="3"/>
  <c r="E440" i="3"/>
  <c r="E31" i="10"/>
  <c r="I31" i="10" s="1"/>
  <c r="E442" i="3"/>
  <c r="E239" i="3"/>
  <c r="E33" i="10"/>
  <c r="I33" i="10" s="1"/>
  <c r="E444" i="3"/>
  <c r="E241" i="3"/>
  <c r="E35" i="10"/>
  <c r="I35" i="10" s="1"/>
  <c r="E446" i="3"/>
  <c r="E243" i="3"/>
  <c r="E37" i="10"/>
  <c r="I37" i="10" s="1"/>
  <c r="E448" i="3"/>
  <c r="E245" i="3"/>
  <c r="E39" i="10"/>
  <c r="I39" i="10" s="1"/>
  <c r="E247" i="3"/>
  <c r="E450" i="3"/>
  <c r="E41" i="10"/>
  <c r="I41" i="10" s="1"/>
  <c r="E452" i="3"/>
  <c r="E249" i="3"/>
  <c r="E43" i="10"/>
  <c r="I43" i="10" s="1"/>
  <c r="E251" i="3"/>
  <c r="E454" i="3"/>
  <c r="E45" i="10"/>
  <c r="I45" i="10" s="1"/>
  <c r="E253" i="3"/>
  <c r="E456" i="3"/>
  <c r="E47" i="10"/>
  <c r="I47" i="10" s="1"/>
  <c r="E458" i="3"/>
  <c r="E255" i="3"/>
  <c r="E49" i="10"/>
  <c r="I49" i="10" s="1"/>
  <c r="E460" i="3"/>
  <c r="E257" i="3"/>
  <c r="E51" i="10"/>
  <c r="I51" i="10" s="1"/>
  <c r="E462" i="3"/>
  <c r="E259" i="3"/>
  <c r="U427" i="3"/>
  <c r="K262" i="7"/>
  <c r="AD262" i="7" s="1"/>
  <c r="R262" i="7" s="1"/>
  <c r="T238" i="3"/>
  <c r="J173" i="7"/>
  <c r="AC173" i="7" s="1"/>
  <c r="D26" i="10"/>
  <c r="H26" i="10" s="1"/>
  <c r="D437" i="3"/>
  <c r="D234" i="3"/>
  <c r="Z4" i="4"/>
  <c r="AC5" i="4" s="1"/>
  <c r="Z3" i="4"/>
  <c r="X16" i="4"/>
  <c r="X19" i="4"/>
  <c r="X12" i="4"/>
  <c r="X22" i="4"/>
  <c r="X18" i="4"/>
  <c r="X11" i="4"/>
  <c r="X10" i="4"/>
  <c r="X8" i="4"/>
  <c r="X6" i="4"/>
  <c r="X21" i="4"/>
  <c r="X15" i="4"/>
  <c r="X9" i="4"/>
  <c r="AA9" i="4" s="1"/>
  <c r="X7" i="4"/>
  <c r="AA7" i="4" s="1"/>
  <c r="X5" i="4"/>
  <c r="AA5" i="4" s="1"/>
  <c r="X4" i="4"/>
  <c r="X20" i="4"/>
  <c r="AA20" i="4" s="1"/>
  <c r="X13" i="4"/>
  <c r="X17" i="4"/>
  <c r="AA17" i="4" s="1"/>
  <c r="X3" i="4"/>
  <c r="X14" i="4"/>
  <c r="AA14" i="4" s="1"/>
  <c r="M205" i="1"/>
  <c r="N1" i="1"/>
  <c r="AJ85" i="11"/>
  <c r="AJ37" i="11"/>
  <c r="AJ38" i="11"/>
  <c r="AJ39" i="11"/>
  <c r="AJ40" i="11"/>
  <c r="AJ41" i="11"/>
  <c r="AJ42" i="11"/>
  <c r="AJ43" i="11"/>
  <c r="AJ44" i="11"/>
  <c r="AJ45" i="11"/>
  <c r="AJ46" i="11"/>
  <c r="AJ47" i="11"/>
  <c r="AJ48" i="11"/>
  <c r="AJ49" i="11"/>
  <c r="AJ50" i="11"/>
  <c r="AJ51" i="11"/>
  <c r="AJ52" i="11"/>
  <c r="AJ53" i="11"/>
  <c r="AJ54" i="11"/>
  <c r="AJ55" i="11"/>
  <c r="AJ56" i="11"/>
  <c r="AJ58" i="11"/>
  <c r="AJ59" i="11"/>
  <c r="AJ60" i="11"/>
  <c r="AJ61" i="11"/>
  <c r="AJ62" i="11"/>
  <c r="AJ63" i="11"/>
  <c r="AJ64" i="11"/>
  <c r="AJ65" i="11"/>
  <c r="AJ66" i="11"/>
  <c r="AJ68" i="11"/>
  <c r="AJ69" i="11"/>
  <c r="AJ70" i="11"/>
  <c r="AJ71" i="11"/>
  <c r="AJ72" i="11"/>
  <c r="AJ73" i="11"/>
  <c r="AJ74" i="11"/>
  <c r="AJ75" i="11"/>
  <c r="AJ76" i="11"/>
  <c r="AJ78" i="11"/>
  <c r="AJ79" i="11"/>
  <c r="AJ80" i="11"/>
  <c r="AJ81" i="11"/>
  <c r="AJ82" i="11"/>
  <c r="AJ83" i="11"/>
  <c r="AJ84" i="11"/>
  <c r="AJ86" i="11"/>
  <c r="AJ88" i="11"/>
  <c r="AJ89" i="11"/>
  <c r="AJ90" i="11"/>
  <c r="AJ91" i="11"/>
  <c r="AJ92" i="11"/>
  <c r="AJ93" i="11"/>
  <c r="AJ94" i="11"/>
  <c r="AJ95" i="11"/>
  <c r="AJ96" i="11"/>
  <c r="AJ98" i="11"/>
  <c r="AJ99" i="11"/>
  <c r="AJ100" i="11"/>
  <c r="AJ101" i="11"/>
  <c r="AJ102" i="11"/>
  <c r="AJ103" i="11"/>
  <c r="AJ104" i="11"/>
  <c r="AJ105" i="11"/>
  <c r="AJ106" i="11"/>
  <c r="AJ36" i="11"/>
  <c r="AO28" i="7"/>
  <c r="AO11" i="7"/>
  <c r="D28" i="10"/>
  <c r="H28" i="10" s="1"/>
  <c r="D236" i="3"/>
  <c r="D439" i="3"/>
  <c r="J35" i="6"/>
  <c r="N35" i="6" s="1"/>
  <c r="O8" i="6"/>
  <c r="AJ15" i="11"/>
  <c r="AJ8" i="11"/>
  <c r="AA25" i="11"/>
  <c r="AH25" i="11"/>
  <c r="AA26" i="11"/>
  <c r="AH26" i="11"/>
  <c r="AA27" i="11"/>
  <c r="AH27" i="11"/>
  <c r="AA28" i="11"/>
  <c r="AH28" i="11"/>
  <c r="AA106" i="11"/>
  <c r="AH106" i="11"/>
  <c r="AA105" i="11"/>
  <c r="AH105" i="11"/>
  <c r="AA104" i="11"/>
  <c r="AH104" i="11"/>
  <c r="AA103" i="11"/>
  <c r="AH103" i="11"/>
  <c r="AA102" i="11"/>
  <c r="AH102" i="11"/>
  <c r="AA101" i="11"/>
  <c r="AH101" i="11"/>
  <c r="AA100" i="11"/>
  <c r="AH100" i="11"/>
  <c r="AA99" i="11"/>
  <c r="AH99" i="11"/>
  <c r="AA98" i="11"/>
  <c r="AH98" i="11"/>
  <c r="AA97" i="11"/>
  <c r="AH97" i="11"/>
  <c r="AA96" i="11"/>
  <c r="AH96" i="11"/>
  <c r="AA95" i="11"/>
  <c r="AH95" i="11"/>
  <c r="AA94" i="11"/>
  <c r="AH94" i="11"/>
  <c r="AA93" i="11"/>
  <c r="AH93" i="11"/>
  <c r="AA92" i="11"/>
  <c r="AH92" i="11"/>
  <c r="AA91" i="11"/>
  <c r="AH91" i="11"/>
  <c r="AA90" i="11"/>
  <c r="AH90" i="11"/>
  <c r="AA89" i="11"/>
  <c r="AH89" i="11"/>
  <c r="AA88" i="11"/>
  <c r="AH88" i="11"/>
  <c r="AA87" i="11"/>
  <c r="AH87" i="11"/>
  <c r="AA86" i="11"/>
  <c r="AH86" i="11"/>
  <c r="AA85" i="11"/>
  <c r="AH85" i="11"/>
  <c r="AA84" i="11"/>
  <c r="AH84" i="11"/>
  <c r="AA83" i="11"/>
  <c r="AH83" i="11"/>
  <c r="AA82" i="11"/>
  <c r="AH82" i="11"/>
  <c r="AA81" i="11"/>
  <c r="AH81" i="11"/>
  <c r="AA80" i="11"/>
  <c r="AH80" i="11"/>
  <c r="AA79" i="11"/>
  <c r="AH79" i="11"/>
  <c r="AA78" i="11"/>
  <c r="AH78" i="11"/>
  <c r="AA77" i="11"/>
  <c r="AH77" i="11"/>
  <c r="AA76" i="11"/>
  <c r="AH76" i="11"/>
  <c r="AA75" i="11"/>
  <c r="AH75" i="11"/>
  <c r="AA74" i="11"/>
  <c r="AH74" i="11"/>
  <c r="AA73" i="11"/>
  <c r="AH73" i="11"/>
  <c r="AA72" i="11"/>
  <c r="AH72" i="11"/>
  <c r="AA71" i="11"/>
  <c r="AH71" i="11"/>
  <c r="AA70" i="11"/>
  <c r="AH70" i="11"/>
  <c r="AA69" i="11"/>
  <c r="AH69" i="11"/>
  <c r="AA68" i="11"/>
  <c r="AH68" i="11"/>
  <c r="AA67" i="11"/>
  <c r="AH67" i="11"/>
  <c r="AA66" i="11"/>
  <c r="AH66" i="11"/>
  <c r="AA65" i="11"/>
  <c r="AH65" i="11"/>
  <c r="AA64" i="11"/>
  <c r="AH64" i="11"/>
  <c r="AA63" i="11"/>
  <c r="AH63" i="11"/>
  <c r="AA62" i="11"/>
  <c r="AH62" i="11"/>
  <c r="AA61" i="11"/>
  <c r="AH61" i="11"/>
  <c r="AA60" i="11"/>
  <c r="AH60" i="11"/>
  <c r="AA59" i="11"/>
  <c r="AH59" i="11"/>
  <c r="AA58" i="11"/>
  <c r="AH58" i="11"/>
  <c r="AA57" i="11"/>
  <c r="AH57" i="11"/>
  <c r="AA56" i="11"/>
  <c r="AH56" i="11"/>
  <c r="AA55" i="11"/>
  <c r="AH55" i="11"/>
  <c r="AA54" i="11"/>
  <c r="AH54" i="11"/>
  <c r="AA53" i="11"/>
  <c r="AH53" i="11"/>
  <c r="AA52" i="11"/>
  <c r="AH52" i="11"/>
  <c r="AA51" i="11"/>
  <c r="AH51" i="11"/>
  <c r="AA50" i="11"/>
  <c r="AH50" i="11"/>
  <c r="AA49" i="11"/>
  <c r="AH49" i="11"/>
  <c r="AA48" i="11"/>
  <c r="AH48" i="11"/>
  <c r="AA47" i="11"/>
  <c r="AH47" i="11"/>
  <c r="AA46" i="11"/>
  <c r="AH46" i="11"/>
  <c r="AA45" i="11"/>
  <c r="AH45" i="11"/>
  <c r="AA44" i="11"/>
  <c r="AH44" i="11"/>
  <c r="AA43" i="11"/>
  <c r="AH43" i="11"/>
  <c r="AA42" i="11"/>
  <c r="AH42" i="11"/>
  <c r="AA41" i="11"/>
  <c r="AH41" i="11"/>
  <c r="AA40" i="11"/>
  <c r="AH40" i="11"/>
  <c r="AA39" i="11"/>
  <c r="AH39" i="11"/>
  <c r="AA38" i="11"/>
  <c r="AH38" i="11"/>
  <c r="AA24" i="11"/>
  <c r="AH24" i="11"/>
  <c r="AA37" i="11"/>
  <c r="AH37" i="11"/>
  <c r="AA36" i="11"/>
  <c r="AH36" i="11"/>
  <c r="AA35" i="11"/>
  <c r="AH35" i="11"/>
  <c r="AA34" i="11"/>
  <c r="AH34" i="11"/>
  <c r="AA33" i="11"/>
  <c r="AH33" i="11"/>
  <c r="AA32" i="11"/>
  <c r="AH32" i="11"/>
  <c r="AA31" i="11"/>
  <c r="AH31" i="11"/>
  <c r="AA30" i="11"/>
  <c r="AH30" i="11"/>
  <c r="AA29" i="11"/>
  <c r="AH29" i="11"/>
  <c r="E57" i="11"/>
  <c r="AA174" i="11"/>
  <c r="AA208" i="11"/>
  <c r="AA207" i="11"/>
  <c r="AA206" i="11"/>
  <c r="AA205" i="11"/>
  <c r="AA204" i="11"/>
  <c r="AA203" i="11"/>
  <c r="AA202" i="11"/>
  <c r="AA201" i="11"/>
  <c r="AA200" i="11"/>
  <c r="AA199" i="11"/>
  <c r="AA198" i="11"/>
  <c r="AA197" i="11"/>
  <c r="AA196" i="11"/>
  <c r="AA195" i="11"/>
  <c r="AA194" i="11"/>
  <c r="AA193" i="11"/>
  <c r="AA192" i="11"/>
  <c r="AA191" i="11"/>
  <c r="AA190" i="11"/>
  <c r="AA189" i="11"/>
  <c r="AA188" i="11"/>
  <c r="AA187" i="11"/>
  <c r="AA186" i="11"/>
  <c r="AA185" i="11"/>
  <c r="AA184" i="11"/>
  <c r="AA183" i="11"/>
  <c r="AA182" i="11"/>
  <c r="AA181" i="11"/>
  <c r="AA180" i="11"/>
  <c r="AA179" i="11"/>
  <c r="AA178" i="11"/>
  <c r="AA177" i="11"/>
  <c r="AA176" i="11"/>
  <c r="AA175" i="11"/>
  <c r="AA173" i="11"/>
  <c r="AA172" i="11"/>
  <c r="AA171" i="11"/>
  <c r="AA170" i="11"/>
  <c r="AA169" i="11"/>
  <c r="AA168" i="11"/>
  <c r="AA167" i="11"/>
  <c r="AA166" i="11"/>
  <c r="AA165" i="11"/>
  <c r="AA164" i="11"/>
  <c r="AA163" i="11"/>
  <c r="AA162" i="11"/>
  <c r="AA161" i="11"/>
  <c r="AA160" i="11"/>
  <c r="AA159" i="11"/>
  <c r="AA158" i="11"/>
  <c r="AA157" i="11"/>
  <c r="AB156" i="11"/>
  <c r="AA155" i="11"/>
  <c r="AA154" i="11"/>
  <c r="AA153" i="11"/>
  <c r="AA152" i="11"/>
  <c r="AA151" i="11"/>
  <c r="AA150" i="11"/>
  <c r="AA149" i="11"/>
  <c r="AA148" i="11"/>
  <c r="AA147" i="11"/>
  <c r="AA146" i="11"/>
  <c r="AA145" i="11"/>
  <c r="AA144" i="11"/>
  <c r="AA143" i="11"/>
  <c r="AA142" i="11"/>
  <c r="AA141" i="11"/>
  <c r="AA140" i="11"/>
  <c r="AA139" i="11"/>
  <c r="AA138" i="11"/>
  <c r="AA137" i="11"/>
  <c r="AA136" i="11"/>
  <c r="AA135" i="11"/>
  <c r="AA134" i="11"/>
  <c r="AA133" i="11"/>
  <c r="AA132" i="11"/>
  <c r="AA131" i="11"/>
  <c r="AA130" i="11"/>
  <c r="AA129" i="11"/>
  <c r="AA128" i="11"/>
  <c r="AA127" i="11"/>
  <c r="AA126" i="11"/>
  <c r="AA125" i="11"/>
  <c r="AA124" i="11"/>
  <c r="AA123" i="11"/>
  <c r="AA122" i="11"/>
  <c r="AA121" i="11"/>
  <c r="AA120" i="11"/>
  <c r="AA119" i="11"/>
  <c r="AA118" i="11"/>
  <c r="AA117" i="11"/>
  <c r="AA116" i="11"/>
  <c r="AA115" i="11"/>
  <c r="AA114" i="11"/>
  <c r="AA113" i="11"/>
  <c r="AA112" i="11"/>
  <c r="AE185" i="11" s="1"/>
  <c r="T181" i="10" s="1"/>
  <c r="W181" i="10" s="1"/>
  <c r="AA111" i="11"/>
  <c r="AA110" i="11"/>
  <c r="AA109" i="11"/>
  <c r="AA108" i="11"/>
  <c r="AA107" i="11"/>
  <c r="C47" i="13"/>
  <c r="C53" i="13"/>
  <c r="C52" i="13"/>
  <c r="C43" i="13"/>
  <c r="C37" i="13"/>
  <c r="C34" i="13"/>
  <c r="C41" i="13"/>
  <c r="C40" i="13"/>
  <c r="C44" i="13"/>
  <c r="C33" i="13"/>
  <c r="C32" i="13"/>
  <c r="C31" i="13"/>
  <c r="C82" i="13"/>
  <c r="C54" i="13"/>
  <c r="C51" i="13"/>
  <c r="C50" i="13"/>
  <c r="C49" i="13"/>
  <c r="C48" i="13"/>
  <c r="C46" i="13"/>
  <c r="C45" i="13"/>
  <c r="C42" i="13"/>
  <c r="C39" i="13"/>
  <c r="C38" i="13"/>
  <c r="C36" i="13"/>
  <c r="C35" i="13"/>
  <c r="C105" i="13"/>
  <c r="C125" i="13"/>
  <c r="C110" i="12"/>
  <c r="AF110" i="11"/>
  <c r="U106" i="10" s="1"/>
  <c r="X106" i="10" s="1"/>
  <c r="C124" i="13"/>
  <c r="AF174" i="11"/>
  <c r="U170" i="10" s="1"/>
  <c r="X170" i="10" s="1"/>
  <c r="C123" i="13"/>
  <c r="C122" i="13"/>
  <c r="C75" i="13"/>
  <c r="C184" i="13"/>
  <c r="C183" i="13"/>
  <c r="C121" i="13"/>
  <c r="C181" i="13"/>
  <c r="C120" i="13"/>
  <c r="C111" i="13"/>
  <c r="C107" i="13"/>
  <c r="C177" i="13"/>
  <c r="C176" i="13"/>
  <c r="C175" i="13"/>
  <c r="C146" i="13"/>
  <c r="C173" i="13"/>
  <c r="C170" i="13"/>
  <c r="C169" i="13"/>
  <c r="C101" i="13"/>
  <c r="C168" i="13"/>
  <c r="C167" i="13"/>
  <c r="C145" i="13"/>
  <c r="C97" i="13"/>
  <c r="C144" i="13"/>
  <c r="C143" i="13"/>
  <c r="C137" i="13"/>
  <c r="C93" i="13"/>
  <c r="C136" i="13"/>
  <c r="C131" i="13"/>
  <c r="C135" i="13"/>
  <c r="C89" i="13"/>
  <c r="C88" i="13"/>
  <c r="C87" i="13"/>
  <c r="C86" i="13"/>
  <c r="C85" i="13"/>
  <c r="C83" i="13"/>
  <c r="C134" i="13"/>
  <c r="C133" i="13"/>
  <c r="C80" i="13"/>
  <c r="C79" i="13"/>
  <c r="C78" i="13"/>
  <c r="C130" i="13"/>
  <c r="C129" i="13"/>
  <c r="C74" i="13"/>
  <c r="C73" i="13"/>
  <c r="C128" i="13"/>
  <c r="C127" i="13"/>
  <c r="C126" i="13"/>
  <c r="C119" i="13"/>
  <c r="C118" i="13"/>
  <c r="C117" i="13"/>
  <c r="C116" i="13"/>
  <c r="C115" i="13"/>
  <c r="C114" i="13"/>
  <c r="C113" i="13"/>
  <c r="C112" i="13"/>
  <c r="C110" i="13"/>
  <c r="C24" i="13"/>
  <c r="C109" i="13"/>
  <c r="C25" i="13"/>
  <c r="C108" i="13"/>
  <c r="C26" i="13"/>
  <c r="C205" i="13"/>
  <c r="C27" i="13"/>
  <c r="C204" i="13"/>
  <c r="C28" i="13"/>
  <c r="C203" i="13"/>
  <c r="C29" i="13"/>
  <c r="C30" i="13"/>
  <c r="C202" i="13"/>
  <c r="C200" i="13"/>
  <c r="C106" i="13"/>
  <c r="C199" i="13"/>
  <c r="C104" i="13"/>
  <c r="C198" i="13"/>
  <c r="C197" i="13"/>
  <c r="C103" i="13"/>
  <c r="C102" i="13"/>
  <c r="C196" i="13"/>
  <c r="C100" i="13"/>
  <c r="C99" i="13"/>
  <c r="C98" i="13"/>
  <c r="C192" i="13"/>
  <c r="C96" i="13"/>
  <c r="C95" i="13"/>
  <c r="C94" i="13"/>
  <c r="C189" i="13"/>
  <c r="C92" i="13"/>
  <c r="C91" i="13"/>
  <c r="C90" i="13"/>
  <c r="C188" i="13"/>
  <c r="C187" i="13"/>
  <c r="C186" i="13"/>
  <c r="C185" i="13"/>
  <c r="C182" i="13"/>
  <c r="C84" i="13"/>
  <c r="C180" i="13"/>
  <c r="C81" i="13"/>
  <c r="C179" i="13"/>
  <c r="C178" i="13"/>
  <c r="C172" i="13"/>
  <c r="C77" i="13"/>
  <c r="C76" i="13"/>
  <c r="C171" i="13"/>
  <c r="C166" i="13"/>
  <c r="C72" i="13"/>
  <c r="C71" i="13"/>
  <c r="C165" i="13"/>
  <c r="C164" i="13"/>
  <c r="C163" i="13"/>
  <c r="C162" i="13"/>
  <c r="C161" i="13"/>
  <c r="C160" i="13"/>
  <c r="C174" i="13"/>
  <c r="C159" i="13"/>
  <c r="C158" i="13"/>
  <c r="C157" i="13"/>
  <c r="C138" i="13"/>
  <c r="C23" i="13"/>
  <c r="C156" i="13"/>
  <c r="C142" i="13"/>
  <c r="C155" i="13"/>
  <c r="C154" i="13"/>
  <c r="C206" i="13"/>
  <c r="C153" i="13"/>
  <c r="C152" i="13"/>
  <c r="C151" i="13"/>
  <c r="C150" i="13"/>
  <c r="C201" i="13"/>
  <c r="C149" i="13"/>
  <c r="C148" i="13"/>
  <c r="C147" i="13"/>
  <c r="C141" i="13"/>
  <c r="C140" i="13"/>
  <c r="C195" i="13"/>
  <c r="C194" i="13"/>
  <c r="C193" i="13"/>
  <c r="C139" i="13"/>
  <c r="C191" i="13"/>
  <c r="C190" i="13"/>
  <c r="C132" i="13"/>
  <c r="B110" i="12"/>
  <c r="AE174" i="11"/>
  <c r="T170" i="10" s="1"/>
  <c r="W170" i="10" s="1"/>
  <c r="AE110" i="11"/>
  <c r="T106" i="10" s="1"/>
  <c r="W106" i="10" s="1"/>
  <c r="B84" i="13"/>
  <c r="B73" i="13"/>
  <c r="B71" i="13"/>
  <c r="B131" i="13"/>
  <c r="B130" i="13"/>
  <c r="B129" i="13"/>
  <c r="B128" i="13"/>
  <c r="B127" i="13"/>
  <c r="B126" i="13"/>
  <c r="B139" i="13"/>
  <c r="B165" i="13"/>
  <c r="B164" i="13"/>
  <c r="B163" i="13"/>
  <c r="B29" i="13"/>
  <c r="B102" i="13"/>
  <c r="B100" i="13"/>
  <c r="B99" i="13"/>
  <c r="B98" i="13"/>
  <c r="B96" i="13"/>
  <c r="B95" i="13"/>
  <c r="B94" i="13"/>
  <c r="B92" i="13"/>
  <c r="B90" i="13"/>
  <c r="B82" i="13"/>
  <c r="D82" i="13" s="1"/>
  <c r="B81" i="13"/>
  <c r="D81" i="13" s="1"/>
  <c r="B77" i="13"/>
  <c r="D77" i="13" s="1"/>
  <c r="B76" i="13"/>
  <c r="D76" i="13" s="1"/>
  <c r="B196" i="13"/>
  <c r="B192" i="13"/>
  <c r="B189" i="13"/>
  <c r="B188" i="13"/>
  <c r="B187" i="13"/>
  <c r="B186" i="13"/>
  <c r="B173" i="13"/>
  <c r="B182" i="13"/>
  <c r="B180" i="13"/>
  <c r="C67" i="13"/>
  <c r="C66" i="13"/>
  <c r="C62" i="13"/>
  <c r="C60" i="13"/>
  <c r="C57" i="13"/>
  <c r="C70" i="13"/>
  <c r="C69" i="13"/>
  <c r="C68" i="13"/>
  <c r="C63" i="13"/>
  <c r="C58" i="13"/>
  <c r="C55" i="13"/>
  <c r="C64" i="13"/>
  <c r="C59" i="13"/>
  <c r="C56" i="13"/>
  <c r="C65" i="13"/>
  <c r="C61" i="13"/>
  <c r="AB418" i="3"/>
  <c r="AB414" i="3"/>
  <c r="AB423" i="3"/>
  <c r="AB422" i="3"/>
  <c r="AB421" i="3"/>
  <c r="AB420" i="3"/>
  <c r="AB419" i="3"/>
  <c r="AB417" i="3"/>
  <c r="AB416" i="3"/>
  <c r="AB415" i="3"/>
  <c r="Y414" i="3"/>
  <c r="Y415" i="3"/>
  <c r="Y416" i="3"/>
  <c r="Y417" i="3"/>
  <c r="E10" i="10"/>
  <c r="I10" i="10" s="1"/>
  <c r="E218" i="3"/>
  <c r="D153" i="7" s="1"/>
  <c r="E421" i="3"/>
  <c r="D256" i="7" s="1"/>
  <c r="E11" i="10"/>
  <c r="I11" i="10" s="1"/>
  <c r="E422" i="3"/>
  <c r="D257" i="7" s="1"/>
  <c r="E219" i="3"/>
  <c r="D154" i="7" s="1"/>
  <c r="E12" i="10"/>
  <c r="I12" i="10" s="1"/>
  <c r="E220" i="3"/>
  <c r="D155" i="7" s="1"/>
  <c r="E423" i="3"/>
  <c r="D258" i="7" s="1"/>
  <c r="E15" i="10"/>
  <c r="I15" i="10" s="1"/>
  <c r="E223" i="3"/>
  <c r="D158" i="7" s="1"/>
  <c r="E426" i="3"/>
  <c r="D261" i="7" s="1"/>
  <c r="E16" i="10"/>
  <c r="I16" i="10" s="1"/>
  <c r="E224" i="3"/>
  <c r="D159" i="7" s="1"/>
  <c r="E427" i="3"/>
  <c r="D262" i="7" s="1"/>
  <c r="E18" i="10"/>
  <c r="I18" i="10" s="1"/>
  <c r="E226" i="3"/>
  <c r="D161" i="7" s="1"/>
  <c r="E429" i="3"/>
  <c r="D264" i="7" s="1"/>
  <c r="M442" i="3"/>
  <c r="S442" i="3" s="1"/>
  <c r="S36" i="3"/>
  <c r="U22" i="4"/>
  <c r="U21" i="4"/>
  <c r="U20" i="4"/>
  <c r="U19" i="4"/>
  <c r="U18" i="4"/>
  <c r="U17" i="4"/>
  <c r="U16" i="4"/>
  <c r="U15" i="4"/>
  <c r="U14" i="4"/>
  <c r="U13" i="4"/>
  <c r="U12" i="4"/>
  <c r="U11" i="4"/>
  <c r="U10" i="4"/>
  <c r="U9" i="4"/>
  <c r="U8" i="4"/>
  <c r="U7" i="4"/>
  <c r="U6" i="4"/>
  <c r="U5" i="4"/>
  <c r="U4" i="4"/>
  <c r="U3" i="4"/>
  <c r="V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V5" i="4"/>
  <c r="V4" i="4"/>
  <c r="T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9" i="4"/>
  <c r="T8" i="4"/>
  <c r="T6" i="4"/>
  <c r="T5" i="4"/>
  <c r="T4" i="4"/>
  <c r="W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W5" i="4"/>
  <c r="W4" i="4"/>
  <c r="AB11" i="4"/>
  <c r="AC16" i="4"/>
  <c r="AC21" i="4"/>
  <c r="AF208" i="11"/>
  <c r="AF207" i="11"/>
  <c r="AF206" i="11"/>
  <c r="U202" i="10" s="1"/>
  <c r="X202" i="10" s="1"/>
  <c r="AF205" i="11"/>
  <c r="U201" i="10" s="1"/>
  <c r="X201" i="10" s="1"/>
  <c r="AF204" i="11"/>
  <c r="U200" i="10" s="1"/>
  <c r="X200" i="10" s="1"/>
  <c r="AF203" i="11"/>
  <c r="U199" i="10" s="1"/>
  <c r="X199" i="10" s="1"/>
  <c r="AF202" i="11"/>
  <c r="U198" i="10" s="1"/>
  <c r="X198" i="10" s="1"/>
  <c r="AF201" i="11"/>
  <c r="U197" i="10" s="1"/>
  <c r="X197" i="10" s="1"/>
  <c r="AF200" i="11"/>
  <c r="U196" i="10" s="1"/>
  <c r="X196" i="10" s="1"/>
  <c r="AF199" i="11"/>
  <c r="U195" i="10" s="1"/>
  <c r="X195" i="10" s="1"/>
  <c r="AF198" i="11"/>
  <c r="U194" i="10" s="1"/>
  <c r="X194" i="10" s="1"/>
  <c r="AF197" i="11"/>
  <c r="U193" i="10" s="1"/>
  <c r="X193" i="10" s="1"/>
  <c r="AF196" i="11"/>
  <c r="U192" i="10" s="1"/>
  <c r="X192" i="10" s="1"/>
  <c r="AF195" i="11"/>
  <c r="U191" i="10" s="1"/>
  <c r="X191" i="10" s="1"/>
  <c r="AF194" i="11"/>
  <c r="U190" i="10" s="1"/>
  <c r="X190" i="10" s="1"/>
  <c r="AF193" i="11"/>
  <c r="U189" i="10" s="1"/>
  <c r="X189" i="10" s="1"/>
  <c r="AF192" i="11"/>
  <c r="U188" i="10" s="1"/>
  <c r="X188" i="10" s="1"/>
  <c r="AF191" i="11"/>
  <c r="U187" i="10" s="1"/>
  <c r="X187" i="10" s="1"/>
  <c r="AF190" i="11"/>
  <c r="U186" i="10" s="1"/>
  <c r="X186" i="10" s="1"/>
  <c r="AF189" i="11"/>
  <c r="U185" i="10" s="1"/>
  <c r="X185" i="10" s="1"/>
  <c r="AF188" i="11"/>
  <c r="U184" i="10" s="1"/>
  <c r="X184" i="10" s="1"/>
  <c r="AF187" i="11"/>
  <c r="U183" i="10" s="1"/>
  <c r="X183" i="10" s="1"/>
  <c r="AF186" i="11"/>
  <c r="U182" i="10" s="1"/>
  <c r="X182" i="10" s="1"/>
  <c r="AF185" i="11"/>
  <c r="U181" i="10" s="1"/>
  <c r="X181" i="10" s="1"/>
  <c r="AE184" i="11"/>
  <c r="T180" i="10" s="1"/>
  <c r="W180" i="10" s="1"/>
  <c r="AF184" i="11"/>
  <c r="U180" i="10" s="1"/>
  <c r="X180" i="10" s="1"/>
  <c r="AF183" i="11"/>
  <c r="U179" i="10" s="1"/>
  <c r="X179" i="10" s="1"/>
  <c r="AF182" i="11"/>
  <c r="U178" i="10" s="1"/>
  <c r="X178" i="10" s="1"/>
  <c r="AF181" i="11"/>
  <c r="U177" i="10" s="1"/>
  <c r="X177" i="10" s="1"/>
  <c r="AF180" i="11"/>
  <c r="U176" i="10" s="1"/>
  <c r="X176" i="10" s="1"/>
  <c r="AF179" i="11"/>
  <c r="U175" i="10" s="1"/>
  <c r="X175" i="10" s="1"/>
  <c r="AF178" i="11"/>
  <c r="U174" i="10" s="1"/>
  <c r="X174" i="10" s="1"/>
  <c r="AF177" i="11"/>
  <c r="U173" i="10" s="1"/>
  <c r="X173" i="10" s="1"/>
  <c r="AF176" i="11"/>
  <c r="U172" i="10" s="1"/>
  <c r="X172" i="10" s="1"/>
  <c r="AF175" i="11"/>
  <c r="U171" i="10" s="1"/>
  <c r="X171" i="10" s="1"/>
  <c r="AF173" i="11"/>
  <c r="U169" i="10" s="1"/>
  <c r="X169" i="10" s="1"/>
  <c r="AF172" i="11"/>
  <c r="U168" i="10" s="1"/>
  <c r="X168" i="10" s="1"/>
  <c r="AE171" i="11"/>
  <c r="T167" i="10" s="1"/>
  <c r="W167" i="10" s="1"/>
  <c r="AF171" i="11"/>
  <c r="U167" i="10" s="1"/>
  <c r="X167" i="10" s="1"/>
  <c r="AE170" i="11"/>
  <c r="T166" i="10" s="1"/>
  <c r="W166" i="10" s="1"/>
  <c r="AF170" i="11"/>
  <c r="U166" i="10" s="1"/>
  <c r="X166" i="10" s="1"/>
  <c r="AE169" i="11"/>
  <c r="T165" i="10" s="1"/>
  <c r="W165" i="10" s="1"/>
  <c r="AF169" i="11"/>
  <c r="U165" i="10" s="1"/>
  <c r="X165" i="10" s="1"/>
  <c r="AE168" i="11"/>
  <c r="T164" i="10" s="1"/>
  <c r="W164" i="10" s="1"/>
  <c r="AF168" i="11"/>
  <c r="U164" i="10" s="1"/>
  <c r="X164" i="10" s="1"/>
  <c r="AE167" i="11"/>
  <c r="T163" i="10" s="1"/>
  <c r="W163" i="10" s="1"/>
  <c r="AF167" i="11"/>
  <c r="U163" i="10" s="1"/>
  <c r="X163" i="10" s="1"/>
  <c r="AE166" i="11"/>
  <c r="T162" i="10" s="1"/>
  <c r="W162" i="10" s="1"/>
  <c r="AF166" i="11"/>
  <c r="U162" i="10" s="1"/>
  <c r="X162" i="10" s="1"/>
  <c r="AE165" i="11"/>
  <c r="T161" i="10" s="1"/>
  <c r="W161" i="10" s="1"/>
  <c r="AF165" i="11"/>
  <c r="U161" i="10" s="1"/>
  <c r="X161" i="10" s="1"/>
  <c r="AE164" i="11"/>
  <c r="T160" i="10" s="1"/>
  <c r="W160" i="10" s="1"/>
  <c r="AF164" i="11"/>
  <c r="U160" i="10" s="1"/>
  <c r="X160" i="10" s="1"/>
  <c r="AE163" i="11"/>
  <c r="T159" i="10" s="1"/>
  <c r="W159" i="10" s="1"/>
  <c r="AF163" i="11"/>
  <c r="U159" i="10" s="1"/>
  <c r="X159" i="10" s="1"/>
  <c r="AE162" i="11"/>
  <c r="T158" i="10" s="1"/>
  <c r="W158" i="10" s="1"/>
  <c r="AF162" i="11"/>
  <c r="U158" i="10" s="1"/>
  <c r="X158" i="10" s="1"/>
  <c r="AF161" i="11"/>
  <c r="U157" i="10" s="1"/>
  <c r="X157" i="10" s="1"/>
  <c r="AF160" i="11"/>
  <c r="U156" i="10" s="1"/>
  <c r="X156" i="10" s="1"/>
  <c r="AF159" i="11"/>
  <c r="U155" i="10" s="1"/>
  <c r="X155" i="10" s="1"/>
  <c r="AF158" i="11"/>
  <c r="U154" i="10" s="1"/>
  <c r="X154" i="10" s="1"/>
  <c r="AF157" i="11"/>
  <c r="U153" i="10" s="1"/>
  <c r="X153" i="10" s="1"/>
  <c r="AF156" i="11"/>
  <c r="U152" i="10" s="1"/>
  <c r="X152" i="10" s="1"/>
  <c r="AF155" i="11"/>
  <c r="U151" i="10" s="1"/>
  <c r="X151" i="10" s="1"/>
  <c r="AF154" i="11"/>
  <c r="U150" i="10" s="1"/>
  <c r="X150" i="10" s="1"/>
  <c r="AF153" i="11"/>
  <c r="U149" i="10" s="1"/>
  <c r="X149" i="10" s="1"/>
  <c r="AF152" i="11"/>
  <c r="U148" i="10" s="1"/>
  <c r="X148" i="10" s="1"/>
  <c r="AF151" i="11"/>
  <c r="U147" i="10" s="1"/>
  <c r="X147" i="10" s="1"/>
  <c r="AE150" i="11"/>
  <c r="T146" i="10" s="1"/>
  <c r="W146" i="10" s="1"/>
  <c r="AF150" i="11"/>
  <c r="U146" i="10" s="1"/>
  <c r="X146" i="10" s="1"/>
  <c r="AE149" i="11"/>
  <c r="T145" i="10" s="1"/>
  <c r="W145" i="10" s="1"/>
  <c r="AF149" i="11"/>
  <c r="U145" i="10" s="1"/>
  <c r="X145" i="10" s="1"/>
  <c r="AE148" i="11"/>
  <c r="T144" i="10" s="1"/>
  <c r="W144" i="10" s="1"/>
  <c r="AF148" i="11"/>
  <c r="U144" i="10" s="1"/>
  <c r="X144" i="10" s="1"/>
  <c r="AE147" i="11"/>
  <c r="T143" i="10" s="1"/>
  <c r="W143" i="10" s="1"/>
  <c r="AF147" i="11"/>
  <c r="U143" i="10" s="1"/>
  <c r="X143" i="10" s="1"/>
  <c r="AF146" i="11"/>
  <c r="U142" i="10" s="1"/>
  <c r="X142" i="10" s="1"/>
  <c r="AE146" i="11"/>
  <c r="T142" i="10" s="1"/>
  <c r="W142" i="10" s="1"/>
  <c r="C146" i="12"/>
  <c r="B146" i="12"/>
  <c r="AE145" i="11"/>
  <c r="T141" i="10" s="1"/>
  <c r="W141" i="10" s="1"/>
  <c r="AF145" i="11"/>
  <c r="U141" i="10" s="1"/>
  <c r="X141" i="10" s="1"/>
  <c r="C145" i="12"/>
  <c r="AE144" i="11"/>
  <c r="T140" i="10" s="1"/>
  <c r="W140" i="10" s="1"/>
  <c r="AF144" i="11"/>
  <c r="U140" i="10" s="1"/>
  <c r="X140" i="10" s="1"/>
  <c r="C144" i="12"/>
  <c r="B144" i="12"/>
  <c r="AE143" i="11"/>
  <c r="T139" i="10" s="1"/>
  <c r="W139" i="10" s="1"/>
  <c r="AF143" i="11"/>
  <c r="U139" i="10" s="1"/>
  <c r="X139" i="10" s="1"/>
  <c r="C143" i="12"/>
  <c r="AF142" i="11"/>
  <c r="U138" i="10" s="1"/>
  <c r="X138" i="10" s="1"/>
  <c r="C142" i="12"/>
  <c r="AF141" i="11"/>
  <c r="U137" i="10" s="1"/>
  <c r="X137" i="10" s="1"/>
  <c r="C141" i="12"/>
  <c r="AF140" i="11"/>
  <c r="U136" i="10" s="1"/>
  <c r="X136" i="10" s="1"/>
  <c r="C140" i="12"/>
  <c r="AF139" i="11"/>
  <c r="U135" i="10" s="1"/>
  <c r="X135" i="10" s="1"/>
  <c r="C139" i="12"/>
  <c r="AF138" i="11"/>
  <c r="U134" i="10" s="1"/>
  <c r="X134" i="10" s="1"/>
  <c r="C138" i="12"/>
  <c r="AF137" i="11"/>
  <c r="U133" i="10" s="1"/>
  <c r="X133" i="10" s="1"/>
  <c r="C137" i="12"/>
  <c r="AF136" i="11"/>
  <c r="U132" i="10" s="1"/>
  <c r="X132" i="10" s="1"/>
  <c r="C136" i="12"/>
  <c r="AF135" i="11"/>
  <c r="U131" i="10" s="1"/>
  <c r="X131" i="10" s="1"/>
  <c r="C135" i="12"/>
  <c r="AF134" i="11"/>
  <c r="U130" i="10" s="1"/>
  <c r="X130" i="10" s="1"/>
  <c r="C134" i="12"/>
  <c r="AF133" i="11"/>
  <c r="U129" i="10" s="1"/>
  <c r="X129" i="10" s="1"/>
  <c r="C133" i="12"/>
  <c r="AF132" i="11"/>
  <c r="U128" i="10" s="1"/>
  <c r="X128" i="10" s="1"/>
  <c r="C132" i="12"/>
  <c r="AF131" i="11"/>
  <c r="U127" i="10" s="1"/>
  <c r="X127" i="10" s="1"/>
  <c r="C131" i="12"/>
  <c r="AF130" i="11"/>
  <c r="U126" i="10" s="1"/>
  <c r="X126" i="10" s="1"/>
  <c r="C130" i="12"/>
  <c r="AF129" i="11"/>
  <c r="U125" i="10" s="1"/>
  <c r="X125" i="10" s="1"/>
  <c r="C129" i="12"/>
  <c r="AF128" i="11"/>
  <c r="U124" i="10" s="1"/>
  <c r="X124" i="10" s="1"/>
  <c r="C128" i="12"/>
  <c r="AF7" i="11"/>
  <c r="U3" i="10" s="1"/>
  <c r="X3" i="10" s="1"/>
  <c r="AA3" i="10" s="1"/>
  <c r="AF106" i="11"/>
  <c r="U102" i="10" s="1"/>
  <c r="X102" i="10" s="1"/>
  <c r="AF103" i="11"/>
  <c r="U99" i="10" s="1"/>
  <c r="X99" i="10" s="1"/>
  <c r="AF102" i="11"/>
  <c r="U98" i="10" s="1"/>
  <c r="X98" i="10" s="1"/>
  <c r="AF101" i="11"/>
  <c r="U97" i="10" s="1"/>
  <c r="X97" i="10" s="1"/>
  <c r="AF100" i="11"/>
  <c r="U96" i="10" s="1"/>
  <c r="X96" i="10" s="1"/>
  <c r="AF99" i="11"/>
  <c r="U95" i="10" s="1"/>
  <c r="X95" i="10" s="1"/>
  <c r="AF98" i="11"/>
  <c r="U94" i="10" s="1"/>
  <c r="X94" i="10" s="1"/>
  <c r="AF97" i="11"/>
  <c r="U93" i="10" s="1"/>
  <c r="X93" i="10" s="1"/>
  <c r="AF96" i="11"/>
  <c r="U92" i="10" s="1"/>
  <c r="X92" i="10" s="1"/>
  <c r="AF95" i="11"/>
  <c r="U91" i="10" s="1"/>
  <c r="X91" i="10" s="1"/>
  <c r="AF94" i="11"/>
  <c r="U90" i="10" s="1"/>
  <c r="X90" i="10" s="1"/>
  <c r="AF93" i="11"/>
  <c r="U89" i="10" s="1"/>
  <c r="X89" i="10" s="1"/>
  <c r="AF92" i="11"/>
  <c r="U88" i="10" s="1"/>
  <c r="X88" i="10" s="1"/>
  <c r="AF91" i="11"/>
  <c r="U87" i="10" s="1"/>
  <c r="X87" i="10" s="1"/>
  <c r="AF90" i="11"/>
  <c r="U86" i="10" s="1"/>
  <c r="X86" i="10" s="1"/>
  <c r="AF89" i="11"/>
  <c r="U85" i="10" s="1"/>
  <c r="X85" i="10" s="1"/>
  <c r="AF88" i="11"/>
  <c r="U84" i="10" s="1"/>
  <c r="X84" i="10" s="1"/>
  <c r="AF87" i="11"/>
  <c r="U83" i="10" s="1"/>
  <c r="X83" i="10" s="1"/>
  <c r="AF86" i="11"/>
  <c r="U82" i="10" s="1"/>
  <c r="X82" i="10" s="1"/>
  <c r="AF85" i="11"/>
  <c r="U81" i="10" s="1"/>
  <c r="X81" i="10" s="1"/>
  <c r="AF84" i="11"/>
  <c r="U80" i="10" s="1"/>
  <c r="X80" i="10" s="1"/>
  <c r="AF83" i="11"/>
  <c r="U79" i="10" s="1"/>
  <c r="X79" i="10" s="1"/>
  <c r="AF82" i="11"/>
  <c r="U78" i="10" s="1"/>
  <c r="X78" i="10" s="1"/>
  <c r="AF81" i="11"/>
  <c r="U77" i="10" s="1"/>
  <c r="X77" i="10" s="1"/>
  <c r="AF80" i="11"/>
  <c r="U76" i="10" s="1"/>
  <c r="X76" i="10" s="1"/>
  <c r="AF79" i="11"/>
  <c r="U75" i="10" s="1"/>
  <c r="X75" i="10" s="1"/>
  <c r="AF78" i="11"/>
  <c r="U74" i="10" s="1"/>
  <c r="X74" i="10" s="1"/>
  <c r="AF77" i="11"/>
  <c r="U73" i="10" s="1"/>
  <c r="X73" i="10" s="1"/>
  <c r="AF76" i="11"/>
  <c r="U72" i="10" s="1"/>
  <c r="X72" i="10" s="1"/>
  <c r="AF75" i="11"/>
  <c r="U71" i="10" s="1"/>
  <c r="X71" i="10" s="1"/>
  <c r="AF74" i="11"/>
  <c r="U70" i="10" s="1"/>
  <c r="X70" i="10" s="1"/>
  <c r="AF73" i="11"/>
  <c r="U69" i="10" s="1"/>
  <c r="X69" i="10" s="1"/>
  <c r="AF72" i="11"/>
  <c r="U68" i="10" s="1"/>
  <c r="X68" i="10" s="1"/>
  <c r="AF71" i="11"/>
  <c r="U67" i="10" s="1"/>
  <c r="X67" i="10" s="1"/>
  <c r="AF70" i="11"/>
  <c r="U66" i="10" s="1"/>
  <c r="X66" i="10" s="1"/>
  <c r="AF69" i="11"/>
  <c r="U65" i="10" s="1"/>
  <c r="X65" i="10" s="1"/>
  <c r="AF68" i="11"/>
  <c r="U64" i="10" s="1"/>
  <c r="X64" i="10" s="1"/>
  <c r="AF67" i="11"/>
  <c r="U63" i="10" s="1"/>
  <c r="X63" i="10" s="1"/>
  <c r="AF66" i="11"/>
  <c r="U62" i="10" s="1"/>
  <c r="X62" i="10" s="1"/>
  <c r="AF65" i="11"/>
  <c r="U61" i="10" s="1"/>
  <c r="X61" i="10" s="1"/>
  <c r="AF64" i="11"/>
  <c r="U60" i="10" s="1"/>
  <c r="X60" i="10" s="1"/>
  <c r="AF63" i="11"/>
  <c r="U59" i="10" s="1"/>
  <c r="X59" i="10" s="1"/>
  <c r="AF62" i="11"/>
  <c r="U58" i="10" s="1"/>
  <c r="X58" i="10" s="1"/>
  <c r="AF61" i="11"/>
  <c r="U57" i="10" s="1"/>
  <c r="X57" i="10" s="1"/>
  <c r="AF60" i="11"/>
  <c r="U56" i="10" s="1"/>
  <c r="X56" i="10" s="1"/>
  <c r="AF59" i="11"/>
  <c r="U55" i="10" s="1"/>
  <c r="X55" i="10" s="1"/>
  <c r="AF58" i="11"/>
  <c r="U54" i="10" s="1"/>
  <c r="X54" i="10" s="1"/>
  <c r="AF57" i="11"/>
  <c r="U53" i="10" s="1"/>
  <c r="X53" i="10" s="1"/>
  <c r="AF56" i="11"/>
  <c r="U52" i="10" s="1"/>
  <c r="X52" i="10" s="1"/>
  <c r="AF55" i="11"/>
  <c r="U51" i="10" s="1"/>
  <c r="X51" i="10" s="1"/>
  <c r="AF54" i="11"/>
  <c r="U50" i="10" s="1"/>
  <c r="X50" i="10" s="1"/>
  <c r="AF53" i="11"/>
  <c r="U49" i="10" s="1"/>
  <c r="X49" i="10" s="1"/>
  <c r="AF52" i="11"/>
  <c r="U48" i="10" s="1"/>
  <c r="X48" i="10" s="1"/>
  <c r="AF51" i="11"/>
  <c r="U47" i="10" s="1"/>
  <c r="X47" i="10" s="1"/>
  <c r="AF50" i="11"/>
  <c r="U46" i="10" s="1"/>
  <c r="X46" i="10" s="1"/>
  <c r="AF49" i="11"/>
  <c r="U45" i="10" s="1"/>
  <c r="X45" i="10" s="1"/>
  <c r="AF48" i="11"/>
  <c r="U44" i="10" s="1"/>
  <c r="X44" i="10" s="1"/>
  <c r="AF47" i="11"/>
  <c r="U43" i="10" s="1"/>
  <c r="X43" i="10" s="1"/>
  <c r="AF46" i="11"/>
  <c r="U42" i="10" s="1"/>
  <c r="X42" i="10" s="1"/>
  <c r="AF45" i="11"/>
  <c r="U41" i="10" s="1"/>
  <c r="X41" i="10" s="1"/>
  <c r="AF44" i="11"/>
  <c r="U40" i="10" s="1"/>
  <c r="X40" i="10" s="1"/>
  <c r="AF43" i="11"/>
  <c r="U39" i="10" s="1"/>
  <c r="X39" i="10" s="1"/>
  <c r="AF42" i="11"/>
  <c r="U38" i="10" s="1"/>
  <c r="X38" i="10" s="1"/>
  <c r="AF41" i="11"/>
  <c r="U37" i="10" s="1"/>
  <c r="X37" i="10" s="1"/>
  <c r="AF40" i="11"/>
  <c r="U36" i="10" s="1"/>
  <c r="X36" i="10" s="1"/>
  <c r="AF39" i="11"/>
  <c r="U35" i="10" s="1"/>
  <c r="X35" i="10" s="1"/>
  <c r="AF38" i="11"/>
  <c r="U34" i="10" s="1"/>
  <c r="X34" i="10" s="1"/>
  <c r="AF37" i="11"/>
  <c r="U33" i="10" s="1"/>
  <c r="X33" i="10" s="1"/>
  <c r="AF36" i="11"/>
  <c r="U32" i="10" s="1"/>
  <c r="X32" i="10" s="1"/>
  <c r="AF35" i="11"/>
  <c r="U31" i="10" s="1"/>
  <c r="X31" i="10" s="1"/>
  <c r="AF34" i="11"/>
  <c r="U30" i="10" s="1"/>
  <c r="X30" i="10" s="1"/>
  <c r="AF33" i="11"/>
  <c r="U29" i="10" s="1"/>
  <c r="X29" i="10" s="1"/>
  <c r="AF32" i="11"/>
  <c r="U28" i="10" s="1"/>
  <c r="X28" i="10" s="1"/>
  <c r="AF31" i="11"/>
  <c r="U27" i="10" s="1"/>
  <c r="X27" i="10" s="1"/>
  <c r="AF30" i="11"/>
  <c r="U26" i="10" s="1"/>
  <c r="X26" i="10" s="1"/>
  <c r="AF29" i="11"/>
  <c r="U25" i="10" s="1"/>
  <c r="X25" i="10" s="1"/>
  <c r="AF28" i="11"/>
  <c r="U24" i="10" s="1"/>
  <c r="X24" i="10" s="1"/>
  <c r="AF27" i="11"/>
  <c r="U23" i="10" s="1"/>
  <c r="X23" i="10" s="1"/>
  <c r="AF26" i="11"/>
  <c r="U22" i="10" s="1"/>
  <c r="X22" i="10" s="1"/>
  <c r="AF25" i="11"/>
  <c r="U21" i="10" s="1"/>
  <c r="X21" i="10" s="1"/>
  <c r="AF24" i="11"/>
  <c r="U20" i="10" s="1"/>
  <c r="X20" i="10" s="1"/>
  <c r="AF23" i="11"/>
  <c r="U19" i="10" s="1"/>
  <c r="X19" i="10" s="1"/>
  <c r="AF22" i="11"/>
  <c r="U18" i="10" s="1"/>
  <c r="X18" i="10" s="1"/>
  <c r="AF21" i="11"/>
  <c r="U17" i="10" s="1"/>
  <c r="X17" i="10" s="1"/>
  <c r="AF20" i="11"/>
  <c r="U16" i="10" s="1"/>
  <c r="X16" i="10" s="1"/>
  <c r="AF19" i="11"/>
  <c r="U15" i="10" s="1"/>
  <c r="X15" i="10" s="1"/>
  <c r="AA15" i="10" s="1"/>
  <c r="AF18" i="11"/>
  <c r="U14" i="10" s="1"/>
  <c r="X14" i="10" s="1"/>
  <c r="AA14" i="10" s="1"/>
  <c r="AF17" i="11"/>
  <c r="U13" i="10" s="1"/>
  <c r="X13" i="10" s="1"/>
  <c r="AA13" i="10" s="1"/>
  <c r="AF16" i="11"/>
  <c r="U12" i="10" s="1"/>
  <c r="X12" i="10" s="1"/>
  <c r="AA12" i="10" s="1"/>
  <c r="AF15" i="11"/>
  <c r="U11" i="10" s="1"/>
  <c r="X11" i="10" s="1"/>
  <c r="AA11" i="10" s="1"/>
  <c r="AF14" i="11"/>
  <c r="U10" i="10" s="1"/>
  <c r="X10" i="10" s="1"/>
  <c r="AA10" i="10" s="1"/>
  <c r="AF13" i="11"/>
  <c r="U9" i="10" s="1"/>
  <c r="X9" i="10" s="1"/>
  <c r="AA9" i="10" s="1"/>
  <c r="AF12" i="11"/>
  <c r="U8" i="10" s="1"/>
  <c r="X8" i="10" s="1"/>
  <c r="AA8" i="10" s="1"/>
  <c r="AF11" i="11"/>
  <c r="U7" i="10" s="1"/>
  <c r="X7" i="10" s="1"/>
  <c r="AA7" i="10" s="1"/>
  <c r="AF10" i="11"/>
  <c r="U6" i="10" s="1"/>
  <c r="X6" i="10" s="1"/>
  <c r="AA6" i="10" s="1"/>
  <c r="AF9" i="11"/>
  <c r="U5" i="10" s="1"/>
  <c r="X5" i="10" s="1"/>
  <c r="AA5" i="10" s="1"/>
  <c r="AF8" i="11"/>
  <c r="U4" i="10" s="1"/>
  <c r="X4" i="10" s="1"/>
  <c r="AA4" i="10" s="1"/>
  <c r="AF104" i="11"/>
  <c r="U100" i="10" s="1"/>
  <c r="X100" i="10" s="1"/>
  <c r="C206" i="12"/>
  <c r="C205" i="12"/>
  <c r="C204" i="12"/>
  <c r="C203" i="12"/>
  <c r="C202" i="12"/>
  <c r="C201" i="12"/>
  <c r="C200" i="12"/>
  <c r="C199" i="12"/>
  <c r="C198" i="12"/>
  <c r="C197" i="12"/>
  <c r="C196" i="12"/>
  <c r="C195" i="12"/>
  <c r="C194" i="12"/>
  <c r="C193" i="12"/>
  <c r="C192" i="12"/>
  <c r="C191" i="12"/>
  <c r="C190" i="12"/>
  <c r="C189" i="12"/>
  <c r="C188" i="12"/>
  <c r="C187" i="12"/>
  <c r="C186" i="12"/>
  <c r="C185" i="12"/>
  <c r="C184" i="12"/>
  <c r="C183" i="12"/>
  <c r="C182" i="12"/>
  <c r="C181" i="12"/>
  <c r="C180" i="12"/>
  <c r="C179" i="12"/>
  <c r="C178" i="12"/>
  <c r="C177" i="12"/>
  <c r="C176" i="12"/>
  <c r="C175" i="12"/>
  <c r="C174" i="12"/>
  <c r="C173" i="12"/>
  <c r="C172" i="12"/>
  <c r="C171" i="12"/>
  <c r="C170" i="12"/>
  <c r="C169" i="12"/>
  <c r="C168" i="12"/>
  <c r="C167" i="12"/>
  <c r="C166" i="12"/>
  <c r="C165" i="12"/>
  <c r="C164" i="12"/>
  <c r="C163" i="12"/>
  <c r="C162" i="12"/>
  <c r="C161" i="12"/>
  <c r="C160" i="12"/>
  <c r="C159" i="12"/>
  <c r="C158" i="12"/>
  <c r="C157" i="12"/>
  <c r="C156" i="12"/>
  <c r="C155" i="12"/>
  <c r="C154" i="12"/>
  <c r="C153" i="12"/>
  <c r="C152" i="12"/>
  <c r="C151" i="12"/>
  <c r="C150" i="12"/>
  <c r="C149" i="12"/>
  <c r="C148" i="12"/>
  <c r="C147" i="12"/>
  <c r="AF105" i="11"/>
  <c r="U101" i="10" s="1"/>
  <c r="X101" i="10" s="1"/>
  <c r="B173" i="12"/>
  <c r="B172" i="12"/>
  <c r="B171" i="12"/>
  <c r="B170" i="12"/>
  <c r="B169" i="12"/>
  <c r="B168" i="12"/>
  <c r="B167" i="12"/>
  <c r="B166" i="12"/>
  <c r="B165" i="12"/>
  <c r="B164" i="12"/>
  <c r="B163" i="12"/>
  <c r="B162" i="12"/>
  <c r="B161" i="12"/>
  <c r="AF127" i="11"/>
  <c r="U123" i="10" s="1"/>
  <c r="X123" i="10" s="1"/>
  <c r="C127" i="12"/>
  <c r="AF126" i="11"/>
  <c r="U122" i="10" s="1"/>
  <c r="X122" i="10" s="1"/>
  <c r="C126" i="12"/>
  <c r="AF125" i="11"/>
  <c r="U121" i="10" s="1"/>
  <c r="X121" i="10" s="1"/>
  <c r="C125" i="12"/>
  <c r="AF124" i="11"/>
  <c r="U120" i="10" s="1"/>
  <c r="X120" i="10" s="1"/>
  <c r="C124" i="12"/>
  <c r="AF123" i="11"/>
  <c r="U119" i="10" s="1"/>
  <c r="X119" i="10" s="1"/>
  <c r="C123" i="12"/>
  <c r="AF122" i="11"/>
  <c r="U118" i="10" s="1"/>
  <c r="X118" i="10" s="1"/>
  <c r="C122" i="12"/>
  <c r="AF121" i="11"/>
  <c r="U117" i="10" s="1"/>
  <c r="X117" i="10" s="1"/>
  <c r="C121" i="12"/>
  <c r="AF120" i="11"/>
  <c r="U116" i="10" s="1"/>
  <c r="X116" i="10" s="1"/>
  <c r="C120" i="12"/>
  <c r="C119" i="12"/>
  <c r="AF119" i="11"/>
  <c r="U115" i="10" s="1"/>
  <c r="X115" i="10" s="1"/>
  <c r="C118" i="12"/>
  <c r="AF118" i="11"/>
  <c r="U114" i="10" s="1"/>
  <c r="X114" i="10" s="1"/>
  <c r="AF117" i="11"/>
  <c r="U113" i="10" s="1"/>
  <c r="X113" i="10" s="1"/>
  <c r="C117" i="12"/>
  <c r="C116" i="12"/>
  <c r="AF116" i="11"/>
  <c r="U112" i="10" s="1"/>
  <c r="X112" i="10" s="1"/>
  <c r="AF115" i="11"/>
  <c r="U111" i="10" s="1"/>
  <c r="X111" i="10" s="1"/>
  <c r="C115" i="12"/>
  <c r="C114" i="12"/>
  <c r="AF114" i="11"/>
  <c r="U110" i="10" s="1"/>
  <c r="X110" i="10" s="1"/>
  <c r="C113" i="12"/>
  <c r="AF113" i="11"/>
  <c r="U109" i="10" s="1"/>
  <c r="X109" i="10" s="1"/>
  <c r="AF112" i="11"/>
  <c r="U108" i="10" s="1"/>
  <c r="X108" i="10" s="1"/>
  <c r="C112" i="12"/>
  <c r="AF111" i="11"/>
  <c r="U107" i="10" s="1"/>
  <c r="X107" i="10" s="1"/>
  <c r="C111" i="12"/>
  <c r="AF109" i="11"/>
  <c r="U105" i="10" s="1"/>
  <c r="X105" i="10" s="1"/>
  <c r="C109" i="12"/>
  <c r="AF108" i="11"/>
  <c r="U104" i="10" s="1"/>
  <c r="X104" i="10" s="1"/>
  <c r="C108" i="12"/>
  <c r="AF107" i="11"/>
  <c r="U103" i="10" s="1"/>
  <c r="X103" i="10" s="1"/>
  <c r="C107" i="12"/>
  <c r="K4" i="10"/>
  <c r="K5" i="10"/>
  <c r="K6" i="10"/>
  <c r="K7" i="10"/>
  <c r="K8" i="10"/>
  <c r="K9" i="10"/>
  <c r="K10" i="10"/>
  <c r="K11" i="10"/>
  <c r="K3" i="10"/>
  <c r="W417" i="3"/>
  <c r="Z417" i="3"/>
  <c r="E7" i="10"/>
  <c r="I7" i="10" s="1"/>
  <c r="E215" i="3"/>
  <c r="E8" i="10"/>
  <c r="I8" i="10" s="1"/>
  <c r="E216" i="3"/>
  <c r="E217" i="3"/>
  <c r="E9" i="10"/>
  <c r="I9" i="10" s="1"/>
  <c r="G414" i="3"/>
  <c r="D35" i="3"/>
  <c r="C30" i="10"/>
  <c r="G30" i="10" s="1"/>
  <c r="C441" i="3"/>
  <c r="C238" i="3"/>
  <c r="E261" i="3"/>
  <c r="E464" i="3"/>
  <c r="E53" i="10"/>
  <c r="I53" i="10" s="1"/>
  <c r="O263" i="3"/>
  <c r="O466" i="3"/>
  <c r="E227" i="3"/>
  <c r="E19" i="10"/>
  <c r="I19" i="10" s="1"/>
  <c r="E430" i="3"/>
  <c r="O226" i="3"/>
  <c r="O429" i="3"/>
  <c r="U429" i="3" s="1"/>
  <c r="E221" i="3"/>
  <c r="D156" i="7" s="1"/>
  <c r="E13" i="10"/>
  <c r="I13" i="10" s="1"/>
  <c r="E424" i="3"/>
  <c r="E222" i="3"/>
  <c r="E14" i="10"/>
  <c r="I14" i="10" s="1"/>
  <c r="E425" i="3"/>
  <c r="AC563" i="3"/>
  <c r="AC565" i="3"/>
  <c r="AC567" i="3"/>
  <c r="AC569" i="3"/>
  <c r="AC571" i="3"/>
  <c r="AC573" i="3"/>
  <c r="AC575" i="3"/>
  <c r="AC576" i="3"/>
  <c r="AC577" i="3"/>
  <c r="AC578" i="3"/>
  <c r="AC579" i="3"/>
  <c r="AC580" i="3"/>
  <c r="AC581" i="3"/>
  <c r="AC582" i="3"/>
  <c r="AC527" i="3"/>
  <c r="AC589" i="3"/>
  <c r="AC591" i="3"/>
  <c r="AC593" i="3"/>
  <c r="AC595" i="3"/>
  <c r="AC597" i="3"/>
  <c r="AC599" i="3"/>
  <c r="AC605" i="3"/>
  <c r="AC606" i="3"/>
  <c r="AC607" i="3"/>
  <c r="AC608" i="3"/>
  <c r="AC609" i="3"/>
  <c r="AC610" i="3"/>
  <c r="AC611" i="3"/>
  <c r="AC612" i="3"/>
  <c r="AC613" i="3"/>
  <c r="AC558" i="3"/>
  <c r="AC584" i="3"/>
  <c r="AC529" i="3"/>
  <c r="AC532" i="3"/>
  <c r="AC536" i="3"/>
  <c r="AC556" i="3"/>
  <c r="AC560" i="3"/>
  <c r="AC586" i="3"/>
  <c r="AC587" i="3"/>
  <c r="AC533" i="3"/>
  <c r="AC531" i="3"/>
  <c r="AC557" i="3"/>
  <c r="AC534" i="3"/>
  <c r="AC585" i="3"/>
  <c r="AC555" i="3"/>
  <c r="AC559" i="3"/>
  <c r="AC526" i="3"/>
  <c r="AC535" i="3"/>
  <c r="AC524" i="3"/>
  <c r="AC515" i="3"/>
  <c r="AC517" i="3"/>
  <c r="AC519" i="3"/>
  <c r="AC521" i="3"/>
  <c r="AC523" i="3"/>
  <c r="AC525" i="3"/>
  <c r="AC537" i="3"/>
  <c r="AC539" i="3"/>
  <c r="AC540" i="3"/>
  <c r="AC542" i="3"/>
  <c r="AC544" i="3"/>
  <c r="AC546" i="3"/>
  <c r="AC548" i="3"/>
  <c r="AC550" i="3"/>
  <c r="AC552" i="3"/>
  <c r="AC554" i="3"/>
  <c r="AC561" i="3"/>
  <c r="AC562" i="3"/>
  <c r="AC564" i="3"/>
  <c r="AC566" i="3"/>
  <c r="AC568" i="3"/>
  <c r="AC570" i="3"/>
  <c r="AC572" i="3"/>
  <c r="AC574" i="3"/>
  <c r="AC583" i="3"/>
  <c r="AC588" i="3"/>
  <c r="AC590" i="3"/>
  <c r="AC592" i="3"/>
  <c r="AC594" i="3"/>
  <c r="AC596" i="3"/>
  <c r="AC598" i="3"/>
  <c r="AC600" i="3"/>
  <c r="AC601" i="3"/>
  <c r="AC602" i="3"/>
  <c r="AC603" i="3"/>
  <c r="AC513" i="3"/>
  <c r="AC512" i="3"/>
  <c r="AC511" i="3"/>
  <c r="AC510" i="3"/>
  <c r="AC509" i="3"/>
  <c r="AC508" i="3"/>
  <c r="AC507" i="3"/>
  <c r="AC506" i="3"/>
  <c r="AC505" i="3"/>
  <c r="AC504" i="3"/>
  <c r="AC503" i="3"/>
  <c r="AC502" i="3"/>
  <c r="AC501" i="3"/>
  <c r="AC500" i="3"/>
  <c r="AC499" i="3"/>
  <c r="AC498" i="3"/>
  <c r="AC497" i="3"/>
  <c r="AC496" i="3"/>
  <c r="AC495" i="3"/>
  <c r="AC494" i="3"/>
  <c r="AC493" i="3"/>
  <c r="AC492" i="3"/>
  <c r="AC491" i="3"/>
  <c r="AC490" i="3"/>
  <c r="AC489" i="3"/>
  <c r="AC488" i="3"/>
  <c r="AC487" i="3"/>
  <c r="AC486" i="3"/>
  <c r="AC485" i="3"/>
  <c r="AC484" i="3"/>
  <c r="AC483" i="3"/>
  <c r="AC482" i="3"/>
  <c r="AC481" i="3"/>
  <c r="AC480" i="3"/>
  <c r="AC479" i="3"/>
  <c r="AC478" i="3"/>
  <c r="AC477" i="3"/>
  <c r="AC476" i="3"/>
  <c r="AC475" i="3"/>
  <c r="AC474" i="3"/>
  <c r="AC473" i="3"/>
  <c r="AC472" i="3"/>
  <c r="AC471" i="3"/>
  <c r="AC470" i="3"/>
  <c r="AC469" i="3"/>
  <c r="AC468" i="3"/>
  <c r="AC604" i="3"/>
  <c r="AC466" i="3"/>
  <c r="AC465" i="3"/>
  <c r="AC464" i="3"/>
  <c r="AC463" i="3"/>
  <c r="AC462" i="3"/>
  <c r="AC461" i="3"/>
  <c r="AC460" i="3"/>
  <c r="AC459" i="3"/>
  <c r="AC458" i="3"/>
  <c r="AC457" i="3"/>
  <c r="AC456" i="3"/>
  <c r="AC455" i="3"/>
  <c r="AC454" i="3"/>
  <c r="AC448" i="3"/>
  <c r="AC443" i="3"/>
  <c r="AC438" i="3"/>
  <c r="AC433" i="3"/>
  <c r="AC445" i="3"/>
  <c r="AC442" i="3"/>
  <c r="AC436" i="3"/>
  <c r="AC452" i="3"/>
  <c r="AC439" i="3"/>
  <c r="AC451" i="3"/>
  <c r="AC441" i="3"/>
  <c r="AC437" i="3"/>
  <c r="AC434" i="3"/>
  <c r="AC447" i="3"/>
  <c r="AC435" i="3"/>
  <c r="AC450" i="3"/>
  <c r="AC446" i="3"/>
  <c r="AC453" i="3"/>
  <c r="AC449" i="3"/>
  <c r="AC444" i="3"/>
  <c r="AC440" i="3"/>
  <c r="AC467" i="3"/>
  <c r="AC514" i="3"/>
  <c r="AC516" i="3"/>
  <c r="AC518" i="3"/>
  <c r="AC520" i="3"/>
  <c r="AC522" i="3"/>
  <c r="AC528" i="3"/>
  <c r="AC538" i="3"/>
  <c r="AC541" i="3"/>
  <c r="AC543" i="3"/>
  <c r="AC545" i="3"/>
  <c r="AC547" i="3"/>
  <c r="AC549" i="3"/>
  <c r="AC551" i="3"/>
  <c r="AC553" i="3"/>
  <c r="AC530" i="3"/>
  <c r="N239" i="3"/>
  <c r="N442" i="3"/>
  <c r="J237" i="3"/>
  <c r="G172" i="7" s="1"/>
  <c r="Q172" i="7" s="1"/>
  <c r="J440" i="3"/>
  <c r="G275" i="7" s="1"/>
  <c r="Q275" i="7" s="1"/>
  <c r="H237" i="3"/>
  <c r="H440" i="3"/>
  <c r="F8" i="10"/>
  <c r="J8" i="10" s="1"/>
  <c r="F419" i="3"/>
  <c r="F7" i="10"/>
  <c r="J7" i="10" s="1"/>
  <c r="F418" i="3"/>
  <c r="C33" i="12"/>
  <c r="C38" i="12"/>
  <c r="C41" i="12"/>
  <c r="C44" i="12"/>
  <c r="C49" i="12"/>
  <c r="C76" i="12"/>
  <c r="C39" i="12"/>
  <c r="C67" i="12"/>
  <c r="C75" i="12"/>
  <c r="C78" i="12"/>
  <c r="C86" i="12"/>
  <c r="C89" i="12"/>
  <c r="C98" i="12"/>
  <c r="C35" i="12"/>
  <c r="C40" i="12"/>
  <c r="C43" i="12"/>
  <c r="C46" i="12"/>
  <c r="C48" i="12"/>
  <c r="C51" i="12"/>
  <c r="C53" i="12"/>
  <c r="C66" i="12"/>
  <c r="C69" i="12"/>
  <c r="C71" i="12"/>
  <c r="C82" i="12"/>
  <c r="C84" i="12"/>
  <c r="C94" i="12"/>
  <c r="C97" i="12"/>
  <c r="C34" i="12"/>
  <c r="C42" i="12"/>
  <c r="C56" i="12"/>
  <c r="C58" i="12"/>
  <c r="C60" i="12"/>
  <c r="C65" i="12"/>
  <c r="C68" i="12"/>
  <c r="C70" i="12"/>
  <c r="C74" i="12"/>
  <c r="C77" i="12"/>
  <c r="C79" i="12"/>
  <c r="C81" i="12"/>
  <c r="C83" i="12"/>
  <c r="C88" i="12"/>
  <c r="C92" i="12"/>
  <c r="C100" i="12"/>
  <c r="C101" i="12"/>
  <c r="C103" i="12"/>
  <c r="C104" i="12"/>
  <c r="C106" i="12"/>
  <c r="C30" i="12"/>
  <c r="C29" i="12"/>
  <c r="C28" i="12"/>
  <c r="C27" i="12"/>
  <c r="C25" i="12"/>
  <c r="C24" i="12"/>
  <c r="C23" i="12"/>
  <c r="C45" i="12"/>
  <c r="C47" i="12"/>
  <c r="C52" i="12"/>
  <c r="C54" i="12"/>
  <c r="C61" i="12"/>
  <c r="C63" i="12"/>
  <c r="C73" i="12"/>
  <c r="C80" i="12"/>
  <c r="C90" i="12"/>
  <c r="C95" i="12"/>
  <c r="C96" i="12"/>
  <c r="C99" i="12"/>
  <c r="C102" i="12"/>
  <c r="C105" i="12"/>
  <c r="C26" i="12"/>
  <c r="C31" i="12"/>
  <c r="C36" i="12"/>
  <c r="C87" i="12"/>
  <c r="C32" i="12"/>
  <c r="C37" i="12"/>
  <c r="C50" i="12"/>
  <c r="C55" i="12"/>
  <c r="C57" i="12"/>
  <c r="C59" i="12"/>
  <c r="C62" i="12"/>
  <c r="C64" i="12"/>
  <c r="C72" i="12"/>
  <c r="C85" i="12"/>
  <c r="C91" i="12"/>
  <c r="C93" i="12"/>
  <c r="K34" i="6"/>
  <c r="K33" i="6"/>
  <c r="J84" i="6"/>
  <c r="N84" i="6" s="1"/>
  <c r="L67" i="6"/>
  <c r="L53" i="6"/>
  <c r="L49" i="6"/>
  <c r="L46" i="6"/>
  <c r="L47" i="6"/>
  <c r="K50" i="6"/>
  <c r="K55" i="6"/>
  <c r="K67" i="6"/>
  <c r="K64" i="6"/>
  <c r="K63" i="6"/>
  <c r="K58" i="6"/>
  <c r="K39" i="6"/>
  <c r="K42" i="6"/>
  <c r="K48" i="6"/>
  <c r="K52" i="6"/>
  <c r="K49" i="6"/>
  <c r="K57" i="6"/>
  <c r="K54" i="6"/>
  <c r="K44" i="6"/>
  <c r="K41" i="6"/>
  <c r="K56" i="6"/>
  <c r="K51" i="6"/>
  <c r="K43" i="6"/>
  <c r="K65" i="6"/>
  <c r="K45" i="6"/>
  <c r="K59" i="6"/>
  <c r="K37" i="6"/>
  <c r="K62" i="6"/>
  <c r="K53" i="6"/>
  <c r="J68" i="6"/>
  <c r="N68" i="6" s="1"/>
  <c r="J85" i="6"/>
  <c r="N85" i="6" s="1"/>
  <c r="J47" i="6"/>
  <c r="N47" i="6" s="1"/>
  <c r="J78" i="6"/>
  <c r="N78" i="6" s="1"/>
  <c r="J63" i="6"/>
  <c r="N63" i="6" s="1"/>
  <c r="J42" i="6"/>
  <c r="N42" i="6" s="1"/>
  <c r="J45" i="6"/>
  <c r="N45" i="6" s="1"/>
  <c r="J51" i="6"/>
  <c r="N51" i="6" s="1"/>
  <c r="J76" i="6"/>
  <c r="N76" i="6" s="1"/>
  <c r="J50" i="6"/>
  <c r="N50" i="6" s="1"/>
  <c r="J60" i="6"/>
  <c r="N60" i="6" s="1"/>
  <c r="J81" i="6"/>
  <c r="N81" i="6" s="1"/>
  <c r="J40" i="6"/>
  <c r="N40" i="6" s="1"/>
  <c r="J83" i="6"/>
  <c r="N83" i="6" s="1"/>
  <c r="J37" i="6"/>
  <c r="N37" i="6" s="1"/>
  <c r="M67" i="6"/>
  <c r="M40" i="6"/>
  <c r="M68" i="6"/>
  <c r="M47" i="6"/>
  <c r="M38" i="6"/>
  <c r="M62" i="6"/>
  <c r="M44" i="6"/>
  <c r="M54" i="6"/>
  <c r="M61" i="6"/>
  <c r="M52" i="6"/>
  <c r="M64" i="6"/>
  <c r="M79" i="6"/>
  <c r="M69" i="6"/>
  <c r="M46" i="6"/>
  <c r="M51" i="6"/>
  <c r="M63" i="6"/>
  <c r="M39" i="6"/>
  <c r="M65" i="6"/>
  <c r="M58" i="6"/>
  <c r="M49" i="6"/>
  <c r="M56" i="6"/>
  <c r="M36" i="6"/>
  <c r="M53" i="6"/>
  <c r="M55" i="6"/>
  <c r="M59" i="6"/>
  <c r="M43" i="6"/>
  <c r="M60" i="6"/>
  <c r="M42" i="6"/>
  <c r="M57" i="6"/>
  <c r="M41" i="6"/>
  <c r="M50" i="6"/>
  <c r="M34" i="6"/>
  <c r="M48" i="6"/>
  <c r="M66" i="6"/>
  <c r="M45" i="6"/>
  <c r="L52" i="6"/>
  <c r="L38" i="6"/>
  <c r="L68" i="6"/>
  <c r="L70" i="6"/>
  <c r="L33" i="6"/>
  <c r="O33" i="6" s="1"/>
  <c r="L62" i="6"/>
  <c r="L42" i="6"/>
  <c r="L55" i="6"/>
  <c r="L35" i="6"/>
  <c r="L45" i="6"/>
  <c r="L39" i="6"/>
  <c r="K60" i="6"/>
  <c r="K68" i="6"/>
  <c r="O68" i="6" s="1"/>
  <c r="K35" i="6"/>
  <c r="J52" i="6"/>
  <c r="N52" i="6" s="1"/>
  <c r="J53" i="6"/>
  <c r="N53" i="6" s="1"/>
  <c r="J82" i="6"/>
  <c r="N82" i="6" s="1"/>
  <c r="J67" i="6"/>
  <c r="N67" i="6" s="1"/>
  <c r="J77" i="6"/>
  <c r="N77" i="6" s="1"/>
  <c r="J70" i="6"/>
  <c r="N70" i="6" s="1"/>
  <c r="J65" i="6"/>
  <c r="N65" i="6" s="1"/>
  <c r="K77" i="6"/>
  <c r="K73" i="6"/>
  <c r="K75" i="6"/>
  <c r="K82" i="6"/>
  <c r="K70" i="6"/>
  <c r="K87" i="6"/>
  <c r="K80" i="6"/>
  <c r="K66" i="6"/>
  <c r="K78" i="6"/>
  <c r="K71" i="6"/>
  <c r="K85" i="6"/>
  <c r="K76" i="6"/>
  <c r="K81" i="6"/>
  <c r="K83" i="6"/>
  <c r="K79" i="6"/>
  <c r="K72" i="6"/>
  <c r="M71" i="6"/>
  <c r="M77" i="6"/>
  <c r="M81" i="6"/>
  <c r="M83" i="6"/>
  <c r="M75" i="6"/>
  <c r="M82" i="6"/>
  <c r="M74" i="6"/>
  <c r="M72" i="6"/>
  <c r="M80" i="6"/>
  <c r="M85" i="6"/>
  <c r="M76" i="6"/>
  <c r="M86" i="6"/>
  <c r="M78" i="6"/>
  <c r="M87" i="6"/>
  <c r="M84" i="6"/>
  <c r="L76" i="6"/>
  <c r="L87" i="6"/>
  <c r="L86" i="6"/>
  <c r="L77" i="6"/>
  <c r="L81" i="6"/>
  <c r="L83" i="6"/>
  <c r="L72" i="6"/>
  <c r="L75" i="6"/>
  <c r="L58" i="6"/>
  <c r="O58" i="6" s="1"/>
  <c r="L60" i="6"/>
  <c r="O60" i="6" s="1"/>
  <c r="L78" i="6"/>
  <c r="L85" i="6"/>
  <c r="L63" i="6"/>
  <c r="O63" i="6" s="1"/>
  <c r="L79" i="6"/>
  <c r="L61" i="6"/>
  <c r="L74" i="6"/>
  <c r="L84" i="6"/>
  <c r="L69" i="6"/>
  <c r="L56" i="6"/>
  <c r="L36" i="6"/>
  <c r="L71" i="6"/>
  <c r="L51" i="6"/>
  <c r="O51" i="6" s="1"/>
  <c r="L44" i="6"/>
  <c r="O44" i="6" s="1"/>
  <c r="L50" i="6"/>
  <c r="O50" i="6" s="1"/>
  <c r="L66" i="6"/>
  <c r="L73" i="6"/>
  <c r="L82" i="6"/>
  <c r="L64" i="6"/>
  <c r="L34" i="6"/>
  <c r="L80" i="6"/>
  <c r="L54" i="6"/>
  <c r="L41" i="6"/>
  <c r="L59" i="6"/>
  <c r="L57" i="6"/>
  <c r="G117" i="6"/>
  <c r="F117" i="6"/>
  <c r="H117" i="6"/>
  <c r="D117" i="6"/>
  <c r="E117" i="6"/>
  <c r="I117" i="6"/>
  <c r="C147" i="6"/>
  <c r="H116" i="6"/>
  <c r="G116" i="6"/>
  <c r="E116" i="6"/>
  <c r="I116" i="6"/>
  <c r="C146" i="6"/>
  <c r="D116" i="6"/>
  <c r="F116" i="6"/>
  <c r="E115" i="6"/>
  <c r="I115" i="6"/>
  <c r="H115" i="6"/>
  <c r="C145" i="6"/>
  <c r="G115" i="6"/>
  <c r="F115" i="6"/>
  <c r="D115" i="6"/>
  <c r="F114" i="6"/>
  <c r="H114" i="6"/>
  <c r="I114" i="6"/>
  <c r="D114" i="6"/>
  <c r="G114" i="6"/>
  <c r="E114" i="6"/>
  <c r="C144" i="6"/>
  <c r="H113" i="6"/>
  <c r="D113" i="6"/>
  <c r="E113" i="6"/>
  <c r="I113" i="6"/>
  <c r="G113" i="6"/>
  <c r="F113" i="6"/>
  <c r="C143" i="6"/>
  <c r="G112" i="6"/>
  <c r="H112" i="6"/>
  <c r="I112" i="6"/>
  <c r="F112" i="6"/>
  <c r="D112" i="6"/>
  <c r="E112" i="6"/>
  <c r="C142" i="6"/>
  <c r="G111" i="6"/>
  <c r="H111" i="6"/>
  <c r="D111" i="6"/>
  <c r="E111" i="6"/>
  <c r="I111" i="6"/>
  <c r="C141" i="6"/>
  <c r="F111" i="6"/>
  <c r="H110" i="6"/>
  <c r="F110" i="6"/>
  <c r="E110" i="6"/>
  <c r="C140" i="6"/>
  <c r="D110" i="6"/>
  <c r="G110" i="6"/>
  <c r="I110" i="6"/>
  <c r="F109" i="6"/>
  <c r="I109" i="6"/>
  <c r="C139" i="6"/>
  <c r="H109" i="6"/>
  <c r="G109" i="6"/>
  <c r="D109" i="6"/>
  <c r="E109" i="6"/>
  <c r="G108" i="6"/>
  <c r="I108" i="6"/>
  <c r="C138" i="6"/>
  <c r="D108" i="6"/>
  <c r="F108" i="6"/>
  <c r="H108" i="6"/>
  <c r="E108" i="6"/>
  <c r="E107" i="6"/>
  <c r="G107" i="6"/>
  <c r="C137" i="6"/>
  <c r="I107" i="6"/>
  <c r="D107" i="6"/>
  <c r="H107" i="6"/>
  <c r="F107" i="6"/>
  <c r="E106" i="6"/>
  <c r="F106" i="6"/>
  <c r="H106" i="6"/>
  <c r="G106" i="6"/>
  <c r="I106" i="6"/>
  <c r="C136" i="6"/>
  <c r="D106" i="6"/>
  <c r="C135" i="6"/>
  <c r="E105" i="6"/>
  <c r="I105" i="6"/>
  <c r="G105" i="6"/>
  <c r="H105" i="6"/>
  <c r="F105" i="6"/>
  <c r="D105" i="6"/>
  <c r="H104" i="6"/>
  <c r="I104" i="6"/>
  <c r="E104" i="6"/>
  <c r="D104" i="6"/>
  <c r="G104" i="6"/>
  <c r="F104" i="6"/>
  <c r="C134" i="6"/>
  <c r="I103" i="6"/>
  <c r="C133" i="6"/>
  <c r="F103" i="6"/>
  <c r="H103" i="6"/>
  <c r="D103" i="6"/>
  <c r="E103" i="6"/>
  <c r="G103" i="6"/>
  <c r="E102" i="6"/>
  <c r="C132" i="6"/>
  <c r="D102" i="6"/>
  <c r="H102" i="6"/>
  <c r="I102" i="6"/>
  <c r="F102" i="6"/>
  <c r="G102" i="6"/>
  <c r="D101" i="6"/>
  <c r="F101" i="6"/>
  <c r="C131" i="6"/>
  <c r="H101" i="6"/>
  <c r="G101" i="6"/>
  <c r="E101" i="6"/>
  <c r="I101" i="6"/>
  <c r="C130" i="6"/>
  <c r="D100" i="6"/>
  <c r="H100" i="6"/>
  <c r="I100" i="6"/>
  <c r="E100" i="6"/>
  <c r="F100" i="6"/>
  <c r="G100" i="6"/>
  <c r="E99" i="6"/>
  <c r="D99" i="6"/>
  <c r="I99" i="6"/>
  <c r="F99" i="6"/>
  <c r="G99" i="6"/>
  <c r="C129" i="6"/>
  <c r="H99" i="6"/>
  <c r="G98" i="6"/>
  <c r="C128" i="6"/>
  <c r="D98" i="6"/>
  <c r="F98" i="6"/>
  <c r="H98" i="6"/>
  <c r="E98" i="6"/>
  <c r="I98" i="6"/>
  <c r="H97" i="6"/>
  <c r="G97" i="6"/>
  <c r="F97" i="6"/>
  <c r="E97" i="6"/>
  <c r="C127" i="6"/>
  <c r="I97" i="6"/>
  <c r="D97" i="6"/>
  <c r="G96" i="6"/>
  <c r="E96" i="6"/>
  <c r="I96" i="6"/>
  <c r="C126" i="6"/>
  <c r="H96" i="6"/>
  <c r="D96" i="6"/>
  <c r="F96" i="6"/>
  <c r="D95" i="6"/>
  <c r="E95" i="6"/>
  <c r="I95" i="6"/>
  <c r="H95" i="6"/>
  <c r="C125" i="6"/>
  <c r="G95" i="6"/>
  <c r="F95" i="6"/>
  <c r="E94" i="6"/>
  <c r="I94" i="6"/>
  <c r="D94" i="6"/>
  <c r="F94" i="6"/>
  <c r="H94" i="6"/>
  <c r="C124" i="6"/>
  <c r="G94" i="6"/>
  <c r="C123" i="6"/>
  <c r="E93" i="6"/>
  <c r="D93" i="6"/>
  <c r="G93" i="6"/>
  <c r="H93" i="6"/>
  <c r="F93" i="6"/>
  <c r="I93" i="6"/>
  <c r="I92" i="6"/>
  <c r="D92" i="6"/>
  <c r="E92" i="6"/>
  <c r="H92" i="6"/>
  <c r="G92" i="6"/>
  <c r="C122" i="6"/>
  <c r="F92" i="6"/>
  <c r="G91" i="6"/>
  <c r="H91" i="6"/>
  <c r="D91" i="6"/>
  <c r="I91" i="6"/>
  <c r="F91" i="6"/>
  <c r="C121" i="6"/>
  <c r="E91" i="6"/>
  <c r="I90" i="6"/>
  <c r="D90" i="6"/>
  <c r="E90" i="6"/>
  <c r="C120" i="6"/>
  <c r="G90" i="6"/>
  <c r="F90" i="6"/>
  <c r="H90" i="6"/>
  <c r="H89" i="6"/>
  <c r="G89" i="6"/>
  <c r="D89" i="6"/>
  <c r="C119" i="6"/>
  <c r="F89" i="6"/>
  <c r="E89" i="6"/>
  <c r="I89" i="6"/>
  <c r="G88" i="6"/>
  <c r="C118" i="6"/>
  <c r="E88" i="6"/>
  <c r="H88" i="6"/>
  <c r="I88" i="6"/>
  <c r="D88" i="6"/>
  <c r="F88" i="6"/>
  <c r="M70" i="6"/>
  <c r="M37" i="6"/>
  <c r="M89" i="6"/>
  <c r="M73" i="6"/>
  <c r="M35" i="6"/>
  <c r="L65" i="6"/>
  <c r="L43" i="6"/>
  <c r="L37" i="6"/>
  <c r="L40" i="6"/>
  <c r="K40" i="6"/>
  <c r="K61" i="6"/>
  <c r="K74" i="6"/>
  <c r="K69" i="6"/>
  <c r="K84" i="6"/>
  <c r="K46" i="6"/>
  <c r="K86" i="6"/>
  <c r="K38" i="6"/>
  <c r="K36" i="6"/>
  <c r="K47" i="6"/>
  <c r="J34" i="6"/>
  <c r="N34" i="6" s="1"/>
  <c r="J43" i="6"/>
  <c r="N43" i="6" s="1"/>
  <c r="J38" i="6"/>
  <c r="N38" i="6" s="1"/>
  <c r="J62" i="6"/>
  <c r="N62" i="6" s="1"/>
  <c r="J58" i="6"/>
  <c r="N58" i="6" s="1"/>
  <c r="J33" i="6"/>
  <c r="N33" i="6" s="1"/>
  <c r="J49" i="6"/>
  <c r="N49" i="6" s="1"/>
  <c r="J59" i="6"/>
  <c r="N59" i="6" s="1"/>
  <c r="J54" i="6"/>
  <c r="N54" i="6" s="1"/>
  <c r="J44" i="6"/>
  <c r="N44" i="6" s="1"/>
  <c r="J79" i="6"/>
  <c r="N79" i="6" s="1"/>
  <c r="J74" i="6"/>
  <c r="N74" i="6" s="1"/>
  <c r="J69" i="6"/>
  <c r="N69" i="6" s="1"/>
  <c r="J56" i="6"/>
  <c r="N56" i="6" s="1"/>
  <c r="J36" i="6"/>
  <c r="N36" i="6" s="1"/>
  <c r="J66" i="6"/>
  <c r="N66" i="6" s="1"/>
  <c r="J46" i="6"/>
  <c r="N46" i="6" s="1"/>
  <c r="J75" i="6"/>
  <c r="N75" i="6" s="1"/>
  <c r="J86" i="6"/>
  <c r="N86" i="6" s="1"/>
  <c r="J61" i="6"/>
  <c r="N61" i="6" s="1"/>
  <c r="J72" i="6"/>
  <c r="N72" i="6" s="1"/>
  <c r="J64" i="6"/>
  <c r="N64" i="6" s="1"/>
  <c r="J80" i="6"/>
  <c r="N80" i="6" s="1"/>
  <c r="J55" i="6"/>
  <c r="N55" i="6" s="1"/>
  <c r="J87" i="6"/>
  <c r="N87" i="6" s="1"/>
  <c r="J41" i="6"/>
  <c r="N41" i="6" s="1"/>
  <c r="J57" i="6"/>
  <c r="N57" i="6" s="1"/>
  <c r="J73" i="6"/>
  <c r="N73" i="6" s="1"/>
  <c r="J48" i="6"/>
  <c r="N48" i="6" s="1"/>
  <c r="J39" i="6"/>
  <c r="N39" i="6" s="1"/>
  <c r="J71" i="6"/>
  <c r="N71" i="6" s="1"/>
  <c r="R249" i="7"/>
  <c r="X249" i="7"/>
  <c r="AI249" i="7"/>
  <c r="W414" i="3"/>
  <c r="AB214" i="3"/>
  <c r="AB213" i="3"/>
  <c r="AB212" i="3"/>
  <c r="AB211" i="3"/>
  <c r="W214" i="3"/>
  <c r="G214" i="3"/>
  <c r="G213" i="3"/>
  <c r="AC232" i="3"/>
  <c r="AC285" i="3"/>
  <c r="AC233" i="3"/>
  <c r="AC333" i="3"/>
  <c r="AC234" i="3"/>
  <c r="AC286" i="3"/>
  <c r="AC235" i="3"/>
  <c r="AC311" i="3"/>
  <c r="AC236" i="3"/>
  <c r="AC287" i="3"/>
  <c r="AC237" i="3"/>
  <c r="AC323" i="3"/>
  <c r="AC238" i="3"/>
  <c r="AC288" i="3"/>
  <c r="AC239" i="3"/>
  <c r="AC312" i="3"/>
  <c r="AC240" i="3"/>
  <c r="AC289" i="3"/>
  <c r="AC241" i="3"/>
  <c r="AC329" i="3"/>
  <c r="AC242" i="3"/>
  <c r="AC290" i="3"/>
  <c r="AC243" i="3"/>
  <c r="AC313" i="3"/>
  <c r="AC244" i="3"/>
  <c r="AC245" i="3"/>
  <c r="AC246" i="3"/>
  <c r="AC247" i="3"/>
  <c r="AC291" i="3"/>
  <c r="AC248" i="3"/>
  <c r="AC324" i="3"/>
  <c r="AC249" i="3"/>
  <c r="AC292" i="3"/>
  <c r="AC250" i="3"/>
  <c r="AC314" i="3"/>
  <c r="AC251" i="3"/>
  <c r="AC293" i="3"/>
  <c r="AC252" i="3"/>
  <c r="AC332" i="3"/>
  <c r="AC253" i="3"/>
  <c r="AC294" i="3"/>
  <c r="AC254" i="3"/>
  <c r="AC315" i="3"/>
  <c r="AC255" i="3"/>
  <c r="AC295" i="3"/>
  <c r="AC256" i="3"/>
  <c r="AC325" i="3"/>
  <c r="AC257" i="3"/>
  <c r="AC296" i="3"/>
  <c r="AC258" i="3"/>
  <c r="AC316" i="3"/>
  <c r="AC259" i="3"/>
  <c r="AC297" i="3"/>
  <c r="AC260" i="3"/>
  <c r="AC330" i="3"/>
  <c r="AC261" i="3"/>
  <c r="AC298" i="3"/>
  <c r="AC262" i="3"/>
  <c r="AC317" i="3"/>
  <c r="AC263" i="3"/>
  <c r="AC299" i="3"/>
  <c r="AC264" i="3"/>
  <c r="AC326" i="3"/>
  <c r="AC265" i="3"/>
  <c r="AC300" i="3"/>
  <c r="AC266" i="3"/>
  <c r="AC318" i="3"/>
  <c r="AC301" i="3"/>
  <c r="AC334" i="3"/>
  <c r="AC268" i="3"/>
  <c r="AC302" i="3"/>
  <c r="AC269" i="3"/>
  <c r="AC319" i="3"/>
  <c r="AC270" i="3"/>
  <c r="AC303" i="3"/>
  <c r="AC271" i="3"/>
  <c r="AC327" i="3"/>
  <c r="AC272" i="3"/>
  <c r="AC304" i="3"/>
  <c r="AC273" i="3"/>
  <c r="AC335" i="3"/>
  <c r="AC274" i="3"/>
  <c r="AC305" i="3"/>
  <c r="AC336" i="3"/>
  <c r="AC337" i="3"/>
  <c r="AC338" i="3"/>
  <c r="AC339" i="3"/>
  <c r="AC340" i="3"/>
  <c r="AC341" i="3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6" i="3"/>
  <c r="AC367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408" i="3"/>
  <c r="AC409" i="3"/>
  <c r="AC410" i="3"/>
  <c r="AC267" i="3"/>
  <c r="AC212" i="3"/>
  <c r="AC275" i="3"/>
  <c r="AC213" i="3"/>
  <c r="AC320" i="3"/>
  <c r="AC214" i="3"/>
  <c r="AC276" i="3"/>
  <c r="AC215" i="3"/>
  <c r="AC306" i="3"/>
  <c r="AC216" i="3"/>
  <c r="AC277" i="3"/>
  <c r="AC217" i="3"/>
  <c r="AC331" i="3"/>
  <c r="AC218" i="3"/>
  <c r="AC278" i="3"/>
  <c r="AC219" i="3"/>
  <c r="AC307" i="3"/>
  <c r="AC220" i="3"/>
  <c r="AC279" i="3"/>
  <c r="AC221" i="3"/>
  <c r="AC321" i="3"/>
  <c r="AC222" i="3"/>
  <c r="AC280" i="3"/>
  <c r="AC223" i="3"/>
  <c r="AC308" i="3"/>
  <c r="AC224" i="3"/>
  <c r="AC281" i="3"/>
  <c r="AC225" i="3"/>
  <c r="AC328" i="3"/>
  <c r="AC226" i="3"/>
  <c r="AC282" i="3"/>
  <c r="AC227" i="3"/>
  <c r="AC309" i="3"/>
  <c r="AC228" i="3"/>
  <c r="AC283" i="3"/>
  <c r="AC229" i="3"/>
  <c r="AC322" i="3"/>
  <c r="AC230" i="3"/>
  <c r="AC284" i="3"/>
  <c r="AC231" i="3"/>
  <c r="AC310" i="3"/>
  <c r="C36" i="3"/>
  <c r="M239" i="3"/>
  <c r="G13" i="3"/>
  <c r="F216" i="3"/>
  <c r="G12" i="3"/>
  <c r="F215" i="3"/>
  <c r="X263" i="3"/>
  <c r="X382" i="3"/>
  <c r="X262" i="3"/>
  <c r="X381" i="3"/>
  <c r="X261" i="3"/>
  <c r="X380" i="3"/>
  <c r="X260" i="3"/>
  <c r="X379" i="3"/>
  <c r="X259" i="3"/>
  <c r="X378" i="3"/>
  <c r="X258" i="3"/>
  <c r="X377" i="3"/>
  <c r="X257" i="3"/>
  <c r="X376" i="3"/>
  <c r="X256" i="3"/>
  <c r="X375" i="3"/>
  <c r="X255" i="3"/>
  <c r="X374" i="3"/>
  <c r="X254" i="3"/>
  <c r="X373" i="3"/>
  <c r="X253" i="3"/>
  <c r="X372" i="3"/>
  <c r="X252" i="3"/>
  <c r="X371" i="3"/>
  <c r="X251" i="3"/>
  <c r="X370" i="3"/>
  <c r="X250" i="3"/>
  <c r="X369" i="3"/>
  <c r="X249" i="3"/>
  <c r="X368" i="3"/>
  <c r="X248" i="3"/>
  <c r="X367" i="3"/>
  <c r="X247" i="3"/>
  <c r="X366" i="3"/>
  <c r="X246" i="3"/>
  <c r="X365" i="3"/>
  <c r="X245" i="3"/>
  <c r="X364" i="3"/>
  <c r="X244" i="3"/>
  <c r="X363" i="3"/>
  <c r="X243" i="3"/>
  <c r="X362" i="3"/>
  <c r="X242" i="3"/>
  <c r="X361" i="3"/>
  <c r="X241" i="3"/>
  <c r="X360" i="3"/>
  <c r="X240" i="3"/>
  <c r="X359" i="3"/>
  <c r="X239" i="3"/>
  <c r="X358" i="3"/>
  <c r="X238" i="3"/>
  <c r="X357" i="3"/>
  <c r="X237" i="3"/>
  <c r="X356" i="3"/>
  <c r="X236" i="3"/>
  <c r="X355" i="3"/>
  <c r="X235" i="3"/>
  <c r="X285" i="3"/>
  <c r="X234" i="3"/>
  <c r="X354" i="3"/>
  <c r="X233" i="3"/>
  <c r="X353" i="3"/>
  <c r="X232" i="3"/>
  <c r="X352" i="3"/>
  <c r="X231" i="3"/>
  <c r="X351" i="3"/>
  <c r="X230" i="3"/>
  <c r="X350" i="3"/>
  <c r="X229" i="3"/>
  <c r="X349" i="3"/>
  <c r="X228" i="3"/>
  <c r="X348" i="3"/>
  <c r="X227" i="3"/>
  <c r="X347" i="3"/>
  <c r="X226" i="3"/>
  <c r="X346" i="3"/>
  <c r="X225" i="3"/>
  <c r="X345" i="3"/>
  <c r="X344" i="3"/>
  <c r="X343" i="3"/>
  <c r="X223" i="3"/>
  <c r="X342" i="3"/>
  <c r="X222" i="3"/>
  <c r="X341" i="3"/>
  <c r="X221" i="3"/>
  <c r="X340" i="3"/>
  <c r="X220" i="3"/>
  <c r="X339" i="3"/>
  <c r="X219" i="3"/>
  <c r="X338" i="3"/>
  <c r="X218" i="3"/>
  <c r="X337" i="3"/>
  <c r="X217" i="3"/>
  <c r="X336" i="3"/>
  <c r="X216" i="3"/>
  <c r="X335" i="3"/>
  <c r="X215" i="3"/>
  <c r="X334" i="3"/>
  <c r="X214" i="3"/>
  <c r="X333" i="3"/>
  <c r="X213" i="3"/>
  <c r="X332" i="3"/>
  <c r="X212" i="3"/>
  <c r="X331" i="3"/>
  <c r="X408" i="3"/>
  <c r="X409" i="3"/>
  <c r="X410" i="3"/>
  <c r="X211" i="3"/>
  <c r="X330" i="3"/>
  <c r="X329" i="3"/>
  <c r="X328" i="3"/>
  <c r="X327" i="3"/>
  <c r="X326" i="3"/>
  <c r="X325" i="3"/>
  <c r="X324" i="3"/>
  <c r="X323" i="3"/>
  <c r="X322" i="3"/>
  <c r="X321" i="3"/>
  <c r="X320" i="3"/>
  <c r="X319" i="3"/>
  <c r="X318" i="3"/>
  <c r="X316" i="3"/>
  <c r="X315" i="3"/>
  <c r="X314" i="3"/>
  <c r="X313" i="3"/>
  <c r="X312" i="3"/>
  <c r="X311" i="3"/>
  <c r="X310" i="3"/>
  <c r="X309" i="3"/>
  <c r="X308" i="3"/>
  <c r="X307" i="3"/>
  <c r="X306" i="3"/>
  <c r="X305" i="3"/>
  <c r="X304" i="3"/>
  <c r="X303" i="3"/>
  <c r="X302" i="3"/>
  <c r="X301" i="3"/>
  <c r="X300" i="3"/>
  <c r="X224" i="3"/>
  <c r="X299" i="3"/>
  <c r="X298" i="3"/>
  <c r="X297" i="3"/>
  <c r="X296" i="3"/>
  <c r="X295" i="3"/>
  <c r="X294" i="3"/>
  <c r="X293" i="3"/>
  <c r="X292" i="3"/>
  <c r="X291" i="3"/>
  <c r="X290" i="3"/>
  <c r="X289" i="3"/>
  <c r="X288" i="3"/>
  <c r="X287" i="3"/>
  <c r="X317" i="3"/>
  <c r="X286" i="3"/>
  <c r="X407" i="3"/>
  <c r="X406" i="3"/>
  <c r="X405" i="3"/>
  <c r="X284" i="3"/>
  <c r="X404" i="3"/>
  <c r="X283" i="3"/>
  <c r="X403" i="3"/>
  <c r="X282" i="3"/>
  <c r="X402" i="3"/>
  <c r="X281" i="3"/>
  <c r="X401" i="3"/>
  <c r="X280" i="3"/>
  <c r="X400" i="3"/>
  <c r="X279" i="3"/>
  <c r="X399" i="3"/>
  <c r="X278" i="3"/>
  <c r="X398" i="3"/>
  <c r="X277" i="3"/>
  <c r="X397" i="3"/>
  <c r="X276" i="3"/>
  <c r="X396" i="3"/>
  <c r="X275" i="3"/>
  <c r="X395" i="3"/>
  <c r="X274" i="3"/>
  <c r="X394" i="3"/>
  <c r="X273" i="3"/>
  <c r="X392" i="3"/>
  <c r="X272" i="3"/>
  <c r="X391" i="3"/>
  <c r="X271" i="3"/>
  <c r="X390" i="3"/>
  <c r="X270" i="3"/>
  <c r="X389" i="3"/>
  <c r="X269" i="3"/>
  <c r="X388" i="3"/>
  <c r="X268" i="3"/>
  <c r="X387" i="3"/>
  <c r="X267" i="3"/>
  <c r="X386" i="3"/>
  <c r="X266" i="3"/>
  <c r="X385" i="3"/>
  <c r="X265" i="3"/>
  <c r="X384" i="3"/>
  <c r="X264" i="3"/>
  <c r="X383" i="3"/>
  <c r="X393" i="3"/>
  <c r="Y212" i="3"/>
  <c r="Z229" i="3"/>
  <c r="Z228" i="3"/>
  <c r="Z227" i="3"/>
  <c r="Z212" i="3"/>
  <c r="Z226" i="3"/>
  <c r="Z225" i="3"/>
  <c r="Z224" i="3"/>
  <c r="Z223" i="3"/>
  <c r="Z222" i="3"/>
  <c r="Z221" i="3"/>
  <c r="Z220" i="3"/>
  <c r="Z219" i="3"/>
  <c r="Z218" i="3"/>
  <c r="Z217" i="3"/>
  <c r="Z216" i="3"/>
  <c r="Z215" i="3"/>
  <c r="Z214" i="3"/>
  <c r="Z213" i="3"/>
  <c r="U62" i="3"/>
  <c r="E60" i="3"/>
  <c r="K18" i="7"/>
  <c r="AD18" i="7" s="1"/>
  <c r="R18" i="7" s="1"/>
  <c r="AI8" i="7"/>
  <c r="X8" i="7"/>
  <c r="AI9" i="7"/>
  <c r="X9" i="7"/>
  <c r="AI7" i="7"/>
  <c r="X7" i="7"/>
  <c r="D19" i="7"/>
  <c r="D14" i="7"/>
  <c r="U27" i="3"/>
  <c r="E25" i="3"/>
  <c r="R164" i="7"/>
  <c r="S4" i="7"/>
  <c r="X10" i="7"/>
  <c r="AI10" i="7"/>
  <c r="X11" i="7"/>
  <c r="AI11" i="7"/>
  <c r="X12" i="7"/>
  <c r="AI12" i="7"/>
  <c r="X13" i="7"/>
  <c r="AI13" i="7"/>
  <c r="D254" i="7"/>
  <c r="D253" i="7"/>
  <c r="AB18" i="3"/>
  <c r="AB12" i="3"/>
  <c r="AB13" i="3"/>
  <c r="AB17" i="3"/>
  <c r="AB15" i="3"/>
  <c r="AB14" i="3"/>
  <c r="AB16" i="3"/>
  <c r="D17" i="7"/>
  <c r="W3" i="7"/>
  <c r="N3" i="7" s="1"/>
  <c r="AH3" i="7"/>
  <c r="S3" i="7" s="1"/>
  <c r="C249" i="7"/>
  <c r="C146" i="7"/>
  <c r="AA17" i="3"/>
  <c r="AA14" i="3"/>
  <c r="AA8" i="3"/>
  <c r="AA18" i="3"/>
  <c r="AA9" i="3"/>
  <c r="AA15" i="3"/>
  <c r="AA10" i="3"/>
  <c r="AA16" i="3"/>
  <c r="AA12" i="3"/>
  <c r="AA13" i="3"/>
  <c r="AA19" i="3"/>
  <c r="AA11" i="3"/>
  <c r="AH254" i="7"/>
  <c r="W254" i="7"/>
  <c r="AH253" i="7"/>
  <c r="W253" i="7"/>
  <c r="AI252" i="7"/>
  <c r="X252" i="7"/>
  <c r="AH252" i="7"/>
  <c r="W252" i="7"/>
  <c r="Z26" i="3"/>
  <c r="Z25" i="3"/>
  <c r="Z27" i="3"/>
  <c r="Z24" i="3"/>
  <c r="AA20" i="3"/>
  <c r="AA23" i="3"/>
  <c r="AA25" i="3"/>
  <c r="AA21" i="3"/>
  <c r="AA22" i="3"/>
  <c r="AA24" i="3"/>
  <c r="Y11" i="3"/>
  <c r="Y10" i="3"/>
  <c r="AG260" i="7"/>
  <c r="V260" i="7"/>
  <c r="W259" i="7"/>
  <c r="AH259" i="7"/>
  <c r="AH258" i="7"/>
  <c r="W258" i="7"/>
  <c r="W257" i="7"/>
  <c r="AH257" i="7"/>
  <c r="AH256" i="7"/>
  <c r="W256" i="7"/>
  <c r="AI255" i="7"/>
  <c r="X255" i="7"/>
  <c r="AH255" i="7"/>
  <c r="W255" i="7"/>
  <c r="AC211" i="3"/>
  <c r="J31" i="7"/>
  <c r="AC31" i="7" s="1"/>
  <c r="T37" i="3"/>
  <c r="I277" i="7"/>
  <c r="AB277" i="7" s="1"/>
  <c r="I31" i="7"/>
  <c r="AB31" i="7" s="1"/>
  <c r="G29" i="7"/>
  <c r="Q29" i="7" s="1"/>
  <c r="R35" i="3"/>
  <c r="P29" i="7"/>
  <c r="V22" i="7"/>
  <c r="AG22" i="7"/>
  <c r="K23" i="7"/>
  <c r="AD23" i="7" s="1"/>
  <c r="R23" i="7" s="1"/>
  <c r="K166" i="7"/>
  <c r="AD166" i="7" s="1"/>
  <c r="R166" i="7" s="1"/>
  <c r="K269" i="7"/>
  <c r="AD269" i="7" s="1"/>
  <c r="R269" i="7" s="1"/>
  <c r="V21" i="7"/>
  <c r="AG21" i="7"/>
  <c r="C26" i="7"/>
  <c r="W20" i="7"/>
  <c r="AH20" i="7"/>
  <c r="V20" i="7"/>
  <c r="AG20" i="7"/>
  <c r="W19" i="7"/>
  <c r="AH19" i="7"/>
  <c r="C25" i="7"/>
  <c r="V19" i="7"/>
  <c r="AG19" i="7"/>
  <c r="X18" i="7"/>
  <c r="AI18" i="7"/>
  <c r="W18" i="7"/>
  <c r="AH18" i="7"/>
  <c r="C161" i="7"/>
  <c r="C24" i="7"/>
  <c r="C264" i="7"/>
  <c r="D25" i="7"/>
  <c r="C263" i="7"/>
  <c r="C160" i="7"/>
  <c r="C23" i="7"/>
  <c r="W17" i="7"/>
  <c r="AH17" i="7"/>
  <c r="X16" i="7"/>
  <c r="AI16" i="7"/>
  <c r="C22" i="7"/>
  <c r="C159" i="7"/>
  <c r="W16" i="7"/>
  <c r="AH16" i="7"/>
  <c r="C262" i="7"/>
  <c r="X15" i="7"/>
  <c r="AI15" i="7"/>
  <c r="D23" i="7"/>
  <c r="C261" i="7"/>
  <c r="W15" i="7"/>
  <c r="AH15" i="7"/>
  <c r="C21" i="7"/>
  <c r="Y6" i="7"/>
  <c r="N6" i="7" s="1"/>
  <c r="AJ6" i="7"/>
  <c r="S6" i="7" s="1"/>
  <c r="E252" i="7"/>
  <c r="W13" i="3"/>
  <c r="E8" i="7"/>
  <c r="M8" i="7" s="1"/>
  <c r="F15" i="3"/>
  <c r="Y5" i="7"/>
  <c r="N5" i="7" s="1"/>
  <c r="AJ5" i="7"/>
  <c r="S5" i="7" s="1"/>
  <c r="E251" i="7"/>
  <c r="W12" i="3"/>
  <c r="F14" i="3"/>
  <c r="E7" i="7"/>
  <c r="M7" i="7" s="1"/>
  <c r="R267" i="7"/>
  <c r="V159" i="7"/>
  <c r="AG159" i="7"/>
  <c r="B268" i="7"/>
  <c r="Z433" i="3"/>
  <c r="B165" i="7"/>
  <c r="Z230" i="3"/>
  <c r="B164" i="7"/>
  <c r="B267" i="7"/>
  <c r="B163" i="7"/>
  <c r="B266" i="7"/>
  <c r="B162" i="7"/>
  <c r="B265" i="7"/>
  <c r="C158" i="7"/>
  <c r="E149" i="7"/>
  <c r="E148" i="7"/>
  <c r="AB19" i="4"/>
  <c r="AB18" i="4"/>
  <c r="AC18" i="4"/>
  <c r="AC11" i="4"/>
  <c r="AC9" i="4"/>
  <c r="AC22" i="4"/>
  <c r="AB17" i="4"/>
  <c r="AC20" i="4"/>
  <c r="AC6" i="4"/>
  <c r="AC13" i="4"/>
  <c r="AC14" i="4"/>
  <c r="AC15" i="4"/>
  <c r="AB16" i="4"/>
  <c r="AB7" i="4"/>
  <c r="AC7" i="4"/>
  <c r="AB10" i="4"/>
  <c r="AB14" i="4"/>
  <c r="AB9" i="4"/>
  <c r="AB6" i="4"/>
  <c r="AC8" i="4"/>
  <c r="AC12" i="4"/>
  <c r="AC17" i="4"/>
  <c r="AB8" i="4"/>
  <c r="AB15" i="4"/>
  <c r="O28" i="6"/>
  <c r="O6" i="6"/>
  <c r="W251" i="7"/>
  <c r="AH251" i="7"/>
  <c r="V251" i="7"/>
  <c r="AG251" i="7"/>
  <c r="Y250" i="7"/>
  <c r="AJ250" i="7"/>
  <c r="W250" i="7"/>
  <c r="AH250" i="7"/>
  <c r="V250" i="7"/>
  <c r="AG250" i="7"/>
  <c r="Y249" i="7"/>
  <c r="AJ249" i="7"/>
  <c r="V249" i="7"/>
  <c r="AG249" i="7"/>
  <c r="V158" i="7"/>
  <c r="AG158" i="7"/>
  <c r="W157" i="7"/>
  <c r="AH157" i="7"/>
  <c r="V157" i="7"/>
  <c r="AG157" i="7"/>
  <c r="W156" i="7"/>
  <c r="AH156" i="7"/>
  <c r="V156" i="7"/>
  <c r="AG156" i="7"/>
  <c r="W155" i="7"/>
  <c r="AH155" i="7"/>
  <c r="V155" i="7"/>
  <c r="AG155" i="7"/>
  <c r="W154" i="7"/>
  <c r="AH154" i="7"/>
  <c r="V154" i="7"/>
  <c r="AG154" i="7"/>
  <c r="W153" i="7"/>
  <c r="AH153" i="7"/>
  <c r="V153" i="7"/>
  <c r="AG153" i="7"/>
  <c r="W152" i="7"/>
  <c r="AH152" i="7"/>
  <c r="V152" i="7"/>
  <c r="AG152" i="7"/>
  <c r="W151" i="7"/>
  <c r="AH151" i="7"/>
  <c r="V151" i="7"/>
  <c r="AG151" i="7"/>
  <c r="W150" i="7"/>
  <c r="AH150" i="7"/>
  <c r="V150" i="7"/>
  <c r="AG150" i="7"/>
  <c r="X149" i="7"/>
  <c r="AI149" i="7"/>
  <c r="W149" i="7"/>
  <c r="AH149" i="7"/>
  <c r="V149" i="7"/>
  <c r="AG149" i="7"/>
  <c r="W148" i="7"/>
  <c r="AH148" i="7"/>
  <c r="V148" i="7"/>
  <c r="AG148" i="7"/>
  <c r="Y147" i="7"/>
  <c r="AJ147" i="7"/>
  <c r="W147" i="7"/>
  <c r="AH147" i="7"/>
  <c r="V147" i="7"/>
  <c r="AG147" i="7"/>
  <c r="Y146" i="7"/>
  <c r="AJ146" i="7"/>
  <c r="Y211" i="3"/>
  <c r="V146" i="7"/>
  <c r="AG146" i="7"/>
  <c r="Z211" i="3"/>
  <c r="O14" i="6"/>
  <c r="AF27" i="6"/>
  <c r="O13" i="6"/>
  <c r="O24" i="6"/>
  <c r="O18" i="6"/>
  <c r="O32" i="6"/>
  <c r="Z20" i="6"/>
  <c r="O22" i="6"/>
  <c r="O29" i="6"/>
  <c r="O26" i="6"/>
  <c r="O7" i="6"/>
  <c r="O17" i="6"/>
  <c r="O31" i="6"/>
  <c r="O16" i="6"/>
  <c r="O21" i="6"/>
  <c r="O15" i="6"/>
  <c r="O4" i="6"/>
  <c r="O20" i="6"/>
  <c r="O10" i="6"/>
  <c r="O30" i="6"/>
  <c r="O19" i="6"/>
  <c r="O3" i="6"/>
  <c r="O12" i="6"/>
  <c r="O25" i="6"/>
  <c r="O11" i="6"/>
  <c r="O9" i="6"/>
  <c r="O5" i="6"/>
  <c r="O23" i="6"/>
  <c r="AQ6" i="7" l="1"/>
  <c r="AQ16" i="7"/>
  <c r="AQ19" i="7"/>
  <c r="AQ3" i="7"/>
  <c r="AP29" i="7"/>
  <c r="AQ5" i="7"/>
  <c r="AQ15" i="7"/>
  <c r="AQ13" i="7"/>
  <c r="AQ4" i="7"/>
  <c r="AQ8" i="7"/>
  <c r="AQ11" i="7"/>
  <c r="AQ14" i="7"/>
  <c r="AQ10" i="7"/>
  <c r="AQ17" i="7"/>
  <c r="AQ7" i="7"/>
  <c r="AQ9" i="7"/>
  <c r="AQ21" i="7"/>
  <c r="X21" i="7"/>
  <c r="AI21" i="7"/>
  <c r="U226" i="3"/>
  <c r="K161" i="7"/>
  <c r="AD161" i="7" s="1"/>
  <c r="R161" i="7" s="1"/>
  <c r="AA11" i="4"/>
  <c r="AA13" i="4"/>
  <c r="AC4" i="4"/>
  <c r="AA21" i="4"/>
  <c r="AA8" i="4"/>
  <c r="AA10" i="4"/>
  <c r="AA6" i="4"/>
  <c r="AA18" i="4"/>
  <c r="AA12" i="4"/>
  <c r="AA15" i="4"/>
  <c r="AA4" i="4"/>
  <c r="AA19" i="4"/>
  <c r="Y3" i="4"/>
  <c r="AB4" i="4" s="1"/>
  <c r="Y22" i="4"/>
  <c r="AB22" i="4" s="1"/>
  <c r="AA16" i="4"/>
  <c r="AA22" i="4"/>
  <c r="AE189" i="11"/>
  <c r="T185" i="10" s="1"/>
  <c r="W185" i="10" s="1"/>
  <c r="AE188" i="11"/>
  <c r="T184" i="10" s="1"/>
  <c r="W184" i="10" s="1"/>
  <c r="AE187" i="11"/>
  <c r="T183" i="10" s="1"/>
  <c r="W183" i="10" s="1"/>
  <c r="AE190" i="11"/>
  <c r="T186" i="10" s="1"/>
  <c r="W186" i="10" s="1"/>
  <c r="AE186" i="11"/>
  <c r="T182" i="10" s="1"/>
  <c r="W182" i="10" s="1"/>
  <c r="B145" i="12"/>
  <c r="B55" i="13"/>
  <c r="B51" i="13"/>
  <c r="B33" i="13"/>
  <c r="B50" i="13"/>
  <c r="B32" i="13"/>
  <c r="B49" i="13"/>
  <c r="D49" i="13" s="1"/>
  <c r="B31" i="13"/>
  <c r="B46" i="13"/>
  <c r="D46" i="13" s="1"/>
  <c r="B41" i="13"/>
  <c r="D41" i="13" s="1"/>
  <c r="B53" i="13"/>
  <c r="D53" i="13" s="1"/>
  <c r="B52" i="13"/>
  <c r="D52" i="13" s="1"/>
  <c r="B40" i="13"/>
  <c r="D40" i="13" s="1"/>
  <c r="B38" i="13"/>
  <c r="B35" i="13"/>
  <c r="D35" i="13" s="1"/>
  <c r="B54" i="13"/>
  <c r="D54" i="13" s="1"/>
  <c r="B48" i="13"/>
  <c r="D48" i="13" s="1"/>
  <c r="B47" i="13"/>
  <c r="D47" i="13" s="1"/>
  <c r="B44" i="13"/>
  <c r="D44" i="13" s="1"/>
  <c r="B45" i="13"/>
  <c r="D45" i="13" s="1"/>
  <c r="B42" i="13"/>
  <c r="D42" i="13" s="1"/>
  <c r="B43" i="13"/>
  <c r="D43" i="13" s="1"/>
  <c r="B39" i="13"/>
  <c r="D39" i="13" s="1"/>
  <c r="B37" i="13"/>
  <c r="D37" i="13" s="1"/>
  <c r="B36" i="13"/>
  <c r="D36" i="13" s="1"/>
  <c r="B34" i="13"/>
  <c r="D34" i="13" s="1"/>
  <c r="AE107" i="11"/>
  <c r="T103" i="10" s="1"/>
  <c r="W103" i="10" s="1"/>
  <c r="B162" i="13"/>
  <c r="B23" i="13"/>
  <c r="B18" i="13"/>
  <c r="D18" i="13" s="1"/>
  <c r="B21" i="13"/>
  <c r="D21" i="13" s="1"/>
  <c r="B20" i="13"/>
  <c r="D20" i="13" s="1"/>
  <c r="B22" i="13"/>
  <c r="D22" i="13" s="1"/>
  <c r="B16" i="13"/>
  <c r="D16" i="13" s="1"/>
  <c r="B205" i="13"/>
  <c r="B204" i="13"/>
  <c r="B203" i="13"/>
  <c r="B202" i="13"/>
  <c r="B200" i="13"/>
  <c r="B199" i="13"/>
  <c r="B198" i="13"/>
  <c r="B197" i="13"/>
  <c r="B17" i="13"/>
  <c r="D17" i="13" s="1"/>
  <c r="B87" i="13"/>
  <c r="B86" i="13"/>
  <c r="B85" i="13"/>
  <c r="B83" i="13"/>
  <c r="B80" i="13"/>
  <c r="B79" i="13"/>
  <c r="B78" i="13"/>
  <c r="B75" i="13"/>
  <c r="B74" i="13"/>
  <c r="B110" i="13"/>
  <c r="B109" i="13"/>
  <c r="B108" i="13"/>
  <c r="B185" i="13"/>
  <c r="B72" i="13"/>
  <c r="D72" i="13" s="1"/>
  <c r="B195" i="13"/>
  <c r="B194" i="13"/>
  <c r="B119" i="13"/>
  <c r="B118" i="13"/>
  <c r="B117" i="13"/>
  <c r="B116" i="13"/>
  <c r="B115" i="13"/>
  <c r="B114" i="13"/>
  <c r="B113" i="13"/>
  <c r="B112" i="13"/>
  <c r="B193" i="13"/>
  <c r="B24" i="13"/>
  <c r="B25" i="13"/>
  <c r="B26" i="13"/>
  <c r="B101" i="13"/>
  <c r="B27" i="13"/>
  <c r="B97" i="13"/>
  <c r="B93" i="13"/>
  <c r="B89" i="13"/>
  <c r="B88" i="13"/>
  <c r="B28" i="13"/>
  <c r="B30" i="13"/>
  <c r="B106" i="13"/>
  <c r="B105" i="13"/>
  <c r="B104" i="13"/>
  <c r="B103" i="13"/>
  <c r="D55" i="13"/>
  <c r="B179" i="13"/>
  <c r="D179" i="13" s="1"/>
  <c r="B178" i="13"/>
  <c r="D178" i="13" s="1"/>
  <c r="B191" i="13"/>
  <c r="B190" i="13"/>
  <c r="B161" i="13"/>
  <c r="D161" i="13" s="1"/>
  <c r="B132" i="13"/>
  <c r="B160" i="13"/>
  <c r="D160" i="13" s="1"/>
  <c r="B159" i="13"/>
  <c r="D159" i="13" s="1"/>
  <c r="B184" i="13"/>
  <c r="D184" i="13" s="1"/>
  <c r="B183" i="13"/>
  <c r="D183" i="13" s="1"/>
  <c r="B158" i="13"/>
  <c r="D158" i="13" s="1"/>
  <c r="B181" i="13"/>
  <c r="D181" i="13" s="1"/>
  <c r="B157" i="13"/>
  <c r="D157" i="13" s="1"/>
  <c r="B156" i="13"/>
  <c r="D156" i="13" s="1"/>
  <c r="B125" i="13"/>
  <c r="D125" i="13" s="1"/>
  <c r="B177" i="13"/>
  <c r="D177" i="13" s="1"/>
  <c r="B176" i="13"/>
  <c r="D176" i="13" s="1"/>
  <c r="B175" i="13"/>
  <c r="D175" i="13" s="1"/>
  <c r="B174" i="13"/>
  <c r="D174" i="13" s="1"/>
  <c r="B124" i="13"/>
  <c r="D124" i="13" s="1"/>
  <c r="B123" i="13"/>
  <c r="D123" i="13" s="1"/>
  <c r="B170" i="13"/>
  <c r="D170" i="13" s="1"/>
  <c r="B169" i="13"/>
  <c r="D169" i="13" s="1"/>
  <c r="B168" i="13"/>
  <c r="D168" i="13" s="1"/>
  <c r="B167" i="13"/>
  <c r="D167" i="13" s="1"/>
  <c r="B122" i="13"/>
  <c r="D122" i="13" s="1"/>
  <c r="B121" i="13"/>
  <c r="D121" i="13" s="1"/>
  <c r="B120" i="13"/>
  <c r="D120" i="13" s="1"/>
  <c r="B155" i="13"/>
  <c r="D155" i="13" s="1"/>
  <c r="B154" i="13"/>
  <c r="D154" i="13" s="1"/>
  <c r="B153" i="13"/>
  <c r="D153" i="13" s="1"/>
  <c r="B152" i="13"/>
  <c r="D152" i="13" s="1"/>
  <c r="B151" i="13"/>
  <c r="D151" i="13" s="1"/>
  <c r="B150" i="13"/>
  <c r="D150" i="13" s="1"/>
  <c r="B149" i="13"/>
  <c r="D149" i="13" s="1"/>
  <c r="B148" i="13"/>
  <c r="D148" i="13" s="1"/>
  <c r="B111" i="13"/>
  <c r="D111" i="13" s="1"/>
  <c r="B147" i="13"/>
  <c r="D147" i="13" s="1"/>
  <c r="B146" i="13"/>
  <c r="D146" i="13" s="1"/>
  <c r="B172" i="13"/>
  <c r="D172" i="13" s="1"/>
  <c r="B107" i="13"/>
  <c r="D107" i="13" s="1"/>
  <c r="B19" i="13"/>
  <c r="D19" i="13" s="1"/>
  <c r="B206" i="13"/>
  <c r="D206" i="13" s="1"/>
  <c r="B171" i="13"/>
  <c r="D171" i="13" s="1"/>
  <c r="B166" i="13"/>
  <c r="D166" i="13" s="1"/>
  <c r="B91" i="13"/>
  <c r="D91" i="13" s="1"/>
  <c r="B145" i="13"/>
  <c r="D145" i="13" s="1"/>
  <c r="B144" i="13"/>
  <c r="D144" i="13" s="1"/>
  <c r="B143" i="13"/>
  <c r="D143" i="13" s="1"/>
  <c r="B142" i="13"/>
  <c r="D142" i="13" s="1"/>
  <c r="B141" i="13"/>
  <c r="D141" i="13" s="1"/>
  <c r="B201" i="13"/>
  <c r="D201" i="13" s="1"/>
  <c r="B138" i="13"/>
  <c r="D138" i="13" s="1"/>
  <c r="B137" i="13"/>
  <c r="D137" i="13" s="1"/>
  <c r="B136" i="13"/>
  <c r="D136" i="13" s="1"/>
  <c r="B135" i="13"/>
  <c r="D135" i="13" s="1"/>
  <c r="B134" i="13"/>
  <c r="D134" i="13" s="1"/>
  <c r="B133" i="13"/>
  <c r="D133" i="13" s="1"/>
  <c r="B140" i="13"/>
  <c r="D140" i="13" s="1"/>
  <c r="B69" i="13"/>
  <c r="B64" i="13"/>
  <c r="B63" i="13"/>
  <c r="B59" i="13"/>
  <c r="B56" i="13"/>
  <c r="B66" i="13"/>
  <c r="B65" i="13"/>
  <c r="B61" i="13"/>
  <c r="B60" i="13"/>
  <c r="B57" i="13"/>
  <c r="B70" i="13"/>
  <c r="B68" i="13"/>
  <c r="B67" i="13"/>
  <c r="D67" i="13" s="1"/>
  <c r="B62" i="13"/>
  <c r="D62" i="13" s="1"/>
  <c r="B58" i="13"/>
  <c r="AE200" i="11"/>
  <c r="T196" i="10" s="1"/>
  <c r="W196" i="10" s="1"/>
  <c r="AE198" i="11"/>
  <c r="T194" i="10" s="1"/>
  <c r="W194" i="10" s="1"/>
  <c r="AE196" i="11"/>
  <c r="T192" i="10" s="1"/>
  <c r="W192" i="10" s="1"/>
  <c r="AE194" i="11"/>
  <c r="T190" i="10" s="1"/>
  <c r="W190" i="10" s="1"/>
  <c r="B16" i="12"/>
  <c r="D16" i="12" s="1"/>
  <c r="B17" i="12"/>
  <c r="D17" i="12" s="1"/>
  <c r="AE208" i="11"/>
  <c r="AE207" i="11"/>
  <c r="AE206" i="11"/>
  <c r="T202" i="10" s="1"/>
  <c r="W202" i="10" s="1"/>
  <c r="AE205" i="11"/>
  <c r="T201" i="10" s="1"/>
  <c r="W201" i="10" s="1"/>
  <c r="AE204" i="11"/>
  <c r="T200" i="10" s="1"/>
  <c r="W200" i="10" s="1"/>
  <c r="AE203" i="11"/>
  <c r="T199" i="10" s="1"/>
  <c r="W199" i="10" s="1"/>
  <c r="AE202" i="11"/>
  <c r="T198" i="10" s="1"/>
  <c r="W198" i="10" s="1"/>
  <c r="AE201" i="11"/>
  <c r="T197" i="10" s="1"/>
  <c r="W197" i="10" s="1"/>
  <c r="AE199" i="11"/>
  <c r="T195" i="10" s="1"/>
  <c r="W195" i="10" s="1"/>
  <c r="AE197" i="11"/>
  <c r="T193" i="10" s="1"/>
  <c r="W193" i="10" s="1"/>
  <c r="AE195" i="11"/>
  <c r="T191" i="10" s="1"/>
  <c r="W191" i="10" s="1"/>
  <c r="AE193" i="11"/>
  <c r="T189" i="10" s="1"/>
  <c r="W189" i="10" s="1"/>
  <c r="AE183" i="11"/>
  <c r="T179" i="10" s="1"/>
  <c r="W179" i="10" s="1"/>
  <c r="AE182" i="11"/>
  <c r="T178" i="10" s="1"/>
  <c r="W178" i="10" s="1"/>
  <c r="AE181" i="11"/>
  <c r="T177" i="10" s="1"/>
  <c r="W177" i="10" s="1"/>
  <c r="AE180" i="11"/>
  <c r="T176" i="10" s="1"/>
  <c r="W176" i="10" s="1"/>
  <c r="AE179" i="11"/>
  <c r="T175" i="10" s="1"/>
  <c r="W175" i="10" s="1"/>
  <c r="AE178" i="11"/>
  <c r="T174" i="10" s="1"/>
  <c r="W174" i="10" s="1"/>
  <c r="AE177" i="11"/>
  <c r="T173" i="10" s="1"/>
  <c r="W173" i="10" s="1"/>
  <c r="AE176" i="11"/>
  <c r="T172" i="10" s="1"/>
  <c r="W172" i="10" s="1"/>
  <c r="AE175" i="11"/>
  <c r="T171" i="10" s="1"/>
  <c r="W171" i="10" s="1"/>
  <c r="AE173" i="11"/>
  <c r="T169" i="10" s="1"/>
  <c r="W169" i="10" s="1"/>
  <c r="AE172" i="11"/>
  <c r="T168" i="10" s="1"/>
  <c r="W168" i="10" s="1"/>
  <c r="AE161" i="11"/>
  <c r="T157" i="10" s="1"/>
  <c r="W157" i="10" s="1"/>
  <c r="AE160" i="11"/>
  <c r="T156" i="10" s="1"/>
  <c r="W156" i="10" s="1"/>
  <c r="AI156" i="10" s="1"/>
  <c r="AE159" i="11"/>
  <c r="T155" i="10" s="1"/>
  <c r="W155" i="10" s="1"/>
  <c r="AE158" i="11"/>
  <c r="T154" i="10" s="1"/>
  <c r="W154" i="10" s="1"/>
  <c r="AE157" i="11"/>
  <c r="T153" i="10" s="1"/>
  <c r="W153" i="10" s="1"/>
  <c r="AE156" i="11"/>
  <c r="T152" i="10" s="1"/>
  <c r="W152" i="10" s="1"/>
  <c r="AE155" i="11"/>
  <c r="T151" i="10" s="1"/>
  <c r="W151" i="10" s="1"/>
  <c r="AE154" i="11"/>
  <c r="T150" i="10" s="1"/>
  <c r="W150" i="10" s="1"/>
  <c r="AE153" i="11"/>
  <c r="T149" i="10" s="1"/>
  <c r="W149" i="10" s="1"/>
  <c r="AE152" i="11"/>
  <c r="T148" i="10" s="1"/>
  <c r="W148" i="10" s="1"/>
  <c r="AE151" i="11"/>
  <c r="T147" i="10" s="1"/>
  <c r="W147" i="10" s="1"/>
  <c r="B143" i="12"/>
  <c r="D143" i="12" s="1"/>
  <c r="AE142" i="11"/>
  <c r="T138" i="10" s="1"/>
  <c r="W138" i="10" s="1"/>
  <c r="B142" i="12"/>
  <c r="D142" i="12" s="1"/>
  <c r="AE141" i="11"/>
  <c r="T137" i="10" s="1"/>
  <c r="W137" i="10" s="1"/>
  <c r="B141" i="12"/>
  <c r="D141" i="12" s="1"/>
  <c r="AE140" i="11"/>
  <c r="T136" i="10" s="1"/>
  <c r="W136" i="10" s="1"/>
  <c r="B140" i="12"/>
  <c r="D140" i="12" s="1"/>
  <c r="AE139" i="11"/>
  <c r="T135" i="10" s="1"/>
  <c r="W135" i="10" s="1"/>
  <c r="B139" i="12"/>
  <c r="D139" i="12" s="1"/>
  <c r="AE138" i="11"/>
  <c r="T134" i="10" s="1"/>
  <c r="W134" i="10" s="1"/>
  <c r="B138" i="12"/>
  <c r="D138" i="12" s="1"/>
  <c r="AE137" i="11"/>
  <c r="T133" i="10" s="1"/>
  <c r="W133" i="10" s="1"/>
  <c r="B137" i="12"/>
  <c r="D137" i="12" s="1"/>
  <c r="AE136" i="11"/>
  <c r="T132" i="10" s="1"/>
  <c r="W132" i="10" s="1"/>
  <c r="B136" i="12"/>
  <c r="D136" i="12" s="1"/>
  <c r="AE135" i="11"/>
  <c r="T131" i="10" s="1"/>
  <c r="W131" i="10" s="1"/>
  <c r="B135" i="12"/>
  <c r="D135" i="12" s="1"/>
  <c r="AE134" i="11"/>
  <c r="T130" i="10" s="1"/>
  <c r="W130" i="10" s="1"/>
  <c r="B134" i="12"/>
  <c r="D134" i="12" s="1"/>
  <c r="AE133" i="11"/>
  <c r="T129" i="10" s="1"/>
  <c r="W129" i="10" s="1"/>
  <c r="B133" i="12"/>
  <c r="D133" i="12" s="1"/>
  <c r="AE132" i="11"/>
  <c r="T128" i="10" s="1"/>
  <c r="W128" i="10" s="1"/>
  <c r="B132" i="12"/>
  <c r="D132" i="12" s="1"/>
  <c r="AE131" i="11"/>
  <c r="T127" i="10" s="1"/>
  <c r="W127" i="10" s="1"/>
  <c r="B131" i="12"/>
  <c r="D131" i="12" s="1"/>
  <c r="AE130" i="11"/>
  <c r="T126" i="10" s="1"/>
  <c r="W126" i="10" s="1"/>
  <c r="B130" i="12"/>
  <c r="D130" i="12" s="1"/>
  <c r="AE129" i="11"/>
  <c r="T125" i="10" s="1"/>
  <c r="W125" i="10" s="1"/>
  <c r="B129" i="12"/>
  <c r="D129" i="12" s="1"/>
  <c r="AE97" i="11"/>
  <c r="T93" i="10" s="1"/>
  <c r="W93" i="10" s="1"/>
  <c r="AE65" i="11"/>
  <c r="T61" i="10" s="1"/>
  <c r="W61" i="10" s="1"/>
  <c r="AE7" i="11"/>
  <c r="T3" i="10" s="1"/>
  <c r="W3" i="10" s="1"/>
  <c r="Z3" i="10" s="1"/>
  <c r="AE105" i="11"/>
  <c r="T101" i="10" s="1"/>
  <c r="W101" i="10" s="1"/>
  <c r="AE102" i="11"/>
  <c r="T98" i="10" s="1"/>
  <c r="W98" i="10" s="1"/>
  <c r="AE100" i="11"/>
  <c r="T96" i="10" s="1"/>
  <c r="W96" i="10" s="1"/>
  <c r="AE96" i="11"/>
  <c r="T92" i="10" s="1"/>
  <c r="W92" i="10" s="1"/>
  <c r="AE93" i="11"/>
  <c r="T89" i="10" s="1"/>
  <c r="W89" i="10" s="1"/>
  <c r="AE90" i="11"/>
  <c r="T86" i="10" s="1"/>
  <c r="W86" i="10" s="1"/>
  <c r="AE88" i="11"/>
  <c r="T84" i="10" s="1"/>
  <c r="W84" i="10" s="1"/>
  <c r="AE85" i="11"/>
  <c r="T81" i="10" s="1"/>
  <c r="W81" i="10" s="1"/>
  <c r="AE84" i="11"/>
  <c r="T80" i="10" s="1"/>
  <c r="W80" i="10" s="1"/>
  <c r="AE82" i="11"/>
  <c r="T78" i="10" s="1"/>
  <c r="W78" i="10" s="1"/>
  <c r="AE80" i="11"/>
  <c r="T76" i="10" s="1"/>
  <c r="W76" i="10" s="1"/>
  <c r="AE78" i="11"/>
  <c r="T74" i="10" s="1"/>
  <c r="W74" i="10" s="1"/>
  <c r="AE76" i="11"/>
  <c r="T72" i="10" s="1"/>
  <c r="W72" i="10" s="1"/>
  <c r="AH72" i="10" s="1"/>
  <c r="AE73" i="11"/>
  <c r="T69" i="10" s="1"/>
  <c r="W69" i="10" s="1"/>
  <c r="AE70" i="11"/>
  <c r="T66" i="10" s="1"/>
  <c r="W66" i="10" s="1"/>
  <c r="AE67" i="11"/>
  <c r="T63" i="10" s="1"/>
  <c r="W63" i="10" s="1"/>
  <c r="AE63" i="11"/>
  <c r="T59" i="10" s="1"/>
  <c r="W59" i="10" s="1"/>
  <c r="AE60" i="11"/>
  <c r="T56" i="10" s="1"/>
  <c r="W56" i="10" s="1"/>
  <c r="AE57" i="11"/>
  <c r="T53" i="10" s="1"/>
  <c r="W53" i="10" s="1"/>
  <c r="AE54" i="11"/>
  <c r="T50" i="10" s="1"/>
  <c r="W50" i="10" s="1"/>
  <c r="AE51" i="11"/>
  <c r="T47" i="10" s="1"/>
  <c r="W47" i="10" s="1"/>
  <c r="AE48" i="11"/>
  <c r="T44" i="10" s="1"/>
  <c r="W44" i="10" s="1"/>
  <c r="AE45" i="11"/>
  <c r="T41" i="10" s="1"/>
  <c r="W41" i="10" s="1"/>
  <c r="AE42" i="11"/>
  <c r="T38" i="10" s="1"/>
  <c r="W38" i="10" s="1"/>
  <c r="AE40" i="11"/>
  <c r="T36" i="10" s="1"/>
  <c r="W36" i="10" s="1"/>
  <c r="AE37" i="11"/>
  <c r="T33" i="10" s="1"/>
  <c r="W33" i="10" s="1"/>
  <c r="AE34" i="11"/>
  <c r="T30" i="10" s="1"/>
  <c r="W30" i="10" s="1"/>
  <c r="AE32" i="11"/>
  <c r="T28" i="10" s="1"/>
  <c r="W28" i="10" s="1"/>
  <c r="AE29" i="11"/>
  <c r="T25" i="10" s="1"/>
  <c r="W25" i="10" s="1"/>
  <c r="AE26" i="11"/>
  <c r="T22" i="10" s="1"/>
  <c r="W22" i="10" s="1"/>
  <c r="AE23" i="11"/>
  <c r="T19" i="10" s="1"/>
  <c r="W19" i="10" s="1"/>
  <c r="AE20" i="11"/>
  <c r="T16" i="10" s="1"/>
  <c r="W16" i="10" s="1"/>
  <c r="AE17" i="11"/>
  <c r="T13" i="10" s="1"/>
  <c r="W13" i="10" s="1"/>
  <c r="AE14" i="11"/>
  <c r="T10" i="10" s="1"/>
  <c r="W10" i="10" s="1"/>
  <c r="Z10" i="10" s="1"/>
  <c r="AE11" i="11"/>
  <c r="T7" i="10" s="1"/>
  <c r="W7" i="10" s="1"/>
  <c r="Z7" i="10" s="1"/>
  <c r="AE9" i="11"/>
  <c r="T5" i="10" s="1"/>
  <c r="W5" i="10" s="1"/>
  <c r="Z5" i="10" s="1"/>
  <c r="AE103" i="11"/>
  <c r="T99" i="10" s="1"/>
  <c r="W99" i="10" s="1"/>
  <c r="AE98" i="11"/>
  <c r="T94" i="10" s="1"/>
  <c r="W94" i="10" s="1"/>
  <c r="AE91" i="11"/>
  <c r="T87" i="10" s="1"/>
  <c r="W87" i="10" s="1"/>
  <c r="AE86" i="11"/>
  <c r="T82" i="10" s="1"/>
  <c r="W82" i="10" s="1"/>
  <c r="AE83" i="11"/>
  <c r="T79" i="10" s="1"/>
  <c r="W79" i="10" s="1"/>
  <c r="AE81" i="11"/>
  <c r="T77" i="10" s="1"/>
  <c r="W77" i="10" s="1"/>
  <c r="AE79" i="11"/>
  <c r="T75" i="10" s="1"/>
  <c r="W75" i="10" s="1"/>
  <c r="AE77" i="11"/>
  <c r="T73" i="10" s="1"/>
  <c r="W73" i="10" s="1"/>
  <c r="AE75" i="11"/>
  <c r="T71" i="10" s="1"/>
  <c r="W71" i="10" s="1"/>
  <c r="AE72" i="11"/>
  <c r="T68" i="10" s="1"/>
  <c r="W68" i="10" s="1"/>
  <c r="AE69" i="11"/>
  <c r="T65" i="10" s="1"/>
  <c r="W65" i="10" s="1"/>
  <c r="AE66" i="11"/>
  <c r="T62" i="10" s="1"/>
  <c r="W62" i="10" s="1"/>
  <c r="AE62" i="11"/>
  <c r="T58" i="10" s="1"/>
  <c r="W58" i="10" s="1"/>
  <c r="AE59" i="11"/>
  <c r="T55" i="10" s="1"/>
  <c r="W55" i="10" s="1"/>
  <c r="AE56" i="11"/>
  <c r="T52" i="10" s="1"/>
  <c r="W52" i="10" s="1"/>
  <c r="AE53" i="11"/>
  <c r="T49" i="10" s="1"/>
  <c r="W49" i="10" s="1"/>
  <c r="AE50" i="11"/>
  <c r="T46" i="10" s="1"/>
  <c r="W46" i="10" s="1"/>
  <c r="AE47" i="11"/>
  <c r="T43" i="10" s="1"/>
  <c r="W43" i="10" s="1"/>
  <c r="AE44" i="11"/>
  <c r="T40" i="10" s="1"/>
  <c r="W40" i="10" s="1"/>
  <c r="AE41" i="11"/>
  <c r="T37" i="10" s="1"/>
  <c r="W37" i="10" s="1"/>
  <c r="AE38" i="11"/>
  <c r="T34" i="10" s="1"/>
  <c r="W34" i="10" s="1"/>
  <c r="AE35" i="11"/>
  <c r="T31" i="10" s="1"/>
  <c r="W31" i="10" s="1"/>
  <c r="AE31" i="11"/>
  <c r="T27" i="10" s="1"/>
  <c r="W27" i="10" s="1"/>
  <c r="AE28" i="11"/>
  <c r="T24" i="10" s="1"/>
  <c r="W24" i="10" s="1"/>
  <c r="AE24" i="11"/>
  <c r="T20" i="10" s="1"/>
  <c r="W20" i="10" s="1"/>
  <c r="AE21" i="11"/>
  <c r="T17" i="10" s="1"/>
  <c r="W17" i="10" s="1"/>
  <c r="AE18" i="11"/>
  <c r="T14" i="10" s="1"/>
  <c r="W14" i="10" s="1"/>
  <c r="AE15" i="11"/>
  <c r="T11" i="10" s="1"/>
  <c r="W11" i="10" s="1"/>
  <c r="Z11" i="10" s="1"/>
  <c r="AE12" i="11"/>
  <c r="T8" i="10" s="1"/>
  <c r="W8" i="10" s="1"/>
  <c r="Z8" i="10" s="1"/>
  <c r="AE8" i="11"/>
  <c r="T4" i="10" s="1"/>
  <c r="W4" i="10" s="1"/>
  <c r="Z4" i="10" s="1"/>
  <c r="B189" i="12"/>
  <c r="D189" i="12" s="1"/>
  <c r="B188" i="12"/>
  <c r="D188" i="12" s="1"/>
  <c r="B187" i="12"/>
  <c r="D187" i="12" s="1"/>
  <c r="B186" i="12"/>
  <c r="D186" i="12" s="1"/>
  <c r="B184" i="12"/>
  <c r="D184" i="12" s="1"/>
  <c r="B183" i="12"/>
  <c r="D183" i="12" s="1"/>
  <c r="B182" i="12"/>
  <c r="D182" i="12" s="1"/>
  <c r="B181" i="12"/>
  <c r="D181" i="12" s="1"/>
  <c r="B179" i="12"/>
  <c r="D179" i="12" s="1"/>
  <c r="B178" i="12"/>
  <c r="D178" i="12" s="1"/>
  <c r="B176" i="12"/>
  <c r="D176" i="12" s="1"/>
  <c r="B174" i="12"/>
  <c r="D174" i="12" s="1"/>
  <c r="B185" i="12"/>
  <c r="D185" i="12" s="1"/>
  <c r="B180" i="12"/>
  <c r="D180" i="12" s="1"/>
  <c r="B177" i="12"/>
  <c r="D177" i="12" s="1"/>
  <c r="B175" i="12"/>
  <c r="D175" i="12" s="1"/>
  <c r="B160" i="12"/>
  <c r="D160" i="12" s="1"/>
  <c r="B159" i="12"/>
  <c r="D159" i="12" s="1"/>
  <c r="B158" i="12"/>
  <c r="D158" i="12" s="1"/>
  <c r="B157" i="12"/>
  <c r="D157" i="12" s="1"/>
  <c r="B156" i="12"/>
  <c r="D156" i="12" s="1"/>
  <c r="B155" i="12"/>
  <c r="D155" i="12" s="1"/>
  <c r="B154" i="12"/>
  <c r="D154" i="12" s="1"/>
  <c r="B153" i="12"/>
  <c r="D153" i="12" s="1"/>
  <c r="B152" i="12"/>
  <c r="D152" i="12" s="1"/>
  <c r="B151" i="12"/>
  <c r="D151" i="12" s="1"/>
  <c r="B150" i="12"/>
  <c r="D150" i="12" s="1"/>
  <c r="B149" i="12"/>
  <c r="D149" i="12" s="1"/>
  <c r="B148" i="12"/>
  <c r="D148" i="12" s="1"/>
  <c r="B147" i="12"/>
  <c r="D147" i="12" s="1"/>
  <c r="AE106" i="11"/>
  <c r="T102" i="10" s="1"/>
  <c r="W102" i="10" s="1"/>
  <c r="AE104" i="11"/>
  <c r="T100" i="10" s="1"/>
  <c r="W100" i="10" s="1"/>
  <c r="AE101" i="11"/>
  <c r="T97" i="10" s="1"/>
  <c r="W97" i="10" s="1"/>
  <c r="AE99" i="11"/>
  <c r="T95" i="10" s="1"/>
  <c r="W95" i="10" s="1"/>
  <c r="AE94" i="11"/>
  <c r="T90" i="10" s="1"/>
  <c r="W90" i="10" s="1"/>
  <c r="AE92" i="11"/>
  <c r="T88" i="10" s="1"/>
  <c r="W88" i="10" s="1"/>
  <c r="AE89" i="11"/>
  <c r="T85" i="10" s="1"/>
  <c r="W85" i="10" s="1"/>
  <c r="AE87" i="11"/>
  <c r="T83" i="10" s="1"/>
  <c r="W83" i="10" s="1"/>
  <c r="AE74" i="11"/>
  <c r="T70" i="10" s="1"/>
  <c r="W70" i="10" s="1"/>
  <c r="AE71" i="11"/>
  <c r="T67" i="10" s="1"/>
  <c r="W67" i="10" s="1"/>
  <c r="AE68" i="11"/>
  <c r="T64" i="10" s="1"/>
  <c r="W64" i="10" s="1"/>
  <c r="AE64" i="11"/>
  <c r="T60" i="10" s="1"/>
  <c r="W60" i="10" s="1"/>
  <c r="AE61" i="11"/>
  <c r="T57" i="10" s="1"/>
  <c r="W57" i="10" s="1"/>
  <c r="AE58" i="11"/>
  <c r="T54" i="10" s="1"/>
  <c r="W54" i="10" s="1"/>
  <c r="AE55" i="11"/>
  <c r="T51" i="10" s="1"/>
  <c r="W51" i="10" s="1"/>
  <c r="AE52" i="11"/>
  <c r="T48" i="10" s="1"/>
  <c r="W48" i="10" s="1"/>
  <c r="AE49" i="11"/>
  <c r="T45" i="10" s="1"/>
  <c r="W45" i="10" s="1"/>
  <c r="AE46" i="11"/>
  <c r="T42" i="10" s="1"/>
  <c r="W42" i="10" s="1"/>
  <c r="AE43" i="11"/>
  <c r="T39" i="10" s="1"/>
  <c r="W39" i="10" s="1"/>
  <c r="AE39" i="11"/>
  <c r="T35" i="10" s="1"/>
  <c r="W35" i="10" s="1"/>
  <c r="AE36" i="11"/>
  <c r="T32" i="10" s="1"/>
  <c r="W32" i="10" s="1"/>
  <c r="AE33" i="11"/>
  <c r="T29" i="10" s="1"/>
  <c r="W29" i="10" s="1"/>
  <c r="AE30" i="11"/>
  <c r="T26" i="10" s="1"/>
  <c r="W26" i="10" s="1"/>
  <c r="AE27" i="11"/>
  <c r="T23" i="10" s="1"/>
  <c r="W23" i="10" s="1"/>
  <c r="AE25" i="11"/>
  <c r="T21" i="10" s="1"/>
  <c r="W21" i="10" s="1"/>
  <c r="AE22" i="11"/>
  <c r="T18" i="10" s="1"/>
  <c r="W18" i="10" s="1"/>
  <c r="AE19" i="11"/>
  <c r="T15" i="10" s="1"/>
  <c r="W15" i="10" s="1"/>
  <c r="AE16" i="11"/>
  <c r="T12" i="10" s="1"/>
  <c r="W12" i="10" s="1"/>
  <c r="AE13" i="11"/>
  <c r="T9" i="10" s="1"/>
  <c r="W9" i="10" s="1"/>
  <c r="Z9" i="10" s="1"/>
  <c r="AE10" i="11"/>
  <c r="T6" i="10" s="1"/>
  <c r="W6" i="10" s="1"/>
  <c r="Z6" i="10" s="1"/>
  <c r="AE95" i="11"/>
  <c r="T91" i="10" s="1"/>
  <c r="W91" i="10" s="1"/>
  <c r="B127" i="12"/>
  <c r="D127" i="12" s="1"/>
  <c r="AE127" i="11"/>
  <c r="T123" i="10" s="1"/>
  <c r="W123" i="10" s="1"/>
  <c r="AE126" i="11"/>
  <c r="T122" i="10" s="1"/>
  <c r="W122" i="10" s="1"/>
  <c r="B120" i="12"/>
  <c r="D120" i="12" s="1"/>
  <c r="AE119" i="11"/>
  <c r="T115" i="10" s="1"/>
  <c r="W115" i="10" s="1"/>
  <c r="B119" i="12"/>
  <c r="D119" i="12" s="1"/>
  <c r="B118" i="12"/>
  <c r="D118" i="12" s="1"/>
  <c r="AE118" i="11"/>
  <c r="T114" i="10" s="1"/>
  <c r="W114" i="10" s="1"/>
  <c r="B117" i="12"/>
  <c r="D117" i="12" s="1"/>
  <c r="B116" i="12"/>
  <c r="D116" i="12" s="1"/>
  <c r="AE112" i="11"/>
  <c r="T108" i="10" s="1"/>
  <c r="W108" i="10" s="1"/>
  <c r="AE109" i="11"/>
  <c r="T105" i="10" s="1"/>
  <c r="W105" i="10" s="1"/>
  <c r="B109" i="12"/>
  <c r="D109" i="12" s="1"/>
  <c r="AE108" i="11"/>
  <c r="T104" i="10" s="1"/>
  <c r="W104" i="10" s="1"/>
  <c r="B107" i="12"/>
  <c r="D107" i="12" s="1"/>
  <c r="B47" i="12"/>
  <c r="D47" i="12" s="1"/>
  <c r="B54" i="12"/>
  <c r="D54" i="12" s="1"/>
  <c r="B71" i="12"/>
  <c r="D71" i="12" s="1"/>
  <c r="B95" i="12"/>
  <c r="D95" i="12" s="1"/>
  <c r="B102" i="12"/>
  <c r="D102" i="12" s="1"/>
  <c r="B37" i="12"/>
  <c r="D37" i="12" s="1"/>
  <c r="B62" i="12"/>
  <c r="D62" i="12" s="1"/>
  <c r="B77" i="12"/>
  <c r="D77" i="12" s="1"/>
  <c r="B89" i="12"/>
  <c r="D89" i="12" s="1"/>
  <c r="B31" i="12"/>
  <c r="D31" i="12" s="1"/>
  <c r="B45" i="12"/>
  <c r="D45" i="12" s="1"/>
  <c r="B53" i="12"/>
  <c r="D53" i="12" s="1"/>
  <c r="B85" i="12"/>
  <c r="D85" i="12" s="1"/>
  <c r="B96" i="12"/>
  <c r="D96" i="12" s="1"/>
  <c r="B105" i="12"/>
  <c r="D105" i="12" s="1"/>
  <c r="B25" i="12"/>
  <c r="D25" i="12" s="1"/>
  <c r="B41" i="12"/>
  <c r="D41" i="12" s="1"/>
  <c r="B59" i="12"/>
  <c r="D59" i="12" s="1"/>
  <c r="B78" i="12"/>
  <c r="D78" i="12" s="1"/>
  <c r="B87" i="12"/>
  <c r="D87" i="12" s="1"/>
  <c r="B101" i="12"/>
  <c r="D101" i="12" s="1"/>
  <c r="B44" i="12"/>
  <c r="D44" i="12" s="1"/>
  <c r="B43" i="12"/>
  <c r="D43" i="12" s="1"/>
  <c r="B69" i="12"/>
  <c r="D69" i="12" s="1"/>
  <c r="B80" i="12"/>
  <c r="D80" i="12" s="1"/>
  <c r="B22" i="12"/>
  <c r="D22" i="12" s="1"/>
  <c r="B126" i="12"/>
  <c r="D126" i="12" s="1"/>
  <c r="B125" i="12"/>
  <c r="D125" i="12" s="1"/>
  <c r="AE125" i="11"/>
  <c r="T121" i="10" s="1"/>
  <c r="W121" i="10" s="1"/>
  <c r="AE124" i="11"/>
  <c r="T120" i="10" s="1"/>
  <c r="W120" i="10" s="1"/>
  <c r="B124" i="12"/>
  <c r="D124" i="12" s="1"/>
  <c r="B123" i="12"/>
  <c r="D123" i="12" s="1"/>
  <c r="AE123" i="11"/>
  <c r="T119" i="10" s="1"/>
  <c r="W119" i="10" s="1"/>
  <c r="AE122" i="11"/>
  <c r="T118" i="10" s="1"/>
  <c r="W118" i="10" s="1"/>
  <c r="B122" i="12"/>
  <c r="D122" i="12" s="1"/>
  <c r="AE121" i="11"/>
  <c r="T117" i="10" s="1"/>
  <c r="W117" i="10" s="1"/>
  <c r="B121" i="12"/>
  <c r="D121" i="12" s="1"/>
  <c r="AE120" i="11"/>
  <c r="T116" i="10" s="1"/>
  <c r="W116" i="10" s="1"/>
  <c r="AE116" i="11"/>
  <c r="T112" i="10" s="1"/>
  <c r="W112" i="10" s="1"/>
  <c r="AE115" i="11"/>
  <c r="T111" i="10" s="1"/>
  <c r="W111" i="10" s="1"/>
  <c r="B115" i="12"/>
  <c r="D115" i="12" s="1"/>
  <c r="B114" i="12"/>
  <c r="D114" i="12" s="1"/>
  <c r="AE114" i="11"/>
  <c r="T110" i="10" s="1"/>
  <c r="W110" i="10" s="1"/>
  <c r="AE113" i="11"/>
  <c r="T109" i="10" s="1"/>
  <c r="W109" i="10" s="1"/>
  <c r="B113" i="12"/>
  <c r="D113" i="12" s="1"/>
  <c r="B112" i="12"/>
  <c r="D112" i="12" s="1"/>
  <c r="AE111" i="11"/>
  <c r="T107" i="10" s="1"/>
  <c r="W107" i="10" s="1"/>
  <c r="B111" i="12"/>
  <c r="D111" i="12" s="1"/>
  <c r="B108" i="12"/>
  <c r="D108" i="12" s="1"/>
  <c r="B42" i="12"/>
  <c r="D42" i="12" s="1"/>
  <c r="B50" i="12"/>
  <c r="D50" i="12" s="1"/>
  <c r="B57" i="12"/>
  <c r="D57" i="12" s="1"/>
  <c r="B81" i="12"/>
  <c r="D81" i="12" s="1"/>
  <c r="B100" i="12"/>
  <c r="D100" i="12" s="1"/>
  <c r="B30" i="12"/>
  <c r="D30" i="12" s="1"/>
  <c r="B55" i="12"/>
  <c r="D55" i="12" s="1"/>
  <c r="B60" i="12"/>
  <c r="D60" i="12" s="1"/>
  <c r="B73" i="12"/>
  <c r="D73" i="12" s="1"/>
  <c r="B86" i="12"/>
  <c r="D86" i="12" s="1"/>
  <c r="B29" i="12"/>
  <c r="D29" i="12" s="1"/>
  <c r="B39" i="12"/>
  <c r="D39" i="12" s="1"/>
  <c r="B51" i="12"/>
  <c r="D51" i="12" s="1"/>
  <c r="B72" i="12"/>
  <c r="D72" i="12" s="1"/>
  <c r="B94" i="12"/>
  <c r="D94" i="12" s="1"/>
  <c r="B97" i="12"/>
  <c r="D97" i="12" s="1"/>
  <c r="B27" i="12"/>
  <c r="D27" i="12" s="1"/>
  <c r="B24" i="12"/>
  <c r="D24" i="12" s="1"/>
  <c r="B38" i="12"/>
  <c r="D38" i="12" s="1"/>
  <c r="B56" i="12"/>
  <c r="D56" i="12" s="1"/>
  <c r="B68" i="12"/>
  <c r="D68" i="12" s="1"/>
  <c r="B75" i="12"/>
  <c r="D75" i="12" s="1"/>
  <c r="B84" i="12"/>
  <c r="D84" i="12" s="1"/>
  <c r="B98" i="12"/>
  <c r="D98" i="12" s="1"/>
  <c r="B103" i="12"/>
  <c r="D103" i="12" s="1"/>
  <c r="B34" i="12"/>
  <c r="D34" i="12" s="1"/>
  <c r="B46" i="12"/>
  <c r="D46" i="12" s="1"/>
  <c r="B67" i="12"/>
  <c r="D67" i="12" s="1"/>
  <c r="B76" i="12"/>
  <c r="D76" i="12" s="1"/>
  <c r="B88" i="12"/>
  <c r="D88" i="12" s="1"/>
  <c r="B20" i="12"/>
  <c r="D20" i="12" s="1"/>
  <c r="B18" i="12"/>
  <c r="D18" i="12" s="1"/>
  <c r="B21" i="12"/>
  <c r="D21" i="12" s="1"/>
  <c r="B33" i="12"/>
  <c r="D33" i="12" s="1"/>
  <c r="B61" i="12"/>
  <c r="D61" i="12" s="1"/>
  <c r="B64" i="12"/>
  <c r="D64" i="12" s="1"/>
  <c r="B93" i="12"/>
  <c r="D93" i="12" s="1"/>
  <c r="B104" i="12"/>
  <c r="D104" i="12" s="1"/>
  <c r="B23" i="12"/>
  <c r="D23" i="12" s="1"/>
  <c r="B58" i="12"/>
  <c r="D58" i="12" s="1"/>
  <c r="B65" i="12"/>
  <c r="D65" i="12" s="1"/>
  <c r="B79" i="12"/>
  <c r="D79" i="12" s="1"/>
  <c r="B91" i="12"/>
  <c r="D91" i="12" s="1"/>
  <c r="B36" i="12"/>
  <c r="D36" i="12" s="1"/>
  <c r="B48" i="12"/>
  <c r="D48" i="12" s="1"/>
  <c r="B63" i="12"/>
  <c r="D63" i="12" s="1"/>
  <c r="B90" i="12"/>
  <c r="D90" i="12" s="1"/>
  <c r="B99" i="12"/>
  <c r="D99" i="12" s="1"/>
  <c r="B26" i="12"/>
  <c r="D26" i="12" s="1"/>
  <c r="B32" i="12"/>
  <c r="D32" i="12" s="1"/>
  <c r="B35" i="12"/>
  <c r="D35" i="12" s="1"/>
  <c r="B49" i="12"/>
  <c r="D49" i="12" s="1"/>
  <c r="B66" i="12"/>
  <c r="D66" i="12" s="1"/>
  <c r="B70" i="12"/>
  <c r="D70" i="12" s="1"/>
  <c r="B82" i="12"/>
  <c r="D82" i="12" s="1"/>
  <c r="B92" i="12"/>
  <c r="D92" i="12" s="1"/>
  <c r="B106" i="12"/>
  <c r="D106" i="12" s="1"/>
  <c r="B40" i="12"/>
  <c r="D40" i="12" s="1"/>
  <c r="B52" i="12"/>
  <c r="D52" i="12" s="1"/>
  <c r="B74" i="12"/>
  <c r="D74" i="12" s="1"/>
  <c r="B83" i="12"/>
  <c r="D83" i="12" s="1"/>
  <c r="B28" i="12"/>
  <c r="D28" i="12" s="1"/>
  <c r="B19" i="12"/>
  <c r="D19" i="12" s="1"/>
  <c r="B190" i="12"/>
  <c r="D190" i="12" s="1"/>
  <c r="AE192" i="11"/>
  <c r="T188" i="10" s="1"/>
  <c r="W188" i="10" s="1"/>
  <c r="Z188" i="10" s="1"/>
  <c r="AJ188" i="10" s="1"/>
  <c r="AE191" i="11"/>
  <c r="T187" i="10" s="1"/>
  <c r="W187" i="10" s="1"/>
  <c r="D94" i="13"/>
  <c r="D92" i="13"/>
  <c r="D90" i="13"/>
  <c r="AQ23" i="7"/>
  <c r="O56" i="6"/>
  <c r="D73" i="13"/>
  <c r="D131" i="13"/>
  <c r="D130" i="13"/>
  <c r="D129" i="13"/>
  <c r="D128" i="13"/>
  <c r="D127" i="13"/>
  <c r="D126" i="13"/>
  <c r="D139" i="13"/>
  <c r="D165" i="13"/>
  <c r="D164" i="13"/>
  <c r="D163" i="13"/>
  <c r="D29" i="13"/>
  <c r="D102" i="13"/>
  <c r="D100" i="13"/>
  <c r="D99" i="13"/>
  <c r="D98" i="13"/>
  <c r="D96" i="13"/>
  <c r="D95" i="13"/>
  <c r="U57" i="11"/>
  <c r="O57" i="11"/>
  <c r="AJ57" i="11" s="1"/>
  <c r="E67" i="11"/>
  <c r="D33" i="13"/>
  <c r="D32" i="13"/>
  <c r="D31" i="13"/>
  <c r="AE128" i="11"/>
  <c r="T124" i="10" s="1"/>
  <c r="W124" i="10" s="1"/>
  <c r="B128" i="12"/>
  <c r="D128" i="12" s="1"/>
  <c r="B206" i="12"/>
  <c r="D206" i="12" s="1"/>
  <c r="B205" i="12"/>
  <c r="D205" i="12" s="1"/>
  <c r="B204" i="12"/>
  <c r="D204" i="12" s="1"/>
  <c r="B203" i="12"/>
  <c r="D203" i="12" s="1"/>
  <c r="B202" i="12"/>
  <c r="D202" i="12" s="1"/>
  <c r="B201" i="12"/>
  <c r="D201" i="12" s="1"/>
  <c r="B200" i="12"/>
  <c r="D200" i="12" s="1"/>
  <c r="B199" i="12"/>
  <c r="D199" i="12" s="1"/>
  <c r="B198" i="12"/>
  <c r="D198" i="12" s="1"/>
  <c r="B197" i="12"/>
  <c r="D197" i="12" s="1"/>
  <c r="B196" i="12"/>
  <c r="D196" i="12" s="1"/>
  <c r="B195" i="12"/>
  <c r="D195" i="12" s="1"/>
  <c r="B194" i="12"/>
  <c r="D194" i="12" s="1"/>
  <c r="B193" i="12"/>
  <c r="D193" i="12" s="1"/>
  <c r="B192" i="12"/>
  <c r="D192" i="12" s="1"/>
  <c r="B191" i="12"/>
  <c r="D191" i="12" s="1"/>
  <c r="AE117" i="11"/>
  <c r="T113" i="10" s="1"/>
  <c r="W113" i="10" s="1"/>
  <c r="D195" i="13"/>
  <c r="D38" i="13"/>
  <c r="D84" i="13"/>
  <c r="D71" i="13"/>
  <c r="D51" i="13"/>
  <c r="D50" i="13"/>
  <c r="D173" i="13"/>
  <c r="D182" i="13"/>
  <c r="D180" i="13"/>
  <c r="D110" i="12"/>
  <c r="K90" i="6"/>
  <c r="AN106" i="10"/>
  <c r="AA106" i="10"/>
  <c r="AO106" i="10" s="1"/>
  <c r="AM106" i="10"/>
  <c r="AP106" i="10"/>
  <c r="AL106" i="10"/>
  <c r="AP170" i="10"/>
  <c r="AL170" i="10"/>
  <c r="AN170" i="10"/>
  <c r="AM170" i="10"/>
  <c r="AA170" i="10"/>
  <c r="AO170" i="10" s="1"/>
  <c r="AI170" i="10"/>
  <c r="AG170" i="10"/>
  <c r="AK170" i="10"/>
  <c r="AH170" i="10"/>
  <c r="Z170" i="10"/>
  <c r="AJ170" i="10" s="1"/>
  <c r="AI106" i="10"/>
  <c r="Z106" i="10"/>
  <c r="AJ106" i="10" s="1"/>
  <c r="AK106" i="10"/>
  <c r="AG106" i="10"/>
  <c r="AH106" i="10"/>
  <c r="D194" i="13"/>
  <c r="D119" i="13"/>
  <c r="D118" i="13"/>
  <c r="D117" i="13"/>
  <c r="D116" i="13"/>
  <c r="D115" i="13"/>
  <c r="D114" i="13"/>
  <c r="D113" i="13"/>
  <c r="D112" i="13"/>
  <c r="D193" i="13"/>
  <c r="D24" i="13"/>
  <c r="D25" i="13"/>
  <c r="D26" i="13"/>
  <c r="D27" i="13"/>
  <c r="D28" i="13"/>
  <c r="D30" i="13"/>
  <c r="D106" i="13"/>
  <c r="D105" i="13"/>
  <c r="D104" i="13"/>
  <c r="D103" i="13"/>
  <c r="D101" i="13"/>
  <c r="D97" i="13"/>
  <c r="D93" i="13"/>
  <c r="D89" i="13"/>
  <c r="D88" i="13"/>
  <c r="D87" i="13"/>
  <c r="D86" i="13"/>
  <c r="D85" i="13"/>
  <c r="D83" i="13"/>
  <c r="D80" i="13"/>
  <c r="D79" i="13"/>
  <c r="D78" i="13"/>
  <c r="D75" i="13"/>
  <c r="D74" i="13"/>
  <c r="D110" i="13"/>
  <c r="D109" i="13"/>
  <c r="D108" i="13"/>
  <c r="D185" i="13"/>
  <c r="D162" i="13"/>
  <c r="D23" i="13"/>
  <c r="D205" i="13"/>
  <c r="D204" i="13"/>
  <c r="D203" i="13"/>
  <c r="D202" i="13"/>
  <c r="D200" i="13"/>
  <c r="D199" i="13"/>
  <c r="D198" i="13"/>
  <c r="D197" i="13"/>
  <c r="D196" i="13"/>
  <c r="D192" i="13"/>
  <c r="D189" i="13"/>
  <c r="D188" i="13"/>
  <c r="D187" i="13"/>
  <c r="D186" i="13"/>
  <c r="D191" i="13"/>
  <c r="D190" i="13"/>
  <c r="D132" i="13"/>
  <c r="D65" i="13"/>
  <c r="D68" i="13"/>
  <c r="D66" i="13"/>
  <c r="D58" i="13"/>
  <c r="D64" i="13"/>
  <c r="D61" i="13"/>
  <c r="D57" i="13"/>
  <c r="D69" i="13"/>
  <c r="D63" i="13"/>
  <c r="D60" i="13"/>
  <c r="D70" i="13"/>
  <c r="D59" i="13"/>
  <c r="D56" i="13"/>
  <c r="AK202" i="10"/>
  <c r="AI202" i="10"/>
  <c r="AG202" i="10"/>
  <c r="AH202" i="10"/>
  <c r="Z202" i="10"/>
  <c r="AJ202" i="10" s="1"/>
  <c r="AA202" i="10"/>
  <c r="AO202" i="10" s="1"/>
  <c r="AP202" i="10"/>
  <c r="AU202" i="10" s="1"/>
  <c r="AN202" i="10"/>
  <c r="AM202" i="10"/>
  <c r="AL202" i="10"/>
  <c r="AK201" i="10"/>
  <c r="AI201" i="10"/>
  <c r="AH201" i="10"/>
  <c r="AG201" i="10"/>
  <c r="Z201" i="10"/>
  <c r="AJ201" i="10" s="1"/>
  <c r="AP201" i="10"/>
  <c r="AN201" i="10"/>
  <c r="AM201" i="10"/>
  <c r="AL201" i="10"/>
  <c r="AA201" i="10"/>
  <c r="AO201" i="10" s="1"/>
  <c r="AK200" i="10"/>
  <c r="AI200" i="10"/>
  <c r="AH200" i="10"/>
  <c r="AG200" i="10"/>
  <c r="Z200" i="10"/>
  <c r="AJ200" i="10" s="1"/>
  <c r="AL200" i="10"/>
  <c r="AP200" i="10"/>
  <c r="AN200" i="10"/>
  <c r="AM200" i="10"/>
  <c r="AA200" i="10"/>
  <c r="AO200" i="10" s="1"/>
  <c r="AK199" i="10"/>
  <c r="AH199" i="10"/>
  <c r="AI199" i="10"/>
  <c r="AG199" i="10"/>
  <c r="Z199" i="10"/>
  <c r="AJ199" i="10" s="1"/>
  <c r="AP199" i="10"/>
  <c r="AL199" i="10"/>
  <c r="AN199" i="10"/>
  <c r="AM199" i="10"/>
  <c r="AA199" i="10"/>
  <c r="AO199" i="10" s="1"/>
  <c r="AG198" i="10"/>
  <c r="AP198" i="10"/>
  <c r="AL198" i="10"/>
  <c r="AN198" i="10"/>
  <c r="AM198" i="10"/>
  <c r="AA198" i="10"/>
  <c r="AO198" i="10" s="1"/>
  <c r="AN197" i="10"/>
  <c r="AM197" i="10"/>
  <c r="AA197" i="10"/>
  <c r="AO197" i="10" s="1"/>
  <c r="AP197" i="10"/>
  <c r="AL197" i="10"/>
  <c r="AK196" i="10"/>
  <c r="AI196" i="10"/>
  <c r="AH196" i="10"/>
  <c r="AG196" i="10"/>
  <c r="Z196" i="10"/>
  <c r="AJ196" i="10" s="1"/>
  <c r="AP196" i="10"/>
  <c r="AU196" i="10" s="1"/>
  <c r="AN196" i="10"/>
  <c r="AS196" i="10" s="1"/>
  <c r="AM196" i="10"/>
  <c r="AL196" i="10"/>
  <c r="AA196" i="10"/>
  <c r="AO196" i="10" s="1"/>
  <c r="AH195" i="10"/>
  <c r="AK195" i="10"/>
  <c r="AI195" i="10"/>
  <c r="AG195" i="10"/>
  <c r="Z195" i="10"/>
  <c r="AJ195" i="10" s="1"/>
  <c r="AP195" i="10"/>
  <c r="AN195" i="10"/>
  <c r="AM195" i="10"/>
  <c r="AL195" i="10"/>
  <c r="AA195" i="10"/>
  <c r="AO195" i="10" s="1"/>
  <c r="AI194" i="10"/>
  <c r="AG194" i="10"/>
  <c r="Z194" i="10"/>
  <c r="AJ194" i="10" s="1"/>
  <c r="AK194" i="10"/>
  <c r="AH194" i="10"/>
  <c r="AP194" i="10"/>
  <c r="AN194" i="10"/>
  <c r="AM194" i="10"/>
  <c r="AL194" i="10"/>
  <c r="AA194" i="10"/>
  <c r="AO194" i="10" s="1"/>
  <c r="AK193" i="10"/>
  <c r="AH193" i="10"/>
  <c r="AG193" i="10"/>
  <c r="Z193" i="10"/>
  <c r="AJ193" i="10" s="1"/>
  <c r="AI193" i="10"/>
  <c r="AP193" i="10"/>
  <c r="AU193" i="10" s="1"/>
  <c r="AN193" i="10"/>
  <c r="AM193" i="10"/>
  <c r="AL193" i="10"/>
  <c r="AA193" i="10"/>
  <c r="AO193" i="10" s="1"/>
  <c r="AK192" i="10"/>
  <c r="AH192" i="10"/>
  <c r="Z192" i="10"/>
  <c r="AJ192" i="10" s="1"/>
  <c r="AI192" i="10"/>
  <c r="AG192" i="10"/>
  <c r="AP192" i="10"/>
  <c r="AU192" i="10" s="1"/>
  <c r="AN192" i="10"/>
  <c r="AM192" i="10"/>
  <c r="AL192" i="10"/>
  <c r="AA192" i="10"/>
  <c r="AO192" i="10" s="1"/>
  <c r="AP191" i="10"/>
  <c r="AN191" i="10"/>
  <c r="AM191" i="10"/>
  <c r="AL191" i="10"/>
  <c r="AA191" i="10"/>
  <c r="AO191" i="10" s="1"/>
  <c r="AI190" i="10"/>
  <c r="AK190" i="10"/>
  <c r="AG190" i="10"/>
  <c r="Z190" i="10"/>
  <c r="AJ190" i="10" s="1"/>
  <c r="AH190" i="10"/>
  <c r="AP190" i="10"/>
  <c r="AL190" i="10"/>
  <c r="AN190" i="10"/>
  <c r="AM190" i="10"/>
  <c r="AA190" i="10"/>
  <c r="AO190" i="10" s="1"/>
  <c r="AP189" i="10"/>
  <c r="AL189" i="10"/>
  <c r="AN189" i="10"/>
  <c r="AM189" i="10"/>
  <c r="AA189" i="10"/>
  <c r="AO189" i="10" s="1"/>
  <c r="AN188" i="10"/>
  <c r="AL188" i="10"/>
  <c r="AP188" i="10"/>
  <c r="AM188" i="10"/>
  <c r="AA188" i="10"/>
  <c r="AO188" i="10" s="1"/>
  <c r="AP187" i="10"/>
  <c r="AM187" i="10"/>
  <c r="AL187" i="10"/>
  <c r="AA187" i="10"/>
  <c r="AO187" i="10" s="1"/>
  <c r="AN187" i="10"/>
  <c r="AK186" i="10"/>
  <c r="AI186" i="10"/>
  <c r="AH186" i="10"/>
  <c r="AG186" i="10"/>
  <c r="Z186" i="10"/>
  <c r="AJ186" i="10" s="1"/>
  <c r="AP186" i="10"/>
  <c r="AU186" i="10" s="1"/>
  <c r="AN186" i="10"/>
  <c r="AM186" i="10"/>
  <c r="AL186" i="10"/>
  <c r="AA186" i="10"/>
  <c r="AO186" i="10" s="1"/>
  <c r="AH185" i="10"/>
  <c r="AK185" i="10"/>
  <c r="AI185" i="10"/>
  <c r="AG185" i="10"/>
  <c r="Z185" i="10"/>
  <c r="AJ185" i="10" s="1"/>
  <c r="AP185" i="10"/>
  <c r="AN185" i="10"/>
  <c r="AM185" i="10"/>
  <c r="AL185" i="10"/>
  <c r="AA185" i="10"/>
  <c r="AO185" i="10" s="1"/>
  <c r="AK184" i="10"/>
  <c r="AH184" i="10"/>
  <c r="AI184" i="10"/>
  <c r="AG184" i="10"/>
  <c r="Z184" i="10"/>
  <c r="AJ184" i="10" s="1"/>
  <c r="AP184" i="10"/>
  <c r="AN184" i="10"/>
  <c r="AM184" i="10"/>
  <c r="AL184" i="10"/>
  <c r="AA184" i="10"/>
  <c r="AO184" i="10" s="1"/>
  <c r="AK183" i="10"/>
  <c r="AH183" i="10"/>
  <c r="AI183" i="10"/>
  <c r="AG183" i="10"/>
  <c r="Z183" i="10"/>
  <c r="AJ183" i="10" s="1"/>
  <c r="AP183" i="10"/>
  <c r="AU183" i="10" s="1"/>
  <c r="AM183" i="10"/>
  <c r="AA183" i="10"/>
  <c r="AO183" i="10" s="1"/>
  <c r="AN183" i="10"/>
  <c r="AL183" i="10"/>
  <c r="Z182" i="10"/>
  <c r="AJ182" i="10" s="1"/>
  <c r="AI182" i="10"/>
  <c r="AK182" i="10"/>
  <c r="AH182" i="10"/>
  <c r="AG182" i="10"/>
  <c r="AA182" i="10"/>
  <c r="AO182" i="10" s="1"/>
  <c r="AL182" i="10"/>
  <c r="AP182" i="10"/>
  <c r="AN182" i="10"/>
  <c r="AM182" i="10"/>
  <c r="AG181" i="10"/>
  <c r="AK181" i="10"/>
  <c r="AH181" i="10"/>
  <c r="Z181" i="10"/>
  <c r="AJ181" i="10" s="1"/>
  <c r="AI181" i="10"/>
  <c r="AP181" i="10"/>
  <c r="AU181" i="10" s="1"/>
  <c r="AN181" i="10"/>
  <c r="AL181" i="10"/>
  <c r="AA181" i="10"/>
  <c r="AO181" i="10" s="1"/>
  <c r="AM181" i="10"/>
  <c r="AH180" i="10"/>
  <c r="AG180" i="10"/>
  <c r="AI180" i="10"/>
  <c r="AK180" i="10"/>
  <c r="Z180" i="10"/>
  <c r="AJ180" i="10" s="1"/>
  <c r="AM180" i="10"/>
  <c r="AA180" i="10"/>
  <c r="AO180" i="10" s="1"/>
  <c r="AN180" i="10"/>
  <c r="AP180" i="10"/>
  <c r="AL180" i="10"/>
  <c r="AK179" i="10"/>
  <c r="AA179" i="10"/>
  <c r="AO179" i="10" s="1"/>
  <c r="AL179" i="10"/>
  <c r="AP179" i="10"/>
  <c r="AM179" i="10"/>
  <c r="AN179" i="10"/>
  <c r="AK178" i="10"/>
  <c r="Z178" i="10"/>
  <c r="AJ178" i="10" s="1"/>
  <c r="AI178" i="10"/>
  <c r="AH178" i="10"/>
  <c r="AG178" i="10"/>
  <c r="AN178" i="10"/>
  <c r="AM178" i="10"/>
  <c r="AP178" i="10"/>
  <c r="AL178" i="10"/>
  <c r="AA178" i="10"/>
  <c r="AO178" i="10" s="1"/>
  <c r="AK177" i="10"/>
  <c r="AH177" i="10"/>
  <c r="AI177" i="10"/>
  <c r="AG177" i="10"/>
  <c r="Z177" i="10"/>
  <c r="AJ177" i="10" s="1"/>
  <c r="AP177" i="10"/>
  <c r="AL177" i="10"/>
  <c r="AN177" i="10"/>
  <c r="AM177" i="10"/>
  <c r="AA177" i="10"/>
  <c r="AO177" i="10" s="1"/>
  <c r="AI176" i="10"/>
  <c r="AG176" i="10"/>
  <c r="Z176" i="10"/>
  <c r="AJ176" i="10" s="1"/>
  <c r="AK176" i="10"/>
  <c r="AH176" i="10"/>
  <c r="AN176" i="10"/>
  <c r="AL176" i="10"/>
  <c r="AP176" i="10"/>
  <c r="AM176" i="10"/>
  <c r="AA176" i="10"/>
  <c r="AO176" i="10" s="1"/>
  <c r="AI175" i="10"/>
  <c r="AK175" i="10"/>
  <c r="AH175" i="10"/>
  <c r="AG175" i="10"/>
  <c r="Z175" i="10"/>
  <c r="AJ175" i="10" s="1"/>
  <c r="AP175" i="10"/>
  <c r="AN175" i="10"/>
  <c r="AM175" i="10"/>
  <c r="AL175" i="10"/>
  <c r="AA175" i="10"/>
  <c r="AO175" i="10" s="1"/>
  <c r="AG174" i="10"/>
  <c r="AK174" i="10"/>
  <c r="AH174" i="10"/>
  <c r="Z174" i="10"/>
  <c r="AJ174" i="10" s="1"/>
  <c r="AI174" i="10"/>
  <c r="AN174" i="10"/>
  <c r="AL174" i="10"/>
  <c r="AP174" i="10"/>
  <c r="AM174" i="10"/>
  <c r="AA174" i="10"/>
  <c r="AO174" i="10" s="1"/>
  <c r="AI173" i="10"/>
  <c r="AG173" i="10"/>
  <c r="Z173" i="10"/>
  <c r="AJ173" i="10" s="1"/>
  <c r="AK173" i="10"/>
  <c r="AH173" i="10"/>
  <c r="AM173" i="10"/>
  <c r="AA173" i="10"/>
  <c r="AO173" i="10" s="1"/>
  <c r="AP173" i="10"/>
  <c r="AN173" i="10"/>
  <c r="AL173" i="10"/>
  <c r="AI172" i="10"/>
  <c r="Z172" i="10"/>
  <c r="AJ172" i="10" s="1"/>
  <c r="AK172" i="10"/>
  <c r="AG172" i="10"/>
  <c r="AH172" i="10"/>
  <c r="AP172" i="10"/>
  <c r="AU172" i="10" s="1"/>
  <c r="AN172" i="10"/>
  <c r="AM172" i="10"/>
  <c r="AL172" i="10"/>
  <c r="AA172" i="10"/>
  <c r="AO172" i="10" s="1"/>
  <c r="AH171" i="10"/>
  <c r="AG171" i="10"/>
  <c r="AK171" i="10"/>
  <c r="AI171" i="10"/>
  <c r="Z171" i="10"/>
  <c r="AJ171" i="10" s="1"/>
  <c r="AP171" i="10"/>
  <c r="AL171" i="10"/>
  <c r="AN171" i="10"/>
  <c r="AM171" i="10"/>
  <c r="AA171" i="10"/>
  <c r="AO171" i="10" s="1"/>
  <c r="AM169" i="10"/>
  <c r="AA169" i="10"/>
  <c r="AO169" i="10" s="1"/>
  <c r="AP169" i="10"/>
  <c r="AN169" i="10"/>
  <c r="AL169" i="10"/>
  <c r="AK168" i="10"/>
  <c r="AG168" i="10"/>
  <c r="AH168" i="10"/>
  <c r="AI168" i="10"/>
  <c r="Z168" i="10"/>
  <c r="AJ168" i="10" s="1"/>
  <c r="AN168" i="10"/>
  <c r="AP168" i="10"/>
  <c r="AL168" i="10"/>
  <c r="AM168" i="10"/>
  <c r="AA168" i="10"/>
  <c r="AO168" i="10" s="1"/>
  <c r="AK167" i="10"/>
  <c r="AI167" i="10"/>
  <c r="AH167" i="10"/>
  <c r="Z167" i="10"/>
  <c r="AJ167" i="10" s="1"/>
  <c r="AG167" i="10"/>
  <c r="AN167" i="10"/>
  <c r="AA167" i="10"/>
  <c r="AO167" i="10" s="1"/>
  <c r="AM167" i="10"/>
  <c r="AP167" i="10"/>
  <c r="AL167" i="10"/>
  <c r="AK166" i="10"/>
  <c r="AI166" i="10"/>
  <c r="Z166" i="10"/>
  <c r="AJ166" i="10" s="1"/>
  <c r="AH166" i="10"/>
  <c r="AG166" i="10"/>
  <c r="AL166" i="10"/>
  <c r="AP166" i="10"/>
  <c r="AA166" i="10"/>
  <c r="AO166" i="10" s="1"/>
  <c r="AN166" i="10"/>
  <c r="AM166" i="10"/>
  <c r="Z165" i="10"/>
  <c r="AJ165" i="10" s="1"/>
  <c r="AI165" i="10"/>
  <c r="AG165" i="10"/>
  <c r="AH165" i="10"/>
  <c r="AK165" i="10"/>
  <c r="AP165" i="10"/>
  <c r="AL165" i="10"/>
  <c r="AM165" i="10"/>
  <c r="AN165" i="10"/>
  <c r="AA165" i="10"/>
  <c r="AO165" i="10" s="1"/>
  <c r="AI164" i="10"/>
  <c r="Z164" i="10"/>
  <c r="AJ164" i="10" s="1"/>
  <c r="AH164" i="10"/>
  <c r="AG164" i="10"/>
  <c r="AK164" i="10"/>
  <c r="AN164" i="10"/>
  <c r="AP164" i="10"/>
  <c r="AM164" i="10"/>
  <c r="AL164" i="10"/>
  <c r="AA164" i="10"/>
  <c r="AO164" i="10" s="1"/>
  <c r="AI163" i="10"/>
  <c r="AG163" i="10"/>
  <c r="AK163" i="10"/>
  <c r="AH163" i="10"/>
  <c r="Z163" i="10"/>
  <c r="AJ163" i="10" s="1"/>
  <c r="AP163" i="10"/>
  <c r="AL163" i="10"/>
  <c r="AN163" i="10"/>
  <c r="AM163" i="10"/>
  <c r="AA163" i="10"/>
  <c r="AO163" i="10" s="1"/>
  <c r="AG162" i="10"/>
  <c r="AI162" i="10"/>
  <c r="AK162" i="10"/>
  <c r="AH162" i="10"/>
  <c r="Z162" i="10"/>
  <c r="AJ162" i="10" s="1"/>
  <c r="AM162" i="10"/>
  <c r="AP162" i="10"/>
  <c r="AU162" i="10" s="1"/>
  <c r="AN162" i="10"/>
  <c r="AL162" i="10"/>
  <c r="AA162" i="10"/>
  <c r="AO162" i="10" s="1"/>
  <c r="AK161" i="10"/>
  <c r="Z161" i="10"/>
  <c r="AJ161" i="10" s="1"/>
  <c r="AI161" i="10"/>
  <c r="AG161" i="10"/>
  <c r="AH161" i="10"/>
  <c r="AM161" i="10"/>
  <c r="AL161" i="10"/>
  <c r="AA161" i="10"/>
  <c r="AO161" i="10" s="1"/>
  <c r="AN161" i="10"/>
  <c r="AP161" i="10"/>
  <c r="AU161" i="10" s="1"/>
  <c r="AK160" i="10"/>
  <c r="AI160" i="10"/>
  <c r="AH160" i="10"/>
  <c r="AG160" i="10"/>
  <c r="Z160" i="10"/>
  <c r="AJ160" i="10" s="1"/>
  <c r="AL160" i="10"/>
  <c r="AP160" i="10"/>
  <c r="AN160" i="10"/>
  <c r="AM160" i="10"/>
  <c r="AA160" i="10"/>
  <c r="AO160" i="10" s="1"/>
  <c r="Z159" i="10"/>
  <c r="AJ159" i="10" s="1"/>
  <c r="AG159" i="10"/>
  <c r="AK159" i="10"/>
  <c r="AH159" i="10"/>
  <c r="AI159" i="10"/>
  <c r="AA159" i="10"/>
  <c r="AO159" i="10" s="1"/>
  <c r="AP159" i="10"/>
  <c r="AU159" i="10" s="1"/>
  <c r="AM159" i="10"/>
  <c r="AL159" i="10"/>
  <c r="AN159" i="10"/>
  <c r="AK158" i="10"/>
  <c r="AI158" i="10"/>
  <c r="AH158" i="10"/>
  <c r="AG158" i="10"/>
  <c r="Z158" i="10"/>
  <c r="AJ158" i="10" s="1"/>
  <c r="AM158" i="10"/>
  <c r="AA158" i="10"/>
  <c r="AO158" i="10" s="1"/>
  <c r="AN158" i="10"/>
  <c r="AP158" i="10"/>
  <c r="AL158" i="10"/>
  <c r="AL157" i="10"/>
  <c r="AM157" i="10"/>
  <c r="AP157" i="10"/>
  <c r="AN157" i="10"/>
  <c r="AA157" i="10"/>
  <c r="AO157" i="10" s="1"/>
  <c r="AA156" i="10"/>
  <c r="AO156" i="10" s="1"/>
  <c r="AL156" i="10"/>
  <c r="AN156" i="10"/>
  <c r="AM156" i="10"/>
  <c r="AP156" i="10"/>
  <c r="AM155" i="10"/>
  <c r="AL155" i="10"/>
  <c r="AA155" i="10"/>
  <c r="AO155" i="10" s="1"/>
  <c r="AN155" i="10"/>
  <c r="AP155" i="10"/>
  <c r="AN154" i="10"/>
  <c r="AM154" i="10"/>
  <c r="AA154" i="10"/>
  <c r="AO154" i="10" s="1"/>
  <c r="AP154" i="10"/>
  <c r="AL154" i="10"/>
  <c r="AI153" i="10"/>
  <c r="Z153" i="10"/>
  <c r="AJ153" i="10" s="1"/>
  <c r="AG153" i="10"/>
  <c r="AH153" i="10"/>
  <c r="AK153" i="10"/>
  <c r="AM153" i="10"/>
  <c r="AA153" i="10"/>
  <c r="AO153" i="10" s="1"/>
  <c r="AL153" i="10"/>
  <c r="AP153" i="10"/>
  <c r="AU153" i="10" s="1"/>
  <c r="AN153" i="10"/>
  <c r="AK152" i="10"/>
  <c r="AG152" i="10"/>
  <c r="Z152" i="10"/>
  <c r="AJ152" i="10" s="1"/>
  <c r="AI152" i="10"/>
  <c r="AH152" i="10"/>
  <c r="AN152" i="10"/>
  <c r="AP152" i="10"/>
  <c r="AM152" i="10"/>
  <c r="AL152" i="10"/>
  <c r="AA152" i="10"/>
  <c r="AO152" i="10" s="1"/>
  <c r="AK151" i="10"/>
  <c r="AH151" i="10"/>
  <c r="AI151" i="10"/>
  <c r="Z151" i="10"/>
  <c r="AJ151" i="10" s="1"/>
  <c r="AG151" i="10"/>
  <c r="AM151" i="10"/>
  <c r="AA151" i="10"/>
  <c r="AO151" i="10" s="1"/>
  <c r="AL151" i="10"/>
  <c r="AP151" i="10"/>
  <c r="AN151" i="10"/>
  <c r="AH150" i="10"/>
  <c r="AP150" i="10"/>
  <c r="AA150" i="10"/>
  <c r="AO150" i="10" s="1"/>
  <c r="AN150" i="10"/>
  <c r="AM150" i="10"/>
  <c r="AL150" i="10"/>
  <c r="AP149" i="10"/>
  <c r="AM149" i="10"/>
  <c r="AA149" i="10"/>
  <c r="AO149" i="10" s="1"/>
  <c r="AN149" i="10"/>
  <c r="AL149" i="10"/>
  <c r="AG149" i="10"/>
  <c r="AN148" i="10"/>
  <c r="AA148" i="10"/>
  <c r="AO148" i="10" s="1"/>
  <c r="AP148" i="10"/>
  <c r="AM148" i="10"/>
  <c r="AL148" i="10"/>
  <c r="AP147" i="10"/>
  <c r="AL147" i="10"/>
  <c r="AN147" i="10"/>
  <c r="AM147" i="10"/>
  <c r="AA147" i="10"/>
  <c r="AO147" i="10" s="1"/>
  <c r="AI146" i="10"/>
  <c r="Z146" i="10"/>
  <c r="AJ146" i="10" s="1"/>
  <c r="AK146" i="10"/>
  <c r="AG146" i="10"/>
  <c r="AH146" i="10"/>
  <c r="AM146" i="10"/>
  <c r="AP146" i="10"/>
  <c r="AN146" i="10"/>
  <c r="AL146" i="10"/>
  <c r="AA146" i="10"/>
  <c r="AO146" i="10" s="1"/>
  <c r="AK145" i="10"/>
  <c r="AG145" i="10"/>
  <c r="AI145" i="10"/>
  <c r="Z145" i="10"/>
  <c r="AJ145" i="10" s="1"/>
  <c r="AH145" i="10"/>
  <c r="AL145" i="10"/>
  <c r="AN145" i="10"/>
  <c r="AM145" i="10"/>
  <c r="AA145" i="10"/>
  <c r="AO145" i="10" s="1"/>
  <c r="AP145" i="10"/>
  <c r="AK144" i="10"/>
  <c r="Z144" i="10"/>
  <c r="AJ144" i="10" s="1"/>
  <c r="AG144" i="10"/>
  <c r="AH144" i="10"/>
  <c r="AI144" i="10"/>
  <c r="AN144" i="10"/>
  <c r="AL144" i="10"/>
  <c r="AP144" i="10"/>
  <c r="AU144" i="10" s="1"/>
  <c r="AM144" i="10"/>
  <c r="AA144" i="10"/>
  <c r="AO144" i="10" s="1"/>
  <c r="AI143" i="10"/>
  <c r="Z143" i="10"/>
  <c r="AJ143" i="10" s="1"/>
  <c r="AH143" i="10"/>
  <c r="AK143" i="10"/>
  <c r="AG143" i="10"/>
  <c r="AN143" i="10"/>
  <c r="AA143" i="10"/>
  <c r="AO143" i="10" s="1"/>
  <c r="AP143" i="10"/>
  <c r="AL143" i="10"/>
  <c r="AM143" i="10"/>
  <c r="AN142" i="10"/>
  <c r="AL142" i="10"/>
  <c r="AP142" i="10"/>
  <c r="AM142" i="10"/>
  <c r="AA142" i="10"/>
  <c r="AO142" i="10" s="1"/>
  <c r="AK142" i="10"/>
  <c r="AH142" i="10"/>
  <c r="Z142" i="10"/>
  <c r="AJ142" i="10" s="1"/>
  <c r="AI142" i="10"/>
  <c r="AG142" i="10"/>
  <c r="AG141" i="10"/>
  <c r="AI141" i="10"/>
  <c r="Z141" i="10"/>
  <c r="AJ141" i="10" s="1"/>
  <c r="AK141" i="10"/>
  <c r="AH141" i="10"/>
  <c r="AM141" i="10"/>
  <c r="AN141" i="10"/>
  <c r="AA141" i="10"/>
  <c r="AO141" i="10" s="1"/>
  <c r="AP141" i="10"/>
  <c r="AL141" i="10"/>
  <c r="AH140" i="10"/>
  <c r="AK140" i="10"/>
  <c r="AI140" i="10"/>
  <c r="Z140" i="10"/>
  <c r="AJ140" i="10" s="1"/>
  <c r="AG140" i="10"/>
  <c r="AP140" i="10"/>
  <c r="AU140" i="10" s="1"/>
  <c r="AM140" i="10"/>
  <c r="AA140" i="10"/>
  <c r="AO140" i="10" s="1"/>
  <c r="AN140" i="10"/>
  <c r="AL140" i="10"/>
  <c r="AG139" i="10"/>
  <c r="AI139" i="10"/>
  <c r="Z139" i="10"/>
  <c r="AJ139" i="10" s="1"/>
  <c r="AH139" i="10"/>
  <c r="AK139" i="10"/>
  <c r="AM139" i="10"/>
  <c r="AA139" i="10"/>
  <c r="AO139" i="10" s="1"/>
  <c r="AL139" i="10"/>
  <c r="AP139" i="10"/>
  <c r="AN139" i="10"/>
  <c r="AA138" i="10"/>
  <c r="AO138" i="10" s="1"/>
  <c r="AN138" i="10"/>
  <c r="AL138" i="10"/>
  <c r="AP138" i="10"/>
  <c r="AM138" i="10"/>
  <c r="AL137" i="10"/>
  <c r="AP137" i="10"/>
  <c r="AM137" i="10"/>
  <c r="AN137" i="10"/>
  <c r="AA137" i="10"/>
  <c r="AO137" i="10" s="1"/>
  <c r="AI136" i="10"/>
  <c r="AG136" i="10"/>
  <c r="AK136" i="10"/>
  <c r="AH136" i="10"/>
  <c r="Z136" i="10"/>
  <c r="AJ136" i="10" s="1"/>
  <c r="AP136" i="10"/>
  <c r="AN136" i="10"/>
  <c r="AL136" i="10"/>
  <c r="AA136" i="10"/>
  <c r="AO136" i="10" s="1"/>
  <c r="AM136" i="10"/>
  <c r="AK135" i="10"/>
  <c r="AH135" i="10"/>
  <c r="Z135" i="10"/>
  <c r="AJ135" i="10" s="1"/>
  <c r="AI135" i="10"/>
  <c r="AG135" i="10"/>
  <c r="AN135" i="10"/>
  <c r="AL135" i="10"/>
  <c r="AP135" i="10"/>
  <c r="AM135" i="10"/>
  <c r="AA135" i="10"/>
  <c r="AO135" i="10" s="1"/>
  <c r="AI134" i="10"/>
  <c r="AG134" i="10"/>
  <c r="Z134" i="10"/>
  <c r="AJ134" i="10" s="1"/>
  <c r="AK134" i="10"/>
  <c r="AH134" i="10"/>
  <c r="AP134" i="10"/>
  <c r="AN134" i="10"/>
  <c r="AM134" i="10"/>
  <c r="AL134" i="10"/>
  <c r="AA134" i="10"/>
  <c r="AO134" i="10" s="1"/>
  <c r="AH133" i="10"/>
  <c r="Z133" i="10"/>
  <c r="AJ133" i="10" s="1"/>
  <c r="AK133" i="10"/>
  <c r="AG133" i="10"/>
  <c r="AI133" i="10"/>
  <c r="AA133" i="10"/>
  <c r="AO133" i="10" s="1"/>
  <c r="AL133" i="10"/>
  <c r="AP133" i="10"/>
  <c r="AN133" i="10"/>
  <c r="AM133" i="10"/>
  <c r="AH132" i="10"/>
  <c r="AK132" i="10"/>
  <c r="Z132" i="10"/>
  <c r="AJ132" i="10" s="1"/>
  <c r="AI132" i="10"/>
  <c r="AG132" i="10"/>
  <c r="AN132" i="10"/>
  <c r="AM132" i="10"/>
  <c r="AA132" i="10"/>
  <c r="AO132" i="10" s="1"/>
  <c r="AP132" i="10"/>
  <c r="AU132" i="10" s="1"/>
  <c r="AL132" i="10"/>
  <c r="Z131" i="10"/>
  <c r="AJ131" i="10" s="1"/>
  <c r="AI131" i="10"/>
  <c r="AK131" i="10"/>
  <c r="AH131" i="10"/>
  <c r="AG131" i="10"/>
  <c r="AP131" i="10"/>
  <c r="AM131" i="10"/>
  <c r="AN131" i="10"/>
  <c r="AL131" i="10"/>
  <c r="AA131" i="10"/>
  <c r="AO131" i="10" s="1"/>
  <c r="AH130" i="10"/>
  <c r="AI130" i="10"/>
  <c r="AK130" i="10"/>
  <c r="AG130" i="10"/>
  <c r="Z130" i="10"/>
  <c r="AJ130" i="10" s="1"/>
  <c r="AA130" i="10"/>
  <c r="AO130" i="10" s="1"/>
  <c r="AM130" i="10"/>
  <c r="AP130" i="10"/>
  <c r="AN130" i="10"/>
  <c r="AL130" i="10"/>
  <c r="AK129" i="10"/>
  <c r="AH129" i="10"/>
  <c r="AI129" i="10"/>
  <c r="AL129" i="10"/>
  <c r="AP129" i="10"/>
  <c r="AN129" i="10"/>
  <c r="AM129" i="10"/>
  <c r="AA129" i="10"/>
  <c r="AO129" i="10" s="1"/>
  <c r="AH128" i="10"/>
  <c r="AG128" i="10"/>
  <c r="AK128" i="10"/>
  <c r="AI128" i="10"/>
  <c r="Z128" i="10"/>
  <c r="AJ128" i="10" s="1"/>
  <c r="AL128" i="10"/>
  <c r="AP128" i="10"/>
  <c r="AM128" i="10"/>
  <c r="AR128" i="10" s="1"/>
  <c r="AN128" i="10"/>
  <c r="AA128" i="10"/>
  <c r="AO128" i="10" s="1"/>
  <c r="AN127" i="10"/>
  <c r="AM127" i="10"/>
  <c r="AL127" i="10"/>
  <c r="AP127" i="10"/>
  <c r="AA127" i="10"/>
  <c r="AO127" i="10" s="1"/>
  <c r="AA126" i="10"/>
  <c r="AO126" i="10" s="1"/>
  <c r="AL126" i="10"/>
  <c r="AM126" i="10"/>
  <c r="AN126" i="10"/>
  <c r="AP126" i="10"/>
  <c r="AP125" i="10"/>
  <c r="AN125" i="10"/>
  <c r="AM125" i="10"/>
  <c r="AL125" i="10"/>
  <c r="AA125" i="10"/>
  <c r="AO125" i="10" s="1"/>
  <c r="AN124" i="10"/>
  <c r="AL124" i="10"/>
  <c r="AP124" i="10"/>
  <c r="AM124" i="10"/>
  <c r="AA124" i="10"/>
  <c r="AO124" i="10" s="1"/>
  <c r="AA123" i="10"/>
  <c r="AO123" i="10" s="1"/>
  <c r="AM123" i="10"/>
  <c r="AP123" i="10"/>
  <c r="AN123" i="10"/>
  <c r="AL123" i="10"/>
  <c r="AM122" i="10"/>
  <c r="AP122" i="10"/>
  <c r="AA122" i="10"/>
  <c r="AO122" i="10" s="1"/>
  <c r="AN122" i="10"/>
  <c r="AL122" i="10"/>
  <c r="AP121" i="10"/>
  <c r="AM121" i="10"/>
  <c r="AN121" i="10"/>
  <c r="AL121" i="10"/>
  <c r="AA121" i="10"/>
  <c r="AO121" i="10" s="1"/>
  <c r="AP120" i="10"/>
  <c r="AN120" i="10"/>
  <c r="AL120" i="10"/>
  <c r="AM120" i="10"/>
  <c r="AA120" i="10"/>
  <c r="AO120" i="10" s="1"/>
  <c r="AN119" i="10"/>
  <c r="AA119" i="10"/>
  <c r="AO119" i="10" s="1"/>
  <c r="AP119" i="10"/>
  <c r="AL119" i="10"/>
  <c r="AM119" i="10"/>
  <c r="AP118" i="10"/>
  <c r="AM118" i="10"/>
  <c r="AN118" i="10"/>
  <c r="AL118" i="10"/>
  <c r="AA118" i="10"/>
  <c r="AO118" i="10" s="1"/>
  <c r="AN117" i="10"/>
  <c r="AP117" i="10"/>
  <c r="AL117" i="10"/>
  <c r="AA117" i="10"/>
  <c r="AO117" i="10" s="1"/>
  <c r="AM117" i="10"/>
  <c r="AP116" i="10"/>
  <c r="AN116" i="10"/>
  <c r="AL116" i="10"/>
  <c r="AM116" i="10"/>
  <c r="AA116" i="10"/>
  <c r="AO116" i="10" s="1"/>
  <c r="AA115" i="10"/>
  <c r="AO115" i="10" s="1"/>
  <c r="AN115" i="10"/>
  <c r="AM115" i="10"/>
  <c r="AP115" i="10"/>
  <c r="AL115" i="10"/>
  <c r="AA114" i="10"/>
  <c r="AO114" i="10" s="1"/>
  <c r="AM114" i="10"/>
  <c r="AP114" i="10"/>
  <c r="AN114" i="10"/>
  <c r="AL114" i="10"/>
  <c r="AP113" i="10"/>
  <c r="AM113" i="10"/>
  <c r="AN113" i="10"/>
  <c r="AL113" i="10"/>
  <c r="AA113" i="10"/>
  <c r="AO113" i="10" s="1"/>
  <c r="AM112" i="10"/>
  <c r="AP112" i="10"/>
  <c r="AN112" i="10"/>
  <c r="AL112" i="10"/>
  <c r="AA112" i="10"/>
  <c r="AO112" i="10" s="1"/>
  <c r="AN111" i="10"/>
  <c r="AL111" i="10"/>
  <c r="AP111" i="10"/>
  <c r="AA111" i="10"/>
  <c r="AO111" i="10" s="1"/>
  <c r="AM111" i="10"/>
  <c r="AP110" i="10"/>
  <c r="AM110" i="10"/>
  <c r="AL110" i="10"/>
  <c r="AN110" i="10"/>
  <c r="AA110" i="10"/>
  <c r="AO110" i="10" s="1"/>
  <c r="AN109" i="10"/>
  <c r="AM109" i="10"/>
  <c r="AP109" i="10"/>
  <c r="AA109" i="10"/>
  <c r="AO109" i="10" s="1"/>
  <c r="AL109" i="10"/>
  <c r="AP108" i="10"/>
  <c r="AN108" i="10"/>
  <c r="AA108" i="10"/>
  <c r="AO108" i="10" s="1"/>
  <c r="AM108" i="10"/>
  <c r="AL108" i="10"/>
  <c r="AN107" i="10"/>
  <c r="AL107" i="10"/>
  <c r="AM107" i="10"/>
  <c r="AP107" i="10"/>
  <c r="AA107" i="10"/>
  <c r="AO107" i="10" s="1"/>
  <c r="AN105" i="10"/>
  <c r="AA105" i="10"/>
  <c r="AO105" i="10" s="1"/>
  <c r="AL105" i="10"/>
  <c r="AP105" i="10"/>
  <c r="AM105" i="10"/>
  <c r="AL104" i="10"/>
  <c r="AP104" i="10"/>
  <c r="AN104" i="10"/>
  <c r="AA104" i="10"/>
  <c r="AO104" i="10" s="1"/>
  <c r="AM104" i="10"/>
  <c r="AH103" i="10"/>
  <c r="Z103" i="10"/>
  <c r="AJ103" i="10" s="1"/>
  <c r="AI103" i="10"/>
  <c r="AK103" i="10"/>
  <c r="AG103" i="10"/>
  <c r="AN103" i="10"/>
  <c r="AA103" i="10"/>
  <c r="AO103" i="10" s="1"/>
  <c r="AP103" i="10"/>
  <c r="AL103" i="10"/>
  <c r="AM103" i="10"/>
  <c r="X153" i="7"/>
  <c r="AI153" i="7"/>
  <c r="AI256" i="7"/>
  <c r="X256" i="7"/>
  <c r="X257" i="7"/>
  <c r="AI257" i="7"/>
  <c r="X154" i="7"/>
  <c r="AI154" i="7"/>
  <c r="X258" i="7"/>
  <c r="AI258" i="7"/>
  <c r="J174" i="7"/>
  <c r="AC174" i="7" s="1"/>
  <c r="T239" i="3"/>
  <c r="J277" i="7"/>
  <c r="AC277" i="7" s="1"/>
  <c r="T442" i="3"/>
  <c r="F172" i="7"/>
  <c r="P172" i="7" s="1"/>
  <c r="R237" i="3"/>
  <c r="F275" i="7"/>
  <c r="P275" i="7" s="1"/>
  <c r="R440" i="3"/>
  <c r="I174" i="7"/>
  <c r="AB174" i="7" s="1"/>
  <c r="S239" i="3"/>
  <c r="O431" i="3"/>
  <c r="U431" i="3" s="1"/>
  <c r="U25" i="3"/>
  <c r="M443" i="3"/>
  <c r="S443" i="3" s="1"/>
  <c r="S37" i="3"/>
  <c r="D146" i="12"/>
  <c r="D145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AP102" i="10"/>
  <c r="AN102" i="10"/>
  <c r="AM102" i="10"/>
  <c r="AL102" i="10"/>
  <c r="AA102" i="10"/>
  <c r="AO102" i="10" s="1"/>
  <c r="AL99" i="10"/>
  <c r="AP99" i="10"/>
  <c r="AN99" i="10"/>
  <c r="AM99" i="10"/>
  <c r="AA99" i="10"/>
  <c r="AO99" i="10" s="1"/>
  <c r="AL98" i="10"/>
  <c r="AM98" i="10"/>
  <c r="AP98" i="10"/>
  <c r="AN98" i="10"/>
  <c r="AA98" i="10"/>
  <c r="AO98" i="10" s="1"/>
  <c r="AP97" i="10"/>
  <c r="AN97" i="10"/>
  <c r="AM97" i="10"/>
  <c r="AL97" i="10"/>
  <c r="AA97" i="10"/>
  <c r="AO97" i="10" s="1"/>
  <c r="AP96" i="10"/>
  <c r="AL96" i="10"/>
  <c r="AN96" i="10"/>
  <c r="AM96" i="10"/>
  <c r="AA96" i="10"/>
  <c r="AO96" i="10" s="1"/>
  <c r="AL95" i="10"/>
  <c r="AP95" i="10"/>
  <c r="AN95" i="10"/>
  <c r="AM95" i="10"/>
  <c r="AA95" i="10"/>
  <c r="AO95" i="10" s="1"/>
  <c r="AP94" i="10"/>
  <c r="AL94" i="10"/>
  <c r="AN94" i="10"/>
  <c r="AM94" i="10"/>
  <c r="AA94" i="10"/>
  <c r="AO94" i="10" s="1"/>
  <c r="AL93" i="10"/>
  <c r="AP93" i="10"/>
  <c r="AN93" i="10"/>
  <c r="AM93" i="10"/>
  <c r="AA93" i="10"/>
  <c r="AO93" i="10" s="1"/>
  <c r="AP92" i="10"/>
  <c r="AM92" i="10"/>
  <c r="AL92" i="10"/>
  <c r="AN92" i="10"/>
  <c r="AA92" i="10"/>
  <c r="AO92" i="10" s="1"/>
  <c r="AM91" i="10"/>
  <c r="AL91" i="10"/>
  <c r="AN91" i="10"/>
  <c r="AP91" i="10"/>
  <c r="AA91" i="10"/>
  <c r="AO91" i="10" s="1"/>
  <c r="AN90" i="10"/>
  <c r="AM90" i="10"/>
  <c r="AP90" i="10"/>
  <c r="AL90" i="10"/>
  <c r="AA90" i="10"/>
  <c r="AO90" i="10" s="1"/>
  <c r="AN89" i="10"/>
  <c r="AL89" i="10"/>
  <c r="AM89" i="10"/>
  <c r="AP89" i="10"/>
  <c r="AA89" i="10"/>
  <c r="AO89" i="10" s="1"/>
  <c r="AP88" i="10"/>
  <c r="AL88" i="10"/>
  <c r="AM88" i="10"/>
  <c r="AN88" i="10"/>
  <c r="AA88" i="10"/>
  <c r="AO88" i="10" s="1"/>
  <c r="AP87" i="10"/>
  <c r="AM87" i="10"/>
  <c r="AN87" i="10"/>
  <c r="AL87" i="10"/>
  <c r="AA87" i="10"/>
  <c r="AO87" i="10" s="1"/>
  <c r="AM86" i="10"/>
  <c r="AL86" i="10"/>
  <c r="AP86" i="10"/>
  <c r="AN86" i="10"/>
  <c r="AA86" i="10"/>
  <c r="AO86" i="10" s="1"/>
  <c r="AN85" i="10"/>
  <c r="AM85" i="10"/>
  <c r="AL85" i="10"/>
  <c r="AP85" i="10"/>
  <c r="AA85" i="10"/>
  <c r="AO85" i="10" s="1"/>
  <c r="AP84" i="10"/>
  <c r="AL84" i="10"/>
  <c r="AM84" i="10"/>
  <c r="AN84" i="10"/>
  <c r="AA84" i="10"/>
  <c r="AO84" i="10" s="1"/>
  <c r="AP83" i="10"/>
  <c r="AL83" i="10"/>
  <c r="AM83" i="10"/>
  <c r="AN83" i="10"/>
  <c r="AA83" i="10"/>
  <c r="AO83" i="10" s="1"/>
  <c r="AP82" i="10"/>
  <c r="AL82" i="10"/>
  <c r="AM82" i="10"/>
  <c r="AN82" i="10"/>
  <c r="AA82" i="10"/>
  <c r="AO82" i="10" s="1"/>
  <c r="AP81" i="10"/>
  <c r="AM81" i="10"/>
  <c r="AN81" i="10"/>
  <c r="AL81" i="10"/>
  <c r="AA81" i="10"/>
  <c r="AO81" i="10" s="1"/>
  <c r="AL80" i="10"/>
  <c r="AM80" i="10"/>
  <c r="AP80" i="10"/>
  <c r="AN80" i="10"/>
  <c r="AA80" i="10"/>
  <c r="AO80" i="10" s="1"/>
  <c r="AP79" i="10"/>
  <c r="AM79" i="10"/>
  <c r="AN79" i="10"/>
  <c r="AL79" i="10"/>
  <c r="AA79" i="10"/>
  <c r="AO79" i="10" s="1"/>
  <c r="AP78" i="10"/>
  <c r="AM78" i="10"/>
  <c r="AN78" i="10"/>
  <c r="AL78" i="10"/>
  <c r="AA78" i="10"/>
  <c r="AO78" i="10" s="1"/>
  <c r="AL77" i="10"/>
  <c r="AP77" i="10"/>
  <c r="AN77" i="10"/>
  <c r="AM77" i="10"/>
  <c r="AA77" i="10"/>
  <c r="AO77" i="10" s="1"/>
  <c r="AL76" i="10"/>
  <c r="AP76" i="10"/>
  <c r="AN76" i="10"/>
  <c r="AM76" i="10"/>
  <c r="AA76" i="10"/>
  <c r="AO76" i="10" s="1"/>
  <c r="AL75" i="10"/>
  <c r="AM75" i="10"/>
  <c r="AP75" i="10"/>
  <c r="AN75" i="10"/>
  <c r="AA75" i="10"/>
  <c r="AO75" i="10" s="1"/>
  <c r="AM74" i="10"/>
  <c r="AN74" i="10"/>
  <c r="AL74" i="10"/>
  <c r="AP74" i="10"/>
  <c r="AA74" i="10"/>
  <c r="AO74" i="10" s="1"/>
  <c r="AM73" i="10"/>
  <c r="AN73" i="10"/>
  <c r="AP73" i="10"/>
  <c r="AL73" i="10"/>
  <c r="AA73" i="10"/>
  <c r="AO73" i="10" s="1"/>
  <c r="AL72" i="10"/>
  <c r="AN72" i="10"/>
  <c r="AP72" i="10"/>
  <c r="AM72" i="10"/>
  <c r="AA72" i="10"/>
  <c r="AO72" i="10" s="1"/>
  <c r="AL71" i="10"/>
  <c r="AP71" i="10"/>
  <c r="AN71" i="10"/>
  <c r="AM71" i="10"/>
  <c r="AA71" i="10"/>
  <c r="AO71" i="10" s="1"/>
  <c r="AL70" i="10"/>
  <c r="AP70" i="10"/>
  <c r="AN70" i="10"/>
  <c r="AM70" i="10"/>
  <c r="AA70" i="10"/>
  <c r="AO70" i="10" s="1"/>
  <c r="AL69" i="10"/>
  <c r="AP69" i="10"/>
  <c r="AN69" i="10"/>
  <c r="AM69" i="10"/>
  <c r="AA69" i="10"/>
  <c r="AO69" i="10" s="1"/>
  <c r="AN68" i="10"/>
  <c r="AL68" i="10"/>
  <c r="AP68" i="10"/>
  <c r="AM68" i="10"/>
  <c r="AA68" i="10"/>
  <c r="AO68" i="10" s="1"/>
  <c r="AP67" i="10"/>
  <c r="AM67" i="10"/>
  <c r="AL67" i="10"/>
  <c r="AN67" i="10"/>
  <c r="AA67" i="10"/>
  <c r="AO67" i="10" s="1"/>
  <c r="AM66" i="10"/>
  <c r="AN66" i="10"/>
  <c r="AL66" i="10"/>
  <c r="AP66" i="10"/>
  <c r="AA66" i="10"/>
  <c r="AO66" i="10" s="1"/>
  <c r="AP65" i="10"/>
  <c r="AL65" i="10"/>
  <c r="AN65" i="10"/>
  <c r="AM65" i="10"/>
  <c r="AA65" i="10"/>
  <c r="AO65" i="10" s="1"/>
  <c r="AL64" i="10"/>
  <c r="AN64" i="10"/>
  <c r="AM64" i="10"/>
  <c r="AP64" i="10"/>
  <c r="AA64" i="10"/>
  <c r="AO64" i="10" s="1"/>
  <c r="AN63" i="10"/>
  <c r="AM63" i="10"/>
  <c r="AL63" i="10"/>
  <c r="AP63" i="10"/>
  <c r="AA63" i="10"/>
  <c r="AO63" i="10" s="1"/>
  <c r="AN62" i="10"/>
  <c r="AM62" i="10"/>
  <c r="AL62" i="10"/>
  <c r="AP62" i="10"/>
  <c r="AA62" i="10"/>
  <c r="AO62" i="10" s="1"/>
  <c r="AN61" i="10"/>
  <c r="AM61" i="10"/>
  <c r="AP61" i="10"/>
  <c r="AL61" i="10"/>
  <c r="AA61" i="10"/>
  <c r="AO61" i="10" s="1"/>
  <c r="AN60" i="10"/>
  <c r="AP60" i="10"/>
  <c r="AL60" i="10"/>
  <c r="AM60" i="10"/>
  <c r="AA60" i="10"/>
  <c r="AO60" i="10" s="1"/>
  <c r="AL59" i="10"/>
  <c r="AM59" i="10"/>
  <c r="AP59" i="10"/>
  <c r="AN59" i="10"/>
  <c r="AA59" i="10"/>
  <c r="AO59" i="10" s="1"/>
  <c r="AL58" i="10"/>
  <c r="AN58" i="10"/>
  <c r="AM58" i="10"/>
  <c r="AP58" i="10"/>
  <c r="AA58" i="10"/>
  <c r="AO58" i="10" s="1"/>
  <c r="AL57" i="10"/>
  <c r="AP57" i="10"/>
  <c r="AN57" i="10"/>
  <c r="AM57" i="10"/>
  <c r="AA57" i="10"/>
  <c r="AO57" i="10" s="1"/>
  <c r="AM56" i="10"/>
  <c r="AL56" i="10"/>
  <c r="AN56" i="10"/>
  <c r="AP56" i="10"/>
  <c r="AA56" i="10"/>
  <c r="AO56" i="10" s="1"/>
  <c r="AL55" i="10"/>
  <c r="AM55" i="10"/>
  <c r="AP55" i="10"/>
  <c r="AN55" i="10"/>
  <c r="AA55" i="10"/>
  <c r="AO55" i="10" s="1"/>
  <c r="AL54" i="10"/>
  <c r="AN54" i="10"/>
  <c r="AM54" i="10"/>
  <c r="AP54" i="10"/>
  <c r="AA54" i="10"/>
  <c r="AO54" i="10" s="1"/>
  <c r="AN53" i="10"/>
  <c r="AM53" i="10"/>
  <c r="AP53" i="10"/>
  <c r="AL53" i="10"/>
  <c r="AA53" i="10"/>
  <c r="AO53" i="10" s="1"/>
  <c r="AP52" i="10"/>
  <c r="AN52" i="10"/>
  <c r="AM52" i="10"/>
  <c r="AL52" i="10"/>
  <c r="AA52" i="10"/>
  <c r="AO52" i="10" s="1"/>
  <c r="AN51" i="10"/>
  <c r="AM51" i="10"/>
  <c r="AP51" i="10"/>
  <c r="AL51" i="10"/>
  <c r="AA51" i="10"/>
  <c r="AO51" i="10" s="1"/>
  <c r="AL50" i="10"/>
  <c r="AM50" i="10"/>
  <c r="AN50" i="10"/>
  <c r="AP50" i="10"/>
  <c r="AA50" i="10"/>
  <c r="AO50" i="10" s="1"/>
  <c r="AL49" i="10"/>
  <c r="AM49" i="10"/>
  <c r="AN49" i="10"/>
  <c r="AP49" i="10"/>
  <c r="AA49" i="10"/>
  <c r="AO49" i="10" s="1"/>
  <c r="AL48" i="10"/>
  <c r="AM48" i="10"/>
  <c r="AN48" i="10"/>
  <c r="AP48" i="10"/>
  <c r="AA48" i="10"/>
  <c r="AO48" i="10" s="1"/>
  <c r="AL47" i="10"/>
  <c r="AM47" i="10"/>
  <c r="AN47" i="10"/>
  <c r="AP47" i="10"/>
  <c r="AA47" i="10"/>
  <c r="AO47" i="10" s="1"/>
  <c r="AL46" i="10"/>
  <c r="AM46" i="10"/>
  <c r="AP46" i="10"/>
  <c r="AN46" i="10"/>
  <c r="AA46" i="10"/>
  <c r="AO46" i="10" s="1"/>
  <c r="AL45" i="10"/>
  <c r="AP45" i="10"/>
  <c r="AM45" i="10"/>
  <c r="AN45" i="10"/>
  <c r="AA45" i="10"/>
  <c r="AO45" i="10" s="1"/>
  <c r="AN44" i="10"/>
  <c r="AM44" i="10"/>
  <c r="AL44" i="10"/>
  <c r="AP44" i="10"/>
  <c r="AA44" i="10"/>
  <c r="AO44" i="10" s="1"/>
  <c r="AM43" i="10"/>
  <c r="AN43" i="10"/>
  <c r="AP43" i="10"/>
  <c r="AL43" i="10"/>
  <c r="AA43" i="10"/>
  <c r="AO43" i="10" s="1"/>
  <c r="AN42" i="10"/>
  <c r="AM42" i="10"/>
  <c r="AL42" i="10"/>
  <c r="AP42" i="10"/>
  <c r="AA42" i="10"/>
  <c r="AO42" i="10" s="1"/>
  <c r="AL41" i="10"/>
  <c r="AN41" i="10"/>
  <c r="AM41" i="10"/>
  <c r="AP41" i="10"/>
  <c r="AA41" i="10"/>
  <c r="AO41" i="10" s="1"/>
  <c r="AL40" i="10"/>
  <c r="AN40" i="10"/>
  <c r="AM40" i="10"/>
  <c r="AP40" i="10"/>
  <c r="AA40" i="10"/>
  <c r="AO40" i="10" s="1"/>
  <c r="AL39" i="10"/>
  <c r="AN39" i="10"/>
  <c r="AM39" i="10"/>
  <c r="AP39" i="10"/>
  <c r="AA39" i="10"/>
  <c r="AO39" i="10" s="1"/>
  <c r="AN38" i="10"/>
  <c r="AA38" i="10"/>
  <c r="AO38" i="10" s="1"/>
  <c r="AP38" i="10"/>
  <c r="AL38" i="10"/>
  <c r="AM38" i="10"/>
  <c r="AM37" i="10"/>
  <c r="AN37" i="10"/>
  <c r="AP37" i="10"/>
  <c r="AA37" i="10"/>
  <c r="AO37" i="10" s="1"/>
  <c r="AL37" i="10"/>
  <c r="AL36" i="10"/>
  <c r="AP36" i="10"/>
  <c r="AN36" i="10"/>
  <c r="AA36" i="10"/>
  <c r="AO36" i="10" s="1"/>
  <c r="AM36" i="10"/>
  <c r="AM35" i="10"/>
  <c r="AA35" i="10"/>
  <c r="AO35" i="10" s="1"/>
  <c r="AN35" i="10"/>
  <c r="AP35" i="10"/>
  <c r="AL35" i="10"/>
  <c r="AM34" i="10"/>
  <c r="AA34" i="10"/>
  <c r="AO34" i="10" s="1"/>
  <c r="AL34" i="10"/>
  <c r="AP34" i="10"/>
  <c r="AN34" i="10"/>
  <c r="AM33" i="10"/>
  <c r="AA33" i="10"/>
  <c r="AO33" i="10" s="1"/>
  <c r="AL33" i="10"/>
  <c r="AP33" i="10"/>
  <c r="AN33" i="10"/>
  <c r="AP32" i="10"/>
  <c r="AM32" i="10"/>
  <c r="AN32" i="10"/>
  <c r="AA32" i="10"/>
  <c r="AO32" i="10" s="1"/>
  <c r="AL32" i="10"/>
  <c r="AP31" i="10"/>
  <c r="AN31" i="10"/>
  <c r="AM31" i="10"/>
  <c r="AA31" i="10"/>
  <c r="AO31" i="10" s="1"/>
  <c r="AL31" i="10"/>
  <c r="AN30" i="10"/>
  <c r="AA30" i="10"/>
  <c r="AO30" i="10" s="1"/>
  <c r="AL30" i="10"/>
  <c r="AP30" i="10"/>
  <c r="AM30" i="10"/>
  <c r="AM29" i="10"/>
  <c r="AL29" i="10"/>
  <c r="AN29" i="10"/>
  <c r="AA29" i="10"/>
  <c r="AO29" i="10" s="1"/>
  <c r="AP29" i="10"/>
  <c r="AA28" i="10"/>
  <c r="AO28" i="10" s="1"/>
  <c r="AP28" i="10"/>
  <c r="AM28" i="10"/>
  <c r="AL28" i="10"/>
  <c r="AN28" i="10"/>
  <c r="AN27" i="10"/>
  <c r="AL27" i="10"/>
  <c r="AP27" i="10"/>
  <c r="AM27" i="10"/>
  <c r="AA27" i="10"/>
  <c r="AO27" i="10" s="1"/>
  <c r="AN26" i="10"/>
  <c r="AL26" i="10"/>
  <c r="AP26" i="10"/>
  <c r="AA26" i="10"/>
  <c r="AO26" i="10" s="1"/>
  <c r="AM26" i="10"/>
  <c r="AP25" i="10"/>
  <c r="AN25" i="10"/>
  <c r="AL25" i="10"/>
  <c r="AM25" i="10"/>
  <c r="AA25" i="10"/>
  <c r="AO25" i="10" s="1"/>
  <c r="AP24" i="10"/>
  <c r="AM24" i="10"/>
  <c r="AL24" i="10"/>
  <c r="AN24" i="10"/>
  <c r="AA24" i="10"/>
  <c r="AO24" i="10" s="1"/>
  <c r="AN23" i="10"/>
  <c r="AL23" i="10"/>
  <c r="AP23" i="10"/>
  <c r="AM23" i="10"/>
  <c r="AA23" i="10"/>
  <c r="AO23" i="10" s="1"/>
  <c r="AL22" i="10"/>
  <c r="AP22" i="10"/>
  <c r="AM22" i="10"/>
  <c r="AA22" i="10"/>
  <c r="AO22" i="10" s="1"/>
  <c r="AN22" i="10"/>
  <c r="AN21" i="10"/>
  <c r="AM21" i="10"/>
  <c r="AA21" i="10"/>
  <c r="AO21" i="10" s="1"/>
  <c r="AL21" i="10"/>
  <c r="AP21" i="10"/>
  <c r="AL20" i="10"/>
  <c r="AM20" i="10"/>
  <c r="AP20" i="10"/>
  <c r="AN20" i="10"/>
  <c r="AA20" i="10"/>
  <c r="AO20" i="10" s="1"/>
  <c r="AN19" i="10"/>
  <c r="AA19" i="10"/>
  <c r="AO19" i="10" s="1"/>
  <c r="AL19" i="10"/>
  <c r="AM19" i="10"/>
  <c r="AP19" i="10"/>
  <c r="AM18" i="10"/>
  <c r="AA18" i="10"/>
  <c r="AO18" i="10" s="1"/>
  <c r="AN18" i="10"/>
  <c r="AP18" i="10"/>
  <c r="AL18" i="10"/>
  <c r="AP17" i="10"/>
  <c r="AM17" i="10"/>
  <c r="AA17" i="10"/>
  <c r="AO17" i="10" s="1"/>
  <c r="AL17" i="10"/>
  <c r="AN17" i="10"/>
  <c r="AM16" i="10"/>
  <c r="AL16" i="10"/>
  <c r="AN16" i="10"/>
  <c r="AP16" i="10"/>
  <c r="AA16" i="10"/>
  <c r="AO16" i="10" s="1"/>
  <c r="AL100" i="10"/>
  <c r="AN100" i="10"/>
  <c r="AM100" i="10"/>
  <c r="AP100" i="10"/>
  <c r="AA100" i="10"/>
  <c r="AO100" i="10" s="1"/>
  <c r="AP101" i="10"/>
  <c r="AN101" i="10"/>
  <c r="AM101" i="10"/>
  <c r="AL101" i="10"/>
  <c r="AA101" i="10"/>
  <c r="AO101" i="10" s="1"/>
  <c r="AI61" i="10"/>
  <c r="AH61" i="10"/>
  <c r="AG61" i="10"/>
  <c r="Z61" i="10"/>
  <c r="AJ61" i="10" s="1"/>
  <c r="AK61" i="10"/>
  <c r="AG101" i="10"/>
  <c r="AI101" i="10"/>
  <c r="Z101" i="10"/>
  <c r="AJ101" i="10" s="1"/>
  <c r="AH101" i="10"/>
  <c r="AK101" i="10"/>
  <c r="AI98" i="10"/>
  <c r="AG98" i="10"/>
  <c r="Z98" i="10"/>
  <c r="AJ98" i="10" s="1"/>
  <c r="AH98" i="10"/>
  <c r="AK98" i="10"/>
  <c r="AH96" i="10"/>
  <c r="AG96" i="10"/>
  <c r="Z96" i="10"/>
  <c r="AJ96" i="10" s="1"/>
  <c r="AI96" i="10"/>
  <c r="AK96" i="10"/>
  <c r="AH92" i="10"/>
  <c r="AG92" i="10"/>
  <c r="Z92" i="10"/>
  <c r="AJ92" i="10" s="1"/>
  <c r="AI92" i="10"/>
  <c r="AK92" i="10"/>
  <c r="AI89" i="10"/>
  <c r="Z89" i="10"/>
  <c r="AJ89" i="10" s="1"/>
  <c r="AG89" i="10"/>
  <c r="AH89" i="10"/>
  <c r="AK89" i="10"/>
  <c r="AG86" i="10"/>
  <c r="AH86" i="10"/>
  <c r="Z86" i="10"/>
  <c r="AJ86" i="10" s="1"/>
  <c r="AI86" i="10"/>
  <c r="AK86" i="10"/>
  <c r="AG84" i="10"/>
  <c r="Z84" i="10"/>
  <c r="AJ84" i="10" s="1"/>
  <c r="AH84" i="10"/>
  <c r="AI84" i="10"/>
  <c r="AK84" i="10"/>
  <c r="Z81" i="10"/>
  <c r="AJ81" i="10" s="1"/>
  <c r="AG81" i="10"/>
  <c r="AI81" i="10"/>
  <c r="AH81" i="10"/>
  <c r="AK81" i="10"/>
  <c r="Z80" i="10"/>
  <c r="AJ80" i="10" s="1"/>
  <c r="AG80" i="10"/>
  <c r="AH80" i="10"/>
  <c r="AI80" i="10"/>
  <c r="AK80" i="10"/>
  <c r="AH78" i="10"/>
  <c r="Z78" i="10"/>
  <c r="AJ78" i="10" s="1"/>
  <c r="AG78" i="10"/>
  <c r="AI78" i="10"/>
  <c r="AK78" i="10"/>
  <c r="AI76" i="10"/>
  <c r="AH76" i="10"/>
  <c r="AG76" i="10"/>
  <c r="Z76" i="10"/>
  <c r="AJ76" i="10" s="1"/>
  <c r="AK76" i="10"/>
  <c r="Z74" i="10"/>
  <c r="AJ74" i="10" s="1"/>
  <c r="AG74" i="10"/>
  <c r="AI74" i="10"/>
  <c r="D144" i="12"/>
  <c r="D151" i="7"/>
  <c r="D152" i="7"/>
  <c r="AA415" i="3"/>
  <c r="AD415" i="3" s="1"/>
  <c r="AA416" i="3"/>
  <c r="AD416" i="3" s="1"/>
  <c r="AA417" i="3"/>
  <c r="AD417" i="3" s="1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14" i="3"/>
  <c r="AD414" i="3" s="1"/>
  <c r="D238" i="3"/>
  <c r="D30" i="10"/>
  <c r="H30" i="10" s="1"/>
  <c r="D441" i="3"/>
  <c r="D259" i="7"/>
  <c r="G419" i="3"/>
  <c r="W419" i="3"/>
  <c r="G418" i="3"/>
  <c r="D150" i="7"/>
  <c r="W213" i="3"/>
  <c r="Y213" i="3"/>
  <c r="Y214" i="3"/>
  <c r="C31" i="10"/>
  <c r="G31" i="10" s="1"/>
  <c r="C442" i="3"/>
  <c r="O265" i="3"/>
  <c r="O468" i="3"/>
  <c r="E263" i="3"/>
  <c r="E55" i="10"/>
  <c r="I55" i="10" s="1"/>
  <c r="E466" i="3"/>
  <c r="O230" i="3"/>
  <c r="O433" i="3"/>
  <c r="K268" i="7" s="1"/>
  <c r="AD268" i="7" s="1"/>
  <c r="R268" i="7" s="1"/>
  <c r="E228" i="3"/>
  <c r="E431" i="3"/>
  <c r="E20" i="10"/>
  <c r="I20" i="10" s="1"/>
  <c r="AD8" i="3"/>
  <c r="N240" i="3"/>
  <c r="N443" i="3"/>
  <c r="J238" i="3"/>
  <c r="G173" i="7" s="1"/>
  <c r="Q173" i="7" s="1"/>
  <c r="J441" i="3"/>
  <c r="G276" i="7" s="1"/>
  <c r="Q276" i="7" s="1"/>
  <c r="H238" i="3"/>
  <c r="H441" i="3"/>
  <c r="F10" i="10"/>
  <c r="J10" i="10" s="1"/>
  <c r="F421" i="3"/>
  <c r="F9" i="10"/>
  <c r="J9" i="10" s="1"/>
  <c r="F420" i="3"/>
  <c r="O37" i="6"/>
  <c r="O46" i="6"/>
  <c r="O38" i="6"/>
  <c r="J89" i="6"/>
  <c r="N89" i="6" s="1"/>
  <c r="O40" i="6"/>
  <c r="M96" i="6"/>
  <c r="L99" i="6"/>
  <c r="O86" i="6"/>
  <c r="O42" i="6"/>
  <c r="M110" i="6"/>
  <c r="J90" i="6"/>
  <c r="N90" i="6" s="1"/>
  <c r="O35" i="6"/>
  <c r="O65" i="6"/>
  <c r="O43" i="6"/>
  <c r="O61" i="6"/>
  <c r="O74" i="6"/>
  <c r="O69" i="6"/>
  <c r="O84" i="6"/>
  <c r="O36" i="6"/>
  <c r="J99" i="6"/>
  <c r="N99" i="6" s="1"/>
  <c r="O47" i="6"/>
  <c r="O48" i="6"/>
  <c r="O52" i="6"/>
  <c r="O45" i="6"/>
  <c r="O53" i="6"/>
  <c r="O67" i="6"/>
  <c r="O39" i="6"/>
  <c r="O49" i="6"/>
  <c r="O62" i="6"/>
  <c r="O55" i="6"/>
  <c r="K112" i="6"/>
  <c r="K114" i="6"/>
  <c r="K100" i="6"/>
  <c r="O64" i="6"/>
  <c r="O34" i="6"/>
  <c r="O54" i="6"/>
  <c r="O41" i="6"/>
  <c r="O59" i="6"/>
  <c r="O57" i="6"/>
  <c r="O70" i="6"/>
  <c r="O73" i="6"/>
  <c r="O80" i="6"/>
  <c r="O76" i="6"/>
  <c r="O81" i="6"/>
  <c r="O77" i="6"/>
  <c r="O78" i="6"/>
  <c r="O83" i="6"/>
  <c r="O71" i="6"/>
  <c r="O79" i="6"/>
  <c r="O82" i="6"/>
  <c r="O87" i="6"/>
  <c r="O85" i="6"/>
  <c r="O75" i="6"/>
  <c r="O66" i="6"/>
  <c r="O72" i="6"/>
  <c r="J91" i="6"/>
  <c r="N91" i="6" s="1"/>
  <c r="J115" i="6"/>
  <c r="N115" i="6" s="1"/>
  <c r="J97" i="6"/>
  <c r="N97" i="6" s="1"/>
  <c r="J92" i="6"/>
  <c r="N92" i="6" s="1"/>
  <c r="J102" i="6"/>
  <c r="N102" i="6" s="1"/>
  <c r="J107" i="6"/>
  <c r="N107" i="6" s="1"/>
  <c r="J94" i="6"/>
  <c r="N94" i="6" s="1"/>
  <c r="J100" i="6"/>
  <c r="N100" i="6" s="1"/>
  <c r="J114" i="6"/>
  <c r="N114" i="6" s="1"/>
  <c r="J98" i="6"/>
  <c r="N98" i="6" s="1"/>
  <c r="J108" i="6"/>
  <c r="N108" i="6" s="1"/>
  <c r="J117" i="6"/>
  <c r="N117" i="6" s="1"/>
  <c r="J101" i="6"/>
  <c r="N101" i="6" s="1"/>
  <c r="J96" i="6"/>
  <c r="N96" i="6" s="1"/>
  <c r="J103" i="6"/>
  <c r="N103" i="6" s="1"/>
  <c r="J110" i="6"/>
  <c r="N110" i="6" s="1"/>
  <c r="C177" i="6"/>
  <c r="H147" i="6"/>
  <c r="G147" i="6"/>
  <c r="I147" i="6"/>
  <c r="D147" i="6"/>
  <c r="F147" i="6"/>
  <c r="E147" i="6"/>
  <c r="C176" i="6"/>
  <c r="I146" i="6"/>
  <c r="H146" i="6"/>
  <c r="G146" i="6"/>
  <c r="D146" i="6"/>
  <c r="E146" i="6"/>
  <c r="F146" i="6"/>
  <c r="H145" i="6"/>
  <c r="F145" i="6"/>
  <c r="D145" i="6"/>
  <c r="I145" i="6"/>
  <c r="G145" i="6"/>
  <c r="E145" i="6"/>
  <c r="C175" i="6"/>
  <c r="G144" i="6"/>
  <c r="D144" i="6"/>
  <c r="I144" i="6"/>
  <c r="F144" i="6"/>
  <c r="C174" i="6"/>
  <c r="E144" i="6"/>
  <c r="H144" i="6"/>
  <c r="F143" i="6"/>
  <c r="I143" i="6"/>
  <c r="D143" i="6"/>
  <c r="H143" i="6"/>
  <c r="C173" i="6"/>
  <c r="G143" i="6"/>
  <c r="E143" i="6"/>
  <c r="E142" i="6"/>
  <c r="D142" i="6"/>
  <c r="F142" i="6"/>
  <c r="I142" i="6"/>
  <c r="C172" i="6"/>
  <c r="H142" i="6"/>
  <c r="G142" i="6"/>
  <c r="I141" i="6"/>
  <c r="E141" i="6"/>
  <c r="G141" i="6"/>
  <c r="H141" i="6"/>
  <c r="F141" i="6"/>
  <c r="C171" i="6"/>
  <c r="D141" i="6"/>
  <c r="H140" i="6"/>
  <c r="C170" i="6"/>
  <c r="D140" i="6"/>
  <c r="F140" i="6"/>
  <c r="G140" i="6"/>
  <c r="E140" i="6"/>
  <c r="I140" i="6"/>
  <c r="G139" i="6"/>
  <c r="H139" i="6"/>
  <c r="D139" i="6"/>
  <c r="I139" i="6"/>
  <c r="E139" i="6"/>
  <c r="C169" i="6"/>
  <c r="F139" i="6"/>
  <c r="G138" i="6"/>
  <c r="D138" i="6"/>
  <c r="E138" i="6"/>
  <c r="I138" i="6"/>
  <c r="C168" i="6"/>
  <c r="F138" i="6"/>
  <c r="H138" i="6"/>
  <c r="G137" i="6"/>
  <c r="C167" i="6"/>
  <c r="F137" i="6"/>
  <c r="I137" i="6"/>
  <c r="D137" i="6"/>
  <c r="E137" i="6"/>
  <c r="H137" i="6"/>
  <c r="E136" i="6"/>
  <c r="G136" i="6"/>
  <c r="D136" i="6"/>
  <c r="I136" i="6"/>
  <c r="F136" i="6"/>
  <c r="C166" i="6"/>
  <c r="H136" i="6"/>
  <c r="F135" i="6"/>
  <c r="E135" i="6"/>
  <c r="G135" i="6"/>
  <c r="H135" i="6"/>
  <c r="D135" i="6"/>
  <c r="C165" i="6"/>
  <c r="I135" i="6"/>
  <c r="E134" i="6"/>
  <c r="I134" i="6"/>
  <c r="H134" i="6"/>
  <c r="G134" i="6"/>
  <c r="D134" i="6"/>
  <c r="F134" i="6"/>
  <c r="C164" i="6"/>
  <c r="I133" i="6"/>
  <c r="F133" i="6"/>
  <c r="H133" i="6"/>
  <c r="E133" i="6"/>
  <c r="G133" i="6"/>
  <c r="C163" i="6"/>
  <c r="D133" i="6"/>
  <c r="I132" i="6"/>
  <c r="C162" i="6"/>
  <c r="D132" i="6"/>
  <c r="F132" i="6"/>
  <c r="E132" i="6"/>
  <c r="G132" i="6"/>
  <c r="H132" i="6"/>
  <c r="I131" i="6"/>
  <c r="E131" i="6"/>
  <c r="D131" i="6"/>
  <c r="C161" i="6"/>
  <c r="G131" i="6"/>
  <c r="H131" i="6"/>
  <c r="F131" i="6"/>
  <c r="I130" i="6"/>
  <c r="H130" i="6"/>
  <c r="D130" i="6"/>
  <c r="E130" i="6"/>
  <c r="C160" i="6"/>
  <c r="F130" i="6"/>
  <c r="G130" i="6"/>
  <c r="G129" i="6"/>
  <c r="I129" i="6"/>
  <c r="C159" i="6"/>
  <c r="E129" i="6"/>
  <c r="F129" i="6"/>
  <c r="D129" i="6"/>
  <c r="H129" i="6"/>
  <c r="C158" i="6"/>
  <c r="E128" i="6"/>
  <c r="G128" i="6"/>
  <c r="D128" i="6"/>
  <c r="H128" i="6"/>
  <c r="I128" i="6"/>
  <c r="F128" i="6"/>
  <c r="E127" i="6"/>
  <c r="H127" i="6"/>
  <c r="C157" i="6"/>
  <c r="D127" i="6"/>
  <c r="F127" i="6"/>
  <c r="G127" i="6"/>
  <c r="I127" i="6"/>
  <c r="H126" i="6"/>
  <c r="E126" i="6"/>
  <c r="I126" i="6"/>
  <c r="D126" i="6"/>
  <c r="G126" i="6"/>
  <c r="F126" i="6"/>
  <c r="C156" i="6"/>
  <c r="F125" i="6"/>
  <c r="E125" i="6"/>
  <c r="I125" i="6"/>
  <c r="G125" i="6"/>
  <c r="C155" i="6"/>
  <c r="D125" i="6"/>
  <c r="H125" i="6"/>
  <c r="E124" i="6"/>
  <c r="H124" i="6"/>
  <c r="G124" i="6"/>
  <c r="I124" i="6"/>
  <c r="F124" i="6"/>
  <c r="C154" i="6"/>
  <c r="D124" i="6"/>
  <c r="C153" i="6"/>
  <c r="H123" i="6"/>
  <c r="I123" i="6"/>
  <c r="E123" i="6"/>
  <c r="D123" i="6"/>
  <c r="G123" i="6"/>
  <c r="F123" i="6"/>
  <c r="H122" i="6"/>
  <c r="I122" i="6"/>
  <c r="E122" i="6"/>
  <c r="D122" i="6"/>
  <c r="F122" i="6"/>
  <c r="G122" i="6"/>
  <c r="C152" i="6"/>
  <c r="F121" i="6"/>
  <c r="I121" i="6"/>
  <c r="C151" i="6"/>
  <c r="D121" i="6"/>
  <c r="E121" i="6"/>
  <c r="H121" i="6"/>
  <c r="G121" i="6"/>
  <c r="I120" i="6"/>
  <c r="D120" i="6"/>
  <c r="G120" i="6"/>
  <c r="F120" i="6"/>
  <c r="C150" i="6"/>
  <c r="E120" i="6"/>
  <c r="H120" i="6"/>
  <c r="D119" i="6"/>
  <c r="H119" i="6"/>
  <c r="C149" i="6"/>
  <c r="G119" i="6"/>
  <c r="E119" i="6"/>
  <c r="I119" i="6"/>
  <c r="F119" i="6"/>
  <c r="M138" i="6" s="1"/>
  <c r="J93" i="6"/>
  <c r="N93" i="6" s="1"/>
  <c r="J111" i="6"/>
  <c r="N111" i="6" s="1"/>
  <c r="J105" i="6"/>
  <c r="N105" i="6" s="1"/>
  <c r="J88" i="6"/>
  <c r="N88" i="6" s="1"/>
  <c r="J112" i="6"/>
  <c r="N112" i="6" s="1"/>
  <c r="J104" i="6"/>
  <c r="N104" i="6" s="1"/>
  <c r="J113" i="6"/>
  <c r="N113" i="6" s="1"/>
  <c r="J106" i="6"/>
  <c r="N106" i="6" s="1"/>
  <c r="J95" i="6"/>
  <c r="N95" i="6" s="1"/>
  <c r="J109" i="6"/>
  <c r="N109" i="6" s="1"/>
  <c r="J116" i="6"/>
  <c r="N116" i="6" s="1"/>
  <c r="I118" i="6"/>
  <c r="C148" i="6"/>
  <c r="H118" i="6"/>
  <c r="E118" i="6"/>
  <c r="F118" i="6"/>
  <c r="D118" i="6"/>
  <c r="G118" i="6"/>
  <c r="L116" i="6"/>
  <c r="L112" i="6"/>
  <c r="L96" i="6"/>
  <c r="L104" i="6"/>
  <c r="L93" i="6"/>
  <c r="L100" i="6"/>
  <c r="L108" i="6"/>
  <c r="L111" i="6"/>
  <c r="L143" i="6"/>
  <c r="L115" i="6"/>
  <c r="L124" i="6"/>
  <c r="L110" i="6"/>
  <c r="L105" i="6"/>
  <c r="L123" i="6"/>
  <c r="L113" i="6"/>
  <c r="L138" i="6"/>
  <c r="L119" i="6"/>
  <c r="L141" i="6"/>
  <c r="L144" i="6"/>
  <c r="L126" i="6"/>
  <c r="L140" i="6"/>
  <c r="L121" i="6"/>
  <c r="L109" i="6"/>
  <c r="L122" i="6"/>
  <c r="L136" i="6"/>
  <c r="L125" i="6"/>
  <c r="L102" i="6"/>
  <c r="L146" i="6"/>
  <c r="L103" i="6"/>
  <c r="L95" i="6"/>
  <c r="L130" i="6"/>
  <c r="L106" i="6"/>
  <c r="L97" i="6"/>
  <c r="L101" i="6"/>
  <c r="L90" i="6"/>
  <c r="L94" i="6"/>
  <c r="L114" i="6"/>
  <c r="L98" i="6"/>
  <c r="L129" i="6"/>
  <c r="L117" i="6"/>
  <c r="L91" i="6"/>
  <c r="L89" i="6"/>
  <c r="L118" i="6"/>
  <c r="L88" i="6"/>
  <c r="L107" i="6"/>
  <c r="L92" i="6"/>
  <c r="L131" i="6"/>
  <c r="L134" i="6"/>
  <c r="K115" i="6"/>
  <c r="K128" i="6"/>
  <c r="K117" i="6"/>
  <c r="K127" i="6"/>
  <c r="K124" i="6"/>
  <c r="K145" i="6"/>
  <c r="K123" i="6"/>
  <c r="K113" i="6"/>
  <c r="K132" i="6"/>
  <c r="K101" i="6"/>
  <c r="K146" i="6"/>
  <c r="K121" i="6"/>
  <c r="K118" i="6"/>
  <c r="K109" i="6"/>
  <c r="K106" i="6"/>
  <c r="K99" i="6"/>
  <c r="K108" i="6"/>
  <c r="K88" i="6"/>
  <c r="K116" i="6"/>
  <c r="K111" i="6"/>
  <c r="K94" i="6"/>
  <c r="K140" i="6"/>
  <c r="K98" i="6"/>
  <c r="K104" i="6"/>
  <c r="K107" i="6"/>
  <c r="K120" i="6"/>
  <c r="K91" i="6"/>
  <c r="K103" i="6"/>
  <c r="K89" i="6"/>
  <c r="K96" i="6"/>
  <c r="K95" i="6"/>
  <c r="K105" i="6"/>
  <c r="K144" i="6"/>
  <c r="K93" i="6"/>
  <c r="K97" i="6"/>
  <c r="K110" i="6"/>
  <c r="K139" i="6"/>
  <c r="K102" i="6"/>
  <c r="K92" i="6"/>
  <c r="M93" i="6"/>
  <c r="M116" i="6"/>
  <c r="M97" i="6"/>
  <c r="M107" i="6"/>
  <c r="M113" i="6"/>
  <c r="M102" i="6"/>
  <c r="M117" i="6"/>
  <c r="M136" i="6"/>
  <c r="M119" i="6"/>
  <c r="M131" i="6"/>
  <c r="M91" i="6"/>
  <c r="M105" i="6"/>
  <c r="M98" i="6"/>
  <c r="M90" i="6"/>
  <c r="M115" i="6"/>
  <c r="M109" i="6"/>
  <c r="M108" i="6"/>
  <c r="M99" i="6"/>
  <c r="M104" i="6"/>
  <c r="M122" i="6"/>
  <c r="M126" i="6"/>
  <c r="M92" i="6"/>
  <c r="M100" i="6"/>
  <c r="M88" i="6"/>
  <c r="M127" i="6"/>
  <c r="M132" i="6"/>
  <c r="M130" i="6"/>
  <c r="M118" i="6"/>
  <c r="M106" i="6"/>
  <c r="M94" i="6"/>
  <c r="M101" i="6"/>
  <c r="M114" i="6"/>
  <c r="M133" i="6"/>
  <c r="M144" i="6"/>
  <c r="M95" i="6"/>
  <c r="M145" i="6"/>
  <c r="M112" i="6"/>
  <c r="M125" i="6"/>
  <c r="M123" i="6"/>
  <c r="M121" i="6"/>
  <c r="M111" i="6"/>
  <c r="M147" i="6"/>
  <c r="M120" i="6"/>
  <c r="M134" i="6"/>
  <c r="M103" i="6"/>
  <c r="C239" i="3"/>
  <c r="D36" i="3"/>
  <c r="G216" i="3"/>
  <c r="G215" i="3"/>
  <c r="K264" i="7"/>
  <c r="AD264" i="7" s="1"/>
  <c r="R264" i="7" s="1"/>
  <c r="K20" i="7"/>
  <c r="AD20" i="7" s="1"/>
  <c r="R20" i="7" s="1"/>
  <c r="K266" i="7"/>
  <c r="AD266" i="7" s="1"/>
  <c r="R266" i="7" s="1"/>
  <c r="O228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W211" i="3"/>
  <c r="AA212" i="3"/>
  <c r="AD212" i="3" s="1"/>
  <c r="AA213" i="3"/>
  <c r="AA214" i="3"/>
  <c r="AA215" i="3"/>
  <c r="C37" i="3"/>
  <c r="M240" i="3"/>
  <c r="G15" i="3"/>
  <c r="F218" i="3"/>
  <c r="G14" i="3"/>
  <c r="F217" i="3"/>
  <c r="U64" i="3"/>
  <c r="E62" i="3"/>
  <c r="X19" i="7"/>
  <c r="AI19" i="7"/>
  <c r="D162" i="7"/>
  <c r="D265" i="7"/>
  <c r="D157" i="7"/>
  <c r="X14" i="7"/>
  <c r="AI14" i="7"/>
  <c r="AB20" i="3"/>
  <c r="AB19" i="3"/>
  <c r="AB21" i="3"/>
  <c r="D260" i="7"/>
  <c r="X155" i="7"/>
  <c r="AI155" i="7"/>
  <c r="N147" i="7"/>
  <c r="AB23" i="3"/>
  <c r="AB22" i="3"/>
  <c r="AB24" i="3"/>
  <c r="AD9" i="3"/>
  <c r="S147" i="7"/>
  <c r="AI254" i="7"/>
  <c r="X254" i="7"/>
  <c r="AI253" i="7"/>
  <c r="X253" i="7"/>
  <c r="E27" i="3"/>
  <c r="K22" i="7"/>
  <c r="AD22" i="7" s="1"/>
  <c r="R22" i="7" s="1"/>
  <c r="U29" i="3"/>
  <c r="D20" i="7"/>
  <c r="AA211" i="3"/>
  <c r="AD211" i="3" s="1"/>
  <c r="AD11" i="3"/>
  <c r="AD10" i="3"/>
  <c r="D275" i="7"/>
  <c r="D172" i="7"/>
  <c r="D29" i="7"/>
  <c r="D273" i="7"/>
  <c r="D27" i="7"/>
  <c r="D170" i="7"/>
  <c r="W249" i="7"/>
  <c r="N249" i="7" s="1"/>
  <c r="AH249" i="7"/>
  <c r="S249" i="7" s="1"/>
  <c r="W146" i="7"/>
  <c r="N146" i="7" s="1"/>
  <c r="AH146" i="7"/>
  <c r="S146" i="7" s="1"/>
  <c r="X156" i="7"/>
  <c r="AI156" i="7"/>
  <c r="D160" i="7"/>
  <c r="D263" i="7"/>
  <c r="X17" i="7"/>
  <c r="AI17" i="7"/>
  <c r="N250" i="7"/>
  <c r="S250" i="7"/>
  <c r="T38" i="3"/>
  <c r="J32" i="7"/>
  <c r="AC32" i="7" s="1"/>
  <c r="I278" i="7"/>
  <c r="AB278" i="7" s="1"/>
  <c r="I32" i="7"/>
  <c r="AB32" i="7" s="1"/>
  <c r="G30" i="7"/>
  <c r="Q30" i="7" s="1"/>
  <c r="R36" i="3"/>
  <c r="P30" i="7"/>
  <c r="V26" i="7"/>
  <c r="AG26" i="7"/>
  <c r="B169" i="7"/>
  <c r="Z437" i="3"/>
  <c r="B272" i="7"/>
  <c r="K25" i="7"/>
  <c r="AD25" i="7" s="1"/>
  <c r="R25" i="7" s="1"/>
  <c r="AI164" i="7"/>
  <c r="X164" i="7"/>
  <c r="X267" i="7"/>
  <c r="AI267" i="7"/>
  <c r="V25" i="7"/>
  <c r="AG25" i="7"/>
  <c r="Z436" i="3"/>
  <c r="B271" i="7"/>
  <c r="B168" i="7"/>
  <c r="W26" i="7"/>
  <c r="AH26" i="7"/>
  <c r="C272" i="7"/>
  <c r="C169" i="7"/>
  <c r="AH163" i="7"/>
  <c r="W163" i="7"/>
  <c r="W266" i="7"/>
  <c r="AH266" i="7"/>
  <c r="V24" i="7"/>
  <c r="AG24" i="7"/>
  <c r="B167" i="7"/>
  <c r="Z435" i="3"/>
  <c r="B270" i="7"/>
  <c r="AH162" i="7"/>
  <c r="W162" i="7"/>
  <c r="AH265" i="7"/>
  <c r="W265" i="7"/>
  <c r="W25" i="7"/>
  <c r="AH25" i="7"/>
  <c r="C271" i="7"/>
  <c r="C168" i="7"/>
  <c r="B166" i="7"/>
  <c r="Z31" i="3"/>
  <c r="Z29" i="3"/>
  <c r="Z30" i="3"/>
  <c r="Z28" i="3"/>
  <c r="Z434" i="3"/>
  <c r="B269" i="7"/>
  <c r="AG23" i="7"/>
  <c r="X161" i="7"/>
  <c r="AI161" i="7"/>
  <c r="AI264" i="7"/>
  <c r="X264" i="7"/>
  <c r="AH161" i="7"/>
  <c r="W161" i="7"/>
  <c r="C30" i="7"/>
  <c r="W24" i="7"/>
  <c r="AH24" i="7"/>
  <c r="C167" i="7"/>
  <c r="C270" i="7"/>
  <c r="AH264" i="7"/>
  <c r="W264" i="7"/>
  <c r="D271" i="7"/>
  <c r="D168" i="7"/>
  <c r="X25" i="7"/>
  <c r="AI25" i="7"/>
  <c r="AH263" i="7"/>
  <c r="W263" i="7"/>
  <c r="W160" i="7"/>
  <c r="AH160" i="7"/>
  <c r="W23" i="7"/>
  <c r="AH23" i="7"/>
  <c r="C166" i="7"/>
  <c r="C269" i="7"/>
  <c r="C29" i="7"/>
  <c r="X262" i="7"/>
  <c r="AI262" i="7"/>
  <c r="X159" i="7"/>
  <c r="AI159" i="7"/>
  <c r="C28" i="7"/>
  <c r="W22" i="7"/>
  <c r="AH22" i="7"/>
  <c r="C165" i="7"/>
  <c r="C268" i="7"/>
  <c r="AH159" i="7"/>
  <c r="W159" i="7"/>
  <c r="AH262" i="7"/>
  <c r="W262" i="7"/>
  <c r="X261" i="7"/>
  <c r="AI261" i="7"/>
  <c r="X166" i="7"/>
  <c r="AI166" i="7"/>
  <c r="AI269" i="7"/>
  <c r="X269" i="7"/>
  <c r="X23" i="7"/>
  <c r="AI23" i="7"/>
  <c r="W261" i="7"/>
  <c r="AH261" i="7"/>
  <c r="W21" i="7"/>
  <c r="AH21" i="7"/>
  <c r="C164" i="7"/>
  <c r="C267" i="7"/>
  <c r="AA30" i="3"/>
  <c r="AA27" i="3"/>
  <c r="AA29" i="3"/>
  <c r="AA31" i="3"/>
  <c r="AA26" i="3"/>
  <c r="AA28" i="3"/>
  <c r="C27" i="7"/>
  <c r="AJ252" i="7"/>
  <c r="S252" i="7" s="1"/>
  <c r="Y252" i="7"/>
  <c r="N252" i="7" s="1"/>
  <c r="Y8" i="7"/>
  <c r="N8" i="7" s="1"/>
  <c r="AJ8" i="7"/>
  <c r="S8" i="7" s="1"/>
  <c r="E151" i="7"/>
  <c r="E10" i="7"/>
  <c r="M10" i="7" s="1"/>
  <c r="W15" i="3"/>
  <c r="E254" i="7"/>
  <c r="Y251" i="7"/>
  <c r="N251" i="7" s="1"/>
  <c r="AJ251" i="7"/>
  <c r="S251" i="7" s="1"/>
  <c r="E150" i="7"/>
  <c r="E253" i="7"/>
  <c r="Y12" i="3"/>
  <c r="Y13" i="3"/>
  <c r="E9" i="7"/>
  <c r="M9" i="7" s="1"/>
  <c r="W14" i="3"/>
  <c r="Y7" i="7"/>
  <c r="N7" i="7" s="1"/>
  <c r="AJ7" i="7"/>
  <c r="S7" i="7" s="1"/>
  <c r="AG268" i="7"/>
  <c r="V268" i="7"/>
  <c r="AG165" i="7"/>
  <c r="V165" i="7"/>
  <c r="AG164" i="7"/>
  <c r="V164" i="7"/>
  <c r="V267" i="7"/>
  <c r="AG267" i="7"/>
  <c r="AG163" i="7"/>
  <c r="V163" i="7"/>
  <c r="AG266" i="7"/>
  <c r="V266" i="7"/>
  <c r="AG162" i="7"/>
  <c r="V162" i="7"/>
  <c r="AG265" i="7"/>
  <c r="V265" i="7"/>
  <c r="AI158" i="7"/>
  <c r="X158" i="7"/>
  <c r="AH158" i="7"/>
  <c r="W158" i="7"/>
  <c r="Y149" i="7"/>
  <c r="N149" i="7" s="1"/>
  <c r="AJ149" i="7"/>
  <c r="S149" i="7" s="1"/>
  <c r="AJ148" i="7"/>
  <c r="S148" i="7" s="1"/>
  <c r="Y148" i="7"/>
  <c r="N148" i="7" s="1"/>
  <c r="AF28" i="6"/>
  <c r="Z21" i="6"/>
  <c r="AM3" i="7" l="1"/>
  <c r="AR3" i="7"/>
  <c r="AQ18" i="7"/>
  <c r="AM5" i="7"/>
  <c r="AR4" i="7"/>
  <c r="AR6" i="7"/>
  <c r="AM6" i="7"/>
  <c r="AM4" i="7"/>
  <c r="AR5" i="7"/>
  <c r="AO29" i="7"/>
  <c r="AP30" i="7"/>
  <c r="AU163" i="10"/>
  <c r="AR161" i="10"/>
  <c r="AU133" i="10"/>
  <c r="AS183" i="10"/>
  <c r="AU175" i="10"/>
  <c r="AU141" i="10"/>
  <c r="AU199" i="10"/>
  <c r="AG150" i="10"/>
  <c r="AI150" i="10"/>
  <c r="AK150" i="10"/>
  <c r="Z150" i="10"/>
  <c r="AJ150" i="10" s="1"/>
  <c r="AT150" i="10" s="1"/>
  <c r="K150" i="10" s="1"/>
  <c r="AH74" i="10"/>
  <c r="AR74" i="10" s="1"/>
  <c r="AK74" i="10"/>
  <c r="AU74" i="10" s="1"/>
  <c r="S240" i="3"/>
  <c r="I175" i="7"/>
  <c r="AB175" i="7" s="1"/>
  <c r="AK191" i="10"/>
  <c r="AU191" i="10" s="1"/>
  <c r="AH191" i="10"/>
  <c r="AI191" i="10"/>
  <c r="AG191" i="10"/>
  <c r="Z191" i="10"/>
  <c r="AJ191" i="10" s="1"/>
  <c r="AT191" i="10" s="1"/>
  <c r="K191" i="10" s="1"/>
  <c r="AI169" i="10"/>
  <c r="AG169" i="10"/>
  <c r="AK169" i="10"/>
  <c r="AH169" i="10"/>
  <c r="Z169" i="10"/>
  <c r="AJ169" i="10" s="1"/>
  <c r="AT169" i="10" s="1"/>
  <c r="K169" i="10" s="1"/>
  <c r="AK149" i="10"/>
  <c r="AU149" i="10" s="1"/>
  <c r="AI149" i="10"/>
  <c r="AS149" i="10" s="1"/>
  <c r="AH149" i="10"/>
  <c r="AR149" i="10" s="1"/>
  <c r="Z149" i="10"/>
  <c r="AJ149" i="10" s="1"/>
  <c r="AT149" i="10" s="1"/>
  <c r="K149" i="10" s="1"/>
  <c r="AG148" i="10"/>
  <c r="AI148" i="10"/>
  <c r="Z148" i="10"/>
  <c r="AJ148" i="10" s="1"/>
  <c r="AT148" i="10" s="1"/>
  <c r="K148" i="10" s="1"/>
  <c r="AK148" i="10"/>
  <c r="AH148" i="10"/>
  <c r="AI137" i="10"/>
  <c r="AK137" i="10"/>
  <c r="AU137" i="10" s="1"/>
  <c r="AG137" i="10"/>
  <c r="AH137" i="10"/>
  <c r="Z137" i="10"/>
  <c r="AJ137" i="10" s="1"/>
  <c r="AT137" i="10" s="1"/>
  <c r="K137" i="10" s="1"/>
  <c r="AS133" i="10"/>
  <c r="AS169" i="10"/>
  <c r="AI189" i="10"/>
  <c r="AH189" i="10"/>
  <c r="Z189" i="10"/>
  <c r="AJ189" i="10" s="1"/>
  <c r="AT189" i="10" s="1"/>
  <c r="K189" i="10" s="1"/>
  <c r="AK189" i="10"/>
  <c r="AG189" i="10"/>
  <c r="AI179" i="10"/>
  <c r="AS179" i="10" s="1"/>
  <c r="Z179" i="10"/>
  <c r="AJ179" i="10" s="1"/>
  <c r="AT179" i="10" s="1"/>
  <c r="K179" i="10" s="1"/>
  <c r="AH179" i="10"/>
  <c r="AG179" i="10"/>
  <c r="AI147" i="10"/>
  <c r="AK147" i="10"/>
  <c r="AG147" i="10"/>
  <c r="AH147" i="10"/>
  <c r="Z147" i="10"/>
  <c r="AJ147" i="10" s="1"/>
  <c r="AT147" i="10" s="1"/>
  <c r="K147" i="10" s="1"/>
  <c r="AI138" i="10"/>
  <c r="AS138" i="10" s="1"/>
  <c r="AH138" i="10"/>
  <c r="Z138" i="10"/>
  <c r="AJ138" i="10" s="1"/>
  <c r="AT138" i="10" s="1"/>
  <c r="K138" i="10" s="1"/>
  <c r="AK138" i="10"/>
  <c r="AU138" i="10" s="1"/>
  <c r="AG138" i="10"/>
  <c r="Z129" i="10"/>
  <c r="AJ129" i="10" s="1"/>
  <c r="AT129" i="10" s="1"/>
  <c r="K129" i="10" s="1"/>
  <c r="AG129" i="10"/>
  <c r="AU195" i="10"/>
  <c r="AU174" i="10"/>
  <c r="AU147" i="10"/>
  <c r="AS137" i="10"/>
  <c r="Z157" i="10"/>
  <c r="AJ157" i="10" s="1"/>
  <c r="AT157" i="10" s="1"/>
  <c r="K157" i="10" s="1"/>
  <c r="AG157" i="10"/>
  <c r="AQ157" i="10" s="1"/>
  <c r="AH157" i="10"/>
  <c r="AR157" i="10" s="1"/>
  <c r="AI157" i="10"/>
  <c r="AS157" i="10" s="1"/>
  <c r="AK157" i="10"/>
  <c r="AU157" i="10" s="1"/>
  <c r="AG127" i="10"/>
  <c r="AK127" i="10"/>
  <c r="AU127" i="10" s="1"/>
  <c r="AH127" i="10"/>
  <c r="AR127" i="10" s="1"/>
  <c r="Z127" i="10"/>
  <c r="AJ127" i="10" s="1"/>
  <c r="AT127" i="10" s="1"/>
  <c r="K127" i="10" s="1"/>
  <c r="AI127" i="10"/>
  <c r="AK126" i="10"/>
  <c r="AU126" i="10" s="1"/>
  <c r="AH126" i="10"/>
  <c r="AR126" i="10" s="1"/>
  <c r="AG126" i="10"/>
  <c r="AQ126" i="10" s="1"/>
  <c r="Z126" i="10"/>
  <c r="AJ126" i="10" s="1"/>
  <c r="AT126" i="10" s="1"/>
  <c r="K126" i="10" s="1"/>
  <c r="AI126" i="10"/>
  <c r="AS126" i="10" s="1"/>
  <c r="AK125" i="10"/>
  <c r="AU125" i="10" s="1"/>
  <c r="AI125" i="10"/>
  <c r="AS125" i="10" s="1"/>
  <c r="AH125" i="10"/>
  <c r="AR125" i="10" s="1"/>
  <c r="AG93" i="10"/>
  <c r="AQ93" i="10" s="1"/>
  <c r="AK93" i="10"/>
  <c r="AU93" i="10" s="1"/>
  <c r="AI93" i="10"/>
  <c r="AS93" i="10" s="1"/>
  <c r="AH93" i="10"/>
  <c r="AR93" i="10" s="1"/>
  <c r="Z93" i="10"/>
  <c r="AJ93" i="10" s="1"/>
  <c r="AT93" i="10" s="1"/>
  <c r="K93" i="10" s="1"/>
  <c r="AG115" i="10"/>
  <c r="AQ115" i="10" s="1"/>
  <c r="AH115" i="10"/>
  <c r="AR115" i="10" s="1"/>
  <c r="AI115" i="10"/>
  <c r="AS115" i="10" s="1"/>
  <c r="AK115" i="10"/>
  <c r="AU115" i="10" s="1"/>
  <c r="Z115" i="10"/>
  <c r="AJ115" i="10" s="1"/>
  <c r="AT115" i="10" s="1"/>
  <c r="K115" i="10" s="1"/>
  <c r="AG114" i="10"/>
  <c r="AQ114" i="10" s="1"/>
  <c r="AH114" i="10"/>
  <c r="AR114" i="10" s="1"/>
  <c r="AK114" i="10"/>
  <c r="AU114" i="10" s="1"/>
  <c r="Z114" i="10"/>
  <c r="AJ114" i="10" s="1"/>
  <c r="AT114" i="10" s="1"/>
  <c r="K114" i="10" s="1"/>
  <c r="AI114" i="10"/>
  <c r="AS114" i="10" s="1"/>
  <c r="Z108" i="10"/>
  <c r="AJ108" i="10" s="1"/>
  <c r="AT108" i="10" s="1"/>
  <c r="K108" i="10" s="1"/>
  <c r="AI108" i="10"/>
  <c r="AS108" i="10" s="1"/>
  <c r="AG108" i="10"/>
  <c r="AQ108" i="10" s="1"/>
  <c r="AH108" i="10"/>
  <c r="AR108" i="10" s="1"/>
  <c r="AK108" i="10"/>
  <c r="AU108" i="10" s="1"/>
  <c r="Z119" i="10"/>
  <c r="AJ119" i="10" s="1"/>
  <c r="AT119" i="10" s="1"/>
  <c r="K119" i="10" s="1"/>
  <c r="AK119" i="10"/>
  <c r="AU119" i="10" s="1"/>
  <c r="AI119" i="10"/>
  <c r="AS119" i="10" s="1"/>
  <c r="AG119" i="10"/>
  <c r="AQ119" i="10" s="1"/>
  <c r="AH119" i="10"/>
  <c r="AR119" i="10" s="1"/>
  <c r="AH118" i="10"/>
  <c r="AR118" i="10" s="1"/>
  <c r="AG118" i="10"/>
  <c r="AQ118" i="10" s="1"/>
  <c r="Z118" i="10"/>
  <c r="AJ118" i="10" s="1"/>
  <c r="AT118" i="10" s="1"/>
  <c r="K118" i="10" s="1"/>
  <c r="AK118" i="10"/>
  <c r="AU118" i="10" s="1"/>
  <c r="AI118" i="10"/>
  <c r="AS118" i="10" s="1"/>
  <c r="AI117" i="10"/>
  <c r="AS117" i="10" s="1"/>
  <c r="AG117" i="10"/>
  <c r="AQ117" i="10" s="1"/>
  <c r="Z117" i="10"/>
  <c r="AJ117" i="10" s="1"/>
  <c r="AT117" i="10" s="1"/>
  <c r="K117" i="10" s="1"/>
  <c r="AK117" i="10"/>
  <c r="AU117" i="10" s="1"/>
  <c r="AH117" i="10"/>
  <c r="AR117" i="10" s="1"/>
  <c r="Z116" i="10"/>
  <c r="AJ116" i="10" s="1"/>
  <c r="AT116" i="10" s="1"/>
  <c r="K116" i="10" s="1"/>
  <c r="AH116" i="10"/>
  <c r="AR116" i="10" s="1"/>
  <c r="AK116" i="10"/>
  <c r="AU116" i="10" s="1"/>
  <c r="AI116" i="10"/>
  <c r="AS116" i="10" s="1"/>
  <c r="AG116" i="10"/>
  <c r="AQ116" i="10" s="1"/>
  <c r="AK112" i="10"/>
  <c r="AU112" i="10" s="1"/>
  <c r="AI112" i="10"/>
  <c r="AS112" i="10" s="1"/>
  <c r="AG112" i="10"/>
  <c r="AQ112" i="10" s="1"/>
  <c r="AH112" i="10"/>
  <c r="AR112" i="10" s="1"/>
  <c r="Z112" i="10"/>
  <c r="AJ112" i="10" s="1"/>
  <c r="AT112" i="10" s="1"/>
  <c r="K112" i="10" s="1"/>
  <c r="Z111" i="10"/>
  <c r="AJ111" i="10" s="1"/>
  <c r="AT111" i="10" s="1"/>
  <c r="K111" i="10" s="1"/>
  <c r="AH111" i="10"/>
  <c r="AR111" i="10" s="1"/>
  <c r="AI111" i="10"/>
  <c r="AS111" i="10" s="1"/>
  <c r="AK111" i="10"/>
  <c r="AU111" i="10" s="1"/>
  <c r="AG111" i="10"/>
  <c r="AQ111" i="10" s="1"/>
  <c r="Z110" i="10"/>
  <c r="AJ110" i="10" s="1"/>
  <c r="AT110" i="10" s="1"/>
  <c r="K110" i="10" s="1"/>
  <c r="AI110" i="10"/>
  <c r="AS110" i="10" s="1"/>
  <c r="AG110" i="10"/>
  <c r="AQ110" i="10" s="1"/>
  <c r="AK110" i="10"/>
  <c r="AU110" i="10" s="1"/>
  <c r="AH110" i="10"/>
  <c r="AR110" i="10" s="1"/>
  <c r="AK109" i="10"/>
  <c r="AU109" i="10" s="1"/>
  <c r="AG109" i="10"/>
  <c r="AQ109" i="10" s="1"/>
  <c r="AH109" i="10"/>
  <c r="AR109" i="10" s="1"/>
  <c r="Z109" i="10"/>
  <c r="AJ109" i="10" s="1"/>
  <c r="AT109" i="10" s="1"/>
  <c r="K109" i="10" s="1"/>
  <c r="AI109" i="10"/>
  <c r="AS109" i="10" s="1"/>
  <c r="AI113" i="10"/>
  <c r="AS113" i="10" s="1"/>
  <c r="Z113" i="10"/>
  <c r="AJ113" i="10" s="1"/>
  <c r="AT113" i="10" s="1"/>
  <c r="K113" i="10" s="1"/>
  <c r="AH113" i="10"/>
  <c r="AR113" i="10" s="1"/>
  <c r="AK113" i="10"/>
  <c r="AU113" i="10" s="1"/>
  <c r="AG113" i="10"/>
  <c r="AQ113" i="10" s="1"/>
  <c r="AU189" i="10"/>
  <c r="AS172" i="10"/>
  <c r="AU169" i="10"/>
  <c r="AU178" i="10"/>
  <c r="AS156" i="10"/>
  <c r="AU103" i="10"/>
  <c r="AS202" i="10"/>
  <c r="AI198" i="10"/>
  <c r="AS198" i="10" s="1"/>
  <c r="AK198" i="10"/>
  <c r="AU198" i="10" s="1"/>
  <c r="AH198" i="10"/>
  <c r="AR198" i="10" s="1"/>
  <c r="Z198" i="10"/>
  <c r="AJ198" i="10" s="1"/>
  <c r="AT198" i="10" s="1"/>
  <c r="K198" i="10" s="1"/>
  <c r="AK197" i="10"/>
  <c r="AU197" i="10" s="1"/>
  <c r="AH197" i="10"/>
  <c r="AR197" i="10" s="1"/>
  <c r="Z197" i="10"/>
  <c r="AJ197" i="10" s="1"/>
  <c r="AT197" i="10" s="1"/>
  <c r="K197" i="10" s="1"/>
  <c r="AI197" i="10"/>
  <c r="AS197" i="10" s="1"/>
  <c r="AG197" i="10"/>
  <c r="AQ197" i="10" s="1"/>
  <c r="AH156" i="10"/>
  <c r="AR156" i="10" s="1"/>
  <c r="AK156" i="10"/>
  <c r="AU156" i="10" s="1"/>
  <c r="AG156" i="10"/>
  <c r="AQ156" i="10" s="1"/>
  <c r="Z156" i="10"/>
  <c r="AJ156" i="10" s="1"/>
  <c r="AT156" i="10" s="1"/>
  <c r="K156" i="10" s="1"/>
  <c r="AK155" i="10"/>
  <c r="AU155" i="10" s="1"/>
  <c r="Z155" i="10"/>
  <c r="AJ155" i="10" s="1"/>
  <c r="AT155" i="10" s="1"/>
  <c r="K155" i="10" s="1"/>
  <c r="AI155" i="10"/>
  <c r="AS155" i="10" s="1"/>
  <c r="AH155" i="10"/>
  <c r="AR155" i="10" s="1"/>
  <c r="AG155" i="10"/>
  <c r="AQ155" i="10" s="1"/>
  <c r="AI154" i="10"/>
  <c r="AS154" i="10" s="1"/>
  <c r="Z154" i="10"/>
  <c r="AJ154" i="10" s="1"/>
  <c r="AT154" i="10" s="1"/>
  <c r="K154" i="10" s="1"/>
  <c r="AG154" i="10"/>
  <c r="AQ154" i="10" s="1"/>
  <c r="AK154" i="10"/>
  <c r="AU154" i="10" s="1"/>
  <c r="AH154" i="10"/>
  <c r="AR154" i="10" s="1"/>
  <c r="AG125" i="10"/>
  <c r="AQ125" i="10" s="1"/>
  <c r="Z125" i="10"/>
  <c r="AJ125" i="10" s="1"/>
  <c r="AT125" i="10" s="1"/>
  <c r="K125" i="10" s="1"/>
  <c r="AK72" i="10"/>
  <c r="AU72" i="10" s="1"/>
  <c r="AG72" i="10"/>
  <c r="AQ72" i="10" s="1"/>
  <c r="Z72" i="10"/>
  <c r="AJ72" i="10" s="1"/>
  <c r="AT72" i="10" s="1"/>
  <c r="AI72" i="10"/>
  <c r="AS72" i="10" s="1"/>
  <c r="AK69" i="10"/>
  <c r="AU69" i="10" s="1"/>
  <c r="Z69" i="10"/>
  <c r="AJ69" i="10" s="1"/>
  <c r="AT69" i="10" s="1"/>
  <c r="K69" i="10" s="1"/>
  <c r="AH69" i="10"/>
  <c r="AR69" i="10" s="1"/>
  <c r="AI69" i="10"/>
  <c r="AS69" i="10" s="1"/>
  <c r="AG69" i="10"/>
  <c r="AQ69" i="10" s="1"/>
  <c r="Z66" i="10"/>
  <c r="AJ66" i="10" s="1"/>
  <c r="AT66" i="10" s="1"/>
  <c r="K66" i="10" s="1"/>
  <c r="AH66" i="10"/>
  <c r="AR66" i="10" s="1"/>
  <c r="AG66" i="10"/>
  <c r="AQ66" i="10" s="1"/>
  <c r="AI66" i="10"/>
  <c r="AS66" i="10" s="1"/>
  <c r="AK66" i="10"/>
  <c r="AU66" i="10" s="1"/>
  <c r="AK63" i="10"/>
  <c r="AU63" i="10" s="1"/>
  <c r="AI63" i="10"/>
  <c r="AS63" i="10" s="1"/>
  <c r="Z63" i="10"/>
  <c r="AJ63" i="10" s="1"/>
  <c r="AT63" i="10" s="1"/>
  <c r="AH63" i="10"/>
  <c r="AR63" i="10" s="1"/>
  <c r="AG63" i="10"/>
  <c r="AQ63" i="10" s="1"/>
  <c r="AK59" i="10"/>
  <c r="AU59" i="10" s="1"/>
  <c r="AH59" i="10"/>
  <c r="AR59" i="10" s="1"/>
  <c r="Z59" i="10"/>
  <c r="AJ59" i="10" s="1"/>
  <c r="AT59" i="10" s="1"/>
  <c r="AI59" i="10"/>
  <c r="AS59" i="10" s="1"/>
  <c r="AG59" i="10"/>
  <c r="AQ59" i="10" s="1"/>
  <c r="AG56" i="10"/>
  <c r="AQ56" i="10" s="1"/>
  <c r="AI56" i="10"/>
  <c r="AS56" i="10" s="1"/>
  <c r="AK56" i="10"/>
  <c r="AU56" i="10" s="1"/>
  <c r="AH56" i="10"/>
  <c r="AR56" i="10" s="1"/>
  <c r="Z56" i="10"/>
  <c r="AJ56" i="10" s="1"/>
  <c r="AT56" i="10" s="1"/>
  <c r="K56" i="10" s="1"/>
  <c r="AI53" i="10"/>
  <c r="AS53" i="10" s="1"/>
  <c r="AK53" i="10"/>
  <c r="AU53" i="10" s="1"/>
  <c r="AG53" i="10"/>
  <c r="AQ53" i="10" s="1"/>
  <c r="AH53" i="10"/>
  <c r="AR53" i="10" s="1"/>
  <c r="Z53" i="10"/>
  <c r="AJ53" i="10" s="1"/>
  <c r="AT53" i="10" s="1"/>
  <c r="K53" i="10" s="1"/>
  <c r="AH50" i="10"/>
  <c r="AR50" i="10" s="1"/>
  <c r="AK50" i="10"/>
  <c r="AU50" i="10" s="1"/>
  <c r="Z50" i="10"/>
  <c r="AJ50" i="10" s="1"/>
  <c r="AT50" i="10" s="1"/>
  <c r="AI50" i="10"/>
  <c r="AS50" i="10" s="1"/>
  <c r="AG50" i="10"/>
  <c r="AQ50" i="10" s="1"/>
  <c r="Z47" i="10"/>
  <c r="AJ47" i="10" s="1"/>
  <c r="AT47" i="10" s="1"/>
  <c r="K47" i="10" s="1"/>
  <c r="AI47" i="10"/>
  <c r="AS47" i="10" s="1"/>
  <c r="AK47" i="10"/>
  <c r="AU47" i="10" s="1"/>
  <c r="AH47" i="10"/>
  <c r="AR47" i="10" s="1"/>
  <c r="AG47" i="10"/>
  <c r="AQ47" i="10" s="1"/>
  <c r="AH44" i="10"/>
  <c r="AR44" i="10" s="1"/>
  <c r="Z44" i="10"/>
  <c r="AJ44" i="10" s="1"/>
  <c r="AT44" i="10" s="1"/>
  <c r="K44" i="10" s="1"/>
  <c r="AG44" i="10"/>
  <c r="AQ44" i="10" s="1"/>
  <c r="AI44" i="10"/>
  <c r="AS44" i="10" s="1"/>
  <c r="AK44" i="10"/>
  <c r="AU44" i="10" s="1"/>
  <c r="AH41" i="10"/>
  <c r="AR41" i="10" s="1"/>
  <c r="AG41" i="10"/>
  <c r="AQ41" i="10" s="1"/>
  <c r="AI41" i="10"/>
  <c r="AS41" i="10" s="1"/>
  <c r="AK41" i="10"/>
  <c r="AU41" i="10" s="1"/>
  <c r="Z41" i="10"/>
  <c r="AJ41" i="10" s="1"/>
  <c r="AT41" i="10" s="1"/>
  <c r="Z38" i="10"/>
  <c r="AJ38" i="10" s="1"/>
  <c r="AT38" i="10" s="1"/>
  <c r="K38" i="10" s="1"/>
  <c r="AG38" i="10"/>
  <c r="AQ38" i="10" s="1"/>
  <c r="AI38" i="10"/>
  <c r="AS38" i="10" s="1"/>
  <c r="AH38" i="10"/>
  <c r="AR38" i="10" s="1"/>
  <c r="AK38" i="10"/>
  <c r="AU38" i="10" s="1"/>
  <c r="AI36" i="10"/>
  <c r="AS36" i="10" s="1"/>
  <c r="AH36" i="10"/>
  <c r="AR36" i="10" s="1"/>
  <c r="AK36" i="10"/>
  <c r="AU36" i="10" s="1"/>
  <c r="AG36" i="10"/>
  <c r="AQ36" i="10" s="1"/>
  <c r="Z36" i="10"/>
  <c r="AJ36" i="10" s="1"/>
  <c r="AT36" i="10" s="1"/>
  <c r="K36" i="10" s="1"/>
  <c r="Z33" i="10"/>
  <c r="AJ33" i="10" s="1"/>
  <c r="AT33" i="10" s="1"/>
  <c r="K33" i="10" s="1"/>
  <c r="AH33" i="10"/>
  <c r="AR33" i="10" s="1"/>
  <c r="AK33" i="10"/>
  <c r="AU33" i="10" s="1"/>
  <c r="AI33" i="10"/>
  <c r="AS33" i="10" s="1"/>
  <c r="AG33" i="10"/>
  <c r="AQ33" i="10" s="1"/>
  <c r="AG30" i="10"/>
  <c r="AQ30" i="10" s="1"/>
  <c r="AI30" i="10"/>
  <c r="AS30" i="10" s="1"/>
  <c r="AH30" i="10"/>
  <c r="AR30" i="10" s="1"/>
  <c r="Z30" i="10"/>
  <c r="AJ30" i="10" s="1"/>
  <c r="AT30" i="10" s="1"/>
  <c r="K30" i="10" s="1"/>
  <c r="AK30" i="10"/>
  <c r="AU30" i="10" s="1"/>
  <c r="AG28" i="10"/>
  <c r="AQ28" i="10" s="1"/>
  <c r="AH28" i="10"/>
  <c r="AR28" i="10" s="1"/>
  <c r="Z28" i="10"/>
  <c r="AJ28" i="10" s="1"/>
  <c r="AT28" i="10" s="1"/>
  <c r="AI28" i="10"/>
  <c r="AS28" i="10" s="1"/>
  <c r="AK28" i="10"/>
  <c r="AU28" i="10" s="1"/>
  <c r="AI25" i="10"/>
  <c r="AS25" i="10" s="1"/>
  <c r="AH25" i="10"/>
  <c r="AR25" i="10" s="1"/>
  <c r="Z25" i="10"/>
  <c r="AJ25" i="10" s="1"/>
  <c r="AT25" i="10" s="1"/>
  <c r="AG25" i="10"/>
  <c r="AQ25" i="10" s="1"/>
  <c r="AK25" i="10"/>
  <c r="AU25" i="10" s="1"/>
  <c r="AG22" i="10"/>
  <c r="AQ22" i="10" s="1"/>
  <c r="AH22" i="10"/>
  <c r="AR22" i="10" s="1"/>
  <c r="Z22" i="10"/>
  <c r="AJ22" i="10" s="1"/>
  <c r="AT22" i="10" s="1"/>
  <c r="AI22" i="10"/>
  <c r="AS22" i="10" s="1"/>
  <c r="AK22" i="10"/>
  <c r="AU22" i="10" s="1"/>
  <c r="Z19" i="10"/>
  <c r="AJ19" i="10" s="1"/>
  <c r="AT19" i="10" s="1"/>
  <c r="K19" i="10" s="1"/>
  <c r="AH19" i="10"/>
  <c r="AR19" i="10" s="1"/>
  <c r="AG19" i="10"/>
  <c r="AQ19" i="10" s="1"/>
  <c r="AK19" i="10"/>
  <c r="AU19" i="10" s="1"/>
  <c r="AI19" i="10"/>
  <c r="AS19" i="10" s="1"/>
  <c r="AG16" i="10"/>
  <c r="AQ16" i="10" s="1"/>
  <c r="AI16" i="10"/>
  <c r="AS16" i="10" s="1"/>
  <c r="AK16" i="10"/>
  <c r="AU16" i="10" s="1"/>
  <c r="Z16" i="10"/>
  <c r="AJ16" i="10" s="1"/>
  <c r="AT16" i="10" s="1"/>
  <c r="K16" i="10" s="1"/>
  <c r="AH16" i="10"/>
  <c r="AR16" i="10" s="1"/>
  <c r="AI13" i="10"/>
  <c r="AS13" i="10" s="1"/>
  <c r="AK13" i="10"/>
  <c r="AU13" i="10" s="1"/>
  <c r="Z13" i="10"/>
  <c r="AJ13" i="10" s="1"/>
  <c r="AT13" i="10" s="1"/>
  <c r="K13" i="10" s="1"/>
  <c r="AG13" i="10"/>
  <c r="AQ13" i="10" s="1"/>
  <c r="AH13" i="10"/>
  <c r="AR13" i="10" s="1"/>
  <c r="Z99" i="10"/>
  <c r="AJ99" i="10" s="1"/>
  <c r="AT99" i="10" s="1"/>
  <c r="K99" i="10" s="1"/>
  <c r="AG99" i="10"/>
  <c r="AQ99" i="10" s="1"/>
  <c r="AK99" i="10"/>
  <c r="AU99" i="10" s="1"/>
  <c r="AH99" i="10"/>
  <c r="AR99" i="10" s="1"/>
  <c r="AI99" i="10"/>
  <c r="AS99" i="10" s="1"/>
  <c r="AH94" i="10"/>
  <c r="AR94" i="10" s="1"/>
  <c r="AG94" i="10"/>
  <c r="AQ94" i="10" s="1"/>
  <c r="AI94" i="10"/>
  <c r="AS94" i="10" s="1"/>
  <c r="Z94" i="10"/>
  <c r="AJ94" i="10" s="1"/>
  <c r="AT94" i="10" s="1"/>
  <c r="AK94" i="10"/>
  <c r="AU94" i="10" s="1"/>
  <c r="AH87" i="10"/>
  <c r="AR87" i="10" s="1"/>
  <c r="AI87" i="10"/>
  <c r="AS87" i="10" s="1"/>
  <c r="AK87" i="10"/>
  <c r="AU87" i="10" s="1"/>
  <c r="AG87" i="10"/>
  <c r="AQ87" i="10" s="1"/>
  <c r="Z87" i="10"/>
  <c r="AJ87" i="10" s="1"/>
  <c r="AT87" i="10" s="1"/>
  <c r="K87" i="10" s="1"/>
  <c r="AK82" i="10"/>
  <c r="AU82" i="10" s="1"/>
  <c r="AG82" i="10"/>
  <c r="AQ82" i="10" s="1"/>
  <c r="Z82" i="10"/>
  <c r="AJ82" i="10" s="1"/>
  <c r="AT82" i="10" s="1"/>
  <c r="K82" i="10" s="1"/>
  <c r="AH82" i="10"/>
  <c r="AR82" i="10" s="1"/>
  <c r="AI82" i="10"/>
  <c r="AS82" i="10" s="1"/>
  <c r="AG79" i="10"/>
  <c r="AQ79" i="10" s="1"/>
  <c r="Z79" i="10"/>
  <c r="AJ79" i="10" s="1"/>
  <c r="AT79" i="10" s="1"/>
  <c r="K79" i="10" s="1"/>
  <c r="AH79" i="10"/>
  <c r="AR79" i="10" s="1"/>
  <c r="AI79" i="10"/>
  <c r="AS79" i="10" s="1"/>
  <c r="AK79" i="10"/>
  <c r="AU79" i="10" s="1"/>
  <c r="AI77" i="10"/>
  <c r="AS77" i="10" s="1"/>
  <c r="AG77" i="10"/>
  <c r="AQ77" i="10" s="1"/>
  <c r="AH77" i="10"/>
  <c r="AR77" i="10" s="1"/>
  <c r="Z77" i="10"/>
  <c r="AJ77" i="10" s="1"/>
  <c r="AT77" i="10" s="1"/>
  <c r="K77" i="10" s="1"/>
  <c r="AK77" i="10"/>
  <c r="AU77" i="10" s="1"/>
  <c r="AI75" i="10"/>
  <c r="AS75" i="10" s="1"/>
  <c r="AH75" i="10"/>
  <c r="AR75" i="10" s="1"/>
  <c r="AG75" i="10"/>
  <c r="AQ75" i="10" s="1"/>
  <c r="Z75" i="10"/>
  <c r="AJ75" i="10" s="1"/>
  <c r="AT75" i="10" s="1"/>
  <c r="K75" i="10" s="1"/>
  <c r="AK75" i="10"/>
  <c r="AU75" i="10" s="1"/>
  <c r="AI73" i="10"/>
  <c r="AS73" i="10" s="1"/>
  <c r="AH73" i="10"/>
  <c r="AR73" i="10" s="1"/>
  <c r="Z73" i="10"/>
  <c r="AJ73" i="10" s="1"/>
  <c r="AT73" i="10" s="1"/>
  <c r="K73" i="10" s="1"/>
  <c r="AG73" i="10"/>
  <c r="AQ73" i="10" s="1"/>
  <c r="AK73" i="10"/>
  <c r="AU73" i="10" s="1"/>
  <c r="AG71" i="10"/>
  <c r="AQ71" i="10" s="1"/>
  <c r="AI71" i="10"/>
  <c r="AS71" i="10" s="1"/>
  <c r="AH71" i="10"/>
  <c r="AR71" i="10" s="1"/>
  <c r="Z71" i="10"/>
  <c r="AJ71" i="10" s="1"/>
  <c r="AT71" i="10" s="1"/>
  <c r="K71" i="10" s="1"/>
  <c r="AK71" i="10"/>
  <c r="AU71" i="10" s="1"/>
  <c r="AI68" i="10"/>
  <c r="AS68" i="10" s="1"/>
  <c r="AH68" i="10"/>
  <c r="AR68" i="10" s="1"/>
  <c r="Z68" i="10"/>
  <c r="AJ68" i="10" s="1"/>
  <c r="AT68" i="10" s="1"/>
  <c r="AG68" i="10"/>
  <c r="AQ68" i="10" s="1"/>
  <c r="AK68" i="10"/>
  <c r="AU68" i="10" s="1"/>
  <c r="AI65" i="10"/>
  <c r="AS65" i="10" s="1"/>
  <c r="AG65" i="10"/>
  <c r="AQ65" i="10" s="1"/>
  <c r="AH65" i="10"/>
  <c r="AR65" i="10" s="1"/>
  <c r="Z65" i="10"/>
  <c r="AJ65" i="10" s="1"/>
  <c r="AT65" i="10" s="1"/>
  <c r="K65" i="10" s="1"/>
  <c r="AK65" i="10"/>
  <c r="AU65" i="10" s="1"/>
  <c r="AH62" i="10"/>
  <c r="AR62" i="10" s="1"/>
  <c r="AG62" i="10"/>
  <c r="AQ62" i="10" s="1"/>
  <c r="AI62" i="10"/>
  <c r="AS62" i="10" s="1"/>
  <c r="Z62" i="10"/>
  <c r="AJ62" i="10" s="1"/>
  <c r="AT62" i="10" s="1"/>
  <c r="K62" i="10" s="1"/>
  <c r="AK62" i="10"/>
  <c r="AU62" i="10" s="1"/>
  <c r="Z58" i="10"/>
  <c r="AJ58" i="10" s="1"/>
  <c r="AT58" i="10" s="1"/>
  <c r="K58" i="10" s="1"/>
  <c r="AK58" i="10"/>
  <c r="AU58" i="10" s="1"/>
  <c r="AH58" i="10"/>
  <c r="AR58" i="10" s="1"/>
  <c r="AI58" i="10"/>
  <c r="AS58" i="10" s="1"/>
  <c r="AG58" i="10"/>
  <c r="AQ58" i="10" s="1"/>
  <c r="AI55" i="10"/>
  <c r="AS55" i="10" s="1"/>
  <c r="AG55" i="10"/>
  <c r="AQ55" i="10" s="1"/>
  <c r="AK55" i="10"/>
  <c r="AU55" i="10" s="1"/>
  <c r="AH55" i="10"/>
  <c r="AR55" i="10" s="1"/>
  <c r="Z55" i="10"/>
  <c r="AJ55" i="10" s="1"/>
  <c r="AT55" i="10" s="1"/>
  <c r="K55" i="10" s="1"/>
  <c r="AH52" i="10"/>
  <c r="AR52" i="10" s="1"/>
  <c r="AK52" i="10"/>
  <c r="AU52" i="10" s="1"/>
  <c r="Z52" i="10"/>
  <c r="AJ52" i="10" s="1"/>
  <c r="AT52" i="10" s="1"/>
  <c r="K52" i="10" s="1"/>
  <c r="AI52" i="10"/>
  <c r="AS52" i="10" s="1"/>
  <c r="AG52" i="10"/>
  <c r="AQ52" i="10" s="1"/>
  <c r="AH49" i="10"/>
  <c r="AR49" i="10" s="1"/>
  <c r="AG49" i="10"/>
  <c r="AQ49" i="10" s="1"/>
  <c r="AK49" i="10"/>
  <c r="AU49" i="10" s="1"/>
  <c r="Z49" i="10"/>
  <c r="AJ49" i="10" s="1"/>
  <c r="AT49" i="10" s="1"/>
  <c r="K49" i="10" s="1"/>
  <c r="AI49" i="10"/>
  <c r="AS49" i="10" s="1"/>
  <c r="Z46" i="10"/>
  <c r="AJ46" i="10" s="1"/>
  <c r="AT46" i="10" s="1"/>
  <c r="AH46" i="10"/>
  <c r="AR46" i="10" s="1"/>
  <c r="AG46" i="10"/>
  <c r="AQ46" i="10" s="1"/>
  <c r="AI46" i="10"/>
  <c r="AS46" i="10" s="1"/>
  <c r="AK46" i="10"/>
  <c r="AU46" i="10" s="1"/>
  <c r="AH43" i="10"/>
  <c r="AR43" i="10" s="1"/>
  <c r="AK43" i="10"/>
  <c r="AU43" i="10" s="1"/>
  <c r="AG43" i="10"/>
  <c r="AQ43" i="10" s="1"/>
  <c r="AI43" i="10"/>
  <c r="AS43" i="10" s="1"/>
  <c r="Z43" i="10"/>
  <c r="AJ43" i="10" s="1"/>
  <c r="AT43" i="10" s="1"/>
  <c r="K43" i="10" s="1"/>
  <c r="AK40" i="10"/>
  <c r="AU40" i="10" s="1"/>
  <c r="AI40" i="10"/>
  <c r="AS40" i="10" s="1"/>
  <c r="Z40" i="10"/>
  <c r="AJ40" i="10" s="1"/>
  <c r="AT40" i="10" s="1"/>
  <c r="K40" i="10" s="1"/>
  <c r="AG40" i="10"/>
  <c r="AQ40" i="10" s="1"/>
  <c r="AH40" i="10"/>
  <c r="AR40" i="10" s="1"/>
  <c r="AI42" i="10"/>
  <c r="AS42" i="10" s="1"/>
  <c r="AG42" i="10"/>
  <c r="AQ42" i="10" s="1"/>
  <c r="Z42" i="10"/>
  <c r="AJ42" i="10" s="1"/>
  <c r="AT42" i="10" s="1"/>
  <c r="K42" i="10" s="1"/>
  <c r="AK42" i="10"/>
  <c r="AU42" i="10" s="1"/>
  <c r="AH42" i="10"/>
  <c r="AR42" i="10" s="1"/>
  <c r="AH39" i="10"/>
  <c r="AR39" i="10" s="1"/>
  <c r="AK39" i="10"/>
  <c r="AU39" i="10" s="1"/>
  <c r="AG39" i="10"/>
  <c r="AQ39" i="10" s="1"/>
  <c r="AI39" i="10"/>
  <c r="AS39" i="10" s="1"/>
  <c r="Z39" i="10"/>
  <c r="AJ39" i="10" s="1"/>
  <c r="AT39" i="10" s="1"/>
  <c r="K39" i="10" s="1"/>
  <c r="AG35" i="10"/>
  <c r="AQ35" i="10" s="1"/>
  <c r="AK35" i="10"/>
  <c r="AU35" i="10" s="1"/>
  <c r="AI35" i="10"/>
  <c r="AS35" i="10" s="1"/>
  <c r="AH35" i="10"/>
  <c r="AR35" i="10" s="1"/>
  <c r="Z35" i="10"/>
  <c r="AJ35" i="10" s="1"/>
  <c r="AT35" i="10" s="1"/>
  <c r="K35" i="10" s="1"/>
  <c r="AI32" i="10"/>
  <c r="AS32" i="10" s="1"/>
  <c r="AH32" i="10"/>
  <c r="AR32" i="10" s="1"/>
  <c r="Z32" i="10"/>
  <c r="AJ32" i="10" s="1"/>
  <c r="AT32" i="10" s="1"/>
  <c r="AG32" i="10"/>
  <c r="AQ32" i="10" s="1"/>
  <c r="AK32" i="10"/>
  <c r="AU32" i="10" s="1"/>
  <c r="Z29" i="10"/>
  <c r="AJ29" i="10" s="1"/>
  <c r="AT29" i="10" s="1"/>
  <c r="K29" i="10" s="1"/>
  <c r="AH29" i="10"/>
  <c r="AR29" i="10" s="1"/>
  <c r="AG29" i="10"/>
  <c r="AQ29" i="10" s="1"/>
  <c r="AK29" i="10"/>
  <c r="AU29" i="10" s="1"/>
  <c r="AI29" i="10"/>
  <c r="AS29" i="10" s="1"/>
  <c r="AI26" i="10"/>
  <c r="AS26" i="10" s="1"/>
  <c r="Z26" i="10"/>
  <c r="AJ26" i="10" s="1"/>
  <c r="AT26" i="10" s="1"/>
  <c r="K26" i="10" s="1"/>
  <c r="AG26" i="10"/>
  <c r="AQ26" i="10" s="1"/>
  <c r="AH26" i="10"/>
  <c r="AR26" i="10" s="1"/>
  <c r="AK26" i="10"/>
  <c r="AU26" i="10" s="1"/>
  <c r="Z23" i="10"/>
  <c r="AJ23" i="10" s="1"/>
  <c r="AT23" i="10" s="1"/>
  <c r="K23" i="10" s="1"/>
  <c r="AI23" i="10"/>
  <c r="AS23" i="10" s="1"/>
  <c r="AH23" i="10"/>
  <c r="AR23" i="10" s="1"/>
  <c r="AG23" i="10"/>
  <c r="AQ23" i="10" s="1"/>
  <c r="AK23" i="10"/>
  <c r="AU23" i="10" s="1"/>
  <c r="Z21" i="10"/>
  <c r="AJ21" i="10" s="1"/>
  <c r="AT21" i="10" s="1"/>
  <c r="K21" i="10" s="1"/>
  <c r="AK21" i="10"/>
  <c r="AU21" i="10" s="1"/>
  <c r="AG21" i="10"/>
  <c r="AQ21" i="10" s="1"/>
  <c r="AI21" i="10"/>
  <c r="AS21" i="10" s="1"/>
  <c r="AH21" i="10"/>
  <c r="AR21" i="10" s="1"/>
  <c r="Z18" i="10"/>
  <c r="AJ18" i="10" s="1"/>
  <c r="AT18" i="10" s="1"/>
  <c r="AG18" i="10"/>
  <c r="AQ18" i="10" s="1"/>
  <c r="AK18" i="10"/>
  <c r="AU18" i="10" s="1"/>
  <c r="AH18" i="10"/>
  <c r="AR18" i="10" s="1"/>
  <c r="AI18" i="10"/>
  <c r="AS18" i="10" s="1"/>
  <c r="AI15" i="10"/>
  <c r="AS15" i="10" s="1"/>
  <c r="AK15" i="10"/>
  <c r="AU15" i="10" s="1"/>
  <c r="AH15" i="10"/>
  <c r="AR15" i="10" s="1"/>
  <c r="Z15" i="10"/>
  <c r="AJ15" i="10" s="1"/>
  <c r="AT15" i="10" s="1"/>
  <c r="K15" i="10" s="1"/>
  <c r="AG15" i="10"/>
  <c r="AQ15" i="10" s="1"/>
  <c r="AG12" i="10"/>
  <c r="AQ12" i="10" s="1"/>
  <c r="AH12" i="10"/>
  <c r="AR12" i="10" s="1"/>
  <c r="AI12" i="10"/>
  <c r="AS12" i="10" s="1"/>
  <c r="Z12" i="10"/>
  <c r="AJ12" i="10" s="1"/>
  <c r="AT12" i="10" s="1"/>
  <c r="K12" i="10" s="1"/>
  <c r="AK12" i="10"/>
  <c r="AU12" i="10" s="1"/>
  <c r="AH91" i="10"/>
  <c r="AR91" i="10" s="1"/>
  <c r="AG91" i="10"/>
  <c r="AQ91" i="10" s="1"/>
  <c r="AI91" i="10"/>
  <c r="AS91" i="10" s="1"/>
  <c r="AK91" i="10"/>
  <c r="AU91" i="10" s="1"/>
  <c r="Z91" i="10"/>
  <c r="AJ91" i="10" s="1"/>
  <c r="AT91" i="10" s="1"/>
  <c r="K91" i="10" s="1"/>
  <c r="AH123" i="10"/>
  <c r="AR123" i="10" s="1"/>
  <c r="AK123" i="10"/>
  <c r="AU123" i="10" s="1"/>
  <c r="AG123" i="10"/>
  <c r="AQ123" i="10" s="1"/>
  <c r="Z123" i="10"/>
  <c r="AJ123" i="10" s="1"/>
  <c r="AT123" i="10" s="1"/>
  <c r="K123" i="10" s="1"/>
  <c r="AI123" i="10"/>
  <c r="AS123" i="10" s="1"/>
  <c r="AK122" i="10"/>
  <c r="AU122" i="10" s="1"/>
  <c r="AG122" i="10"/>
  <c r="AQ122" i="10" s="1"/>
  <c r="Z122" i="10"/>
  <c r="AJ122" i="10" s="1"/>
  <c r="AT122" i="10" s="1"/>
  <c r="K122" i="10" s="1"/>
  <c r="AH122" i="10"/>
  <c r="AR122" i="10" s="1"/>
  <c r="AI122" i="10"/>
  <c r="AS122" i="10" s="1"/>
  <c r="AG121" i="10"/>
  <c r="AQ121" i="10" s="1"/>
  <c r="Z121" i="10"/>
  <c r="AJ121" i="10" s="1"/>
  <c r="AT121" i="10" s="1"/>
  <c r="K121" i="10" s="1"/>
  <c r="AH121" i="10"/>
  <c r="AR121" i="10" s="1"/>
  <c r="AK121" i="10"/>
  <c r="AU121" i="10" s="1"/>
  <c r="AI121" i="10"/>
  <c r="AS121" i="10" s="1"/>
  <c r="AG120" i="10"/>
  <c r="AQ120" i="10" s="1"/>
  <c r="AI120" i="10"/>
  <c r="AS120" i="10" s="1"/>
  <c r="Z120" i="10"/>
  <c r="AJ120" i="10" s="1"/>
  <c r="AT120" i="10" s="1"/>
  <c r="K120" i="10" s="1"/>
  <c r="AK120" i="10"/>
  <c r="AU120" i="10" s="1"/>
  <c r="AH120" i="10"/>
  <c r="AR120" i="10" s="1"/>
  <c r="AG188" i="10"/>
  <c r="AQ188" i="10" s="1"/>
  <c r="AH188" i="10"/>
  <c r="AR188" i="10" s="1"/>
  <c r="AK188" i="10"/>
  <c r="AU188" i="10" s="1"/>
  <c r="AI188" i="10"/>
  <c r="AS188" i="10" s="1"/>
  <c r="AI187" i="10"/>
  <c r="AS187" i="10" s="1"/>
  <c r="AG187" i="10"/>
  <c r="AQ187" i="10" s="1"/>
  <c r="AK187" i="10"/>
  <c r="AU187" i="10" s="1"/>
  <c r="Z187" i="10"/>
  <c r="AJ187" i="10" s="1"/>
  <c r="AT187" i="10" s="1"/>
  <c r="K187" i="10" s="1"/>
  <c r="AH187" i="10"/>
  <c r="AR187" i="10" s="1"/>
  <c r="AG124" i="10"/>
  <c r="AQ124" i="10" s="1"/>
  <c r="Z124" i="10"/>
  <c r="AJ124" i="10" s="1"/>
  <c r="AT124" i="10" s="1"/>
  <c r="K124" i="10" s="1"/>
  <c r="AH124" i="10"/>
  <c r="AR124" i="10" s="1"/>
  <c r="AI124" i="10"/>
  <c r="AS124" i="10" s="1"/>
  <c r="AK124" i="10"/>
  <c r="AU124" i="10" s="1"/>
  <c r="AU129" i="10"/>
  <c r="AS129" i="10"/>
  <c r="AH37" i="10"/>
  <c r="AR37" i="10" s="1"/>
  <c r="AG37" i="10"/>
  <c r="AQ37" i="10" s="1"/>
  <c r="Z37" i="10"/>
  <c r="AJ37" i="10" s="1"/>
  <c r="AT37" i="10" s="1"/>
  <c r="AI37" i="10"/>
  <c r="AS37" i="10" s="1"/>
  <c r="AK37" i="10"/>
  <c r="AU37" i="10" s="1"/>
  <c r="AI34" i="10"/>
  <c r="AS34" i="10" s="1"/>
  <c r="AG34" i="10"/>
  <c r="AQ34" i="10" s="1"/>
  <c r="Z34" i="10"/>
  <c r="AJ34" i="10" s="1"/>
  <c r="AT34" i="10" s="1"/>
  <c r="K34" i="10" s="1"/>
  <c r="AH34" i="10"/>
  <c r="AR34" i="10" s="1"/>
  <c r="AK34" i="10"/>
  <c r="AU34" i="10" s="1"/>
  <c r="AH31" i="10"/>
  <c r="AR31" i="10" s="1"/>
  <c r="AK31" i="10"/>
  <c r="AU31" i="10" s="1"/>
  <c r="AI31" i="10"/>
  <c r="AS31" i="10" s="1"/>
  <c r="AG31" i="10"/>
  <c r="AQ31" i="10" s="1"/>
  <c r="Z31" i="10"/>
  <c r="AJ31" i="10" s="1"/>
  <c r="AT31" i="10" s="1"/>
  <c r="K31" i="10" s="1"/>
  <c r="AK27" i="10"/>
  <c r="AU27" i="10" s="1"/>
  <c r="AG27" i="10"/>
  <c r="AQ27" i="10" s="1"/>
  <c r="Z27" i="10"/>
  <c r="AJ27" i="10" s="1"/>
  <c r="AT27" i="10" s="1"/>
  <c r="K27" i="10" s="1"/>
  <c r="AI27" i="10"/>
  <c r="AS27" i="10" s="1"/>
  <c r="AH27" i="10"/>
  <c r="AR27" i="10" s="1"/>
  <c r="AK24" i="10"/>
  <c r="AU24" i="10" s="1"/>
  <c r="AG24" i="10"/>
  <c r="AQ24" i="10" s="1"/>
  <c r="AH24" i="10"/>
  <c r="AR24" i="10" s="1"/>
  <c r="AI24" i="10"/>
  <c r="AS24" i="10" s="1"/>
  <c r="Z24" i="10"/>
  <c r="AJ24" i="10" s="1"/>
  <c r="AT24" i="10" s="1"/>
  <c r="K24" i="10" s="1"/>
  <c r="AI20" i="10"/>
  <c r="AS20" i="10" s="1"/>
  <c r="Z20" i="10"/>
  <c r="AJ20" i="10" s="1"/>
  <c r="AT20" i="10" s="1"/>
  <c r="K20" i="10" s="1"/>
  <c r="AH20" i="10"/>
  <c r="AR20" i="10" s="1"/>
  <c r="AG20" i="10"/>
  <c r="AQ20" i="10" s="1"/>
  <c r="AK20" i="10"/>
  <c r="AU20" i="10" s="1"/>
  <c r="AH17" i="10"/>
  <c r="AR17" i="10" s="1"/>
  <c r="AI17" i="10"/>
  <c r="AS17" i="10" s="1"/>
  <c r="AG17" i="10"/>
  <c r="AQ17" i="10" s="1"/>
  <c r="Z17" i="10"/>
  <c r="AJ17" i="10" s="1"/>
  <c r="AT17" i="10" s="1"/>
  <c r="K17" i="10" s="1"/>
  <c r="AK17" i="10"/>
  <c r="AU17" i="10" s="1"/>
  <c r="AH14" i="10"/>
  <c r="AR14" i="10" s="1"/>
  <c r="Z14" i="10"/>
  <c r="AJ14" i="10" s="1"/>
  <c r="AT14" i="10" s="1"/>
  <c r="K14" i="10" s="1"/>
  <c r="AG14" i="10"/>
  <c r="AQ14" i="10" s="1"/>
  <c r="AI14" i="10"/>
  <c r="AS14" i="10" s="1"/>
  <c r="AK14" i="10"/>
  <c r="AU14" i="10" s="1"/>
  <c r="AK102" i="10"/>
  <c r="AU102" i="10" s="1"/>
  <c r="AH102" i="10"/>
  <c r="AR102" i="10" s="1"/>
  <c r="Z102" i="10"/>
  <c r="AJ102" i="10" s="1"/>
  <c r="AT102" i="10" s="1"/>
  <c r="AG102" i="10"/>
  <c r="AQ102" i="10" s="1"/>
  <c r="AI102" i="10"/>
  <c r="AS102" i="10" s="1"/>
  <c r="AH100" i="10"/>
  <c r="AR100" i="10" s="1"/>
  <c r="AK100" i="10"/>
  <c r="AU100" i="10" s="1"/>
  <c r="AG100" i="10"/>
  <c r="AQ100" i="10" s="1"/>
  <c r="Z100" i="10"/>
  <c r="AJ100" i="10" s="1"/>
  <c r="AT100" i="10" s="1"/>
  <c r="K100" i="10" s="1"/>
  <c r="AI100" i="10"/>
  <c r="AS100" i="10" s="1"/>
  <c r="AK97" i="10"/>
  <c r="AU97" i="10" s="1"/>
  <c r="AG97" i="10"/>
  <c r="AQ97" i="10" s="1"/>
  <c r="AH97" i="10"/>
  <c r="AR97" i="10" s="1"/>
  <c r="Z97" i="10"/>
  <c r="AJ97" i="10" s="1"/>
  <c r="AT97" i="10" s="1"/>
  <c r="K97" i="10" s="1"/>
  <c r="AI97" i="10"/>
  <c r="AS97" i="10" s="1"/>
  <c r="Z95" i="10"/>
  <c r="AJ95" i="10" s="1"/>
  <c r="AT95" i="10" s="1"/>
  <c r="K95" i="10" s="1"/>
  <c r="AG95" i="10"/>
  <c r="AQ95" i="10" s="1"/>
  <c r="AI95" i="10"/>
  <c r="AS95" i="10" s="1"/>
  <c r="AH95" i="10"/>
  <c r="AR95" i="10" s="1"/>
  <c r="AK95" i="10"/>
  <c r="AU95" i="10" s="1"/>
  <c r="AH90" i="10"/>
  <c r="AR90" i="10" s="1"/>
  <c r="Z90" i="10"/>
  <c r="AJ90" i="10" s="1"/>
  <c r="AT90" i="10" s="1"/>
  <c r="K90" i="10" s="1"/>
  <c r="AG90" i="10"/>
  <c r="AQ90" i="10" s="1"/>
  <c r="AI90" i="10"/>
  <c r="AS90" i="10" s="1"/>
  <c r="AK90" i="10"/>
  <c r="AU90" i="10" s="1"/>
  <c r="AI88" i="10"/>
  <c r="AS88" i="10" s="1"/>
  <c r="Z88" i="10"/>
  <c r="AJ88" i="10" s="1"/>
  <c r="AT88" i="10" s="1"/>
  <c r="K88" i="10" s="1"/>
  <c r="AK88" i="10"/>
  <c r="AU88" i="10" s="1"/>
  <c r="AG88" i="10"/>
  <c r="AQ88" i="10" s="1"/>
  <c r="AH88" i="10"/>
  <c r="AR88" i="10" s="1"/>
  <c r="AK85" i="10"/>
  <c r="AU85" i="10" s="1"/>
  <c r="AG85" i="10"/>
  <c r="AQ85" i="10" s="1"/>
  <c r="Z85" i="10"/>
  <c r="AJ85" i="10" s="1"/>
  <c r="AT85" i="10" s="1"/>
  <c r="AI85" i="10"/>
  <c r="AS85" i="10" s="1"/>
  <c r="AH85" i="10"/>
  <c r="AR85" i="10" s="1"/>
  <c r="Z83" i="10"/>
  <c r="AJ83" i="10" s="1"/>
  <c r="AT83" i="10" s="1"/>
  <c r="K83" i="10" s="1"/>
  <c r="AI83" i="10"/>
  <c r="AS83" i="10" s="1"/>
  <c r="AH83" i="10"/>
  <c r="AR83" i="10" s="1"/>
  <c r="AG83" i="10"/>
  <c r="AQ83" i="10" s="1"/>
  <c r="AK83" i="10"/>
  <c r="AU83" i="10" s="1"/>
  <c r="AG70" i="10"/>
  <c r="AQ70" i="10" s="1"/>
  <c r="AH70" i="10"/>
  <c r="AR70" i="10" s="1"/>
  <c r="AI70" i="10"/>
  <c r="AS70" i="10" s="1"/>
  <c r="Z70" i="10"/>
  <c r="AJ70" i="10" s="1"/>
  <c r="AT70" i="10" s="1"/>
  <c r="K70" i="10" s="1"/>
  <c r="AK70" i="10"/>
  <c r="AU70" i="10" s="1"/>
  <c r="AI67" i="10"/>
  <c r="AS67" i="10" s="1"/>
  <c r="AK67" i="10"/>
  <c r="AU67" i="10" s="1"/>
  <c r="AG67" i="10"/>
  <c r="AQ67" i="10" s="1"/>
  <c r="AH67" i="10"/>
  <c r="AR67" i="10" s="1"/>
  <c r="Z67" i="10"/>
  <c r="AJ67" i="10" s="1"/>
  <c r="AT67" i="10" s="1"/>
  <c r="K67" i="10" s="1"/>
  <c r="AI64" i="10"/>
  <c r="AS64" i="10" s="1"/>
  <c r="AG64" i="10"/>
  <c r="AQ64" i="10" s="1"/>
  <c r="AH64" i="10"/>
  <c r="AR64" i="10" s="1"/>
  <c r="AK64" i="10"/>
  <c r="AU64" i="10" s="1"/>
  <c r="Z64" i="10"/>
  <c r="AJ64" i="10" s="1"/>
  <c r="AT64" i="10" s="1"/>
  <c r="K64" i="10" s="1"/>
  <c r="AH60" i="10"/>
  <c r="AR60" i="10" s="1"/>
  <c r="AI60" i="10"/>
  <c r="AS60" i="10" s="1"/>
  <c r="AG60" i="10"/>
  <c r="AQ60" i="10" s="1"/>
  <c r="AK60" i="10"/>
  <c r="AU60" i="10" s="1"/>
  <c r="Z60" i="10"/>
  <c r="AJ60" i="10" s="1"/>
  <c r="AT60" i="10" s="1"/>
  <c r="K60" i="10" s="1"/>
  <c r="AI57" i="10"/>
  <c r="AS57" i="10" s="1"/>
  <c r="AH57" i="10"/>
  <c r="AR57" i="10" s="1"/>
  <c r="Z57" i="10"/>
  <c r="AJ57" i="10" s="1"/>
  <c r="AT57" i="10" s="1"/>
  <c r="K57" i="10" s="1"/>
  <c r="AG57" i="10"/>
  <c r="AQ57" i="10" s="1"/>
  <c r="AK57" i="10"/>
  <c r="AU57" i="10" s="1"/>
  <c r="AG54" i="10"/>
  <c r="AQ54" i="10" s="1"/>
  <c r="AI54" i="10"/>
  <c r="AS54" i="10" s="1"/>
  <c r="Z54" i="10"/>
  <c r="AJ54" i="10" s="1"/>
  <c r="AT54" i="10" s="1"/>
  <c r="AH54" i="10"/>
  <c r="AR54" i="10" s="1"/>
  <c r="AK54" i="10"/>
  <c r="AU54" i="10" s="1"/>
  <c r="AI51" i="10"/>
  <c r="AS51" i="10" s="1"/>
  <c r="AH51" i="10"/>
  <c r="AR51" i="10" s="1"/>
  <c r="Z51" i="10"/>
  <c r="AJ51" i="10" s="1"/>
  <c r="AT51" i="10" s="1"/>
  <c r="K51" i="10" s="1"/>
  <c r="AG51" i="10"/>
  <c r="AQ51" i="10" s="1"/>
  <c r="AK51" i="10"/>
  <c r="AU51" i="10" s="1"/>
  <c r="AG48" i="10"/>
  <c r="AQ48" i="10" s="1"/>
  <c r="AI48" i="10"/>
  <c r="AS48" i="10" s="1"/>
  <c r="Z48" i="10"/>
  <c r="AJ48" i="10" s="1"/>
  <c r="AT48" i="10" s="1"/>
  <c r="K48" i="10" s="1"/>
  <c r="AH48" i="10"/>
  <c r="AR48" i="10" s="1"/>
  <c r="AK48" i="10"/>
  <c r="AU48" i="10" s="1"/>
  <c r="Z45" i="10"/>
  <c r="AJ45" i="10" s="1"/>
  <c r="AT45" i="10" s="1"/>
  <c r="K45" i="10" s="1"/>
  <c r="AH45" i="10"/>
  <c r="AR45" i="10" s="1"/>
  <c r="AI45" i="10"/>
  <c r="AS45" i="10" s="1"/>
  <c r="AG45" i="10"/>
  <c r="AQ45" i="10" s="1"/>
  <c r="AK45" i="10"/>
  <c r="AU45" i="10" s="1"/>
  <c r="AG105" i="10"/>
  <c r="AQ105" i="10" s="1"/>
  <c r="Z105" i="10"/>
  <c r="AJ105" i="10" s="1"/>
  <c r="AT105" i="10" s="1"/>
  <c r="K105" i="10" s="1"/>
  <c r="AI105" i="10"/>
  <c r="AS105" i="10" s="1"/>
  <c r="AK105" i="10"/>
  <c r="AU105" i="10" s="1"/>
  <c r="AH105" i="10"/>
  <c r="AR105" i="10" s="1"/>
  <c r="AK104" i="10"/>
  <c r="AU104" i="10" s="1"/>
  <c r="AH104" i="10"/>
  <c r="AR104" i="10" s="1"/>
  <c r="Z104" i="10"/>
  <c r="AJ104" i="10" s="1"/>
  <c r="AT104" i="10" s="1"/>
  <c r="K104" i="10" s="1"/>
  <c r="AI104" i="10"/>
  <c r="AS104" i="10" s="1"/>
  <c r="AG104" i="10"/>
  <c r="AQ104" i="10" s="1"/>
  <c r="AG107" i="10"/>
  <c r="AQ107" i="10" s="1"/>
  <c r="Z107" i="10"/>
  <c r="AJ107" i="10" s="1"/>
  <c r="AT107" i="10" s="1"/>
  <c r="K107" i="10" s="1"/>
  <c r="AH107" i="10"/>
  <c r="AR107" i="10" s="1"/>
  <c r="AK107" i="10"/>
  <c r="AU107" i="10" s="1"/>
  <c r="AI107" i="10"/>
  <c r="AS107" i="10" s="1"/>
  <c r="AU184" i="10"/>
  <c r="AU130" i="10"/>
  <c r="AU165" i="10"/>
  <c r="AU148" i="10"/>
  <c r="AU146" i="10"/>
  <c r="AQ138" i="10"/>
  <c r="AS186" i="10"/>
  <c r="AS165" i="10"/>
  <c r="AR192" i="10"/>
  <c r="AR200" i="10"/>
  <c r="AS162" i="10"/>
  <c r="AR164" i="10"/>
  <c r="AR195" i="10"/>
  <c r="AR172" i="10"/>
  <c r="AQ130" i="10"/>
  <c r="AR130" i="10"/>
  <c r="AQ184" i="10"/>
  <c r="AS192" i="10"/>
  <c r="AS184" i="10"/>
  <c r="AQ144" i="10"/>
  <c r="AR189" i="10"/>
  <c r="AR180" i="10"/>
  <c r="AR191" i="10"/>
  <c r="AR196" i="10"/>
  <c r="AR103" i="10"/>
  <c r="AS159" i="10"/>
  <c r="AQ140" i="10"/>
  <c r="AQ192" i="10"/>
  <c r="AQ198" i="10"/>
  <c r="AQ165" i="10"/>
  <c r="AQ202" i="10"/>
  <c r="AQ169" i="10"/>
  <c r="AQ153" i="10"/>
  <c r="AQ146" i="10"/>
  <c r="AQ162" i="10"/>
  <c r="AQ135" i="10"/>
  <c r="AQ191" i="10"/>
  <c r="AR169" i="10"/>
  <c r="AR165" i="10"/>
  <c r="AR140" i="10"/>
  <c r="AR186" i="10"/>
  <c r="AR141" i="10"/>
  <c r="AS164" i="10"/>
  <c r="AS201" i="10"/>
  <c r="AS199" i="10"/>
  <c r="AR153" i="10"/>
  <c r="AR199" i="10"/>
  <c r="AR194" i="10"/>
  <c r="AR129" i="10"/>
  <c r="AR193" i="10"/>
  <c r="AR201" i="10"/>
  <c r="AR173" i="10"/>
  <c r="AR159" i="10"/>
  <c r="AR152" i="10"/>
  <c r="AR137" i="10"/>
  <c r="AR178" i="10"/>
  <c r="AR132" i="10"/>
  <c r="AS146" i="10"/>
  <c r="AS141" i="10"/>
  <c r="AS153" i="10"/>
  <c r="AS191" i="10"/>
  <c r="AS103" i="10"/>
  <c r="AS175" i="10"/>
  <c r="AS194" i="10"/>
  <c r="AS174" i="10"/>
  <c r="AS140" i="10"/>
  <c r="AS130" i="10"/>
  <c r="AS193" i="10"/>
  <c r="AS189" i="10"/>
  <c r="AS132" i="10"/>
  <c r="AS180" i="10"/>
  <c r="AS161" i="10"/>
  <c r="AR133" i="10"/>
  <c r="AR183" i="10"/>
  <c r="AR174" i="10"/>
  <c r="AR138" i="10"/>
  <c r="AR184" i="10"/>
  <c r="AQ180" i="10"/>
  <c r="AQ199" i="10"/>
  <c r="AQ164" i="10"/>
  <c r="AQ174" i="10"/>
  <c r="AQ201" i="10"/>
  <c r="AQ163" i="10"/>
  <c r="AQ150" i="10"/>
  <c r="AQ181" i="10"/>
  <c r="AQ161" i="10"/>
  <c r="AQ129" i="10"/>
  <c r="AQ200" i="10"/>
  <c r="AQ167" i="10"/>
  <c r="AQ193" i="10"/>
  <c r="AQ186" i="10"/>
  <c r="AQ179" i="10"/>
  <c r="AQ141" i="10"/>
  <c r="AQ147" i="10"/>
  <c r="AQ137" i="10"/>
  <c r="AQ103" i="10"/>
  <c r="AQ196" i="10"/>
  <c r="AQ178" i="10"/>
  <c r="AQ172" i="10"/>
  <c r="AQ148" i="10"/>
  <c r="AQ133" i="10"/>
  <c r="AU185" i="10"/>
  <c r="AS185" i="10"/>
  <c r="AR185" i="10"/>
  <c r="AQ185" i="10"/>
  <c r="AU177" i="10"/>
  <c r="AQ177" i="10"/>
  <c r="AS177" i="10"/>
  <c r="AR177" i="10"/>
  <c r="AS168" i="10"/>
  <c r="AU168" i="10"/>
  <c r="AQ168" i="10"/>
  <c r="AR168" i="10"/>
  <c r="AQ160" i="10"/>
  <c r="AU160" i="10"/>
  <c r="AS160" i="10"/>
  <c r="AR160" i="10"/>
  <c r="AS152" i="10"/>
  <c r="AU152" i="10"/>
  <c r="AQ152" i="10"/>
  <c r="AU135" i="10"/>
  <c r="AQ194" i="10"/>
  <c r="AU180" i="10"/>
  <c r="U67" i="11"/>
  <c r="O67" i="11"/>
  <c r="AJ67" i="11" s="1"/>
  <c r="E77" i="11"/>
  <c r="AS176" i="10"/>
  <c r="AQ176" i="10"/>
  <c r="AU176" i="10"/>
  <c r="AR176" i="10"/>
  <c r="AS128" i="10"/>
  <c r="AQ127" i="10"/>
  <c r="AS167" i="10"/>
  <c r="AR167" i="10"/>
  <c r="AU167" i="10"/>
  <c r="AR151" i="10"/>
  <c r="AQ128" i="10"/>
  <c r="AR181" i="10"/>
  <c r="AQ132" i="10"/>
  <c r="AQ182" i="10"/>
  <c r="AS200" i="10"/>
  <c r="AU200" i="10"/>
  <c r="AU190" i="10"/>
  <c r="AQ190" i="10"/>
  <c r="AS190" i="10"/>
  <c r="AQ166" i="10"/>
  <c r="AS143" i="10"/>
  <c r="AQ159" i="10"/>
  <c r="AS148" i="10"/>
  <c r="AS150" i="10"/>
  <c r="AR148" i="10"/>
  <c r="AS144" i="10"/>
  <c r="AS135" i="10"/>
  <c r="AU128" i="10"/>
  <c r="AR162" i="10"/>
  <c r="AU150" i="10"/>
  <c r="AR144" i="10"/>
  <c r="AS127" i="10"/>
  <c r="AR139" i="10"/>
  <c r="AU131" i="10"/>
  <c r="AU164" i="10"/>
  <c r="AR158" i="10"/>
  <c r="AS158" i="10"/>
  <c r="AU158" i="10"/>
  <c r="AQ158" i="10"/>
  <c r="AR150" i="10"/>
  <c r="AU134" i="10"/>
  <c r="AS134" i="10"/>
  <c r="AR134" i="10"/>
  <c r="AQ134" i="10"/>
  <c r="AR202" i="10"/>
  <c r="AQ195" i="10"/>
  <c r="N7" i="13"/>
  <c r="AR175" i="10"/>
  <c r="AQ175" i="10"/>
  <c r="AU166" i="10"/>
  <c r="AS166" i="10"/>
  <c r="AR166" i="10"/>
  <c r="AQ151" i="10"/>
  <c r="AU151" i="10"/>
  <c r="AS151" i="10"/>
  <c r="AU143" i="10"/>
  <c r="AQ143" i="10"/>
  <c r="AR143" i="10"/>
  <c r="AR135" i="10"/>
  <c r="AS178" i="10"/>
  <c r="AR146" i="10"/>
  <c r="AU194" i="10"/>
  <c r="AQ189" i="10"/>
  <c r="AS181" i="10"/>
  <c r="AU179" i="10"/>
  <c r="AR179" i="10"/>
  <c r="AU171" i="10"/>
  <c r="AQ171" i="10"/>
  <c r="AS171" i="10"/>
  <c r="AR171" i="10"/>
  <c r="AQ149" i="10"/>
  <c r="AS147" i="10"/>
  <c r="AR147" i="10"/>
  <c r="AQ139" i="10"/>
  <c r="AU139" i="10"/>
  <c r="AS139" i="10"/>
  <c r="AR131" i="10"/>
  <c r="AS131" i="10"/>
  <c r="AQ131" i="10"/>
  <c r="AS195" i="10"/>
  <c r="AR190" i="10"/>
  <c r="AQ183" i="10"/>
  <c r="K138" i="6"/>
  <c r="O138" i="6" s="1"/>
  <c r="K135" i="6"/>
  <c r="K137" i="6"/>
  <c r="K119" i="6"/>
  <c r="O119" i="6" s="1"/>
  <c r="K131" i="6"/>
  <c r="O131" i="6" s="1"/>
  <c r="K122" i="6"/>
  <c r="O122" i="6" s="1"/>
  <c r="K126" i="6"/>
  <c r="O126" i="6" s="1"/>
  <c r="AT165" i="10"/>
  <c r="K165" i="10" s="1"/>
  <c r="AT162" i="10"/>
  <c r="K162" i="10" s="1"/>
  <c r="AT183" i="10"/>
  <c r="K183" i="10" s="1"/>
  <c r="AT193" i="10"/>
  <c r="K193" i="10" s="1"/>
  <c r="AT175" i="10"/>
  <c r="K175" i="10" s="1"/>
  <c r="AT159" i="10"/>
  <c r="K159" i="10" s="1"/>
  <c r="AT151" i="10"/>
  <c r="K151" i="10" s="1"/>
  <c r="AT174" i="10"/>
  <c r="K174" i="10" s="1"/>
  <c r="AT146" i="10"/>
  <c r="K146" i="10" s="1"/>
  <c r="AT158" i="10"/>
  <c r="K158" i="10" s="1"/>
  <c r="AT184" i="10"/>
  <c r="K184" i="10" s="1"/>
  <c r="AT160" i="10"/>
  <c r="K160" i="10" s="1"/>
  <c r="AT131" i="10"/>
  <c r="K131" i="10" s="1"/>
  <c r="AT139" i="10"/>
  <c r="K139" i="10" s="1"/>
  <c r="AT186" i="10"/>
  <c r="K186" i="10" s="1"/>
  <c r="AT134" i="10"/>
  <c r="K134" i="10" s="1"/>
  <c r="AT200" i="10"/>
  <c r="K200" i="10" s="1"/>
  <c r="AT201" i="10"/>
  <c r="K201" i="10" s="1"/>
  <c r="AT195" i="10"/>
  <c r="K195" i="10" s="1"/>
  <c r="AT181" i="10"/>
  <c r="K181" i="10" s="1"/>
  <c r="AT177" i="10"/>
  <c r="K177" i="10" s="1"/>
  <c r="AT176" i="10"/>
  <c r="K176" i="10" s="1"/>
  <c r="AT167" i="10"/>
  <c r="K167" i="10" s="1"/>
  <c r="AT166" i="10"/>
  <c r="K166" i="10" s="1"/>
  <c r="AT140" i="10"/>
  <c r="K140" i="10" s="1"/>
  <c r="AT192" i="10"/>
  <c r="K192" i="10" s="1"/>
  <c r="AT182" i="10"/>
  <c r="K182" i="10" s="1"/>
  <c r="AT103" i="10"/>
  <c r="K103" i="10" s="1"/>
  <c r="AT199" i="10"/>
  <c r="K199" i="10" s="1"/>
  <c r="AT188" i="10"/>
  <c r="K188" i="10" s="1"/>
  <c r="AT144" i="10"/>
  <c r="K144" i="10" s="1"/>
  <c r="AT141" i="10"/>
  <c r="K141" i="10" s="1"/>
  <c r="AT161" i="10"/>
  <c r="K161" i="10" s="1"/>
  <c r="AT153" i="10"/>
  <c r="K153" i="10" s="1"/>
  <c r="AT171" i="10"/>
  <c r="K171" i="10" s="1"/>
  <c r="AT132" i="10"/>
  <c r="K132" i="10" s="1"/>
  <c r="AT128" i="10"/>
  <c r="K128" i="10" s="1"/>
  <c r="AT196" i="10"/>
  <c r="K196" i="10" s="1"/>
  <c r="AT190" i="10"/>
  <c r="K190" i="10" s="1"/>
  <c r="AT178" i="10"/>
  <c r="K178" i="10" s="1"/>
  <c r="AT164" i="10"/>
  <c r="K164" i="10" s="1"/>
  <c r="AT194" i="10"/>
  <c r="K194" i="10" s="1"/>
  <c r="AT173" i="10"/>
  <c r="K173" i="10" s="1"/>
  <c r="AT135" i="10"/>
  <c r="K135" i="10" s="1"/>
  <c r="AT130" i="10"/>
  <c r="K130" i="10" s="1"/>
  <c r="AT133" i="10"/>
  <c r="K133" i="10" s="1"/>
  <c r="AT143" i="10"/>
  <c r="K143" i="10" s="1"/>
  <c r="AT180" i="10"/>
  <c r="K180" i="10" s="1"/>
  <c r="AT185" i="10"/>
  <c r="K185" i="10" s="1"/>
  <c r="AT168" i="10"/>
  <c r="K168" i="10" s="1"/>
  <c r="AT172" i="10"/>
  <c r="K172" i="10" s="1"/>
  <c r="AT152" i="10"/>
  <c r="K152" i="10" s="1"/>
  <c r="AU182" i="10"/>
  <c r="AS182" i="10"/>
  <c r="AR182" i="10"/>
  <c r="AU173" i="10"/>
  <c r="AS173" i="10"/>
  <c r="AQ173" i="10"/>
  <c r="AS163" i="10"/>
  <c r="AR163" i="10"/>
  <c r="AT163" i="10"/>
  <c r="K163" i="10" s="1"/>
  <c r="AQ145" i="10"/>
  <c r="AS145" i="10"/>
  <c r="AR145" i="10"/>
  <c r="AT145" i="10"/>
  <c r="K145" i="10" s="1"/>
  <c r="AU145" i="10"/>
  <c r="AS142" i="10"/>
  <c r="AQ142" i="10"/>
  <c r="AU142" i="10"/>
  <c r="AR142" i="10"/>
  <c r="AT142" i="10"/>
  <c r="K142" i="10" s="1"/>
  <c r="AU136" i="10"/>
  <c r="AS136" i="10"/>
  <c r="AQ136" i="10"/>
  <c r="AT136" i="10"/>
  <c r="K136" i="10" s="1"/>
  <c r="AR136" i="10"/>
  <c r="AS106" i="10"/>
  <c r="AT106" i="10"/>
  <c r="K106" i="10" s="1"/>
  <c r="AR106" i="10"/>
  <c r="AU106" i="10"/>
  <c r="AQ106" i="10"/>
  <c r="AU170" i="10"/>
  <c r="AQ170" i="10"/>
  <c r="AS170" i="10"/>
  <c r="AR170" i="10"/>
  <c r="AT170" i="10"/>
  <c r="K170" i="10" s="1"/>
  <c r="AT202" i="10"/>
  <c r="K202" i="10" s="1"/>
  <c r="AU201" i="10"/>
  <c r="K165" i="7"/>
  <c r="AD165" i="7" s="1"/>
  <c r="R165" i="7" s="1"/>
  <c r="AQ22" i="7" s="1"/>
  <c r="U230" i="3"/>
  <c r="J175" i="7"/>
  <c r="AC175" i="7" s="1"/>
  <c r="T240" i="3"/>
  <c r="J278" i="7"/>
  <c r="AC278" i="7" s="1"/>
  <c r="T443" i="3"/>
  <c r="F173" i="7"/>
  <c r="P173" i="7" s="1"/>
  <c r="R238" i="3"/>
  <c r="F276" i="7"/>
  <c r="P276" i="7" s="1"/>
  <c r="R441" i="3"/>
  <c r="K163" i="7"/>
  <c r="AD163" i="7" s="1"/>
  <c r="R163" i="7" s="1"/>
  <c r="AQ20" i="7" s="1"/>
  <c r="U228" i="3"/>
  <c r="M444" i="3"/>
  <c r="S444" i="3" s="1"/>
  <c r="S38" i="3"/>
  <c r="AD213" i="3"/>
  <c r="AD214" i="3"/>
  <c r="N7" i="12"/>
  <c r="Z7" i="12" s="1"/>
  <c r="AQ74" i="10"/>
  <c r="AR72" i="10"/>
  <c r="AS74" i="10"/>
  <c r="AT76" i="10"/>
  <c r="AT74" i="10"/>
  <c r="K74" i="10" s="1"/>
  <c r="AR98" i="10"/>
  <c r="AS98" i="10"/>
  <c r="AT98" i="10"/>
  <c r="AQ96" i="10"/>
  <c r="AR96" i="10"/>
  <c r="AU92" i="10"/>
  <c r="AQ92" i="10"/>
  <c r="AT92" i="10"/>
  <c r="K92" i="10" s="1"/>
  <c r="AQ89" i="10"/>
  <c r="AT89" i="10"/>
  <c r="AQ86" i="10"/>
  <c r="AS86" i="10"/>
  <c r="AQ84" i="10"/>
  <c r="AS84" i="10"/>
  <c r="AR61" i="10"/>
  <c r="AU101" i="10"/>
  <c r="AU81" i="10"/>
  <c r="AR81" i="10"/>
  <c r="AS81" i="10"/>
  <c r="AQ81" i="10"/>
  <c r="AT81" i="10"/>
  <c r="K81" i="10" s="1"/>
  <c r="AQ80" i="10"/>
  <c r="AR80" i="10"/>
  <c r="AU80" i="10"/>
  <c r="AS80" i="10"/>
  <c r="AT80" i="10"/>
  <c r="AU78" i="10"/>
  <c r="AR78" i="10"/>
  <c r="AS78" i="10"/>
  <c r="AQ78" i="10"/>
  <c r="AT78" i="10"/>
  <c r="K78" i="10" s="1"/>
  <c r="AQ76" i="10"/>
  <c r="AU76" i="10"/>
  <c r="AS76" i="10"/>
  <c r="AR76" i="10"/>
  <c r="AS61" i="10"/>
  <c r="AT61" i="10"/>
  <c r="K61" i="10" s="1"/>
  <c r="AT101" i="10"/>
  <c r="K101" i="10" s="1"/>
  <c r="AR101" i="10"/>
  <c r="AQ98" i="10"/>
  <c r="AU98" i="10"/>
  <c r="AU96" i="10"/>
  <c r="AS96" i="10"/>
  <c r="AT96" i="10"/>
  <c r="K96" i="10" s="1"/>
  <c r="AR92" i="10"/>
  <c r="AS92" i="10"/>
  <c r="AS89" i="10"/>
  <c r="AU89" i="10"/>
  <c r="AR86" i="10"/>
  <c r="AU86" i="10"/>
  <c r="AT86" i="10"/>
  <c r="K86" i="10" s="1"/>
  <c r="AU84" i="10"/>
  <c r="AR84" i="10"/>
  <c r="AT84" i="10"/>
  <c r="K84" i="10" s="1"/>
  <c r="AQ61" i="10"/>
  <c r="AS101" i="10"/>
  <c r="AR89" i="10"/>
  <c r="AU61" i="10"/>
  <c r="AQ101" i="10"/>
  <c r="AI151" i="7"/>
  <c r="X151" i="7"/>
  <c r="AI152" i="7"/>
  <c r="X152" i="7"/>
  <c r="AI259" i="7"/>
  <c r="X259" i="7"/>
  <c r="AB424" i="3"/>
  <c r="AB425" i="3"/>
  <c r="AB426" i="3"/>
  <c r="AB427" i="3"/>
  <c r="AB428" i="3"/>
  <c r="AB429" i="3"/>
  <c r="AB430" i="3"/>
  <c r="Y421" i="3"/>
  <c r="AD421" i="3" s="1"/>
  <c r="Y420" i="3"/>
  <c r="AD420" i="3" s="1"/>
  <c r="Y419" i="3"/>
  <c r="AD419" i="3" s="1"/>
  <c r="Y418" i="3"/>
  <c r="AD418" i="3" s="1"/>
  <c r="W418" i="3"/>
  <c r="AB215" i="3"/>
  <c r="AB217" i="3"/>
  <c r="AB219" i="3"/>
  <c r="AB216" i="3"/>
  <c r="AB218" i="3"/>
  <c r="AB220" i="3"/>
  <c r="G421" i="3"/>
  <c r="W421" i="3"/>
  <c r="G420" i="3"/>
  <c r="W216" i="3"/>
  <c r="AB223" i="3"/>
  <c r="AB227" i="3"/>
  <c r="AB224" i="3"/>
  <c r="AB226" i="3"/>
  <c r="AB222" i="3"/>
  <c r="AB225" i="3"/>
  <c r="AB221" i="3"/>
  <c r="AI150" i="7"/>
  <c r="X150" i="7"/>
  <c r="D239" i="3"/>
  <c r="D442" i="3"/>
  <c r="D31" i="10"/>
  <c r="H31" i="10" s="1"/>
  <c r="C32" i="10"/>
  <c r="G32" i="10" s="1"/>
  <c r="C443" i="3"/>
  <c r="O267" i="3"/>
  <c r="O470" i="3"/>
  <c r="E265" i="3"/>
  <c r="E57" i="10"/>
  <c r="I57" i="10" s="1"/>
  <c r="E468" i="3"/>
  <c r="E230" i="3"/>
  <c r="D165" i="7" s="1"/>
  <c r="E22" i="10"/>
  <c r="I22" i="10" s="1"/>
  <c r="E433" i="3"/>
  <c r="D268" i="7" s="1"/>
  <c r="O232" i="3"/>
  <c r="O435" i="3"/>
  <c r="K270" i="7" s="1"/>
  <c r="AD270" i="7" s="1"/>
  <c r="R270" i="7" s="1"/>
  <c r="N241" i="3"/>
  <c r="T241" i="3" s="1"/>
  <c r="N444" i="3"/>
  <c r="T444" i="3" s="1"/>
  <c r="J239" i="3"/>
  <c r="J442" i="3"/>
  <c r="H239" i="3"/>
  <c r="H442" i="3"/>
  <c r="F12" i="10"/>
  <c r="J12" i="10" s="1"/>
  <c r="F423" i="3"/>
  <c r="F11" i="10"/>
  <c r="J11" i="10" s="1"/>
  <c r="F422" i="3"/>
  <c r="M124" i="6"/>
  <c r="M141" i="6"/>
  <c r="M143" i="6"/>
  <c r="L133" i="6"/>
  <c r="M137" i="6"/>
  <c r="M142" i="6"/>
  <c r="L127" i="6"/>
  <c r="O127" i="6" s="1"/>
  <c r="L132" i="6"/>
  <c r="O132" i="6" s="1"/>
  <c r="M146" i="6"/>
  <c r="O146" i="6" s="1"/>
  <c r="M129" i="6"/>
  <c r="L135" i="6"/>
  <c r="K129" i="6"/>
  <c r="L145" i="6"/>
  <c r="O145" i="6" s="1"/>
  <c r="L128" i="6"/>
  <c r="M128" i="6"/>
  <c r="M135" i="6"/>
  <c r="O113" i="6"/>
  <c r="O116" i="6"/>
  <c r="O104" i="6"/>
  <c r="O115" i="6"/>
  <c r="O98" i="6"/>
  <c r="O124" i="6"/>
  <c r="O117" i="6"/>
  <c r="O88" i="6"/>
  <c r="O91" i="6"/>
  <c r="O108" i="6"/>
  <c r="O107" i="6"/>
  <c r="D177" i="6"/>
  <c r="E177" i="6"/>
  <c r="F177" i="6"/>
  <c r="G177" i="6"/>
  <c r="H177" i="6"/>
  <c r="I177" i="6"/>
  <c r="C207" i="6"/>
  <c r="D176" i="6"/>
  <c r="E176" i="6"/>
  <c r="F176" i="6"/>
  <c r="G176" i="6"/>
  <c r="H176" i="6"/>
  <c r="I176" i="6"/>
  <c r="C206" i="6"/>
  <c r="D175" i="6"/>
  <c r="E175" i="6"/>
  <c r="F175" i="6"/>
  <c r="G175" i="6"/>
  <c r="H175" i="6"/>
  <c r="I175" i="6"/>
  <c r="C205" i="6"/>
  <c r="D174" i="6"/>
  <c r="E174" i="6"/>
  <c r="F174" i="6"/>
  <c r="G174" i="6"/>
  <c r="H174" i="6"/>
  <c r="I174" i="6"/>
  <c r="C204" i="6"/>
  <c r="D173" i="6"/>
  <c r="E173" i="6"/>
  <c r="F173" i="6"/>
  <c r="G173" i="6"/>
  <c r="H173" i="6"/>
  <c r="I173" i="6"/>
  <c r="C203" i="6"/>
  <c r="D172" i="6"/>
  <c r="E172" i="6"/>
  <c r="F172" i="6"/>
  <c r="G172" i="6"/>
  <c r="H172" i="6"/>
  <c r="I172" i="6"/>
  <c r="C202" i="6"/>
  <c r="H171" i="6"/>
  <c r="C201" i="6"/>
  <c r="E171" i="6"/>
  <c r="D171" i="6"/>
  <c r="G171" i="6"/>
  <c r="F171" i="6"/>
  <c r="I171" i="6"/>
  <c r="H170" i="6"/>
  <c r="G170" i="6"/>
  <c r="I170" i="6"/>
  <c r="E170" i="6"/>
  <c r="C200" i="6"/>
  <c r="D170" i="6"/>
  <c r="F170" i="6"/>
  <c r="I169" i="6"/>
  <c r="E169" i="6"/>
  <c r="G169" i="6"/>
  <c r="C199" i="6"/>
  <c r="D169" i="6"/>
  <c r="H169" i="6"/>
  <c r="F169" i="6"/>
  <c r="C198" i="6"/>
  <c r="F168" i="6"/>
  <c r="H168" i="6"/>
  <c r="E168" i="6"/>
  <c r="I168" i="6"/>
  <c r="D168" i="6"/>
  <c r="G168" i="6"/>
  <c r="H167" i="6"/>
  <c r="C197" i="6"/>
  <c r="F167" i="6"/>
  <c r="I167" i="6"/>
  <c r="D167" i="6"/>
  <c r="E167" i="6"/>
  <c r="G167" i="6"/>
  <c r="G166" i="6"/>
  <c r="E166" i="6"/>
  <c r="H166" i="6"/>
  <c r="I166" i="6"/>
  <c r="D166" i="6"/>
  <c r="C196" i="6"/>
  <c r="F166" i="6"/>
  <c r="G165" i="6"/>
  <c r="C195" i="6"/>
  <c r="I165" i="6"/>
  <c r="F165" i="6"/>
  <c r="D165" i="6"/>
  <c r="E165" i="6"/>
  <c r="H165" i="6"/>
  <c r="G164" i="6"/>
  <c r="D164" i="6"/>
  <c r="E164" i="6"/>
  <c r="H164" i="6"/>
  <c r="I164" i="6"/>
  <c r="C194" i="6"/>
  <c r="F164" i="6"/>
  <c r="E163" i="6"/>
  <c r="D163" i="6"/>
  <c r="G163" i="6"/>
  <c r="F163" i="6"/>
  <c r="H163" i="6"/>
  <c r="I163" i="6"/>
  <c r="C193" i="6"/>
  <c r="D162" i="6"/>
  <c r="C192" i="6"/>
  <c r="I162" i="6"/>
  <c r="E162" i="6"/>
  <c r="H162" i="6"/>
  <c r="G162" i="6"/>
  <c r="F162" i="6"/>
  <c r="F161" i="6"/>
  <c r="G161" i="6"/>
  <c r="C191" i="6"/>
  <c r="D161" i="6"/>
  <c r="E161" i="6"/>
  <c r="H161" i="6"/>
  <c r="I161" i="6"/>
  <c r="H160" i="6"/>
  <c r="I160" i="6"/>
  <c r="F160" i="6"/>
  <c r="C190" i="6"/>
  <c r="D160" i="6"/>
  <c r="G160" i="6"/>
  <c r="E160" i="6"/>
  <c r="I159" i="6"/>
  <c r="F159" i="6"/>
  <c r="D159" i="6"/>
  <c r="H159" i="6"/>
  <c r="E159" i="6"/>
  <c r="G159" i="6"/>
  <c r="C189" i="6"/>
  <c r="C188" i="6"/>
  <c r="E158" i="6"/>
  <c r="I158" i="6"/>
  <c r="D158" i="6"/>
  <c r="G158" i="6"/>
  <c r="F158" i="6"/>
  <c r="H158" i="6"/>
  <c r="D157" i="6"/>
  <c r="G157" i="6"/>
  <c r="H157" i="6"/>
  <c r="I157" i="6"/>
  <c r="E157" i="6"/>
  <c r="C187" i="6"/>
  <c r="F157" i="6"/>
  <c r="G156" i="6"/>
  <c r="H156" i="6"/>
  <c r="C186" i="6"/>
  <c r="F156" i="6"/>
  <c r="E156" i="6"/>
  <c r="D156" i="6"/>
  <c r="I156" i="6"/>
  <c r="D155" i="6"/>
  <c r="E155" i="6"/>
  <c r="F155" i="6"/>
  <c r="I155" i="6"/>
  <c r="C185" i="6"/>
  <c r="H155" i="6"/>
  <c r="G155" i="6"/>
  <c r="F154" i="6"/>
  <c r="H154" i="6"/>
  <c r="C184" i="6"/>
  <c r="E154" i="6"/>
  <c r="I154" i="6"/>
  <c r="G154" i="6"/>
  <c r="D154" i="6"/>
  <c r="F153" i="6"/>
  <c r="G153" i="6"/>
  <c r="I153" i="6"/>
  <c r="E153" i="6"/>
  <c r="D153" i="6"/>
  <c r="C183" i="6"/>
  <c r="H153" i="6"/>
  <c r="E152" i="6"/>
  <c r="H152" i="6"/>
  <c r="G152" i="6"/>
  <c r="I152" i="6"/>
  <c r="C182" i="6"/>
  <c r="D152" i="6"/>
  <c r="F152" i="6"/>
  <c r="E151" i="6"/>
  <c r="H151" i="6"/>
  <c r="F151" i="6"/>
  <c r="C181" i="6"/>
  <c r="G151" i="6"/>
  <c r="D151" i="6"/>
  <c r="I151" i="6"/>
  <c r="I150" i="6"/>
  <c r="E150" i="6"/>
  <c r="D150" i="6"/>
  <c r="G150" i="6"/>
  <c r="F150" i="6"/>
  <c r="H150" i="6"/>
  <c r="C180" i="6"/>
  <c r="E149" i="6"/>
  <c r="C179" i="6"/>
  <c r="I149" i="6"/>
  <c r="G149" i="6"/>
  <c r="H149" i="6"/>
  <c r="F149" i="6"/>
  <c r="D149" i="6"/>
  <c r="G148" i="6"/>
  <c r="D148" i="6"/>
  <c r="I148" i="6"/>
  <c r="E148" i="6"/>
  <c r="H148" i="6"/>
  <c r="C178" i="6"/>
  <c r="F148" i="6"/>
  <c r="L139" i="6"/>
  <c r="M139" i="6"/>
  <c r="M140" i="6"/>
  <c r="O140" i="6" s="1"/>
  <c r="K136" i="6"/>
  <c r="O136" i="6" s="1"/>
  <c r="K147" i="6"/>
  <c r="K125" i="6"/>
  <c r="O125" i="6" s="1"/>
  <c r="K141" i="6"/>
  <c r="O141" i="6" s="1"/>
  <c r="K143" i="6"/>
  <c r="J143" i="6"/>
  <c r="N143" i="6" s="1"/>
  <c r="J131" i="6"/>
  <c r="N131" i="6" s="1"/>
  <c r="J136" i="6"/>
  <c r="N136" i="6" s="1"/>
  <c r="J146" i="6"/>
  <c r="N146" i="6" s="1"/>
  <c r="J144" i="6"/>
  <c r="N144" i="6" s="1"/>
  <c r="J122" i="6"/>
  <c r="N122" i="6" s="1"/>
  <c r="J119" i="6"/>
  <c r="N119" i="6" s="1"/>
  <c r="J139" i="6"/>
  <c r="N139" i="6" s="1"/>
  <c r="J141" i="6"/>
  <c r="N141" i="6" s="1"/>
  <c r="J133" i="6"/>
  <c r="N133" i="6" s="1"/>
  <c r="J134" i="6"/>
  <c r="N134" i="6" s="1"/>
  <c r="J127" i="6"/>
  <c r="N127" i="6" s="1"/>
  <c r="J124" i="6"/>
  <c r="N124" i="6" s="1"/>
  <c r="J140" i="6"/>
  <c r="N140" i="6" s="1"/>
  <c r="J120" i="6"/>
  <c r="N120" i="6" s="1"/>
  <c r="J128" i="6"/>
  <c r="N128" i="6" s="1"/>
  <c r="J125" i="6"/>
  <c r="N125" i="6" s="1"/>
  <c r="J121" i="6"/>
  <c r="N121" i="6" s="1"/>
  <c r="O100" i="6"/>
  <c r="O121" i="6"/>
  <c r="O118" i="6"/>
  <c r="O94" i="6"/>
  <c r="O90" i="6"/>
  <c r="O109" i="6"/>
  <c r="O106" i="6"/>
  <c r="O99" i="6"/>
  <c r="O111" i="6"/>
  <c r="O89" i="6"/>
  <c r="O96" i="6"/>
  <c r="O95" i="6"/>
  <c r="O105" i="6"/>
  <c r="O144" i="6"/>
  <c r="O93" i="6"/>
  <c r="O97" i="6"/>
  <c r="O110" i="6"/>
  <c r="O102" i="6"/>
  <c r="O92" i="6"/>
  <c r="O114" i="6"/>
  <c r="O103" i="6"/>
  <c r="O123" i="6"/>
  <c r="O112" i="6"/>
  <c r="O101" i="6"/>
  <c r="L137" i="6"/>
  <c r="L142" i="6"/>
  <c r="L147" i="6"/>
  <c r="L120" i="6"/>
  <c r="O120" i="6" s="1"/>
  <c r="K130" i="6"/>
  <c r="O130" i="6" s="1"/>
  <c r="K133" i="6"/>
  <c r="O133" i="6" s="1"/>
  <c r="K142" i="6"/>
  <c r="K134" i="6"/>
  <c r="O134" i="6" s="1"/>
  <c r="J118" i="6"/>
  <c r="N118" i="6" s="1"/>
  <c r="J147" i="6"/>
  <c r="N147" i="6" s="1"/>
  <c r="J145" i="6"/>
  <c r="N145" i="6" s="1"/>
  <c r="J130" i="6"/>
  <c r="N130" i="6" s="1"/>
  <c r="J126" i="6"/>
  <c r="N126" i="6" s="1"/>
  <c r="J135" i="6"/>
  <c r="N135" i="6" s="1"/>
  <c r="J129" i="6"/>
  <c r="N129" i="6" s="1"/>
  <c r="J132" i="6"/>
  <c r="N132" i="6" s="1"/>
  <c r="J138" i="6"/>
  <c r="N138" i="6" s="1"/>
  <c r="J142" i="6"/>
  <c r="N142" i="6" s="1"/>
  <c r="J123" i="6"/>
  <c r="N123" i="6" s="1"/>
  <c r="J137" i="6"/>
  <c r="N137" i="6" s="1"/>
  <c r="Y216" i="3"/>
  <c r="Y215" i="3"/>
  <c r="W215" i="3"/>
  <c r="C240" i="3"/>
  <c r="D37" i="3"/>
  <c r="G218" i="3"/>
  <c r="W218" i="3"/>
  <c r="Y217" i="3"/>
  <c r="G217" i="3"/>
  <c r="C38" i="3"/>
  <c r="M241" i="3"/>
  <c r="S241" i="3" s="1"/>
  <c r="Z233" i="3"/>
  <c r="Z234" i="3"/>
  <c r="Z231" i="3"/>
  <c r="Z232" i="3"/>
  <c r="AA230" i="3"/>
  <c r="AA231" i="3"/>
  <c r="AA232" i="3"/>
  <c r="AA233" i="3"/>
  <c r="AA234" i="3"/>
  <c r="G17" i="3"/>
  <c r="F220" i="3"/>
  <c r="G16" i="3"/>
  <c r="F219" i="3"/>
  <c r="AI157" i="7"/>
  <c r="X157" i="7"/>
  <c r="U66" i="3"/>
  <c r="E64" i="3"/>
  <c r="AI162" i="7"/>
  <c r="X162" i="7"/>
  <c r="X265" i="7"/>
  <c r="AI265" i="7"/>
  <c r="X260" i="7"/>
  <c r="AI260" i="7"/>
  <c r="X29" i="7"/>
  <c r="AI29" i="7"/>
  <c r="K24" i="7"/>
  <c r="AD24" i="7" s="1"/>
  <c r="R24" i="7" s="1"/>
  <c r="D22" i="7"/>
  <c r="E29" i="3"/>
  <c r="U31" i="3"/>
  <c r="D266" i="7"/>
  <c r="AB25" i="3"/>
  <c r="AB26" i="3"/>
  <c r="D163" i="7"/>
  <c r="X20" i="7"/>
  <c r="AI20" i="7"/>
  <c r="X27" i="7"/>
  <c r="AI27" i="7"/>
  <c r="X160" i="7"/>
  <c r="AI160" i="7"/>
  <c r="X263" i="7"/>
  <c r="AI263" i="7"/>
  <c r="D279" i="7"/>
  <c r="D33" i="7"/>
  <c r="D176" i="7"/>
  <c r="C32" i="7"/>
  <c r="C31" i="7"/>
  <c r="K271" i="7"/>
  <c r="AD271" i="7" s="1"/>
  <c r="R271" i="7" s="1"/>
  <c r="U436" i="3"/>
  <c r="K168" i="7"/>
  <c r="AD168" i="7" s="1"/>
  <c r="R168" i="7" s="1"/>
  <c r="J33" i="7"/>
  <c r="AC33" i="7" s="1"/>
  <c r="T39" i="3"/>
  <c r="J279" i="7"/>
  <c r="AC279" i="7" s="1"/>
  <c r="J176" i="7"/>
  <c r="AC176" i="7" s="1"/>
  <c r="I176" i="7"/>
  <c r="AB176" i="7" s="1"/>
  <c r="I33" i="7"/>
  <c r="AB33" i="7" s="1"/>
  <c r="I279" i="7"/>
  <c r="AB279" i="7" s="1"/>
  <c r="G174" i="7"/>
  <c r="Q174" i="7" s="1"/>
  <c r="G31" i="7"/>
  <c r="Q31" i="7" s="1"/>
  <c r="G277" i="7"/>
  <c r="Q277" i="7" s="1"/>
  <c r="R37" i="3"/>
  <c r="P31" i="7"/>
  <c r="AG169" i="7"/>
  <c r="V169" i="7"/>
  <c r="AG272" i="7"/>
  <c r="V272" i="7"/>
  <c r="V30" i="7"/>
  <c r="AG30" i="7"/>
  <c r="B173" i="7"/>
  <c r="Z441" i="3"/>
  <c r="B276" i="7"/>
  <c r="K27" i="7"/>
  <c r="AD27" i="7" s="1"/>
  <c r="R27" i="7" s="1"/>
  <c r="X275" i="7"/>
  <c r="AI275" i="7"/>
  <c r="X172" i="7"/>
  <c r="AI172" i="7"/>
  <c r="B172" i="7"/>
  <c r="Z440" i="3"/>
  <c r="B275" i="7"/>
  <c r="V29" i="7"/>
  <c r="AG29" i="7"/>
  <c r="V271" i="7"/>
  <c r="AG271" i="7"/>
  <c r="AG168" i="7"/>
  <c r="V168" i="7"/>
  <c r="AH272" i="7"/>
  <c r="W272" i="7"/>
  <c r="AH169" i="7"/>
  <c r="W169" i="7"/>
  <c r="Z439" i="3"/>
  <c r="B274" i="7"/>
  <c r="B171" i="7"/>
  <c r="V28" i="7"/>
  <c r="AG28" i="7"/>
  <c r="AG167" i="7"/>
  <c r="V167" i="7"/>
  <c r="V270" i="7"/>
  <c r="AG270" i="7"/>
  <c r="AI170" i="7"/>
  <c r="X170" i="7"/>
  <c r="X273" i="7"/>
  <c r="AI273" i="7"/>
  <c r="W271" i="7"/>
  <c r="AH271" i="7"/>
  <c r="AH168" i="7"/>
  <c r="W168" i="7"/>
  <c r="AG166" i="7"/>
  <c r="V166" i="7"/>
  <c r="Z438" i="3"/>
  <c r="B273" i="7"/>
  <c r="B170" i="7"/>
  <c r="V27" i="7"/>
  <c r="AG27" i="7"/>
  <c r="V269" i="7"/>
  <c r="AG269" i="7"/>
  <c r="W30" i="7"/>
  <c r="AH30" i="7"/>
  <c r="C276" i="7"/>
  <c r="C173" i="7"/>
  <c r="W167" i="7"/>
  <c r="AH167" i="7"/>
  <c r="W270" i="7"/>
  <c r="AH270" i="7"/>
  <c r="X271" i="7"/>
  <c r="AI271" i="7"/>
  <c r="AI168" i="7"/>
  <c r="X168" i="7"/>
  <c r="W166" i="7"/>
  <c r="AH166" i="7"/>
  <c r="AH269" i="7"/>
  <c r="W269" i="7"/>
  <c r="W29" i="7"/>
  <c r="AH29" i="7"/>
  <c r="C275" i="7"/>
  <c r="C172" i="7"/>
  <c r="C171" i="7"/>
  <c r="W28" i="7"/>
  <c r="AH28" i="7"/>
  <c r="C274" i="7"/>
  <c r="W165" i="7"/>
  <c r="AH165" i="7"/>
  <c r="AH268" i="7"/>
  <c r="W268" i="7"/>
  <c r="W164" i="7"/>
  <c r="AH164" i="7"/>
  <c r="W267" i="7"/>
  <c r="AH267" i="7"/>
  <c r="C170" i="7"/>
  <c r="W27" i="7"/>
  <c r="AH27" i="7"/>
  <c r="C273" i="7"/>
  <c r="AJ151" i="7"/>
  <c r="Y151" i="7"/>
  <c r="E12" i="7"/>
  <c r="M12" i="7" s="1"/>
  <c r="W17" i="3"/>
  <c r="Y10" i="7"/>
  <c r="N10" i="7" s="1"/>
  <c r="AJ10" i="7"/>
  <c r="S10" i="7" s="1"/>
  <c r="E153" i="7"/>
  <c r="E256" i="7"/>
  <c r="Y254" i="7"/>
  <c r="N254" i="7" s="1"/>
  <c r="AJ254" i="7"/>
  <c r="S254" i="7" s="1"/>
  <c r="AJ150" i="7"/>
  <c r="Y150" i="7"/>
  <c r="AJ253" i="7"/>
  <c r="S253" i="7" s="1"/>
  <c r="Y253" i="7"/>
  <c r="N253" i="7" s="1"/>
  <c r="AD12" i="3"/>
  <c r="AD13" i="3"/>
  <c r="Y9" i="7"/>
  <c r="N9" i="7" s="1"/>
  <c r="AJ9" i="7"/>
  <c r="S9" i="7" s="1"/>
  <c r="E152" i="7"/>
  <c r="E255" i="7"/>
  <c r="E11" i="7"/>
  <c r="M11" i="7" s="1"/>
  <c r="W16" i="3"/>
  <c r="Z35" i="3"/>
  <c r="Z33" i="3"/>
  <c r="Z34" i="3"/>
  <c r="Z32" i="3"/>
  <c r="AA32" i="3"/>
  <c r="AA34" i="3"/>
  <c r="AA33" i="3"/>
  <c r="AA35" i="3"/>
  <c r="Y14" i="3"/>
  <c r="Y15" i="3"/>
  <c r="AF29" i="6"/>
  <c r="Z22" i="6"/>
  <c r="S151" i="7" l="1"/>
  <c r="AR8" i="7" s="1"/>
  <c r="AQ25" i="7"/>
  <c r="N151" i="7"/>
  <c r="AM8" i="7" s="1"/>
  <c r="K8" i="13"/>
  <c r="N8" i="13" s="1"/>
  <c r="L8" i="13"/>
  <c r="AN8" i="13" s="1"/>
  <c r="AQ8" i="13" s="1"/>
  <c r="BU8" i="13" s="1"/>
  <c r="T7" i="13"/>
  <c r="CY7" i="13" s="1"/>
  <c r="CJ7" i="13"/>
  <c r="S7" i="13"/>
  <c r="CO7" i="13" s="1"/>
  <c r="AE7" i="13"/>
  <c r="AI7" i="13" s="1"/>
  <c r="CQ7" i="13" s="1"/>
  <c r="AG7" i="13"/>
  <c r="AK7" i="13" s="1"/>
  <c r="DK7" i="13" s="1"/>
  <c r="R7" i="13"/>
  <c r="BQ7" i="13" s="1"/>
  <c r="AP7" i="13"/>
  <c r="AS7" i="13" s="1"/>
  <c r="DV7" i="13" s="1"/>
  <c r="DZ7" i="13" s="1"/>
  <c r="ED7" i="13" s="1"/>
  <c r="Z7" i="13"/>
  <c r="AD7" i="13" s="1"/>
  <c r="BR7" i="13" s="1"/>
  <c r="Y7" i="13"/>
  <c r="AC7" i="13" s="1"/>
  <c r="DJ7" i="13" s="1"/>
  <c r="X7" i="13"/>
  <c r="AB7" i="13" s="1"/>
  <c r="CZ7" i="13" s="1"/>
  <c r="W7" i="13"/>
  <c r="AA7" i="13" s="1"/>
  <c r="CP7" i="13" s="1"/>
  <c r="Q7" i="13"/>
  <c r="AY7" i="13" s="1"/>
  <c r="AH7" i="13"/>
  <c r="AL7" i="13" s="1"/>
  <c r="BS7" i="13" s="1"/>
  <c r="AF7" i="13"/>
  <c r="AJ7" i="13" s="1"/>
  <c r="DA7" i="13" s="1"/>
  <c r="M8" i="13"/>
  <c r="V7" i="13"/>
  <c r="CG7" i="13"/>
  <c r="U7" i="13"/>
  <c r="DI7" i="13" s="1"/>
  <c r="AP31" i="7"/>
  <c r="R239" i="3"/>
  <c r="F174" i="7"/>
  <c r="P174" i="7" s="1"/>
  <c r="R442" i="3"/>
  <c r="F277" i="7"/>
  <c r="P277" i="7" s="1"/>
  <c r="AO30" i="7"/>
  <c r="O143" i="6"/>
  <c r="L168" i="6"/>
  <c r="U77" i="11"/>
  <c r="O77" i="11"/>
  <c r="E87" i="11"/>
  <c r="EG7" i="13"/>
  <c r="EM7" i="13" s="1"/>
  <c r="ER7" i="13"/>
  <c r="ES7" i="13" s="1"/>
  <c r="O135" i="6"/>
  <c r="O137" i="6"/>
  <c r="EF8" i="13"/>
  <c r="EL8" i="13" s="1"/>
  <c r="FE8" i="13" s="1"/>
  <c r="K50" i="10"/>
  <c r="K25" i="10"/>
  <c r="K22" i="10"/>
  <c r="K76" i="10"/>
  <c r="K72" i="10"/>
  <c r="K59" i="10"/>
  <c r="K63" i="10"/>
  <c r="K98" i="10"/>
  <c r="K94" i="10"/>
  <c r="K89" i="10"/>
  <c r="K85" i="10"/>
  <c r="K68" i="10"/>
  <c r="K80" i="10"/>
  <c r="K46" i="10"/>
  <c r="K41" i="10"/>
  <c r="K37" i="10"/>
  <c r="K32" i="10"/>
  <c r="K28" i="10"/>
  <c r="K102" i="10"/>
  <c r="K54" i="10"/>
  <c r="K18" i="10"/>
  <c r="AB228" i="3"/>
  <c r="AB230" i="3"/>
  <c r="AB231" i="3"/>
  <c r="AB229" i="3"/>
  <c r="K167" i="7"/>
  <c r="AD167" i="7" s="1"/>
  <c r="R167" i="7" s="1"/>
  <c r="AQ24" i="7" s="1"/>
  <c r="U232" i="3"/>
  <c r="M445" i="3"/>
  <c r="S39" i="3"/>
  <c r="CJ7" i="12"/>
  <c r="CG7" i="12"/>
  <c r="Y7" i="12"/>
  <c r="AC7" i="12" s="1"/>
  <c r="DJ7" i="12" s="1"/>
  <c r="X7" i="12"/>
  <c r="AB7" i="12" s="1"/>
  <c r="CZ7" i="12" s="1"/>
  <c r="W7" i="12"/>
  <c r="AA7" i="12" s="1"/>
  <c r="CP7" i="12" s="1"/>
  <c r="AD215" i="3"/>
  <c r="AD217" i="3"/>
  <c r="AH7" i="12"/>
  <c r="AG7" i="12"/>
  <c r="AK7" i="12" s="1"/>
  <c r="DK7" i="12" s="1"/>
  <c r="AF7" i="12"/>
  <c r="AJ7" i="12" s="1"/>
  <c r="DA7" i="12" s="1"/>
  <c r="AE7" i="12"/>
  <c r="AI7" i="12" s="1"/>
  <c r="CQ7" i="12" s="1"/>
  <c r="AD7" i="12"/>
  <c r="BR7" i="12" s="1"/>
  <c r="M8" i="12"/>
  <c r="L8" i="12"/>
  <c r="AN8" i="12" s="1"/>
  <c r="K8" i="12"/>
  <c r="AP7" i="12"/>
  <c r="V7" i="12"/>
  <c r="R7" i="12"/>
  <c r="BQ7" i="12" s="1"/>
  <c r="S7" i="12"/>
  <c r="CO7" i="12" s="1"/>
  <c r="T7" i="12"/>
  <c r="CY7" i="12" s="1"/>
  <c r="U7" i="12"/>
  <c r="DI7" i="12" s="1"/>
  <c r="Q7" i="12"/>
  <c r="AY7" i="12" s="1"/>
  <c r="BE7" i="12" s="1"/>
  <c r="G423" i="3"/>
  <c r="W423" i="3"/>
  <c r="G422" i="3"/>
  <c r="AD216" i="3"/>
  <c r="S150" i="7"/>
  <c r="AR7" i="7" s="1"/>
  <c r="N150" i="7"/>
  <c r="AM7" i="7" s="1"/>
  <c r="AB431" i="3"/>
  <c r="AB432" i="3"/>
  <c r="AB433" i="3"/>
  <c r="AB434" i="3"/>
  <c r="AB435" i="3"/>
  <c r="AB436" i="3"/>
  <c r="W420" i="3"/>
  <c r="D240" i="3"/>
  <c r="C175" i="7" s="1"/>
  <c r="D443" i="3"/>
  <c r="D32" i="10"/>
  <c r="H32" i="10" s="1"/>
  <c r="C444" i="3"/>
  <c r="C33" i="10"/>
  <c r="G33" i="10" s="1"/>
  <c r="O269" i="3"/>
  <c r="O472" i="3"/>
  <c r="E267" i="3"/>
  <c r="E59" i="10"/>
  <c r="I59" i="10" s="1"/>
  <c r="E470" i="3"/>
  <c r="E232" i="3"/>
  <c r="D167" i="7" s="1"/>
  <c r="E435" i="3"/>
  <c r="D270" i="7" s="1"/>
  <c r="E24" i="10"/>
  <c r="I24" i="10" s="1"/>
  <c r="O234" i="3"/>
  <c r="O437" i="3"/>
  <c r="K272" i="7" s="1"/>
  <c r="AD272" i="7" s="1"/>
  <c r="R272" i="7" s="1"/>
  <c r="N242" i="3"/>
  <c r="T242" i="3" s="1"/>
  <c r="N445" i="3"/>
  <c r="T445" i="3" s="1"/>
  <c r="J240" i="3"/>
  <c r="G175" i="7" s="1"/>
  <c r="Q175" i="7" s="1"/>
  <c r="J443" i="3"/>
  <c r="G278" i="7" s="1"/>
  <c r="Q278" i="7" s="1"/>
  <c r="H240" i="3"/>
  <c r="H443" i="3"/>
  <c r="AA438" i="3"/>
  <c r="AA439" i="3"/>
  <c r="AA440" i="3"/>
  <c r="AA441" i="3"/>
  <c r="AA442" i="3"/>
  <c r="F14" i="10"/>
  <c r="J14" i="10" s="1"/>
  <c r="F425" i="3"/>
  <c r="F13" i="10"/>
  <c r="J13" i="10" s="1"/>
  <c r="F424" i="3"/>
  <c r="O129" i="6"/>
  <c r="O128" i="6"/>
  <c r="L170" i="6"/>
  <c r="O142" i="6"/>
  <c r="K165" i="6"/>
  <c r="K163" i="6"/>
  <c r="K171" i="6"/>
  <c r="K152" i="6"/>
  <c r="K155" i="6"/>
  <c r="L152" i="6"/>
  <c r="L160" i="6"/>
  <c r="L166" i="6"/>
  <c r="J154" i="6"/>
  <c r="N154" i="6" s="1"/>
  <c r="J159" i="6"/>
  <c r="N159" i="6" s="1"/>
  <c r="J164" i="6"/>
  <c r="N164" i="6" s="1"/>
  <c r="J157" i="6"/>
  <c r="N157" i="6" s="1"/>
  <c r="J156" i="6"/>
  <c r="N156" i="6" s="1"/>
  <c r="J172" i="6"/>
  <c r="N172" i="6" s="1"/>
  <c r="K153" i="6"/>
  <c r="K160" i="6"/>
  <c r="J152" i="6"/>
  <c r="N152" i="6" s="1"/>
  <c r="J155" i="6"/>
  <c r="N155" i="6" s="1"/>
  <c r="J169" i="6"/>
  <c r="N169" i="6" s="1"/>
  <c r="J177" i="6"/>
  <c r="N177" i="6" s="1"/>
  <c r="J150" i="6"/>
  <c r="N150" i="6" s="1"/>
  <c r="J162" i="6"/>
  <c r="N162" i="6" s="1"/>
  <c r="J166" i="6"/>
  <c r="N166" i="6" s="1"/>
  <c r="J173" i="6"/>
  <c r="N173" i="6" s="1"/>
  <c r="J165" i="6"/>
  <c r="N165" i="6" s="1"/>
  <c r="J151" i="6"/>
  <c r="N151" i="6" s="1"/>
  <c r="J168" i="6"/>
  <c r="N168" i="6" s="1"/>
  <c r="J153" i="6"/>
  <c r="N153" i="6" s="1"/>
  <c r="J163" i="6"/>
  <c r="N163" i="6" s="1"/>
  <c r="J174" i="6"/>
  <c r="N174" i="6" s="1"/>
  <c r="J170" i="6"/>
  <c r="N170" i="6" s="1"/>
  <c r="J158" i="6"/>
  <c r="N158" i="6" s="1"/>
  <c r="J161" i="6"/>
  <c r="N161" i="6" s="1"/>
  <c r="M161" i="6"/>
  <c r="M156" i="6"/>
  <c r="F207" i="6"/>
  <c r="C237" i="6"/>
  <c r="D207" i="6"/>
  <c r="I207" i="6"/>
  <c r="H207" i="6"/>
  <c r="G207" i="6"/>
  <c r="E207" i="6"/>
  <c r="D206" i="6"/>
  <c r="E206" i="6"/>
  <c r="H206" i="6"/>
  <c r="G206" i="6"/>
  <c r="F206" i="6"/>
  <c r="C236" i="6"/>
  <c r="I206" i="6"/>
  <c r="I205" i="6"/>
  <c r="C235" i="6"/>
  <c r="D205" i="6"/>
  <c r="F205" i="6"/>
  <c r="E205" i="6"/>
  <c r="G205" i="6"/>
  <c r="H205" i="6"/>
  <c r="D204" i="6"/>
  <c r="G204" i="6"/>
  <c r="E204" i="6"/>
  <c r="C234" i="6"/>
  <c r="F204" i="6"/>
  <c r="H204" i="6"/>
  <c r="I204" i="6"/>
  <c r="I203" i="6"/>
  <c r="D203" i="6"/>
  <c r="E203" i="6"/>
  <c r="H203" i="6"/>
  <c r="F203" i="6"/>
  <c r="G203" i="6"/>
  <c r="C233" i="6"/>
  <c r="E202" i="6"/>
  <c r="I202" i="6"/>
  <c r="F202" i="6"/>
  <c r="G202" i="6"/>
  <c r="D202" i="6"/>
  <c r="H202" i="6"/>
  <c r="C232" i="6"/>
  <c r="H201" i="6"/>
  <c r="I201" i="6"/>
  <c r="C231" i="6"/>
  <c r="D201" i="6"/>
  <c r="G201" i="6"/>
  <c r="E201" i="6"/>
  <c r="F201" i="6"/>
  <c r="C230" i="6"/>
  <c r="E200" i="6"/>
  <c r="I200" i="6"/>
  <c r="D200" i="6"/>
  <c r="G200" i="6"/>
  <c r="F200" i="6"/>
  <c r="H200" i="6"/>
  <c r="G199" i="6"/>
  <c r="I199" i="6"/>
  <c r="H199" i="6"/>
  <c r="C229" i="6"/>
  <c r="F199" i="6"/>
  <c r="D199" i="6"/>
  <c r="E199" i="6"/>
  <c r="I198" i="6"/>
  <c r="E198" i="6"/>
  <c r="F198" i="6"/>
  <c r="H198" i="6"/>
  <c r="G198" i="6"/>
  <c r="D198" i="6"/>
  <c r="C228" i="6"/>
  <c r="G197" i="6"/>
  <c r="H197" i="6"/>
  <c r="D197" i="6"/>
  <c r="C227" i="6"/>
  <c r="E197" i="6"/>
  <c r="I197" i="6"/>
  <c r="F197" i="6"/>
  <c r="D196" i="6"/>
  <c r="E196" i="6"/>
  <c r="F196" i="6"/>
  <c r="G196" i="6"/>
  <c r="H196" i="6"/>
  <c r="I196" i="6"/>
  <c r="C226" i="6"/>
  <c r="D195" i="6"/>
  <c r="E195" i="6"/>
  <c r="F195" i="6"/>
  <c r="M202" i="6" s="1"/>
  <c r="G195" i="6"/>
  <c r="H195" i="6"/>
  <c r="I195" i="6"/>
  <c r="C225" i="6"/>
  <c r="D194" i="6"/>
  <c r="E194" i="6"/>
  <c r="F194" i="6"/>
  <c r="G194" i="6"/>
  <c r="H194" i="6"/>
  <c r="I194" i="6"/>
  <c r="C224" i="6"/>
  <c r="D193" i="6"/>
  <c r="E193" i="6"/>
  <c r="F193" i="6"/>
  <c r="G193" i="6"/>
  <c r="H193" i="6"/>
  <c r="I193" i="6"/>
  <c r="C223" i="6"/>
  <c r="D192" i="6"/>
  <c r="E192" i="6"/>
  <c r="F192" i="6"/>
  <c r="G192" i="6"/>
  <c r="H192" i="6"/>
  <c r="I192" i="6"/>
  <c r="C222" i="6"/>
  <c r="D191" i="6"/>
  <c r="E191" i="6"/>
  <c r="F191" i="6"/>
  <c r="G191" i="6"/>
  <c r="H191" i="6"/>
  <c r="I191" i="6"/>
  <c r="C221" i="6"/>
  <c r="D190" i="6"/>
  <c r="E190" i="6"/>
  <c r="F190" i="6"/>
  <c r="G190" i="6"/>
  <c r="H190" i="6"/>
  <c r="I190" i="6"/>
  <c r="C220" i="6"/>
  <c r="D189" i="6"/>
  <c r="E189" i="6"/>
  <c r="F189" i="6"/>
  <c r="G189" i="6"/>
  <c r="H189" i="6"/>
  <c r="I189" i="6"/>
  <c r="C219" i="6"/>
  <c r="D188" i="6"/>
  <c r="E188" i="6"/>
  <c r="F188" i="6"/>
  <c r="G188" i="6"/>
  <c r="H188" i="6"/>
  <c r="I188" i="6"/>
  <c r="C218" i="6"/>
  <c r="D187" i="6"/>
  <c r="E187" i="6"/>
  <c r="F187" i="6"/>
  <c r="G187" i="6"/>
  <c r="H187" i="6"/>
  <c r="I187" i="6"/>
  <c r="C217" i="6"/>
  <c r="D186" i="6"/>
  <c r="E186" i="6"/>
  <c r="F186" i="6"/>
  <c r="G186" i="6"/>
  <c r="H186" i="6"/>
  <c r="I186" i="6"/>
  <c r="C216" i="6"/>
  <c r="D185" i="6"/>
  <c r="E185" i="6"/>
  <c r="F185" i="6"/>
  <c r="G185" i="6"/>
  <c r="H185" i="6"/>
  <c r="I185" i="6"/>
  <c r="C215" i="6"/>
  <c r="D184" i="6"/>
  <c r="E184" i="6"/>
  <c r="F184" i="6"/>
  <c r="G184" i="6"/>
  <c r="H184" i="6"/>
  <c r="I184" i="6"/>
  <c r="C214" i="6"/>
  <c r="D183" i="6"/>
  <c r="E183" i="6"/>
  <c r="F183" i="6"/>
  <c r="G183" i="6"/>
  <c r="H183" i="6"/>
  <c r="I183" i="6"/>
  <c r="C213" i="6"/>
  <c r="D182" i="6"/>
  <c r="E182" i="6"/>
  <c r="F182" i="6"/>
  <c r="G182" i="6"/>
  <c r="H182" i="6"/>
  <c r="I182" i="6"/>
  <c r="C212" i="6"/>
  <c r="D181" i="6"/>
  <c r="E181" i="6"/>
  <c r="F181" i="6"/>
  <c r="G181" i="6"/>
  <c r="H181" i="6"/>
  <c r="I181" i="6"/>
  <c r="C211" i="6"/>
  <c r="D180" i="6"/>
  <c r="E180" i="6"/>
  <c r="F180" i="6"/>
  <c r="G180" i="6"/>
  <c r="H180" i="6"/>
  <c r="I180" i="6"/>
  <c r="C210" i="6"/>
  <c r="D179" i="6"/>
  <c r="E179" i="6"/>
  <c r="F179" i="6"/>
  <c r="G179" i="6"/>
  <c r="H179" i="6"/>
  <c r="I179" i="6"/>
  <c r="C209" i="6"/>
  <c r="K168" i="6"/>
  <c r="K148" i="6"/>
  <c r="K156" i="6"/>
  <c r="K151" i="6"/>
  <c r="K166" i="6"/>
  <c r="K162" i="6"/>
  <c r="K174" i="6"/>
  <c r="K161" i="6"/>
  <c r="K173" i="6"/>
  <c r="K150" i="6"/>
  <c r="K175" i="6"/>
  <c r="K170" i="6"/>
  <c r="K154" i="6"/>
  <c r="K157" i="6"/>
  <c r="K176" i="6"/>
  <c r="K149" i="6"/>
  <c r="K164" i="6"/>
  <c r="K167" i="6"/>
  <c r="K177" i="6"/>
  <c r="K158" i="6"/>
  <c r="K172" i="6"/>
  <c r="L165" i="6"/>
  <c r="L151" i="6"/>
  <c r="L171" i="6"/>
  <c r="L163" i="6"/>
  <c r="L150" i="6"/>
  <c r="L158" i="6"/>
  <c r="L159" i="6"/>
  <c r="L155" i="6"/>
  <c r="L148" i="6"/>
  <c r="L177" i="6"/>
  <c r="L154" i="6"/>
  <c r="L172" i="6"/>
  <c r="L149" i="6"/>
  <c r="L169" i="6"/>
  <c r="L161" i="6"/>
  <c r="L167" i="6"/>
  <c r="L153" i="6"/>
  <c r="L173" i="6"/>
  <c r="L156" i="6"/>
  <c r="L157" i="6"/>
  <c r="L176" i="6"/>
  <c r="L175" i="6"/>
  <c r="L174" i="6"/>
  <c r="L162" i="6"/>
  <c r="L164" i="6"/>
  <c r="D178" i="6"/>
  <c r="E178" i="6"/>
  <c r="F178" i="6"/>
  <c r="G178" i="6"/>
  <c r="H178" i="6"/>
  <c r="I178" i="6"/>
  <c r="C208" i="6"/>
  <c r="M177" i="6"/>
  <c r="M150" i="6"/>
  <c r="M193" i="6"/>
  <c r="M190" i="6"/>
  <c r="M176" i="6"/>
  <c r="M171" i="6"/>
  <c r="M204" i="6"/>
  <c r="M172" i="6"/>
  <c r="M164" i="6"/>
  <c r="M157" i="6"/>
  <c r="M162" i="6"/>
  <c r="M158" i="6"/>
  <c r="M166" i="6"/>
  <c r="M160" i="6"/>
  <c r="M154" i="6"/>
  <c r="M155" i="6"/>
  <c r="M148" i="6"/>
  <c r="M174" i="6"/>
  <c r="M149" i="6"/>
  <c r="M165" i="6"/>
  <c r="M173" i="6"/>
  <c r="M163" i="6"/>
  <c r="M185" i="6"/>
  <c r="M152" i="6"/>
  <c r="O152" i="6" s="1"/>
  <c r="M151" i="6"/>
  <c r="M159" i="6"/>
  <c r="M168" i="6"/>
  <c r="M167" i="6"/>
  <c r="M153" i="6"/>
  <c r="M175" i="6"/>
  <c r="M169" i="6"/>
  <c r="M170" i="6"/>
  <c r="O147" i="6"/>
  <c r="O139" i="6"/>
  <c r="K169" i="6"/>
  <c r="J176" i="6"/>
  <c r="N176" i="6" s="1"/>
  <c r="J167" i="6"/>
  <c r="N167" i="6" s="1"/>
  <c r="J175" i="6"/>
  <c r="N175" i="6" s="1"/>
  <c r="J171" i="6"/>
  <c r="N171" i="6" s="1"/>
  <c r="J149" i="6"/>
  <c r="N149" i="6" s="1"/>
  <c r="J148" i="6"/>
  <c r="N148" i="6" s="1"/>
  <c r="J160" i="6"/>
  <c r="N160" i="6" s="1"/>
  <c r="K159" i="6"/>
  <c r="C241" i="3"/>
  <c r="B176" i="7" s="1"/>
  <c r="D38" i="3"/>
  <c r="G220" i="3"/>
  <c r="W220" i="3"/>
  <c r="G219" i="3"/>
  <c r="W217" i="3"/>
  <c r="Y220" i="3"/>
  <c r="AD220" i="3" s="1"/>
  <c r="Y218" i="3"/>
  <c r="AD218" i="3" s="1"/>
  <c r="C39" i="3"/>
  <c r="M242" i="3"/>
  <c r="S242" i="3" s="1"/>
  <c r="Z235" i="3"/>
  <c r="Z238" i="3"/>
  <c r="Z237" i="3"/>
  <c r="Z236" i="3"/>
  <c r="AA236" i="3"/>
  <c r="AA237" i="3"/>
  <c r="AA238" i="3"/>
  <c r="AA235" i="3"/>
  <c r="G19" i="3"/>
  <c r="F222" i="3"/>
  <c r="G18" i="3"/>
  <c r="F221" i="3"/>
  <c r="U68" i="3"/>
  <c r="E66" i="3"/>
  <c r="K26" i="7"/>
  <c r="AD26" i="7" s="1"/>
  <c r="R26" i="7" s="1"/>
  <c r="Z39" i="3"/>
  <c r="D39" i="3"/>
  <c r="AI268" i="7"/>
  <c r="X268" i="7"/>
  <c r="X165" i="7"/>
  <c r="AI165" i="7"/>
  <c r="AB28" i="3"/>
  <c r="AB27" i="3"/>
  <c r="AI22" i="7"/>
  <c r="X22" i="7"/>
  <c r="D24" i="7"/>
  <c r="E31" i="3"/>
  <c r="U33" i="3"/>
  <c r="X266" i="7"/>
  <c r="AI266" i="7"/>
  <c r="X163" i="7"/>
  <c r="AI163" i="7"/>
  <c r="X33" i="7"/>
  <c r="AI33" i="7"/>
  <c r="W32" i="7"/>
  <c r="AH32" i="7"/>
  <c r="C174" i="7"/>
  <c r="C277" i="7"/>
  <c r="W31" i="7"/>
  <c r="AH31" i="7"/>
  <c r="D174" i="7"/>
  <c r="D31" i="7"/>
  <c r="D277" i="7"/>
  <c r="AA36" i="3"/>
  <c r="AA37" i="3"/>
  <c r="T40" i="3"/>
  <c r="J34" i="7"/>
  <c r="AC34" i="7" s="1"/>
  <c r="I177" i="7"/>
  <c r="AB177" i="7" s="1"/>
  <c r="I34" i="7"/>
  <c r="AB34" i="7" s="1"/>
  <c r="G32" i="7"/>
  <c r="Q32" i="7" s="1"/>
  <c r="P32" i="7"/>
  <c r="R38" i="3"/>
  <c r="AG173" i="7"/>
  <c r="V173" i="7"/>
  <c r="AG276" i="7"/>
  <c r="V276" i="7"/>
  <c r="K29" i="7"/>
  <c r="AD29" i="7" s="1"/>
  <c r="R29" i="7" s="1"/>
  <c r="U438" i="3"/>
  <c r="K273" i="7"/>
  <c r="AD273" i="7" s="1"/>
  <c r="R273" i="7" s="1"/>
  <c r="K170" i="7"/>
  <c r="AD170" i="7" s="1"/>
  <c r="R170" i="7" s="1"/>
  <c r="V172" i="7"/>
  <c r="AG172" i="7"/>
  <c r="V275" i="7"/>
  <c r="AG275" i="7"/>
  <c r="V33" i="7"/>
  <c r="AG33" i="7"/>
  <c r="AG274" i="7"/>
  <c r="V274" i="7"/>
  <c r="V32" i="7"/>
  <c r="AG32" i="7"/>
  <c r="Z443" i="3"/>
  <c r="B278" i="7"/>
  <c r="B175" i="7"/>
  <c r="V171" i="7"/>
  <c r="AG171" i="7"/>
  <c r="V273" i="7"/>
  <c r="AG273" i="7"/>
  <c r="AG170" i="7"/>
  <c r="V170" i="7"/>
  <c r="Z442" i="3"/>
  <c r="B277" i="7"/>
  <c r="B174" i="7"/>
  <c r="V31" i="7"/>
  <c r="AG31" i="7"/>
  <c r="AH276" i="7"/>
  <c r="W276" i="7"/>
  <c r="AH173" i="7"/>
  <c r="W173" i="7"/>
  <c r="AI176" i="7"/>
  <c r="X176" i="7"/>
  <c r="AI279" i="7"/>
  <c r="X279" i="7"/>
  <c r="W275" i="7"/>
  <c r="AH275" i="7"/>
  <c r="W172" i="7"/>
  <c r="AH172" i="7"/>
  <c r="W171" i="7"/>
  <c r="AH171" i="7"/>
  <c r="AH274" i="7"/>
  <c r="W274" i="7"/>
  <c r="AH170" i="7"/>
  <c r="W170" i="7"/>
  <c r="W273" i="7"/>
  <c r="AH273" i="7"/>
  <c r="Y12" i="7"/>
  <c r="N12" i="7" s="1"/>
  <c r="AJ12" i="7"/>
  <c r="S12" i="7" s="1"/>
  <c r="E155" i="7"/>
  <c r="E258" i="7"/>
  <c r="W19" i="3"/>
  <c r="E14" i="7"/>
  <c r="M14" i="7" s="1"/>
  <c r="AJ153" i="7"/>
  <c r="S153" i="7" s="1"/>
  <c r="Y153" i="7"/>
  <c r="N153" i="7" s="1"/>
  <c r="Y256" i="7"/>
  <c r="N256" i="7" s="1"/>
  <c r="AJ256" i="7"/>
  <c r="S256" i="7" s="1"/>
  <c r="AJ152" i="7"/>
  <c r="S152" i="7" s="1"/>
  <c r="Y152" i="7"/>
  <c r="N152" i="7" s="1"/>
  <c r="Y255" i="7"/>
  <c r="N255" i="7" s="1"/>
  <c r="AJ255" i="7"/>
  <c r="S255" i="7" s="1"/>
  <c r="Y11" i="7"/>
  <c r="N11" i="7" s="1"/>
  <c r="AJ11" i="7"/>
  <c r="S11" i="7" s="1"/>
  <c r="W18" i="3"/>
  <c r="E13" i="7"/>
  <c r="M13" i="7" s="1"/>
  <c r="E154" i="7"/>
  <c r="E257" i="7"/>
  <c r="AD14" i="3"/>
  <c r="AD15" i="3"/>
  <c r="Z37" i="3"/>
  <c r="Z38" i="3"/>
  <c r="Z36" i="3"/>
  <c r="Y17" i="3"/>
  <c r="Y16" i="3"/>
  <c r="AF30" i="6"/>
  <c r="Z23" i="6"/>
  <c r="AR10" i="7" l="1"/>
  <c r="AO31" i="7"/>
  <c r="AM10" i="7"/>
  <c r="AR9" i="7"/>
  <c r="AM9" i="7"/>
  <c r="AQ27" i="7"/>
  <c r="AB232" i="3"/>
  <c r="AB233" i="3"/>
  <c r="S445" i="3"/>
  <c r="I280" i="7"/>
  <c r="AB280" i="7" s="1"/>
  <c r="AJ77" i="11"/>
  <c r="AO8" i="13"/>
  <c r="AR8" i="13" s="1"/>
  <c r="AZ8" i="13" s="1"/>
  <c r="AM8" i="13"/>
  <c r="BT8" i="13" s="1"/>
  <c r="AP32" i="7"/>
  <c r="U87" i="11"/>
  <c r="O87" i="11"/>
  <c r="AJ87" i="11" s="1"/>
  <c r="E97" i="11"/>
  <c r="ET7" i="13"/>
  <c r="EW7" i="13" s="1"/>
  <c r="EZ7" i="13" s="1"/>
  <c r="EU7" i="13"/>
  <c r="EX7" i="13" s="1"/>
  <c r="FA7" i="13" s="1"/>
  <c r="EV7" i="13"/>
  <c r="EY7" i="13" s="1"/>
  <c r="FB7" i="13" s="1"/>
  <c r="FF7" i="13" s="1"/>
  <c r="BC7" i="12"/>
  <c r="BI7" i="12" s="1"/>
  <c r="BE7" i="13"/>
  <c r="BC7" i="13"/>
  <c r="BK7" i="13" s="1"/>
  <c r="ER8" i="13"/>
  <c r="ES8" i="13" s="1"/>
  <c r="EG8" i="13"/>
  <c r="EM8" i="13" s="1"/>
  <c r="EK7" i="13"/>
  <c r="EJ8" i="13"/>
  <c r="AH8" i="13"/>
  <c r="AL8" i="13" s="1"/>
  <c r="BS8" i="13" s="1"/>
  <c r="M9" i="13"/>
  <c r="L9" i="13"/>
  <c r="AN9" i="13" s="1"/>
  <c r="AQ9" i="13" s="1"/>
  <c r="BU9" i="13" s="1"/>
  <c r="K9" i="13"/>
  <c r="CG8" i="13"/>
  <c r="AP8" i="13"/>
  <c r="AS8" i="13" s="1"/>
  <c r="DV8" i="13" s="1"/>
  <c r="DZ8" i="13" s="1"/>
  <c r="ED8" i="13" s="1"/>
  <c r="Q8" i="13"/>
  <c r="S8" i="13"/>
  <c r="CO8" i="13" s="1"/>
  <c r="T8" i="13"/>
  <c r="CY8" i="13" s="1"/>
  <c r="U8" i="13"/>
  <c r="DI8" i="13" s="1"/>
  <c r="V8" i="13"/>
  <c r="W8" i="13"/>
  <c r="X8" i="13"/>
  <c r="Y8" i="13"/>
  <c r="Z8" i="13"/>
  <c r="CJ8" i="13"/>
  <c r="AG8" i="13"/>
  <c r="AK8" i="13" s="1"/>
  <c r="DK8" i="13" s="1"/>
  <c r="AF8" i="13"/>
  <c r="AJ8" i="13" s="1"/>
  <c r="DA8" i="13" s="1"/>
  <c r="AE8" i="13"/>
  <c r="AI8" i="13" s="1"/>
  <c r="CQ8" i="13" s="1"/>
  <c r="K169" i="7"/>
  <c r="AD169" i="7" s="1"/>
  <c r="R169" i="7" s="1"/>
  <c r="AQ26" i="7" s="1"/>
  <c r="U234" i="3"/>
  <c r="F175" i="7"/>
  <c r="P175" i="7" s="1"/>
  <c r="R240" i="3"/>
  <c r="F278" i="7"/>
  <c r="P278" i="7" s="1"/>
  <c r="R443" i="3"/>
  <c r="M446" i="3"/>
  <c r="S446" i="3" s="1"/>
  <c r="S40" i="3"/>
  <c r="AQ8" i="12"/>
  <c r="BU8" i="12" s="1"/>
  <c r="AS7" i="12"/>
  <c r="DV7" i="12" s="1"/>
  <c r="DZ7" i="12" s="1"/>
  <c r="ED7" i="12" s="1"/>
  <c r="AM8" i="12"/>
  <c r="BT8" i="12" s="1"/>
  <c r="AO8" i="12"/>
  <c r="AL7" i="12"/>
  <c r="BS7" i="12" s="1"/>
  <c r="Y422" i="3"/>
  <c r="AD422" i="3" s="1"/>
  <c r="Y425" i="3"/>
  <c r="AD425" i="3" s="1"/>
  <c r="Y423" i="3"/>
  <c r="AD423" i="3" s="1"/>
  <c r="W422" i="3"/>
  <c r="G425" i="3"/>
  <c r="G424" i="3"/>
  <c r="C278" i="7"/>
  <c r="Z444" i="3"/>
  <c r="B279" i="7"/>
  <c r="D241" i="3"/>
  <c r="C176" i="7" s="1"/>
  <c r="AA38" i="3"/>
  <c r="D33" i="10"/>
  <c r="H33" i="10" s="1"/>
  <c r="D444" i="3"/>
  <c r="C33" i="7"/>
  <c r="C242" i="3"/>
  <c r="B177" i="7" s="1"/>
  <c r="C445" i="3"/>
  <c r="C34" i="10"/>
  <c r="G34" i="10" s="1"/>
  <c r="O271" i="3"/>
  <c r="O474" i="3"/>
  <c r="E269" i="3"/>
  <c r="E472" i="3"/>
  <c r="E61" i="10"/>
  <c r="I61" i="10" s="1"/>
  <c r="D34" i="10"/>
  <c r="H34" i="10" s="1"/>
  <c r="D445" i="3"/>
  <c r="E234" i="3"/>
  <c r="E437" i="3"/>
  <c r="E26" i="10"/>
  <c r="I26" i="10" s="1"/>
  <c r="O236" i="3"/>
  <c r="O439" i="3"/>
  <c r="K274" i="7" s="1"/>
  <c r="AD274" i="7" s="1"/>
  <c r="R274" i="7" s="1"/>
  <c r="AA239" i="3"/>
  <c r="AA240" i="3"/>
  <c r="AA241" i="3"/>
  <c r="N243" i="3"/>
  <c r="T243" i="3" s="1"/>
  <c r="N446" i="3"/>
  <c r="T446" i="3" s="1"/>
  <c r="J241" i="3"/>
  <c r="G176" i="7" s="1"/>
  <c r="Q176" i="7" s="1"/>
  <c r="J444" i="3"/>
  <c r="G279" i="7" s="1"/>
  <c r="Q279" i="7" s="1"/>
  <c r="H241" i="3"/>
  <c r="H444" i="3"/>
  <c r="F427" i="3"/>
  <c r="F16" i="10"/>
  <c r="J16" i="10" s="1"/>
  <c r="F426" i="3"/>
  <c r="F15" i="10"/>
  <c r="J15" i="10" s="1"/>
  <c r="Z8" i="12"/>
  <c r="O160" i="6"/>
  <c r="M186" i="6"/>
  <c r="M181" i="6"/>
  <c r="M201" i="6"/>
  <c r="M196" i="6"/>
  <c r="M206" i="6"/>
  <c r="M183" i="6"/>
  <c r="O169" i="6"/>
  <c r="K196" i="6"/>
  <c r="K202" i="6"/>
  <c r="K178" i="6"/>
  <c r="M187" i="6"/>
  <c r="M192" i="6"/>
  <c r="M197" i="6"/>
  <c r="L207" i="6"/>
  <c r="L205" i="6"/>
  <c r="L189" i="6"/>
  <c r="M179" i="6"/>
  <c r="M199" i="6"/>
  <c r="J199" i="6"/>
  <c r="N199" i="6" s="1"/>
  <c r="J178" i="6"/>
  <c r="N178" i="6" s="1"/>
  <c r="E237" i="6"/>
  <c r="H237" i="6"/>
  <c r="F237" i="6"/>
  <c r="D237" i="6"/>
  <c r="C267" i="6"/>
  <c r="G237" i="6"/>
  <c r="I237" i="6"/>
  <c r="C266" i="6"/>
  <c r="D236" i="6"/>
  <c r="E236" i="6"/>
  <c r="G236" i="6"/>
  <c r="F236" i="6"/>
  <c r="H236" i="6"/>
  <c r="I236" i="6"/>
  <c r="H235" i="6"/>
  <c r="D235" i="6"/>
  <c r="C265" i="6"/>
  <c r="G235" i="6"/>
  <c r="F235" i="6"/>
  <c r="I235" i="6"/>
  <c r="E235" i="6"/>
  <c r="C264" i="6"/>
  <c r="I234" i="6"/>
  <c r="F234" i="6"/>
  <c r="G234" i="6"/>
  <c r="H234" i="6"/>
  <c r="E234" i="6"/>
  <c r="D234" i="6"/>
  <c r="G233" i="6"/>
  <c r="I233" i="6"/>
  <c r="E233" i="6"/>
  <c r="D233" i="6"/>
  <c r="H233" i="6"/>
  <c r="F233" i="6"/>
  <c r="C263" i="6"/>
  <c r="G232" i="6"/>
  <c r="D232" i="6"/>
  <c r="H232" i="6"/>
  <c r="C262" i="6"/>
  <c r="E232" i="6"/>
  <c r="I232" i="6"/>
  <c r="F232" i="6"/>
  <c r="I231" i="6"/>
  <c r="H231" i="6"/>
  <c r="D231" i="6"/>
  <c r="E231" i="6"/>
  <c r="G231" i="6"/>
  <c r="C261" i="6"/>
  <c r="F231" i="6"/>
  <c r="F230" i="6"/>
  <c r="C260" i="6"/>
  <c r="E230" i="6"/>
  <c r="G230" i="6"/>
  <c r="H230" i="6"/>
  <c r="D230" i="6"/>
  <c r="I230" i="6"/>
  <c r="F229" i="6"/>
  <c r="G229" i="6"/>
  <c r="D229" i="6"/>
  <c r="C259" i="6"/>
  <c r="E229" i="6"/>
  <c r="H229" i="6"/>
  <c r="I229" i="6"/>
  <c r="C258" i="6"/>
  <c r="F228" i="6"/>
  <c r="E228" i="6"/>
  <c r="G228" i="6"/>
  <c r="D228" i="6"/>
  <c r="H228" i="6"/>
  <c r="I228" i="6"/>
  <c r="H227" i="6"/>
  <c r="F227" i="6"/>
  <c r="I227" i="6"/>
  <c r="G227" i="6"/>
  <c r="E227" i="6"/>
  <c r="C257" i="6"/>
  <c r="D227" i="6"/>
  <c r="D226" i="6"/>
  <c r="E226" i="6"/>
  <c r="I226" i="6"/>
  <c r="F226" i="6"/>
  <c r="G226" i="6"/>
  <c r="C256" i="6"/>
  <c r="H226" i="6"/>
  <c r="C255" i="6"/>
  <c r="F225" i="6"/>
  <c r="D225" i="6"/>
  <c r="G225" i="6"/>
  <c r="I225" i="6"/>
  <c r="E225" i="6"/>
  <c r="H225" i="6"/>
  <c r="I224" i="6"/>
  <c r="D224" i="6"/>
  <c r="F224" i="6"/>
  <c r="H224" i="6"/>
  <c r="C254" i="6"/>
  <c r="E224" i="6"/>
  <c r="G224" i="6"/>
  <c r="E223" i="6"/>
  <c r="G223" i="6"/>
  <c r="H223" i="6"/>
  <c r="C253" i="6"/>
  <c r="F223" i="6"/>
  <c r="I223" i="6"/>
  <c r="D223" i="6"/>
  <c r="I222" i="6"/>
  <c r="F222" i="6"/>
  <c r="C252" i="6"/>
  <c r="G222" i="6"/>
  <c r="D222" i="6"/>
  <c r="E222" i="6"/>
  <c r="H222" i="6"/>
  <c r="H221" i="6"/>
  <c r="I221" i="6"/>
  <c r="E221" i="6"/>
  <c r="D221" i="6"/>
  <c r="F221" i="6"/>
  <c r="C251" i="6"/>
  <c r="G221" i="6"/>
  <c r="I220" i="6"/>
  <c r="D220" i="6"/>
  <c r="G220" i="6"/>
  <c r="F220" i="6"/>
  <c r="C250" i="6"/>
  <c r="H220" i="6"/>
  <c r="E220" i="6"/>
  <c r="I219" i="6"/>
  <c r="D219" i="6"/>
  <c r="C249" i="6"/>
  <c r="F219" i="6"/>
  <c r="H219" i="6"/>
  <c r="G219" i="6"/>
  <c r="E219" i="6"/>
  <c r="G218" i="6"/>
  <c r="E218" i="6"/>
  <c r="H218" i="6"/>
  <c r="I218" i="6"/>
  <c r="D218" i="6"/>
  <c r="F218" i="6"/>
  <c r="C248" i="6"/>
  <c r="G217" i="6"/>
  <c r="H217" i="6"/>
  <c r="I217" i="6"/>
  <c r="E217" i="6"/>
  <c r="F217" i="6"/>
  <c r="C247" i="6"/>
  <c r="D217" i="6"/>
  <c r="I216" i="6"/>
  <c r="F216" i="6"/>
  <c r="G216" i="6"/>
  <c r="C246" i="6"/>
  <c r="E216" i="6"/>
  <c r="D216" i="6"/>
  <c r="H216" i="6"/>
  <c r="F215" i="6"/>
  <c r="C245" i="6"/>
  <c r="D215" i="6"/>
  <c r="I215" i="6"/>
  <c r="E215" i="6"/>
  <c r="H215" i="6"/>
  <c r="G215" i="6"/>
  <c r="H214" i="6"/>
  <c r="G214" i="6"/>
  <c r="D214" i="6"/>
  <c r="F214" i="6"/>
  <c r="E214" i="6"/>
  <c r="C244" i="6"/>
  <c r="I214" i="6"/>
  <c r="I213" i="6"/>
  <c r="F213" i="6"/>
  <c r="D213" i="6"/>
  <c r="G213" i="6"/>
  <c r="E213" i="6"/>
  <c r="C243" i="6"/>
  <c r="H213" i="6"/>
  <c r="H212" i="6"/>
  <c r="D212" i="6"/>
  <c r="E212" i="6"/>
  <c r="F212" i="6"/>
  <c r="C242" i="6"/>
  <c r="G212" i="6"/>
  <c r="I212" i="6"/>
  <c r="E211" i="6"/>
  <c r="C241" i="6"/>
  <c r="I211" i="6"/>
  <c r="H211" i="6"/>
  <c r="G211" i="6"/>
  <c r="F211" i="6"/>
  <c r="D211" i="6"/>
  <c r="I210" i="6"/>
  <c r="C240" i="6"/>
  <c r="G210" i="6"/>
  <c r="H210" i="6"/>
  <c r="D210" i="6"/>
  <c r="F210" i="6"/>
  <c r="E210" i="6"/>
  <c r="F209" i="6"/>
  <c r="D209" i="6"/>
  <c r="H209" i="6"/>
  <c r="I209" i="6"/>
  <c r="E209" i="6"/>
  <c r="G209" i="6"/>
  <c r="C239" i="6"/>
  <c r="K193" i="6"/>
  <c r="K185" i="6"/>
  <c r="K197" i="6"/>
  <c r="K188" i="6"/>
  <c r="K199" i="6"/>
  <c r="K179" i="6"/>
  <c r="K207" i="6"/>
  <c r="K182" i="6"/>
  <c r="K206" i="6"/>
  <c r="L180" i="6"/>
  <c r="L203" i="6"/>
  <c r="L197" i="6"/>
  <c r="M198" i="6"/>
  <c r="M184" i="6"/>
  <c r="M189" i="6"/>
  <c r="M194" i="6"/>
  <c r="J191" i="6"/>
  <c r="N191" i="6" s="1"/>
  <c r="J195" i="6"/>
  <c r="N195" i="6" s="1"/>
  <c r="J190" i="6"/>
  <c r="N190" i="6" s="1"/>
  <c r="J204" i="6"/>
  <c r="N204" i="6" s="1"/>
  <c r="J206" i="6"/>
  <c r="N206" i="6" s="1"/>
  <c r="J185" i="6"/>
  <c r="N185" i="6" s="1"/>
  <c r="J180" i="6"/>
  <c r="N180" i="6" s="1"/>
  <c r="J203" i="6"/>
  <c r="N203" i="6" s="1"/>
  <c r="J205" i="6"/>
  <c r="N205" i="6" s="1"/>
  <c r="J188" i="6"/>
  <c r="N188" i="6" s="1"/>
  <c r="J198" i="6"/>
  <c r="N198" i="6" s="1"/>
  <c r="J183" i="6"/>
  <c r="N183" i="6" s="1"/>
  <c r="J193" i="6"/>
  <c r="N193" i="6" s="1"/>
  <c r="J179" i="6"/>
  <c r="N179" i="6" s="1"/>
  <c r="J182" i="6"/>
  <c r="N182" i="6" s="1"/>
  <c r="J181" i="6"/>
  <c r="N181" i="6" s="1"/>
  <c r="I208" i="6"/>
  <c r="G208" i="6"/>
  <c r="C238" i="6"/>
  <c r="E208" i="6"/>
  <c r="F208" i="6"/>
  <c r="H208" i="6"/>
  <c r="D208" i="6"/>
  <c r="O162" i="6"/>
  <c r="O177" i="6"/>
  <c r="O163" i="6"/>
  <c r="O155" i="6"/>
  <c r="O151" i="6"/>
  <c r="O166" i="6"/>
  <c r="O173" i="6"/>
  <c r="O170" i="6"/>
  <c r="O157" i="6"/>
  <c r="O176" i="6"/>
  <c r="O149" i="6"/>
  <c r="O167" i="6"/>
  <c r="O159" i="6"/>
  <c r="O148" i="6"/>
  <c r="O161" i="6"/>
  <c r="O164" i="6"/>
  <c r="O172" i="6"/>
  <c r="O156" i="6"/>
  <c r="O174" i="6"/>
  <c r="O154" i="6"/>
  <c r="O158" i="6"/>
  <c r="O165" i="6"/>
  <c r="O168" i="6"/>
  <c r="O150" i="6"/>
  <c r="O171" i="6"/>
  <c r="O153" i="6"/>
  <c r="O175" i="6"/>
  <c r="K183" i="6"/>
  <c r="K200" i="6"/>
  <c r="K192" i="6"/>
  <c r="K186" i="6"/>
  <c r="K189" i="6"/>
  <c r="K190" i="6"/>
  <c r="K204" i="6"/>
  <c r="K194" i="6"/>
  <c r="K180" i="6"/>
  <c r="K191" i="6"/>
  <c r="K195" i="6"/>
  <c r="K187" i="6"/>
  <c r="K201" i="6"/>
  <c r="K203" i="6"/>
  <c r="K198" i="6"/>
  <c r="K205" i="6"/>
  <c r="K181" i="6"/>
  <c r="K184" i="6"/>
  <c r="L206" i="6"/>
  <c r="L190" i="6"/>
  <c r="L196" i="6"/>
  <c r="L188" i="6"/>
  <c r="L204" i="6"/>
  <c r="L192" i="6"/>
  <c r="L184" i="6"/>
  <c r="L198" i="6"/>
  <c r="L182" i="6"/>
  <c r="L179" i="6"/>
  <c r="L202" i="6"/>
  <c r="O202" i="6" s="1"/>
  <c r="L183" i="6"/>
  <c r="L187" i="6"/>
  <c r="L201" i="6"/>
  <c r="L193" i="6"/>
  <c r="L191" i="6"/>
  <c r="L199" i="6"/>
  <c r="L185" i="6"/>
  <c r="L195" i="6"/>
  <c r="L200" i="6"/>
  <c r="L186" i="6"/>
  <c r="L181" i="6"/>
  <c r="L194" i="6"/>
  <c r="L178" i="6"/>
  <c r="M191" i="6"/>
  <c r="M203" i="6"/>
  <c r="M182" i="6"/>
  <c r="M228" i="6"/>
  <c r="M180" i="6"/>
  <c r="M188" i="6"/>
  <c r="M205" i="6"/>
  <c r="M200" i="6"/>
  <c r="M195" i="6"/>
  <c r="M213" i="6"/>
  <c r="M178" i="6"/>
  <c r="M229" i="6"/>
  <c r="M207" i="6"/>
  <c r="J202" i="6"/>
  <c r="N202" i="6" s="1"/>
  <c r="J200" i="6"/>
  <c r="N200" i="6" s="1"/>
  <c r="J201" i="6"/>
  <c r="N201" i="6" s="1"/>
  <c r="J197" i="6"/>
  <c r="N197" i="6" s="1"/>
  <c r="J186" i="6"/>
  <c r="N186" i="6" s="1"/>
  <c r="J187" i="6"/>
  <c r="N187" i="6" s="1"/>
  <c r="J194" i="6"/>
  <c r="N194" i="6" s="1"/>
  <c r="J192" i="6"/>
  <c r="N192" i="6" s="1"/>
  <c r="J196" i="6"/>
  <c r="N196" i="6" s="1"/>
  <c r="J189" i="6"/>
  <c r="N189" i="6" s="1"/>
  <c r="J207" i="6"/>
  <c r="N207" i="6" s="1"/>
  <c r="J184" i="6"/>
  <c r="N184" i="6" s="1"/>
  <c r="Y219" i="3"/>
  <c r="AD219" i="3" s="1"/>
  <c r="W219" i="3"/>
  <c r="G222" i="3"/>
  <c r="W222" i="3"/>
  <c r="G221" i="3"/>
  <c r="D242" i="3"/>
  <c r="C40" i="3"/>
  <c r="M243" i="3"/>
  <c r="S243" i="3" s="1"/>
  <c r="Z241" i="3"/>
  <c r="Z239" i="3"/>
  <c r="Z240" i="3"/>
  <c r="G21" i="3"/>
  <c r="F224" i="3"/>
  <c r="G20" i="3"/>
  <c r="F223" i="3"/>
  <c r="U70" i="3"/>
  <c r="E68" i="3"/>
  <c r="AH174" i="7"/>
  <c r="W174" i="7"/>
  <c r="V34" i="7"/>
  <c r="AG34" i="7"/>
  <c r="W175" i="7"/>
  <c r="AH175" i="7"/>
  <c r="Y18" i="3"/>
  <c r="AD18" i="3" s="1"/>
  <c r="C34" i="7"/>
  <c r="K28" i="7"/>
  <c r="AD28" i="7" s="1"/>
  <c r="R28" i="7" s="1"/>
  <c r="D40" i="3"/>
  <c r="AI24" i="7"/>
  <c r="X24" i="7"/>
  <c r="X167" i="7"/>
  <c r="AI167" i="7"/>
  <c r="AI270" i="7"/>
  <c r="X270" i="7"/>
  <c r="D26" i="7"/>
  <c r="AB31" i="3"/>
  <c r="E33" i="3"/>
  <c r="U35" i="3"/>
  <c r="AB29" i="3"/>
  <c r="AB30" i="3"/>
  <c r="W277" i="7"/>
  <c r="AH277" i="7"/>
  <c r="AI174" i="7"/>
  <c r="X174" i="7"/>
  <c r="X277" i="7"/>
  <c r="AI277" i="7"/>
  <c r="AI31" i="7"/>
  <c r="X31" i="7"/>
  <c r="D37" i="7"/>
  <c r="D283" i="7"/>
  <c r="D180" i="7"/>
  <c r="D281" i="7"/>
  <c r="D178" i="7"/>
  <c r="D35" i="7"/>
  <c r="J280" i="7"/>
  <c r="AC280" i="7" s="1"/>
  <c r="J177" i="7"/>
  <c r="AC177" i="7" s="1"/>
  <c r="J35" i="7"/>
  <c r="AC35" i="7" s="1"/>
  <c r="T41" i="3"/>
  <c r="I35" i="7"/>
  <c r="AB35" i="7" s="1"/>
  <c r="G33" i="7"/>
  <c r="Q33" i="7" s="1"/>
  <c r="R39" i="3"/>
  <c r="P33" i="7"/>
  <c r="U440" i="3"/>
  <c r="K275" i="7"/>
  <c r="AD275" i="7" s="1"/>
  <c r="R275" i="7" s="1"/>
  <c r="K31" i="7"/>
  <c r="AD31" i="7" s="1"/>
  <c r="R31" i="7" s="1"/>
  <c r="K172" i="7"/>
  <c r="AD172" i="7" s="1"/>
  <c r="R172" i="7" s="1"/>
  <c r="AG176" i="7"/>
  <c r="V176" i="7"/>
  <c r="V278" i="7"/>
  <c r="AG278" i="7"/>
  <c r="V175" i="7"/>
  <c r="AG175" i="7"/>
  <c r="V277" i="7"/>
  <c r="AG277" i="7"/>
  <c r="AG174" i="7"/>
  <c r="V174" i="7"/>
  <c r="AJ155" i="7"/>
  <c r="S155" i="7" s="1"/>
  <c r="Y155" i="7"/>
  <c r="N155" i="7" s="1"/>
  <c r="Y258" i="7"/>
  <c r="N258" i="7" s="1"/>
  <c r="AJ258" i="7"/>
  <c r="S258" i="7" s="1"/>
  <c r="Y14" i="7"/>
  <c r="N14" i="7" s="1"/>
  <c r="AJ14" i="7"/>
  <c r="S14" i="7" s="1"/>
  <c r="E157" i="7"/>
  <c r="W21" i="3"/>
  <c r="E16" i="7"/>
  <c r="M16" i="7" s="1"/>
  <c r="E260" i="7"/>
  <c r="E156" i="7"/>
  <c r="E259" i="7"/>
  <c r="Y13" i="7"/>
  <c r="N13" i="7" s="1"/>
  <c r="AJ13" i="7"/>
  <c r="S13" i="7" s="1"/>
  <c r="W20" i="3"/>
  <c r="E15" i="7"/>
  <c r="M15" i="7" s="1"/>
  <c r="Y154" i="7"/>
  <c r="N154" i="7" s="1"/>
  <c r="AJ154" i="7"/>
  <c r="S154" i="7" s="1"/>
  <c r="AJ257" i="7"/>
  <c r="S257" i="7" s="1"/>
  <c r="Y257" i="7"/>
  <c r="N257" i="7" s="1"/>
  <c r="AD17" i="3"/>
  <c r="AD16" i="3"/>
  <c r="Y19" i="3"/>
  <c r="AF31" i="6"/>
  <c r="Z24" i="6"/>
  <c r="AM12" i="7" l="1"/>
  <c r="AR12" i="7"/>
  <c r="AQ29" i="7"/>
  <c r="BI7" i="13"/>
  <c r="BH7" i="13"/>
  <c r="AP33" i="7"/>
  <c r="AO32" i="7"/>
  <c r="AR11" i="7"/>
  <c r="AM11" i="7"/>
  <c r="M219" i="6"/>
  <c r="L235" i="6"/>
  <c r="L209" i="6"/>
  <c r="L214" i="6"/>
  <c r="L224" i="6"/>
  <c r="U97" i="11"/>
  <c r="O97" i="11"/>
  <c r="AJ97" i="11" s="1"/>
  <c r="E107" i="11"/>
  <c r="BF7" i="13"/>
  <c r="BG7" i="13"/>
  <c r="ET8" i="13"/>
  <c r="EW8" i="13" s="1"/>
  <c r="EZ8" i="13" s="1"/>
  <c r="EU8" i="13"/>
  <c r="EX8" i="13" s="1"/>
  <c r="FA8" i="13" s="1"/>
  <c r="EV8" i="13"/>
  <c r="EY8" i="13" s="1"/>
  <c r="FB8" i="13" s="1"/>
  <c r="FF8" i="13" s="1"/>
  <c r="AY8" i="13"/>
  <c r="O196" i="6"/>
  <c r="N9" i="13"/>
  <c r="EF9" i="13"/>
  <c r="EL9" i="13" s="1"/>
  <c r="FE9" i="13" s="1"/>
  <c r="BM7" i="13"/>
  <c r="CR7" i="13" s="1"/>
  <c r="BL7" i="13"/>
  <c r="BW7" i="13" s="1"/>
  <c r="BN7" i="13"/>
  <c r="DB7" i="13" s="1"/>
  <c r="BO7" i="13"/>
  <c r="DL7" i="13" s="1"/>
  <c r="AO9" i="13"/>
  <c r="AR9" i="13" s="1"/>
  <c r="AZ9" i="13" s="1"/>
  <c r="AA8" i="13"/>
  <c r="CP8" i="13" s="1"/>
  <c r="AB8" i="13"/>
  <c r="CZ8" i="13" s="1"/>
  <c r="AC8" i="13"/>
  <c r="DJ8" i="13" s="1"/>
  <c r="AD8" i="13"/>
  <c r="BR8" i="13" s="1"/>
  <c r="AG279" i="7"/>
  <c r="V279" i="7"/>
  <c r="AH176" i="7"/>
  <c r="W176" i="7"/>
  <c r="K171" i="7"/>
  <c r="AD171" i="7" s="1"/>
  <c r="R171" i="7" s="1"/>
  <c r="AQ28" i="7" s="1"/>
  <c r="U236" i="3"/>
  <c r="F176" i="7"/>
  <c r="P176" i="7" s="1"/>
  <c r="R241" i="3"/>
  <c r="F279" i="7"/>
  <c r="P279" i="7" s="1"/>
  <c r="R444" i="3"/>
  <c r="M447" i="3"/>
  <c r="S447" i="3" s="1"/>
  <c r="S41" i="3"/>
  <c r="CJ8" i="12"/>
  <c r="CG8" i="12"/>
  <c r="BF7" i="12"/>
  <c r="BK7" i="12"/>
  <c r="W8" i="12"/>
  <c r="X8" i="12"/>
  <c r="Y8" i="12"/>
  <c r="BG7" i="12"/>
  <c r="BH7" i="12"/>
  <c r="AR8" i="12"/>
  <c r="AZ8" i="12" s="1"/>
  <c r="M9" i="12"/>
  <c r="L9" i="12"/>
  <c r="AN9" i="12" s="1"/>
  <c r="AP8" i="12"/>
  <c r="AE8" i="12"/>
  <c r="AF8" i="12"/>
  <c r="AG8" i="12"/>
  <c r="AH8" i="12"/>
  <c r="K9" i="12"/>
  <c r="V8" i="12"/>
  <c r="R8" i="12"/>
  <c r="BQ8" i="12" s="1"/>
  <c r="S8" i="12"/>
  <c r="CO8" i="12" s="1"/>
  <c r="T8" i="12"/>
  <c r="CY8" i="12" s="1"/>
  <c r="U8" i="12"/>
  <c r="DI8" i="12" s="1"/>
  <c r="Q8" i="12"/>
  <c r="AY8" i="12" s="1"/>
  <c r="W424" i="3"/>
  <c r="AA443" i="3"/>
  <c r="C279" i="7"/>
  <c r="AH33" i="7"/>
  <c r="W33" i="7"/>
  <c r="G427" i="3"/>
  <c r="W427" i="3"/>
  <c r="G426" i="3"/>
  <c r="AA39" i="3"/>
  <c r="W425" i="3"/>
  <c r="Y424" i="3"/>
  <c r="AD424" i="3" s="1"/>
  <c r="W278" i="7"/>
  <c r="AH278" i="7"/>
  <c r="B280" i="7"/>
  <c r="Z445" i="3"/>
  <c r="C243" i="3"/>
  <c r="B178" i="7" s="1"/>
  <c r="C35" i="10"/>
  <c r="G35" i="10" s="1"/>
  <c r="C446" i="3"/>
  <c r="O273" i="3"/>
  <c r="O476" i="3"/>
  <c r="E271" i="3"/>
  <c r="E63" i="10"/>
  <c r="I63" i="10" s="1"/>
  <c r="E474" i="3"/>
  <c r="D35" i="10"/>
  <c r="H35" i="10" s="1"/>
  <c r="D446" i="3"/>
  <c r="E236" i="3"/>
  <c r="E28" i="10"/>
  <c r="I28" i="10" s="1"/>
  <c r="E439" i="3"/>
  <c r="O238" i="3"/>
  <c r="O441" i="3"/>
  <c r="K276" i="7" s="1"/>
  <c r="AD276" i="7" s="1"/>
  <c r="R276" i="7" s="1"/>
  <c r="N244" i="3"/>
  <c r="T244" i="3" s="1"/>
  <c r="N447" i="3"/>
  <c r="T447" i="3" s="1"/>
  <c r="J242" i="3"/>
  <c r="G177" i="7" s="1"/>
  <c r="Q177" i="7" s="1"/>
  <c r="J445" i="3"/>
  <c r="G280" i="7" s="1"/>
  <c r="Q280" i="7" s="1"/>
  <c r="H242" i="3"/>
  <c r="H445" i="3"/>
  <c r="F18" i="10"/>
  <c r="J18" i="10" s="1"/>
  <c r="F429" i="3"/>
  <c r="F17" i="10"/>
  <c r="J17" i="10" s="1"/>
  <c r="F428" i="3"/>
  <c r="M233" i="6"/>
  <c r="L225" i="6"/>
  <c r="L216" i="6"/>
  <c r="L208" i="6"/>
  <c r="L234" i="6"/>
  <c r="L211" i="6"/>
  <c r="L212" i="6"/>
  <c r="L227" i="6"/>
  <c r="L219" i="6"/>
  <c r="L223" i="6"/>
  <c r="L236" i="6"/>
  <c r="L218" i="6"/>
  <c r="L215" i="6"/>
  <c r="L231" i="6"/>
  <c r="L220" i="6"/>
  <c r="L217" i="6"/>
  <c r="L226" i="6"/>
  <c r="L232" i="6"/>
  <c r="L230" i="6"/>
  <c r="L222" i="6"/>
  <c r="L210" i="6"/>
  <c r="K208" i="6"/>
  <c r="K222" i="6"/>
  <c r="K209" i="6"/>
  <c r="K232" i="6"/>
  <c r="K225" i="6"/>
  <c r="K212" i="6"/>
  <c r="K226" i="6"/>
  <c r="K216" i="6"/>
  <c r="K211" i="6"/>
  <c r="K235" i="6"/>
  <c r="K227" i="6"/>
  <c r="K217" i="6"/>
  <c r="K224" i="6"/>
  <c r="L213" i="6"/>
  <c r="L228" i="6"/>
  <c r="L221" i="6"/>
  <c r="J234" i="6"/>
  <c r="N234" i="6" s="1"/>
  <c r="J218" i="6"/>
  <c r="N218" i="6" s="1"/>
  <c r="J227" i="6"/>
  <c r="N227" i="6" s="1"/>
  <c r="J214" i="6"/>
  <c r="N214" i="6" s="1"/>
  <c r="J228" i="6"/>
  <c r="N228" i="6" s="1"/>
  <c r="J210" i="6"/>
  <c r="N210" i="6" s="1"/>
  <c r="J213" i="6"/>
  <c r="N213" i="6" s="1"/>
  <c r="J219" i="6"/>
  <c r="N219" i="6" s="1"/>
  <c r="J222" i="6"/>
  <c r="N222" i="6" s="1"/>
  <c r="J232" i="6"/>
  <c r="N232" i="6" s="1"/>
  <c r="J236" i="6"/>
  <c r="N236" i="6" s="1"/>
  <c r="K210" i="6"/>
  <c r="K233" i="6"/>
  <c r="L237" i="6"/>
  <c r="J216" i="6"/>
  <c r="N216" i="6" s="1"/>
  <c r="J211" i="6"/>
  <c r="N211" i="6" s="1"/>
  <c r="J225" i="6"/>
  <c r="N225" i="6" s="1"/>
  <c r="J208" i="6"/>
  <c r="N208" i="6" s="1"/>
  <c r="J217" i="6"/>
  <c r="N217" i="6" s="1"/>
  <c r="J221" i="6"/>
  <c r="N221" i="6" s="1"/>
  <c r="J226" i="6"/>
  <c r="N226" i="6" s="1"/>
  <c r="J209" i="6"/>
  <c r="N209" i="6" s="1"/>
  <c r="L229" i="6"/>
  <c r="L233" i="6"/>
  <c r="M208" i="6"/>
  <c r="M222" i="6"/>
  <c r="K228" i="6"/>
  <c r="K213" i="6"/>
  <c r="K223" i="6"/>
  <c r="K221" i="6"/>
  <c r="K218" i="6"/>
  <c r="K214" i="6"/>
  <c r="J223" i="6"/>
  <c r="N223" i="6" s="1"/>
  <c r="O189" i="6"/>
  <c r="J237" i="6"/>
  <c r="N237" i="6" s="1"/>
  <c r="O181" i="6"/>
  <c r="J235" i="6"/>
  <c r="N235" i="6" s="1"/>
  <c r="J230" i="6"/>
  <c r="N230" i="6" s="1"/>
  <c r="K219" i="6"/>
  <c r="K220" i="6"/>
  <c r="E267" i="6"/>
  <c r="I267" i="6"/>
  <c r="G267" i="6"/>
  <c r="H267" i="6"/>
  <c r="C297" i="6"/>
  <c r="D267" i="6"/>
  <c r="F267" i="6"/>
  <c r="D266" i="6"/>
  <c r="E266" i="6"/>
  <c r="F266" i="6"/>
  <c r="G266" i="6"/>
  <c r="H266" i="6"/>
  <c r="I266" i="6"/>
  <c r="C296" i="6"/>
  <c r="D265" i="6"/>
  <c r="E265" i="6"/>
  <c r="F265" i="6"/>
  <c r="G265" i="6"/>
  <c r="H265" i="6"/>
  <c r="I265" i="6"/>
  <c r="C295" i="6"/>
  <c r="D264" i="6"/>
  <c r="E264" i="6"/>
  <c r="F264" i="6"/>
  <c r="G264" i="6"/>
  <c r="H264" i="6"/>
  <c r="I264" i="6"/>
  <c r="C294" i="6"/>
  <c r="D263" i="6"/>
  <c r="E263" i="6"/>
  <c r="F263" i="6"/>
  <c r="G263" i="6"/>
  <c r="H263" i="6"/>
  <c r="I263" i="6"/>
  <c r="C293" i="6"/>
  <c r="D262" i="6"/>
  <c r="E262" i="6"/>
  <c r="F262" i="6"/>
  <c r="G262" i="6"/>
  <c r="H262" i="6"/>
  <c r="I262" i="6"/>
  <c r="C292" i="6"/>
  <c r="D261" i="6"/>
  <c r="E261" i="6"/>
  <c r="F261" i="6"/>
  <c r="G261" i="6"/>
  <c r="H261" i="6"/>
  <c r="I261" i="6"/>
  <c r="C291" i="6"/>
  <c r="D260" i="6"/>
  <c r="E260" i="6"/>
  <c r="F260" i="6"/>
  <c r="G260" i="6"/>
  <c r="H260" i="6"/>
  <c r="I260" i="6"/>
  <c r="C290" i="6"/>
  <c r="D259" i="6"/>
  <c r="E259" i="6"/>
  <c r="F259" i="6"/>
  <c r="G259" i="6"/>
  <c r="H259" i="6"/>
  <c r="I259" i="6"/>
  <c r="C289" i="6"/>
  <c r="D258" i="6"/>
  <c r="E258" i="6"/>
  <c r="F258" i="6"/>
  <c r="G258" i="6"/>
  <c r="H258" i="6"/>
  <c r="I258" i="6"/>
  <c r="C288" i="6"/>
  <c r="D257" i="6"/>
  <c r="E257" i="6"/>
  <c r="F257" i="6"/>
  <c r="G257" i="6"/>
  <c r="H257" i="6"/>
  <c r="I257" i="6"/>
  <c r="C287" i="6"/>
  <c r="D256" i="6"/>
  <c r="E256" i="6"/>
  <c r="F256" i="6"/>
  <c r="G256" i="6"/>
  <c r="H256" i="6"/>
  <c r="I256" i="6"/>
  <c r="C286" i="6"/>
  <c r="D255" i="6"/>
  <c r="E255" i="6"/>
  <c r="F255" i="6"/>
  <c r="G255" i="6"/>
  <c r="H255" i="6"/>
  <c r="I255" i="6"/>
  <c r="C285" i="6"/>
  <c r="D254" i="6"/>
  <c r="E254" i="6"/>
  <c r="F254" i="6"/>
  <c r="G254" i="6"/>
  <c r="H254" i="6"/>
  <c r="I254" i="6"/>
  <c r="C284" i="6"/>
  <c r="D253" i="6"/>
  <c r="E253" i="6"/>
  <c r="F253" i="6"/>
  <c r="G253" i="6"/>
  <c r="H253" i="6"/>
  <c r="I253" i="6"/>
  <c r="C283" i="6"/>
  <c r="D252" i="6"/>
  <c r="E252" i="6"/>
  <c r="F252" i="6"/>
  <c r="G252" i="6"/>
  <c r="H252" i="6"/>
  <c r="I252" i="6"/>
  <c r="C282" i="6"/>
  <c r="D251" i="6"/>
  <c r="E251" i="6"/>
  <c r="F251" i="6"/>
  <c r="G251" i="6"/>
  <c r="H251" i="6"/>
  <c r="I251" i="6"/>
  <c r="C281" i="6"/>
  <c r="D250" i="6"/>
  <c r="E250" i="6"/>
  <c r="F250" i="6"/>
  <c r="G250" i="6"/>
  <c r="H250" i="6"/>
  <c r="I250" i="6"/>
  <c r="C280" i="6"/>
  <c r="D249" i="6"/>
  <c r="E249" i="6"/>
  <c r="F249" i="6"/>
  <c r="G249" i="6"/>
  <c r="H249" i="6"/>
  <c r="I249" i="6"/>
  <c r="C279" i="6"/>
  <c r="D248" i="6"/>
  <c r="E248" i="6"/>
  <c r="F248" i="6"/>
  <c r="G248" i="6"/>
  <c r="H248" i="6"/>
  <c r="I248" i="6"/>
  <c r="C278" i="6"/>
  <c r="D247" i="6"/>
  <c r="E247" i="6"/>
  <c r="F247" i="6"/>
  <c r="G247" i="6"/>
  <c r="H247" i="6"/>
  <c r="I247" i="6"/>
  <c r="C277" i="6"/>
  <c r="D246" i="6"/>
  <c r="E246" i="6"/>
  <c r="F246" i="6"/>
  <c r="G246" i="6"/>
  <c r="H246" i="6"/>
  <c r="I246" i="6"/>
  <c r="C276" i="6"/>
  <c r="D245" i="6"/>
  <c r="E245" i="6"/>
  <c r="F245" i="6"/>
  <c r="G245" i="6"/>
  <c r="H245" i="6"/>
  <c r="I245" i="6"/>
  <c r="C275" i="6"/>
  <c r="D244" i="6"/>
  <c r="E244" i="6"/>
  <c r="F244" i="6"/>
  <c r="G244" i="6"/>
  <c r="H244" i="6"/>
  <c r="I244" i="6"/>
  <c r="C274" i="6"/>
  <c r="D243" i="6"/>
  <c r="E243" i="6"/>
  <c r="F243" i="6"/>
  <c r="G243" i="6"/>
  <c r="H243" i="6"/>
  <c r="I243" i="6"/>
  <c r="C273" i="6"/>
  <c r="D242" i="6"/>
  <c r="E242" i="6"/>
  <c r="F242" i="6"/>
  <c r="G242" i="6"/>
  <c r="H242" i="6"/>
  <c r="I242" i="6"/>
  <c r="C272" i="6"/>
  <c r="C271" i="6"/>
  <c r="H241" i="6"/>
  <c r="F241" i="6"/>
  <c r="I241" i="6"/>
  <c r="D241" i="6"/>
  <c r="E241" i="6"/>
  <c r="G241" i="6"/>
  <c r="D240" i="6"/>
  <c r="F240" i="6"/>
  <c r="G240" i="6"/>
  <c r="E240" i="6"/>
  <c r="H240" i="6"/>
  <c r="I240" i="6"/>
  <c r="C270" i="6"/>
  <c r="I239" i="6"/>
  <c r="G239" i="6"/>
  <c r="H239" i="6"/>
  <c r="E239" i="6"/>
  <c r="C269" i="6"/>
  <c r="D239" i="6"/>
  <c r="F239" i="6"/>
  <c r="H238" i="6"/>
  <c r="G238" i="6"/>
  <c r="D238" i="6"/>
  <c r="F238" i="6"/>
  <c r="E238" i="6"/>
  <c r="I238" i="6"/>
  <c r="C268" i="6"/>
  <c r="M221" i="6"/>
  <c r="M211" i="6"/>
  <c r="M226" i="6"/>
  <c r="M214" i="6"/>
  <c r="M237" i="6"/>
  <c r="M210" i="6"/>
  <c r="M234" i="6"/>
  <c r="M236" i="6"/>
  <c r="M220" i="6"/>
  <c r="M215" i="6"/>
  <c r="M224" i="6"/>
  <c r="M238" i="6"/>
  <c r="M231" i="6"/>
  <c r="M209" i="6"/>
  <c r="O209" i="6" s="1"/>
  <c r="M212" i="6"/>
  <c r="O212" i="6" s="1"/>
  <c r="M230" i="6"/>
  <c r="M265" i="6"/>
  <c r="M227" i="6"/>
  <c r="M225" i="6"/>
  <c r="M217" i="6"/>
  <c r="M235" i="6"/>
  <c r="M223" i="6"/>
  <c r="M218" i="6"/>
  <c r="M232" i="6"/>
  <c r="M216" i="6"/>
  <c r="K215" i="6"/>
  <c r="K231" i="6"/>
  <c r="O193" i="6"/>
  <c r="O197" i="6"/>
  <c r="O207" i="6"/>
  <c r="O185" i="6"/>
  <c r="O205" i="6"/>
  <c r="O203" i="6"/>
  <c r="O200" i="6"/>
  <c r="O186" i="6"/>
  <c r="O194" i="6"/>
  <c r="O191" i="6"/>
  <c r="O187" i="6"/>
  <c r="O201" i="6"/>
  <c r="O183" i="6"/>
  <c r="O192" i="6"/>
  <c r="O204" i="6"/>
  <c r="O195" i="6"/>
  <c r="O198" i="6"/>
  <c r="O190" i="6"/>
  <c r="O180" i="6"/>
  <c r="O184" i="6"/>
  <c r="O178" i="6"/>
  <c r="O179" i="6"/>
  <c r="O206" i="6"/>
  <c r="O188" i="6"/>
  <c r="O199" i="6"/>
  <c r="O182" i="6"/>
  <c r="K229" i="6"/>
  <c r="K236" i="6"/>
  <c r="K230" i="6"/>
  <c r="K234" i="6"/>
  <c r="K241" i="6"/>
  <c r="J233" i="6"/>
  <c r="N233" i="6" s="1"/>
  <c r="J224" i="6"/>
  <c r="N224" i="6" s="1"/>
  <c r="J220" i="6"/>
  <c r="N220" i="6" s="1"/>
  <c r="J229" i="6"/>
  <c r="N229" i="6" s="1"/>
  <c r="J231" i="6"/>
  <c r="N231" i="6" s="1"/>
  <c r="K237" i="6"/>
  <c r="J212" i="6"/>
  <c r="N212" i="6" s="1"/>
  <c r="J215" i="6"/>
  <c r="N215" i="6" s="1"/>
  <c r="W221" i="3"/>
  <c r="G224" i="3"/>
  <c r="G223" i="3"/>
  <c r="Y223" i="3"/>
  <c r="AD223" i="3" s="1"/>
  <c r="Y222" i="3"/>
  <c r="AD222" i="3" s="1"/>
  <c r="Y221" i="3"/>
  <c r="AD221" i="3" s="1"/>
  <c r="Z242" i="3"/>
  <c r="AA40" i="3"/>
  <c r="D243" i="3"/>
  <c r="C41" i="3"/>
  <c r="M244" i="3"/>
  <c r="S244" i="3" s="1"/>
  <c r="G23" i="3"/>
  <c r="F226" i="3"/>
  <c r="G22" i="3"/>
  <c r="F225" i="3"/>
  <c r="U72" i="3"/>
  <c r="E70" i="3"/>
  <c r="C280" i="7"/>
  <c r="C177" i="7"/>
  <c r="AG177" i="7"/>
  <c r="V177" i="7"/>
  <c r="V35" i="7"/>
  <c r="AG35" i="7"/>
  <c r="Z40" i="3"/>
  <c r="W34" i="7"/>
  <c r="AH34" i="7"/>
  <c r="C35" i="7"/>
  <c r="K30" i="7"/>
  <c r="AD30" i="7" s="1"/>
  <c r="R30" i="7" s="1"/>
  <c r="AI26" i="7"/>
  <c r="X26" i="7"/>
  <c r="D169" i="7"/>
  <c r="AB32" i="3"/>
  <c r="U437" i="3"/>
  <c r="D272" i="7"/>
  <c r="D28" i="7"/>
  <c r="E35" i="3"/>
  <c r="U37" i="3"/>
  <c r="AB34" i="3"/>
  <c r="X37" i="7"/>
  <c r="AI37" i="7"/>
  <c r="X283" i="7"/>
  <c r="AI283" i="7"/>
  <c r="AI180" i="7"/>
  <c r="X180" i="7"/>
  <c r="AI281" i="7"/>
  <c r="X281" i="7"/>
  <c r="X178" i="7"/>
  <c r="AI178" i="7"/>
  <c r="AI35" i="7"/>
  <c r="X35" i="7"/>
  <c r="D41" i="7"/>
  <c r="D184" i="7"/>
  <c r="D287" i="7"/>
  <c r="D285" i="7"/>
  <c r="D39" i="7"/>
  <c r="D182" i="7"/>
  <c r="I281" i="7"/>
  <c r="AB281" i="7" s="1"/>
  <c r="Z446" i="3"/>
  <c r="J178" i="7"/>
  <c r="AC178" i="7" s="1"/>
  <c r="T42" i="3"/>
  <c r="J36" i="7"/>
  <c r="AC36" i="7" s="1"/>
  <c r="J281" i="7"/>
  <c r="AC281" i="7" s="1"/>
  <c r="I36" i="7"/>
  <c r="AB36" i="7" s="1"/>
  <c r="G34" i="7"/>
  <c r="Q34" i="7" s="1"/>
  <c r="P34" i="7"/>
  <c r="R40" i="3"/>
  <c r="K33" i="7"/>
  <c r="AD33" i="7" s="1"/>
  <c r="R33" i="7" s="1"/>
  <c r="K174" i="7"/>
  <c r="AD174" i="7" s="1"/>
  <c r="R174" i="7" s="1"/>
  <c r="U442" i="3"/>
  <c r="K277" i="7"/>
  <c r="AD277" i="7" s="1"/>
  <c r="R277" i="7" s="1"/>
  <c r="AJ157" i="7"/>
  <c r="S157" i="7" s="1"/>
  <c r="Y157" i="7"/>
  <c r="N157" i="7" s="1"/>
  <c r="E262" i="7"/>
  <c r="E18" i="7"/>
  <c r="M18" i="7" s="1"/>
  <c r="W23" i="3"/>
  <c r="Y16" i="7"/>
  <c r="N16" i="7" s="1"/>
  <c r="AJ16" i="7"/>
  <c r="S16" i="7" s="1"/>
  <c r="E159" i="7"/>
  <c r="Y260" i="7"/>
  <c r="N260" i="7" s="1"/>
  <c r="AJ260" i="7"/>
  <c r="S260" i="7" s="1"/>
  <c r="AJ156" i="7"/>
  <c r="S156" i="7" s="1"/>
  <c r="Y156" i="7"/>
  <c r="N156" i="7" s="1"/>
  <c r="Y259" i="7"/>
  <c r="N259" i="7" s="1"/>
  <c r="AJ259" i="7"/>
  <c r="S259" i="7" s="1"/>
  <c r="Y21" i="3"/>
  <c r="Y20" i="3"/>
  <c r="E158" i="7"/>
  <c r="E261" i="7"/>
  <c r="W22" i="3"/>
  <c r="E17" i="7"/>
  <c r="M17" i="7" s="1"/>
  <c r="Y15" i="7"/>
  <c r="N15" i="7" s="1"/>
  <c r="AJ15" i="7"/>
  <c r="S15" i="7" s="1"/>
  <c r="AD19" i="3"/>
  <c r="I178" i="7"/>
  <c r="AB178" i="7" s="1"/>
  <c r="AF32" i="6"/>
  <c r="Z25" i="6"/>
  <c r="AM14" i="7" l="1"/>
  <c r="AR14" i="7"/>
  <c r="AQ31" i="7"/>
  <c r="AP34" i="7"/>
  <c r="AO33" i="7"/>
  <c r="AR13" i="7"/>
  <c r="AM13" i="7"/>
  <c r="O220" i="6"/>
  <c r="O219" i="6"/>
  <c r="U107" i="11"/>
  <c r="O107" i="11"/>
  <c r="E117" i="11"/>
  <c r="EG9" i="13"/>
  <c r="EM9" i="13" s="1"/>
  <c r="ER9" i="13"/>
  <c r="ES9" i="13" s="1"/>
  <c r="EK8" i="13"/>
  <c r="EJ9" i="13"/>
  <c r="AM9" i="13"/>
  <c r="BT9" i="13" s="1"/>
  <c r="AP9" i="13"/>
  <c r="AS9" i="13" s="1"/>
  <c r="DV9" i="13" s="1"/>
  <c r="DZ9" i="13" s="1"/>
  <c r="ED9" i="13" s="1"/>
  <c r="CG9" i="13"/>
  <c r="K10" i="13"/>
  <c r="L10" i="13"/>
  <c r="AN10" i="13" s="1"/>
  <c r="AQ10" i="13" s="1"/>
  <c r="BU10" i="13" s="1"/>
  <c r="Q9" i="13"/>
  <c r="T9" i="13"/>
  <c r="CY9" i="13" s="1"/>
  <c r="V9" i="13"/>
  <c r="X9" i="13"/>
  <c r="CJ9" i="13"/>
  <c r="M10" i="13"/>
  <c r="S9" i="13"/>
  <c r="CO9" i="13" s="1"/>
  <c r="U9" i="13"/>
  <c r="DI9" i="13" s="1"/>
  <c r="W9" i="13"/>
  <c r="Y9" i="13"/>
  <c r="Z9" i="13"/>
  <c r="AH9" i="13"/>
  <c r="AL9" i="13" s="1"/>
  <c r="BS9" i="13" s="1"/>
  <c r="AG9" i="13"/>
  <c r="AK9" i="13" s="1"/>
  <c r="DK9" i="13" s="1"/>
  <c r="AF9" i="13"/>
  <c r="AJ9" i="13" s="1"/>
  <c r="DA9" i="13" s="1"/>
  <c r="AE9" i="13"/>
  <c r="AI9" i="13" s="1"/>
  <c r="CQ9" i="13" s="1"/>
  <c r="CS7" i="13"/>
  <c r="CW7" i="13" s="1"/>
  <c r="BX7" i="13"/>
  <c r="CE7" i="13" s="1"/>
  <c r="DC7" i="13"/>
  <c r="DG7" i="13" s="1"/>
  <c r="DM7" i="13"/>
  <c r="DQ7" i="13" s="1"/>
  <c r="AG178" i="7"/>
  <c r="V178" i="7"/>
  <c r="K173" i="7"/>
  <c r="AD173" i="7" s="1"/>
  <c r="R173" i="7" s="1"/>
  <c r="AQ30" i="7" s="1"/>
  <c r="U238" i="3"/>
  <c r="F177" i="7"/>
  <c r="P177" i="7" s="1"/>
  <c r="R242" i="3"/>
  <c r="F280" i="7"/>
  <c r="P280" i="7" s="1"/>
  <c r="R445" i="3"/>
  <c r="M448" i="3"/>
  <c r="S448" i="3" s="1"/>
  <c r="S42" i="3"/>
  <c r="Z42" i="3" s="1"/>
  <c r="BN7" i="12"/>
  <c r="DB7" i="12" s="1"/>
  <c r="BL7" i="12"/>
  <c r="BW7" i="12" s="1"/>
  <c r="BM7" i="12"/>
  <c r="CR7" i="12" s="1"/>
  <c r="BO7" i="12"/>
  <c r="DL7" i="12" s="1"/>
  <c r="AA8" i="12"/>
  <c r="CP8" i="12" s="1"/>
  <c r="AB8" i="12"/>
  <c r="CZ8" i="12" s="1"/>
  <c r="AC8" i="12"/>
  <c r="DJ8" i="12" s="1"/>
  <c r="AD8" i="12"/>
  <c r="BR8" i="12" s="1"/>
  <c r="N9" i="12"/>
  <c r="AQ9" i="12"/>
  <c r="BU9" i="12" s="1"/>
  <c r="AS8" i="12"/>
  <c r="DV8" i="12" s="1"/>
  <c r="AM9" i="12"/>
  <c r="BT9" i="12" s="1"/>
  <c r="AO9" i="12"/>
  <c r="AI8" i="12"/>
  <c r="CQ8" i="12" s="1"/>
  <c r="AJ8" i="12"/>
  <c r="DA8" i="12" s="1"/>
  <c r="AK8" i="12"/>
  <c r="DK8" i="12" s="1"/>
  <c r="AL8" i="12"/>
  <c r="BS8" i="12" s="1"/>
  <c r="AH279" i="7"/>
  <c r="W279" i="7"/>
  <c r="Y428" i="3"/>
  <c r="AD428" i="3" s="1"/>
  <c r="W426" i="3"/>
  <c r="B281" i="7"/>
  <c r="G429" i="3"/>
  <c r="G428" i="3"/>
  <c r="AA445" i="3"/>
  <c r="AA446" i="3"/>
  <c r="AA444" i="3"/>
  <c r="Y427" i="3"/>
  <c r="AD427" i="3" s="1"/>
  <c r="Y426" i="3"/>
  <c r="AD426" i="3" s="1"/>
  <c r="AG280" i="7"/>
  <c r="V280" i="7"/>
  <c r="C244" i="3"/>
  <c r="B179" i="7" s="1"/>
  <c r="D41" i="3"/>
  <c r="Z41" i="3"/>
  <c r="C447" i="3"/>
  <c r="C36" i="10"/>
  <c r="G36" i="10" s="1"/>
  <c r="O275" i="3"/>
  <c r="O478" i="3"/>
  <c r="E273" i="3"/>
  <c r="E65" i="10"/>
  <c r="I65" i="10" s="1"/>
  <c r="E476" i="3"/>
  <c r="AH280" i="7"/>
  <c r="W280" i="7"/>
  <c r="AB439" i="3"/>
  <c r="AB437" i="3"/>
  <c r="AB438" i="3"/>
  <c r="E238" i="3"/>
  <c r="E441" i="3"/>
  <c r="E30" i="10"/>
  <c r="I30" i="10" s="1"/>
  <c r="O240" i="3"/>
  <c r="O443" i="3"/>
  <c r="K278" i="7" s="1"/>
  <c r="AD278" i="7" s="1"/>
  <c r="R278" i="7" s="1"/>
  <c r="N245" i="3"/>
  <c r="T245" i="3" s="1"/>
  <c r="N448" i="3"/>
  <c r="T448" i="3" s="1"/>
  <c r="J243" i="3"/>
  <c r="G178" i="7" s="1"/>
  <c r="Q178" i="7" s="1"/>
  <c r="J446" i="3"/>
  <c r="G281" i="7" s="1"/>
  <c r="Q281" i="7" s="1"/>
  <c r="H243" i="3"/>
  <c r="H446" i="3"/>
  <c r="F431" i="3"/>
  <c r="F20" i="10"/>
  <c r="J20" i="10" s="1"/>
  <c r="F19" i="10"/>
  <c r="J19" i="10" s="1"/>
  <c r="F430" i="3"/>
  <c r="O227" i="6"/>
  <c r="O225" i="6"/>
  <c r="O217" i="6"/>
  <c r="O235" i="6"/>
  <c r="O232" i="6"/>
  <c r="O216" i="6"/>
  <c r="O215" i="6"/>
  <c r="O231" i="6"/>
  <c r="M259" i="6"/>
  <c r="M252" i="6"/>
  <c r="M253" i="6"/>
  <c r="J254" i="6"/>
  <c r="N254" i="6" s="1"/>
  <c r="J262" i="6"/>
  <c r="N262" i="6" s="1"/>
  <c r="K254" i="6"/>
  <c r="K258" i="6"/>
  <c r="O233" i="6"/>
  <c r="J240" i="6"/>
  <c r="N240" i="6" s="1"/>
  <c r="M241" i="6"/>
  <c r="J249" i="6"/>
  <c r="N249" i="6" s="1"/>
  <c r="O222" i="6"/>
  <c r="O213" i="6"/>
  <c r="O208" i="6"/>
  <c r="O228" i="6"/>
  <c r="O224" i="6"/>
  <c r="O226" i="6"/>
  <c r="M261" i="6"/>
  <c r="O221" i="6"/>
  <c r="O214" i="6"/>
  <c r="O223" i="6"/>
  <c r="O211" i="6"/>
  <c r="O210" i="6"/>
  <c r="O218" i="6"/>
  <c r="M264" i="6"/>
  <c r="M246" i="6"/>
  <c r="M254" i="6"/>
  <c r="M266" i="6"/>
  <c r="M258" i="6"/>
  <c r="M255" i="6"/>
  <c r="M250" i="6"/>
  <c r="J243" i="6"/>
  <c r="N243" i="6" s="1"/>
  <c r="K251" i="6"/>
  <c r="O229" i="6"/>
  <c r="K261" i="6"/>
  <c r="K263" i="6"/>
  <c r="O236" i="6"/>
  <c r="J253" i="6"/>
  <c r="N253" i="6" s="1"/>
  <c r="J241" i="6"/>
  <c r="N241" i="6" s="1"/>
  <c r="J267" i="6"/>
  <c r="N267" i="6" s="1"/>
  <c r="D297" i="6"/>
  <c r="E297" i="6"/>
  <c r="F297" i="6"/>
  <c r="G297" i="6"/>
  <c r="H297" i="6"/>
  <c r="I297" i="6"/>
  <c r="C327" i="6"/>
  <c r="D296" i="6"/>
  <c r="E296" i="6"/>
  <c r="F296" i="6"/>
  <c r="G296" i="6"/>
  <c r="H296" i="6"/>
  <c r="I296" i="6"/>
  <c r="C326" i="6"/>
  <c r="D295" i="6"/>
  <c r="E295" i="6"/>
  <c r="F295" i="6"/>
  <c r="G295" i="6"/>
  <c r="H295" i="6"/>
  <c r="I295" i="6"/>
  <c r="C325" i="6"/>
  <c r="D294" i="6"/>
  <c r="E294" i="6"/>
  <c r="F294" i="6"/>
  <c r="G294" i="6"/>
  <c r="H294" i="6"/>
  <c r="I294" i="6"/>
  <c r="C324" i="6"/>
  <c r="D293" i="6"/>
  <c r="E293" i="6"/>
  <c r="F293" i="6"/>
  <c r="G293" i="6"/>
  <c r="H293" i="6"/>
  <c r="I293" i="6"/>
  <c r="C323" i="6"/>
  <c r="D292" i="6"/>
  <c r="F292" i="6"/>
  <c r="G292" i="6"/>
  <c r="H292" i="6"/>
  <c r="I292" i="6"/>
  <c r="C322" i="6"/>
  <c r="E292" i="6"/>
  <c r="D291" i="6"/>
  <c r="E291" i="6"/>
  <c r="H291" i="6"/>
  <c r="F291" i="6"/>
  <c r="G291" i="6"/>
  <c r="I291" i="6"/>
  <c r="C321" i="6"/>
  <c r="E290" i="6"/>
  <c r="G290" i="6"/>
  <c r="H290" i="6"/>
  <c r="C320" i="6"/>
  <c r="D290" i="6"/>
  <c r="F290" i="6"/>
  <c r="I290" i="6"/>
  <c r="E289" i="6"/>
  <c r="G289" i="6"/>
  <c r="I289" i="6"/>
  <c r="C319" i="6"/>
  <c r="D289" i="6"/>
  <c r="F289" i="6"/>
  <c r="H289" i="6"/>
  <c r="E288" i="6"/>
  <c r="H288" i="6"/>
  <c r="D288" i="6"/>
  <c r="F288" i="6"/>
  <c r="G288" i="6"/>
  <c r="I288" i="6"/>
  <c r="C318" i="6"/>
  <c r="E287" i="6"/>
  <c r="G287" i="6"/>
  <c r="I287" i="6"/>
  <c r="D287" i="6"/>
  <c r="F287" i="6"/>
  <c r="H287" i="6"/>
  <c r="C317" i="6"/>
  <c r="F286" i="6"/>
  <c r="H286" i="6"/>
  <c r="D286" i="6"/>
  <c r="E286" i="6"/>
  <c r="G286" i="6"/>
  <c r="I286" i="6"/>
  <c r="C316" i="6"/>
  <c r="E285" i="6"/>
  <c r="F285" i="6"/>
  <c r="H285" i="6"/>
  <c r="C315" i="6"/>
  <c r="D285" i="6"/>
  <c r="G285" i="6"/>
  <c r="I285" i="6"/>
  <c r="E284" i="6"/>
  <c r="G284" i="6"/>
  <c r="I284" i="6"/>
  <c r="C314" i="6"/>
  <c r="D284" i="6"/>
  <c r="F284" i="6"/>
  <c r="H284" i="6"/>
  <c r="D283" i="6"/>
  <c r="E283" i="6"/>
  <c r="F283" i="6"/>
  <c r="G283" i="6"/>
  <c r="H283" i="6"/>
  <c r="I283" i="6"/>
  <c r="C313" i="6"/>
  <c r="E282" i="6"/>
  <c r="G282" i="6"/>
  <c r="H282" i="6"/>
  <c r="C312" i="6"/>
  <c r="D282" i="6"/>
  <c r="F282" i="6"/>
  <c r="I282" i="6"/>
  <c r="E281" i="6"/>
  <c r="H281" i="6"/>
  <c r="D281" i="6"/>
  <c r="F281" i="6"/>
  <c r="G281" i="6"/>
  <c r="I281" i="6"/>
  <c r="C311" i="6"/>
  <c r="E280" i="6"/>
  <c r="G280" i="6"/>
  <c r="H280" i="6"/>
  <c r="I280" i="6"/>
  <c r="C310" i="6"/>
  <c r="D280" i="6"/>
  <c r="F280" i="6"/>
  <c r="D279" i="6"/>
  <c r="E279" i="6"/>
  <c r="F279" i="6"/>
  <c r="G279" i="6"/>
  <c r="H279" i="6"/>
  <c r="I279" i="6"/>
  <c r="C309" i="6"/>
  <c r="D278" i="6"/>
  <c r="F278" i="6"/>
  <c r="H278" i="6"/>
  <c r="C308" i="6"/>
  <c r="E278" i="6"/>
  <c r="G278" i="6"/>
  <c r="I278" i="6"/>
  <c r="D277" i="6"/>
  <c r="E277" i="6"/>
  <c r="G277" i="6"/>
  <c r="F277" i="6"/>
  <c r="H277" i="6"/>
  <c r="I277" i="6"/>
  <c r="C307" i="6"/>
  <c r="E276" i="6"/>
  <c r="G276" i="6"/>
  <c r="C306" i="6"/>
  <c r="D276" i="6"/>
  <c r="F276" i="6"/>
  <c r="H276" i="6"/>
  <c r="I276" i="6"/>
  <c r="E275" i="6"/>
  <c r="G275" i="6"/>
  <c r="D275" i="6"/>
  <c r="F275" i="6"/>
  <c r="H275" i="6"/>
  <c r="I275" i="6"/>
  <c r="C305" i="6"/>
  <c r="F274" i="6"/>
  <c r="H274" i="6"/>
  <c r="D274" i="6"/>
  <c r="E274" i="6"/>
  <c r="G274" i="6"/>
  <c r="I274" i="6"/>
  <c r="C304" i="6"/>
  <c r="E273" i="6"/>
  <c r="G273" i="6"/>
  <c r="I273" i="6"/>
  <c r="D273" i="6"/>
  <c r="F273" i="6"/>
  <c r="H273" i="6"/>
  <c r="C303" i="6"/>
  <c r="D272" i="6"/>
  <c r="E272" i="6"/>
  <c r="F272" i="6"/>
  <c r="G272" i="6"/>
  <c r="H272" i="6"/>
  <c r="I272" i="6"/>
  <c r="C302" i="6"/>
  <c r="E271" i="6"/>
  <c r="D271" i="6"/>
  <c r="G271" i="6"/>
  <c r="C301" i="6"/>
  <c r="F271" i="6"/>
  <c r="H271" i="6"/>
  <c r="I271" i="6"/>
  <c r="F270" i="6"/>
  <c r="C300" i="6"/>
  <c r="E270" i="6"/>
  <c r="I270" i="6"/>
  <c r="D270" i="6"/>
  <c r="G270" i="6"/>
  <c r="H270" i="6"/>
  <c r="D269" i="6"/>
  <c r="G269" i="6"/>
  <c r="E269" i="6"/>
  <c r="H269" i="6"/>
  <c r="I269" i="6"/>
  <c r="F269" i="6"/>
  <c r="C299" i="6"/>
  <c r="J265" i="6"/>
  <c r="N265" i="6" s="1"/>
  <c r="J238" i="6"/>
  <c r="N238" i="6" s="1"/>
  <c r="J259" i="6"/>
  <c r="N259" i="6" s="1"/>
  <c r="J251" i="6"/>
  <c r="N251" i="6" s="1"/>
  <c r="J263" i="6"/>
  <c r="N263" i="6" s="1"/>
  <c r="J260" i="6"/>
  <c r="N260" i="6" s="1"/>
  <c r="J261" i="6"/>
  <c r="N261" i="6" s="1"/>
  <c r="J245" i="6"/>
  <c r="N245" i="6" s="1"/>
  <c r="J264" i="6"/>
  <c r="N264" i="6" s="1"/>
  <c r="K259" i="6"/>
  <c r="K265" i="6"/>
  <c r="K266" i="6"/>
  <c r="K267" i="6"/>
  <c r="K242" i="6"/>
  <c r="K240" i="6"/>
  <c r="K244" i="6"/>
  <c r="K245" i="6"/>
  <c r="K255" i="6"/>
  <c r="K249" i="6"/>
  <c r="K257" i="6"/>
  <c r="K253" i="6"/>
  <c r="K252" i="6"/>
  <c r="K264" i="6"/>
  <c r="K243" i="6"/>
  <c r="K247" i="6"/>
  <c r="K250" i="6"/>
  <c r="K239" i="6"/>
  <c r="K238" i="6"/>
  <c r="K262" i="6"/>
  <c r="M247" i="6"/>
  <c r="M267" i="6"/>
  <c r="M244" i="6"/>
  <c r="M248" i="6"/>
  <c r="M262" i="6"/>
  <c r="M256" i="6"/>
  <c r="M239" i="6"/>
  <c r="M242" i="6"/>
  <c r="M243" i="6"/>
  <c r="L251" i="6"/>
  <c r="L246" i="6"/>
  <c r="L243" i="6"/>
  <c r="L248" i="6"/>
  <c r="L253" i="6"/>
  <c r="L267" i="6"/>
  <c r="L256" i="6"/>
  <c r="L239" i="6"/>
  <c r="L264" i="6"/>
  <c r="L240" i="6"/>
  <c r="L254" i="6"/>
  <c r="O254" i="6" s="1"/>
  <c r="L258" i="6"/>
  <c r="O258" i="6" s="1"/>
  <c r="L260" i="6"/>
  <c r="L266" i="6"/>
  <c r="L263" i="6"/>
  <c r="L252" i="6"/>
  <c r="L255" i="6"/>
  <c r="L262" i="6"/>
  <c r="L238" i="6"/>
  <c r="L242" i="6"/>
  <c r="L245" i="6"/>
  <c r="L265" i="6"/>
  <c r="L259" i="6"/>
  <c r="L244" i="6"/>
  <c r="L249" i="6"/>
  <c r="L250" i="6"/>
  <c r="L257" i="6"/>
  <c r="L261" i="6"/>
  <c r="O261" i="6" s="1"/>
  <c r="D268" i="6"/>
  <c r="C298" i="6"/>
  <c r="F268" i="6"/>
  <c r="G268" i="6"/>
  <c r="I268" i="6"/>
  <c r="H268" i="6"/>
  <c r="E268" i="6"/>
  <c r="L273" i="6" s="1"/>
  <c r="J258" i="6"/>
  <c r="N258" i="6" s="1"/>
  <c r="J257" i="6"/>
  <c r="N257" i="6" s="1"/>
  <c r="J256" i="6"/>
  <c r="N256" i="6" s="1"/>
  <c r="J255" i="6"/>
  <c r="N255" i="6" s="1"/>
  <c r="J252" i="6"/>
  <c r="N252" i="6" s="1"/>
  <c r="J250" i="6"/>
  <c r="N250" i="6" s="1"/>
  <c r="J248" i="6"/>
  <c r="N248" i="6" s="1"/>
  <c r="J247" i="6"/>
  <c r="N247" i="6" s="1"/>
  <c r="J246" i="6"/>
  <c r="N246" i="6" s="1"/>
  <c r="J244" i="6"/>
  <c r="N244" i="6" s="1"/>
  <c r="J242" i="6"/>
  <c r="N242" i="6" s="1"/>
  <c r="O230" i="6"/>
  <c r="O234" i="6"/>
  <c r="O237" i="6"/>
  <c r="J266" i="6"/>
  <c r="N266" i="6" s="1"/>
  <c r="L247" i="6"/>
  <c r="M263" i="6"/>
  <c r="M260" i="6"/>
  <c r="M240" i="6"/>
  <c r="M245" i="6"/>
  <c r="M249" i="6"/>
  <c r="M251" i="6"/>
  <c r="M257" i="6"/>
  <c r="J239" i="6"/>
  <c r="N239" i="6" s="1"/>
  <c r="Y224" i="3"/>
  <c r="AD224" i="3" s="1"/>
  <c r="W223" i="3"/>
  <c r="G226" i="3"/>
  <c r="G225" i="3"/>
  <c r="W224" i="3"/>
  <c r="Y225" i="3"/>
  <c r="AD225" i="3" s="1"/>
  <c r="AA242" i="3"/>
  <c r="AB235" i="3"/>
  <c r="AB234" i="3"/>
  <c r="C42" i="3"/>
  <c r="M245" i="3"/>
  <c r="S245" i="3" s="1"/>
  <c r="G25" i="3"/>
  <c r="F228" i="3"/>
  <c r="G24" i="3"/>
  <c r="F227" i="3"/>
  <c r="Z243" i="3"/>
  <c r="U74" i="3"/>
  <c r="E72" i="3"/>
  <c r="AH177" i="7"/>
  <c r="W177" i="7"/>
  <c r="C178" i="7"/>
  <c r="C281" i="7"/>
  <c r="AH35" i="7"/>
  <c r="W35" i="7"/>
  <c r="K32" i="7"/>
  <c r="AD32" i="7" s="1"/>
  <c r="R32" i="7" s="1"/>
  <c r="D42" i="3"/>
  <c r="X169" i="7"/>
  <c r="AI169" i="7"/>
  <c r="X272" i="7"/>
  <c r="AI272" i="7"/>
  <c r="AI28" i="7"/>
  <c r="X28" i="7"/>
  <c r="AB237" i="3"/>
  <c r="D171" i="7"/>
  <c r="U439" i="3"/>
  <c r="D274" i="7"/>
  <c r="D30" i="7"/>
  <c r="E37" i="3"/>
  <c r="U39" i="3"/>
  <c r="AB36" i="3"/>
  <c r="AB33" i="3"/>
  <c r="AI41" i="7"/>
  <c r="X41" i="7"/>
  <c r="AI184" i="7"/>
  <c r="X184" i="7"/>
  <c r="AI287" i="7"/>
  <c r="X287" i="7"/>
  <c r="AI285" i="7"/>
  <c r="X285" i="7"/>
  <c r="AI39" i="7"/>
  <c r="X39" i="7"/>
  <c r="X182" i="7"/>
  <c r="AI182" i="7"/>
  <c r="D45" i="7"/>
  <c r="D188" i="7"/>
  <c r="D291" i="7"/>
  <c r="D186" i="7"/>
  <c r="D289" i="7"/>
  <c r="D43" i="7"/>
  <c r="J282" i="7"/>
  <c r="AC282" i="7" s="1"/>
  <c r="J179" i="7"/>
  <c r="AC179" i="7" s="1"/>
  <c r="T43" i="3"/>
  <c r="J37" i="7"/>
  <c r="AC37" i="7" s="1"/>
  <c r="I37" i="7"/>
  <c r="AB37" i="7" s="1"/>
  <c r="I282" i="7"/>
  <c r="AB282" i="7" s="1"/>
  <c r="I179" i="7"/>
  <c r="AB179" i="7" s="1"/>
  <c r="G35" i="7"/>
  <c r="Q35" i="7" s="1"/>
  <c r="R41" i="3"/>
  <c r="P35" i="7"/>
  <c r="K35" i="7"/>
  <c r="AD35" i="7" s="1"/>
  <c r="R35" i="7" s="1"/>
  <c r="U444" i="3"/>
  <c r="K279" i="7"/>
  <c r="AD279" i="7" s="1"/>
  <c r="R279" i="7" s="1"/>
  <c r="K176" i="7"/>
  <c r="AD176" i="7" s="1"/>
  <c r="R176" i="7" s="1"/>
  <c r="Y262" i="7"/>
  <c r="N262" i="7" s="1"/>
  <c r="AJ262" i="7"/>
  <c r="S262" i="7" s="1"/>
  <c r="E20" i="7"/>
  <c r="M20" i="7" s="1"/>
  <c r="W25" i="3"/>
  <c r="Y18" i="7"/>
  <c r="N18" i="7" s="1"/>
  <c r="AJ18" i="7"/>
  <c r="S18" i="7" s="1"/>
  <c r="E161" i="7"/>
  <c r="E264" i="7"/>
  <c r="AJ159" i="7"/>
  <c r="S159" i="7" s="1"/>
  <c r="Y159" i="7"/>
  <c r="N159" i="7" s="1"/>
  <c r="AM16" i="7" s="1"/>
  <c r="AD21" i="3"/>
  <c r="AD20" i="3"/>
  <c r="Y158" i="7"/>
  <c r="N158" i="7" s="1"/>
  <c r="AJ158" i="7"/>
  <c r="S158" i="7" s="1"/>
  <c r="Y261" i="7"/>
  <c r="N261" i="7" s="1"/>
  <c r="AJ261" i="7"/>
  <c r="S261" i="7" s="1"/>
  <c r="Y22" i="3"/>
  <c r="Y23" i="3"/>
  <c r="R8" i="13" s="1"/>
  <c r="BQ8" i="13" s="1"/>
  <c r="Y17" i="7"/>
  <c r="N17" i="7" s="1"/>
  <c r="AJ17" i="7"/>
  <c r="S17" i="7" s="1"/>
  <c r="W24" i="3"/>
  <c r="E19" i="7"/>
  <c r="M19" i="7" s="1"/>
  <c r="E160" i="7"/>
  <c r="E263" i="7"/>
  <c r="Z26" i="6"/>
  <c r="AF33" i="6"/>
  <c r="AR16" i="7" l="1"/>
  <c r="AQ33" i="7"/>
  <c r="Z9" i="12"/>
  <c r="CJ9" i="12"/>
  <c r="AP35" i="7"/>
  <c r="AO34" i="7"/>
  <c r="AM15" i="7"/>
  <c r="AR15" i="7"/>
  <c r="O117" i="11"/>
  <c r="U117" i="11"/>
  <c r="E127" i="11"/>
  <c r="ET9" i="13"/>
  <c r="EW9" i="13" s="1"/>
  <c r="EZ9" i="13" s="1"/>
  <c r="EU9" i="13"/>
  <c r="EX9" i="13" s="1"/>
  <c r="FA9" i="13" s="1"/>
  <c r="EV9" i="13"/>
  <c r="EY9" i="13" s="1"/>
  <c r="FB9" i="13" s="1"/>
  <c r="FF9" i="13" s="1"/>
  <c r="AY9" i="13"/>
  <c r="N10" i="13"/>
  <c r="AM10" i="13" s="1"/>
  <c r="BT10" i="13" s="1"/>
  <c r="EF10" i="13"/>
  <c r="EL10" i="13" s="1"/>
  <c r="FE10" i="13" s="1"/>
  <c r="DS7" i="13"/>
  <c r="DW7" i="13" s="1"/>
  <c r="EA7" i="13" s="1"/>
  <c r="CT7" i="13"/>
  <c r="CU7" i="13"/>
  <c r="CV7" i="13"/>
  <c r="CD7" i="13"/>
  <c r="BZ7" i="13"/>
  <c r="CB7" i="13"/>
  <c r="BY7" i="13"/>
  <c r="CC7" i="13"/>
  <c r="CA7" i="13"/>
  <c r="DD7" i="13"/>
  <c r="DT7" i="13"/>
  <c r="DX7" i="13" s="1"/>
  <c r="EB7" i="13" s="1"/>
  <c r="DE7" i="13"/>
  <c r="DF7" i="13"/>
  <c r="DU7" i="13"/>
  <c r="DY7" i="13" s="1"/>
  <c r="EC7" i="13" s="1"/>
  <c r="FD7" i="13" s="1"/>
  <c r="FG7" i="13" s="1"/>
  <c r="DN7" i="13"/>
  <c r="DO7" i="13"/>
  <c r="DP7" i="13"/>
  <c r="AB9" i="13"/>
  <c r="CZ9" i="13" s="1"/>
  <c r="AO10" i="13"/>
  <c r="AR10" i="13" s="1"/>
  <c r="AZ10" i="13" s="1"/>
  <c r="AA9" i="13"/>
  <c r="CP9" i="13" s="1"/>
  <c r="AC9" i="13"/>
  <c r="DJ9" i="13" s="1"/>
  <c r="AD9" i="13"/>
  <c r="BR9" i="13" s="1"/>
  <c r="DZ8" i="12"/>
  <c r="K175" i="7"/>
  <c r="AD175" i="7" s="1"/>
  <c r="R175" i="7" s="1"/>
  <c r="AQ32" i="7" s="1"/>
  <c r="U240" i="3"/>
  <c r="F178" i="7"/>
  <c r="P178" i="7" s="1"/>
  <c r="R243" i="3"/>
  <c r="F281" i="7"/>
  <c r="P281" i="7" s="1"/>
  <c r="R446" i="3"/>
  <c r="M449" i="3"/>
  <c r="S449" i="3" s="1"/>
  <c r="S43" i="3"/>
  <c r="DC7" i="12"/>
  <c r="DM7" i="12"/>
  <c r="CS7" i="12"/>
  <c r="DS7" i="12" s="1"/>
  <c r="DW7" i="12" s="1"/>
  <c r="EA7" i="12" s="1"/>
  <c r="CG9" i="12"/>
  <c r="BX7" i="12"/>
  <c r="W9" i="12"/>
  <c r="X9" i="12"/>
  <c r="Y9" i="12"/>
  <c r="K10" i="12"/>
  <c r="AR9" i="12"/>
  <c r="AZ9" i="12" s="1"/>
  <c r="M10" i="12"/>
  <c r="L10" i="12"/>
  <c r="AP9" i="12"/>
  <c r="AE9" i="12"/>
  <c r="AF9" i="12"/>
  <c r="AG9" i="12"/>
  <c r="AH9" i="12"/>
  <c r="V9" i="12"/>
  <c r="U9" i="12"/>
  <c r="DI9" i="12" s="1"/>
  <c r="R9" i="12"/>
  <c r="BQ9" i="12" s="1"/>
  <c r="S9" i="12"/>
  <c r="CO9" i="12" s="1"/>
  <c r="T9" i="12"/>
  <c r="CY9" i="12" s="1"/>
  <c r="Q9" i="12"/>
  <c r="AY9" i="12" s="1"/>
  <c r="AG281" i="7"/>
  <c r="V281" i="7"/>
  <c r="W429" i="3"/>
  <c r="Y429" i="3"/>
  <c r="AD429" i="3" s="1"/>
  <c r="W428" i="3"/>
  <c r="D447" i="3"/>
  <c r="D36" i="10"/>
  <c r="H36" i="10" s="1"/>
  <c r="G431" i="3"/>
  <c r="G430" i="3"/>
  <c r="Y430" i="3"/>
  <c r="AD430" i="3" s="1"/>
  <c r="V179" i="7"/>
  <c r="AG179" i="7"/>
  <c r="V36" i="7"/>
  <c r="AG36" i="7"/>
  <c r="D244" i="3"/>
  <c r="AA41" i="3"/>
  <c r="C36" i="7"/>
  <c r="B282" i="7"/>
  <c r="Z447" i="3"/>
  <c r="C245" i="3"/>
  <c r="B180" i="7" s="1"/>
  <c r="C37" i="10"/>
  <c r="G37" i="10" s="1"/>
  <c r="C448" i="3"/>
  <c r="O277" i="3"/>
  <c r="O480" i="3"/>
  <c r="E275" i="3"/>
  <c r="E478" i="3"/>
  <c r="E67" i="10"/>
  <c r="I67" i="10" s="1"/>
  <c r="D37" i="10"/>
  <c r="H37" i="10" s="1"/>
  <c r="D448" i="3"/>
  <c r="AB441" i="3"/>
  <c r="AB440" i="3"/>
  <c r="E240" i="3"/>
  <c r="E32" i="10"/>
  <c r="I32" i="10" s="1"/>
  <c r="E443" i="3"/>
  <c r="O242" i="3"/>
  <c r="O445" i="3"/>
  <c r="K280" i="7" s="1"/>
  <c r="AD280" i="7" s="1"/>
  <c r="R280" i="7" s="1"/>
  <c r="N246" i="3"/>
  <c r="T246" i="3" s="1"/>
  <c r="N449" i="3"/>
  <c r="T449" i="3" s="1"/>
  <c r="J244" i="3"/>
  <c r="G179" i="7" s="1"/>
  <c r="Q179" i="7" s="1"/>
  <c r="J447" i="3"/>
  <c r="G282" i="7" s="1"/>
  <c r="Q282" i="7" s="1"/>
  <c r="H244" i="3"/>
  <c r="H447" i="3"/>
  <c r="F22" i="10"/>
  <c r="J22" i="10" s="1"/>
  <c r="F433" i="3"/>
  <c r="G433" i="3" s="1"/>
  <c r="F21" i="10"/>
  <c r="J21" i="10" s="1"/>
  <c r="F432" i="3"/>
  <c r="O247" i="6"/>
  <c r="O263" i="6"/>
  <c r="J290" i="6"/>
  <c r="N290" i="6" s="1"/>
  <c r="J281" i="6"/>
  <c r="N281" i="6" s="1"/>
  <c r="J285" i="6"/>
  <c r="N285" i="6" s="1"/>
  <c r="O257" i="6"/>
  <c r="J291" i="6"/>
  <c r="N291" i="6" s="1"/>
  <c r="O251" i="6"/>
  <c r="J278" i="6"/>
  <c r="N278" i="6" s="1"/>
  <c r="D327" i="6"/>
  <c r="E327" i="6"/>
  <c r="F327" i="6"/>
  <c r="G327" i="6"/>
  <c r="H327" i="6"/>
  <c r="I327" i="6"/>
  <c r="C357" i="6"/>
  <c r="D326" i="6"/>
  <c r="E326" i="6"/>
  <c r="F326" i="6"/>
  <c r="G326" i="6"/>
  <c r="H326" i="6"/>
  <c r="I326" i="6"/>
  <c r="C356" i="6"/>
  <c r="D325" i="6"/>
  <c r="E325" i="6"/>
  <c r="F325" i="6"/>
  <c r="G325" i="6"/>
  <c r="H325" i="6"/>
  <c r="I325" i="6"/>
  <c r="C355" i="6"/>
  <c r="D324" i="6"/>
  <c r="E324" i="6"/>
  <c r="F324" i="6"/>
  <c r="G324" i="6"/>
  <c r="H324" i="6"/>
  <c r="I324" i="6"/>
  <c r="C354" i="6"/>
  <c r="D323" i="6"/>
  <c r="E323" i="6"/>
  <c r="F323" i="6"/>
  <c r="G323" i="6"/>
  <c r="H323" i="6"/>
  <c r="I323" i="6"/>
  <c r="C353" i="6"/>
  <c r="D322" i="6"/>
  <c r="E322" i="6"/>
  <c r="F322" i="6"/>
  <c r="G322" i="6"/>
  <c r="H322" i="6"/>
  <c r="I322" i="6"/>
  <c r="C352" i="6"/>
  <c r="D321" i="6"/>
  <c r="E321" i="6"/>
  <c r="F321" i="6"/>
  <c r="G321" i="6"/>
  <c r="H321" i="6"/>
  <c r="I321" i="6"/>
  <c r="C351" i="6"/>
  <c r="D320" i="6"/>
  <c r="E320" i="6"/>
  <c r="F320" i="6"/>
  <c r="G320" i="6"/>
  <c r="H320" i="6"/>
  <c r="I320" i="6"/>
  <c r="C350" i="6"/>
  <c r="D319" i="6"/>
  <c r="E319" i="6"/>
  <c r="F319" i="6"/>
  <c r="G319" i="6"/>
  <c r="H319" i="6"/>
  <c r="I319" i="6"/>
  <c r="C349" i="6"/>
  <c r="D318" i="6"/>
  <c r="E318" i="6"/>
  <c r="F318" i="6"/>
  <c r="G318" i="6"/>
  <c r="H318" i="6"/>
  <c r="I318" i="6"/>
  <c r="C348" i="6"/>
  <c r="D317" i="6"/>
  <c r="E317" i="6"/>
  <c r="F317" i="6"/>
  <c r="G317" i="6"/>
  <c r="H317" i="6"/>
  <c r="I317" i="6"/>
  <c r="C347" i="6"/>
  <c r="D316" i="6"/>
  <c r="E316" i="6"/>
  <c r="F316" i="6"/>
  <c r="G316" i="6"/>
  <c r="H316" i="6"/>
  <c r="I316" i="6"/>
  <c r="C346" i="6"/>
  <c r="D315" i="6"/>
  <c r="E315" i="6"/>
  <c r="F315" i="6"/>
  <c r="G315" i="6"/>
  <c r="H315" i="6"/>
  <c r="I315" i="6"/>
  <c r="C345" i="6"/>
  <c r="D314" i="6"/>
  <c r="E314" i="6"/>
  <c r="F314" i="6"/>
  <c r="G314" i="6"/>
  <c r="H314" i="6"/>
  <c r="I314" i="6"/>
  <c r="C344" i="6"/>
  <c r="D313" i="6"/>
  <c r="E313" i="6"/>
  <c r="F313" i="6"/>
  <c r="G313" i="6"/>
  <c r="H313" i="6"/>
  <c r="I313" i="6"/>
  <c r="C343" i="6"/>
  <c r="D312" i="6"/>
  <c r="E312" i="6"/>
  <c r="F312" i="6"/>
  <c r="G312" i="6"/>
  <c r="H312" i="6"/>
  <c r="I312" i="6"/>
  <c r="C342" i="6"/>
  <c r="D311" i="6"/>
  <c r="E311" i="6"/>
  <c r="F311" i="6"/>
  <c r="G311" i="6"/>
  <c r="H311" i="6"/>
  <c r="I311" i="6"/>
  <c r="C341" i="6"/>
  <c r="D310" i="6"/>
  <c r="E310" i="6"/>
  <c r="F310" i="6"/>
  <c r="G310" i="6"/>
  <c r="H310" i="6"/>
  <c r="I310" i="6"/>
  <c r="C340" i="6"/>
  <c r="D309" i="6"/>
  <c r="E309" i="6"/>
  <c r="F309" i="6"/>
  <c r="G309" i="6"/>
  <c r="H309" i="6"/>
  <c r="I309" i="6"/>
  <c r="C339" i="6"/>
  <c r="D308" i="6"/>
  <c r="E308" i="6"/>
  <c r="F308" i="6"/>
  <c r="G308" i="6"/>
  <c r="H308" i="6"/>
  <c r="I308" i="6"/>
  <c r="C338" i="6"/>
  <c r="D307" i="6"/>
  <c r="E307" i="6"/>
  <c r="F307" i="6"/>
  <c r="G307" i="6"/>
  <c r="H307" i="6"/>
  <c r="I307" i="6"/>
  <c r="C337" i="6"/>
  <c r="D306" i="6"/>
  <c r="E306" i="6"/>
  <c r="F306" i="6"/>
  <c r="G306" i="6"/>
  <c r="H306" i="6"/>
  <c r="I306" i="6"/>
  <c r="C336" i="6"/>
  <c r="D305" i="6"/>
  <c r="E305" i="6"/>
  <c r="F305" i="6"/>
  <c r="G305" i="6"/>
  <c r="H305" i="6"/>
  <c r="I305" i="6"/>
  <c r="C335" i="6"/>
  <c r="D304" i="6"/>
  <c r="E304" i="6"/>
  <c r="F304" i="6"/>
  <c r="G304" i="6"/>
  <c r="H304" i="6"/>
  <c r="I304" i="6"/>
  <c r="C334" i="6"/>
  <c r="D303" i="6"/>
  <c r="E303" i="6"/>
  <c r="F303" i="6"/>
  <c r="G303" i="6"/>
  <c r="H303" i="6"/>
  <c r="I303" i="6"/>
  <c r="C333" i="6"/>
  <c r="D302" i="6"/>
  <c r="E302" i="6"/>
  <c r="F302" i="6"/>
  <c r="G302" i="6"/>
  <c r="H302" i="6"/>
  <c r="I302" i="6"/>
  <c r="C332" i="6"/>
  <c r="D301" i="6"/>
  <c r="E301" i="6"/>
  <c r="F301" i="6"/>
  <c r="G301" i="6"/>
  <c r="H301" i="6"/>
  <c r="I301" i="6"/>
  <c r="C331" i="6"/>
  <c r="D300" i="6"/>
  <c r="E300" i="6"/>
  <c r="F300" i="6"/>
  <c r="G300" i="6"/>
  <c r="H300" i="6"/>
  <c r="I300" i="6"/>
  <c r="C330" i="6"/>
  <c r="D299" i="6"/>
  <c r="E299" i="6"/>
  <c r="F299" i="6"/>
  <c r="G299" i="6"/>
  <c r="H299" i="6"/>
  <c r="I299" i="6"/>
  <c r="C329" i="6"/>
  <c r="D298" i="6"/>
  <c r="E298" i="6"/>
  <c r="F298" i="6"/>
  <c r="G298" i="6"/>
  <c r="H298" i="6"/>
  <c r="I298" i="6"/>
  <c r="C328" i="6"/>
  <c r="M276" i="6"/>
  <c r="M289" i="6"/>
  <c r="M272" i="6"/>
  <c r="M279" i="6"/>
  <c r="M285" i="6"/>
  <c r="M291" i="6"/>
  <c r="M286" i="6"/>
  <c r="M295" i="6"/>
  <c r="M268" i="6"/>
  <c r="M282" i="6"/>
  <c r="M305" i="6"/>
  <c r="M315" i="6"/>
  <c r="M269" i="6"/>
  <c r="M311" i="6"/>
  <c r="M277" i="6"/>
  <c r="J268" i="6"/>
  <c r="N268" i="6" s="1"/>
  <c r="J298" i="6"/>
  <c r="N298" i="6" s="1"/>
  <c r="J297" i="6"/>
  <c r="N297" i="6" s="1"/>
  <c r="J296" i="6"/>
  <c r="N296" i="6" s="1"/>
  <c r="J294" i="6"/>
  <c r="N294" i="6" s="1"/>
  <c r="J293" i="6"/>
  <c r="N293" i="6" s="1"/>
  <c r="J292" i="6"/>
  <c r="N292" i="6" s="1"/>
  <c r="J288" i="6"/>
  <c r="N288" i="6" s="1"/>
  <c r="J287" i="6"/>
  <c r="N287" i="6" s="1"/>
  <c r="J286" i="6"/>
  <c r="N286" i="6" s="1"/>
  <c r="J282" i="6"/>
  <c r="N282" i="6" s="1"/>
  <c r="J276" i="6"/>
  <c r="N276" i="6" s="1"/>
  <c r="O245" i="6"/>
  <c r="J274" i="6"/>
  <c r="N274" i="6" s="1"/>
  <c r="J273" i="6"/>
  <c r="N273" i="6" s="1"/>
  <c r="J272" i="6"/>
  <c r="N272" i="6" s="1"/>
  <c r="J271" i="6"/>
  <c r="N271" i="6" s="1"/>
  <c r="J270" i="6"/>
  <c r="N270" i="6" s="1"/>
  <c r="O249" i="6"/>
  <c r="O250" i="6"/>
  <c r="O265" i="6"/>
  <c r="O267" i="6"/>
  <c r="O259" i="6"/>
  <c r="O253" i="6"/>
  <c r="O238" i="6"/>
  <c r="O242" i="6"/>
  <c r="O240" i="6"/>
  <c r="O244" i="6"/>
  <c r="O252" i="6"/>
  <c r="O264" i="6"/>
  <c r="O243" i="6"/>
  <c r="O262" i="6"/>
  <c r="J289" i="6"/>
  <c r="N289" i="6" s="1"/>
  <c r="J283" i="6"/>
  <c r="N283" i="6" s="1"/>
  <c r="J279" i="6"/>
  <c r="N279" i="6" s="1"/>
  <c r="O266" i="6"/>
  <c r="O255" i="6"/>
  <c r="O239" i="6"/>
  <c r="J269" i="6"/>
  <c r="N269" i="6" s="1"/>
  <c r="J280" i="6"/>
  <c r="N280" i="6" s="1"/>
  <c r="J295" i="6"/>
  <c r="N295" i="6" s="1"/>
  <c r="J284" i="6"/>
  <c r="N284" i="6" s="1"/>
  <c r="J277" i="6"/>
  <c r="N277" i="6" s="1"/>
  <c r="J275" i="6"/>
  <c r="N275" i="6" s="1"/>
  <c r="W226" i="3"/>
  <c r="Y226" i="3"/>
  <c r="AD226" i="3" s="1"/>
  <c r="W225" i="3"/>
  <c r="G228" i="3"/>
  <c r="G227" i="3"/>
  <c r="Y227" i="3"/>
  <c r="AD227" i="3" s="1"/>
  <c r="AA243" i="3"/>
  <c r="D245" i="3"/>
  <c r="AB236" i="3"/>
  <c r="C43" i="3"/>
  <c r="M246" i="3"/>
  <c r="S246" i="3" s="1"/>
  <c r="Z244" i="3"/>
  <c r="G27" i="3"/>
  <c r="F230" i="3"/>
  <c r="G230" i="3" s="1"/>
  <c r="G26" i="3"/>
  <c r="F229" i="3"/>
  <c r="U76" i="3"/>
  <c r="E74" i="3"/>
  <c r="W178" i="7"/>
  <c r="AH178" i="7"/>
  <c r="AH281" i="7"/>
  <c r="W281" i="7"/>
  <c r="AB35" i="3"/>
  <c r="AG37" i="7"/>
  <c r="V37" i="7"/>
  <c r="C37" i="7"/>
  <c r="K34" i="7"/>
  <c r="AD34" i="7" s="1"/>
  <c r="R34" i="7" s="1"/>
  <c r="D43" i="3"/>
  <c r="X171" i="7"/>
  <c r="AI171" i="7"/>
  <c r="AI274" i="7"/>
  <c r="X274" i="7"/>
  <c r="AI30" i="7"/>
  <c r="X30" i="7"/>
  <c r="D173" i="7"/>
  <c r="U441" i="3"/>
  <c r="D276" i="7"/>
  <c r="D32" i="7"/>
  <c r="E39" i="3"/>
  <c r="U41" i="3"/>
  <c r="X45" i="7"/>
  <c r="AI45" i="7"/>
  <c r="X188" i="7"/>
  <c r="AI188" i="7"/>
  <c r="AI291" i="7"/>
  <c r="X291" i="7"/>
  <c r="X186" i="7"/>
  <c r="AI186" i="7"/>
  <c r="AI289" i="7"/>
  <c r="X289" i="7"/>
  <c r="AI43" i="7"/>
  <c r="X43" i="7"/>
  <c r="D192" i="7"/>
  <c r="D49" i="7"/>
  <c r="D295" i="7"/>
  <c r="D47" i="7"/>
  <c r="D190" i="7"/>
  <c r="D293" i="7"/>
  <c r="AA42" i="3"/>
  <c r="J180" i="7"/>
  <c r="AC180" i="7" s="1"/>
  <c r="J283" i="7"/>
  <c r="AC283" i="7" s="1"/>
  <c r="J38" i="7"/>
  <c r="AC38" i="7" s="1"/>
  <c r="T44" i="3"/>
  <c r="Z245" i="3"/>
  <c r="I180" i="7"/>
  <c r="AB180" i="7" s="1"/>
  <c r="Z448" i="3"/>
  <c r="I283" i="7"/>
  <c r="AB283" i="7" s="1"/>
  <c r="I38" i="7"/>
  <c r="AB38" i="7" s="1"/>
  <c r="G36" i="7"/>
  <c r="Q36" i="7" s="1"/>
  <c r="R42" i="3"/>
  <c r="P36" i="7"/>
  <c r="K178" i="7"/>
  <c r="AD178" i="7" s="1"/>
  <c r="R178" i="7" s="1"/>
  <c r="U446" i="3"/>
  <c r="K281" i="7"/>
  <c r="AD281" i="7" s="1"/>
  <c r="R281" i="7" s="1"/>
  <c r="K37" i="7"/>
  <c r="AD37" i="7" s="1"/>
  <c r="R37" i="7" s="1"/>
  <c r="E22" i="7"/>
  <c r="M22" i="7" s="1"/>
  <c r="W27" i="3"/>
  <c r="Y20" i="7"/>
  <c r="N20" i="7" s="1"/>
  <c r="AJ20" i="7"/>
  <c r="S20" i="7" s="1"/>
  <c r="E163" i="7"/>
  <c r="E266" i="7"/>
  <c r="AJ161" i="7"/>
  <c r="S161" i="7" s="1"/>
  <c r="Y161" i="7"/>
  <c r="N161" i="7" s="1"/>
  <c r="AJ264" i="7"/>
  <c r="S264" i="7" s="1"/>
  <c r="Y264" i="7"/>
  <c r="N264" i="7" s="1"/>
  <c r="AD22" i="3"/>
  <c r="AD23" i="3"/>
  <c r="E21" i="7"/>
  <c r="M21" i="7" s="1"/>
  <c r="W26" i="3"/>
  <c r="E162" i="7"/>
  <c r="E265" i="7"/>
  <c r="Y24" i="3"/>
  <c r="Y25" i="3"/>
  <c r="Y19" i="7"/>
  <c r="N19" i="7" s="1"/>
  <c r="AJ19" i="7"/>
  <c r="S19" i="7" s="1"/>
  <c r="AJ160" i="7"/>
  <c r="S160" i="7" s="1"/>
  <c r="Y160" i="7"/>
  <c r="N160" i="7" s="1"/>
  <c r="Y263" i="7"/>
  <c r="N263" i="7" s="1"/>
  <c r="AJ263" i="7"/>
  <c r="S263" i="7" s="1"/>
  <c r="AF34" i="6"/>
  <c r="Z27" i="6"/>
  <c r="AQ35" i="7" l="1"/>
  <c r="AO35" i="7"/>
  <c r="AM18" i="7"/>
  <c r="AR18" i="7"/>
  <c r="AP36" i="7"/>
  <c r="AM17" i="7"/>
  <c r="AR17" i="7"/>
  <c r="J299" i="6"/>
  <c r="N299" i="6" s="1"/>
  <c r="M327" i="6"/>
  <c r="M324" i="6"/>
  <c r="U127" i="11"/>
  <c r="O127" i="11"/>
  <c r="E137" i="11"/>
  <c r="ER10" i="13"/>
  <c r="EG10" i="13"/>
  <c r="EM10" i="13" s="1"/>
  <c r="EK9" i="13"/>
  <c r="EJ10" i="13"/>
  <c r="M322" i="6"/>
  <c r="M11" i="13"/>
  <c r="L11" i="13"/>
  <c r="AN11" i="13" s="1"/>
  <c r="AQ11" i="13" s="1"/>
  <c r="BU11" i="13" s="1"/>
  <c r="K11" i="13"/>
  <c r="CG10" i="13"/>
  <c r="AP10" i="13"/>
  <c r="AS10" i="13" s="1"/>
  <c r="DV10" i="13" s="1"/>
  <c r="DZ10" i="13" s="1"/>
  <c r="ED10" i="13" s="1"/>
  <c r="Q10" i="13"/>
  <c r="S10" i="13"/>
  <c r="CO10" i="13" s="1"/>
  <c r="T10" i="13"/>
  <c r="CY10" i="13" s="1"/>
  <c r="U10" i="13"/>
  <c r="DI10" i="13" s="1"/>
  <c r="V10" i="13"/>
  <c r="W10" i="13"/>
  <c r="AA10" i="13" s="1"/>
  <c r="CP10" i="13" s="1"/>
  <c r="X10" i="13"/>
  <c r="AB10" i="13" s="1"/>
  <c r="CZ10" i="13" s="1"/>
  <c r="Y10" i="13"/>
  <c r="AC10" i="13" s="1"/>
  <c r="DJ10" i="13" s="1"/>
  <c r="Z10" i="13"/>
  <c r="AD10" i="13" s="1"/>
  <c r="BR10" i="13" s="1"/>
  <c r="CJ10" i="13"/>
  <c r="AH10" i="13"/>
  <c r="AL10" i="13" s="1"/>
  <c r="BS10" i="13" s="1"/>
  <c r="AG10" i="13"/>
  <c r="AK10" i="13" s="1"/>
  <c r="DK10" i="13" s="1"/>
  <c r="AF10" i="13"/>
  <c r="AJ10" i="13" s="1"/>
  <c r="DA10" i="13" s="1"/>
  <c r="AE10" i="13"/>
  <c r="AI10" i="13" s="1"/>
  <c r="CQ10" i="13" s="1"/>
  <c r="ED8" i="12"/>
  <c r="CE7" i="12"/>
  <c r="DT7" i="12"/>
  <c r="DX7" i="12" s="1"/>
  <c r="EB7" i="12" s="1"/>
  <c r="DG7" i="12"/>
  <c r="AG180" i="7"/>
  <c r="V180" i="7"/>
  <c r="K177" i="7"/>
  <c r="AD177" i="7" s="1"/>
  <c r="R177" i="7" s="1"/>
  <c r="AQ34" i="7" s="1"/>
  <c r="U242" i="3"/>
  <c r="F179" i="7"/>
  <c r="P179" i="7" s="1"/>
  <c r="R244" i="3"/>
  <c r="F282" i="7"/>
  <c r="P282" i="7" s="1"/>
  <c r="R447" i="3"/>
  <c r="M450" i="3"/>
  <c r="S450" i="3" s="1"/>
  <c r="S44" i="3"/>
  <c r="DQ7" i="12"/>
  <c r="DU7" i="12"/>
  <c r="DY7" i="12" s="1"/>
  <c r="EC7" i="12" s="1"/>
  <c r="FD7" i="12" s="1"/>
  <c r="FG7" i="12" s="1"/>
  <c r="DF7" i="12"/>
  <c r="DE7" i="12"/>
  <c r="DD7" i="12"/>
  <c r="DP7" i="12"/>
  <c r="DO7" i="12"/>
  <c r="DN7" i="12"/>
  <c r="CV7" i="12"/>
  <c r="CU7" i="12"/>
  <c r="CT7" i="12"/>
  <c r="CW7" i="12"/>
  <c r="BY7" i="12"/>
  <c r="BZ7" i="12"/>
  <c r="CB7" i="12"/>
  <c r="CC7" i="12"/>
  <c r="CD7" i="12"/>
  <c r="CA7" i="12"/>
  <c r="AA9" i="12"/>
  <c r="CP9" i="12" s="1"/>
  <c r="AB9" i="12"/>
  <c r="CZ9" i="12" s="1"/>
  <c r="AC9" i="12"/>
  <c r="DJ9" i="12" s="1"/>
  <c r="AD9" i="12"/>
  <c r="BR9" i="12" s="1"/>
  <c r="N10" i="12"/>
  <c r="Z10" i="12" s="1"/>
  <c r="AN10" i="12"/>
  <c r="AQ10" i="12" s="1"/>
  <c r="BU10" i="12" s="1"/>
  <c r="AS9" i="12"/>
  <c r="DV9" i="12" s="1"/>
  <c r="AM10" i="12"/>
  <c r="BT10" i="12" s="1"/>
  <c r="AO10" i="12"/>
  <c r="AI9" i="12"/>
  <c r="CQ9" i="12" s="1"/>
  <c r="AJ9" i="12"/>
  <c r="DA9" i="12" s="1"/>
  <c r="AK9" i="12"/>
  <c r="DK9" i="12" s="1"/>
  <c r="AL9" i="12"/>
  <c r="BS9" i="12" s="1"/>
  <c r="W431" i="3"/>
  <c r="Y431" i="3"/>
  <c r="AD431" i="3" s="1"/>
  <c r="W430" i="3"/>
  <c r="AG282" i="7"/>
  <c r="V282" i="7"/>
  <c r="B283" i="7"/>
  <c r="G432" i="3"/>
  <c r="Y432" i="3"/>
  <c r="AD432" i="3" s="1"/>
  <c r="C282" i="7"/>
  <c r="C179" i="7"/>
  <c r="W36" i="7"/>
  <c r="AH36" i="7"/>
  <c r="C246" i="3"/>
  <c r="B181" i="7" s="1"/>
  <c r="C449" i="3"/>
  <c r="C38" i="10"/>
  <c r="G38" i="10" s="1"/>
  <c r="O279" i="3"/>
  <c r="O482" i="3"/>
  <c r="E277" i="3"/>
  <c r="E69" i="10"/>
  <c r="I69" i="10" s="1"/>
  <c r="E480" i="3"/>
  <c r="D449" i="3"/>
  <c r="D38" i="10"/>
  <c r="H38" i="10" s="1"/>
  <c r="AB442" i="3"/>
  <c r="E242" i="3"/>
  <c r="E34" i="10"/>
  <c r="I34" i="10" s="1"/>
  <c r="E445" i="3"/>
  <c r="O244" i="3"/>
  <c r="U244" i="3" s="1"/>
  <c r="O447" i="3"/>
  <c r="K282" i="7" s="1"/>
  <c r="AD282" i="7" s="1"/>
  <c r="R282" i="7" s="1"/>
  <c r="N247" i="3"/>
  <c r="T247" i="3" s="1"/>
  <c r="N450" i="3"/>
  <c r="T450" i="3" s="1"/>
  <c r="J245" i="3"/>
  <c r="G180" i="7" s="1"/>
  <c r="Q180" i="7" s="1"/>
  <c r="J448" i="3"/>
  <c r="G283" i="7" s="1"/>
  <c r="Q283" i="7" s="1"/>
  <c r="H245" i="3"/>
  <c r="H448" i="3"/>
  <c r="F24" i="10"/>
  <c r="J24" i="10" s="1"/>
  <c r="F435" i="3"/>
  <c r="G435" i="3" s="1"/>
  <c r="F434" i="3"/>
  <c r="G434" i="3" s="1"/>
  <c r="F23" i="10"/>
  <c r="J23" i="10" s="1"/>
  <c r="M317" i="6"/>
  <c r="M323" i="6"/>
  <c r="D357" i="6"/>
  <c r="E357" i="6"/>
  <c r="F357" i="6"/>
  <c r="G357" i="6"/>
  <c r="H357" i="6"/>
  <c r="I357" i="6"/>
  <c r="C387" i="6"/>
  <c r="D356" i="6"/>
  <c r="E356" i="6"/>
  <c r="F356" i="6"/>
  <c r="G356" i="6"/>
  <c r="H356" i="6"/>
  <c r="I356" i="6"/>
  <c r="C386" i="6"/>
  <c r="D355" i="6"/>
  <c r="E355" i="6"/>
  <c r="F355" i="6"/>
  <c r="G355" i="6"/>
  <c r="H355" i="6"/>
  <c r="I355" i="6"/>
  <c r="C385" i="6"/>
  <c r="D354" i="6"/>
  <c r="E354" i="6"/>
  <c r="F354" i="6"/>
  <c r="G354" i="6"/>
  <c r="H354" i="6"/>
  <c r="I354" i="6"/>
  <c r="C384" i="6"/>
  <c r="D353" i="6"/>
  <c r="E353" i="6"/>
  <c r="F353" i="6"/>
  <c r="G353" i="6"/>
  <c r="H353" i="6"/>
  <c r="I353" i="6"/>
  <c r="C383" i="6"/>
  <c r="D352" i="6"/>
  <c r="E352" i="6"/>
  <c r="F352" i="6"/>
  <c r="G352" i="6"/>
  <c r="H352" i="6"/>
  <c r="I352" i="6"/>
  <c r="C382" i="6"/>
  <c r="D351" i="6"/>
  <c r="E351" i="6"/>
  <c r="F351" i="6"/>
  <c r="G351" i="6"/>
  <c r="H351" i="6"/>
  <c r="I351" i="6"/>
  <c r="C381" i="6"/>
  <c r="D350" i="6"/>
  <c r="E350" i="6"/>
  <c r="F350" i="6"/>
  <c r="G350" i="6"/>
  <c r="H350" i="6"/>
  <c r="I350" i="6"/>
  <c r="C380" i="6"/>
  <c r="D349" i="6"/>
  <c r="E349" i="6"/>
  <c r="F349" i="6"/>
  <c r="G349" i="6"/>
  <c r="H349" i="6"/>
  <c r="I349" i="6"/>
  <c r="C379" i="6"/>
  <c r="D348" i="6"/>
  <c r="E348" i="6"/>
  <c r="F348" i="6"/>
  <c r="G348" i="6"/>
  <c r="H348" i="6"/>
  <c r="I348" i="6"/>
  <c r="C378" i="6"/>
  <c r="D347" i="6"/>
  <c r="E347" i="6"/>
  <c r="F347" i="6"/>
  <c r="G347" i="6"/>
  <c r="H347" i="6"/>
  <c r="I347" i="6"/>
  <c r="C377" i="6"/>
  <c r="D346" i="6"/>
  <c r="E346" i="6"/>
  <c r="F346" i="6"/>
  <c r="G346" i="6"/>
  <c r="H346" i="6"/>
  <c r="I346" i="6"/>
  <c r="C376" i="6"/>
  <c r="D345" i="6"/>
  <c r="E345" i="6"/>
  <c r="F345" i="6"/>
  <c r="G345" i="6"/>
  <c r="H345" i="6"/>
  <c r="I345" i="6"/>
  <c r="C375" i="6"/>
  <c r="D344" i="6"/>
  <c r="E344" i="6"/>
  <c r="F344" i="6"/>
  <c r="G344" i="6"/>
  <c r="H344" i="6"/>
  <c r="I344" i="6"/>
  <c r="C374" i="6"/>
  <c r="D343" i="6"/>
  <c r="E343" i="6"/>
  <c r="F343" i="6"/>
  <c r="G343" i="6"/>
  <c r="H343" i="6"/>
  <c r="I343" i="6"/>
  <c r="C373" i="6"/>
  <c r="D342" i="6"/>
  <c r="E342" i="6"/>
  <c r="F342" i="6"/>
  <c r="G342" i="6"/>
  <c r="H342" i="6"/>
  <c r="I342" i="6"/>
  <c r="C372" i="6"/>
  <c r="D341" i="6"/>
  <c r="E341" i="6"/>
  <c r="F341" i="6"/>
  <c r="G341" i="6"/>
  <c r="H341" i="6"/>
  <c r="I341" i="6"/>
  <c r="C371" i="6"/>
  <c r="D340" i="6"/>
  <c r="E340" i="6"/>
  <c r="F340" i="6"/>
  <c r="G340" i="6"/>
  <c r="H340" i="6"/>
  <c r="I340" i="6"/>
  <c r="C370" i="6"/>
  <c r="D339" i="6"/>
  <c r="E339" i="6"/>
  <c r="F339" i="6"/>
  <c r="G339" i="6"/>
  <c r="H339" i="6"/>
  <c r="I339" i="6"/>
  <c r="C369" i="6"/>
  <c r="D338" i="6"/>
  <c r="E338" i="6"/>
  <c r="F338" i="6"/>
  <c r="G338" i="6"/>
  <c r="H338" i="6"/>
  <c r="I338" i="6"/>
  <c r="C368" i="6"/>
  <c r="D337" i="6"/>
  <c r="E337" i="6"/>
  <c r="F337" i="6"/>
  <c r="G337" i="6"/>
  <c r="H337" i="6"/>
  <c r="I337" i="6"/>
  <c r="C367" i="6"/>
  <c r="D336" i="6"/>
  <c r="E336" i="6"/>
  <c r="F336" i="6"/>
  <c r="G336" i="6"/>
  <c r="H336" i="6"/>
  <c r="I336" i="6"/>
  <c r="C366" i="6"/>
  <c r="D335" i="6"/>
  <c r="E335" i="6"/>
  <c r="F335" i="6"/>
  <c r="G335" i="6"/>
  <c r="H335" i="6"/>
  <c r="I335" i="6"/>
  <c r="C365" i="6"/>
  <c r="D334" i="6"/>
  <c r="E334" i="6"/>
  <c r="F334" i="6"/>
  <c r="G334" i="6"/>
  <c r="H334" i="6"/>
  <c r="I334" i="6"/>
  <c r="C364" i="6"/>
  <c r="D333" i="6"/>
  <c r="E333" i="6"/>
  <c r="F333" i="6"/>
  <c r="G333" i="6"/>
  <c r="H333" i="6"/>
  <c r="I333" i="6"/>
  <c r="C363" i="6"/>
  <c r="D332" i="6"/>
  <c r="E332" i="6"/>
  <c r="F332" i="6"/>
  <c r="G332" i="6"/>
  <c r="H332" i="6"/>
  <c r="I332" i="6"/>
  <c r="C362" i="6"/>
  <c r="D331" i="6"/>
  <c r="E331" i="6"/>
  <c r="F331" i="6"/>
  <c r="G331" i="6"/>
  <c r="H331" i="6"/>
  <c r="I331" i="6"/>
  <c r="C361" i="6"/>
  <c r="D330" i="6"/>
  <c r="E330" i="6"/>
  <c r="F330" i="6"/>
  <c r="G330" i="6"/>
  <c r="H330" i="6"/>
  <c r="I330" i="6"/>
  <c r="C360" i="6"/>
  <c r="D329" i="6"/>
  <c r="E329" i="6"/>
  <c r="F329" i="6"/>
  <c r="G329" i="6"/>
  <c r="H329" i="6"/>
  <c r="I329" i="6"/>
  <c r="C359" i="6"/>
  <c r="D328" i="6"/>
  <c r="E328" i="6"/>
  <c r="F328" i="6"/>
  <c r="G328" i="6"/>
  <c r="H328" i="6"/>
  <c r="I328" i="6"/>
  <c r="C358" i="6"/>
  <c r="J307" i="6"/>
  <c r="N307" i="6" s="1"/>
  <c r="J306" i="6"/>
  <c r="N306" i="6" s="1"/>
  <c r="J305" i="6"/>
  <c r="N305" i="6" s="1"/>
  <c r="J304" i="6"/>
  <c r="N304" i="6" s="1"/>
  <c r="J303" i="6"/>
  <c r="N303" i="6" s="1"/>
  <c r="J302" i="6"/>
  <c r="N302" i="6" s="1"/>
  <c r="J301" i="6"/>
  <c r="N301" i="6" s="1"/>
  <c r="J300" i="6"/>
  <c r="N300" i="6" s="1"/>
  <c r="J326" i="6"/>
  <c r="N326" i="6" s="1"/>
  <c r="J324" i="6"/>
  <c r="N324" i="6" s="1"/>
  <c r="J321" i="6"/>
  <c r="N321" i="6" s="1"/>
  <c r="J319" i="6"/>
  <c r="N319" i="6" s="1"/>
  <c r="J315" i="6"/>
  <c r="N315" i="6" s="1"/>
  <c r="J313" i="6"/>
  <c r="N313" i="6" s="1"/>
  <c r="J312" i="6"/>
  <c r="N312" i="6" s="1"/>
  <c r="J310" i="6"/>
  <c r="N310" i="6" s="1"/>
  <c r="J327" i="6"/>
  <c r="N327" i="6" s="1"/>
  <c r="J325" i="6"/>
  <c r="N325" i="6" s="1"/>
  <c r="J323" i="6"/>
  <c r="N323" i="6" s="1"/>
  <c r="J322" i="6"/>
  <c r="N322" i="6" s="1"/>
  <c r="J320" i="6"/>
  <c r="N320" i="6" s="1"/>
  <c r="J318" i="6"/>
  <c r="N318" i="6" s="1"/>
  <c r="J317" i="6"/>
  <c r="N317" i="6" s="1"/>
  <c r="J316" i="6"/>
  <c r="N316" i="6" s="1"/>
  <c r="J314" i="6"/>
  <c r="N314" i="6" s="1"/>
  <c r="J311" i="6"/>
  <c r="N311" i="6" s="1"/>
  <c r="J309" i="6"/>
  <c r="N309" i="6" s="1"/>
  <c r="J308" i="6"/>
  <c r="N308" i="6" s="1"/>
  <c r="W228" i="3"/>
  <c r="Y228" i="3"/>
  <c r="AD228" i="3" s="1"/>
  <c r="W227" i="3"/>
  <c r="G229" i="3"/>
  <c r="Y229" i="3"/>
  <c r="AD229" i="3" s="1"/>
  <c r="D246" i="3"/>
  <c r="AB238" i="3"/>
  <c r="AB239" i="3"/>
  <c r="C44" i="3"/>
  <c r="M247" i="3"/>
  <c r="S247" i="3" s="1"/>
  <c r="G29" i="3"/>
  <c r="F232" i="3"/>
  <c r="G232" i="3" s="1"/>
  <c r="G28" i="3"/>
  <c r="F231" i="3"/>
  <c r="G231" i="3" s="1"/>
  <c r="U78" i="3"/>
  <c r="E76" i="3"/>
  <c r="AA43" i="3"/>
  <c r="AH37" i="7"/>
  <c r="W37" i="7"/>
  <c r="AG38" i="7"/>
  <c r="V38" i="7"/>
  <c r="C38" i="7"/>
  <c r="C283" i="7"/>
  <c r="C180" i="7"/>
  <c r="K179" i="7"/>
  <c r="AD179" i="7" s="1"/>
  <c r="R179" i="7" s="1"/>
  <c r="K36" i="7"/>
  <c r="AD36" i="7" s="1"/>
  <c r="R36" i="7" s="1"/>
  <c r="D44" i="3"/>
  <c r="X173" i="7"/>
  <c r="AI173" i="7"/>
  <c r="X276" i="7"/>
  <c r="AI276" i="7"/>
  <c r="AB37" i="3"/>
  <c r="AB38" i="3"/>
  <c r="U443" i="3"/>
  <c r="AB443" i="3" s="1"/>
  <c r="D278" i="7"/>
  <c r="X32" i="7"/>
  <c r="AI32" i="7"/>
  <c r="D175" i="7"/>
  <c r="D34" i="7"/>
  <c r="E41" i="3"/>
  <c r="U43" i="3"/>
  <c r="AI192" i="7"/>
  <c r="X192" i="7"/>
  <c r="X49" i="7"/>
  <c r="AI49" i="7"/>
  <c r="AI295" i="7"/>
  <c r="X295" i="7"/>
  <c r="AI47" i="7"/>
  <c r="X47" i="7"/>
  <c r="AI190" i="7"/>
  <c r="X190" i="7"/>
  <c r="X293" i="7"/>
  <c r="AI293" i="7"/>
  <c r="D53" i="7"/>
  <c r="D196" i="7"/>
  <c r="D299" i="7"/>
  <c r="D194" i="7"/>
  <c r="D297" i="7"/>
  <c r="D51" i="7"/>
  <c r="T45" i="3"/>
  <c r="J39" i="7"/>
  <c r="AC39" i="7" s="1"/>
  <c r="J284" i="7"/>
  <c r="AC284" i="7" s="1"/>
  <c r="J181" i="7"/>
  <c r="AC181" i="7" s="1"/>
  <c r="Z43" i="3"/>
  <c r="I181" i="7"/>
  <c r="AB181" i="7" s="1"/>
  <c r="I284" i="7"/>
  <c r="AB284" i="7" s="1"/>
  <c r="I39" i="7"/>
  <c r="AB39" i="7" s="1"/>
  <c r="G37" i="7"/>
  <c r="Q37" i="7" s="1"/>
  <c r="R43" i="3"/>
  <c r="P37" i="7"/>
  <c r="K180" i="7"/>
  <c r="AD180" i="7" s="1"/>
  <c r="R180" i="7" s="1"/>
  <c r="U448" i="3"/>
  <c r="K283" i="7"/>
  <c r="AD283" i="7" s="1"/>
  <c r="R283" i="7" s="1"/>
  <c r="K39" i="7"/>
  <c r="AD39" i="7" s="1"/>
  <c r="Y22" i="7"/>
  <c r="N22" i="7" s="1"/>
  <c r="AJ22" i="7"/>
  <c r="S22" i="7" s="1"/>
  <c r="E165" i="7"/>
  <c r="E268" i="7"/>
  <c r="W29" i="3"/>
  <c r="E24" i="7"/>
  <c r="M24" i="7" s="1"/>
  <c r="Y163" i="7"/>
  <c r="N163" i="7" s="1"/>
  <c r="AJ163" i="7"/>
  <c r="S163" i="7" s="1"/>
  <c r="Y266" i="7"/>
  <c r="N266" i="7" s="1"/>
  <c r="AJ266" i="7"/>
  <c r="S266" i="7" s="1"/>
  <c r="E164" i="7"/>
  <c r="E267" i="7"/>
  <c r="E23" i="7"/>
  <c r="M23" i="7" s="1"/>
  <c r="W28" i="3"/>
  <c r="Y21" i="7"/>
  <c r="N21" i="7" s="1"/>
  <c r="AJ21" i="7"/>
  <c r="S21" i="7" s="1"/>
  <c r="AJ162" i="7"/>
  <c r="S162" i="7" s="1"/>
  <c r="Y162" i="7"/>
  <c r="N162" i="7" s="1"/>
  <c r="Y265" i="7"/>
  <c r="N265" i="7" s="1"/>
  <c r="AJ265" i="7"/>
  <c r="S265" i="7" s="1"/>
  <c r="AD24" i="3"/>
  <c r="AD25" i="3"/>
  <c r="Y27" i="3"/>
  <c r="Y26" i="3"/>
  <c r="R9" i="13" s="1"/>
  <c r="BQ9" i="13" s="1"/>
  <c r="Z28" i="6"/>
  <c r="AF35" i="6"/>
  <c r="AM20" i="7" l="1"/>
  <c r="AR20" i="7"/>
  <c r="AQ36" i="7"/>
  <c r="AQ37" i="7"/>
  <c r="AP37" i="7"/>
  <c r="AO36" i="7"/>
  <c r="AR19" i="7"/>
  <c r="AM19" i="7"/>
  <c r="O137" i="11"/>
  <c r="U137" i="11"/>
  <c r="E147" i="11"/>
  <c r="AY10" i="13"/>
  <c r="J328" i="6"/>
  <c r="N328" i="6" s="1"/>
  <c r="N11" i="13"/>
  <c r="EF11" i="13"/>
  <c r="EL11" i="13" s="1"/>
  <c r="FE11" i="13" s="1"/>
  <c r="AO11" i="13"/>
  <c r="AR11" i="13" s="1"/>
  <c r="AZ11" i="13" s="1"/>
  <c r="DZ9" i="12"/>
  <c r="W282" i="7"/>
  <c r="AH282" i="7"/>
  <c r="V181" i="7"/>
  <c r="AG181" i="7"/>
  <c r="F180" i="7"/>
  <c r="P180" i="7" s="1"/>
  <c r="R245" i="3"/>
  <c r="F283" i="7"/>
  <c r="P283" i="7" s="1"/>
  <c r="R448" i="3"/>
  <c r="M451" i="3"/>
  <c r="S451" i="3" s="1"/>
  <c r="S45" i="3"/>
  <c r="CJ10" i="12"/>
  <c r="CG10" i="12"/>
  <c r="W10" i="12"/>
  <c r="X10" i="12"/>
  <c r="Y10" i="12"/>
  <c r="AR10" i="12"/>
  <c r="AZ10" i="12" s="1"/>
  <c r="AH10" i="12"/>
  <c r="AL10" i="12" s="1"/>
  <c r="BS10" i="12" s="1"/>
  <c r="AG10" i="12"/>
  <c r="AK10" i="12" s="1"/>
  <c r="DK10" i="12" s="1"/>
  <c r="AF10" i="12"/>
  <c r="AJ10" i="12" s="1"/>
  <c r="DA10" i="12" s="1"/>
  <c r="AE10" i="12"/>
  <c r="AI10" i="12" s="1"/>
  <c r="CQ10" i="12" s="1"/>
  <c r="K11" i="12"/>
  <c r="M11" i="12"/>
  <c r="L11" i="12"/>
  <c r="AN11" i="12" s="1"/>
  <c r="AP10" i="12"/>
  <c r="S10" i="12"/>
  <c r="CO10" i="12" s="1"/>
  <c r="T10" i="12"/>
  <c r="CY10" i="12" s="1"/>
  <c r="Q10" i="12"/>
  <c r="AY10" i="12" s="1"/>
  <c r="R10" i="12"/>
  <c r="BQ10" i="12" s="1"/>
  <c r="V10" i="12"/>
  <c r="AG283" i="7"/>
  <c r="V283" i="7"/>
  <c r="Y433" i="3"/>
  <c r="AD433" i="3" s="1"/>
  <c r="W432" i="3"/>
  <c r="AA448" i="3"/>
  <c r="AA447" i="3"/>
  <c r="AA244" i="3"/>
  <c r="AA245" i="3"/>
  <c r="AH179" i="7"/>
  <c r="W179" i="7"/>
  <c r="B284" i="7"/>
  <c r="Z449" i="3"/>
  <c r="C247" i="3"/>
  <c r="B182" i="7" s="1"/>
  <c r="Z44" i="3"/>
  <c r="C450" i="3"/>
  <c r="Z450" i="3" s="1"/>
  <c r="C39" i="10"/>
  <c r="G39" i="10" s="1"/>
  <c r="O281" i="3"/>
  <c r="O484" i="3"/>
  <c r="E279" i="3"/>
  <c r="E71" i="10"/>
  <c r="I71" i="10" s="1"/>
  <c r="E482" i="3"/>
  <c r="D450" i="3"/>
  <c r="D39" i="10"/>
  <c r="H39" i="10" s="1"/>
  <c r="AB444" i="3"/>
  <c r="E244" i="3"/>
  <c r="E36" i="10"/>
  <c r="I36" i="10" s="1"/>
  <c r="E447" i="3"/>
  <c r="O246" i="3"/>
  <c r="O449" i="3"/>
  <c r="K284" i="7" s="1"/>
  <c r="AD284" i="7" s="1"/>
  <c r="R284" i="7" s="1"/>
  <c r="N248" i="3"/>
  <c r="T248" i="3" s="1"/>
  <c r="N451" i="3"/>
  <c r="T451" i="3" s="1"/>
  <c r="J246" i="3"/>
  <c r="G181" i="7" s="1"/>
  <c r="Q181" i="7" s="1"/>
  <c r="J449" i="3"/>
  <c r="G284" i="7" s="1"/>
  <c r="Q284" i="7" s="1"/>
  <c r="H246" i="3"/>
  <c r="H449" i="3"/>
  <c r="W433" i="3"/>
  <c r="Y434" i="3"/>
  <c r="AD434" i="3" s="1"/>
  <c r="F26" i="10"/>
  <c r="J26" i="10" s="1"/>
  <c r="F437" i="3"/>
  <c r="G437" i="3" s="1"/>
  <c r="F25" i="10"/>
  <c r="J25" i="10" s="1"/>
  <c r="F436" i="3"/>
  <c r="G436" i="3" s="1"/>
  <c r="J332" i="6"/>
  <c r="N332" i="6" s="1"/>
  <c r="D387" i="6"/>
  <c r="E387" i="6"/>
  <c r="F387" i="6"/>
  <c r="G387" i="6"/>
  <c r="H387" i="6"/>
  <c r="I387" i="6"/>
  <c r="C417" i="6"/>
  <c r="D386" i="6"/>
  <c r="E386" i="6"/>
  <c r="F386" i="6"/>
  <c r="G386" i="6"/>
  <c r="H386" i="6"/>
  <c r="I386" i="6"/>
  <c r="C416" i="6"/>
  <c r="D385" i="6"/>
  <c r="E385" i="6"/>
  <c r="F385" i="6"/>
  <c r="G385" i="6"/>
  <c r="H385" i="6"/>
  <c r="I385" i="6"/>
  <c r="C415" i="6"/>
  <c r="D384" i="6"/>
  <c r="E384" i="6"/>
  <c r="F384" i="6"/>
  <c r="G384" i="6"/>
  <c r="H384" i="6"/>
  <c r="I384" i="6"/>
  <c r="C414" i="6"/>
  <c r="D383" i="6"/>
  <c r="E383" i="6"/>
  <c r="F383" i="6"/>
  <c r="G383" i="6"/>
  <c r="H383" i="6"/>
  <c r="I383" i="6"/>
  <c r="C413" i="6"/>
  <c r="D382" i="6"/>
  <c r="E382" i="6"/>
  <c r="F382" i="6"/>
  <c r="G382" i="6"/>
  <c r="H382" i="6"/>
  <c r="I382" i="6"/>
  <c r="C412" i="6"/>
  <c r="D381" i="6"/>
  <c r="E381" i="6"/>
  <c r="F381" i="6"/>
  <c r="G381" i="6"/>
  <c r="H381" i="6"/>
  <c r="I381" i="6"/>
  <c r="C411" i="6"/>
  <c r="D380" i="6"/>
  <c r="E380" i="6"/>
  <c r="F380" i="6"/>
  <c r="G380" i="6"/>
  <c r="H380" i="6"/>
  <c r="I380" i="6"/>
  <c r="C410" i="6"/>
  <c r="D379" i="6"/>
  <c r="E379" i="6"/>
  <c r="F379" i="6"/>
  <c r="G379" i="6"/>
  <c r="H379" i="6"/>
  <c r="I379" i="6"/>
  <c r="C409" i="6"/>
  <c r="D378" i="6"/>
  <c r="E378" i="6"/>
  <c r="F378" i="6"/>
  <c r="G378" i="6"/>
  <c r="H378" i="6"/>
  <c r="I378" i="6"/>
  <c r="C408" i="6"/>
  <c r="D377" i="6"/>
  <c r="E377" i="6"/>
  <c r="F377" i="6"/>
  <c r="G377" i="6"/>
  <c r="H377" i="6"/>
  <c r="I377" i="6"/>
  <c r="C407" i="6"/>
  <c r="D376" i="6"/>
  <c r="E376" i="6"/>
  <c r="F376" i="6"/>
  <c r="G376" i="6"/>
  <c r="H376" i="6"/>
  <c r="I376" i="6"/>
  <c r="C406" i="6"/>
  <c r="D375" i="6"/>
  <c r="E375" i="6"/>
  <c r="F375" i="6"/>
  <c r="G375" i="6"/>
  <c r="H375" i="6"/>
  <c r="I375" i="6"/>
  <c r="C405" i="6"/>
  <c r="D374" i="6"/>
  <c r="E374" i="6"/>
  <c r="F374" i="6"/>
  <c r="G374" i="6"/>
  <c r="H374" i="6"/>
  <c r="I374" i="6"/>
  <c r="C404" i="6"/>
  <c r="D373" i="6"/>
  <c r="E373" i="6"/>
  <c r="F373" i="6"/>
  <c r="G373" i="6"/>
  <c r="H373" i="6"/>
  <c r="I373" i="6"/>
  <c r="C403" i="6"/>
  <c r="D372" i="6"/>
  <c r="E372" i="6"/>
  <c r="F372" i="6"/>
  <c r="G372" i="6"/>
  <c r="H372" i="6"/>
  <c r="I372" i="6"/>
  <c r="C402" i="6"/>
  <c r="D371" i="6"/>
  <c r="E371" i="6"/>
  <c r="F371" i="6"/>
  <c r="G371" i="6"/>
  <c r="H371" i="6"/>
  <c r="I371" i="6"/>
  <c r="C401" i="6"/>
  <c r="D370" i="6"/>
  <c r="E370" i="6"/>
  <c r="F370" i="6"/>
  <c r="G370" i="6"/>
  <c r="H370" i="6"/>
  <c r="I370" i="6"/>
  <c r="C400" i="6"/>
  <c r="D369" i="6"/>
  <c r="E369" i="6"/>
  <c r="F369" i="6"/>
  <c r="G369" i="6"/>
  <c r="H369" i="6"/>
  <c r="I369" i="6"/>
  <c r="C399" i="6"/>
  <c r="D368" i="6"/>
  <c r="E368" i="6"/>
  <c r="F368" i="6"/>
  <c r="G368" i="6"/>
  <c r="H368" i="6"/>
  <c r="I368" i="6"/>
  <c r="C398" i="6"/>
  <c r="D367" i="6"/>
  <c r="E367" i="6"/>
  <c r="F367" i="6"/>
  <c r="G367" i="6"/>
  <c r="H367" i="6"/>
  <c r="I367" i="6"/>
  <c r="C397" i="6"/>
  <c r="D366" i="6"/>
  <c r="E366" i="6"/>
  <c r="F366" i="6"/>
  <c r="G366" i="6"/>
  <c r="H366" i="6"/>
  <c r="I366" i="6"/>
  <c r="C396" i="6"/>
  <c r="D365" i="6"/>
  <c r="E365" i="6"/>
  <c r="F365" i="6"/>
  <c r="G365" i="6"/>
  <c r="H365" i="6"/>
  <c r="I365" i="6"/>
  <c r="C395" i="6"/>
  <c r="D364" i="6"/>
  <c r="E364" i="6"/>
  <c r="F364" i="6"/>
  <c r="G364" i="6"/>
  <c r="H364" i="6"/>
  <c r="I364" i="6"/>
  <c r="C394" i="6"/>
  <c r="D363" i="6"/>
  <c r="E363" i="6"/>
  <c r="F363" i="6"/>
  <c r="G363" i="6"/>
  <c r="H363" i="6"/>
  <c r="I363" i="6"/>
  <c r="C393" i="6"/>
  <c r="D362" i="6"/>
  <c r="E362" i="6"/>
  <c r="F362" i="6"/>
  <c r="G362" i="6"/>
  <c r="H362" i="6"/>
  <c r="I362" i="6"/>
  <c r="C392" i="6"/>
  <c r="D361" i="6"/>
  <c r="E361" i="6"/>
  <c r="F361" i="6"/>
  <c r="G361" i="6"/>
  <c r="H361" i="6"/>
  <c r="I361" i="6"/>
  <c r="C391" i="6"/>
  <c r="D360" i="6"/>
  <c r="E360" i="6"/>
  <c r="F360" i="6"/>
  <c r="G360" i="6"/>
  <c r="H360" i="6"/>
  <c r="I360" i="6"/>
  <c r="C390" i="6"/>
  <c r="D359" i="6"/>
  <c r="E359" i="6"/>
  <c r="F359" i="6"/>
  <c r="G359" i="6"/>
  <c r="H359" i="6"/>
  <c r="I359" i="6"/>
  <c r="C389" i="6"/>
  <c r="D358" i="6"/>
  <c r="E358" i="6"/>
  <c r="F358" i="6"/>
  <c r="G358" i="6"/>
  <c r="H358" i="6"/>
  <c r="I358" i="6"/>
  <c r="C388" i="6"/>
  <c r="J339" i="6"/>
  <c r="N339" i="6" s="1"/>
  <c r="J338" i="6"/>
  <c r="N338" i="6" s="1"/>
  <c r="J337" i="6"/>
  <c r="N337" i="6" s="1"/>
  <c r="J336" i="6"/>
  <c r="N336" i="6" s="1"/>
  <c r="J335" i="6"/>
  <c r="N335" i="6" s="1"/>
  <c r="J334" i="6"/>
  <c r="N334" i="6" s="1"/>
  <c r="J333" i="6"/>
  <c r="N333" i="6" s="1"/>
  <c r="J331" i="6"/>
  <c r="N331" i="6" s="1"/>
  <c r="J330" i="6"/>
  <c r="N330" i="6" s="1"/>
  <c r="J356" i="6"/>
  <c r="N356" i="6" s="1"/>
  <c r="J355" i="6"/>
  <c r="N355" i="6" s="1"/>
  <c r="J353" i="6"/>
  <c r="N353" i="6" s="1"/>
  <c r="J350" i="6"/>
  <c r="N350" i="6" s="1"/>
  <c r="J349" i="6"/>
  <c r="N349" i="6" s="1"/>
  <c r="J347" i="6"/>
  <c r="N347" i="6" s="1"/>
  <c r="J345" i="6"/>
  <c r="N345" i="6" s="1"/>
  <c r="J344" i="6"/>
  <c r="N344" i="6" s="1"/>
  <c r="J342" i="6"/>
  <c r="N342" i="6" s="1"/>
  <c r="J340" i="6"/>
  <c r="N340" i="6" s="1"/>
  <c r="J357" i="6"/>
  <c r="N357" i="6" s="1"/>
  <c r="J354" i="6"/>
  <c r="N354" i="6" s="1"/>
  <c r="J348" i="6"/>
  <c r="N348" i="6" s="1"/>
  <c r="J346" i="6"/>
  <c r="N346" i="6" s="1"/>
  <c r="J343" i="6"/>
  <c r="N343" i="6" s="1"/>
  <c r="J352" i="6"/>
  <c r="N352" i="6" s="1"/>
  <c r="J341" i="6"/>
  <c r="N341" i="6" s="1"/>
  <c r="J351" i="6"/>
  <c r="N351" i="6" s="1"/>
  <c r="J329" i="6"/>
  <c r="N329" i="6" s="1"/>
  <c r="Y230" i="3"/>
  <c r="AD230" i="3" s="1"/>
  <c r="W229" i="3"/>
  <c r="D247" i="3"/>
  <c r="AB240" i="3"/>
  <c r="AB241" i="3"/>
  <c r="Z246" i="3"/>
  <c r="C45" i="3"/>
  <c r="M248" i="3"/>
  <c r="S248" i="3" s="1"/>
  <c r="W230" i="3"/>
  <c r="G31" i="3"/>
  <c r="F234" i="3"/>
  <c r="G234" i="3" s="1"/>
  <c r="G30" i="3"/>
  <c r="F233" i="3"/>
  <c r="G233" i="3" s="1"/>
  <c r="U80" i="3"/>
  <c r="E78" i="3"/>
  <c r="C181" i="7"/>
  <c r="C284" i="7"/>
  <c r="Y28" i="3"/>
  <c r="W38" i="7"/>
  <c r="AH38" i="7"/>
  <c r="W283" i="7"/>
  <c r="AH283" i="7"/>
  <c r="W180" i="7"/>
  <c r="AH180" i="7"/>
  <c r="AG39" i="7"/>
  <c r="V39" i="7"/>
  <c r="C39" i="7"/>
  <c r="K38" i="7"/>
  <c r="AD38" i="7" s="1"/>
  <c r="R38" i="7" s="1"/>
  <c r="D45" i="3"/>
  <c r="AI278" i="7"/>
  <c r="X278" i="7"/>
  <c r="AI175" i="7"/>
  <c r="X175" i="7"/>
  <c r="X34" i="7"/>
  <c r="AI34" i="7"/>
  <c r="D177" i="7"/>
  <c r="U445" i="3"/>
  <c r="D280" i="7"/>
  <c r="D36" i="7"/>
  <c r="E43" i="3"/>
  <c r="U45" i="3"/>
  <c r="AB40" i="3"/>
  <c r="AB39" i="3"/>
  <c r="AI53" i="7"/>
  <c r="X53" i="7"/>
  <c r="AI196" i="7"/>
  <c r="X196" i="7"/>
  <c r="AI299" i="7"/>
  <c r="X299" i="7"/>
  <c r="X194" i="7"/>
  <c r="AI194" i="7"/>
  <c r="X297" i="7"/>
  <c r="AI297" i="7"/>
  <c r="AI51" i="7"/>
  <c r="X51" i="7"/>
  <c r="D200" i="7"/>
  <c r="D57" i="7"/>
  <c r="D303" i="7"/>
  <c r="D55" i="7"/>
  <c r="D198" i="7"/>
  <c r="D301" i="7"/>
  <c r="Y29" i="3"/>
  <c r="R39" i="7"/>
  <c r="AA44" i="3"/>
  <c r="T46" i="3"/>
  <c r="J40" i="7"/>
  <c r="AC40" i="7" s="1"/>
  <c r="J182" i="7"/>
  <c r="AC182" i="7" s="1"/>
  <c r="J285" i="7"/>
  <c r="AC285" i="7" s="1"/>
  <c r="I40" i="7"/>
  <c r="AB40" i="7" s="1"/>
  <c r="I182" i="7"/>
  <c r="AB182" i="7" s="1"/>
  <c r="I285" i="7"/>
  <c r="AB285" i="7" s="1"/>
  <c r="G38" i="7"/>
  <c r="Q38" i="7" s="1"/>
  <c r="P38" i="7"/>
  <c r="R44" i="3"/>
  <c r="U450" i="3"/>
  <c r="K285" i="7"/>
  <c r="AD285" i="7" s="1"/>
  <c r="K182" i="7"/>
  <c r="AD182" i="7" s="1"/>
  <c r="Y165" i="7"/>
  <c r="N165" i="7" s="1"/>
  <c r="AJ165" i="7"/>
  <c r="S165" i="7" s="1"/>
  <c r="Y268" i="7"/>
  <c r="N268" i="7" s="1"/>
  <c r="AJ268" i="7"/>
  <c r="S268" i="7" s="1"/>
  <c r="Y24" i="7"/>
  <c r="N24" i="7" s="1"/>
  <c r="AJ24" i="7"/>
  <c r="S24" i="7" s="1"/>
  <c r="W31" i="3"/>
  <c r="E26" i="7"/>
  <c r="M26" i="7" s="1"/>
  <c r="E167" i="7"/>
  <c r="E270" i="7"/>
  <c r="AJ164" i="7"/>
  <c r="S164" i="7" s="1"/>
  <c r="Y164" i="7"/>
  <c r="N164" i="7" s="1"/>
  <c r="AJ267" i="7"/>
  <c r="S267" i="7" s="1"/>
  <c r="Y267" i="7"/>
  <c r="N267" i="7" s="1"/>
  <c r="E25" i="7"/>
  <c r="M25" i="7" s="1"/>
  <c r="W30" i="3"/>
  <c r="Y23" i="7"/>
  <c r="N23" i="7" s="1"/>
  <c r="AJ23" i="7"/>
  <c r="S23" i="7" s="1"/>
  <c r="E166" i="7"/>
  <c r="E269" i="7"/>
  <c r="AD27" i="3"/>
  <c r="AD26" i="3"/>
  <c r="Z29" i="6"/>
  <c r="AF36" i="6"/>
  <c r="AR22" i="7" l="1"/>
  <c r="AM22" i="7"/>
  <c r="AP38" i="7"/>
  <c r="AO37" i="7"/>
  <c r="AR21" i="7"/>
  <c r="AM21" i="7"/>
  <c r="U147" i="11"/>
  <c r="O147" i="11"/>
  <c r="E157" i="11"/>
  <c r="ER11" i="13"/>
  <c r="EG11" i="13"/>
  <c r="EM11" i="13" s="1"/>
  <c r="EK10" i="13"/>
  <c r="EJ11" i="13"/>
  <c r="CG11" i="13"/>
  <c r="L12" i="13"/>
  <c r="AN12" i="13" s="1"/>
  <c r="AQ12" i="13" s="1"/>
  <c r="BU12" i="13" s="1"/>
  <c r="Q11" i="13"/>
  <c r="T11" i="13"/>
  <c r="CY11" i="13" s="1"/>
  <c r="V11" i="13"/>
  <c r="Y11" i="13"/>
  <c r="AC11" i="13" s="1"/>
  <c r="DJ11" i="13" s="1"/>
  <c r="CJ11" i="13"/>
  <c r="W11" i="13"/>
  <c r="AA11" i="13" s="1"/>
  <c r="CP11" i="13" s="1"/>
  <c r="AH11" i="13"/>
  <c r="AL11" i="13" s="1"/>
  <c r="BS11" i="13" s="1"/>
  <c r="AG11" i="13"/>
  <c r="AK11" i="13" s="1"/>
  <c r="DK11" i="13" s="1"/>
  <c r="AF11" i="13"/>
  <c r="AJ11" i="13" s="1"/>
  <c r="DA11" i="13" s="1"/>
  <c r="AE11" i="13"/>
  <c r="AI11" i="13" s="1"/>
  <c r="CQ11" i="13" s="1"/>
  <c r="AP11" i="13"/>
  <c r="AS11" i="13" s="1"/>
  <c r="DV11" i="13" s="1"/>
  <c r="DZ11" i="13" s="1"/>
  <c r="ED11" i="13" s="1"/>
  <c r="M12" i="13"/>
  <c r="S11" i="13"/>
  <c r="CO11" i="13" s="1"/>
  <c r="X11" i="13"/>
  <c r="AB11" i="13" s="1"/>
  <c r="CZ11" i="13" s="1"/>
  <c r="K12" i="13"/>
  <c r="AM11" i="13"/>
  <c r="BT11" i="13" s="1"/>
  <c r="U11" i="13"/>
  <c r="DI11" i="13" s="1"/>
  <c r="ED9" i="12"/>
  <c r="V182" i="7"/>
  <c r="AG182" i="7"/>
  <c r="K181" i="7"/>
  <c r="AD181" i="7" s="1"/>
  <c r="R181" i="7" s="1"/>
  <c r="AQ38" i="7" s="1"/>
  <c r="U246" i="3"/>
  <c r="F181" i="7"/>
  <c r="P181" i="7" s="1"/>
  <c r="R246" i="3"/>
  <c r="F284" i="7"/>
  <c r="P284" i="7" s="1"/>
  <c r="R449" i="3"/>
  <c r="M452" i="3"/>
  <c r="S452" i="3" s="1"/>
  <c r="S46" i="3"/>
  <c r="AA10" i="12"/>
  <c r="CP10" i="12" s="1"/>
  <c r="AB10" i="12"/>
  <c r="CZ10" i="12" s="1"/>
  <c r="AC10" i="12"/>
  <c r="DJ10" i="12" s="1"/>
  <c r="AD10" i="12"/>
  <c r="BR10" i="12" s="1"/>
  <c r="AQ11" i="12"/>
  <c r="BU11" i="12" s="1"/>
  <c r="AS10" i="12"/>
  <c r="DV10" i="12" s="1"/>
  <c r="N11" i="12"/>
  <c r="Z11" i="12" s="1"/>
  <c r="U10" i="12"/>
  <c r="DI10" i="12" s="1"/>
  <c r="AO11" i="12"/>
  <c r="V284" i="7"/>
  <c r="AG284" i="7"/>
  <c r="B285" i="7"/>
  <c r="C248" i="3"/>
  <c r="B183" i="7" s="1"/>
  <c r="C451" i="3"/>
  <c r="C40" i="10"/>
  <c r="G40" i="10" s="1"/>
  <c r="O283" i="3"/>
  <c r="O486" i="3"/>
  <c r="E281" i="3"/>
  <c r="E484" i="3"/>
  <c r="E73" i="10"/>
  <c r="I73" i="10" s="1"/>
  <c r="W181" i="7"/>
  <c r="AH181" i="7"/>
  <c r="AA449" i="3"/>
  <c r="D451" i="3"/>
  <c r="D40" i="10"/>
  <c r="H40" i="10" s="1"/>
  <c r="AB446" i="3"/>
  <c r="AB445" i="3"/>
  <c r="E246" i="3"/>
  <c r="E38" i="10"/>
  <c r="I38" i="10" s="1"/>
  <c r="E449" i="3"/>
  <c r="O248" i="3"/>
  <c r="O451" i="3"/>
  <c r="K286" i="7" s="1"/>
  <c r="AD286" i="7" s="1"/>
  <c r="N249" i="3"/>
  <c r="T249" i="3" s="1"/>
  <c r="N452" i="3"/>
  <c r="T452" i="3" s="1"/>
  <c r="J247" i="3"/>
  <c r="G182" i="7" s="1"/>
  <c r="Q182" i="7" s="1"/>
  <c r="J450" i="3"/>
  <c r="G285" i="7" s="1"/>
  <c r="Q285" i="7" s="1"/>
  <c r="H247" i="3"/>
  <c r="H450" i="3"/>
  <c r="F28" i="10"/>
  <c r="J28" i="10" s="1"/>
  <c r="F439" i="3"/>
  <c r="G439" i="3" s="1"/>
  <c r="Y436" i="3"/>
  <c r="AD436" i="3" s="1"/>
  <c r="W435" i="3"/>
  <c r="F27" i="10"/>
  <c r="J27" i="10" s="1"/>
  <c r="F438" i="3"/>
  <c r="G438" i="3" s="1"/>
  <c r="W434" i="3"/>
  <c r="Y435" i="3"/>
  <c r="AD435" i="3" s="1"/>
  <c r="J358" i="6"/>
  <c r="N358" i="6" s="1"/>
  <c r="J359" i="6"/>
  <c r="N359" i="6" s="1"/>
  <c r="G417" i="6"/>
  <c r="D417" i="6"/>
  <c r="F417" i="6"/>
  <c r="I417" i="6"/>
  <c r="C447" i="6"/>
  <c r="E417" i="6"/>
  <c r="H417" i="6"/>
  <c r="E416" i="6"/>
  <c r="I416" i="6"/>
  <c r="C446" i="6"/>
  <c r="D416" i="6"/>
  <c r="F416" i="6"/>
  <c r="H416" i="6"/>
  <c r="G416" i="6"/>
  <c r="E415" i="6"/>
  <c r="F415" i="6"/>
  <c r="H415" i="6"/>
  <c r="I415" i="6"/>
  <c r="C445" i="6"/>
  <c r="D415" i="6"/>
  <c r="G415" i="6"/>
  <c r="E414" i="6"/>
  <c r="F414" i="6"/>
  <c r="H414" i="6"/>
  <c r="I414" i="6"/>
  <c r="D414" i="6"/>
  <c r="G414" i="6"/>
  <c r="C444" i="6"/>
  <c r="E413" i="6"/>
  <c r="G413" i="6"/>
  <c r="D413" i="6"/>
  <c r="F413" i="6"/>
  <c r="H413" i="6"/>
  <c r="I413" i="6"/>
  <c r="C443" i="6"/>
  <c r="F412" i="6"/>
  <c r="H412" i="6"/>
  <c r="C442" i="6"/>
  <c r="D412" i="6"/>
  <c r="E412" i="6"/>
  <c r="G412" i="6"/>
  <c r="I412" i="6"/>
  <c r="F411" i="6"/>
  <c r="H411" i="6"/>
  <c r="D411" i="6"/>
  <c r="E411" i="6"/>
  <c r="G411" i="6"/>
  <c r="I411" i="6"/>
  <c r="C441" i="6"/>
  <c r="E410" i="6"/>
  <c r="G410" i="6"/>
  <c r="H410" i="6"/>
  <c r="C440" i="6"/>
  <c r="D410" i="6"/>
  <c r="F410" i="6"/>
  <c r="I410" i="6"/>
  <c r="D409" i="6"/>
  <c r="F409" i="6"/>
  <c r="H409" i="6"/>
  <c r="I409" i="6"/>
  <c r="C439" i="6"/>
  <c r="E409" i="6"/>
  <c r="G409" i="6"/>
  <c r="E408" i="6"/>
  <c r="F408" i="6"/>
  <c r="G408" i="6"/>
  <c r="I408" i="6"/>
  <c r="D408" i="6"/>
  <c r="H408" i="6"/>
  <c r="C438" i="6"/>
  <c r="G407" i="6"/>
  <c r="E407" i="6"/>
  <c r="D407" i="6"/>
  <c r="F407" i="6"/>
  <c r="H407" i="6"/>
  <c r="I407" i="6"/>
  <c r="C437" i="6"/>
  <c r="D406" i="6"/>
  <c r="E406" i="6"/>
  <c r="C436" i="6"/>
  <c r="F406" i="6"/>
  <c r="G406" i="6"/>
  <c r="H406" i="6"/>
  <c r="I406" i="6"/>
  <c r="D405" i="6"/>
  <c r="E405" i="6"/>
  <c r="F405" i="6"/>
  <c r="G405" i="6"/>
  <c r="H405" i="6"/>
  <c r="I405" i="6"/>
  <c r="C435" i="6"/>
  <c r="D404" i="6"/>
  <c r="E404" i="6"/>
  <c r="F404" i="6"/>
  <c r="G404" i="6"/>
  <c r="H404" i="6"/>
  <c r="I404" i="6"/>
  <c r="C434" i="6"/>
  <c r="D403" i="6"/>
  <c r="E403" i="6"/>
  <c r="F403" i="6"/>
  <c r="G403" i="6"/>
  <c r="H403" i="6"/>
  <c r="I403" i="6"/>
  <c r="C433" i="6"/>
  <c r="D402" i="6"/>
  <c r="E402" i="6"/>
  <c r="F402" i="6"/>
  <c r="G402" i="6"/>
  <c r="H402" i="6"/>
  <c r="I402" i="6"/>
  <c r="C432" i="6"/>
  <c r="D401" i="6"/>
  <c r="E401" i="6"/>
  <c r="F401" i="6"/>
  <c r="G401" i="6"/>
  <c r="H401" i="6"/>
  <c r="I401" i="6"/>
  <c r="C431" i="6"/>
  <c r="D400" i="6"/>
  <c r="E400" i="6"/>
  <c r="F400" i="6"/>
  <c r="G400" i="6"/>
  <c r="H400" i="6"/>
  <c r="I400" i="6"/>
  <c r="C430" i="6"/>
  <c r="D399" i="6"/>
  <c r="E399" i="6"/>
  <c r="F399" i="6"/>
  <c r="G399" i="6"/>
  <c r="H399" i="6"/>
  <c r="I399" i="6"/>
  <c r="C429" i="6"/>
  <c r="D398" i="6"/>
  <c r="E398" i="6"/>
  <c r="F398" i="6"/>
  <c r="G398" i="6"/>
  <c r="H398" i="6"/>
  <c r="I398" i="6"/>
  <c r="C428" i="6"/>
  <c r="D397" i="6"/>
  <c r="E397" i="6"/>
  <c r="F397" i="6"/>
  <c r="G397" i="6"/>
  <c r="H397" i="6"/>
  <c r="I397" i="6"/>
  <c r="C427" i="6"/>
  <c r="D396" i="6"/>
  <c r="E396" i="6"/>
  <c r="F396" i="6"/>
  <c r="G396" i="6"/>
  <c r="H396" i="6"/>
  <c r="I396" i="6"/>
  <c r="C426" i="6"/>
  <c r="D395" i="6"/>
  <c r="E395" i="6"/>
  <c r="F395" i="6"/>
  <c r="G395" i="6"/>
  <c r="H395" i="6"/>
  <c r="I395" i="6"/>
  <c r="C425" i="6"/>
  <c r="D394" i="6"/>
  <c r="E394" i="6"/>
  <c r="F394" i="6"/>
  <c r="G394" i="6"/>
  <c r="H394" i="6"/>
  <c r="I394" i="6"/>
  <c r="C424" i="6"/>
  <c r="D393" i="6"/>
  <c r="E393" i="6"/>
  <c r="F393" i="6"/>
  <c r="G393" i="6"/>
  <c r="H393" i="6"/>
  <c r="I393" i="6"/>
  <c r="C423" i="6"/>
  <c r="D392" i="6"/>
  <c r="E392" i="6"/>
  <c r="F392" i="6"/>
  <c r="G392" i="6"/>
  <c r="H392" i="6"/>
  <c r="I392" i="6"/>
  <c r="C422" i="6"/>
  <c r="D391" i="6"/>
  <c r="E391" i="6"/>
  <c r="F391" i="6"/>
  <c r="G391" i="6"/>
  <c r="H391" i="6"/>
  <c r="I391" i="6"/>
  <c r="C421" i="6"/>
  <c r="D390" i="6"/>
  <c r="E390" i="6"/>
  <c r="F390" i="6"/>
  <c r="G390" i="6"/>
  <c r="H390" i="6"/>
  <c r="I390" i="6"/>
  <c r="C420" i="6"/>
  <c r="D389" i="6"/>
  <c r="E389" i="6"/>
  <c r="F389" i="6"/>
  <c r="G389" i="6"/>
  <c r="H389" i="6"/>
  <c r="I389" i="6"/>
  <c r="C419" i="6"/>
  <c r="D388" i="6"/>
  <c r="E388" i="6"/>
  <c r="F388" i="6"/>
  <c r="G388" i="6"/>
  <c r="H388" i="6"/>
  <c r="I388" i="6"/>
  <c r="C418" i="6"/>
  <c r="J381" i="6"/>
  <c r="N381" i="6" s="1"/>
  <c r="J380" i="6"/>
  <c r="N380" i="6" s="1"/>
  <c r="J378" i="6"/>
  <c r="N378" i="6" s="1"/>
  <c r="J377" i="6"/>
  <c r="N377" i="6" s="1"/>
  <c r="J376" i="6"/>
  <c r="N376" i="6" s="1"/>
  <c r="J375" i="6"/>
  <c r="N375" i="6" s="1"/>
  <c r="J374" i="6"/>
  <c r="N374" i="6" s="1"/>
  <c r="J373" i="6"/>
  <c r="N373" i="6" s="1"/>
  <c r="J372" i="6"/>
  <c r="N372" i="6" s="1"/>
  <c r="J371" i="6"/>
  <c r="N371" i="6" s="1"/>
  <c r="J370" i="6"/>
  <c r="N370" i="6" s="1"/>
  <c r="J369" i="6"/>
  <c r="N369" i="6" s="1"/>
  <c r="J368" i="6"/>
  <c r="N368" i="6" s="1"/>
  <c r="J367" i="6"/>
  <c r="N367" i="6" s="1"/>
  <c r="J366" i="6"/>
  <c r="N366" i="6" s="1"/>
  <c r="J365" i="6"/>
  <c r="N365" i="6" s="1"/>
  <c r="J364" i="6"/>
  <c r="N364" i="6" s="1"/>
  <c r="J363" i="6"/>
  <c r="N363" i="6" s="1"/>
  <c r="J362" i="6"/>
  <c r="N362" i="6" s="1"/>
  <c r="J361" i="6"/>
  <c r="N361" i="6" s="1"/>
  <c r="J360" i="6"/>
  <c r="N360" i="6" s="1"/>
  <c r="J386" i="6"/>
  <c r="N386" i="6" s="1"/>
  <c r="J385" i="6"/>
  <c r="N385" i="6" s="1"/>
  <c r="J384" i="6"/>
  <c r="N384" i="6" s="1"/>
  <c r="J382" i="6"/>
  <c r="N382" i="6" s="1"/>
  <c r="J379" i="6"/>
  <c r="N379" i="6" s="1"/>
  <c r="J387" i="6"/>
  <c r="N387" i="6" s="1"/>
  <c r="J383" i="6"/>
  <c r="N383" i="6" s="1"/>
  <c r="AA246" i="3"/>
  <c r="W284" i="7"/>
  <c r="AH284" i="7"/>
  <c r="D248" i="3"/>
  <c r="AB242" i="3"/>
  <c r="AB243" i="3"/>
  <c r="C46" i="3"/>
  <c r="M249" i="3"/>
  <c r="S249" i="3" s="1"/>
  <c r="Z247" i="3"/>
  <c r="G33" i="3"/>
  <c r="F236" i="3"/>
  <c r="G236" i="3" s="1"/>
  <c r="W232" i="3"/>
  <c r="G32" i="3"/>
  <c r="F235" i="3"/>
  <c r="G235" i="3" s="1"/>
  <c r="Y231" i="3"/>
  <c r="AD231" i="3" s="1"/>
  <c r="W231" i="3"/>
  <c r="Y232" i="3"/>
  <c r="AD232" i="3" s="1"/>
  <c r="U82" i="3"/>
  <c r="E80" i="3"/>
  <c r="AD28" i="3"/>
  <c r="AA45" i="3"/>
  <c r="AD29" i="3"/>
  <c r="C182" i="7"/>
  <c r="C285" i="7"/>
  <c r="AH39" i="7"/>
  <c r="W39" i="7"/>
  <c r="AG40" i="7"/>
  <c r="V40" i="7"/>
  <c r="C40" i="7"/>
  <c r="K40" i="7"/>
  <c r="AD40" i="7" s="1"/>
  <c r="R40" i="7" s="1"/>
  <c r="D46" i="3"/>
  <c r="AI177" i="7"/>
  <c r="X177" i="7"/>
  <c r="X280" i="7"/>
  <c r="AI280" i="7"/>
  <c r="D179" i="7"/>
  <c r="AI36" i="7"/>
  <c r="X36" i="7"/>
  <c r="U447" i="3"/>
  <c r="D282" i="7"/>
  <c r="D38" i="7"/>
  <c r="E45" i="3"/>
  <c r="U47" i="3"/>
  <c r="AB41" i="3"/>
  <c r="AB42" i="3"/>
  <c r="Y31" i="3"/>
  <c r="R10" i="13" s="1"/>
  <c r="BQ10" i="13" s="1"/>
  <c r="Y30" i="3"/>
  <c r="AI200" i="7"/>
  <c r="X200" i="7"/>
  <c r="AI57" i="7"/>
  <c r="X57" i="7"/>
  <c r="X303" i="7"/>
  <c r="AI303" i="7"/>
  <c r="AI55" i="7"/>
  <c r="X55" i="7"/>
  <c r="X198" i="7"/>
  <c r="AI198" i="7"/>
  <c r="X301" i="7"/>
  <c r="AI301" i="7"/>
  <c r="D61" i="7"/>
  <c r="D307" i="7"/>
  <c r="D204" i="7"/>
  <c r="D59" i="7"/>
  <c r="D305" i="7"/>
  <c r="D202" i="7"/>
  <c r="K41" i="7"/>
  <c r="AD41" i="7" s="1"/>
  <c r="R285" i="7"/>
  <c r="R182" i="7"/>
  <c r="J183" i="7"/>
  <c r="AC183" i="7" s="1"/>
  <c r="T47" i="3"/>
  <c r="J41" i="7"/>
  <c r="AC41" i="7" s="1"/>
  <c r="J286" i="7"/>
  <c r="AC286" i="7" s="1"/>
  <c r="Z45" i="3"/>
  <c r="Z46" i="3"/>
  <c r="I41" i="7"/>
  <c r="AB41" i="7" s="1"/>
  <c r="I286" i="7"/>
  <c r="AB286" i="7" s="1"/>
  <c r="I183" i="7"/>
  <c r="AB183" i="7" s="1"/>
  <c r="G39" i="7"/>
  <c r="Q39" i="7" s="1"/>
  <c r="R45" i="3"/>
  <c r="P39" i="7"/>
  <c r="E272" i="7"/>
  <c r="W33" i="3"/>
  <c r="E28" i="7"/>
  <c r="M28" i="7" s="1"/>
  <c r="E169" i="7"/>
  <c r="Y26" i="7"/>
  <c r="N26" i="7" s="1"/>
  <c r="AJ26" i="7"/>
  <c r="S26" i="7" s="1"/>
  <c r="AJ167" i="7"/>
  <c r="S167" i="7" s="1"/>
  <c r="Y167" i="7"/>
  <c r="N167" i="7" s="1"/>
  <c r="AJ270" i="7"/>
  <c r="S270" i="7" s="1"/>
  <c r="Y270" i="7"/>
  <c r="N270" i="7" s="1"/>
  <c r="Y25" i="7"/>
  <c r="N25" i="7" s="1"/>
  <c r="AJ25" i="7"/>
  <c r="S25" i="7" s="1"/>
  <c r="E27" i="7"/>
  <c r="M27" i="7" s="1"/>
  <c r="W32" i="3"/>
  <c r="E271" i="7"/>
  <c r="E168" i="7"/>
  <c r="Y166" i="7"/>
  <c r="N166" i="7" s="1"/>
  <c r="AJ166" i="7"/>
  <c r="S166" i="7" s="1"/>
  <c r="AJ269" i="7"/>
  <c r="S269" i="7" s="1"/>
  <c r="Y269" i="7"/>
  <c r="N269" i="7" s="1"/>
  <c r="AF37" i="6"/>
  <c r="Z30" i="6"/>
  <c r="AQ39" i="7" l="1"/>
  <c r="AR24" i="7"/>
  <c r="AM24" i="7"/>
  <c r="AP39" i="7"/>
  <c r="AO38" i="7"/>
  <c r="AM23" i="7"/>
  <c r="AR23" i="7"/>
  <c r="O157" i="11"/>
  <c r="U157" i="11"/>
  <c r="E167" i="11"/>
  <c r="AO12" i="13"/>
  <c r="AR12" i="13" s="1"/>
  <c r="AZ12" i="13" s="1"/>
  <c r="AY11" i="13"/>
  <c r="EF12" i="13"/>
  <c r="EL12" i="13" s="1"/>
  <c r="FE12" i="13" s="1"/>
  <c r="N12" i="13"/>
  <c r="DZ10" i="12"/>
  <c r="AG183" i="7"/>
  <c r="V183" i="7"/>
  <c r="K183" i="7"/>
  <c r="AD183" i="7" s="1"/>
  <c r="R183" i="7" s="1"/>
  <c r="U248" i="3"/>
  <c r="F182" i="7"/>
  <c r="P182" i="7" s="1"/>
  <c r="R247" i="3"/>
  <c r="F285" i="7"/>
  <c r="P285" i="7" s="1"/>
  <c r="R450" i="3"/>
  <c r="W285" i="7"/>
  <c r="AH285" i="7"/>
  <c r="M453" i="3"/>
  <c r="S453" i="3" s="1"/>
  <c r="S47" i="3"/>
  <c r="CJ11" i="12"/>
  <c r="CG11" i="12"/>
  <c r="W11" i="12"/>
  <c r="X11" i="12"/>
  <c r="Y11" i="12"/>
  <c r="R11" i="12"/>
  <c r="BQ11" i="12" s="1"/>
  <c r="AE11" i="12"/>
  <c r="AI11" i="12" s="1"/>
  <c r="CQ11" i="12" s="1"/>
  <c r="AH11" i="12"/>
  <c r="AL11" i="12" s="1"/>
  <c r="BS11" i="12" s="1"/>
  <c r="AM11" i="12"/>
  <c r="BT11" i="12" s="1"/>
  <c r="AF11" i="12"/>
  <c r="AJ11" i="12" s="1"/>
  <c r="DA11" i="12" s="1"/>
  <c r="AG11" i="12"/>
  <c r="AK11" i="12" s="1"/>
  <c r="DK11" i="12" s="1"/>
  <c r="K12" i="12"/>
  <c r="V11" i="12"/>
  <c r="S11" i="12"/>
  <c r="CO11" i="12" s="1"/>
  <c r="T11" i="12"/>
  <c r="CY11" i="12" s="1"/>
  <c r="U11" i="12"/>
  <c r="DI11" i="12" s="1"/>
  <c r="Q11" i="12"/>
  <c r="AY11" i="12" s="1"/>
  <c r="M12" i="12"/>
  <c r="L12" i="12"/>
  <c r="AP11" i="12"/>
  <c r="AR11" i="12"/>
  <c r="AZ11" i="12" s="1"/>
  <c r="AG285" i="7"/>
  <c r="V285" i="7"/>
  <c r="B286" i="7"/>
  <c r="Z451" i="3"/>
  <c r="C249" i="3"/>
  <c r="B184" i="7" s="1"/>
  <c r="C452" i="3"/>
  <c r="Z452" i="3" s="1"/>
  <c r="C41" i="10"/>
  <c r="G41" i="10" s="1"/>
  <c r="O285" i="3"/>
  <c r="O488" i="3"/>
  <c r="E283" i="3"/>
  <c r="E75" i="10"/>
  <c r="I75" i="10" s="1"/>
  <c r="E486" i="3"/>
  <c r="AA450" i="3"/>
  <c r="AA451" i="3"/>
  <c r="D41" i="10"/>
  <c r="H41" i="10" s="1"/>
  <c r="D452" i="3"/>
  <c r="AB448" i="3"/>
  <c r="AB447" i="3"/>
  <c r="E248" i="3"/>
  <c r="E451" i="3"/>
  <c r="E40" i="10"/>
  <c r="I40" i="10" s="1"/>
  <c r="O250" i="3"/>
  <c r="U250" i="3" s="1"/>
  <c r="O453" i="3"/>
  <c r="N250" i="3"/>
  <c r="T250" i="3" s="1"/>
  <c r="N453" i="3"/>
  <c r="T453" i="3" s="1"/>
  <c r="J248" i="3"/>
  <c r="G183" i="7" s="1"/>
  <c r="Q183" i="7" s="1"/>
  <c r="J451" i="3"/>
  <c r="G286" i="7" s="1"/>
  <c r="Q286" i="7" s="1"/>
  <c r="H248" i="3"/>
  <c r="H451" i="3"/>
  <c r="W437" i="3"/>
  <c r="Y438" i="3"/>
  <c r="AD438" i="3" s="1"/>
  <c r="F30" i="10"/>
  <c r="J30" i="10" s="1"/>
  <c r="F441" i="3"/>
  <c r="G441" i="3" s="1"/>
  <c r="F440" i="3"/>
  <c r="G440" i="3" s="1"/>
  <c r="F29" i="10"/>
  <c r="J29" i="10" s="1"/>
  <c r="W436" i="3"/>
  <c r="Y437" i="3"/>
  <c r="AD437" i="3" s="1"/>
  <c r="E447" i="6"/>
  <c r="F447" i="6"/>
  <c r="H447" i="6"/>
  <c r="C477" i="6"/>
  <c r="I447" i="6"/>
  <c r="D447" i="6"/>
  <c r="G447" i="6"/>
  <c r="D446" i="6"/>
  <c r="G446" i="6"/>
  <c r="I446" i="6"/>
  <c r="C476" i="6"/>
  <c r="E446" i="6"/>
  <c r="F446" i="6"/>
  <c r="H446" i="6"/>
  <c r="E445" i="6"/>
  <c r="G445" i="6"/>
  <c r="I445" i="6"/>
  <c r="C475" i="6"/>
  <c r="H445" i="6"/>
  <c r="D445" i="6"/>
  <c r="F445" i="6"/>
  <c r="E444" i="6"/>
  <c r="H444" i="6"/>
  <c r="D444" i="6"/>
  <c r="F444" i="6"/>
  <c r="G444" i="6"/>
  <c r="I444" i="6"/>
  <c r="C474" i="6"/>
  <c r="E443" i="6"/>
  <c r="G443" i="6"/>
  <c r="H443" i="6"/>
  <c r="D443" i="6"/>
  <c r="F443" i="6"/>
  <c r="I443" i="6"/>
  <c r="C473" i="6"/>
  <c r="I442" i="6"/>
  <c r="G442" i="6"/>
  <c r="C472" i="6"/>
  <c r="D442" i="6"/>
  <c r="E442" i="6"/>
  <c r="F442" i="6"/>
  <c r="H442" i="6"/>
  <c r="D441" i="6"/>
  <c r="E441" i="6"/>
  <c r="F441" i="6"/>
  <c r="G441" i="6"/>
  <c r="I441" i="6"/>
  <c r="C471" i="6"/>
  <c r="H441" i="6"/>
  <c r="D440" i="6"/>
  <c r="F440" i="6"/>
  <c r="G440" i="6"/>
  <c r="H440" i="6"/>
  <c r="I440" i="6"/>
  <c r="C470" i="6"/>
  <c r="E440" i="6"/>
  <c r="E439" i="6"/>
  <c r="F439" i="6"/>
  <c r="G439" i="6"/>
  <c r="I439" i="6"/>
  <c r="C469" i="6"/>
  <c r="D439" i="6"/>
  <c r="H439" i="6"/>
  <c r="I438" i="6"/>
  <c r="D438" i="6"/>
  <c r="E438" i="6"/>
  <c r="F438" i="6"/>
  <c r="G438" i="6"/>
  <c r="H438" i="6"/>
  <c r="C468" i="6"/>
  <c r="E437" i="6"/>
  <c r="F437" i="6"/>
  <c r="H437" i="6"/>
  <c r="I437" i="6"/>
  <c r="D437" i="6"/>
  <c r="G437" i="6"/>
  <c r="C467" i="6"/>
  <c r="E436" i="6"/>
  <c r="H436" i="6"/>
  <c r="D436" i="6"/>
  <c r="F436" i="6"/>
  <c r="G436" i="6"/>
  <c r="I436" i="6"/>
  <c r="C466" i="6"/>
  <c r="D435" i="6"/>
  <c r="F435" i="6"/>
  <c r="G435" i="6"/>
  <c r="I435" i="6"/>
  <c r="E435" i="6"/>
  <c r="H435" i="6"/>
  <c r="C465" i="6"/>
  <c r="E434" i="6"/>
  <c r="H434" i="6"/>
  <c r="D434" i="6"/>
  <c r="F434" i="6"/>
  <c r="G434" i="6"/>
  <c r="I434" i="6"/>
  <c r="C464" i="6"/>
  <c r="D433" i="6"/>
  <c r="F433" i="6"/>
  <c r="H433" i="6"/>
  <c r="I433" i="6"/>
  <c r="E433" i="6"/>
  <c r="G433" i="6"/>
  <c r="C463" i="6"/>
  <c r="E432" i="6"/>
  <c r="G432" i="6"/>
  <c r="H432" i="6"/>
  <c r="D432" i="6"/>
  <c r="F432" i="6"/>
  <c r="I432" i="6"/>
  <c r="C462" i="6"/>
  <c r="D431" i="6"/>
  <c r="F431" i="6"/>
  <c r="H431" i="6"/>
  <c r="I431" i="6"/>
  <c r="C461" i="6"/>
  <c r="E431" i="6"/>
  <c r="G431" i="6"/>
  <c r="F430" i="6"/>
  <c r="H430" i="6"/>
  <c r="D430" i="6"/>
  <c r="E430" i="6"/>
  <c r="G430" i="6"/>
  <c r="I430" i="6"/>
  <c r="C460" i="6"/>
  <c r="E429" i="6"/>
  <c r="F429" i="6"/>
  <c r="H429" i="6"/>
  <c r="I429" i="6"/>
  <c r="D429" i="6"/>
  <c r="G429" i="6"/>
  <c r="C459" i="6"/>
  <c r="E428" i="6"/>
  <c r="G428" i="6"/>
  <c r="H428" i="6"/>
  <c r="C458" i="6"/>
  <c r="D428" i="6"/>
  <c r="F428" i="6"/>
  <c r="I428" i="6"/>
  <c r="F427" i="6"/>
  <c r="H427" i="6"/>
  <c r="D427" i="6"/>
  <c r="E427" i="6"/>
  <c r="G427" i="6"/>
  <c r="I427" i="6"/>
  <c r="C457" i="6"/>
  <c r="E426" i="6"/>
  <c r="G426" i="6"/>
  <c r="D426" i="6"/>
  <c r="F426" i="6"/>
  <c r="H426" i="6"/>
  <c r="I426" i="6"/>
  <c r="C456" i="6"/>
  <c r="E425" i="6"/>
  <c r="F425" i="6"/>
  <c r="H425" i="6"/>
  <c r="D425" i="6"/>
  <c r="G425" i="6"/>
  <c r="I425" i="6"/>
  <c r="C455" i="6"/>
  <c r="D424" i="6"/>
  <c r="F424" i="6"/>
  <c r="G424" i="6"/>
  <c r="H424" i="6"/>
  <c r="I424" i="6"/>
  <c r="C454" i="6"/>
  <c r="E424" i="6"/>
  <c r="E423" i="6"/>
  <c r="G423" i="6"/>
  <c r="I423" i="6"/>
  <c r="D423" i="6"/>
  <c r="F423" i="6"/>
  <c r="H423" i="6"/>
  <c r="C453" i="6"/>
  <c r="F422" i="6"/>
  <c r="H422" i="6"/>
  <c r="C452" i="6"/>
  <c r="D422" i="6"/>
  <c r="E422" i="6"/>
  <c r="G422" i="6"/>
  <c r="I422" i="6"/>
  <c r="F421" i="6"/>
  <c r="G421" i="6"/>
  <c r="H421" i="6"/>
  <c r="C451" i="6"/>
  <c r="D421" i="6"/>
  <c r="E421" i="6"/>
  <c r="I421" i="6"/>
  <c r="D420" i="6"/>
  <c r="F420" i="6"/>
  <c r="G420" i="6"/>
  <c r="I420" i="6"/>
  <c r="C450" i="6"/>
  <c r="E420" i="6"/>
  <c r="H420" i="6"/>
  <c r="E419" i="6"/>
  <c r="I419" i="6"/>
  <c r="F419" i="6"/>
  <c r="G419" i="6"/>
  <c r="H419" i="6"/>
  <c r="C449" i="6"/>
  <c r="D419" i="6"/>
  <c r="F418" i="6"/>
  <c r="G418" i="6"/>
  <c r="I418" i="6"/>
  <c r="D418" i="6"/>
  <c r="E418" i="6"/>
  <c r="H418" i="6"/>
  <c r="C448" i="6"/>
  <c r="J405" i="6"/>
  <c r="N405" i="6" s="1"/>
  <c r="J399" i="6"/>
  <c r="N399" i="6" s="1"/>
  <c r="J404" i="6"/>
  <c r="N404" i="6" s="1"/>
  <c r="J401" i="6"/>
  <c r="N401" i="6" s="1"/>
  <c r="J397" i="6"/>
  <c r="N397" i="6" s="1"/>
  <c r="J396" i="6"/>
  <c r="N396" i="6" s="1"/>
  <c r="J395" i="6"/>
  <c r="N395" i="6" s="1"/>
  <c r="J394" i="6"/>
  <c r="N394" i="6" s="1"/>
  <c r="J393" i="6"/>
  <c r="N393" i="6" s="1"/>
  <c r="J392" i="6"/>
  <c r="N392" i="6" s="1"/>
  <c r="J391" i="6"/>
  <c r="N391" i="6" s="1"/>
  <c r="J390" i="6"/>
  <c r="N390" i="6" s="1"/>
  <c r="J414" i="6"/>
  <c r="N414" i="6" s="1"/>
  <c r="J408" i="6"/>
  <c r="N408" i="6" s="1"/>
  <c r="J403" i="6"/>
  <c r="N403" i="6" s="1"/>
  <c r="J411" i="6"/>
  <c r="N411" i="6" s="1"/>
  <c r="J406" i="6"/>
  <c r="N406" i="6" s="1"/>
  <c r="J400" i="6"/>
  <c r="N400" i="6" s="1"/>
  <c r="J413" i="6"/>
  <c r="N413" i="6" s="1"/>
  <c r="J409" i="6"/>
  <c r="N409" i="6" s="1"/>
  <c r="J417" i="6"/>
  <c r="N417" i="6" s="1"/>
  <c r="J416" i="6"/>
  <c r="N416" i="6" s="1"/>
  <c r="J415" i="6"/>
  <c r="N415" i="6" s="1"/>
  <c r="J412" i="6"/>
  <c r="N412" i="6" s="1"/>
  <c r="J410" i="6"/>
  <c r="N410" i="6" s="1"/>
  <c r="J407" i="6"/>
  <c r="N407" i="6" s="1"/>
  <c r="J402" i="6"/>
  <c r="N402" i="6" s="1"/>
  <c r="J398" i="6"/>
  <c r="N398" i="6" s="1"/>
  <c r="J388" i="6"/>
  <c r="N388" i="6" s="1"/>
  <c r="J389" i="6"/>
  <c r="N389" i="6" s="1"/>
  <c r="AA247" i="3"/>
  <c r="D249" i="3"/>
  <c r="AB244" i="3"/>
  <c r="AB245" i="3"/>
  <c r="C47" i="3"/>
  <c r="M250" i="3"/>
  <c r="S250" i="3" s="1"/>
  <c r="Z248" i="3"/>
  <c r="G35" i="3"/>
  <c r="F238" i="3"/>
  <c r="G238" i="3" s="1"/>
  <c r="W234" i="3"/>
  <c r="G34" i="3"/>
  <c r="F237" i="3"/>
  <c r="G237" i="3" s="1"/>
  <c r="Y233" i="3"/>
  <c r="AD233" i="3" s="1"/>
  <c r="W233" i="3"/>
  <c r="Y234" i="3"/>
  <c r="AD234" i="3" s="1"/>
  <c r="AH182" i="7"/>
  <c r="W182" i="7"/>
  <c r="U84" i="3"/>
  <c r="E82" i="3"/>
  <c r="C286" i="7"/>
  <c r="AD31" i="3"/>
  <c r="AH40" i="7"/>
  <c r="W40" i="7"/>
  <c r="V41" i="7"/>
  <c r="AG41" i="7"/>
  <c r="C41" i="7"/>
  <c r="C183" i="7"/>
  <c r="D47" i="3"/>
  <c r="AI179" i="7"/>
  <c r="X179" i="7"/>
  <c r="AI282" i="7"/>
  <c r="X282" i="7"/>
  <c r="X38" i="7"/>
  <c r="AI38" i="7"/>
  <c r="U449" i="3"/>
  <c r="D284" i="7"/>
  <c r="D181" i="7"/>
  <c r="D40" i="7"/>
  <c r="E47" i="3"/>
  <c r="U49" i="3"/>
  <c r="R41" i="7"/>
  <c r="AB43" i="3"/>
  <c r="AB44" i="3"/>
  <c r="AD30" i="3"/>
  <c r="X61" i="7"/>
  <c r="AI61" i="7"/>
  <c r="X307" i="7"/>
  <c r="AI307" i="7"/>
  <c r="X204" i="7"/>
  <c r="AI204" i="7"/>
  <c r="AI59" i="7"/>
  <c r="X59" i="7"/>
  <c r="AI305" i="7"/>
  <c r="X305" i="7"/>
  <c r="X202" i="7"/>
  <c r="AI202" i="7"/>
  <c r="D65" i="7"/>
  <c r="D208" i="7"/>
  <c r="D311" i="7"/>
  <c r="D63" i="7"/>
  <c r="D206" i="7"/>
  <c r="D309" i="7"/>
  <c r="K184" i="7"/>
  <c r="AD184" i="7" s="1"/>
  <c r="U452" i="3"/>
  <c r="K287" i="7"/>
  <c r="AD287" i="7" s="1"/>
  <c r="K42" i="7"/>
  <c r="AD42" i="7" s="1"/>
  <c r="AA46" i="3"/>
  <c r="T48" i="3"/>
  <c r="J42" i="7"/>
  <c r="AC42" i="7" s="1"/>
  <c r="J287" i="7"/>
  <c r="AC287" i="7" s="1"/>
  <c r="J184" i="7"/>
  <c r="AC184" i="7" s="1"/>
  <c r="I184" i="7"/>
  <c r="AB184" i="7" s="1"/>
  <c r="I42" i="7"/>
  <c r="AB42" i="7" s="1"/>
  <c r="I287" i="7"/>
  <c r="AB287" i="7" s="1"/>
  <c r="G40" i="7"/>
  <c r="Q40" i="7" s="1"/>
  <c r="P40" i="7"/>
  <c r="R46" i="3"/>
  <c r="AJ272" i="7"/>
  <c r="S272" i="7" s="1"/>
  <c r="Y272" i="7"/>
  <c r="N272" i="7" s="1"/>
  <c r="E30" i="7"/>
  <c r="M30" i="7" s="1"/>
  <c r="W35" i="3"/>
  <c r="E171" i="7"/>
  <c r="Y28" i="7"/>
  <c r="N28" i="7" s="1"/>
  <c r="AJ28" i="7"/>
  <c r="S28" i="7" s="1"/>
  <c r="E274" i="7"/>
  <c r="AJ169" i="7"/>
  <c r="S169" i="7" s="1"/>
  <c r="AR26" i="7" s="1"/>
  <c r="Y169" i="7"/>
  <c r="N169" i="7" s="1"/>
  <c r="AM26" i="7" s="1"/>
  <c r="E170" i="7"/>
  <c r="E273" i="7"/>
  <c r="W34" i="3"/>
  <c r="E29" i="7"/>
  <c r="M29" i="7" s="1"/>
  <c r="Z11" i="13"/>
  <c r="AD11" i="13" s="1"/>
  <c r="BR11" i="13" s="1"/>
  <c r="Y27" i="7"/>
  <c r="N27" i="7" s="1"/>
  <c r="AJ27" i="7"/>
  <c r="S27" i="7" s="1"/>
  <c r="Y271" i="7"/>
  <c r="N271" i="7" s="1"/>
  <c r="AJ271" i="7"/>
  <c r="S271" i="7" s="1"/>
  <c r="AJ168" i="7"/>
  <c r="S168" i="7" s="1"/>
  <c r="Y168" i="7"/>
  <c r="N168" i="7" s="1"/>
  <c r="R286" i="7"/>
  <c r="Y33" i="3"/>
  <c r="Y32" i="3"/>
  <c r="Z31" i="6"/>
  <c r="AF38" i="6"/>
  <c r="AF39" i="6" s="1"/>
  <c r="AF40" i="6" s="1"/>
  <c r="AF41" i="6" s="1"/>
  <c r="AF42" i="6" s="1"/>
  <c r="AF43" i="6" s="1"/>
  <c r="AF44" i="6" s="1"/>
  <c r="AF45" i="6" s="1"/>
  <c r="AQ40" i="7" l="1"/>
  <c r="AM25" i="7"/>
  <c r="AB450" i="3"/>
  <c r="AB449" i="3"/>
  <c r="AP40" i="7"/>
  <c r="R248" i="3"/>
  <c r="F183" i="7"/>
  <c r="P183" i="7" s="1"/>
  <c r="AO39" i="7"/>
  <c r="AR25" i="7"/>
  <c r="J419" i="6"/>
  <c r="N419" i="6" s="1"/>
  <c r="O167" i="11"/>
  <c r="U167" i="11"/>
  <c r="E177" i="11"/>
  <c r="ER12" i="13"/>
  <c r="EG12" i="13"/>
  <c r="EM12" i="13" s="1"/>
  <c r="EK11" i="13"/>
  <c r="EJ12" i="13"/>
  <c r="M13" i="13"/>
  <c r="L13" i="13"/>
  <c r="AN13" i="13" s="1"/>
  <c r="AQ13" i="13" s="1"/>
  <c r="BU13" i="13" s="1"/>
  <c r="K13" i="13"/>
  <c r="CG12" i="13"/>
  <c r="AP12" i="13"/>
  <c r="AS12" i="13" s="1"/>
  <c r="DV12" i="13" s="1"/>
  <c r="DZ12" i="13" s="1"/>
  <c r="ED12" i="13" s="1"/>
  <c r="AM12" i="13"/>
  <c r="BT12" i="13" s="1"/>
  <c r="Q12" i="13"/>
  <c r="S12" i="13"/>
  <c r="CO12" i="13" s="1"/>
  <c r="T12" i="13"/>
  <c r="CY12" i="13" s="1"/>
  <c r="U12" i="13"/>
  <c r="DI12" i="13" s="1"/>
  <c r="V12" i="13"/>
  <c r="W12" i="13"/>
  <c r="AA12" i="13" s="1"/>
  <c r="CP12" i="13" s="1"/>
  <c r="X12" i="13"/>
  <c r="AB12" i="13" s="1"/>
  <c r="CZ12" i="13" s="1"/>
  <c r="Y12" i="13"/>
  <c r="AC12" i="13" s="1"/>
  <c r="DJ12" i="13" s="1"/>
  <c r="CJ12" i="13"/>
  <c r="AH12" i="13"/>
  <c r="AL12" i="13" s="1"/>
  <c r="BS12" i="13" s="1"/>
  <c r="AG12" i="13"/>
  <c r="AK12" i="13" s="1"/>
  <c r="DK12" i="13" s="1"/>
  <c r="AF12" i="13"/>
  <c r="AJ12" i="13" s="1"/>
  <c r="DA12" i="13" s="1"/>
  <c r="AE12" i="13"/>
  <c r="AI12" i="13" s="1"/>
  <c r="CQ12" i="13" s="1"/>
  <c r="ED10" i="12"/>
  <c r="V184" i="7"/>
  <c r="AG184" i="7"/>
  <c r="F286" i="7"/>
  <c r="P286" i="7" s="1"/>
  <c r="AO40" i="7" s="1"/>
  <c r="R451" i="3"/>
  <c r="M454" i="3"/>
  <c r="S454" i="3" s="1"/>
  <c r="S48" i="3"/>
  <c r="N12" i="12"/>
  <c r="Z12" i="12" s="1"/>
  <c r="AA11" i="12"/>
  <c r="CP11" i="12" s="1"/>
  <c r="AB11" i="12"/>
  <c r="CZ11" i="12" s="1"/>
  <c r="AC11" i="12"/>
  <c r="DJ11" i="12" s="1"/>
  <c r="AD11" i="12"/>
  <c r="BR11" i="12" s="1"/>
  <c r="AN12" i="12"/>
  <c r="AQ12" i="12" s="1"/>
  <c r="BU12" i="12" s="1"/>
  <c r="AO12" i="12"/>
  <c r="AR12" i="12" s="1"/>
  <c r="AZ12" i="12" s="1"/>
  <c r="AS11" i="12"/>
  <c r="DV11" i="12" s="1"/>
  <c r="AG286" i="7"/>
  <c r="V286" i="7"/>
  <c r="B287" i="7"/>
  <c r="C250" i="3"/>
  <c r="B185" i="7" s="1"/>
  <c r="C42" i="10"/>
  <c r="G42" i="10" s="1"/>
  <c r="C453" i="3"/>
  <c r="O287" i="3"/>
  <c r="O490" i="3"/>
  <c r="E285" i="3"/>
  <c r="E488" i="3"/>
  <c r="E77" i="10"/>
  <c r="I77" i="10" s="1"/>
  <c r="D42" i="10"/>
  <c r="H42" i="10" s="1"/>
  <c r="D453" i="3"/>
  <c r="E42" i="10"/>
  <c r="I42" i="10" s="1"/>
  <c r="E453" i="3"/>
  <c r="O252" i="3"/>
  <c r="U252" i="3" s="1"/>
  <c r="O455" i="3"/>
  <c r="N251" i="3"/>
  <c r="T251" i="3" s="1"/>
  <c r="N454" i="3"/>
  <c r="T454" i="3" s="1"/>
  <c r="J249" i="3"/>
  <c r="G184" i="7" s="1"/>
  <c r="Q184" i="7" s="1"/>
  <c r="J452" i="3"/>
  <c r="G287" i="7" s="1"/>
  <c r="Q287" i="7" s="1"/>
  <c r="H249" i="3"/>
  <c r="H452" i="3"/>
  <c r="F32" i="10"/>
  <c r="J32" i="10" s="1"/>
  <c r="F443" i="3"/>
  <c r="G443" i="3" s="1"/>
  <c r="W439" i="3"/>
  <c r="Y440" i="3"/>
  <c r="AD440" i="3" s="1"/>
  <c r="W438" i="3"/>
  <c r="Y439" i="3"/>
  <c r="AD439" i="3" s="1"/>
  <c r="F31" i="10"/>
  <c r="J31" i="10" s="1"/>
  <c r="F442" i="3"/>
  <c r="G442" i="3" s="1"/>
  <c r="J420" i="6"/>
  <c r="N420" i="6" s="1"/>
  <c r="D477" i="6"/>
  <c r="E477" i="6"/>
  <c r="F477" i="6"/>
  <c r="G477" i="6"/>
  <c r="H477" i="6"/>
  <c r="I477" i="6"/>
  <c r="C507" i="6"/>
  <c r="D476" i="6"/>
  <c r="E476" i="6"/>
  <c r="F476" i="6"/>
  <c r="G476" i="6"/>
  <c r="H476" i="6"/>
  <c r="I476" i="6"/>
  <c r="C506" i="6"/>
  <c r="D475" i="6"/>
  <c r="E475" i="6"/>
  <c r="F475" i="6"/>
  <c r="G475" i="6"/>
  <c r="H475" i="6"/>
  <c r="I475" i="6"/>
  <c r="C505" i="6"/>
  <c r="E474" i="6"/>
  <c r="G474" i="6"/>
  <c r="H474" i="6"/>
  <c r="C504" i="6"/>
  <c r="D474" i="6"/>
  <c r="F474" i="6"/>
  <c r="I474" i="6"/>
  <c r="F473" i="6"/>
  <c r="D473" i="6"/>
  <c r="E473" i="6"/>
  <c r="G473" i="6"/>
  <c r="H473" i="6"/>
  <c r="I473" i="6"/>
  <c r="C503" i="6"/>
  <c r="G472" i="6"/>
  <c r="D472" i="6"/>
  <c r="E472" i="6"/>
  <c r="F472" i="6"/>
  <c r="H472" i="6"/>
  <c r="I472" i="6"/>
  <c r="C502" i="6"/>
  <c r="D471" i="6"/>
  <c r="F471" i="6"/>
  <c r="G471" i="6"/>
  <c r="I471" i="6"/>
  <c r="C501" i="6"/>
  <c r="E471" i="6"/>
  <c r="H471" i="6"/>
  <c r="D470" i="6"/>
  <c r="G470" i="6"/>
  <c r="I470" i="6"/>
  <c r="C500" i="6"/>
  <c r="E470" i="6"/>
  <c r="F470" i="6"/>
  <c r="H470" i="6"/>
  <c r="D469" i="6"/>
  <c r="F469" i="6"/>
  <c r="H469" i="6"/>
  <c r="I469" i="6"/>
  <c r="C499" i="6"/>
  <c r="E469" i="6"/>
  <c r="G469" i="6"/>
  <c r="E468" i="6"/>
  <c r="F468" i="6"/>
  <c r="H468" i="6"/>
  <c r="I468" i="6"/>
  <c r="C498" i="6"/>
  <c r="D468" i="6"/>
  <c r="G468" i="6"/>
  <c r="E467" i="6"/>
  <c r="G467" i="6"/>
  <c r="D467" i="6"/>
  <c r="F467" i="6"/>
  <c r="H467" i="6"/>
  <c r="I467" i="6"/>
  <c r="C497" i="6"/>
  <c r="E466" i="6"/>
  <c r="F466" i="6"/>
  <c r="G466" i="6"/>
  <c r="I466" i="6"/>
  <c r="C496" i="6"/>
  <c r="D466" i="6"/>
  <c r="H466" i="6"/>
  <c r="F465" i="6"/>
  <c r="I465" i="6"/>
  <c r="D465" i="6"/>
  <c r="E465" i="6"/>
  <c r="G465" i="6"/>
  <c r="H465" i="6"/>
  <c r="C495" i="6"/>
  <c r="D464" i="6"/>
  <c r="F464" i="6"/>
  <c r="G464" i="6"/>
  <c r="I464" i="6"/>
  <c r="C494" i="6"/>
  <c r="E464" i="6"/>
  <c r="H464" i="6"/>
  <c r="E463" i="6"/>
  <c r="I463" i="6"/>
  <c r="D463" i="6"/>
  <c r="F463" i="6"/>
  <c r="G463" i="6"/>
  <c r="H463" i="6"/>
  <c r="C493" i="6"/>
  <c r="D462" i="6"/>
  <c r="F462" i="6"/>
  <c r="H462" i="6"/>
  <c r="E462" i="6"/>
  <c r="G462" i="6"/>
  <c r="I462" i="6"/>
  <c r="C492" i="6"/>
  <c r="D461" i="6"/>
  <c r="F461" i="6"/>
  <c r="G461" i="6"/>
  <c r="I461" i="6"/>
  <c r="C491" i="6"/>
  <c r="E461" i="6"/>
  <c r="H461" i="6"/>
  <c r="D460" i="6"/>
  <c r="F460" i="6"/>
  <c r="G460" i="6"/>
  <c r="H460" i="6"/>
  <c r="C490" i="6"/>
  <c r="E460" i="6"/>
  <c r="I460" i="6"/>
  <c r="D459" i="6"/>
  <c r="G459" i="6"/>
  <c r="I459" i="6"/>
  <c r="E459" i="6"/>
  <c r="F459" i="6"/>
  <c r="H459" i="6"/>
  <c r="C489" i="6"/>
  <c r="D458" i="6"/>
  <c r="F458" i="6"/>
  <c r="G458" i="6"/>
  <c r="I458" i="6"/>
  <c r="C488" i="6"/>
  <c r="E458" i="6"/>
  <c r="H458" i="6"/>
  <c r="D457" i="6"/>
  <c r="F457" i="6"/>
  <c r="G457" i="6"/>
  <c r="H457" i="6"/>
  <c r="C487" i="6"/>
  <c r="I457" i="6"/>
  <c r="E457" i="6"/>
  <c r="D456" i="6"/>
  <c r="F456" i="6"/>
  <c r="H456" i="6"/>
  <c r="C486" i="6"/>
  <c r="E456" i="6"/>
  <c r="G456" i="6"/>
  <c r="I456" i="6"/>
  <c r="D455" i="6"/>
  <c r="G455" i="6"/>
  <c r="I455" i="6"/>
  <c r="E455" i="6"/>
  <c r="F455" i="6"/>
  <c r="H455" i="6"/>
  <c r="C485" i="6"/>
  <c r="E454" i="6"/>
  <c r="G454" i="6"/>
  <c r="I454" i="6"/>
  <c r="C484" i="6"/>
  <c r="D454" i="6"/>
  <c r="F454" i="6"/>
  <c r="H454" i="6"/>
  <c r="D453" i="6"/>
  <c r="F453" i="6"/>
  <c r="I453" i="6"/>
  <c r="E453" i="6"/>
  <c r="G453" i="6"/>
  <c r="H453" i="6"/>
  <c r="C483" i="6"/>
  <c r="H452" i="6"/>
  <c r="E452" i="6"/>
  <c r="G452" i="6"/>
  <c r="D452" i="6"/>
  <c r="F452" i="6"/>
  <c r="I452" i="6"/>
  <c r="C482" i="6"/>
  <c r="E451" i="6"/>
  <c r="G451" i="6"/>
  <c r="H451" i="6"/>
  <c r="C481" i="6"/>
  <c r="F451" i="6"/>
  <c r="D451" i="6"/>
  <c r="I451" i="6"/>
  <c r="F450" i="6"/>
  <c r="H450" i="6"/>
  <c r="C480" i="6"/>
  <c r="E450" i="6"/>
  <c r="D450" i="6"/>
  <c r="G450" i="6"/>
  <c r="I450" i="6"/>
  <c r="D449" i="6"/>
  <c r="F449" i="6"/>
  <c r="H449" i="6"/>
  <c r="I449" i="6"/>
  <c r="C479" i="6"/>
  <c r="G449" i="6"/>
  <c r="E449" i="6"/>
  <c r="E448" i="6"/>
  <c r="I448" i="6"/>
  <c r="D448" i="6"/>
  <c r="F448" i="6"/>
  <c r="H448" i="6"/>
  <c r="C478" i="6"/>
  <c r="G448" i="6"/>
  <c r="J433" i="6"/>
  <c r="N433" i="6" s="1"/>
  <c r="J432" i="6"/>
  <c r="N432" i="6" s="1"/>
  <c r="J431" i="6"/>
  <c r="N431" i="6" s="1"/>
  <c r="J430" i="6"/>
  <c r="N430" i="6" s="1"/>
  <c r="J429" i="6"/>
  <c r="N429" i="6" s="1"/>
  <c r="J425" i="6"/>
  <c r="N425" i="6" s="1"/>
  <c r="J422" i="6"/>
  <c r="N422" i="6" s="1"/>
  <c r="J440" i="6"/>
  <c r="N440" i="6" s="1"/>
  <c r="J437" i="6"/>
  <c r="N437" i="6" s="1"/>
  <c r="J435" i="6"/>
  <c r="N435" i="6" s="1"/>
  <c r="J427" i="6"/>
  <c r="N427" i="6" s="1"/>
  <c r="J424" i="6"/>
  <c r="N424" i="6" s="1"/>
  <c r="J421" i="6"/>
  <c r="N421" i="6" s="1"/>
  <c r="J448" i="6"/>
  <c r="N448" i="6" s="1"/>
  <c r="J446" i="6"/>
  <c r="N446" i="6" s="1"/>
  <c r="J445" i="6"/>
  <c r="N445" i="6" s="1"/>
  <c r="J444" i="6"/>
  <c r="N444" i="6" s="1"/>
  <c r="J442" i="6"/>
  <c r="N442" i="6" s="1"/>
  <c r="J439" i="6"/>
  <c r="N439" i="6" s="1"/>
  <c r="J438" i="6"/>
  <c r="N438" i="6" s="1"/>
  <c r="J436" i="6"/>
  <c r="N436" i="6" s="1"/>
  <c r="J428" i="6"/>
  <c r="N428" i="6" s="1"/>
  <c r="J423" i="6"/>
  <c r="N423" i="6" s="1"/>
  <c r="J447" i="6"/>
  <c r="N447" i="6" s="1"/>
  <c r="J443" i="6"/>
  <c r="N443" i="6" s="1"/>
  <c r="J441" i="6"/>
  <c r="N441" i="6" s="1"/>
  <c r="J434" i="6"/>
  <c r="N434" i="6" s="1"/>
  <c r="J426" i="6"/>
  <c r="N426" i="6" s="1"/>
  <c r="J418" i="6"/>
  <c r="N418" i="6" s="1"/>
  <c r="AA248" i="3"/>
  <c r="AA47" i="3"/>
  <c r="D250" i="3"/>
  <c r="AB246" i="3"/>
  <c r="AB247" i="3"/>
  <c r="AB47" i="3"/>
  <c r="E250" i="3"/>
  <c r="Z249" i="3"/>
  <c r="C48" i="3"/>
  <c r="M251" i="3"/>
  <c r="S251" i="3" s="1"/>
  <c r="G37" i="3"/>
  <c r="F240" i="3"/>
  <c r="G240" i="3" s="1"/>
  <c r="W236" i="3"/>
  <c r="Y235" i="3"/>
  <c r="AD235" i="3" s="1"/>
  <c r="W235" i="3"/>
  <c r="Y236" i="3"/>
  <c r="AD236" i="3" s="1"/>
  <c r="G36" i="3"/>
  <c r="F239" i="3"/>
  <c r="G239" i="3" s="1"/>
  <c r="W286" i="7"/>
  <c r="AH286" i="7"/>
  <c r="U86" i="3"/>
  <c r="E84" i="3"/>
  <c r="C287" i="7"/>
  <c r="AH287" i="7" s="1"/>
  <c r="Y34" i="3"/>
  <c r="C184" i="7"/>
  <c r="AH41" i="7"/>
  <c r="W41" i="7"/>
  <c r="AH183" i="7"/>
  <c r="W183" i="7"/>
  <c r="V42" i="7"/>
  <c r="AG42" i="7"/>
  <c r="C42" i="7"/>
  <c r="AB45" i="3"/>
  <c r="AB46" i="3"/>
  <c r="D48" i="3"/>
  <c r="X284" i="7"/>
  <c r="AI284" i="7"/>
  <c r="AI181" i="7"/>
  <c r="X181" i="7"/>
  <c r="U451" i="3"/>
  <c r="D286" i="7"/>
  <c r="X40" i="7"/>
  <c r="AI40" i="7"/>
  <c r="D183" i="7"/>
  <c r="D42" i="7"/>
  <c r="E49" i="3"/>
  <c r="U51" i="3"/>
  <c r="X65" i="7"/>
  <c r="AI65" i="7"/>
  <c r="X208" i="7"/>
  <c r="AI208" i="7"/>
  <c r="X311" i="7"/>
  <c r="AI311" i="7"/>
  <c r="AI63" i="7"/>
  <c r="X63" i="7"/>
  <c r="X206" i="7"/>
  <c r="AI206" i="7"/>
  <c r="AI309" i="7"/>
  <c r="X309" i="7"/>
  <c r="K185" i="7"/>
  <c r="AD185" i="7" s="1"/>
  <c r="K288" i="7"/>
  <c r="AD288" i="7" s="1"/>
  <c r="D315" i="7"/>
  <c r="D69" i="7"/>
  <c r="D212" i="7"/>
  <c r="D313" i="7"/>
  <c r="D67" i="7"/>
  <c r="D210" i="7"/>
  <c r="R184" i="7"/>
  <c r="R42" i="7"/>
  <c r="K43" i="7"/>
  <c r="AD43" i="7" s="1"/>
  <c r="J288" i="7"/>
  <c r="AC288" i="7" s="1"/>
  <c r="J43" i="7"/>
  <c r="AC43" i="7" s="1"/>
  <c r="T49" i="3"/>
  <c r="J185" i="7"/>
  <c r="AC185" i="7" s="1"/>
  <c r="Z47" i="3"/>
  <c r="I185" i="7"/>
  <c r="AB185" i="7" s="1"/>
  <c r="I288" i="7"/>
  <c r="AB288" i="7" s="1"/>
  <c r="I43" i="7"/>
  <c r="AB43" i="7" s="1"/>
  <c r="G41" i="7"/>
  <c r="Q41" i="7" s="1"/>
  <c r="R47" i="3"/>
  <c r="P41" i="7"/>
  <c r="E173" i="7"/>
  <c r="Y30" i="7"/>
  <c r="N30" i="7" s="1"/>
  <c r="AJ30" i="7"/>
  <c r="S30" i="7" s="1"/>
  <c r="E276" i="7"/>
  <c r="W37" i="3"/>
  <c r="E32" i="7"/>
  <c r="M32" i="7" s="1"/>
  <c r="Y171" i="7"/>
  <c r="N171" i="7" s="1"/>
  <c r="AJ171" i="7"/>
  <c r="S171" i="7" s="1"/>
  <c r="AJ274" i="7"/>
  <c r="S274" i="7" s="1"/>
  <c r="Y274" i="7"/>
  <c r="N274" i="7" s="1"/>
  <c r="AJ170" i="7"/>
  <c r="S170" i="7" s="1"/>
  <c r="Y170" i="7"/>
  <c r="N170" i="7" s="1"/>
  <c r="Y273" i="7"/>
  <c r="N273" i="7" s="1"/>
  <c r="AJ273" i="7"/>
  <c r="S273" i="7" s="1"/>
  <c r="E172" i="7"/>
  <c r="Y237" i="3"/>
  <c r="AD237" i="3" s="1"/>
  <c r="Y29" i="7"/>
  <c r="N29" i="7" s="1"/>
  <c r="AJ29" i="7"/>
  <c r="S29" i="7" s="1"/>
  <c r="W36" i="3"/>
  <c r="E31" i="7"/>
  <c r="M31" i="7" s="1"/>
  <c r="E275" i="7"/>
  <c r="AD33" i="3"/>
  <c r="AD32" i="3"/>
  <c r="R287" i="7"/>
  <c r="Y35" i="3"/>
  <c r="Z32" i="6"/>
  <c r="W287" i="7" l="1"/>
  <c r="AR28" i="7"/>
  <c r="AQ41" i="7"/>
  <c r="AP41" i="7"/>
  <c r="AM28" i="7"/>
  <c r="AR27" i="7"/>
  <c r="AM27" i="7"/>
  <c r="J449" i="6"/>
  <c r="N449" i="6" s="1"/>
  <c r="O177" i="11"/>
  <c r="U177" i="11"/>
  <c r="E187" i="11"/>
  <c r="AY12" i="13"/>
  <c r="N13" i="13"/>
  <c r="EF13" i="13"/>
  <c r="EL13" i="13" s="1"/>
  <c r="FE13" i="13" s="1"/>
  <c r="AO13" i="13"/>
  <c r="AR13" i="13" s="1"/>
  <c r="AZ13" i="13" s="1"/>
  <c r="DZ11" i="12"/>
  <c r="V185" i="7"/>
  <c r="AG185" i="7"/>
  <c r="F184" i="7"/>
  <c r="P184" i="7" s="1"/>
  <c r="R249" i="3"/>
  <c r="F287" i="7"/>
  <c r="P287" i="7" s="1"/>
  <c r="R452" i="3"/>
  <c r="M455" i="3"/>
  <c r="S455" i="3" s="1"/>
  <c r="S49" i="3"/>
  <c r="CJ12" i="12"/>
  <c r="CG12" i="12"/>
  <c r="W12" i="12"/>
  <c r="AA12" i="12" s="1"/>
  <c r="CP12" i="12" s="1"/>
  <c r="X12" i="12"/>
  <c r="AB12" i="12" s="1"/>
  <c r="CZ12" i="12" s="1"/>
  <c r="Y12" i="12"/>
  <c r="AC12" i="12" s="1"/>
  <c r="DJ12" i="12" s="1"/>
  <c r="T12" i="12"/>
  <c r="CY12" i="12" s="1"/>
  <c r="Q12" i="12"/>
  <c r="AY12" i="12" s="1"/>
  <c r="M13" i="12"/>
  <c r="AF12" i="12"/>
  <c r="AJ12" i="12" s="1"/>
  <c r="DA12" i="12" s="1"/>
  <c r="V12" i="12"/>
  <c r="AM12" i="12"/>
  <c r="BT12" i="12" s="1"/>
  <c r="AP12" i="12"/>
  <c r="AS12" i="12" s="1"/>
  <c r="DV12" i="12" s="1"/>
  <c r="AE12" i="12"/>
  <c r="AI12" i="12" s="1"/>
  <c r="CQ12" i="12" s="1"/>
  <c r="AG12" i="12"/>
  <c r="AK12" i="12" s="1"/>
  <c r="DK12" i="12" s="1"/>
  <c r="AH12" i="12"/>
  <c r="AL12" i="12" s="1"/>
  <c r="BS12" i="12" s="1"/>
  <c r="S12" i="12"/>
  <c r="CO12" i="12" s="1"/>
  <c r="L13" i="12"/>
  <c r="AN13" i="12" s="1"/>
  <c r="AQ13" i="12" s="1"/>
  <c r="BU13" i="12" s="1"/>
  <c r="U12" i="12"/>
  <c r="DI12" i="12" s="1"/>
  <c r="R12" i="12"/>
  <c r="BQ12" i="12" s="1"/>
  <c r="K13" i="12"/>
  <c r="AD12" i="12"/>
  <c r="BR12" i="12" s="1"/>
  <c r="AG287" i="7"/>
  <c r="V287" i="7"/>
  <c r="B288" i="7"/>
  <c r="Z453" i="3"/>
  <c r="C251" i="3"/>
  <c r="B186" i="7" s="1"/>
  <c r="Z48" i="3"/>
  <c r="C454" i="3"/>
  <c r="Z454" i="3" s="1"/>
  <c r="C43" i="10"/>
  <c r="G43" i="10" s="1"/>
  <c r="O289" i="3"/>
  <c r="O492" i="3"/>
  <c r="E287" i="3"/>
  <c r="E490" i="3"/>
  <c r="E79" i="10"/>
  <c r="I79" i="10" s="1"/>
  <c r="AA453" i="3"/>
  <c r="AA452" i="3"/>
  <c r="D454" i="3"/>
  <c r="D43" i="10"/>
  <c r="H43" i="10" s="1"/>
  <c r="AB453" i="3"/>
  <c r="AB452" i="3"/>
  <c r="AB451" i="3"/>
  <c r="E252" i="3"/>
  <c r="D187" i="7" s="1"/>
  <c r="E455" i="3"/>
  <c r="D290" i="7" s="1"/>
  <c r="E44" i="10"/>
  <c r="I44" i="10" s="1"/>
  <c r="O254" i="3"/>
  <c r="U254" i="3" s="1"/>
  <c r="O457" i="3"/>
  <c r="N252" i="3"/>
  <c r="T252" i="3" s="1"/>
  <c r="N455" i="3"/>
  <c r="T455" i="3" s="1"/>
  <c r="J250" i="3"/>
  <c r="G185" i="7" s="1"/>
  <c r="Q185" i="7" s="1"/>
  <c r="J453" i="3"/>
  <c r="G288" i="7" s="1"/>
  <c r="Q288" i="7" s="1"/>
  <c r="H250" i="3"/>
  <c r="H453" i="3"/>
  <c r="W441" i="3"/>
  <c r="Y442" i="3"/>
  <c r="AD442" i="3" s="1"/>
  <c r="F34" i="10"/>
  <c r="J34" i="10" s="1"/>
  <c r="F445" i="3"/>
  <c r="G445" i="3" s="1"/>
  <c r="F444" i="3"/>
  <c r="G444" i="3" s="1"/>
  <c r="F33" i="10"/>
  <c r="J33" i="10" s="1"/>
  <c r="Y441" i="3"/>
  <c r="AD441" i="3" s="1"/>
  <c r="W440" i="3"/>
  <c r="J463" i="6"/>
  <c r="N463" i="6" s="1"/>
  <c r="J476" i="6"/>
  <c r="N476" i="6" s="1"/>
  <c r="D507" i="6"/>
  <c r="E507" i="6"/>
  <c r="F507" i="6"/>
  <c r="G507" i="6"/>
  <c r="H507" i="6"/>
  <c r="I507" i="6"/>
  <c r="C537" i="6"/>
  <c r="D506" i="6"/>
  <c r="E506" i="6"/>
  <c r="F506" i="6"/>
  <c r="G506" i="6"/>
  <c r="H506" i="6"/>
  <c r="I506" i="6"/>
  <c r="C536" i="6"/>
  <c r="D505" i="6"/>
  <c r="E505" i="6"/>
  <c r="F505" i="6"/>
  <c r="G505" i="6"/>
  <c r="H505" i="6"/>
  <c r="I505" i="6"/>
  <c r="C535" i="6"/>
  <c r="D504" i="6"/>
  <c r="E504" i="6"/>
  <c r="F504" i="6"/>
  <c r="G504" i="6"/>
  <c r="H504" i="6"/>
  <c r="I504" i="6"/>
  <c r="C534" i="6"/>
  <c r="D503" i="6"/>
  <c r="E503" i="6"/>
  <c r="F503" i="6"/>
  <c r="G503" i="6"/>
  <c r="H503" i="6"/>
  <c r="I503" i="6"/>
  <c r="C533" i="6"/>
  <c r="D502" i="6"/>
  <c r="E502" i="6"/>
  <c r="F502" i="6"/>
  <c r="G502" i="6"/>
  <c r="H502" i="6"/>
  <c r="I502" i="6"/>
  <c r="C532" i="6"/>
  <c r="D501" i="6"/>
  <c r="E501" i="6"/>
  <c r="F501" i="6"/>
  <c r="G501" i="6"/>
  <c r="H501" i="6"/>
  <c r="I501" i="6"/>
  <c r="C531" i="6"/>
  <c r="D500" i="6"/>
  <c r="E500" i="6"/>
  <c r="F500" i="6"/>
  <c r="G500" i="6"/>
  <c r="H500" i="6"/>
  <c r="I500" i="6"/>
  <c r="C530" i="6"/>
  <c r="D499" i="6"/>
  <c r="E499" i="6"/>
  <c r="F499" i="6"/>
  <c r="G499" i="6"/>
  <c r="H499" i="6"/>
  <c r="I499" i="6"/>
  <c r="C529" i="6"/>
  <c r="D498" i="6"/>
  <c r="E498" i="6"/>
  <c r="F498" i="6"/>
  <c r="G498" i="6"/>
  <c r="H498" i="6"/>
  <c r="I498" i="6"/>
  <c r="C528" i="6"/>
  <c r="D497" i="6"/>
  <c r="E497" i="6"/>
  <c r="F497" i="6"/>
  <c r="G497" i="6"/>
  <c r="H497" i="6"/>
  <c r="I497" i="6"/>
  <c r="C527" i="6"/>
  <c r="D496" i="6"/>
  <c r="E496" i="6"/>
  <c r="F496" i="6"/>
  <c r="G496" i="6"/>
  <c r="H496" i="6"/>
  <c r="I496" i="6"/>
  <c r="C526" i="6"/>
  <c r="D495" i="6"/>
  <c r="E495" i="6"/>
  <c r="F495" i="6"/>
  <c r="G495" i="6"/>
  <c r="H495" i="6"/>
  <c r="I495" i="6"/>
  <c r="C525" i="6"/>
  <c r="D494" i="6"/>
  <c r="E494" i="6"/>
  <c r="F494" i="6"/>
  <c r="G494" i="6"/>
  <c r="H494" i="6"/>
  <c r="I494" i="6"/>
  <c r="C524" i="6"/>
  <c r="D493" i="6"/>
  <c r="E493" i="6"/>
  <c r="F493" i="6"/>
  <c r="G493" i="6"/>
  <c r="H493" i="6"/>
  <c r="I493" i="6"/>
  <c r="C523" i="6"/>
  <c r="D492" i="6"/>
  <c r="E492" i="6"/>
  <c r="F492" i="6"/>
  <c r="G492" i="6"/>
  <c r="H492" i="6"/>
  <c r="I492" i="6"/>
  <c r="C522" i="6"/>
  <c r="D491" i="6"/>
  <c r="E491" i="6"/>
  <c r="F491" i="6"/>
  <c r="G491" i="6"/>
  <c r="H491" i="6"/>
  <c r="I491" i="6"/>
  <c r="C521" i="6"/>
  <c r="D490" i="6"/>
  <c r="E490" i="6"/>
  <c r="F490" i="6"/>
  <c r="G490" i="6"/>
  <c r="H490" i="6"/>
  <c r="I490" i="6"/>
  <c r="C520" i="6"/>
  <c r="D489" i="6"/>
  <c r="E489" i="6"/>
  <c r="F489" i="6"/>
  <c r="G489" i="6"/>
  <c r="H489" i="6"/>
  <c r="I489" i="6"/>
  <c r="C519" i="6"/>
  <c r="D488" i="6"/>
  <c r="E488" i="6"/>
  <c r="F488" i="6"/>
  <c r="G488" i="6"/>
  <c r="H488" i="6"/>
  <c r="I488" i="6"/>
  <c r="C518" i="6"/>
  <c r="D487" i="6"/>
  <c r="E487" i="6"/>
  <c r="F487" i="6"/>
  <c r="G487" i="6"/>
  <c r="H487" i="6"/>
  <c r="I487" i="6"/>
  <c r="C517" i="6"/>
  <c r="D486" i="6"/>
  <c r="E486" i="6"/>
  <c r="F486" i="6"/>
  <c r="G486" i="6"/>
  <c r="H486" i="6"/>
  <c r="I486" i="6"/>
  <c r="C516" i="6"/>
  <c r="D485" i="6"/>
  <c r="E485" i="6"/>
  <c r="F485" i="6"/>
  <c r="G485" i="6"/>
  <c r="H485" i="6"/>
  <c r="I485" i="6"/>
  <c r="C515" i="6"/>
  <c r="D484" i="6"/>
  <c r="E484" i="6"/>
  <c r="F484" i="6"/>
  <c r="G484" i="6"/>
  <c r="H484" i="6"/>
  <c r="I484" i="6"/>
  <c r="C514" i="6"/>
  <c r="D483" i="6"/>
  <c r="E483" i="6"/>
  <c r="F483" i="6"/>
  <c r="G483" i="6"/>
  <c r="H483" i="6"/>
  <c r="I483" i="6"/>
  <c r="C513" i="6"/>
  <c r="D482" i="6"/>
  <c r="E482" i="6"/>
  <c r="F482" i="6"/>
  <c r="G482" i="6"/>
  <c r="H482" i="6"/>
  <c r="I482" i="6"/>
  <c r="C512" i="6"/>
  <c r="D481" i="6"/>
  <c r="E481" i="6"/>
  <c r="F481" i="6"/>
  <c r="G481" i="6"/>
  <c r="H481" i="6"/>
  <c r="I481" i="6"/>
  <c r="C511" i="6"/>
  <c r="D480" i="6"/>
  <c r="E480" i="6"/>
  <c r="F480" i="6"/>
  <c r="G480" i="6"/>
  <c r="H480" i="6"/>
  <c r="I480" i="6"/>
  <c r="C510" i="6"/>
  <c r="D479" i="6"/>
  <c r="E479" i="6"/>
  <c r="F479" i="6"/>
  <c r="G479" i="6"/>
  <c r="H479" i="6"/>
  <c r="I479" i="6"/>
  <c r="C509" i="6"/>
  <c r="D478" i="6"/>
  <c r="E478" i="6"/>
  <c r="F478" i="6"/>
  <c r="G478" i="6"/>
  <c r="H478" i="6"/>
  <c r="I478" i="6"/>
  <c r="C508" i="6"/>
  <c r="J475" i="6"/>
  <c r="N475" i="6" s="1"/>
  <c r="J474" i="6"/>
  <c r="N474" i="6" s="1"/>
  <c r="J473" i="6"/>
  <c r="N473" i="6" s="1"/>
  <c r="J472" i="6"/>
  <c r="N472" i="6" s="1"/>
  <c r="J471" i="6"/>
  <c r="N471" i="6" s="1"/>
  <c r="J470" i="6"/>
  <c r="N470" i="6" s="1"/>
  <c r="J469" i="6"/>
  <c r="N469" i="6" s="1"/>
  <c r="J468" i="6"/>
  <c r="N468" i="6" s="1"/>
  <c r="J467" i="6"/>
  <c r="N467" i="6" s="1"/>
  <c r="J466" i="6"/>
  <c r="N466" i="6" s="1"/>
  <c r="J465" i="6"/>
  <c r="N465" i="6" s="1"/>
  <c r="J464" i="6"/>
  <c r="N464" i="6" s="1"/>
  <c r="J462" i="6"/>
  <c r="N462" i="6" s="1"/>
  <c r="J461" i="6"/>
  <c r="N461" i="6" s="1"/>
  <c r="J460" i="6"/>
  <c r="N460" i="6" s="1"/>
  <c r="J459" i="6"/>
  <c r="N459" i="6" s="1"/>
  <c r="J458" i="6"/>
  <c r="N458" i="6" s="1"/>
  <c r="J457" i="6"/>
  <c r="N457" i="6" s="1"/>
  <c r="J456" i="6"/>
  <c r="N456" i="6" s="1"/>
  <c r="J455" i="6"/>
  <c r="N455" i="6" s="1"/>
  <c r="J454" i="6"/>
  <c r="N454" i="6" s="1"/>
  <c r="J453" i="6"/>
  <c r="N453" i="6" s="1"/>
  <c r="J452" i="6"/>
  <c r="N452" i="6" s="1"/>
  <c r="J451" i="6"/>
  <c r="N451" i="6" s="1"/>
  <c r="J450" i="6"/>
  <c r="N450" i="6" s="1"/>
  <c r="J477" i="6"/>
  <c r="N477" i="6" s="1"/>
  <c r="AA249" i="3"/>
  <c r="D251" i="3"/>
  <c r="AB248" i="3"/>
  <c r="AB249" i="3"/>
  <c r="Z250" i="3"/>
  <c r="C49" i="3"/>
  <c r="M252" i="3"/>
  <c r="S252" i="3" s="1"/>
  <c r="W238" i="3"/>
  <c r="G39" i="3"/>
  <c r="F242" i="3"/>
  <c r="G242" i="3" s="1"/>
  <c r="W237" i="3"/>
  <c r="Y238" i="3"/>
  <c r="AD238" i="3" s="1"/>
  <c r="G38" i="3"/>
  <c r="F241" i="3"/>
  <c r="G241" i="3" s="1"/>
  <c r="AH184" i="7"/>
  <c r="W184" i="7"/>
  <c r="U88" i="3"/>
  <c r="E86" i="3"/>
  <c r="AD34" i="3"/>
  <c r="C185" i="7"/>
  <c r="D185" i="7"/>
  <c r="AB250" i="3"/>
  <c r="D288" i="7"/>
  <c r="U453" i="3"/>
  <c r="C288" i="7"/>
  <c r="W42" i="7"/>
  <c r="AH42" i="7"/>
  <c r="AG43" i="7"/>
  <c r="V43" i="7"/>
  <c r="C43" i="7"/>
  <c r="D49" i="3"/>
  <c r="AI286" i="7"/>
  <c r="X286" i="7"/>
  <c r="X183" i="7"/>
  <c r="AI183" i="7"/>
  <c r="X42" i="7"/>
  <c r="AI42" i="7"/>
  <c r="D44" i="7"/>
  <c r="E51" i="3"/>
  <c r="U53" i="3"/>
  <c r="R185" i="7"/>
  <c r="R43" i="7"/>
  <c r="X315" i="7"/>
  <c r="AI315" i="7"/>
  <c r="X69" i="7"/>
  <c r="AI69" i="7"/>
  <c r="X212" i="7"/>
  <c r="AI212" i="7"/>
  <c r="AI313" i="7"/>
  <c r="X313" i="7"/>
  <c r="AI67" i="7"/>
  <c r="X67" i="7"/>
  <c r="X210" i="7"/>
  <c r="AI210" i="7"/>
  <c r="K289" i="7"/>
  <c r="AD289" i="7" s="1"/>
  <c r="U454" i="3"/>
  <c r="K186" i="7"/>
  <c r="AD186" i="7" s="1"/>
  <c r="D73" i="7"/>
  <c r="D319" i="7"/>
  <c r="D216" i="7"/>
  <c r="D71" i="7"/>
  <c r="D317" i="7"/>
  <c r="D214" i="7"/>
  <c r="AB48" i="3"/>
  <c r="K44" i="7"/>
  <c r="AD44" i="7" s="1"/>
  <c r="R288" i="7"/>
  <c r="AA48" i="3"/>
  <c r="J186" i="7"/>
  <c r="AC186" i="7" s="1"/>
  <c r="J289" i="7"/>
  <c r="AC289" i="7" s="1"/>
  <c r="J44" i="7"/>
  <c r="AC44" i="7" s="1"/>
  <c r="T50" i="3"/>
  <c r="I289" i="7"/>
  <c r="AB289" i="7" s="1"/>
  <c r="Z251" i="3"/>
  <c r="I186" i="7"/>
  <c r="AB186" i="7" s="1"/>
  <c r="I44" i="7"/>
  <c r="AB44" i="7" s="1"/>
  <c r="G42" i="7"/>
  <c r="Q42" i="7" s="1"/>
  <c r="P42" i="7"/>
  <c r="R48" i="3"/>
  <c r="AJ173" i="7"/>
  <c r="S173" i="7" s="1"/>
  <c r="Y173" i="7"/>
  <c r="N173" i="7" s="1"/>
  <c r="Y276" i="7"/>
  <c r="N276" i="7" s="1"/>
  <c r="AJ276" i="7"/>
  <c r="S276" i="7" s="1"/>
  <c r="E175" i="7"/>
  <c r="Y32" i="7"/>
  <c r="N32" i="7" s="1"/>
  <c r="AJ32" i="7"/>
  <c r="S32" i="7" s="1"/>
  <c r="W39" i="3"/>
  <c r="E34" i="7"/>
  <c r="M34" i="7" s="1"/>
  <c r="E278" i="7"/>
  <c r="Y172" i="7"/>
  <c r="N172" i="7" s="1"/>
  <c r="AJ172" i="7"/>
  <c r="S172" i="7" s="1"/>
  <c r="E277" i="7"/>
  <c r="Z12" i="13"/>
  <c r="AD12" i="13" s="1"/>
  <c r="BR12" i="13" s="1"/>
  <c r="E33" i="7"/>
  <c r="M33" i="7" s="1"/>
  <c r="W38" i="3"/>
  <c r="E174" i="7"/>
  <c r="Y239" i="3"/>
  <c r="AD239" i="3" s="1"/>
  <c r="Y36" i="3"/>
  <c r="R11" i="13" s="1"/>
  <c r="BQ11" i="13" s="1"/>
  <c r="Y37" i="3"/>
  <c r="Y31" i="7"/>
  <c r="N31" i="7" s="1"/>
  <c r="AJ31" i="7"/>
  <c r="S31" i="7" s="1"/>
  <c r="Y275" i="7"/>
  <c r="N275" i="7" s="1"/>
  <c r="AJ275" i="7"/>
  <c r="S275" i="7" s="1"/>
  <c r="AD35" i="3"/>
  <c r="Z33" i="6"/>
  <c r="AP42" i="7" l="1"/>
  <c r="AO41" i="7"/>
  <c r="AR30" i="7"/>
  <c r="AM30" i="7"/>
  <c r="AQ42" i="7"/>
  <c r="AR29" i="7"/>
  <c r="AM29" i="7"/>
  <c r="J478" i="6"/>
  <c r="N478" i="6" s="1"/>
  <c r="O187" i="11"/>
  <c r="U187" i="11"/>
  <c r="E197" i="11"/>
  <c r="E207" i="11"/>
  <c r="ER13" i="13"/>
  <c r="EG13" i="13"/>
  <c r="EM13" i="13" s="1"/>
  <c r="EK12" i="13"/>
  <c r="EJ13" i="13"/>
  <c r="J479" i="6"/>
  <c r="N479" i="6" s="1"/>
  <c r="AP13" i="13"/>
  <c r="AS13" i="13" s="1"/>
  <c r="DV13" i="13" s="1"/>
  <c r="DZ13" i="13" s="1"/>
  <c r="ED13" i="13" s="1"/>
  <c r="CG13" i="13"/>
  <c r="L14" i="13"/>
  <c r="AN14" i="13" s="1"/>
  <c r="AQ14" i="13" s="1"/>
  <c r="BU14" i="13" s="1"/>
  <c r="M14" i="13"/>
  <c r="AM13" i="13"/>
  <c r="BT13" i="13" s="1"/>
  <c r="V13" i="13"/>
  <c r="Q13" i="13"/>
  <c r="U13" i="13"/>
  <c r="DI13" i="13" s="1"/>
  <c r="X13" i="13"/>
  <c r="AB13" i="13" s="1"/>
  <c r="CZ13" i="13" s="1"/>
  <c r="CJ13" i="13"/>
  <c r="K14" i="13"/>
  <c r="T13" i="13"/>
  <c r="CY13" i="13" s="1"/>
  <c r="W13" i="13"/>
  <c r="AA13" i="13" s="1"/>
  <c r="CP13" i="13" s="1"/>
  <c r="Z13" i="13"/>
  <c r="AD13" i="13" s="1"/>
  <c r="BR13" i="13" s="1"/>
  <c r="AG13" i="13"/>
  <c r="AK13" i="13" s="1"/>
  <c r="DK13" i="13" s="1"/>
  <c r="AE13" i="13"/>
  <c r="AI13" i="13" s="1"/>
  <c r="CQ13" i="13" s="1"/>
  <c r="S13" i="13"/>
  <c r="CO13" i="13" s="1"/>
  <c r="Y13" i="13"/>
  <c r="AC13" i="13" s="1"/>
  <c r="DJ13" i="13" s="1"/>
  <c r="AH13" i="13"/>
  <c r="AL13" i="13" s="1"/>
  <c r="BS13" i="13" s="1"/>
  <c r="AF13" i="13"/>
  <c r="AJ13" i="13" s="1"/>
  <c r="DA13" i="13" s="1"/>
  <c r="ED11" i="12"/>
  <c r="DZ12" i="12"/>
  <c r="AB454" i="3"/>
  <c r="AG186" i="7"/>
  <c r="V186" i="7"/>
  <c r="F185" i="7"/>
  <c r="P185" i="7" s="1"/>
  <c r="R250" i="3"/>
  <c r="F288" i="7"/>
  <c r="P288" i="7" s="1"/>
  <c r="R453" i="3"/>
  <c r="M456" i="3"/>
  <c r="S456" i="3" s="1"/>
  <c r="S50" i="3"/>
  <c r="AO13" i="12"/>
  <c r="AR13" i="12" s="1"/>
  <c r="AZ13" i="12" s="1"/>
  <c r="N13" i="12"/>
  <c r="Z13" i="12" s="1"/>
  <c r="AG288" i="7"/>
  <c r="V288" i="7"/>
  <c r="B289" i="7"/>
  <c r="AB251" i="3"/>
  <c r="C252" i="3"/>
  <c r="B187" i="7" s="1"/>
  <c r="C44" i="10"/>
  <c r="G44" i="10" s="1"/>
  <c r="C455" i="3"/>
  <c r="Z455" i="3" s="1"/>
  <c r="O291" i="3"/>
  <c r="O494" i="3"/>
  <c r="E289" i="3"/>
  <c r="E81" i="10"/>
  <c r="I81" i="10" s="1"/>
  <c r="E492" i="3"/>
  <c r="D44" i="10"/>
  <c r="H44" i="10" s="1"/>
  <c r="D455" i="3"/>
  <c r="E254" i="3"/>
  <c r="D189" i="7" s="1"/>
  <c r="E457" i="3"/>
  <c r="D292" i="7" s="1"/>
  <c r="E46" i="10"/>
  <c r="I46" i="10" s="1"/>
  <c r="O256" i="3"/>
  <c r="U256" i="3" s="1"/>
  <c r="O459" i="3"/>
  <c r="N253" i="3"/>
  <c r="T253" i="3" s="1"/>
  <c r="N456" i="3"/>
  <c r="T456" i="3" s="1"/>
  <c r="J251" i="3"/>
  <c r="G186" i="7" s="1"/>
  <c r="Q186" i="7" s="1"/>
  <c r="J454" i="3"/>
  <c r="G289" i="7" s="1"/>
  <c r="Q289" i="7" s="1"/>
  <c r="H251" i="3"/>
  <c r="H454" i="3"/>
  <c r="F36" i="10"/>
  <c r="J36" i="10" s="1"/>
  <c r="F447" i="3"/>
  <c r="G447" i="3" s="1"/>
  <c r="W443" i="3"/>
  <c r="Y444" i="3"/>
  <c r="AD444" i="3" s="1"/>
  <c r="W442" i="3"/>
  <c r="Y443" i="3"/>
  <c r="AD443" i="3" s="1"/>
  <c r="F35" i="10"/>
  <c r="J35" i="10" s="1"/>
  <c r="F446" i="3"/>
  <c r="G446" i="3" s="1"/>
  <c r="J485" i="6"/>
  <c r="N485" i="6" s="1"/>
  <c r="J486" i="6"/>
  <c r="N486" i="6" s="1"/>
  <c r="J484" i="6"/>
  <c r="N484" i="6" s="1"/>
  <c r="D537" i="6"/>
  <c r="E537" i="6"/>
  <c r="F537" i="6"/>
  <c r="G537" i="6"/>
  <c r="H537" i="6"/>
  <c r="I537" i="6"/>
  <c r="C567" i="6"/>
  <c r="D536" i="6"/>
  <c r="E536" i="6"/>
  <c r="F536" i="6"/>
  <c r="G536" i="6"/>
  <c r="H536" i="6"/>
  <c r="I536" i="6"/>
  <c r="C566" i="6"/>
  <c r="D535" i="6"/>
  <c r="E535" i="6"/>
  <c r="F535" i="6"/>
  <c r="G535" i="6"/>
  <c r="H535" i="6"/>
  <c r="I535" i="6"/>
  <c r="C565" i="6"/>
  <c r="D534" i="6"/>
  <c r="E534" i="6"/>
  <c r="F534" i="6"/>
  <c r="G534" i="6"/>
  <c r="H534" i="6"/>
  <c r="I534" i="6"/>
  <c r="C564" i="6"/>
  <c r="D533" i="6"/>
  <c r="E533" i="6"/>
  <c r="F533" i="6"/>
  <c r="G533" i="6"/>
  <c r="H533" i="6"/>
  <c r="I533" i="6"/>
  <c r="C563" i="6"/>
  <c r="D532" i="6"/>
  <c r="E532" i="6"/>
  <c r="F532" i="6"/>
  <c r="G532" i="6"/>
  <c r="H532" i="6"/>
  <c r="I532" i="6"/>
  <c r="C562" i="6"/>
  <c r="D531" i="6"/>
  <c r="E531" i="6"/>
  <c r="F531" i="6"/>
  <c r="G531" i="6"/>
  <c r="H531" i="6"/>
  <c r="I531" i="6"/>
  <c r="C561" i="6"/>
  <c r="D530" i="6"/>
  <c r="E530" i="6"/>
  <c r="F530" i="6"/>
  <c r="G530" i="6"/>
  <c r="H530" i="6"/>
  <c r="I530" i="6"/>
  <c r="C560" i="6"/>
  <c r="D529" i="6"/>
  <c r="E529" i="6"/>
  <c r="F529" i="6"/>
  <c r="G529" i="6"/>
  <c r="H529" i="6"/>
  <c r="I529" i="6"/>
  <c r="C559" i="6"/>
  <c r="D528" i="6"/>
  <c r="E528" i="6"/>
  <c r="F528" i="6"/>
  <c r="G528" i="6"/>
  <c r="H528" i="6"/>
  <c r="I528" i="6"/>
  <c r="C558" i="6"/>
  <c r="D527" i="6"/>
  <c r="E527" i="6"/>
  <c r="F527" i="6"/>
  <c r="G527" i="6"/>
  <c r="H527" i="6"/>
  <c r="I527" i="6"/>
  <c r="C557" i="6"/>
  <c r="D526" i="6"/>
  <c r="E526" i="6"/>
  <c r="F526" i="6"/>
  <c r="G526" i="6"/>
  <c r="H526" i="6"/>
  <c r="I526" i="6"/>
  <c r="C556" i="6"/>
  <c r="D525" i="6"/>
  <c r="E525" i="6"/>
  <c r="F525" i="6"/>
  <c r="G525" i="6"/>
  <c r="H525" i="6"/>
  <c r="I525" i="6"/>
  <c r="C555" i="6"/>
  <c r="D524" i="6"/>
  <c r="E524" i="6"/>
  <c r="F524" i="6"/>
  <c r="G524" i="6"/>
  <c r="H524" i="6"/>
  <c r="I524" i="6"/>
  <c r="C554" i="6"/>
  <c r="D523" i="6"/>
  <c r="E523" i="6"/>
  <c r="F523" i="6"/>
  <c r="G523" i="6"/>
  <c r="H523" i="6"/>
  <c r="I523" i="6"/>
  <c r="C553" i="6"/>
  <c r="D522" i="6"/>
  <c r="E522" i="6"/>
  <c r="F522" i="6"/>
  <c r="G522" i="6"/>
  <c r="H522" i="6"/>
  <c r="I522" i="6"/>
  <c r="C552" i="6"/>
  <c r="D521" i="6"/>
  <c r="E521" i="6"/>
  <c r="F521" i="6"/>
  <c r="G521" i="6"/>
  <c r="H521" i="6"/>
  <c r="I521" i="6"/>
  <c r="C551" i="6"/>
  <c r="D520" i="6"/>
  <c r="E520" i="6"/>
  <c r="F520" i="6"/>
  <c r="G520" i="6"/>
  <c r="H520" i="6"/>
  <c r="I520" i="6"/>
  <c r="C550" i="6"/>
  <c r="D519" i="6"/>
  <c r="E519" i="6"/>
  <c r="F519" i="6"/>
  <c r="G519" i="6"/>
  <c r="H519" i="6"/>
  <c r="I519" i="6"/>
  <c r="C549" i="6"/>
  <c r="D518" i="6"/>
  <c r="E518" i="6"/>
  <c r="F518" i="6"/>
  <c r="G518" i="6"/>
  <c r="H518" i="6"/>
  <c r="I518" i="6"/>
  <c r="C548" i="6"/>
  <c r="D517" i="6"/>
  <c r="E517" i="6"/>
  <c r="F517" i="6"/>
  <c r="G517" i="6"/>
  <c r="H517" i="6"/>
  <c r="I517" i="6"/>
  <c r="C547" i="6"/>
  <c r="D516" i="6"/>
  <c r="E516" i="6"/>
  <c r="F516" i="6"/>
  <c r="G516" i="6"/>
  <c r="H516" i="6"/>
  <c r="I516" i="6"/>
  <c r="C546" i="6"/>
  <c r="D515" i="6"/>
  <c r="E515" i="6"/>
  <c r="F515" i="6"/>
  <c r="G515" i="6"/>
  <c r="H515" i="6"/>
  <c r="I515" i="6"/>
  <c r="C545" i="6"/>
  <c r="D514" i="6"/>
  <c r="E514" i="6"/>
  <c r="F514" i="6"/>
  <c r="G514" i="6"/>
  <c r="H514" i="6"/>
  <c r="I514" i="6"/>
  <c r="C544" i="6"/>
  <c r="D513" i="6"/>
  <c r="E513" i="6"/>
  <c r="F513" i="6"/>
  <c r="G513" i="6"/>
  <c r="H513" i="6"/>
  <c r="I513" i="6"/>
  <c r="C543" i="6"/>
  <c r="D512" i="6"/>
  <c r="E512" i="6"/>
  <c r="F512" i="6"/>
  <c r="G512" i="6"/>
  <c r="H512" i="6"/>
  <c r="I512" i="6"/>
  <c r="C542" i="6"/>
  <c r="D511" i="6"/>
  <c r="E511" i="6"/>
  <c r="F511" i="6"/>
  <c r="G511" i="6"/>
  <c r="H511" i="6"/>
  <c r="I511" i="6"/>
  <c r="C541" i="6"/>
  <c r="D510" i="6"/>
  <c r="E510" i="6"/>
  <c r="F510" i="6"/>
  <c r="G510" i="6"/>
  <c r="H510" i="6"/>
  <c r="I510" i="6"/>
  <c r="C540" i="6"/>
  <c r="D509" i="6"/>
  <c r="E509" i="6"/>
  <c r="F509" i="6"/>
  <c r="G509" i="6"/>
  <c r="H509" i="6"/>
  <c r="I509" i="6"/>
  <c r="C539" i="6"/>
  <c r="D508" i="6"/>
  <c r="E508" i="6"/>
  <c r="F508" i="6"/>
  <c r="G508" i="6"/>
  <c r="H508" i="6"/>
  <c r="I508" i="6"/>
  <c r="C538" i="6"/>
  <c r="J506" i="6"/>
  <c r="N506" i="6" s="1"/>
  <c r="J498" i="6"/>
  <c r="N498" i="6" s="1"/>
  <c r="J505" i="6"/>
  <c r="N505" i="6" s="1"/>
  <c r="J504" i="6"/>
  <c r="N504" i="6" s="1"/>
  <c r="J503" i="6"/>
  <c r="N503" i="6" s="1"/>
  <c r="J502" i="6"/>
  <c r="N502" i="6" s="1"/>
  <c r="J500" i="6"/>
  <c r="N500" i="6" s="1"/>
  <c r="J490" i="6"/>
  <c r="N490" i="6" s="1"/>
  <c r="J497" i="6"/>
  <c r="N497" i="6" s="1"/>
  <c r="J496" i="6"/>
  <c r="N496" i="6" s="1"/>
  <c r="J495" i="6"/>
  <c r="N495" i="6" s="1"/>
  <c r="J494" i="6"/>
  <c r="N494" i="6" s="1"/>
  <c r="J492" i="6"/>
  <c r="N492" i="6" s="1"/>
  <c r="J489" i="6"/>
  <c r="N489" i="6" s="1"/>
  <c r="J483" i="6"/>
  <c r="N483" i="6" s="1"/>
  <c r="J482" i="6"/>
  <c r="N482" i="6" s="1"/>
  <c r="J481" i="6"/>
  <c r="N481" i="6" s="1"/>
  <c r="J480" i="6"/>
  <c r="N480" i="6" s="1"/>
  <c r="J508" i="6"/>
  <c r="N508" i="6" s="1"/>
  <c r="J501" i="6"/>
  <c r="N501" i="6" s="1"/>
  <c r="J493" i="6"/>
  <c r="N493" i="6" s="1"/>
  <c r="J488" i="6"/>
  <c r="N488" i="6" s="1"/>
  <c r="J507" i="6"/>
  <c r="N507" i="6" s="1"/>
  <c r="J499" i="6"/>
  <c r="N499" i="6" s="1"/>
  <c r="J491" i="6"/>
  <c r="N491" i="6" s="1"/>
  <c r="J487" i="6"/>
  <c r="N487" i="6" s="1"/>
  <c r="AA250" i="3"/>
  <c r="D252" i="3"/>
  <c r="C50" i="3"/>
  <c r="M253" i="3"/>
  <c r="S253" i="3" s="1"/>
  <c r="W240" i="3"/>
  <c r="G41" i="3"/>
  <c r="F244" i="3"/>
  <c r="G244" i="3" s="1"/>
  <c r="G40" i="3"/>
  <c r="F243" i="3"/>
  <c r="G243" i="3" s="1"/>
  <c r="W239" i="3"/>
  <c r="Y240" i="3"/>
  <c r="AD240" i="3" s="1"/>
  <c r="U90" i="3"/>
  <c r="E88" i="3"/>
  <c r="W185" i="7"/>
  <c r="AH185" i="7"/>
  <c r="AH288" i="7"/>
  <c r="W288" i="7"/>
  <c r="X185" i="7"/>
  <c r="AI185" i="7"/>
  <c r="AI288" i="7"/>
  <c r="X288" i="7"/>
  <c r="AA49" i="3"/>
  <c r="AB49" i="3"/>
  <c r="AH43" i="7"/>
  <c r="W43" i="7"/>
  <c r="V44" i="7"/>
  <c r="AG44" i="7"/>
  <c r="C44" i="7"/>
  <c r="C186" i="7"/>
  <c r="AA251" i="3"/>
  <c r="C289" i="7"/>
  <c r="D50" i="3"/>
  <c r="X290" i="7"/>
  <c r="AI290" i="7"/>
  <c r="X44" i="7"/>
  <c r="AI44" i="7"/>
  <c r="X187" i="7"/>
  <c r="AI187" i="7"/>
  <c r="D46" i="7"/>
  <c r="E53" i="3"/>
  <c r="U55" i="3"/>
  <c r="AI73" i="7"/>
  <c r="X73" i="7"/>
  <c r="AI319" i="7"/>
  <c r="X319" i="7"/>
  <c r="X216" i="7"/>
  <c r="AI216" i="7"/>
  <c r="X71" i="7"/>
  <c r="AI71" i="7"/>
  <c r="AI317" i="7"/>
  <c r="X317" i="7"/>
  <c r="X214" i="7"/>
  <c r="AI214" i="7"/>
  <c r="K187" i="7"/>
  <c r="AD187" i="7" s="1"/>
  <c r="K290" i="7"/>
  <c r="AD290" i="7" s="1"/>
  <c r="U455" i="3"/>
  <c r="D77" i="7"/>
  <c r="D323" i="7"/>
  <c r="D220" i="7"/>
  <c r="D75" i="7"/>
  <c r="D321" i="7"/>
  <c r="D218" i="7"/>
  <c r="R44" i="7"/>
  <c r="K45" i="7"/>
  <c r="AD45" i="7" s="1"/>
  <c r="R186" i="7"/>
  <c r="R289" i="7"/>
  <c r="J187" i="7"/>
  <c r="AC187" i="7" s="1"/>
  <c r="J290" i="7"/>
  <c r="AC290" i="7" s="1"/>
  <c r="J45" i="7"/>
  <c r="AC45" i="7" s="1"/>
  <c r="T51" i="3"/>
  <c r="Z49" i="3"/>
  <c r="I187" i="7"/>
  <c r="AB187" i="7" s="1"/>
  <c r="I290" i="7"/>
  <c r="AB290" i="7" s="1"/>
  <c r="I45" i="7"/>
  <c r="AB45" i="7" s="1"/>
  <c r="G43" i="7"/>
  <c r="Q43" i="7" s="1"/>
  <c r="R49" i="3"/>
  <c r="P43" i="7"/>
  <c r="Y175" i="7"/>
  <c r="N175" i="7" s="1"/>
  <c r="AJ175" i="7"/>
  <c r="S175" i="7" s="1"/>
  <c r="E280" i="7"/>
  <c r="E177" i="7"/>
  <c r="E36" i="7"/>
  <c r="M36" i="7" s="1"/>
  <c r="Y34" i="7"/>
  <c r="N34" i="7" s="1"/>
  <c r="AJ34" i="7"/>
  <c r="S34" i="7" s="1"/>
  <c r="Y278" i="7"/>
  <c r="N278" i="7" s="1"/>
  <c r="AJ278" i="7"/>
  <c r="S278" i="7" s="1"/>
  <c r="Y277" i="7"/>
  <c r="N277" i="7" s="1"/>
  <c r="AJ277" i="7"/>
  <c r="S277" i="7" s="1"/>
  <c r="E35" i="7"/>
  <c r="M35" i="7" s="1"/>
  <c r="W40" i="3"/>
  <c r="Y33" i="7"/>
  <c r="N33" i="7" s="1"/>
  <c r="AJ33" i="7"/>
  <c r="S33" i="7" s="1"/>
  <c r="E279" i="7"/>
  <c r="Y38" i="3"/>
  <c r="Y39" i="3"/>
  <c r="E176" i="7"/>
  <c r="Y241" i="3"/>
  <c r="AD241" i="3" s="1"/>
  <c r="Y174" i="7"/>
  <c r="N174" i="7" s="1"/>
  <c r="AM31" i="7" s="1"/>
  <c r="AJ174" i="7"/>
  <c r="S174" i="7" s="1"/>
  <c r="AR31" i="7" s="1"/>
  <c r="AD36" i="3"/>
  <c r="AD37" i="3"/>
  <c r="Z34" i="6"/>
  <c r="AR32" i="7" l="1"/>
  <c r="AM32" i="7"/>
  <c r="AG187" i="7"/>
  <c r="V187" i="7"/>
  <c r="AQ43" i="7"/>
  <c r="AP43" i="7"/>
  <c r="AO42" i="7"/>
  <c r="O197" i="11"/>
  <c r="U197" i="11"/>
  <c r="O207" i="11"/>
  <c r="U207" i="11"/>
  <c r="AO14" i="13"/>
  <c r="AR14" i="13" s="1"/>
  <c r="AZ14" i="13" s="1"/>
  <c r="AY13" i="13"/>
  <c r="N14" i="13"/>
  <c r="EF14" i="13"/>
  <c r="EL14" i="13" s="1"/>
  <c r="FE14" i="13" s="1"/>
  <c r="ED12" i="12"/>
  <c r="F186" i="7"/>
  <c r="P186" i="7" s="1"/>
  <c r="R251" i="3"/>
  <c r="F289" i="7"/>
  <c r="P289" i="7" s="1"/>
  <c r="R454" i="3"/>
  <c r="M457" i="3"/>
  <c r="S457" i="3" s="1"/>
  <c r="S51" i="3"/>
  <c r="CJ13" i="12"/>
  <c r="CG13" i="12"/>
  <c r="W13" i="12"/>
  <c r="AA13" i="12" s="1"/>
  <c r="CP13" i="12" s="1"/>
  <c r="X13" i="12"/>
  <c r="AB13" i="12" s="1"/>
  <c r="CZ13" i="12" s="1"/>
  <c r="Y13" i="12"/>
  <c r="AC13" i="12" s="1"/>
  <c r="DJ13" i="12" s="1"/>
  <c r="AD13" i="12"/>
  <c r="BR13" i="12" s="1"/>
  <c r="AM13" i="12"/>
  <c r="BT13" i="12" s="1"/>
  <c r="AH13" i="12"/>
  <c r="AL13" i="12" s="1"/>
  <c r="BS13" i="12" s="1"/>
  <c r="S13" i="12"/>
  <c r="CO13" i="12" s="1"/>
  <c r="K14" i="12"/>
  <c r="N14" i="12" s="1"/>
  <c r="T13" i="12"/>
  <c r="CY13" i="12" s="1"/>
  <c r="R13" i="12"/>
  <c r="BQ13" i="12" s="1"/>
  <c r="U13" i="12"/>
  <c r="DI13" i="12" s="1"/>
  <c r="V13" i="12"/>
  <c r="Q13" i="12"/>
  <c r="AY13" i="12" s="1"/>
  <c r="AG13" i="12"/>
  <c r="AK13" i="12" s="1"/>
  <c r="DK13" i="12" s="1"/>
  <c r="L14" i="12"/>
  <c r="AN14" i="12" s="1"/>
  <c r="AQ14" i="12" s="1"/>
  <c r="BU14" i="12" s="1"/>
  <c r="M14" i="12"/>
  <c r="AP13" i="12"/>
  <c r="AS13" i="12" s="1"/>
  <c r="DV13" i="12" s="1"/>
  <c r="AE13" i="12"/>
  <c r="AI13" i="12" s="1"/>
  <c r="CQ13" i="12" s="1"/>
  <c r="AF13" i="12"/>
  <c r="AJ13" i="12" s="1"/>
  <c r="DA13" i="12" s="1"/>
  <c r="AG289" i="7"/>
  <c r="V289" i="7"/>
  <c r="B290" i="7"/>
  <c r="C253" i="3"/>
  <c r="B188" i="7" s="1"/>
  <c r="C456" i="3"/>
  <c r="Z456" i="3" s="1"/>
  <c r="C45" i="10"/>
  <c r="G45" i="10" s="1"/>
  <c r="O293" i="3"/>
  <c r="O496" i="3"/>
  <c r="E291" i="3"/>
  <c r="E83" i="10"/>
  <c r="I83" i="10" s="1"/>
  <c r="E494" i="3"/>
  <c r="AA454" i="3"/>
  <c r="AA455" i="3"/>
  <c r="D456" i="3"/>
  <c r="D45" i="10"/>
  <c r="H45" i="10" s="1"/>
  <c r="E256" i="3"/>
  <c r="D191" i="7" s="1"/>
  <c r="E48" i="10"/>
  <c r="I48" i="10" s="1"/>
  <c r="E459" i="3"/>
  <c r="D294" i="7" s="1"/>
  <c r="O258" i="3"/>
  <c r="U258" i="3" s="1"/>
  <c r="O461" i="3"/>
  <c r="AB455" i="3"/>
  <c r="N254" i="3"/>
  <c r="T254" i="3" s="1"/>
  <c r="N457" i="3"/>
  <c r="T457" i="3" s="1"/>
  <c r="J252" i="3"/>
  <c r="G187" i="7" s="1"/>
  <c r="Q187" i="7" s="1"/>
  <c r="J455" i="3"/>
  <c r="G290" i="7" s="1"/>
  <c r="Q290" i="7" s="1"/>
  <c r="H252" i="3"/>
  <c r="H455" i="3"/>
  <c r="W445" i="3"/>
  <c r="Y446" i="3"/>
  <c r="AD446" i="3" s="1"/>
  <c r="F38" i="10"/>
  <c r="J38" i="10" s="1"/>
  <c r="F449" i="3"/>
  <c r="G449" i="3" s="1"/>
  <c r="W41" i="3"/>
  <c r="AV11" i="3"/>
  <c r="AV12" i="3"/>
  <c r="F448" i="3"/>
  <c r="G448" i="3" s="1"/>
  <c r="F37" i="10"/>
  <c r="J37" i="10" s="1"/>
  <c r="W444" i="3"/>
  <c r="Y445" i="3"/>
  <c r="AD445" i="3" s="1"/>
  <c r="D567" i="6"/>
  <c r="E567" i="6"/>
  <c r="F567" i="6"/>
  <c r="G567" i="6"/>
  <c r="H567" i="6"/>
  <c r="I567" i="6"/>
  <c r="C597" i="6"/>
  <c r="D566" i="6"/>
  <c r="E566" i="6"/>
  <c r="F566" i="6"/>
  <c r="G566" i="6"/>
  <c r="H566" i="6"/>
  <c r="I566" i="6"/>
  <c r="C596" i="6"/>
  <c r="D565" i="6"/>
  <c r="E565" i="6"/>
  <c r="F565" i="6"/>
  <c r="G565" i="6"/>
  <c r="H565" i="6"/>
  <c r="I565" i="6"/>
  <c r="C595" i="6"/>
  <c r="D564" i="6"/>
  <c r="E564" i="6"/>
  <c r="F564" i="6"/>
  <c r="G564" i="6"/>
  <c r="H564" i="6"/>
  <c r="I564" i="6"/>
  <c r="C594" i="6"/>
  <c r="D563" i="6"/>
  <c r="E563" i="6"/>
  <c r="F563" i="6"/>
  <c r="G563" i="6"/>
  <c r="H563" i="6"/>
  <c r="I563" i="6"/>
  <c r="C593" i="6"/>
  <c r="D562" i="6"/>
  <c r="E562" i="6"/>
  <c r="F562" i="6"/>
  <c r="G562" i="6"/>
  <c r="H562" i="6"/>
  <c r="I562" i="6"/>
  <c r="C592" i="6"/>
  <c r="D561" i="6"/>
  <c r="E561" i="6"/>
  <c r="F561" i="6"/>
  <c r="G561" i="6"/>
  <c r="H561" i="6"/>
  <c r="I561" i="6"/>
  <c r="C591" i="6"/>
  <c r="D560" i="6"/>
  <c r="E560" i="6"/>
  <c r="F560" i="6"/>
  <c r="G560" i="6"/>
  <c r="H560" i="6"/>
  <c r="I560" i="6"/>
  <c r="C590" i="6"/>
  <c r="D559" i="6"/>
  <c r="E559" i="6"/>
  <c r="F559" i="6"/>
  <c r="G559" i="6"/>
  <c r="H559" i="6"/>
  <c r="I559" i="6"/>
  <c r="C589" i="6"/>
  <c r="D558" i="6"/>
  <c r="E558" i="6"/>
  <c r="F558" i="6"/>
  <c r="G558" i="6"/>
  <c r="H558" i="6"/>
  <c r="I558" i="6"/>
  <c r="C588" i="6"/>
  <c r="D557" i="6"/>
  <c r="E557" i="6"/>
  <c r="F557" i="6"/>
  <c r="G557" i="6"/>
  <c r="H557" i="6"/>
  <c r="I557" i="6"/>
  <c r="C587" i="6"/>
  <c r="D556" i="6"/>
  <c r="E556" i="6"/>
  <c r="F556" i="6"/>
  <c r="G556" i="6"/>
  <c r="H556" i="6"/>
  <c r="I556" i="6"/>
  <c r="C586" i="6"/>
  <c r="D555" i="6"/>
  <c r="E555" i="6"/>
  <c r="F555" i="6"/>
  <c r="G555" i="6"/>
  <c r="H555" i="6"/>
  <c r="I555" i="6"/>
  <c r="C585" i="6"/>
  <c r="D554" i="6"/>
  <c r="E554" i="6"/>
  <c r="F554" i="6"/>
  <c r="G554" i="6"/>
  <c r="H554" i="6"/>
  <c r="I554" i="6"/>
  <c r="C584" i="6"/>
  <c r="D553" i="6"/>
  <c r="E553" i="6"/>
  <c r="F553" i="6"/>
  <c r="G553" i="6"/>
  <c r="H553" i="6"/>
  <c r="I553" i="6"/>
  <c r="C583" i="6"/>
  <c r="D552" i="6"/>
  <c r="E552" i="6"/>
  <c r="F552" i="6"/>
  <c r="G552" i="6"/>
  <c r="H552" i="6"/>
  <c r="I552" i="6"/>
  <c r="C582" i="6"/>
  <c r="D551" i="6"/>
  <c r="E551" i="6"/>
  <c r="F551" i="6"/>
  <c r="G551" i="6"/>
  <c r="H551" i="6"/>
  <c r="I551" i="6"/>
  <c r="C581" i="6"/>
  <c r="D550" i="6"/>
  <c r="E550" i="6"/>
  <c r="F550" i="6"/>
  <c r="G550" i="6"/>
  <c r="H550" i="6"/>
  <c r="I550" i="6"/>
  <c r="C580" i="6"/>
  <c r="D549" i="6"/>
  <c r="E549" i="6"/>
  <c r="F549" i="6"/>
  <c r="G549" i="6"/>
  <c r="H549" i="6"/>
  <c r="I549" i="6"/>
  <c r="C579" i="6"/>
  <c r="D548" i="6"/>
  <c r="E548" i="6"/>
  <c r="F548" i="6"/>
  <c r="G548" i="6"/>
  <c r="H548" i="6"/>
  <c r="I548" i="6"/>
  <c r="C578" i="6"/>
  <c r="D547" i="6"/>
  <c r="E547" i="6"/>
  <c r="F547" i="6"/>
  <c r="G547" i="6"/>
  <c r="H547" i="6"/>
  <c r="I547" i="6"/>
  <c r="C577" i="6"/>
  <c r="D546" i="6"/>
  <c r="E546" i="6"/>
  <c r="F546" i="6"/>
  <c r="G546" i="6"/>
  <c r="H546" i="6"/>
  <c r="I546" i="6"/>
  <c r="C576" i="6"/>
  <c r="D545" i="6"/>
  <c r="E545" i="6"/>
  <c r="F545" i="6"/>
  <c r="G545" i="6"/>
  <c r="H545" i="6"/>
  <c r="I545" i="6"/>
  <c r="C575" i="6"/>
  <c r="D544" i="6"/>
  <c r="E544" i="6"/>
  <c r="F544" i="6"/>
  <c r="G544" i="6"/>
  <c r="H544" i="6"/>
  <c r="I544" i="6"/>
  <c r="C574" i="6"/>
  <c r="D543" i="6"/>
  <c r="E543" i="6"/>
  <c r="F543" i="6"/>
  <c r="G543" i="6"/>
  <c r="H543" i="6"/>
  <c r="I543" i="6"/>
  <c r="C573" i="6"/>
  <c r="D542" i="6"/>
  <c r="E542" i="6"/>
  <c r="F542" i="6"/>
  <c r="G542" i="6"/>
  <c r="H542" i="6"/>
  <c r="I542" i="6"/>
  <c r="C572" i="6"/>
  <c r="D541" i="6"/>
  <c r="E541" i="6"/>
  <c r="F541" i="6"/>
  <c r="G541" i="6"/>
  <c r="H541" i="6"/>
  <c r="I541" i="6"/>
  <c r="C571" i="6"/>
  <c r="D540" i="6"/>
  <c r="E540" i="6"/>
  <c r="F540" i="6"/>
  <c r="G540" i="6"/>
  <c r="H540" i="6"/>
  <c r="I540" i="6"/>
  <c r="C570" i="6"/>
  <c r="D539" i="6"/>
  <c r="E539" i="6"/>
  <c r="F539" i="6"/>
  <c r="G539" i="6"/>
  <c r="H539" i="6"/>
  <c r="I539" i="6"/>
  <c r="C569" i="6"/>
  <c r="D538" i="6"/>
  <c r="E538" i="6"/>
  <c r="F538" i="6"/>
  <c r="G538" i="6"/>
  <c r="H538" i="6"/>
  <c r="I538" i="6"/>
  <c r="C568" i="6"/>
  <c r="J528" i="6"/>
  <c r="N528" i="6" s="1"/>
  <c r="J527" i="6"/>
  <c r="N527" i="6" s="1"/>
  <c r="J526" i="6"/>
  <c r="N526" i="6" s="1"/>
  <c r="J525" i="6"/>
  <c r="N525" i="6" s="1"/>
  <c r="J524" i="6"/>
  <c r="N524" i="6" s="1"/>
  <c r="J522" i="6"/>
  <c r="N522" i="6" s="1"/>
  <c r="J517" i="6"/>
  <c r="N517" i="6" s="1"/>
  <c r="J515" i="6"/>
  <c r="N515" i="6" s="1"/>
  <c r="J511" i="6"/>
  <c r="N511" i="6" s="1"/>
  <c r="J510" i="6"/>
  <c r="N510" i="6" s="1"/>
  <c r="J533" i="6"/>
  <c r="N533" i="6" s="1"/>
  <c r="J521" i="6"/>
  <c r="N521" i="6" s="1"/>
  <c r="J538" i="6"/>
  <c r="N538" i="6" s="1"/>
  <c r="J535" i="6"/>
  <c r="N535" i="6" s="1"/>
  <c r="J531" i="6"/>
  <c r="N531" i="6" s="1"/>
  <c r="J523" i="6"/>
  <c r="N523" i="6" s="1"/>
  <c r="J518" i="6"/>
  <c r="N518" i="6" s="1"/>
  <c r="J512" i="6"/>
  <c r="N512" i="6" s="1"/>
  <c r="J537" i="6"/>
  <c r="N537" i="6" s="1"/>
  <c r="J530" i="6"/>
  <c r="N530" i="6" s="1"/>
  <c r="J519" i="6"/>
  <c r="N519" i="6" s="1"/>
  <c r="J514" i="6"/>
  <c r="N514" i="6" s="1"/>
  <c r="J536" i="6"/>
  <c r="N536" i="6" s="1"/>
  <c r="J532" i="6"/>
  <c r="N532" i="6" s="1"/>
  <c r="J529" i="6"/>
  <c r="N529" i="6" s="1"/>
  <c r="J513" i="6"/>
  <c r="N513" i="6" s="1"/>
  <c r="J534" i="6"/>
  <c r="N534" i="6" s="1"/>
  <c r="J520" i="6"/>
  <c r="N520" i="6" s="1"/>
  <c r="J516" i="6"/>
  <c r="N516" i="6" s="1"/>
  <c r="J509" i="6"/>
  <c r="N509" i="6" s="1"/>
  <c r="D253" i="3"/>
  <c r="AB252" i="3"/>
  <c r="Z252" i="3"/>
  <c r="C51" i="3"/>
  <c r="M254" i="3"/>
  <c r="S254" i="3" s="1"/>
  <c r="W242" i="3"/>
  <c r="G43" i="3"/>
  <c r="F246" i="3"/>
  <c r="G246" i="3" s="1"/>
  <c r="G42" i="3"/>
  <c r="F245" i="3"/>
  <c r="G245" i="3" s="1"/>
  <c r="W241" i="3"/>
  <c r="Y242" i="3"/>
  <c r="AD242" i="3" s="1"/>
  <c r="U92" i="3"/>
  <c r="E90" i="3"/>
  <c r="Z50" i="3"/>
  <c r="W44" i="7"/>
  <c r="AH44" i="7"/>
  <c r="AH186" i="7"/>
  <c r="W186" i="7"/>
  <c r="W289" i="7"/>
  <c r="AH289" i="7"/>
  <c r="V45" i="7"/>
  <c r="AG45" i="7"/>
  <c r="C45" i="7"/>
  <c r="C187" i="7"/>
  <c r="C290" i="7"/>
  <c r="D51" i="3"/>
  <c r="AI189" i="7"/>
  <c r="X189" i="7"/>
  <c r="AI46" i="7"/>
  <c r="X46" i="7"/>
  <c r="AI292" i="7"/>
  <c r="X292" i="7"/>
  <c r="D48" i="7"/>
  <c r="E55" i="3"/>
  <c r="U57" i="3"/>
  <c r="X77" i="7"/>
  <c r="AI77" i="7"/>
  <c r="AI323" i="7"/>
  <c r="X323" i="7"/>
  <c r="AI220" i="7"/>
  <c r="X220" i="7"/>
  <c r="AI75" i="7"/>
  <c r="X75" i="7"/>
  <c r="X321" i="7"/>
  <c r="AI321" i="7"/>
  <c r="AI218" i="7"/>
  <c r="X218" i="7"/>
  <c r="AB50" i="3"/>
  <c r="K291" i="7"/>
  <c r="AD291" i="7" s="1"/>
  <c r="U456" i="3"/>
  <c r="AB456" i="3" s="1"/>
  <c r="K188" i="7"/>
  <c r="AD188" i="7" s="1"/>
  <c r="AB253" i="3"/>
  <c r="D81" i="7"/>
  <c r="D224" i="7"/>
  <c r="D327" i="7"/>
  <c r="D79" i="7"/>
  <c r="D222" i="7"/>
  <c r="D325" i="7"/>
  <c r="K46" i="7"/>
  <c r="AD46" i="7" s="1"/>
  <c r="Y41" i="3"/>
  <c r="Y40" i="3"/>
  <c r="R12" i="13" s="1"/>
  <c r="BQ12" i="13" s="1"/>
  <c r="AA50" i="3"/>
  <c r="J188" i="7"/>
  <c r="AC188" i="7" s="1"/>
  <c r="T52" i="3"/>
  <c r="J46" i="7"/>
  <c r="AC46" i="7" s="1"/>
  <c r="J291" i="7"/>
  <c r="AC291" i="7" s="1"/>
  <c r="I46" i="7"/>
  <c r="AB46" i="7" s="1"/>
  <c r="I291" i="7"/>
  <c r="AB291" i="7" s="1"/>
  <c r="Z253" i="3"/>
  <c r="I188" i="7"/>
  <c r="AB188" i="7" s="1"/>
  <c r="G44" i="7"/>
  <c r="Q44" i="7" s="1"/>
  <c r="R50" i="3"/>
  <c r="P44" i="7"/>
  <c r="AJ280" i="7"/>
  <c r="S280" i="7" s="1"/>
  <c r="Y280" i="7"/>
  <c r="N280" i="7" s="1"/>
  <c r="AJ177" i="7"/>
  <c r="S177" i="7" s="1"/>
  <c r="Y177" i="7"/>
  <c r="N177" i="7" s="1"/>
  <c r="E179" i="7"/>
  <c r="Y36" i="7"/>
  <c r="N36" i="7" s="1"/>
  <c r="AJ36" i="7"/>
  <c r="S36" i="7" s="1"/>
  <c r="W43" i="3"/>
  <c r="E38" i="7"/>
  <c r="M38" i="7" s="1"/>
  <c r="E282" i="7"/>
  <c r="Y35" i="7"/>
  <c r="N35" i="7" s="1"/>
  <c r="AJ35" i="7"/>
  <c r="S35" i="7" s="1"/>
  <c r="E281" i="7"/>
  <c r="W42" i="3"/>
  <c r="E37" i="7"/>
  <c r="M37" i="7" s="1"/>
  <c r="Y243" i="3"/>
  <c r="AD243" i="3" s="1"/>
  <c r="E178" i="7"/>
  <c r="AJ279" i="7"/>
  <c r="S279" i="7" s="1"/>
  <c r="Y279" i="7"/>
  <c r="N279" i="7" s="1"/>
  <c r="AD38" i="3"/>
  <c r="AD39" i="3"/>
  <c r="AJ176" i="7"/>
  <c r="S176" i="7" s="1"/>
  <c r="Y176" i="7"/>
  <c r="N176" i="7" s="1"/>
  <c r="R187" i="7"/>
  <c r="R290" i="7"/>
  <c r="R45" i="7"/>
  <c r="Z35" i="6"/>
  <c r="AR34" i="7" l="1"/>
  <c r="AM34" i="7"/>
  <c r="AQ44" i="7"/>
  <c r="AP44" i="7"/>
  <c r="AO43" i="7"/>
  <c r="AR33" i="7"/>
  <c r="AM33" i="7"/>
  <c r="EG14" i="13"/>
  <c r="EM14" i="13" s="1"/>
  <c r="ER14" i="13"/>
  <c r="EK13" i="13"/>
  <c r="EJ14" i="13"/>
  <c r="Q14" i="13"/>
  <c r="U14" i="13"/>
  <c r="DI14" i="13" s="1"/>
  <c r="Y14" i="13"/>
  <c r="AC14" i="13" s="1"/>
  <c r="DJ14" i="13" s="1"/>
  <c r="AH14" i="13"/>
  <c r="AL14" i="13" s="1"/>
  <c r="BS14" i="13" s="1"/>
  <c r="AE14" i="13"/>
  <c r="AI14" i="13" s="1"/>
  <c r="CQ14" i="13" s="1"/>
  <c r="CG14" i="13"/>
  <c r="AP14" i="13"/>
  <c r="AS14" i="13" s="1"/>
  <c r="DV14" i="13" s="1"/>
  <c r="DZ14" i="13" s="1"/>
  <c r="ED14" i="13" s="1"/>
  <c r="S14" i="13"/>
  <c r="CO14" i="13" s="1"/>
  <c r="V14" i="13"/>
  <c r="X14" i="13"/>
  <c r="AB14" i="13" s="1"/>
  <c r="CZ14" i="13" s="1"/>
  <c r="CJ14" i="13"/>
  <c r="AF14" i="13"/>
  <c r="AJ14" i="13" s="1"/>
  <c r="DA14" i="13" s="1"/>
  <c r="L15" i="13"/>
  <c r="AN15" i="13" s="1"/>
  <c r="AQ15" i="13" s="1"/>
  <c r="BU15" i="13" s="1"/>
  <c r="AM14" i="13"/>
  <c r="BT14" i="13" s="1"/>
  <c r="T14" i="13"/>
  <c r="CY14" i="13" s="1"/>
  <c r="W14" i="13"/>
  <c r="AA14" i="13" s="1"/>
  <c r="CP14" i="13" s="1"/>
  <c r="Z14" i="13"/>
  <c r="AD14" i="13" s="1"/>
  <c r="BR14" i="13" s="1"/>
  <c r="AG14" i="13"/>
  <c r="AK14" i="13" s="1"/>
  <c r="DK14" i="13" s="1"/>
  <c r="M15" i="13"/>
  <c r="K15" i="13"/>
  <c r="DZ13" i="12"/>
  <c r="AG188" i="7"/>
  <c r="V188" i="7"/>
  <c r="F187" i="7"/>
  <c r="P187" i="7" s="1"/>
  <c r="R252" i="3"/>
  <c r="F290" i="7"/>
  <c r="P290" i="7" s="1"/>
  <c r="R455" i="3"/>
  <c r="M458" i="3"/>
  <c r="S458" i="3" s="1"/>
  <c r="S52" i="3"/>
  <c r="AO14" i="12"/>
  <c r="AR14" i="12" s="1"/>
  <c r="AZ14" i="12" s="1"/>
  <c r="Z14" i="12"/>
  <c r="AG290" i="7"/>
  <c r="V290" i="7"/>
  <c r="B291" i="7"/>
  <c r="C254" i="3"/>
  <c r="B189" i="7" s="1"/>
  <c r="C46" i="10"/>
  <c r="G46" i="10" s="1"/>
  <c r="C457" i="3"/>
  <c r="Z457" i="3" s="1"/>
  <c r="O295" i="3"/>
  <c r="O498" i="3"/>
  <c r="E293" i="3"/>
  <c r="D228" i="7" s="1"/>
  <c r="E496" i="3"/>
  <c r="D331" i="7" s="1"/>
  <c r="E85" i="10"/>
  <c r="I85" i="10" s="1"/>
  <c r="D46" i="10"/>
  <c r="H46" i="10" s="1"/>
  <c r="D457" i="3"/>
  <c r="E258" i="3"/>
  <c r="D193" i="7" s="1"/>
  <c r="E461" i="3"/>
  <c r="D296" i="7" s="1"/>
  <c r="E50" i="10"/>
  <c r="I50" i="10" s="1"/>
  <c r="O260" i="3"/>
  <c r="U260" i="3" s="1"/>
  <c r="O463" i="3"/>
  <c r="N255" i="3"/>
  <c r="T255" i="3" s="1"/>
  <c r="N458" i="3"/>
  <c r="T458" i="3" s="1"/>
  <c r="J253" i="3"/>
  <c r="G188" i="7" s="1"/>
  <c r="Q188" i="7" s="1"/>
  <c r="J456" i="3"/>
  <c r="G291" i="7" s="1"/>
  <c r="Q291" i="7" s="1"/>
  <c r="H253" i="3"/>
  <c r="H456" i="3"/>
  <c r="F40" i="10"/>
  <c r="J40" i="10" s="1"/>
  <c r="F451" i="3"/>
  <c r="G451" i="3" s="1"/>
  <c r="W447" i="3"/>
  <c r="Y448" i="3"/>
  <c r="AD448" i="3" s="1"/>
  <c r="W446" i="3"/>
  <c r="Y447" i="3"/>
  <c r="AD447" i="3" s="1"/>
  <c r="F450" i="3"/>
  <c r="G450" i="3" s="1"/>
  <c r="F39" i="10"/>
  <c r="J39" i="10" s="1"/>
  <c r="J549" i="6"/>
  <c r="N549" i="6" s="1"/>
  <c r="J561" i="6"/>
  <c r="N561" i="6" s="1"/>
  <c r="J559" i="6"/>
  <c r="N559" i="6" s="1"/>
  <c r="J541" i="6"/>
  <c r="N541" i="6" s="1"/>
  <c r="J540" i="6"/>
  <c r="N540" i="6" s="1"/>
  <c r="J539" i="6"/>
  <c r="N539" i="6" s="1"/>
  <c r="J560" i="6"/>
  <c r="N560" i="6" s="1"/>
  <c r="J563" i="6"/>
  <c r="N563" i="6" s="1"/>
  <c r="D597" i="6"/>
  <c r="E597" i="6"/>
  <c r="F597" i="6"/>
  <c r="G597" i="6"/>
  <c r="H597" i="6"/>
  <c r="I597" i="6"/>
  <c r="C627" i="6"/>
  <c r="D596" i="6"/>
  <c r="E596" i="6"/>
  <c r="F596" i="6"/>
  <c r="G596" i="6"/>
  <c r="H596" i="6"/>
  <c r="I596" i="6"/>
  <c r="C626" i="6"/>
  <c r="D595" i="6"/>
  <c r="E595" i="6"/>
  <c r="F595" i="6"/>
  <c r="G595" i="6"/>
  <c r="H595" i="6"/>
  <c r="I595" i="6"/>
  <c r="C625" i="6"/>
  <c r="D594" i="6"/>
  <c r="E594" i="6"/>
  <c r="F594" i="6"/>
  <c r="G594" i="6"/>
  <c r="H594" i="6"/>
  <c r="I594" i="6"/>
  <c r="C624" i="6"/>
  <c r="D593" i="6"/>
  <c r="E593" i="6"/>
  <c r="F593" i="6"/>
  <c r="G593" i="6"/>
  <c r="H593" i="6"/>
  <c r="I593" i="6"/>
  <c r="C623" i="6"/>
  <c r="D592" i="6"/>
  <c r="E592" i="6"/>
  <c r="F592" i="6"/>
  <c r="G592" i="6"/>
  <c r="H592" i="6"/>
  <c r="I592" i="6"/>
  <c r="C622" i="6"/>
  <c r="D591" i="6"/>
  <c r="E591" i="6"/>
  <c r="F591" i="6"/>
  <c r="G591" i="6"/>
  <c r="H591" i="6"/>
  <c r="I591" i="6"/>
  <c r="C621" i="6"/>
  <c r="D590" i="6"/>
  <c r="E590" i="6"/>
  <c r="F590" i="6"/>
  <c r="G590" i="6"/>
  <c r="H590" i="6"/>
  <c r="I590" i="6"/>
  <c r="C620" i="6"/>
  <c r="D589" i="6"/>
  <c r="E589" i="6"/>
  <c r="F589" i="6"/>
  <c r="G589" i="6"/>
  <c r="H589" i="6"/>
  <c r="I589" i="6"/>
  <c r="C619" i="6"/>
  <c r="D588" i="6"/>
  <c r="E588" i="6"/>
  <c r="F588" i="6"/>
  <c r="G588" i="6"/>
  <c r="H588" i="6"/>
  <c r="I588" i="6"/>
  <c r="C618" i="6"/>
  <c r="D587" i="6"/>
  <c r="E587" i="6"/>
  <c r="F587" i="6"/>
  <c r="G587" i="6"/>
  <c r="H587" i="6"/>
  <c r="I587" i="6"/>
  <c r="C617" i="6"/>
  <c r="D586" i="6"/>
  <c r="E586" i="6"/>
  <c r="F586" i="6"/>
  <c r="G586" i="6"/>
  <c r="H586" i="6"/>
  <c r="I586" i="6"/>
  <c r="C616" i="6"/>
  <c r="D585" i="6"/>
  <c r="E585" i="6"/>
  <c r="F585" i="6"/>
  <c r="G585" i="6"/>
  <c r="H585" i="6"/>
  <c r="I585" i="6"/>
  <c r="C615" i="6"/>
  <c r="D584" i="6"/>
  <c r="E584" i="6"/>
  <c r="F584" i="6"/>
  <c r="G584" i="6"/>
  <c r="H584" i="6"/>
  <c r="I584" i="6"/>
  <c r="C614" i="6"/>
  <c r="D583" i="6"/>
  <c r="E583" i="6"/>
  <c r="F583" i="6"/>
  <c r="G583" i="6"/>
  <c r="H583" i="6"/>
  <c r="I583" i="6"/>
  <c r="C613" i="6"/>
  <c r="D582" i="6"/>
  <c r="E582" i="6"/>
  <c r="F582" i="6"/>
  <c r="G582" i="6"/>
  <c r="H582" i="6"/>
  <c r="I582" i="6"/>
  <c r="C612" i="6"/>
  <c r="D581" i="6"/>
  <c r="E581" i="6"/>
  <c r="F581" i="6"/>
  <c r="G581" i="6"/>
  <c r="H581" i="6"/>
  <c r="I581" i="6"/>
  <c r="C611" i="6"/>
  <c r="D580" i="6"/>
  <c r="E580" i="6"/>
  <c r="F580" i="6"/>
  <c r="G580" i="6"/>
  <c r="H580" i="6"/>
  <c r="I580" i="6"/>
  <c r="C610" i="6"/>
  <c r="D579" i="6"/>
  <c r="E579" i="6"/>
  <c r="F579" i="6"/>
  <c r="G579" i="6"/>
  <c r="H579" i="6"/>
  <c r="I579" i="6"/>
  <c r="C609" i="6"/>
  <c r="D578" i="6"/>
  <c r="E578" i="6"/>
  <c r="F578" i="6"/>
  <c r="G578" i="6"/>
  <c r="H578" i="6"/>
  <c r="I578" i="6"/>
  <c r="C608" i="6"/>
  <c r="D577" i="6"/>
  <c r="E577" i="6"/>
  <c r="F577" i="6"/>
  <c r="G577" i="6"/>
  <c r="H577" i="6"/>
  <c r="I577" i="6"/>
  <c r="C607" i="6"/>
  <c r="D576" i="6"/>
  <c r="E576" i="6"/>
  <c r="F576" i="6"/>
  <c r="G576" i="6"/>
  <c r="H576" i="6"/>
  <c r="I576" i="6"/>
  <c r="C606" i="6"/>
  <c r="D575" i="6"/>
  <c r="E575" i="6"/>
  <c r="F575" i="6"/>
  <c r="G575" i="6"/>
  <c r="H575" i="6"/>
  <c r="I575" i="6"/>
  <c r="C605" i="6"/>
  <c r="D574" i="6"/>
  <c r="E574" i="6"/>
  <c r="F574" i="6"/>
  <c r="G574" i="6"/>
  <c r="H574" i="6"/>
  <c r="I574" i="6"/>
  <c r="C604" i="6"/>
  <c r="D573" i="6"/>
  <c r="E573" i="6"/>
  <c r="F573" i="6"/>
  <c r="G573" i="6"/>
  <c r="H573" i="6"/>
  <c r="I573" i="6"/>
  <c r="C603" i="6"/>
  <c r="D572" i="6"/>
  <c r="E572" i="6"/>
  <c r="F572" i="6"/>
  <c r="G572" i="6"/>
  <c r="H572" i="6"/>
  <c r="I572" i="6"/>
  <c r="C602" i="6"/>
  <c r="D571" i="6"/>
  <c r="E571" i="6"/>
  <c r="F571" i="6"/>
  <c r="G571" i="6"/>
  <c r="H571" i="6"/>
  <c r="I571" i="6"/>
  <c r="C601" i="6"/>
  <c r="D570" i="6"/>
  <c r="E570" i="6"/>
  <c r="F570" i="6"/>
  <c r="G570" i="6"/>
  <c r="H570" i="6"/>
  <c r="I570" i="6"/>
  <c r="C600" i="6"/>
  <c r="D569" i="6"/>
  <c r="E569" i="6"/>
  <c r="F569" i="6"/>
  <c r="G569" i="6"/>
  <c r="H569" i="6"/>
  <c r="I569" i="6"/>
  <c r="C599" i="6"/>
  <c r="D568" i="6"/>
  <c r="E568" i="6"/>
  <c r="F568" i="6"/>
  <c r="G568" i="6"/>
  <c r="H568" i="6"/>
  <c r="I568" i="6"/>
  <c r="C598" i="6"/>
  <c r="J558" i="6"/>
  <c r="N558" i="6" s="1"/>
  <c r="J557" i="6"/>
  <c r="N557" i="6" s="1"/>
  <c r="J556" i="6"/>
  <c r="N556" i="6" s="1"/>
  <c r="J555" i="6"/>
  <c r="N555" i="6" s="1"/>
  <c r="J554" i="6"/>
  <c r="N554" i="6" s="1"/>
  <c r="J553" i="6"/>
  <c r="N553" i="6" s="1"/>
  <c r="J552" i="6"/>
  <c r="N552" i="6" s="1"/>
  <c r="J551" i="6"/>
  <c r="N551" i="6" s="1"/>
  <c r="J550" i="6"/>
  <c r="N550" i="6" s="1"/>
  <c r="J548" i="6"/>
  <c r="N548" i="6" s="1"/>
  <c r="J547" i="6"/>
  <c r="N547" i="6" s="1"/>
  <c r="J544" i="6"/>
  <c r="N544" i="6" s="1"/>
  <c r="J542" i="6"/>
  <c r="N542" i="6" s="1"/>
  <c r="J546" i="6"/>
  <c r="N546" i="6" s="1"/>
  <c r="J545" i="6"/>
  <c r="N545" i="6" s="1"/>
  <c r="K546" i="6"/>
  <c r="J543" i="6"/>
  <c r="N543" i="6" s="1"/>
  <c r="J567" i="6"/>
  <c r="N567" i="6" s="1"/>
  <c r="J566" i="6"/>
  <c r="N566" i="6" s="1"/>
  <c r="J565" i="6"/>
  <c r="N565" i="6" s="1"/>
  <c r="J564" i="6"/>
  <c r="N564" i="6" s="1"/>
  <c r="J562" i="6"/>
  <c r="N562" i="6" s="1"/>
  <c r="AA252" i="3"/>
  <c r="D254" i="3"/>
  <c r="C52" i="3"/>
  <c r="M255" i="3"/>
  <c r="S255" i="3" s="1"/>
  <c r="W244" i="3"/>
  <c r="G45" i="3"/>
  <c r="F248" i="3"/>
  <c r="G248" i="3" s="1"/>
  <c r="G44" i="3"/>
  <c r="F247" i="3"/>
  <c r="G247" i="3" s="1"/>
  <c r="W243" i="3"/>
  <c r="Y244" i="3"/>
  <c r="AD244" i="3" s="1"/>
  <c r="U94" i="3"/>
  <c r="E92" i="3"/>
  <c r="AA51" i="3"/>
  <c r="Y42" i="3"/>
  <c r="W45" i="7"/>
  <c r="AH45" i="7"/>
  <c r="W187" i="7"/>
  <c r="AH187" i="7"/>
  <c r="AH290" i="7"/>
  <c r="W290" i="7"/>
  <c r="V46" i="7"/>
  <c r="AG46" i="7"/>
  <c r="C46" i="7"/>
  <c r="C291" i="7"/>
  <c r="C188" i="7"/>
  <c r="D52" i="3"/>
  <c r="X48" i="7"/>
  <c r="AI48" i="7"/>
  <c r="AI294" i="7"/>
  <c r="X294" i="7"/>
  <c r="X191" i="7"/>
  <c r="AI191" i="7"/>
  <c r="D50" i="7"/>
  <c r="E57" i="3"/>
  <c r="U59" i="3"/>
  <c r="AD41" i="3"/>
  <c r="AD40" i="3"/>
  <c r="AI81" i="7"/>
  <c r="X81" i="7"/>
  <c r="AI224" i="7"/>
  <c r="X224" i="7"/>
  <c r="X327" i="7"/>
  <c r="AI327" i="7"/>
  <c r="AI79" i="7"/>
  <c r="X79" i="7"/>
  <c r="AI222" i="7"/>
  <c r="X222" i="7"/>
  <c r="X325" i="7"/>
  <c r="AI325" i="7"/>
  <c r="K189" i="7"/>
  <c r="AD189" i="7" s="1"/>
  <c r="U457" i="3"/>
  <c r="K292" i="7"/>
  <c r="AD292" i="7" s="1"/>
  <c r="D85" i="7"/>
  <c r="D83" i="7"/>
  <c r="D329" i="7"/>
  <c r="D226" i="7"/>
  <c r="R188" i="7"/>
  <c r="AB51" i="3"/>
  <c r="K47" i="7"/>
  <c r="AD47" i="7" s="1"/>
  <c r="T53" i="3"/>
  <c r="J47" i="7"/>
  <c r="AC47" i="7" s="1"/>
  <c r="J189" i="7"/>
  <c r="AC189" i="7" s="1"/>
  <c r="J292" i="7"/>
  <c r="AC292" i="7" s="1"/>
  <c r="Z51" i="3"/>
  <c r="I47" i="7"/>
  <c r="AB47" i="7" s="1"/>
  <c r="I189" i="7"/>
  <c r="AB189" i="7" s="1"/>
  <c r="I292" i="7"/>
  <c r="AB292" i="7" s="1"/>
  <c r="G45" i="7"/>
  <c r="Q45" i="7" s="1"/>
  <c r="P45" i="7"/>
  <c r="R51" i="3"/>
  <c r="Y179" i="7"/>
  <c r="N179" i="7" s="1"/>
  <c r="AJ179" i="7"/>
  <c r="S179" i="7" s="1"/>
  <c r="W45" i="3"/>
  <c r="E40" i="7"/>
  <c r="M40" i="7" s="1"/>
  <c r="E181" i="7"/>
  <c r="E284" i="7"/>
  <c r="Y38" i="7"/>
  <c r="N38" i="7" s="1"/>
  <c r="AJ38" i="7"/>
  <c r="S38" i="7" s="1"/>
  <c r="Y282" i="7"/>
  <c r="N282" i="7" s="1"/>
  <c r="AJ282" i="7"/>
  <c r="S282" i="7" s="1"/>
  <c r="Y281" i="7"/>
  <c r="N281" i="7" s="1"/>
  <c r="AJ281" i="7"/>
  <c r="S281" i="7" s="1"/>
  <c r="Y245" i="3"/>
  <c r="AD245" i="3" s="1"/>
  <c r="E180" i="7"/>
  <c r="E283" i="7"/>
  <c r="Y37" i="7"/>
  <c r="N37" i="7" s="1"/>
  <c r="AJ37" i="7"/>
  <c r="S37" i="7" s="1"/>
  <c r="E39" i="7"/>
  <c r="M39" i="7" s="1"/>
  <c r="W44" i="3"/>
  <c r="Y178" i="7"/>
  <c r="N178" i="7" s="1"/>
  <c r="AJ178" i="7"/>
  <c r="S178" i="7" s="1"/>
  <c r="AR35" i="7" s="1"/>
  <c r="R46" i="7"/>
  <c r="R291" i="7"/>
  <c r="Y43" i="3"/>
  <c r="Z36" i="6"/>
  <c r="AM35" i="7" l="1"/>
  <c r="AM36" i="7"/>
  <c r="AR36" i="7"/>
  <c r="AG189" i="7"/>
  <c r="V189" i="7"/>
  <c r="AQ45" i="7"/>
  <c r="AP45" i="7"/>
  <c r="R253" i="3"/>
  <c r="F188" i="7"/>
  <c r="P188" i="7" s="1"/>
  <c r="AO44" i="7"/>
  <c r="J568" i="6"/>
  <c r="N568" i="6" s="1"/>
  <c r="AO15" i="13"/>
  <c r="AR15" i="13" s="1"/>
  <c r="AZ15" i="13" s="1"/>
  <c r="AY14" i="13"/>
  <c r="N15" i="13"/>
  <c r="EF15" i="13"/>
  <c r="EL15" i="13" s="1"/>
  <c r="FE15" i="13" s="1"/>
  <c r="ED13" i="12"/>
  <c r="F291" i="7"/>
  <c r="P291" i="7" s="1"/>
  <c r="AO45" i="7" s="1"/>
  <c r="R456" i="3"/>
  <c r="M459" i="3"/>
  <c r="S459" i="3" s="1"/>
  <c r="S53" i="3"/>
  <c r="R14" i="12"/>
  <c r="BQ14" i="12" s="1"/>
  <c r="V14" i="12"/>
  <c r="Q14" i="12"/>
  <c r="AY14" i="12" s="1"/>
  <c r="AH14" i="12"/>
  <c r="AL14" i="12" s="1"/>
  <c r="BS14" i="12" s="1"/>
  <c r="T14" i="12"/>
  <c r="CY14" i="12" s="1"/>
  <c r="K15" i="12"/>
  <c r="CG14" i="12"/>
  <c r="AG14" i="12"/>
  <c r="AK14" i="12" s="1"/>
  <c r="DK14" i="12" s="1"/>
  <c r="AF14" i="12"/>
  <c r="AJ14" i="12" s="1"/>
  <c r="DA14" i="12" s="1"/>
  <c r="AE14" i="12"/>
  <c r="AI14" i="12" s="1"/>
  <c r="CQ14" i="12" s="1"/>
  <c r="CJ14" i="12"/>
  <c r="W14" i="12"/>
  <c r="AA14" i="12" s="1"/>
  <c r="CP14" i="12" s="1"/>
  <c r="X14" i="12"/>
  <c r="AB14" i="12" s="1"/>
  <c r="CZ14" i="12" s="1"/>
  <c r="Y14" i="12"/>
  <c r="AC14" i="12" s="1"/>
  <c r="DJ14" i="12" s="1"/>
  <c r="U14" i="12"/>
  <c r="DI14" i="12" s="1"/>
  <c r="AP14" i="12"/>
  <c r="AS14" i="12" s="1"/>
  <c r="DV14" i="12" s="1"/>
  <c r="L15" i="12"/>
  <c r="AM14" i="12"/>
  <c r="BT14" i="12" s="1"/>
  <c r="M15" i="12"/>
  <c r="S14" i="12"/>
  <c r="CO14" i="12" s="1"/>
  <c r="AD14" i="12"/>
  <c r="BR14" i="12" s="1"/>
  <c r="AG291" i="7"/>
  <c r="V291" i="7"/>
  <c r="B292" i="7"/>
  <c r="C255" i="3"/>
  <c r="B190" i="7" s="1"/>
  <c r="C458" i="3"/>
  <c r="Z458" i="3" s="1"/>
  <c r="C47" i="10"/>
  <c r="G47" i="10" s="1"/>
  <c r="O297" i="3"/>
  <c r="O500" i="3"/>
  <c r="E295" i="3"/>
  <c r="D230" i="7" s="1"/>
  <c r="E87" i="10"/>
  <c r="I87" i="10" s="1"/>
  <c r="E498" i="3"/>
  <c r="D333" i="7" s="1"/>
  <c r="AA456" i="3"/>
  <c r="AA457" i="3"/>
  <c r="D47" i="10"/>
  <c r="H47" i="10" s="1"/>
  <c r="D458" i="3"/>
  <c r="E260" i="3"/>
  <c r="D195" i="7" s="1"/>
  <c r="E52" i="10"/>
  <c r="I52" i="10" s="1"/>
  <c r="E463" i="3"/>
  <c r="D298" i="7" s="1"/>
  <c r="O262" i="3"/>
  <c r="O465" i="3"/>
  <c r="AB457" i="3"/>
  <c r="N256" i="3"/>
  <c r="T256" i="3" s="1"/>
  <c r="N459" i="3"/>
  <c r="T459" i="3" s="1"/>
  <c r="J254" i="3"/>
  <c r="G189" i="7" s="1"/>
  <c r="Q189" i="7" s="1"/>
  <c r="J457" i="3"/>
  <c r="G292" i="7" s="1"/>
  <c r="Q292" i="7" s="1"/>
  <c r="H254" i="3"/>
  <c r="H457" i="3"/>
  <c r="F42" i="10"/>
  <c r="J42" i="10" s="1"/>
  <c r="F453" i="3"/>
  <c r="G453" i="3" s="1"/>
  <c r="W449" i="3"/>
  <c r="Y450" i="3"/>
  <c r="AD450" i="3" s="1"/>
  <c r="W448" i="3"/>
  <c r="Y449" i="3"/>
  <c r="AD449" i="3" s="1"/>
  <c r="F41" i="10"/>
  <c r="J41" i="10" s="1"/>
  <c r="F452" i="3"/>
  <c r="G452" i="3" s="1"/>
  <c r="J569" i="6"/>
  <c r="N569" i="6" s="1"/>
  <c r="J577" i="6"/>
  <c r="N577" i="6" s="1"/>
  <c r="J571" i="6"/>
  <c r="N571" i="6" s="1"/>
  <c r="J570" i="6"/>
  <c r="N570" i="6" s="1"/>
  <c r="D627" i="6"/>
  <c r="E627" i="6"/>
  <c r="F627" i="6"/>
  <c r="G627" i="6"/>
  <c r="H627" i="6"/>
  <c r="I627" i="6"/>
  <c r="C657" i="6"/>
  <c r="D626" i="6"/>
  <c r="E626" i="6"/>
  <c r="F626" i="6"/>
  <c r="G626" i="6"/>
  <c r="H626" i="6"/>
  <c r="I626" i="6"/>
  <c r="C656" i="6"/>
  <c r="D625" i="6"/>
  <c r="E625" i="6"/>
  <c r="F625" i="6"/>
  <c r="G625" i="6"/>
  <c r="H625" i="6"/>
  <c r="I625" i="6"/>
  <c r="C655" i="6"/>
  <c r="D624" i="6"/>
  <c r="E624" i="6"/>
  <c r="F624" i="6"/>
  <c r="G624" i="6"/>
  <c r="H624" i="6"/>
  <c r="I624" i="6"/>
  <c r="C654" i="6"/>
  <c r="D623" i="6"/>
  <c r="E623" i="6"/>
  <c r="F623" i="6"/>
  <c r="G623" i="6"/>
  <c r="H623" i="6"/>
  <c r="I623" i="6"/>
  <c r="C653" i="6"/>
  <c r="D622" i="6"/>
  <c r="E622" i="6"/>
  <c r="F622" i="6"/>
  <c r="G622" i="6"/>
  <c r="H622" i="6"/>
  <c r="I622" i="6"/>
  <c r="C652" i="6"/>
  <c r="D621" i="6"/>
  <c r="E621" i="6"/>
  <c r="F621" i="6"/>
  <c r="G621" i="6"/>
  <c r="H621" i="6"/>
  <c r="I621" i="6"/>
  <c r="C651" i="6"/>
  <c r="D620" i="6"/>
  <c r="E620" i="6"/>
  <c r="F620" i="6"/>
  <c r="G620" i="6"/>
  <c r="H620" i="6"/>
  <c r="I620" i="6"/>
  <c r="C650" i="6"/>
  <c r="D619" i="6"/>
  <c r="E619" i="6"/>
  <c r="F619" i="6"/>
  <c r="G619" i="6"/>
  <c r="H619" i="6"/>
  <c r="I619" i="6"/>
  <c r="C649" i="6"/>
  <c r="D618" i="6"/>
  <c r="E618" i="6"/>
  <c r="F618" i="6"/>
  <c r="G618" i="6"/>
  <c r="H618" i="6"/>
  <c r="I618" i="6"/>
  <c r="C648" i="6"/>
  <c r="D617" i="6"/>
  <c r="E617" i="6"/>
  <c r="F617" i="6"/>
  <c r="G617" i="6"/>
  <c r="H617" i="6"/>
  <c r="I617" i="6"/>
  <c r="C647" i="6"/>
  <c r="D616" i="6"/>
  <c r="E616" i="6"/>
  <c r="F616" i="6"/>
  <c r="G616" i="6"/>
  <c r="H616" i="6"/>
  <c r="I616" i="6"/>
  <c r="C646" i="6"/>
  <c r="D615" i="6"/>
  <c r="E615" i="6"/>
  <c r="F615" i="6"/>
  <c r="G615" i="6"/>
  <c r="H615" i="6"/>
  <c r="I615" i="6"/>
  <c r="C645" i="6"/>
  <c r="D614" i="6"/>
  <c r="E614" i="6"/>
  <c r="F614" i="6"/>
  <c r="G614" i="6"/>
  <c r="H614" i="6"/>
  <c r="I614" i="6"/>
  <c r="C644" i="6"/>
  <c r="D613" i="6"/>
  <c r="E613" i="6"/>
  <c r="F613" i="6"/>
  <c r="G613" i="6"/>
  <c r="H613" i="6"/>
  <c r="I613" i="6"/>
  <c r="C643" i="6"/>
  <c r="D612" i="6"/>
  <c r="E612" i="6"/>
  <c r="F612" i="6"/>
  <c r="G612" i="6"/>
  <c r="H612" i="6"/>
  <c r="I612" i="6"/>
  <c r="C642" i="6"/>
  <c r="D611" i="6"/>
  <c r="E611" i="6"/>
  <c r="F611" i="6"/>
  <c r="G611" i="6"/>
  <c r="H611" i="6"/>
  <c r="I611" i="6"/>
  <c r="C641" i="6"/>
  <c r="D610" i="6"/>
  <c r="E610" i="6"/>
  <c r="F610" i="6"/>
  <c r="G610" i="6"/>
  <c r="H610" i="6"/>
  <c r="I610" i="6"/>
  <c r="C640" i="6"/>
  <c r="D609" i="6"/>
  <c r="E609" i="6"/>
  <c r="F609" i="6"/>
  <c r="G609" i="6"/>
  <c r="H609" i="6"/>
  <c r="I609" i="6"/>
  <c r="C639" i="6"/>
  <c r="D608" i="6"/>
  <c r="E608" i="6"/>
  <c r="F608" i="6"/>
  <c r="G608" i="6"/>
  <c r="H608" i="6"/>
  <c r="I608" i="6"/>
  <c r="C638" i="6"/>
  <c r="D607" i="6"/>
  <c r="E607" i="6"/>
  <c r="F607" i="6"/>
  <c r="G607" i="6"/>
  <c r="H607" i="6"/>
  <c r="I607" i="6"/>
  <c r="C637" i="6"/>
  <c r="D606" i="6"/>
  <c r="E606" i="6"/>
  <c r="F606" i="6"/>
  <c r="G606" i="6"/>
  <c r="H606" i="6"/>
  <c r="I606" i="6"/>
  <c r="C636" i="6"/>
  <c r="D605" i="6"/>
  <c r="E605" i="6"/>
  <c r="F605" i="6"/>
  <c r="G605" i="6"/>
  <c r="H605" i="6"/>
  <c r="I605" i="6"/>
  <c r="C635" i="6"/>
  <c r="D604" i="6"/>
  <c r="E604" i="6"/>
  <c r="F604" i="6"/>
  <c r="G604" i="6"/>
  <c r="H604" i="6"/>
  <c r="I604" i="6"/>
  <c r="C634" i="6"/>
  <c r="D603" i="6"/>
  <c r="E603" i="6"/>
  <c r="F603" i="6"/>
  <c r="G603" i="6"/>
  <c r="H603" i="6"/>
  <c r="I603" i="6"/>
  <c r="C633" i="6"/>
  <c r="D602" i="6"/>
  <c r="E602" i="6"/>
  <c r="F602" i="6"/>
  <c r="G602" i="6"/>
  <c r="H602" i="6"/>
  <c r="I602" i="6"/>
  <c r="C632" i="6"/>
  <c r="D601" i="6"/>
  <c r="E601" i="6"/>
  <c r="F601" i="6"/>
  <c r="G601" i="6"/>
  <c r="H601" i="6"/>
  <c r="I601" i="6"/>
  <c r="C631" i="6"/>
  <c r="D600" i="6"/>
  <c r="E600" i="6"/>
  <c r="F600" i="6"/>
  <c r="G600" i="6"/>
  <c r="H600" i="6"/>
  <c r="I600" i="6"/>
  <c r="C630" i="6"/>
  <c r="D599" i="6"/>
  <c r="E599" i="6"/>
  <c r="F599" i="6"/>
  <c r="G599" i="6"/>
  <c r="H599" i="6"/>
  <c r="I599" i="6"/>
  <c r="C629" i="6"/>
  <c r="D598" i="6"/>
  <c r="E598" i="6"/>
  <c r="F598" i="6"/>
  <c r="G598" i="6"/>
  <c r="H598" i="6"/>
  <c r="I598" i="6"/>
  <c r="C628" i="6"/>
  <c r="J592" i="6"/>
  <c r="N592" i="6" s="1"/>
  <c r="J591" i="6"/>
  <c r="N591" i="6" s="1"/>
  <c r="J580" i="6"/>
  <c r="N580" i="6" s="1"/>
  <c r="J588" i="6"/>
  <c r="N588" i="6" s="1"/>
  <c r="J587" i="6"/>
  <c r="N587" i="6" s="1"/>
  <c r="J582" i="6"/>
  <c r="N582" i="6" s="1"/>
  <c r="J579" i="6"/>
  <c r="N579" i="6" s="1"/>
  <c r="J586" i="6"/>
  <c r="N586" i="6" s="1"/>
  <c r="J585" i="6"/>
  <c r="N585" i="6" s="1"/>
  <c r="J584" i="6"/>
  <c r="N584" i="6" s="1"/>
  <c r="J583" i="6"/>
  <c r="N583" i="6" s="1"/>
  <c r="J581" i="6"/>
  <c r="N581" i="6" s="1"/>
  <c r="J576" i="6"/>
  <c r="N576" i="6" s="1"/>
  <c r="J575" i="6"/>
  <c r="N575" i="6" s="1"/>
  <c r="J572" i="6"/>
  <c r="N572" i="6" s="1"/>
  <c r="J574" i="6"/>
  <c r="N574" i="6" s="1"/>
  <c r="J573" i="6"/>
  <c r="N573" i="6" s="1"/>
  <c r="J596" i="6"/>
  <c r="N596" i="6" s="1"/>
  <c r="J590" i="6"/>
  <c r="N590" i="6" s="1"/>
  <c r="J597" i="6"/>
  <c r="N597" i="6" s="1"/>
  <c r="J594" i="6"/>
  <c r="N594" i="6" s="1"/>
  <c r="J589" i="6"/>
  <c r="N589" i="6" s="1"/>
  <c r="J578" i="6"/>
  <c r="N578" i="6" s="1"/>
  <c r="J595" i="6"/>
  <c r="N595" i="6" s="1"/>
  <c r="J593" i="6"/>
  <c r="N593" i="6" s="1"/>
  <c r="AA253" i="3"/>
  <c r="AA52" i="3"/>
  <c r="D255" i="3"/>
  <c r="AB254" i="3"/>
  <c r="C53" i="3"/>
  <c r="M256" i="3"/>
  <c r="S256" i="3" s="1"/>
  <c r="Z254" i="3"/>
  <c r="G47" i="3"/>
  <c r="F250" i="3"/>
  <c r="G250" i="3" s="1"/>
  <c r="W246" i="3"/>
  <c r="W245" i="3"/>
  <c r="Y246" i="3"/>
  <c r="AD246" i="3" s="1"/>
  <c r="G46" i="3"/>
  <c r="F249" i="3"/>
  <c r="G249" i="3" s="1"/>
  <c r="U96" i="3"/>
  <c r="E94" i="3"/>
  <c r="C292" i="7"/>
  <c r="AD42" i="3"/>
  <c r="Z52" i="3"/>
  <c r="C189" i="7"/>
  <c r="AH46" i="7"/>
  <c r="W46" i="7"/>
  <c r="AH291" i="7"/>
  <c r="W291" i="7"/>
  <c r="AH188" i="7"/>
  <c r="W188" i="7"/>
  <c r="V47" i="7"/>
  <c r="AG47" i="7"/>
  <c r="C47" i="7"/>
  <c r="D53" i="3"/>
  <c r="AI296" i="7"/>
  <c r="X296" i="7"/>
  <c r="AI193" i="7"/>
  <c r="X193" i="7"/>
  <c r="X50" i="7"/>
  <c r="AI50" i="7"/>
  <c r="D52" i="7"/>
  <c r="E59" i="3"/>
  <c r="U61" i="3"/>
  <c r="AI228" i="7"/>
  <c r="X228" i="7"/>
  <c r="AI85" i="7"/>
  <c r="X85" i="7"/>
  <c r="AI331" i="7"/>
  <c r="X331" i="7"/>
  <c r="AI83" i="7"/>
  <c r="X83" i="7"/>
  <c r="AI329" i="7"/>
  <c r="X329" i="7"/>
  <c r="AI226" i="7"/>
  <c r="X226" i="7"/>
  <c r="K293" i="7"/>
  <c r="AD293" i="7" s="1"/>
  <c r="U458" i="3"/>
  <c r="K190" i="7"/>
  <c r="AD190" i="7" s="1"/>
  <c r="D89" i="7"/>
  <c r="D87" i="7"/>
  <c r="R47" i="7"/>
  <c r="R189" i="7"/>
  <c r="R292" i="7"/>
  <c r="AB52" i="3"/>
  <c r="K48" i="7"/>
  <c r="AD48" i="7" s="1"/>
  <c r="J190" i="7"/>
  <c r="AC190" i="7" s="1"/>
  <c r="J48" i="7"/>
  <c r="AC48" i="7" s="1"/>
  <c r="T54" i="3"/>
  <c r="J293" i="7"/>
  <c r="AC293" i="7" s="1"/>
  <c r="I48" i="7"/>
  <c r="AB48" i="7" s="1"/>
  <c r="I293" i="7"/>
  <c r="AB293" i="7" s="1"/>
  <c r="I190" i="7"/>
  <c r="AB190" i="7" s="1"/>
  <c r="G46" i="7"/>
  <c r="Q46" i="7" s="1"/>
  <c r="R52" i="3"/>
  <c r="P46" i="7"/>
  <c r="E286" i="7"/>
  <c r="E183" i="7"/>
  <c r="E42" i="7"/>
  <c r="M42" i="7" s="1"/>
  <c r="W47" i="3"/>
  <c r="Y40" i="7"/>
  <c r="N40" i="7" s="1"/>
  <c r="AJ40" i="7"/>
  <c r="S40" i="7" s="1"/>
  <c r="AJ181" i="7"/>
  <c r="S181" i="7" s="1"/>
  <c r="Y181" i="7"/>
  <c r="N181" i="7" s="1"/>
  <c r="Y284" i="7"/>
  <c r="N284" i="7" s="1"/>
  <c r="AJ284" i="7"/>
  <c r="S284" i="7" s="1"/>
  <c r="AJ180" i="7"/>
  <c r="S180" i="7" s="1"/>
  <c r="Y180" i="7"/>
  <c r="N180" i="7" s="1"/>
  <c r="AJ283" i="7"/>
  <c r="S283" i="7" s="1"/>
  <c r="Y283" i="7"/>
  <c r="N283" i="7" s="1"/>
  <c r="E41" i="7"/>
  <c r="M41" i="7" s="1"/>
  <c r="W46" i="3"/>
  <c r="E182" i="7"/>
  <c r="E285" i="7"/>
  <c r="Y39" i="7"/>
  <c r="N39" i="7" s="1"/>
  <c r="AJ39" i="7"/>
  <c r="S39" i="7" s="1"/>
  <c r="Y44" i="3"/>
  <c r="Y45" i="3"/>
  <c r="R13" i="13" s="1"/>
  <c r="BQ13" i="13" s="1"/>
  <c r="AD43" i="3"/>
  <c r="Z37" i="6"/>
  <c r="AR38" i="7" l="1"/>
  <c r="AM38" i="7"/>
  <c r="AM37" i="7"/>
  <c r="AQ46" i="7"/>
  <c r="AP46" i="7"/>
  <c r="R254" i="3"/>
  <c r="F189" i="7"/>
  <c r="P189" i="7" s="1"/>
  <c r="AR37" i="7"/>
  <c r="J598" i="6"/>
  <c r="N598" i="6" s="1"/>
  <c r="ER15" i="13"/>
  <c r="EG15" i="13"/>
  <c r="EM15" i="13" s="1"/>
  <c r="EK14" i="13"/>
  <c r="EJ15" i="13"/>
  <c r="M16" i="13"/>
  <c r="AP15" i="13"/>
  <c r="AS15" i="13" s="1"/>
  <c r="DV15" i="13" s="1"/>
  <c r="DZ15" i="13" s="1"/>
  <c r="ED15" i="13" s="1"/>
  <c r="AM15" i="13"/>
  <c r="BT15" i="13" s="1"/>
  <c r="T15" i="13"/>
  <c r="CY15" i="13" s="1"/>
  <c r="W15" i="13"/>
  <c r="AA15" i="13" s="1"/>
  <c r="CP15" i="13" s="1"/>
  <c r="K16" i="13"/>
  <c r="U15" i="13"/>
  <c r="DI15" i="13" s="1"/>
  <c r="CG15" i="13"/>
  <c r="L16" i="13"/>
  <c r="AN16" i="13" s="1"/>
  <c r="AQ16" i="13" s="1"/>
  <c r="BU16" i="13" s="1"/>
  <c r="Q15" i="13"/>
  <c r="S15" i="13"/>
  <c r="CO15" i="13" s="1"/>
  <c r="V15" i="13"/>
  <c r="X15" i="13"/>
  <c r="Y15" i="13"/>
  <c r="Z15" i="13"/>
  <c r="AD15" i="13" s="1"/>
  <c r="BR15" i="13" s="1"/>
  <c r="CJ15" i="13"/>
  <c r="AH15" i="13"/>
  <c r="AL15" i="13" s="1"/>
  <c r="BS15" i="13" s="1"/>
  <c r="AG15" i="13"/>
  <c r="AK15" i="13" s="1"/>
  <c r="DK15" i="13" s="1"/>
  <c r="AF15" i="13"/>
  <c r="AJ15" i="13" s="1"/>
  <c r="DA15" i="13" s="1"/>
  <c r="AE15" i="13"/>
  <c r="AI15" i="13" s="1"/>
  <c r="CQ15" i="13" s="1"/>
  <c r="DZ14" i="12"/>
  <c r="AG190" i="7"/>
  <c r="V190" i="7"/>
  <c r="F292" i="7"/>
  <c r="P292" i="7" s="1"/>
  <c r="R457" i="3"/>
  <c r="M460" i="3"/>
  <c r="S460" i="3" s="1"/>
  <c r="S54" i="3"/>
  <c r="N15" i="12"/>
  <c r="AN15" i="12"/>
  <c r="AQ15" i="12" s="1"/>
  <c r="BU15" i="12" s="1"/>
  <c r="AO15" i="12"/>
  <c r="AR15" i="12" s="1"/>
  <c r="AZ15" i="12" s="1"/>
  <c r="V292" i="7"/>
  <c r="AG292" i="7"/>
  <c r="B293" i="7"/>
  <c r="C256" i="3"/>
  <c r="B191" i="7" s="1"/>
  <c r="C48" i="10"/>
  <c r="G48" i="10" s="1"/>
  <c r="C459" i="3"/>
  <c r="Z459" i="3" s="1"/>
  <c r="O299" i="3"/>
  <c r="O502" i="3"/>
  <c r="E297" i="3"/>
  <c r="D232" i="7" s="1"/>
  <c r="E500" i="3"/>
  <c r="E89" i="10"/>
  <c r="I89" i="10" s="1"/>
  <c r="D459" i="3"/>
  <c r="D48" i="10"/>
  <c r="H48" i="10" s="1"/>
  <c r="E262" i="3"/>
  <c r="D197" i="7" s="1"/>
  <c r="E54" i="10"/>
  <c r="I54" i="10" s="1"/>
  <c r="E465" i="3"/>
  <c r="D300" i="7" s="1"/>
  <c r="O264" i="3"/>
  <c r="O467" i="3"/>
  <c r="AB458" i="3"/>
  <c r="N257" i="3"/>
  <c r="T257" i="3" s="1"/>
  <c r="N460" i="3"/>
  <c r="T460" i="3" s="1"/>
  <c r="J255" i="3"/>
  <c r="J458" i="3"/>
  <c r="G293" i="7" s="1"/>
  <c r="Q293" i="7" s="1"/>
  <c r="H255" i="3"/>
  <c r="H458" i="3"/>
  <c r="W451" i="3"/>
  <c r="Y452" i="3"/>
  <c r="AD452" i="3" s="1"/>
  <c r="F455" i="3"/>
  <c r="G455" i="3" s="1"/>
  <c r="F44" i="10"/>
  <c r="J44" i="10" s="1"/>
  <c r="F454" i="3"/>
  <c r="G454" i="3" s="1"/>
  <c r="F43" i="10"/>
  <c r="J43" i="10" s="1"/>
  <c r="W450" i="3"/>
  <c r="Y451" i="3"/>
  <c r="AD451" i="3" s="1"/>
  <c r="J621" i="6"/>
  <c r="N621" i="6" s="1"/>
  <c r="J599" i="6"/>
  <c r="N599" i="6" s="1"/>
  <c r="D657" i="6"/>
  <c r="E657" i="6"/>
  <c r="F657" i="6"/>
  <c r="G657" i="6"/>
  <c r="H657" i="6"/>
  <c r="I657" i="6"/>
  <c r="C687" i="6"/>
  <c r="D656" i="6"/>
  <c r="E656" i="6"/>
  <c r="F656" i="6"/>
  <c r="G656" i="6"/>
  <c r="H656" i="6"/>
  <c r="I656" i="6"/>
  <c r="C686" i="6"/>
  <c r="D655" i="6"/>
  <c r="E655" i="6"/>
  <c r="F655" i="6"/>
  <c r="G655" i="6"/>
  <c r="H655" i="6"/>
  <c r="I655" i="6"/>
  <c r="C685" i="6"/>
  <c r="D654" i="6"/>
  <c r="E654" i="6"/>
  <c r="F654" i="6"/>
  <c r="G654" i="6"/>
  <c r="H654" i="6"/>
  <c r="I654" i="6"/>
  <c r="C684" i="6"/>
  <c r="D653" i="6"/>
  <c r="E653" i="6"/>
  <c r="F653" i="6"/>
  <c r="G653" i="6"/>
  <c r="H653" i="6"/>
  <c r="I653" i="6"/>
  <c r="C683" i="6"/>
  <c r="H652" i="6"/>
  <c r="D652" i="6"/>
  <c r="E652" i="6"/>
  <c r="F652" i="6"/>
  <c r="G652" i="6"/>
  <c r="I652" i="6"/>
  <c r="C682" i="6"/>
  <c r="D651" i="6"/>
  <c r="E651" i="6"/>
  <c r="F651" i="6"/>
  <c r="G651" i="6"/>
  <c r="H651" i="6"/>
  <c r="I651" i="6"/>
  <c r="C681" i="6"/>
  <c r="D650" i="6"/>
  <c r="E650" i="6"/>
  <c r="F650" i="6"/>
  <c r="G650" i="6"/>
  <c r="H650" i="6"/>
  <c r="I650" i="6"/>
  <c r="C680" i="6"/>
  <c r="H649" i="6"/>
  <c r="D649" i="6"/>
  <c r="E649" i="6"/>
  <c r="F649" i="6"/>
  <c r="G649" i="6"/>
  <c r="I649" i="6"/>
  <c r="C679" i="6"/>
  <c r="H648" i="6"/>
  <c r="D648" i="6"/>
  <c r="E648" i="6"/>
  <c r="F648" i="6"/>
  <c r="G648" i="6"/>
  <c r="I648" i="6"/>
  <c r="C678" i="6"/>
  <c r="D647" i="6"/>
  <c r="E647" i="6"/>
  <c r="F647" i="6"/>
  <c r="G647" i="6"/>
  <c r="H647" i="6"/>
  <c r="I647" i="6"/>
  <c r="C677" i="6"/>
  <c r="D646" i="6"/>
  <c r="E646" i="6"/>
  <c r="F646" i="6"/>
  <c r="G646" i="6"/>
  <c r="H646" i="6"/>
  <c r="I646" i="6"/>
  <c r="C676" i="6"/>
  <c r="H645" i="6"/>
  <c r="D645" i="6"/>
  <c r="E645" i="6"/>
  <c r="F645" i="6"/>
  <c r="G645" i="6"/>
  <c r="I645" i="6"/>
  <c r="C675" i="6"/>
  <c r="H644" i="6"/>
  <c r="D644" i="6"/>
  <c r="E644" i="6"/>
  <c r="F644" i="6"/>
  <c r="G644" i="6"/>
  <c r="I644" i="6"/>
  <c r="C674" i="6"/>
  <c r="D643" i="6"/>
  <c r="E643" i="6"/>
  <c r="F643" i="6"/>
  <c r="G643" i="6"/>
  <c r="H643" i="6"/>
  <c r="I643" i="6"/>
  <c r="C673" i="6"/>
  <c r="D642" i="6"/>
  <c r="E642" i="6"/>
  <c r="F642" i="6"/>
  <c r="G642" i="6"/>
  <c r="H642" i="6"/>
  <c r="I642" i="6"/>
  <c r="C672" i="6"/>
  <c r="D641" i="6"/>
  <c r="G641" i="6"/>
  <c r="E641" i="6"/>
  <c r="F641" i="6"/>
  <c r="H641" i="6"/>
  <c r="I641" i="6"/>
  <c r="C671" i="6"/>
  <c r="D640" i="6"/>
  <c r="G640" i="6"/>
  <c r="E640" i="6"/>
  <c r="F640" i="6"/>
  <c r="H640" i="6"/>
  <c r="I640" i="6"/>
  <c r="C670" i="6"/>
  <c r="D639" i="6"/>
  <c r="G639" i="6"/>
  <c r="E639" i="6"/>
  <c r="F639" i="6"/>
  <c r="H639" i="6"/>
  <c r="I639" i="6"/>
  <c r="C669" i="6"/>
  <c r="D638" i="6"/>
  <c r="E638" i="6"/>
  <c r="F638" i="6"/>
  <c r="G638" i="6"/>
  <c r="H638" i="6"/>
  <c r="I638" i="6"/>
  <c r="C668" i="6"/>
  <c r="D637" i="6"/>
  <c r="G637" i="6"/>
  <c r="E637" i="6"/>
  <c r="F637" i="6"/>
  <c r="H637" i="6"/>
  <c r="I637" i="6"/>
  <c r="C667" i="6"/>
  <c r="D636" i="6"/>
  <c r="G636" i="6"/>
  <c r="E636" i="6"/>
  <c r="F636" i="6"/>
  <c r="H636" i="6"/>
  <c r="I636" i="6"/>
  <c r="C666" i="6"/>
  <c r="D635" i="6"/>
  <c r="G635" i="6"/>
  <c r="E635" i="6"/>
  <c r="F635" i="6"/>
  <c r="H635" i="6"/>
  <c r="I635" i="6"/>
  <c r="C665" i="6"/>
  <c r="D634" i="6"/>
  <c r="E634" i="6"/>
  <c r="F634" i="6"/>
  <c r="G634" i="6"/>
  <c r="H634" i="6"/>
  <c r="I634" i="6"/>
  <c r="C664" i="6"/>
  <c r="D633" i="6"/>
  <c r="G633" i="6"/>
  <c r="E633" i="6"/>
  <c r="F633" i="6"/>
  <c r="H633" i="6"/>
  <c r="I633" i="6"/>
  <c r="C663" i="6"/>
  <c r="D632" i="6"/>
  <c r="E632" i="6"/>
  <c r="F632" i="6"/>
  <c r="G632" i="6"/>
  <c r="H632" i="6"/>
  <c r="I632" i="6"/>
  <c r="C662" i="6"/>
  <c r="D631" i="6"/>
  <c r="E631" i="6"/>
  <c r="F631" i="6"/>
  <c r="G631" i="6"/>
  <c r="H631" i="6"/>
  <c r="I631" i="6"/>
  <c r="C661" i="6"/>
  <c r="D630" i="6"/>
  <c r="E630" i="6"/>
  <c r="F630" i="6"/>
  <c r="G630" i="6"/>
  <c r="H630" i="6"/>
  <c r="I630" i="6"/>
  <c r="C660" i="6"/>
  <c r="D629" i="6"/>
  <c r="E629" i="6"/>
  <c r="F629" i="6"/>
  <c r="G629" i="6"/>
  <c r="H629" i="6"/>
  <c r="I629" i="6"/>
  <c r="C659" i="6"/>
  <c r="D628" i="6"/>
  <c r="E628" i="6"/>
  <c r="F628" i="6"/>
  <c r="G628" i="6"/>
  <c r="H628" i="6"/>
  <c r="I628" i="6"/>
  <c r="C658" i="6"/>
  <c r="J624" i="6"/>
  <c r="N624" i="6" s="1"/>
  <c r="J622" i="6"/>
  <c r="N622" i="6" s="1"/>
  <c r="J617" i="6"/>
  <c r="N617" i="6" s="1"/>
  <c r="J613" i="6"/>
  <c r="N613" i="6" s="1"/>
  <c r="J612" i="6"/>
  <c r="N612" i="6" s="1"/>
  <c r="J611" i="6"/>
  <c r="N611" i="6" s="1"/>
  <c r="J608" i="6"/>
  <c r="N608" i="6" s="1"/>
  <c r="J600" i="6"/>
  <c r="N600" i="6" s="1"/>
  <c r="J605" i="6"/>
  <c r="N605" i="6" s="1"/>
  <c r="J604" i="6"/>
  <c r="N604" i="6" s="1"/>
  <c r="J603" i="6"/>
  <c r="N603" i="6" s="1"/>
  <c r="J625" i="6"/>
  <c r="N625" i="6" s="1"/>
  <c r="J620" i="6"/>
  <c r="N620" i="6" s="1"/>
  <c r="J610" i="6"/>
  <c r="N610" i="6" s="1"/>
  <c r="J606" i="6"/>
  <c r="N606" i="6" s="1"/>
  <c r="J601" i="6"/>
  <c r="N601" i="6" s="1"/>
  <c r="J623" i="6"/>
  <c r="N623" i="6" s="1"/>
  <c r="J618" i="6"/>
  <c r="N618" i="6" s="1"/>
  <c r="J628" i="6"/>
  <c r="N628" i="6" s="1"/>
  <c r="J619" i="6"/>
  <c r="N619" i="6" s="1"/>
  <c r="J614" i="6"/>
  <c r="N614" i="6" s="1"/>
  <c r="J607" i="6"/>
  <c r="N607" i="6" s="1"/>
  <c r="J602" i="6"/>
  <c r="N602" i="6" s="1"/>
  <c r="J626" i="6"/>
  <c r="N626" i="6" s="1"/>
  <c r="J627" i="6"/>
  <c r="N627" i="6" s="1"/>
  <c r="J616" i="6"/>
  <c r="N616" i="6" s="1"/>
  <c r="J615" i="6"/>
  <c r="N615" i="6" s="1"/>
  <c r="J609" i="6"/>
  <c r="N609" i="6" s="1"/>
  <c r="K625" i="6"/>
  <c r="AA254" i="3"/>
  <c r="D256" i="3"/>
  <c r="AB255" i="3"/>
  <c r="C54" i="3"/>
  <c r="M257" i="3"/>
  <c r="S257" i="3" s="1"/>
  <c r="Z255" i="3"/>
  <c r="W248" i="3"/>
  <c r="G49" i="3"/>
  <c r="F252" i="3"/>
  <c r="G252" i="3" s="1"/>
  <c r="G48" i="3"/>
  <c r="F251" i="3"/>
  <c r="G251" i="3" s="1"/>
  <c r="Y247" i="3"/>
  <c r="AD247" i="3" s="1"/>
  <c r="W247" i="3"/>
  <c r="Y248" i="3"/>
  <c r="AD248" i="3" s="1"/>
  <c r="U98" i="3"/>
  <c r="E96" i="3"/>
  <c r="AH292" i="7"/>
  <c r="W292" i="7"/>
  <c r="AH189" i="7"/>
  <c r="W189" i="7"/>
  <c r="C190" i="7"/>
  <c r="AA53" i="3"/>
  <c r="C293" i="7"/>
  <c r="W293" i="7" s="1"/>
  <c r="AH47" i="7"/>
  <c r="W47" i="7"/>
  <c r="AG48" i="7"/>
  <c r="V48" i="7"/>
  <c r="C48" i="7"/>
  <c r="D54" i="3"/>
  <c r="X298" i="7"/>
  <c r="AI298" i="7"/>
  <c r="X52" i="7"/>
  <c r="AI52" i="7"/>
  <c r="X195" i="7"/>
  <c r="AI195" i="7"/>
  <c r="D54" i="7"/>
  <c r="E61" i="3"/>
  <c r="U63" i="3"/>
  <c r="AI89" i="7"/>
  <c r="X89" i="7"/>
  <c r="AI230" i="7"/>
  <c r="X230" i="7"/>
  <c r="X87" i="7"/>
  <c r="AI87" i="7"/>
  <c r="AI333" i="7"/>
  <c r="X333" i="7"/>
  <c r="K294" i="7"/>
  <c r="AD294" i="7" s="1"/>
  <c r="U459" i="3"/>
  <c r="AB459" i="3" s="1"/>
  <c r="K191" i="7"/>
  <c r="AD191" i="7" s="1"/>
  <c r="AB53" i="3"/>
  <c r="K49" i="7"/>
  <c r="AD49" i="7" s="1"/>
  <c r="R293" i="7"/>
  <c r="R48" i="7"/>
  <c r="T55" i="3"/>
  <c r="J49" i="7"/>
  <c r="AC49" i="7" s="1"/>
  <c r="J191" i="7"/>
  <c r="AC191" i="7" s="1"/>
  <c r="J294" i="7"/>
  <c r="AC294" i="7" s="1"/>
  <c r="Z53" i="3"/>
  <c r="I49" i="7"/>
  <c r="AB49" i="7" s="1"/>
  <c r="I191" i="7"/>
  <c r="AB191" i="7" s="1"/>
  <c r="I294" i="7"/>
  <c r="AB294" i="7" s="1"/>
  <c r="G47" i="7"/>
  <c r="Q47" i="7" s="1"/>
  <c r="P47" i="7"/>
  <c r="R53" i="3"/>
  <c r="Y286" i="7"/>
  <c r="N286" i="7" s="1"/>
  <c r="AJ286" i="7"/>
  <c r="S286" i="7" s="1"/>
  <c r="AJ183" i="7"/>
  <c r="S183" i="7" s="1"/>
  <c r="Y183" i="7"/>
  <c r="N183" i="7" s="1"/>
  <c r="E185" i="7"/>
  <c r="E44" i="7"/>
  <c r="M44" i="7" s="1"/>
  <c r="W49" i="3"/>
  <c r="AJ42" i="7"/>
  <c r="S42" i="7" s="1"/>
  <c r="Y42" i="7"/>
  <c r="N42" i="7" s="1"/>
  <c r="E288" i="7"/>
  <c r="E287" i="7"/>
  <c r="E43" i="7"/>
  <c r="M43" i="7" s="1"/>
  <c r="W48" i="3"/>
  <c r="Y41" i="7"/>
  <c r="N41" i="7" s="1"/>
  <c r="AJ41" i="7"/>
  <c r="S41" i="7" s="1"/>
  <c r="Y46" i="3"/>
  <c r="Y47" i="3"/>
  <c r="E184" i="7"/>
  <c r="AJ182" i="7"/>
  <c r="S182" i="7" s="1"/>
  <c r="Y182" i="7"/>
  <c r="N182" i="7" s="1"/>
  <c r="Y285" i="7"/>
  <c r="N285" i="7" s="1"/>
  <c r="AJ285" i="7"/>
  <c r="S285" i="7" s="1"/>
  <c r="AD44" i="3"/>
  <c r="AD45" i="3"/>
  <c r="R190" i="7"/>
  <c r="AQ47" i="7" s="1"/>
  <c r="Z38" i="6"/>
  <c r="Z39" i="6" s="1"/>
  <c r="Z40" i="6" s="1"/>
  <c r="Z41" i="6" s="1"/>
  <c r="Z42" i="6" s="1"/>
  <c r="Z43" i="6" s="1"/>
  <c r="Z44" i="6" s="1"/>
  <c r="Z45" i="6" s="1"/>
  <c r="AH293" i="7" l="1"/>
  <c r="AO46" i="7"/>
  <c r="AM40" i="7"/>
  <c r="AR40" i="7"/>
  <c r="CG15" i="12"/>
  <c r="CJ15" i="12"/>
  <c r="AR39" i="7"/>
  <c r="AM39" i="7"/>
  <c r="J629" i="6"/>
  <c r="N629" i="6" s="1"/>
  <c r="W15" i="12"/>
  <c r="AA15" i="12" s="1"/>
  <c r="CP15" i="12" s="1"/>
  <c r="X15" i="12"/>
  <c r="AB15" i="12" s="1"/>
  <c r="CZ15" i="12" s="1"/>
  <c r="Z15" i="12"/>
  <c r="AD15" i="12" s="1"/>
  <c r="BR15" i="12" s="1"/>
  <c r="Y15" i="12"/>
  <c r="AC15" i="12" s="1"/>
  <c r="DJ15" i="12" s="1"/>
  <c r="AM15" i="12"/>
  <c r="BT15" i="12" s="1"/>
  <c r="M16" i="12"/>
  <c r="L16" i="12"/>
  <c r="AN16" i="12" s="1"/>
  <c r="AQ16" i="12" s="1"/>
  <c r="BU16" i="12" s="1"/>
  <c r="AP15" i="12"/>
  <c r="AS15" i="12" s="1"/>
  <c r="DV15" i="12" s="1"/>
  <c r="AE15" i="12"/>
  <c r="AI15" i="12" s="1"/>
  <c r="CQ15" i="12" s="1"/>
  <c r="AF15" i="12"/>
  <c r="AJ15" i="12" s="1"/>
  <c r="DA15" i="12" s="1"/>
  <c r="AG15" i="12"/>
  <c r="AK15" i="12" s="1"/>
  <c r="DK15" i="12" s="1"/>
  <c r="AH15" i="12"/>
  <c r="AL15" i="12" s="1"/>
  <c r="BS15" i="12" s="1"/>
  <c r="K16" i="12"/>
  <c r="Q15" i="12"/>
  <c r="AY15" i="12" s="1"/>
  <c r="U15" i="12"/>
  <c r="DI15" i="12" s="1"/>
  <c r="T15" i="12"/>
  <c r="CY15" i="12" s="1"/>
  <c r="S15" i="12"/>
  <c r="CO15" i="12" s="1"/>
  <c r="R15" i="12"/>
  <c r="BQ15" i="12" s="1"/>
  <c r="V15" i="12"/>
  <c r="AY15" i="13"/>
  <c r="EF16" i="13"/>
  <c r="EL16" i="13" s="1"/>
  <c r="FE16" i="13" s="1"/>
  <c r="N16" i="13"/>
  <c r="AO16" i="13"/>
  <c r="AR16" i="13" s="1"/>
  <c r="AZ16" i="13" s="1"/>
  <c r="AB15" i="13"/>
  <c r="CZ15" i="13" s="1"/>
  <c r="AC15" i="13"/>
  <c r="DJ15" i="13" s="1"/>
  <c r="ED14" i="12"/>
  <c r="V191" i="7"/>
  <c r="AG191" i="7"/>
  <c r="X232" i="7"/>
  <c r="AI232" i="7"/>
  <c r="F190" i="7"/>
  <c r="P190" i="7" s="1"/>
  <c r="R255" i="3"/>
  <c r="F293" i="7"/>
  <c r="P293" i="7" s="1"/>
  <c r="R458" i="3"/>
  <c r="M461" i="3"/>
  <c r="S461" i="3" s="1"/>
  <c r="S55" i="3"/>
  <c r="AG293" i="7"/>
  <c r="V293" i="7"/>
  <c r="B294" i="7"/>
  <c r="D335" i="7"/>
  <c r="C257" i="3"/>
  <c r="B192" i="7" s="1"/>
  <c r="C460" i="3"/>
  <c r="Z460" i="3" s="1"/>
  <c r="C49" i="10"/>
  <c r="G49" i="10" s="1"/>
  <c r="O301" i="3"/>
  <c r="O504" i="3"/>
  <c r="E299" i="3"/>
  <c r="D234" i="7" s="1"/>
  <c r="E91" i="10"/>
  <c r="I91" i="10" s="1"/>
  <c r="E502" i="3"/>
  <c r="D337" i="7" s="1"/>
  <c r="AA458" i="3"/>
  <c r="AA459" i="3"/>
  <c r="D49" i="10"/>
  <c r="H49" i="10" s="1"/>
  <c r="D460" i="3"/>
  <c r="E264" i="3"/>
  <c r="D199" i="7" s="1"/>
  <c r="E56" i="10"/>
  <c r="I56" i="10" s="1"/>
  <c r="E467" i="3"/>
  <c r="D302" i="7" s="1"/>
  <c r="O266" i="3"/>
  <c r="O469" i="3"/>
  <c r="N258" i="3"/>
  <c r="T258" i="3" s="1"/>
  <c r="N461" i="3"/>
  <c r="T461" i="3" s="1"/>
  <c r="J256" i="3"/>
  <c r="G191" i="7" s="1"/>
  <c r="Q191" i="7" s="1"/>
  <c r="J459" i="3"/>
  <c r="G294" i="7" s="1"/>
  <c r="Q294" i="7" s="1"/>
  <c r="H256" i="3"/>
  <c r="H459" i="3"/>
  <c r="F46" i="10"/>
  <c r="J46" i="10" s="1"/>
  <c r="F457" i="3"/>
  <c r="G457" i="3" s="1"/>
  <c r="W453" i="3"/>
  <c r="W452" i="3"/>
  <c r="Y453" i="3"/>
  <c r="AD453" i="3" s="1"/>
  <c r="F45" i="10"/>
  <c r="J45" i="10" s="1"/>
  <c r="F456" i="3"/>
  <c r="G456" i="3" s="1"/>
  <c r="J633" i="6"/>
  <c r="N633" i="6" s="1"/>
  <c r="J632" i="6"/>
  <c r="N632" i="6" s="1"/>
  <c r="J634" i="6"/>
  <c r="N634" i="6" s="1"/>
  <c r="J637" i="6"/>
  <c r="N637" i="6" s="1"/>
  <c r="J635" i="6"/>
  <c r="N635" i="6" s="1"/>
  <c r="D687" i="6"/>
  <c r="E687" i="6"/>
  <c r="F687" i="6"/>
  <c r="G687" i="6"/>
  <c r="H687" i="6"/>
  <c r="I687" i="6"/>
  <c r="C717" i="6"/>
  <c r="D686" i="6"/>
  <c r="E686" i="6"/>
  <c r="F686" i="6"/>
  <c r="G686" i="6"/>
  <c r="H686" i="6"/>
  <c r="I686" i="6"/>
  <c r="C716" i="6"/>
  <c r="D685" i="6"/>
  <c r="E685" i="6"/>
  <c r="F685" i="6"/>
  <c r="G685" i="6"/>
  <c r="H685" i="6"/>
  <c r="I685" i="6"/>
  <c r="C715" i="6"/>
  <c r="I684" i="6"/>
  <c r="D684" i="6"/>
  <c r="E684" i="6"/>
  <c r="F684" i="6"/>
  <c r="G684" i="6"/>
  <c r="H684" i="6"/>
  <c r="C714" i="6"/>
  <c r="D683" i="6"/>
  <c r="E683" i="6"/>
  <c r="F683" i="6"/>
  <c r="G683" i="6"/>
  <c r="H683" i="6"/>
  <c r="I683" i="6"/>
  <c r="C713" i="6"/>
  <c r="D682" i="6"/>
  <c r="E682" i="6"/>
  <c r="F682" i="6"/>
  <c r="G682" i="6"/>
  <c r="H682" i="6"/>
  <c r="I682" i="6"/>
  <c r="C712" i="6"/>
  <c r="H681" i="6"/>
  <c r="D681" i="6"/>
  <c r="E681" i="6"/>
  <c r="F681" i="6"/>
  <c r="G681" i="6"/>
  <c r="I681" i="6"/>
  <c r="C711" i="6"/>
  <c r="H680" i="6"/>
  <c r="D680" i="6"/>
  <c r="E680" i="6"/>
  <c r="F680" i="6"/>
  <c r="G680" i="6"/>
  <c r="I680" i="6"/>
  <c r="C710" i="6"/>
  <c r="D679" i="6"/>
  <c r="E679" i="6"/>
  <c r="F679" i="6"/>
  <c r="G679" i="6"/>
  <c r="H679" i="6"/>
  <c r="I679" i="6"/>
  <c r="C709" i="6"/>
  <c r="D678" i="6"/>
  <c r="E678" i="6"/>
  <c r="F678" i="6"/>
  <c r="G678" i="6"/>
  <c r="H678" i="6"/>
  <c r="I678" i="6"/>
  <c r="C708" i="6"/>
  <c r="H677" i="6"/>
  <c r="D677" i="6"/>
  <c r="E677" i="6"/>
  <c r="F677" i="6"/>
  <c r="G677" i="6"/>
  <c r="I677" i="6"/>
  <c r="C707" i="6"/>
  <c r="H676" i="6"/>
  <c r="D676" i="6"/>
  <c r="E676" i="6"/>
  <c r="F676" i="6"/>
  <c r="G676" i="6"/>
  <c r="I676" i="6"/>
  <c r="C706" i="6"/>
  <c r="D675" i="6"/>
  <c r="E675" i="6"/>
  <c r="F675" i="6"/>
  <c r="G675" i="6"/>
  <c r="H675" i="6"/>
  <c r="I675" i="6"/>
  <c r="C705" i="6"/>
  <c r="D674" i="6"/>
  <c r="E674" i="6"/>
  <c r="F674" i="6"/>
  <c r="G674" i="6"/>
  <c r="H674" i="6"/>
  <c r="I674" i="6"/>
  <c r="C704" i="6"/>
  <c r="H673" i="6"/>
  <c r="D673" i="6"/>
  <c r="E673" i="6"/>
  <c r="F673" i="6"/>
  <c r="G673" i="6"/>
  <c r="I673" i="6"/>
  <c r="C703" i="6"/>
  <c r="D672" i="6"/>
  <c r="G672" i="6"/>
  <c r="E672" i="6"/>
  <c r="F672" i="6"/>
  <c r="H672" i="6"/>
  <c r="I672" i="6"/>
  <c r="C702" i="6"/>
  <c r="D671" i="6"/>
  <c r="G671" i="6"/>
  <c r="E671" i="6"/>
  <c r="F671" i="6"/>
  <c r="H671" i="6"/>
  <c r="I671" i="6"/>
  <c r="C701" i="6"/>
  <c r="D670" i="6"/>
  <c r="E670" i="6"/>
  <c r="F670" i="6"/>
  <c r="G670" i="6"/>
  <c r="H670" i="6"/>
  <c r="I670" i="6"/>
  <c r="C700" i="6"/>
  <c r="D669" i="6"/>
  <c r="G669" i="6"/>
  <c r="E669" i="6"/>
  <c r="F669" i="6"/>
  <c r="H669" i="6"/>
  <c r="I669" i="6"/>
  <c r="C699" i="6"/>
  <c r="D668" i="6"/>
  <c r="G668" i="6"/>
  <c r="E668" i="6"/>
  <c r="F668" i="6"/>
  <c r="H668" i="6"/>
  <c r="I668" i="6"/>
  <c r="C698" i="6"/>
  <c r="D667" i="6"/>
  <c r="G667" i="6"/>
  <c r="E667" i="6"/>
  <c r="F667" i="6"/>
  <c r="H667" i="6"/>
  <c r="I667" i="6"/>
  <c r="C697" i="6"/>
  <c r="D666" i="6"/>
  <c r="E666" i="6"/>
  <c r="F666" i="6"/>
  <c r="G666" i="6"/>
  <c r="H666" i="6"/>
  <c r="I666" i="6"/>
  <c r="C696" i="6"/>
  <c r="D665" i="6"/>
  <c r="G665" i="6"/>
  <c r="E665" i="6"/>
  <c r="F665" i="6"/>
  <c r="H665" i="6"/>
  <c r="I665" i="6"/>
  <c r="C695" i="6"/>
  <c r="D664" i="6"/>
  <c r="G664" i="6"/>
  <c r="E664" i="6"/>
  <c r="F664" i="6"/>
  <c r="H664" i="6"/>
  <c r="I664" i="6"/>
  <c r="C694" i="6"/>
  <c r="D663" i="6"/>
  <c r="G663" i="6"/>
  <c r="E663" i="6"/>
  <c r="F663" i="6"/>
  <c r="H663" i="6"/>
  <c r="I663" i="6"/>
  <c r="C693" i="6"/>
  <c r="D662" i="6"/>
  <c r="E662" i="6"/>
  <c r="F662" i="6"/>
  <c r="G662" i="6"/>
  <c r="H662" i="6"/>
  <c r="I662" i="6"/>
  <c r="C692" i="6"/>
  <c r="D661" i="6"/>
  <c r="E661" i="6"/>
  <c r="F661" i="6"/>
  <c r="G661" i="6"/>
  <c r="H661" i="6"/>
  <c r="I661" i="6"/>
  <c r="C691" i="6"/>
  <c r="D660" i="6"/>
  <c r="E660" i="6"/>
  <c r="F660" i="6"/>
  <c r="G660" i="6"/>
  <c r="H660" i="6"/>
  <c r="I660" i="6"/>
  <c r="C690" i="6"/>
  <c r="D659" i="6"/>
  <c r="E659" i="6"/>
  <c r="F659" i="6"/>
  <c r="G659" i="6"/>
  <c r="H659" i="6"/>
  <c r="I659" i="6"/>
  <c r="C689" i="6"/>
  <c r="D658" i="6"/>
  <c r="E658" i="6"/>
  <c r="F658" i="6"/>
  <c r="G658" i="6"/>
  <c r="H658" i="6"/>
  <c r="I658" i="6"/>
  <c r="J659" i="6" s="1"/>
  <c r="N659" i="6" s="1"/>
  <c r="C688" i="6"/>
  <c r="J655" i="6"/>
  <c r="N655" i="6" s="1"/>
  <c r="J654" i="6"/>
  <c r="N654" i="6" s="1"/>
  <c r="J653" i="6"/>
  <c r="N653" i="6" s="1"/>
  <c r="J652" i="6"/>
  <c r="N652" i="6" s="1"/>
  <c r="J650" i="6"/>
  <c r="N650" i="6" s="1"/>
  <c r="J649" i="6"/>
  <c r="N649" i="6" s="1"/>
  <c r="J647" i="6"/>
  <c r="N647" i="6" s="1"/>
  <c r="J645" i="6"/>
  <c r="N645" i="6" s="1"/>
  <c r="J644" i="6"/>
  <c r="N644" i="6" s="1"/>
  <c r="J648" i="6"/>
  <c r="N648" i="6" s="1"/>
  <c r="J646" i="6"/>
  <c r="N646" i="6" s="1"/>
  <c r="J643" i="6"/>
  <c r="N643" i="6" s="1"/>
  <c r="J642" i="6"/>
  <c r="N642" i="6" s="1"/>
  <c r="J641" i="6"/>
  <c r="N641" i="6" s="1"/>
  <c r="J640" i="6"/>
  <c r="N640" i="6" s="1"/>
  <c r="J639" i="6"/>
  <c r="N639" i="6" s="1"/>
  <c r="J638" i="6"/>
  <c r="N638" i="6" s="1"/>
  <c r="J636" i="6"/>
  <c r="N636" i="6" s="1"/>
  <c r="J631" i="6"/>
  <c r="N631" i="6" s="1"/>
  <c r="J630" i="6"/>
  <c r="N630" i="6" s="1"/>
  <c r="J657" i="6"/>
  <c r="N657" i="6" s="1"/>
  <c r="J651" i="6"/>
  <c r="N651" i="6" s="1"/>
  <c r="J656" i="6"/>
  <c r="N656" i="6" s="1"/>
  <c r="AA255" i="3"/>
  <c r="D257" i="3"/>
  <c r="AB256" i="3"/>
  <c r="C55" i="3"/>
  <c r="M258" i="3"/>
  <c r="S258" i="3" s="1"/>
  <c r="Z256" i="3"/>
  <c r="W250" i="3"/>
  <c r="G51" i="3"/>
  <c r="F254" i="3"/>
  <c r="G254" i="3" s="1"/>
  <c r="G50" i="3"/>
  <c r="F253" i="3"/>
  <c r="G253" i="3" s="1"/>
  <c r="Y249" i="3"/>
  <c r="AD249" i="3" s="1"/>
  <c r="W249" i="3"/>
  <c r="Y250" i="3"/>
  <c r="AD250" i="3" s="1"/>
  <c r="AH190" i="7"/>
  <c r="W190" i="7"/>
  <c r="U100" i="3"/>
  <c r="E98" i="3"/>
  <c r="D91" i="7"/>
  <c r="AI91" i="7" s="1"/>
  <c r="C191" i="7"/>
  <c r="C294" i="7"/>
  <c r="W294" i="7" s="1"/>
  <c r="Z54" i="3"/>
  <c r="AH48" i="7"/>
  <c r="W48" i="7"/>
  <c r="AG49" i="7"/>
  <c r="V49" i="7"/>
  <c r="C49" i="7"/>
  <c r="D55" i="3"/>
  <c r="AI197" i="7"/>
  <c r="X197" i="7"/>
  <c r="X300" i="7"/>
  <c r="AI300" i="7"/>
  <c r="AI54" i="7"/>
  <c r="X54" i="7"/>
  <c r="D56" i="7"/>
  <c r="E63" i="3"/>
  <c r="U65" i="3"/>
  <c r="K295" i="7"/>
  <c r="AD295" i="7" s="1"/>
  <c r="U460" i="3"/>
  <c r="K192" i="7"/>
  <c r="AD192" i="7" s="1"/>
  <c r="AB54" i="3"/>
  <c r="K50" i="7"/>
  <c r="AD50" i="7" s="1"/>
  <c r="Y49" i="3"/>
  <c r="R14" i="13" s="1"/>
  <c r="BQ14" i="13" s="1"/>
  <c r="Y48" i="3"/>
  <c r="AD48" i="3" s="1"/>
  <c r="AA54" i="3"/>
  <c r="J50" i="7"/>
  <c r="AC50" i="7" s="1"/>
  <c r="T56" i="3"/>
  <c r="J192" i="7"/>
  <c r="AC192" i="7" s="1"/>
  <c r="J295" i="7"/>
  <c r="AC295" i="7" s="1"/>
  <c r="I295" i="7"/>
  <c r="AB295" i="7" s="1"/>
  <c r="I192" i="7"/>
  <c r="AB192" i="7" s="1"/>
  <c r="I50" i="7"/>
  <c r="AB50" i="7" s="1"/>
  <c r="G190" i="7"/>
  <c r="Q190" i="7" s="1"/>
  <c r="AP47" i="7" s="1"/>
  <c r="G48" i="7"/>
  <c r="Q48" i="7" s="1"/>
  <c r="R54" i="3"/>
  <c r="P48" i="7"/>
  <c r="AJ185" i="7"/>
  <c r="S185" i="7" s="1"/>
  <c r="Y185" i="7"/>
  <c r="N185" i="7" s="1"/>
  <c r="Y44" i="7"/>
  <c r="N44" i="7" s="1"/>
  <c r="AJ44" i="7"/>
  <c r="S44" i="7" s="1"/>
  <c r="E187" i="7"/>
  <c r="E290" i="7"/>
  <c r="E46" i="7"/>
  <c r="M46" i="7" s="1"/>
  <c r="W51" i="3"/>
  <c r="Y288" i="7"/>
  <c r="N288" i="7" s="1"/>
  <c r="AJ288" i="7"/>
  <c r="S288" i="7" s="1"/>
  <c r="Y287" i="7"/>
  <c r="N287" i="7" s="1"/>
  <c r="AJ287" i="7"/>
  <c r="S287" i="7" s="1"/>
  <c r="E289" i="7"/>
  <c r="AJ43" i="7"/>
  <c r="S43" i="7" s="1"/>
  <c r="Y43" i="7"/>
  <c r="N43" i="7" s="1"/>
  <c r="E186" i="7"/>
  <c r="W50" i="3"/>
  <c r="E45" i="7"/>
  <c r="M45" i="7" s="1"/>
  <c r="AD46" i="3"/>
  <c r="AD47" i="3"/>
  <c r="AJ184" i="7"/>
  <c r="S184" i="7" s="1"/>
  <c r="Y184" i="7"/>
  <c r="N184" i="7" s="1"/>
  <c r="R49" i="7"/>
  <c r="R191" i="7"/>
  <c r="R294" i="7"/>
  <c r="Y50" i="3"/>
  <c r="K640" i="6"/>
  <c r="K638" i="6"/>
  <c r="K653" i="6"/>
  <c r="K651" i="6"/>
  <c r="K648" i="6"/>
  <c r="K650" i="6"/>
  <c r="K656" i="6"/>
  <c r="K657" i="6"/>
  <c r="K649" i="6"/>
  <c r="K636" i="6"/>
  <c r="K635" i="6"/>
  <c r="K646" i="6"/>
  <c r="K639" i="6"/>
  <c r="K647" i="6"/>
  <c r="K637" i="6"/>
  <c r="K645" i="6"/>
  <c r="K634" i="6"/>
  <c r="AP48" i="7" l="1"/>
  <c r="AO47" i="7"/>
  <c r="AH294" i="7"/>
  <c r="X91" i="7"/>
  <c r="AM42" i="7"/>
  <c r="AR42" i="7"/>
  <c r="AO16" i="12"/>
  <c r="AQ48" i="7"/>
  <c r="AR41" i="7"/>
  <c r="AM41" i="7"/>
  <c r="J658" i="6"/>
  <c r="N658" i="6" s="1"/>
  <c r="J660" i="6"/>
  <c r="N660" i="6" s="1"/>
  <c r="N16" i="12"/>
  <c r="ER16" i="13"/>
  <c r="EG16" i="13"/>
  <c r="EM16" i="13" s="1"/>
  <c r="EK15" i="13"/>
  <c r="EJ16" i="13"/>
  <c r="U16" i="13"/>
  <c r="DI16" i="13" s="1"/>
  <c r="Y16" i="13"/>
  <c r="AC16" i="13" s="1"/>
  <c r="DJ16" i="13" s="1"/>
  <c r="AH16" i="13"/>
  <c r="AL16" i="13" s="1"/>
  <c r="BS16" i="13" s="1"/>
  <c r="AF16" i="13"/>
  <c r="AJ16" i="13" s="1"/>
  <c r="DA16" i="13" s="1"/>
  <c r="W16" i="13"/>
  <c r="AA16" i="13" s="1"/>
  <c r="CP16" i="13" s="1"/>
  <c r="X16" i="13"/>
  <c r="AB16" i="13" s="1"/>
  <c r="CZ16" i="13" s="1"/>
  <c r="CJ16" i="13"/>
  <c r="AG16" i="13"/>
  <c r="AK16" i="13" s="1"/>
  <c r="DK16" i="13" s="1"/>
  <c r="AE16" i="13"/>
  <c r="AI16" i="13" s="1"/>
  <c r="CQ16" i="13" s="1"/>
  <c r="V16" i="13"/>
  <c r="Z16" i="13"/>
  <c r="AD16" i="13" s="1"/>
  <c r="BR16" i="13" s="1"/>
  <c r="CG16" i="13"/>
  <c r="AP16" i="13"/>
  <c r="AS16" i="13" s="1"/>
  <c r="DV16" i="13" s="1"/>
  <c r="DZ16" i="13" s="1"/>
  <c r="ED16" i="13" s="1"/>
  <c r="K17" i="13"/>
  <c r="L17" i="13"/>
  <c r="AN17" i="13" s="1"/>
  <c r="AQ17" i="13" s="1"/>
  <c r="BU17" i="13" s="1"/>
  <c r="M17" i="13"/>
  <c r="AM16" i="13"/>
  <c r="BT16" i="13" s="1"/>
  <c r="Q16" i="13"/>
  <c r="S16" i="13"/>
  <c r="CO16" i="13" s="1"/>
  <c r="T16" i="13"/>
  <c r="CY16" i="13" s="1"/>
  <c r="DZ15" i="12"/>
  <c r="V192" i="7"/>
  <c r="AG192" i="7"/>
  <c r="X234" i="7"/>
  <c r="AI234" i="7"/>
  <c r="F191" i="7"/>
  <c r="P191" i="7" s="1"/>
  <c r="R256" i="3"/>
  <c r="F294" i="7"/>
  <c r="P294" i="7" s="1"/>
  <c r="R459" i="3"/>
  <c r="M462" i="3"/>
  <c r="S462" i="3" s="1"/>
  <c r="S56" i="3"/>
  <c r="Y16" i="12"/>
  <c r="AR16" i="12"/>
  <c r="AZ16" i="12" s="1"/>
  <c r="M17" i="12"/>
  <c r="L17" i="12"/>
  <c r="AN17" i="12" s="1"/>
  <c r="AP16" i="12"/>
  <c r="AE16" i="12"/>
  <c r="T16" i="12"/>
  <c r="CY16" i="12" s="1"/>
  <c r="S16" i="12"/>
  <c r="CO16" i="12" s="1"/>
  <c r="R16" i="12"/>
  <c r="BQ16" i="12" s="1"/>
  <c r="V16" i="12"/>
  <c r="AG294" i="7"/>
  <c r="V294" i="7"/>
  <c r="AI335" i="7"/>
  <c r="X335" i="7"/>
  <c r="B295" i="7"/>
  <c r="AI337" i="7"/>
  <c r="X337" i="7"/>
  <c r="C258" i="3"/>
  <c r="B193" i="7" s="1"/>
  <c r="C50" i="10"/>
  <c r="G50" i="10" s="1"/>
  <c r="C461" i="3"/>
  <c r="Z461" i="3" s="1"/>
  <c r="O303" i="3"/>
  <c r="O506" i="3"/>
  <c r="E301" i="3"/>
  <c r="D236" i="7" s="1"/>
  <c r="E504" i="3"/>
  <c r="D339" i="7" s="1"/>
  <c r="E93" i="10"/>
  <c r="I93" i="10" s="1"/>
  <c r="D50" i="10"/>
  <c r="H50" i="10" s="1"/>
  <c r="D461" i="3"/>
  <c r="E266" i="3"/>
  <c r="D201" i="7" s="1"/>
  <c r="E469" i="3"/>
  <c r="D304" i="7" s="1"/>
  <c r="E58" i="10"/>
  <c r="I58" i="10" s="1"/>
  <c r="O268" i="3"/>
  <c r="O471" i="3"/>
  <c r="AB460" i="3"/>
  <c r="AD49" i="3"/>
  <c r="N259" i="3"/>
  <c r="T259" i="3" s="1"/>
  <c r="N462" i="3"/>
  <c r="T462" i="3" s="1"/>
  <c r="J257" i="3"/>
  <c r="G192" i="7" s="1"/>
  <c r="Q192" i="7" s="1"/>
  <c r="J460" i="3"/>
  <c r="G295" i="7" s="1"/>
  <c r="Q295" i="7" s="1"/>
  <c r="H257" i="3"/>
  <c r="H460" i="3"/>
  <c r="W455" i="3"/>
  <c r="F48" i="10"/>
  <c r="J48" i="10" s="1"/>
  <c r="F459" i="3"/>
  <c r="G459" i="3" s="1"/>
  <c r="W454" i="3"/>
  <c r="Y455" i="3"/>
  <c r="AD455" i="3" s="1"/>
  <c r="Y454" i="3"/>
  <c r="AD454" i="3" s="1"/>
  <c r="F47" i="10"/>
  <c r="J47" i="10" s="1"/>
  <c r="F458" i="3"/>
  <c r="G458" i="3" s="1"/>
  <c r="W191" i="7"/>
  <c r="AH191" i="7"/>
  <c r="K673" i="6"/>
  <c r="K659" i="6"/>
  <c r="K672" i="6"/>
  <c r="K662" i="6"/>
  <c r="K669" i="6"/>
  <c r="K675" i="6"/>
  <c r="K664" i="6"/>
  <c r="K676" i="6"/>
  <c r="K671" i="6"/>
  <c r="K665" i="6"/>
  <c r="K680" i="6"/>
  <c r="K684" i="6"/>
  <c r="K686" i="6"/>
  <c r="K683" i="6"/>
  <c r="K687" i="6"/>
  <c r="K667" i="6"/>
  <c r="K678" i="6"/>
  <c r="K670" i="6"/>
  <c r="K682" i="6"/>
  <c r="I717" i="6"/>
  <c r="D717" i="6"/>
  <c r="E717" i="6"/>
  <c r="F717" i="6"/>
  <c r="G717" i="6"/>
  <c r="H717" i="6"/>
  <c r="C747" i="6"/>
  <c r="I716" i="6"/>
  <c r="D716" i="6"/>
  <c r="E716" i="6"/>
  <c r="F716" i="6"/>
  <c r="G716" i="6"/>
  <c r="H716" i="6"/>
  <c r="C746" i="6"/>
  <c r="I715" i="6"/>
  <c r="D715" i="6"/>
  <c r="E715" i="6"/>
  <c r="F715" i="6"/>
  <c r="G715" i="6"/>
  <c r="H715" i="6"/>
  <c r="C745" i="6"/>
  <c r="D714" i="6"/>
  <c r="E714" i="6"/>
  <c r="F714" i="6"/>
  <c r="G714" i="6"/>
  <c r="H714" i="6"/>
  <c r="I714" i="6"/>
  <c r="C744" i="6"/>
  <c r="I713" i="6"/>
  <c r="D713" i="6"/>
  <c r="E713" i="6"/>
  <c r="F713" i="6"/>
  <c r="G713" i="6"/>
  <c r="H713" i="6"/>
  <c r="C743" i="6"/>
  <c r="H712" i="6"/>
  <c r="D712" i="6"/>
  <c r="E712" i="6"/>
  <c r="F712" i="6"/>
  <c r="G712" i="6"/>
  <c r="I712" i="6"/>
  <c r="C742" i="6"/>
  <c r="H711" i="6"/>
  <c r="D711" i="6"/>
  <c r="E711" i="6"/>
  <c r="F711" i="6"/>
  <c r="G711" i="6"/>
  <c r="I711" i="6"/>
  <c r="C741" i="6"/>
  <c r="H710" i="6"/>
  <c r="D710" i="6"/>
  <c r="E710" i="6"/>
  <c r="F710" i="6"/>
  <c r="G710" i="6"/>
  <c r="I710" i="6"/>
  <c r="C740" i="6"/>
  <c r="H709" i="6"/>
  <c r="D709" i="6"/>
  <c r="E709" i="6"/>
  <c r="F709" i="6"/>
  <c r="G709" i="6"/>
  <c r="I709" i="6"/>
  <c r="C739" i="6"/>
  <c r="H708" i="6"/>
  <c r="D708" i="6"/>
  <c r="E708" i="6"/>
  <c r="F708" i="6"/>
  <c r="G708" i="6"/>
  <c r="I708" i="6"/>
  <c r="C738" i="6"/>
  <c r="H707" i="6"/>
  <c r="D707" i="6"/>
  <c r="E707" i="6"/>
  <c r="F707" i="6"/>
  <c r="G707" i="6"/>
  <c r="I707" i="6"/>
  <c r="C737" i="6"/>
  <c r="H706" i="6"/>
  <c r="D706" i="6"/>
  <c r="E706" i="6"/>
  <c r="F706" i="6"/>
  <c r="G706" i="6"/>
  <c r="I706" i="6"/>
  <c r="C736" i="6"/>
  <c r="H705" i="6"/>
  <c r="D705" i="6"/>
  <c r="E705" i="6"/>
  <c r="F705" i="6"/>
  <c r="G705" i="6"/>
  <c r="I705" i="6"/>
  <c r="C735" i="6"/>
  <c r="H704" i="6"/>
  <c r="D704" i="6"/>
  <c r="E704" i="6"/>
  <c r="F704" i="6"/>
  <c r="G704" i="6"/>
  <c r="I704" i="6"/>
  <c r="C734" i="6"/>
  <c r="H703" i="6"/>
  <c r="D703" i="6"/>
  <c r="E703" i="6"/>
  <c r="F703" i="6"/>
  <c r="G703" i="6"/>
  <c r="I703" i="6"/>
  <c r="C733" i="6"/>
  <c r="D702" i="6"/>
  <c r="G702" i="6"/>
  <c r="E702" i="6"/>
  <c r="F702" i="6"/>
  <c r="H702" i="6"/>
  <c r="I702" i="6"/>
  <c r="C732" i="6"/>
  <c r="D701" i="6"/>
  <c r="G701" i="6"/>
  <c r="E701" i="6"/>
  <c r="F701" i="6"/>
  <c r="H701" i="6"/>
  <c r="I701" i="6"/>
  <c r="C731" i="6"/>
  <c r="D700" i="6"/>
  <c r="G700" i="6"/>
  <c r="E700" i="6"/>
  <c r="F700" i="6"/>
  <c r="H700" i="6"/>
  <c r="I700" i="6"/>
  <c r="C730" i="6"/>
  <c r="D699" i="6"/>
  <c r="G699" i="6"/>
  <c r="E699" i="6"/>
  <c r="F699" i="6"/>
  <c r="H699" i="6"/>
  <c r="I699" i="6"/>
  <c r="C729" i="6"/>
  <c r="D698" i="6"/>
  <c r="G698" i="6"/>
  <c r="E698" i="6"/>
  <c r="F698" i="6"/>
  <c r="H698" i="6"/>
  <c r="I698" i="6"/>
  <c r="C728" i="6"/>
  <c r="D697" i="6"/>
  <c r="G697" i="6"/>
  <c r="E697" i="6"/>
  <c r="F697" i="6"/>
  <c r="H697" i="6"/>
  <c r="I697" i="6"/>
  <c r="C727" i="6"/>
  <c r="D696" i="6"/>
  <c r="G696" i="6"/>
  <c r="E696" i="6"/>
  <c r="F696" i="6"/>
  <c r="H696" i="6"/>
  <c r="I696" i="6"/>
  <c r="C726" i="6"/>
  <c r="D695" i="6"/>
  <c r="G695" i="6"/>
  <c r="E695" i="6"/>
  <c r="F695" i="6"/>
  <c r="H695" i="6"/>
  <c r="I695" i="6"/>
  <c r="C725" i="6"/>
  <c r="D694" i="6"/>
  <c r="G694" i="6"/>
  <c r="E694" i="6"/>
  <c r="F694" i="6"/>
  <c r="H694" i="6"/>
  <c r="I694" i="6"/>
  <c r="C724" i="6"/>
  <c r="D693" i="6"/>
  <c r="G693" i="6"/>
  <c r="E693" i="6"/>
  <c r="F693" i="6"/>
  <c r="H693" i="6"/>
  <c r="I693" i="6"/>
  <c r="C723" i="6"/>
  <c r="I692" i="6"/>
  <c r="D692" i="6"/>
  <c r="E692" i="6"/>
  <c r="F692" i="6"/>
  <c r="G692" i="6"/>
  <c r="H692" i="6"/>
  <c r="C722" i="6"/>
  <c r="D691" i="6"/>
  <c r="E691" i="6"/>
  <c r="F691" i="6"/>
  <c r="G691" i="6"/>
  <c r="H691" i="6"/>
  <c r="I691" i="6"/>
  <c r="C721" i="6"/>
  <c r="D690" i="6"/>
  <c r="E690" i="6"/>
  <c r="F690" i="6"/>
  <c r="G690" i="6"/>
  <c r="H690" i="6"/>
  <c r="I690" i="6"/>
  <c r="C720" i="6"/>
  <c r="D689" i="6"/>
  <c r="E689" i="6"/>
  <c r="F689" i="6"/>
  <c r="G689" i="6"/>
  <c r="H689" i="6"/>
  <c r="I689" i="6"/>
  <c r="C719" i="6"/>
  <c r="I688" i="6"/>
  <c r="D688" i="6"/>
  <c r="E688" i="6"/>
  <c r="F688" i="6"/>
  <c r="G688" i="6"/>
  <c r="H688" i="6"/>
  <c r="C718" i="6"/>
  <c r="J687" i="6"/>
  <c r="N687" i="6" s="1"/>
  <c r="J686" i="6"/>
  <c r="N686" i="6" s="1"/>
  <c r="J685" i="6"/>
  <c r="N685" i="6" s="1"/>
  <c r="J684" i="6"/>
  <c r="N684" i="6" s="1"/>
  <c r="J683" i="6"/>
  <c r="N683" i="6" s="1"/>
  <c r="J682" i="6"/>
  <c r="N682" i="6" s="1"/>
  <c r="J681" i="6"/>
  <c r="N681" i="6" s="1"/>
  <c r="J680" i="6"/>
  <c r="N680" i="6" s="1"/>
  <c r="J668" i="6"/>
  <c r="N668" i="6" s="1"/>
  <c r="J666" i="6"/>
  <c r="N666" i="6" s="1"/>
  <c r="J663" i="6"/>
  <c r="N663" i="6" s="1"/>
  <c r="J661" i="6"/>
  <c r="N661" i="6" s="1"/>
  <c r="J679" i="6"/>
  <c r="N679" i="6" s="1"/>
  <c r="J678" i="6"/>
  <c r="N678" i="6" s="1"/>
  <c r="J677" i="6"/>
  <c r="N677" i="6" s="1"/>
  <c r="J676" i="6"/>
  <c r="N676" i="6" s="1"/>
  <c r="J675" i="6"/>
  <c r="N675" i="6" s="1"/>
  <c r="J674" i="6"/>
  <c r="N674" i="6" s="1"/>
  <c r="J673" i="6"/>
  <c r="N673" i="6" s="1"/>
  <c r="J672" i="6"/>
  <c r="N672" i="6" s="1"/>
  <c r="J671" i="6"/>
  <c r="N671" i="6" s="1"/>
  <c r="J670" i="6"/>
  <c r="N670" i="6" s="1"/>
  <c r="J669" i="6"/>
  <c r="N669" i="6" s="1"/>
  <c r="J667" i="6"/>
  <c r="N667" i="6" s="1"/>
  <c r="J665" i="6"/>
  <c r="N665" i="6" s="1"/>
  <c r="J664" i="6"/>
  <c r="N664" i="6" s="1"/>
  <c r="J662" i="6"/>
  <c r="N662" i="6" s="1"/>
  <c r="K666" i="6"/>
  <c r="K681" i="6"/>
  <c r="K674" i="6"/>
  <c r="K689" i="6"/>
  <c r="K661" i="6"/>
  <c r="K685" i="6"/>
  <c r="K677" i="6"/>
  <c r="K663" i="6"/>
  <c r="AA256" i="3"/>
  <c r="D258" i="3"/>
  <c r="AB257" i="3"/>
  <c r="Z257" i="3"/>
  <c r="C56" i="3"/>
  <c r="D56" i="3" s="1"/>
  <c r="M259" i="3"/>
  <c r="S259" i="3" s="1"/>
  <c r="W252" i="3"/>
  <c r="G53" i="3"/>
  <c r="F256" i="3"/>
  <c r="G256" i="3" s="1"/>
  <c r="Y251" i="3"/>
  <c r="AD251" i="3" s="1"/>
  <c r="W251" i="3"/>
  <c r="Y252" i="3"/>
  <c r="AD252" i="3" s="1"/>
  <c r="G52" i="3"/>
  <c r="F255" i="3"/>
  <c r="G255" i="3" s="1"/>
  <c r="U102" i="3"/>
  <c r="E100" i="3"/>
  <c r="D93" i="7"/>
  <c r="AA55" i="3"/>
  <c r="W49" i="7"/>
  <c r="AH49" i="7"/>
  <c r="V50" i="7"/>
  <c r="AG50" i="7"/>
  <c r="C50" i="7"/>
  <c r="R192" i="7"/>
  <c r="C295" i="7"/>
  <c r="C192" i="7"/>
  <c r="X302" i="7"/>
  <c r="AI302" i="7"/>
  <c r="AI56" i="7"/>
  <c r="X56" i="7"/>
  <c r="X199" i="7"/>
  <c r="AI199" i="7"/>
  <c r="D58" i="7"/>
  <c r="E65" i="3"/>
  <c r="U67" i="3"/>
  <c r="R50" i="7"/>
  <c r="K296" i="7"/>
  <c r="AD296" i="7" s="1"/>
  <c r="U461" i="3"/>
  <c r="K193" i="7"/>
  <c r="AD193" i="7" s="1"/>
  <c r="AB55" i="3"/>
  <c r="K51" i="7"/>
  <c r="AD51" i="7" s="1"/>
  <c r="R295" i="7"/>
  <c r="Y51" i="3"/>
  <c r="J296" i="7"/>
  <c r="AC296" i="7" s="1"/>
  <c r="T57" i="3"/>
  <c r="J51" i="7"/>
  <c r="AC51" i="7" s="1"/>
  <c r="J193" i="7"/>
  <c r="AC193" i="7" s="1"/>
  <c r="Z55" i="3"/>
  <c r="I193" i="7"/>
  <c r="AB193" i="7" s="1"/>
  <c r="I51" i="7"/>
  <c r="AB51" i="7" s="1"/>
  <c r="I296" i="7"/>
  <c r="AB296" i="7" s="1"/>
  <c r="G49" i="7"/>
  <c r="Q49" i="7" s="1"/>
  <c r="R55" i="3"/>
  <c r="P49" i="7"/>
  <c r="AJ187" i="7"/>
  <c r="S187" i="7" s="1"/>
  <c r="Y187" i="7"/>
  <c r="N187" i="7" s="1"/>
  <c r="Y290" i="7"/>
  <c r="N290" i="7" s="1"/>
  <c r="AJ290" i="7"/>
  <c r="S290" i="7" s="1"/>
  <c r="Y46" i="7"/>
  <c r="N46" i="7" s="1"/>
  <c r="AJ46" i="7"/>
  <c r="S46" i="7" s="1"/>
  <c r="W53" i="3"/>
  <c r="E48" i="7"/>
  <c r="M48" i="7" s="1"/>
  <c r="E292" i="7"/>
  <c r="E189" i="7"/>
  <c r="Y289" i="7"/>
  <c r="N289" i="7" s="1"/>
  <c r="AJ289" i="7"/>
  <c r="S289" i="7" s="1"/>
  <c r="AJ186" i="7"/>
  <c r="S186" i="7" s="1"/>
  <c r="Y186" i="7"/>
  <c r="N186" i="7" s="1"/>
  <c r="AM43" i="7" s="1"/>
  <c r="W52" i="3"/>
  <c r="E47" i="7"/>
  <c r="M47" i="7" s="1"/>
  <c r="E188" i="7"/>
  <c r="E291" i="7"/>
  <c r="AJ45" i="7"/>
  <c r="S45" i="7" s="1"/>
  <c r="Y45" i="7"/>
  <c r="N45" i="7" s="1"/>
  <c r="AD50" i="3"/>
  <c r="AR43" i="7" l="1"/>
  <c r="W16" i="12"/>
  <c r="X16" i="12"/>
  <c r="AF16" i="12"/>
  <c r="AJ16" i="12" s="1"/>
  <c r="DA16" i="12" s="1"/>
  <c r="AG16" i="12"/>
  <c r="AK16" i="12" s="1"/>
  <c r="DK16" i="12" s="1"/>
  <c r="AH16" i="12"/>
  <c r="AL16" i="12" s="1"/>
  <c r="BS16" i="12" s="1"/>
  <c r="K17" i="12"/>
  <c r="N17" i="12" s="1"/>
  <c r="Q16" i="12"/>
  <c r="AY16" i="12" s="1"/>
  <c r="U16" i="12"/>
  <c r="DI16" i="12" s="1"/>
  <c r="AM16" i="12"/>
  <c r="BT16" i="12" s="1"/>
  <c r="CG16" i="12"/>
  <c r="AQ49" i="7"/>
  <c r="AR44" i="7"/>
  <c r="AM44" i="7"/>
  <c r="Z16" i="12"/>
  <c r="AD16" i="12" s="1"/>
  <c r="BR16" i="12" s="1"/>
  <c r="CJ16" i="12"/>
  <c r="AP49" i="7"/>
  <c r="AO48" i="7"/>
  <c r="K691" i="6"/>
  <c r="AY16" i="13"/>
  <c r="EF17" i="13"/>
  <c r="EL17" i="13" s="1"/>
  <c r="FE17" i="13" s="1"/>
  <c r="N17" i="13"/>
  <c r="AM17" i="13" s="1"/>
  <c r="BT17" i="13" s="1"/>
  <c r="AO17" i="13"/>
  <c r="AR17" i="13" s="1"/>
  <c r="AZ17" i="13" s="1"/>
  <c r="ED15" i="12"/>
  <c r="V193" i="7"/>
  <c r="AG193" i="7"/>
  <c r="F192" i="7"/>
  <c r="P192" i="7" s="1"/>
  <c r="R257" i="3"/>
  <c r="F295" i="7"/>
  <c r="P295" i="7" s="1"/>
  <c r="R460" i="3"/>
  <c r="M463" i="3"/>
  <c r="S463" i="3" s="1"/>
  <c r="S57" i="3"/>
  <c r="AA16" i="12"/>
  <c r="CP16" i="12" s="1"/>
  <c r="AB16" i="12"/>
  <c r="CZ16" i="12" s="1"/>
  <c r="AC16" i="12"/>
  <c r="DJ16" i="12" s="1"/>
  <c r="AQ17" i="12"/>
  <c r="BU17" i="12" s="1"/>
  <c r="AS16" i="12"/>
  <c r="DV16" i="12" s="1"/>
  <c r="AO17" i="12"/>
  <c r="AI16" i="12"/>
  <c r="CQ16" i="12" s="1"/>
  <c r="V295" i="7"/>
  <c r="AG295" i="7"/>
  <c r="B296" i="7"/>
  <c r="C259" i="3"/>
  <c r="B194" i="7" s="1"/>
  <c r="C462" i="3"/>
  <c r="Z462" i="3" s="1"/>
  <c r="C51" i="10"/>
  <c r="G51" i="10" s="1"/>
  <c r="O305" i="3"/>
  <c r="O508" i="3"/>
  <c r="E303" i="3"/>
  <c r="D238" i="7" s="1"/>
  <c r="E506" i="3"/>
  <c r="D341" i="7" s="1"/>
  <c r="E95" i="10"/>
  <c r="I95" i="10" s="1"/>
  <c r="AA460" i="3"/>
  <c r="AA461" i="3"/>
  <c r="D51" i="10"/>
  <c r="H51" i="10" s="1"/>
  <c r="D462" i="3"/>
  <c r="E268" i="3"/>
  <c r="E60" i="10"/>
  <c r="I60" i="10" s="1"/>
  <c r="E471" i="3"/>
  <c r="D306" i="7" s="1"/>
  <c r="O270" i="3"/>
  <c r="O473" i="3"/>
  <c r="AB461" i="3"/>
  <c r="N260" i="3"/>
  <c r="T260" i="3" s="1"/>
  <c r="N463" i="3"/>
  <c r="T463" i="3" s="1"/>
  <c r="J258" i="3"/>
  <c r="G193" i="7" s="1"/>
  <c r="Q193" i="7" s="1"/>
  <c r="J461" i="3"/>
  <c r="G296" i="7" s="1"/>
  <c r="Q296" i="7" s="1"/>
  <c r="H258" i="3"/>
  <c r="H461" i="3"/>
  <c r="F461" i="3"/>
  <c r="G461" i="3" s="1"/>
  <c r="F50" i="10"/>
  <c r="J50" i="10" s="1"/>
  <c r="W457" i="3"/>
  <c r="Y458" i="3"/>
  <c r="AD458" i="3" s="1"/>
  <c r="F49" i="10"/>
  <c r="J49" i="10" s="1"/>
  <c r="F460" i="3"/>
  <c r="G460" i="3" s="1"/>
  <c r="Y456" i="3"/>
  <c r="AD456" i="3" s="1"/>
  <c r="W456" i="3"/>
  <c r="Y457" i="3"/>
  <c r="AD457" i="3" s="1"/>
  <c r="K714" i="6"/>
  <c r="J692" i="6"/>
  <c r="N692" i="6" s="1"/>
  <c r="I747" i="6"/>
  <c r="D747" i="6"/>
  <c r="E747" i="6"/>
  <c r="F747" i="6"/>
  <c r="G747" i="6"/>
  <c r="H747" i="6"/>
  <c r="C777" i="6"/>
  <c r="I746" i="6"/>
  <c r="D746" i="6"/>
  <c r="E746" i="6"/>
  <c r="F746" i="6"/>
  <c r="G746" i="6"/>
  <c r="H746" i="6"/>
  <c r="C776" i="6"/>
  <c r="I745" i="6"/>
  <c r="D745" i="6"/>
  <c r="E745" i="6"/>
  <c r="F745" i="6"/>
  <c r="G745" i="6"/>
  <c r="H745" i="6"/>
  <c r="C775" i="6"/>
  <c r="I744" i="6"/>
  <c r="D744" i="6"/>
  <c r="E744" i="6"/>
  <c r="F744" i="6"/>
  <c r="G744" i="6"/>
  <c r="H744" i="6"/>
  <c r="C774" i="6"/>
  <c r="I743" i="6"/>
  <c r="D743" i="6"/>
  <c r="E743" i="6"/>
  <c r="F743" i="6"/>
  <c r="G743" i="6"/>
  <c r="H743" i="6"/>
  <c r="C773" i="6"/>
  <c r="H742" i="6"/>
  <c r="D742" i="6"/>
  <c r="E742" i="6"/>
  <c r="F742" i="6"/>
  <c r="G742" i="6"/>
  <c r="I742" i="6"/>
  <c r="C772" i="6"/>
  <c r="H741" i="6"/>
  <c r="D741" i="6"/>
  <c r="E741" i="6"/>
  <c r="F741" i="6"/>
  <c r="G741" i="6"/>
  <c r="I741" i="6"/>
  <c r="C771" i="6"/>
  <c r="H740" i="6"/>
  <c r="D740" i="6"/>
  <c r="E740" i="6"/>
  <c r="F740" i="6"/>
  <c r="G740" i="6"/>
  <c r="I740" i="6"/>
  <c r="C770" i="6"/>
  <c r="H739" i="6"/>
  <c r="D739" i="6"/>
  <c r="E739" i="6"/>
  <c r="F739" i="6"/>
  <c r="G739" i="6"/>
  <c r="I739" i="6"/>
  <c r="C769" i="6"/>
  <c r="H738" i="6"/>
  <c r="D738" i="6"/>
  <c r="E738" i="6"/>
  <c r="F738" i="6"/>
  <c r="G738" i="6"/>
  <c r="I738" i="6"/>
  <c r="C768" i="6"/>
  <c r="H737" i="6"/>
  <c r="D737" i="6"/>
  <c r="E737" i="6"/>
  <c r="F737" i="6"/>
  <c r="G737" i="6"/>
  <c r="I737" i="6"/>
  <c r="C767" i="6"/>
  <c r="H736" i="6"/>
  <c r="D736" i="6"/>
  <c r="E736" i="6"/>
  <c r="F736" i="6"/>
  <c r="G736" i="6"/>
  <c r="I736" i="6"/>
  <c r="C766" i="6"/>
  <c r="H735" i="6"/>
  <c r="D735" i="6"/>
  <c r="E735" i="6"/>
  <c r="F735" i="6"/>
  <c r="G735" i="6"/>
  <c r="I735" i="6"/>
  <c r="C765" i="6"/>
  <c r="H734" i="6"/>
  <c r="D734" i="6"/>
  <c r="E734" i="6"/>
  <c r="F734" i="6"/>
  <c r="G734" i="6"/>
  <c r="I734" i="6"/>
  <c r="C764" i="6"/>
  <c r="H733" i="6"/>
  <c r="D733" i="6"/>
  <c r="E733" i="6"/>
  <c r="F733" i="6"/>
  <c r="G733" i="6"/>
  <c r="I733" i="6"/>
  <c r="C763" i="6"/>
  <c r="D732" i="6"/>
  <c r="G732" i="6"/>
  <c r="E732" i="6"/>
  <c r="F732" i="6"/>
  <c r="H732" i="6"/>
  <c r="I732" i="6"/>
  <c r="C762" i="6"/>
  <c r="D731" i="6"/>
  <c r="G731" i="6"/>
  <c r="E731" i="6"/>
  <c r="F731" i="6"/>
  <c r="H731" i="6"/>
  <c r="I731" i="6"/>
  <c r="C761" i="6"/>
  <c r="D730" i="6"/>
  <c r="G730" i="6"/>
  <c r="E730" i="6"/>
  <c r="F730" i="6"/>
  <c r="H730" i="6"/>
  <c r="I730" i="6"/>
  <c r="C760" i="6"/>
  <c r="D729" i="6"/>
  <c r="G729" i="6"/>
  <c r="E729" i="6"/>
  <c r="F729" i="6"/>
  <c r="H729" i="6"/>
  <c r="I729" i="6"/>
  <c r="C759" i="6"/>
  <c r="D728" i="6"/>
  <c r="G728" i="6"/>
  <c r="E728" i="6"/>
  <c r="F728" i="6"/>
  <c r="H728" i="6"/>
  <c r="I728" i="6"/>
  <c r="C758" i="6"/>
  <c r="D727" i="6"/>
  <c r="G727" i="6"/>
  <c r="E727" i="6"/>
  <c r="F727" i="6"/>
  <c r="H727" i="6"/>
  <c r="I727" i="6"/>
  <c r="C757" i="6"/>
  <c r="D726" i="6"/>
  <c r="G726" i="6"/>
  <c r="E726" i="6"/>
  <c r="F726" i="6"/>
  <c r="H726" i="6"/>
  <c r="I726" i="6"/>
  <c r="C756" i="6"/>
  <c r="D725" i="6"/>
  <c r="G725" i="6"/>
  <c r="E725" i="6"/>
  <c r="F725" i="6"/>
  <c r="H725" i="6"/>
  <c r="I725" i="6"/>
  <c r="C755" i="6"/>
  <c r="D724" i="6"/>
  <c r="G724" i="6"/>
  <c r="E724" i="6"/>
  <c r="F724" i="6"/>
  <c r="H724" i="6"/>
  <c r="I724" i="6"/>
  <c r="C754" i="6"/>
  <c r="D723" i="6"/>
  <c r="G723" i="6"/>
  <c r="E723" i="6"/>
  <c r="F723" i="6"/>
  <c r="H723" i="6"/>
  <c r="I723" i="6"/>
  <c r="C753" i="6"/>
  <c r="D722" i="6"/>
  <c r="E722" i="6"/>
  <c r="F722" i="6"/>
  <c r="G722" i="6"/>
  <c r="H722" i="6"/>
  <c r="I722" i="6"/>
  <c r="C752" i="6"/>
  <c r="I721" i="6"/>
  <c r="D721" i="6"/>
  <c r="E721" i="6"/>
  <c r="F721" i="6"/>
  <c r="G721" i="6"/>
  <c r="H721" i="6"/>
  <c r="C751" i="6"/>
  <c r="I720" i="6"/>
  <c r="D720" i="6"/>
  <c r="E720" i="6"/>
  <c r="F720" i="6"/>
  <c r="G720" i="6"/>
  <c r="H720" i="6"/>
  <c r="C750" i="6"/>
  <c r="I719" i="6"/>
  <c r="D719" i="6"/>
  <c r="E719" i="6"/>
  <c r="F719" i="6"/>
  <c r="G719" i="6"/>
  <c r="H719" i="6"/>
  <c r="C749" i="6"/>
  <c r="K700" i="6"/>
  <c r="K704" i="6"/>
  <c r="K709" i="6"/>
  <c r="K715" i="6"/>
  <c r="K706" i="6"/>
  <c r="K713" i="6"/>
  <c r="K697" i="6"/>
  <c r="K703" i="6"/>
  <c r="K705" i="6"/>
  <c r="K708" i="6"/>
  <c r="K707" i="6"/>
  <c r="K712" i="6"/>
  <c r="K710" i="6"/>
  <c r="K694" i="6"/>
  <c r="K690" i="6"/>
  <c r="K698" i="6"/>
  <c r="K695" i="6"/>
  <c r="K696" i="6"/>
  <c r="K716" i="6"/>
  <c r="K702" i="6"/>
  <c r="K717" i="6"/>
  <c r="K693" i="6"/>
  <c r="K711" i="6"/>
  <c r="K699" i="6"/>
  <c r="K739" i="6"/>
  <c r="K701" i="6"/>
  <c r="D718" i="6"/>
  <c r="E718" i="6"/>
  <c r="F718" i="6"/>
  <c r="G718" i="6"/>
  <c r="H718" i="6"/>
  <c r="I718" i="6"/>
  <c r="J718" i="6" s="1"/>
  <c r="N718" i="6" s="1"/>
  <c r="C748" i="6"/>
  <c r="J711" i="6"/>
  <c r="N711" i="6" s="1"/>
  <c r="J699" i="6"/>
  <c r="N699" i="6" s="1"/>
  <c r="J714" i="6"/>
  <c r="N714" i="6" s="1"/>
  <c r="J707" i="6"/>
  <c r="N707" i="6" s="1"/>
  <c r="J702" i="6"/>
  <c r="N702" i="6" s="1"/>
  <c r="J697" i="6"/>
  <c r="N697" i="6" s="1"/>
  <c r="J694" i="6"/>
  <c r="N694" i="6" s="1"/>
  <c r="J712" i="6"/>
  <c r="N712" i="6" s="1"/>
  <c r="J705" i="6"/>
  <c r="N705" i="6" s="1"/>
  <c r="J701" i="6"/>
  <c r="N701" i="6" s="1"/>
  <c r="J696" i="6"/>
  <c r="N696" i="6" s="1"/>
  <c r="J691" i="6"/>
  <c r="N691" i="6" s="1"/>
  <c r="J715" i="6"/>
  <c r="N715" i="6" s="1"/>
  <c r="J713" i="6"/>
  <c r="N713" i="6" s="1"/>
  <c r="J708" i="6"/>
  <c r="N708" i="6" s="1"/>
  <c r="J700" i="6"/>
  <c r="N700" i="6" s="1"/>
  <c r="J695" i="6"/>
  <c r="N695" i="6" s="1"/>
  <c r="J690" i="6"/>
  <c r="N690" i="6" s="1"/>
  <c r="J716" i="6"/>
  <c r="N716" i="6" s="1"/>
  <c r="J709" i="6"/>
  <c r="N709" i="6" s="1"/>
  <c r="J704" i="6"/>
  <c r="N704" i="6" s="1"/>
  <c r="J698" i="6"/>
  <c r="N698" i="6" s="1"/>
  <c r="J717" i="6"/>
  <c r="N717" i="6" s="1"/>
  <c r="J710" i="6"/>
  <c r="N710" i="6" s="1"/>
  <c r="J706" i="6"/>
  <c r="N706" i="6" s="1"/>
  <c r="J703" i="6"/>
  <c r="N703" i="6" s="1"/>
  <c r="J693" i="6"/>
  <c r="N693" i="6" s="1"/>
  <c r="J689" i="6"/>
  <c r="N689" i="6" s="1"/>
  <c r="J688" i="6"/>
  <c r="N688" i="6" s="1"/>
  <c r="K692" i="6"/>
  <c r="AA257" i="3"/>
  <c r="D259" i="3"/>
  <c r="AB258" i="3"/>
  <c r="Z258" i="3"/>
  <c r="C57" i="3"/>
  <c r="M260" i="3"/>
  <c r="S260" i="3" s="1"/>
  <c r="G55" i="3"/>
  <c r="F258" i="3"/>
  <c r="G258" i="3" s="1"/>
  <c r="W254" i="3"/>
  <c r="G54" i="3"/>
  <c r="F257" i="3"/>
  <c r="G257" i="3" s="1"/>
  <c r="Y253" i="3"/>
  <c r="AD253" i="3" s="1"/>
  <c r="W253" i="3"/>
  <c r="Y254" i="3"/>
  <c r="AD254" i="3" s="1"/>
  <c r="U104" i="3"/>
  <c r="E102" i="3"/>
  <c r="D95" i="7"/>
  <c r="X236" i="7"/>
  <c r="AI236" i="7"/>
  <c r="AI93" i="7"/>
  <c r="X93" i="7"/>
  <c r="AI339" i="7"/>
  <c r="X339" i="7"/>
  <c r="R193" i="7"/>
  <c r="Z56" i="3"/>
  <c r="W50" i="7"/>
  <c r="AH50" i="7"/>
  <c r="AH295" i="7"/>
  <c r="W295" i="7"/>
  <c r="AH192" i="7"/>
  <c r="W192" i="7"/>
  <c r="AG51" i="7"/>
  <c r="V51" i="7"/>
  <c r="C51" i="7"/>
  <c r="C296" i="7"/>
  <c r="C193" i="7"/>
  <c r="AA258" i="3"/>
  <c r="D57" i="3"/>
  <c r="AI201" i="7"/>
  <c r="X201" i="7"/>
  <c r="X304" i="7"/>
  <c r="AI304" i="7"/>
  <c r="AI58" i="7"/>
  <c r="X58" i="7"/>
  <c r="D203" i="7"/>
  <c r="D60" i="7"/>
  <c r="E67" i="3"/>
  <c r="U69" i="3"/>
  <c r="R51" i="7"/>
  <c r="K297" i="7"/>
  <c r="AD297" i="7" s="1"/>
  <c r="U462" i="3"/>
  <c r="AB462" i="3" s="1"/>
  <c r="K194" i="7"/>
  <c r="AD194" i="7" s="1"/>
  <c r="AB259" i="3"/>
  <c r="R296" i="7"/>
  <c r="AB56" i="3"/>
  <c r="AD51" i="3"/>
  <c r="K52" i="7"/>
  <c r="AD52" i="7" s="1"/>
  <c r="AA56" i="3"/>
  <c r="J297" i="7"/>
  <c r="AC297" i="7" s="1"/>
  <c r="J194" i="7"/>
  <c r="AC194" i="7" s="1"/>
  <c r="J52" i="7"/>
  <c r="AC52" i="7" s="1"/>
  <c r="T58" i="3"/>
  <c r="I297" i="7"/>
  <c r="AB297" i="7" s="1"/>
  <c r="Z259" i="3"/>
  <c r="I194" i="7"/>
  <c r="AB194" i="7" s="1"/>
  <c r="I52" i="7"/>
  <c r="AB52" i="7" s="1"/>
  <c r="G50" i="7"/>
  <c r="Q50" i="7" s="1"/>
  <c r="P50" i="7"/>
  <c r="R56" i="3"/>
  <c r="E191" i="7"/>
  <c r="E294" i="7"/>
  <c r="Y48" i="7"/>
  <c r="N48" i="7" s="1"/>
  <c r="AJ48" i="7"/>
  <c r="S48" i="7" s="1"/>
  <c r="W55" i="3"/>
  <c r="E50" i="7"/>
  <c r="M50" i="7" s="1"/>
  <c r="Y292" i="7"/>
  <c r="N292" i="7" s="1"/>
  <c r="AJ292" i="7"/>
  <c r="S292" i="7" s="1"/>
  <c r="AJ189" i="7"/>
  <c r="S189" i="7" s="1"/>
  <c r="Y189" i="7"/>
  <c r="N189" i="7" s="1"/>
  <c r="E293" i="7"/>
  <c r="E49" i="7"/>
  <c r="M49" i="7" s="1"/>
  <c r="W54" i="3"/>
  <c r="Y47" i="7"/>
  <c r="N47" i="7" s="1"/>
  <c r="AJ47" i="7"/>
  <c r="S47" i="7" s="1"/>
  <c r="Y255" i="3"/>
  <c r="AD255" i="3" s="1"/>
  <c r="E190" i="7"/>
  <c r="Y188" i="7"/>
  <c r="N188" i="7" s="1"/>
  <c r="AJ188" i="7"/>
  <c r="S188" i="7" s="1"/>
  <c r="Y291" i="7"/>
  <c r="N291" i="7" s="1"/>
  <c r="AJ291" i="7"/>
  <c r="S291" i="7" s="1"/>
  <c r="Y53" i="3"/>
  <c r="R15" i="13" s="1"/>
  <c r="BQ15" i="13" s="1"/>
  <c r="Y52" i="3"/>
  <c r="AM46" i="7" l="1"/>
  <c r="AR46" i="7"/>
  <c r="AO49" i="7"/>
  <c r="Z17" i="12"/>
  <c r="CJ17" i="12"/>
  <c r="AQ50" i="7"/>
  <c r="AP50" i="7"/>
  <c r="R258" i="3"/>
  <c r="F193" i="7"/>
  <c r="P193" i="7" s="1"/>
  <c r="AM45" i="7"/>
  <c r="AR45" i="7"/>
  <c r="EG17" i="13"/>
  <c r="EM17" i="13" s="1"/>
  <c r="ER17" i="13"/>
  <c r="EK16" i="13"/>
  <c r="EJ17" i="13"/>
  <c r="S17" i="13"/>
  <c r="CO17" i="13" s="1"/>
  <c r="U17" i="13"/>
  <c r="DI17" i="13" s="1"/>
  <c r="W17" i="13"/>
  <c r="Y17" i="13"/>
  <c r="CJ17" i="13"/>
  <c r="AH17" i="13"/>
  <c r="AL17" i="13" s="1"/>
  <c r="BS17" i="13" s="1"/>
  <c r="AG17" i="13"/>
  <c r="AK17" i="13" s="1"/>
  <c r="DK17" i="13" s="1"/>
  <c r="AF17" i="13"/>
  <c r="AJ17" i="13" s="1"/>
  <c r="DA17" i="13" s="1"/>
  <c r="AE17" i="13"/>
  <c r="AI17" i="13" s="1"/>
  <c r="CQ17" i="13" s="1"/>
  <c r="T17" i="13"/>
  <c r="CY17" i="13" s="1"/>
  <c r="V17" i="13"/>
  <c r="X17" i="13"/>
  <c r="Z17" i="13"/>
  <c r="L18" i="13"/>
  <c r="AN18" i="13" s="1"/>
  <c r="AQ18" i="13" s="1"/>
  <c r="BU18" i="13" s="1"/>
  <c r="K18" i="13"/>
  <c r="AP17" i="13"/>
  <c r="AS17" i="13" s="1"/>
  <c r="DV17" i="13" s="1"/>
  <c r="DZ17" i="13" s="1"/>
  <c r="ED17" i="13" s="1"/>
  <c r="CG17" i="13"/>
  <c r="M18" i="13"/>
  <c r="Q17" i="13"/>
  <c r="DZ16" i="12"/>
  <c r="V194" i="7"/>
  <c r="AG194" i="7"/>
  <c r="F296" i="7"/>
  <c r="P296" i="7" s="1"/>
  <c r="R461" i="3"/>
  <c r="M464" i="3"/>
  <c r="S464" i="3" s="1"/>
  <c r="S58" i="3"/>
  <c r="CG17" i="12"/>
  <c r="W17" i="12"/>
  <c r="X17" i="12"/>
  <c r="Y17" i="12"/>
  <c r="AR17" i="12"/>
  <c r="AZ17" i="12" s="1"/>
  <c r="AM17" i="12"/>
  <c r="BT17" i="12" s="1"/>
  <c r="M18" i="12"/>
  <c r="L18" i="12"/>
  <c r="AN18" i="12" s="1"/>
  <c r="AP17" i="12"/>
  <c r="AE17" i="12"/>
  <c r="AF17" i="12"/>
  <c r="AG17" i="12"/>
  <c r="AH17" i="12"/>
  <c r="Q17" i="12"/>
  <c r="AY17" i="12" s="1"/>
  <c r="K18" i="12"/>
  <c r="U17" i="12"/>
  <c r="DI17" i="12" s="1"/>
  <c r="T17" i="12"/>
  <c r="CY17" i="12" s="1"/>
  <c r="S17" i="12"/>
  <c r="CO17" i="12" s="1"/>
  <c r="R17" i="12"/>
  <c r="BQ17" i="12" s="1"/>
  <c r="V17" i="12"/>
  <c r="V296" i="7"/>
  <c r="AG296" i="7"/>
  <c r="B297" i="7"/>
  <c r="C260" i="3"/>
  <c r="B195" i="7" s="1"/>
  <c r="C463" i="3"/>
  <c r="Z463" i="3" s="1"/>
  <c r="C52" i="10"/>
  <c r="G52" i="10" s="1"/>
  <c r="O307" i="3"/>
  <c r="O510" i="3"/>
  <c r="E305" i="3"/>
  <c r="D240" i="7" s="1"/>
  <c r="E97" i="10"/>
  <c r="I97" i="10" s="1"/>
  <c r="E508" i="3"/>
  <c r="D343" i="7" s="1"/>
  <c r="D52" i="10"/>
  <c r="H52" i="10" s="1"/>
  <c r="D463" i="3"/>
  <c r="E270" i="3"/>
  <c r="D205" i="7" s="1"/>
  <c r="E62" i="10"/>
  <c r="I62" i="10" s="1"/>
  <c r="E473" i="3"/>
  <c r="D308" i="7" s="1"/>
  <c r="O272" i="3"/>
  <c r="O475" i="3"/>
  <c r="N261" i="3"/>
  <c r="T261" i="3" s="1"/>
  <c r="N464" i="3"/>
  <c r="T464" i="3" s="1"/>
  <c r="J259" i="3"/>
  <c r="G194" i="7" s="1"/>
  <c r="Q194" i="7" s="1"/>
  <c r="J462" i="3"/>
  <c r="G297" i="7" s="1"/>
  <c r="Q297" i="7" s="1"/>
  <c r="H259" i="3"/>
  <c r="H462" i="3"/>
  <c r="W459" i="3"/>
  <c r="Y460" i="3"/>
  <c r="AD460" i="3" s="1"/>
  <c r="F260" i="3"/>
  <c r="F463" i="3"/>
  <c r="F52" i="10"/>
  <c r="J52" i="10" s="1"/>
  <c r="W458" i="3"/>
  <c r="Y459" i="3"/>
  <c r="AD459" i="3" s="1"/>
  <c r="F462" i="3"/>
  <c r="G462" i="3" s="1"/>
  <c r="F51" i="10"/>
  <c r="J51" i="10" s="1"/>
  <c r="K737" i="6"/>
  <c r="K732" i="6"/>
  <c r="J720" i="6"/>
  <c r="N720" i="6" s="1"/>
  <c r="K725" i="6"/>
  <c r="K741" i="6"/>
  <c r="K733" i="6"/>
  <c r="K724" i="6"/>
  <c r="K722" i="6"/>
  <c r="K731" i="6"/>
  <c r="K727" i="6"/>
  <c r="K730" i="6"/>
  <c r="K747" i="6"/>
  <c r="K718" i="6"/>
  <c r="K743" i="6"/>
  <c r="K745" i="6"/>
  <c r="K746" i="6"/>
  <c r="K726" i="6"/>
  <c r="K721" i="6"/>
  <c r="K742" i="6"/>
  <c r="K723" i="6"/>
  <c r="K719" i="6"/>
  <c r="K744" i="6"/>
  <c r="K740" i="6"/>
  <c r="I777" i="6"/>
  <c r="D777" i="6"/>
  <c r="E777" i="6"/>
  <c r="F777" i="6"/>
  <c r="G777" i="6"/>
  <c r="H777" i="6"/>
  <c r="C807" i="6"/>
  <c r="I776" i="6"/>
  <c r="D776" i="6"/>
  <c r="E776" i="6"/>
  <c r="F776" i="6"/>
  <c r="G776" i="6"/>
  <c r="H776" i="6"/>
  <c r="C806" i="6"/>
  <c r="I775" i="6"/>
  <c r="D775" i="6"/>
  <c r="E775" i="6"/>
  <c r="F775" i="6"/>
  <c r="G775" i="6"/>
  <c r="H775" i="6"/>
  <c r="C805" i="6"/>
  <c r="I774" i="6"/>
  <c r="D774" i="6"/>
  <c r="E774" i="6"/>
  <c r="F774" i="6"/>
  <c r="G774" i="6"/>
  <c r="H774" i="6"/>
  <c r="C804" i="6"/>
  <c r="I773" i="6"/>
  <c r="D773" i="6"/>
  <c r="E773" i="6"/>
  <c r="F773" i="6"/>
  <c r="G773" i="6"/>
  <c r="H773" i="6"/>
  <c r="C803" i="6"/>
  <c r="H772" i="6"/>
  <c r="D772" i="6"/>
  <c r="E772" i="6"/>
  <c r="F772" i="6"/>
  <c r="G772" i="6"/>
  <c r="I772" i="6"/>
  <c r="C802" i="6"/>
  <c r="H771" i="6"/>
  <c r="D771" i="6"/>
  <c r="E771" i="6"/>
  <c r="F771" i="6"/>
  <c r="G771" i="6"/>
  <c r="I771" i="6"/>
  <c r="C801" i="6"/>
  <c r="H770" i="6"/>
  <c r="D770" i="6"/>
  <c r="E770" i="6"/>
  <c r="F770" i="6"/>
  <c r="G770" i="6"/>
  <c r="I770" i="6"/>
  <c r="C800" i="6"/>
  <c r="H769" i="6"/>
  <c r="D769" i="6"/>
  <c r="E769" i="6"/>
  <c r="F769" i="6"/>
  <c r="G769" i="6"/>
  <c r="I769" i="6"/>
  <c r="C799" i="6"/>
  <c r="H768" i="6"/>
  <c r="D768" i="6"/>
  <c r="E768" i="6"/>
  <c r="F768" i="6"/>
  <c r="G768" i="6"/>
  <c r="I768" i="6"/>
  <c r="C798" i="6"/>
  <c r="H767" i="6"/>
  <c r="D767" i="6"/>
  <c r="E767" i="6"/>
  <c r="F767" i="6"/>
  <c r="G767" i="6"/>
  <c r="I767" i="6"/>
  <c r="C797" i="6"/>
  <c r="H766" i="6"/>
  <c r="D766" i="6"/>
  <c r="E766" i="6"/>
  <c r="F766" i="6"/>
  <c r="G766" i="6"/>
  <c r="I766" i="6"/>
  <c r="C796" i="6"/>
  <c r="H765" i="6"/>
  <c r="D765" i="6"/>
  <c r="E765" i="6"/>
  <c r="F765" i="6"/>
  <c r="G765" i="6"/>
  <c r="I765" i="6"/>
  <c r="C795" i="6"/>
  <c r="H764" i="6"/>
  <c r="D764" i="6"/>
  <c r="E764" i="6"/>
  <c r="F764" i="6"/>
  <c r="G764" i="6"/>
  <c r="I764" i="6"/>
  <c r="C794" i="6"/>
  <c r="H763" i="6"/>
  <c r="D763" i="6"/>
  <c r="E763" i="6"/>
  <c r="F763" i="6"/>
  <c r="G763" i="6"/>
  <c r="I763" i="6"/>
  <c r="C793" i="6"/>
  <c r="D762" i="6"/>
  <c r="G762" i="6"/>
  <c r="E762" i="6"/>
  <c r="F762" i="6"/>
  <c r="H762" i="6"/>
  <c r="I762" i="6"/>
  <c r="C792" i="6"/>
  <c r="D761" i="6"/>
  <c r="G761" i="6"/>
  <c r="E761" i="6"/>
  <c r="F761" i="6"/>
  <c r="H761" i="6"/>
  <c r="I761" i="6"/>
  <c r="C791" i="6"/>
  <c r="D760" i="6"/>
  <c r="G760" i="6"/>
  <c r="E760" i="6"/>
  <c r="F760" i="6"/>
  <c r="H760" i="6"/>
  <c r="I760" i="6"/>
  <c r="C790" i="6"/>
  <c r="D759" i="6"/>
  <c r="G759" i="6"/>
  <c r="E759" i="6"/>
  <c r="F759" i="6"/>
  <c r="H759" i="6"/>
  <c r="I759" i="6"/>
  <c r="C789" i="6"/>
  <c r="D758" i="6"/>
  <c r="G758" i="6"/>
  <c r="E758" i="6"/>
  <c r="F758" i="6"/>
  <c r="H758" i="6"/>
  <c r="I758" i="6"/>
  <c r="C788" i="6"/>
  <c r="D757" i="6"/>
  <c r="G757" i="6"/>
  <c r="E757" i="6"/>
  <c r="F757" i="6"/>
  <c r="H757" i="6"/>
  <c r="I757" i="6"/>
  <c r="C787" i="6"/>
  <c r="D756" i="6"/>
  <c r="G756" i="6"/>
  <c r="E756" i="6"/>
  <c r="F756" i="6"/>
  <c r="H756" i="6"/>
  <c r="I756" i="6"/>
  <c r="C786" i="6"/>
  <c r="D755" i="6"/>
  <c r="G755" i="6"/>
  <c r="E755" i="6"/>
  <c r="F755" i="6"/>
  <c r="H755" i="6"/>
  <c r="I755" i="6"/>
  <c r="C785" i="6"/>
  <c r="D754" i="6"/>
  <c r="G754" i="6"/>
  <c r="E754" i="6"/>
  <c r="F754" i="6"/>
  <c r="H754" i="6"/>
  <c r="I754" i="6"/>
  <c r="C784" i="6"/>
  <c r="D753" i="6"/>
  <c r="G753" i="6"/>
  <c r="E753" i="6"/>
  <c r="F753" i="6"/>
  <c r="H753" i="6"/>
  <c r="I753" i="6"/>
  <c r="C783" i="6"/>
  <c r="I752" i="6"/>
  <c r="D752" i="6"/>
  <c r="E752" i="6"/>
  <c r="F752" i="6"/>
  <c r="G752" i="6"/>
  <c r="H752" i="6"/>
  <c r="C782" i="6"/>
  <c r="I751" i="6"/>
  <c r="D751" i="6"/>
  <c r="E751" i="6"/>
  <c r="F751" i="6"/>
  <c r="G751" i="6"/>
  <c r="H751" i="6"/>
  <c r="C781" i="6"/>
  <c r="I750" i="6"/>
  <c r="D750" i="6"/>
  <c r="E750" i="6"/>
  <c r="F750" i="6"/>
  <c r="G750" i="6"/>
  <c r="H750" i="6"/>
  <c r="C780" i="6"/>
  <c r="I749" i="6"/>
  <c r="D749" i="6"/>
  <c r="E749" i="6"/>
  <c r="F749" i="6"/>
  <c r="G749" i="6"/>
  <c r="H749" i="6"/>
  <c r="C779" i="6"/>
  <c r="K736" i="6"/>
  <c r="K735" i="6"/>
  <c r="K728" i="6"/>
  <c r="K734" i="6"/>
  <c r="K729" i="6"/>
  <c r="I748" i="6"/>
  <c r="D748" i="6"/>
  <c r="E748" i="6"/>
  <c r="F748" i="6"/>
  <c r="G748" i="6"/>
  <c r="J748" i="6" s="1"/>
  <c r="N748" i="6" s="1"/>
  <c r="H748" i="6"/>
  <c r="C778" i="6"/>
  <c r="J746" i="6"/>
  <c r="N746" i="6" s="1"/>
  <c r="J742" i="6"/>
  <c r="N742" i="6" s="1"/>
  <c r="J738" i="6"/>
  <c r="N738" i="6" s="1"/>
  <c r="J735" i="6"/>
  <c r="N735" i="6" s="1"/>
  <c r="J729" i="6"/>
  <c r="N729" i="6" s="1"/>
  <c r="J726" i="6"/>
  <c r="N726" i="6" s="1"/>
  <c r="J723" i="6"/>
  <c r="N723" i="6" s="1"/>
  <c r="J719" i="6"/>
  <c r="N719" i="6" s="1"/>
  <c r="J747" i="6"/>
  <c r="N747" i="6" s="1"/>
  <c r="J743" i="6"/>
  <c r="N743" i="6" s="1"/>
  <c r="J740" i="6"/>
  <c r="N740" i="6" s="1"/>
  <c r="J737" i="6"/>
  <c r="N737" i="6" s="1"/>
  <c r="J734" i="6"/>
  <c r="N734" i="6" s="1"/>
  <c r="J731" i="6"/>
  <c r="N731" i="6" s="1"/>
  <c r="J727" i="6"/>
  <c r="N727" i="6" s="1"/>
  <c r="J724" i="6"/>
  <c r="N724" i="6" s="1"/>
  <c r="J744" i="6"/>
  <c r="N744" i="6" s="1"/>
  <c r="J736" i="6"/>
  <c r="N736" i="6" s="1"/>
  <c r="J732" i="6"/>
  <c r="N732" i="6" s="1"/>
  <c r="J728" i="6"/>
  <c r="N728" i="6" s="1"/>
  <c r="J725" i="6"/>
  <c r="N725" i="6" s="1"/>
  <c r="J721" i="6"/>
  <c r="N721" i="6" s="1"/>
  <c r="J745" i="6"/>
  <c r="N745" i="6" s="1"/>
  <c r="J741" i="6"/>
  <c r="N741" i="6" s="1"/>
  <c r="J739" i="6"/>
  <c r="N739" i="6" s="1"/>
  <c r="J733" i="6"/>
  <c r="N733" i="6" s="1"/>
  <c r="J730" i="6"/>
  <c r="N730" i="6" s="1"/>
  <c r="J722" i="6"/>
  <c r="N722" i="6" s="1"/>
  <c r="K720" i="6"/>
  <c r="K738" i="6"/>
  <c r="D260" i="3"/>
  <c r="C58" i="3"/>
  <c r="M261" i="3"/>
  <c r="S261" i="3" s="1"/>
  <c r="W256" i="3"/>
  <c r="G56" i="3"/>
  <c r="F259" i="3"/>
  <c r="G259" i="3" s="1"/>
  <c r="W255" i="3"/>
  <c r="Y256" i="3"/>
  <c r="AD256" i="3" s="1"/>
  <c r="U106" i="3"/>
  <c r="E104" i="3"/>
  <c r="D97" i="7"/>
  <c r="AI95" i="7"/>
  <c r="X95" i="7"/>
  <c r="X238" i="7"/>
  <c r="AI238" i="7"/>
  <c r="AI341" i="7"/>
  <c r="X341" i="7"/>
  <c r="AA57" i="3"/>
  <c r="AB57" i="3"/>
  <c r="Y54" i="3"/>
  <c r="W51" i="7"/>
  <c r="AH51" i="7"/>
  <c r="W296" i="7"/>
  <c r="AH296" i="7"/>
  <c r="W193" i="7"/>
  <c r="AH193" i="7"/>
  <c r="AG52" i="7"/>
  <c r="V52" i="7"/>
  <c r="C52" i="7"/>
  <c r="G57" i="3"/>
  <c r="C297" i="7"/>
  <c r="C194" i="7"/>
  <c r="D58" i="3"/>
  <c r="AI203" i="7"/>
  <c r="X203" i="7"/>
  <c r="AI306" i="7"/>
  <c r="X306" i="7"/>
  <c r="X60" i="7"/>
  <c r="AI60" i="7"/>
  <c r="D62" i="7"/>
  <c r="E69" i="3"/>
  <c r="U71" i="3"/>
  <c r="K195" i="7"/>
  <c r="AD195" i="7" s="1"/>
  <c r="K298" i="7"/>
  <c r="AD298" i="7" s="1"/>
  <c r="U463" i="3"/>
  <c r="K53" i="7"/>
  <c r="AD53" i="7" s="1"/>
  <c r="K196" i="7"/>
  <c r="AD196" i="7" s="1"/>
  <c r="K299" i="7"/>
  <c r="AD299" i="7" s="1"/>
  <c r="T59" i="3"/>
  <c r="J53" i="7"/>
  <c r="AC53" i="7" s="1"/>
  <c r="J195" i="7"/>
  <c r="AC195" i="7" s="1"/>
  <c r="J298" i="7"/>
  <c r="AC298" i="7" s="1"/>
  <c r="Z57" i="3"/>
  <c r="I195" i="7"/>
  <c r="AB195" i="7" s="1"/>
  <c r="I53" i="7"/>
  <c r="AB53" i="7" s="1"/>
  <c r="I298" i="7"/>
  <c r="AB298" i="7" s="1"/>
  <c r="G51" i="7"/>
  <c r="Q51" i="7" s="1"/>
  <c r="R57" i="3"/>
  <c r="P51" i="7"/>
  <c r="Y191" i="7"/>
  <c r="N191" i="7" s="1"/>
  <c r="AJ191" i="7"/>
  <c r="S191" i="7" s="1"/>
  <c r="Y294" i="7"/>
  <c r="N294" i="7" s="1"/>
  <c r="AJ294" i="7"/>
  <c r="S294" i="7" s="1"/>
  <c r="E193" i="7"/>
  <c r="E296" i="7"/>
  <c r="E52" i="7"/>
  <c r="M52" i="7" s="1"/>
  <c r="Y50" i="7"/>
  <c r="N50" i="7" s="1"/>
  <c r="AJ50" i="7"/>
  <c r="S50" i="7" s="1"/>
  <c r="Y293" i="7"/>
  <c r="N293" i="7" s="1"/>
  <c r="AJ293" i="7"/>
  <c r="S293" i="7" s="1"/>
  <c r="E295" i="7"/>
  <c r="E51" i="7"/>
  <c r="M51" i="7" s="1"/>
  <c r="W56" i="3"/>
  <c r="E192" i="7"/>
  <c r="Y257" i="3"/>
  <c r="AD257" i="3" s="1"/>
  <c r="Y49" i="7"/>
  <c r="N49" i="7" s="1"/>
  <c r="AJ49" i="7"/>
  <c r="S49" i="7" s="1"/>
  <c r="Y190" i="7"/>
  <c r="N190" i="7" s="1"/>
  <c r="AM47" i="7" s="1"/>
  <c r="AJ190" i="7"/>
  <c r="S190" i="7" s="1"/>
  <c r="AD53" i="3"/>
  <c r="AD52" i="3"/>
  <c r="R297" i="7"/>
  <c r="R194" i="7"/>
  <c r="AQ51" i="7" s="1"/>
  <c r="R52" i="7"/>
  <c r="Y55" i="3"/>
  <c r="AR47" i="7" l="1"/>
  <c r="AO50" i="7"/>
  <c r="AM48" i="7"/>
  <c r="AR48" i="7"/>
  <c r="AP51" i="7"/>
  <c r="AY17" i="13"/>
  <c r="N18" i="13"/>
  <c r="AM18" i="13" s="1"/>
  <c r="BT18" i="13" s="1"/>
  <c r="EF18" i="13"/>
  <c r="EL18" i="13" s="1"/>
  <c r="FE18" i="13" s="1"/>
  <c r="AA17" i="13"/>
  <c r="CP17" i="13" s="1"/>
  <c r="AC17" i="13"/>
  <c r="DJ17" i="13" s="1"/>
  <c r="AB17" i="13"/>
  <c r="CZ17" i="13" s="1"/>
  <c r="AD17" i="13"/>
  <c r="BR17" i="13" s="1"/>
  <c r="AO18" i="13"/>
  <c r="AR18" i="13" s="1"/>
  <c r="AZ18" i="13" s="1"/>
  <c r="ED16" i="12"/>
  <c r="G260" i="3"/>
  <c r="AG195" i="7"/>
  <c r="V195" i="7"/>
  <c r="F194" i="7"/>
  <c r="P194" i="7" s="1"/>
  <c r="R259" i="3"/>
  <c r="F297" i="7"/>
  <c r="P297" i="7" s="1"/>
  <c r="R462" i="3"/>
  <c r="M465" i="3"/>
  <c r="S465" i="3" s="1"/>
  <c r="S59" i="3"/>
  <c r="AA17" i="12"/>
  <c r="CP17" i="12" s="1"/>
  <c r="AB17" i="12"/>
  <c r="CZ17" i="12" s="1"/>
  <c r="AC17" i="12"/>
  <c r="DJ17" i="12" s="1"/>
  <c r="AD17" i="12"/>
  <c r="BR17" i="12" s="1"/>
  <c r="AQ18" i="12"/>
  <c r="BU18" i="12" s="1"/>
  <c r="AS17" i="12"/>
  <c r="DV17" i="12" s="1"/>
  <c r="AO18" i="12"/>
  <c r="AI17" i="12"/>
  <c r="CQ17" i="12" s="1"/>
  <c r="AJ17" i="12"/>
  <c r="DA17" i="12" s="1"/>
  <c r="AK17" i="12"/>
  <c r="DK17" i="12" s="1"/>
  <c r="AL17" i="12"/>
  <c r="BS17" i="12" s="1"/>
  <c r="N18" i="12"/>
  <c r="Z18" i="12" s="1"/>
  <c r="AG297" i="7"/>
  <c r="V297" i="7"/>
  <c r="B298" i="7"/>
  <c r="G463" i="3"/>
  <c r="C261" i="3"/>
  <c r="B196" i="7" s="1"/>
  <c r="C53" i="10"/>
  <c r="G53" i="10" s="1"/>
  <c r="C464" i="3"/>
  <c r="O309" i="3"/>
  <c r="O512" i="3"/>
  <c r="E307" i="3"/>
  <c r="D242" i="7" s="1"/>
  <c r="E510" i="3"/>
  <c r="D345" i="7" s="1"/>
  <c r="E99" i="10"/>
  <c r="I99" i="10" s="1"/>
  <c r="AA463" i="3"/>
  <c r="AA462" i="3"/>
  <c r="D464" i="3"/>
  <c r="D53" i="10"/>
  <c r="H53" i="10" s="1"/>
  <c r="E272" i="3"/>
  <c r="D207" i="7" s="1"/>
  <c r="E475" i="3"/>
  <c r="D310" i="7" s="1"/>
  <c r="E64" i="10"/>
  <c r="I64" i="10" s="1"/>
  <c r="O274" i="3"/>
  <c r="O477" i="3"/>
  <c r="AB466" i="3"/>
  <c r="AB465" i="3"/>
  <c r="AB464" i="3"/>
  <c r="AB463" i="3"/>
  <c r="N262" i="3"/>
  <c r="T262" i="3" s="1"/>
  <c r="N465" i="3"/>
  <c r="T465" i="3" s="1"/>
  <c r="J260" i="3"/>
  <c r="G195" i="7" s="1"/>
  <c r="Q195" i="7" s="1"/>
  <c r="J463" i="3"/>
  <c r="G298" i="7" s="1"/>
  <c r="Q298" i="7" s="1"/>
  <c r="H260" i="3"/>
  <c r="R260" i="3" s="1"/>
  <c r="H463" i="3"/>
  <c r="R463" i="3" s="1"/>
  <c r="W461" i="3"/>
  <c r="Y462" i="3"/>
  <c r="AD462" i="3" s="1"/>
  <c r="F262" i="3"/>
  <c r="F465" i="3"/>
  <c r="F54" i="10"/>
  <c r="J54" i="10" s="1"/>
  <c r="W460" i="3"/>
  <c r="Y461" i="3"/>
  <c r="AD461" i="3" s="1"/>
  <c r="F261" i="3"/>
  <c r="F464" i="3"/>
  <c r="F53" i="10"/>
  <c r="J53" i="10" s="1"/>
  <c r="K772" i="6"/>
  <c r="J749" i="6"/>
  <c r="N749" i="6" s="1"/>
  <c r="I807" i="6"/>
  <c r="G807" i="6"/>
  <c r="D807" i="6"/>
  <c r="F807" i="6"/>
  <c r="E807" i="6"/>
  <c r="C837" i="6"/>
  <c r="H807" i="6"/>
  <c r="I806" i="6"/>
  <c r="F806" i="6"/>
  <c r="E806" i="6"/>
  <c r="G806" i="6"/>
  <c r="C836" i="6"/>
  <c r="H806" i="6"/>
  <c r="D806" i="6"/>
  <c r="I805" i="6"/>
  <c r="E805" i="6"/>
  <c r="G805" i="6"/>
  <c r="C835" i="6"/>
  <c r="D805" i="6"/>
  <c r="F805" i="6"/>
  <c r="H805" i="6"/>
  <c r="I804" i="6"/>
  <c r="C834" i="6"/>
  <c r="H804" i="6"/>
  <c r="F804" i="6"/>
  <c r="E804" i="6"/>
  <c r="G804" i="6"/>
  <c r="D804" i="6"/>
  <c r="I803" i="6"/>
  <c r="C833" i="6"/>
  <c r="F803" i="6"/>
  <c r="D803" i="6"/>
  <c r="G803" i="6"/>
  <c r="H803" i="6"/>
  <c r="E803" i="6"/>
  <c r="H802" i="6"/>
  <c r="D802" i="6"/>
  <c r="E802" i="6"/>
  <c r="C832" i="6"/>
  <c r="G802" i="6"/>
  <c r="I802" i="6"/>
  <c r="F802" i="6"/>
  <c r="H801" i="6"/>
  <c r="C831" i="6"/>
  <c r="D801" i="6"/>
  <c r="F801" i="6"/>
  <c r="E801" i="6"/>
  <c r="G801" i="6"/>
  <c r="I801" i="6"/>
  <c r="H800" i="6"/>
  <c r="E800" i="6"/>
  <c r="I800" i="6"/>
  <c r="D800" i="6"/>
  <c r="C830" i="6"/>
  <c r="F800" i="6"/>
  <c r="G800" i="6"/>
  <c r="H799" i="6"/>
  <c r="I799" i="6"/>
  <c r="D799" i="6"/>
  <c r="G799" i="6"/>
  <c r="C829" i="6"/>
  <c r="F799" i="6"/>
  <c r="E799" i="6"/>
  <c r="H798" i="6"/>
  <c r="G798" i="6"/>
  <c r="F798" i="6"/>
  <c r="C828" i="6"/>
  <c r="E798" i="6"/>
  <c r="I798" i="6"/>
  <c r="D798" i="6"/>
  <c r="H797" i="6"/>
  <c r="G797" i="6"/>
  <c r="D797" i="6"/>
  <c r="I797" i="6"/>
  <c r="E797" i="6"/>
  <c r="F797" i="6"/>
  <c r="C827" i="6"/>
  <c r="H796" i="6"/>
  <c r="F796" i="6"/>
  <c r="I796" i="6"/>
  <c r="C826" i="6"/>
  <c r="E796" i="6"/>
  <c r="G796" i="6"/>
  <c r="D796" i="6"/>
  <c r="H795" i="6"/>
  <c r="D795" i="6"/>
  <c r="F795" i="6"/>
  <c r="E795" i="6"/>
  <c r="G795" i="6"/>
  <c r="C825" i="6"/>
  <c r="I795" i="6"/>
  <c r="H794" i="6"/>
  <c r="D794" i="6"/>
  <c r="F794" i="6"/>
  <c r="G794" i="6"/>
  <c r="E794" i="6"/>
  <c r="I794" i="6"/>
  <c r="C824" i="6"/>
  <c r="H793" i="6"/>
  <c r="D793" i="6"/>
  <c r="C823" i="6"/>
  <c r="E793" i="6"/>
  <c r="F793" i="6"/>
  <c r="G793" i="6"/>
  <c r="I793" i="6"/>
  <c r="D792" i="6"/>
  <c r="G792" i="6"/>
  <c r="F792" i="6"/>
  <c r="H792" i="6"/>
  <c r="I792" i="6"/>
  <c r="E792" i="6"/>
  <c r="C822" i="6"/>
  <c r="D791" i="6"/>
  <c r="G791" i="6"/>
  <c r="I791" i="6"/>
  <c r="F791" i="6"/>
  <c r="C821" i="6"/>
  <c r="H791" i="6"/>
  <c r="E791" i="6"/>
  <c r="D790" i="6"/>
  <c r="G790" i="6"/>
  <c r="C820" i="6"/>
  <c r="F790" i="6"/>
  <c r="I790" i="6"/>
  <c r="H790" i="6"/>
  <c r="E790" i="6"/>
  <c r="D789" i="6"/>
  <c r="G789" i="6"/>
  <c r="F789" i="6"/>
  <c r="I789" i="6"/>
  <c r="C819" i="6"/>
  <c r="E789" i="6"/>
  <c r="H789" i="6"/>
  <c r="D788" i="6"/>
  <c r="G788" i="6"/>
  <c r="C818" i="6"/>
  <c r="H788" i="6"/>
  <c r="E788" i="6"/>
  <c r="I788" i="6"/>
  <c r="F788" i="6"/>
  <c r="D787" i="6"/>
  <c r="G787" i="6"/>
  <c r="E787" i="6"/>
  <c r="I787" i="6"/>
  <c r="F787" i="6"/>
  <c r="H787" i="6"/>
  <c r="C817" i="6"/>
  <c r="D786" i="6"/>
  <c r="G786" i="6"/>
  <c r="E786" i="6"/>
  <c r="F786" i="6"/>
  <c r="I786" i="6"/>
  <c r="C816" i="6"/>
  <c r="H786" i="6"/>
  <c r="D785" i="6"/>
  <c r="G785" i="6"/>
  <c r="E785" i="6"/>
  <c r="C815" i="6"/>
  <c r="F785" i="6"/>
  <c r="H785" i="6"/>
  <c r="I785" i="6"/>
  <c r="D784" i="6"/>
  <c r="G784" i="6"/>
  <c r="E784" i="6"/>
  <c r="F784" i="6"/>
  <c r="C814" i="6"/>
  <c r="H784" i="6"/>
  <c r="I784" i="6"/>
  <c r="D783" i="6"/>
  <c r="G783" i="6"/>
  <c r="E783" i="6"/>
  <c r="F783" i="6"/>
  <c r="H783" i="6"/>
  <c r="C813" i="6"/>
  <c r="I783" i="6"/>
  <c r="I782" i="6"/>
  <c r="D782" i="6"/>
  <c r="E782" i="6"/>
  <c r="F782" i="6"/>
  <c r="G782" i="6"/>
  <c r="H782" i="6"/>
  <c r="C812" i="6"/>
  <c r="I781" i="6"/>
  <c r="D781" i="6"/>
  <c r="E781" i="6"/>
  <c r="F781" i="6"/>
  <c r="G781" i="6"/>
  <c r="H781" i="6"/>
  <c r="C811" i="6"/>
  <c r="I780" i="6"/>
  <c r="D780" i="6"/>
  <c r="E780" i="6"/>
  <c r="F780" i="6"/>
  <c r="G780" i="6"/>
  <c r="H780" i="6"/>
  <c r="C810" i="6"/>
  <c r="I779" i="6"/>
  <c r="D779" i="6"/>
  <c r="E779" i="6"/>
  <c r="F779" i="6"/>
  <c r="G779" i="6"/>
  <c r="H779" i="6"/>
  <c r="C809" i="6"/>
  <c r="K750" i="6"/>
  <c r="K768" i="6"/>
  <c r="K756" i="6"/>
  <c r="K757" i="6"/>
  <c r="K774" i="6"/>
  <c r="K751" i="6"/>
  <c r="K776" i="6"/>
  <c r="K771" i="6"/>
  <c r="K758" i="6"/>
  <c r="K763" i="6"/>
  <c r="K767" i="6"/>
  <c r="K752" i="6"/>
  <c r="K773" i="6"/>
  <c r="K753" i="6"/>
  <c r="K777" i="6"/>
  <c r="K760" i="6"/>
  <c r="K764" i="6"/>
  <c r="K749" i="6"/>
  <c r="K766" i="6"/>
  <c r="K762" i="6"/>
  <c r="K761" i="6"/>
  <c r="K769" i="6"/>
  <c r="K765" i="6"/>
  <c r="K754" i="6"/>
  <c r="K759" i="6"/>
  <c r="K755" i="6"/>
  <c r="K770" i="6"/>
  <c r="K775" i="6"/>
  <c r="I778" i="6"/>
  <c r="D778" i="6"/>
  <c r="E778" i="6"/>
  <c r="F778" i="6"/>
  <c r="G778" i="6"/>
  <c r="H778" i="6"/>
  <c r="C808" i="6"/>
  <c r="J771" i="6"/>
  <c r="N771" i="6" s="1"/>
  <c r="J770" i="6"/>
  <c r="N770" i="6" s="1"/>
  <c r="J766" i="6"/>
  <c r="N766" i="6" s="1"/>
  <c r="J764" i="6"/>
  <c r="N764" i="6" s="1"/>
  <c r="J762" i="6"/>
  <c r="N762" i="6" s="1"/>
  <c r="J761" i="6"/>
  <c r="N761" i="6" s="1"/>
  <c r="J759" i="6"/>
  <c r="N759" i="6" s="1"/>
  <c r="J769" i="6"/>
  <c r="N769" i="6" s="1"/>
  <c r="J768" i="6"/>
  <c r="N768" i="6" s="1"/>
  <c r="J767" i="6"/>
  <c r="N767" i="6" s="1"/>
  <c r="J765" i="6"/>
  <c r="N765" i="6" s="1"/>
  <c r="J763" i="6"/>
  <c r="N763" i="6" s="1"/>
  <c r="J760" i="6"/>
  <c r="N760" i="6" s="1"/>
  <c r="J757" i="6"/>
  <c r="N757" i="6" s="1"/>
  <c r="J756" i="6"/>
  <c r="N756" i="6" s="1"/>
  <c r="J755" i="6"/>
  <c r="N755" i="6" s="1"/>
  <c r="J754" i="6"/>
  <c r="N754" i="6" s="1"/>
  <c r="J753" i="6"/>
  <c r="N753" i="6" s="1"/>
  <c r="J752" i="6"/>
  <c r="N752" i="6" s="1"/>
  <c r="J751" i="6"/>
  <c r="N751" i="6" s="1"/>
  <c r="J750" i="6"/>
  <c r="N750" i="6" s="1"/>
  <c r="J777" i="6"/>
  <c r="N777" i="6" s="1"/>
  <c r="J776" i="6"/>
  <c r="N776" i="6" s="1"/>
  <c r="J775" i="6"/>
  <c r="N775" i="6" s="1"/>
  <c r="J774" i="6"/>
  <c r="N774" i="6" s="1"/>
  <c r="J773" i="6"/>
  <c r="N773" i="6" s="1"/>
  <c r="J772" i="6"/>
  <c r="N772" i="6" s="1"/>
  <c r="J758" i="6"/>
  <c r="N758" i="6" s="1"/>
  <c r="K748" i="6"/>
  <c r="K796" i="6"/>
  <c r="K788" i="6"/>
  <c r="AA259" i="3"/>
  <c r="D261" i="3"/>
  <c r="AB263" i="3"/>
  <c r="AB261" i="3"/>
  <c r="AB262" i="3"/>
  <c r="AB260" i="3"/>
  <c r="Z260" i="3"/>
  <c r="C59" i="3"/>
  <c r="M262" i="3"/>
  <c r="S262" i="3" s="1"/>
  <c r="W258" i="3"/>
  <c r="W257" i="3"/>
  <c r="Y258" i="3"/>
  <c r="AD258" i="3" s="1"/>
  <c r="U108" i="3"/>
  <c r="E106" i="3"/>
  <c r="D99" i="7"/>
  <c r="AI240" i="7"/>
  <c r="X240" i="7"/>
  <c r="X343" i="7"/>
  <c r="AI343" i="7"/>
  <c r="AI97" i="7"/>
  <c r="X97" i="7"/>
  <c r="AD54" i="3"/>
  <c r="G58" i="3"/>
  <c r="AB58" i="3"/>
  <c r="Z58" i="3"/>
  <c r="C298" i="7"/>
  <c r="C195" i="7"/>
  <c r="AA260" i="3"/>
  <c r="W52" i="7"/>
  <c r="AH52" i="7"/>
  <c r="W297" i="7"/>
  <c r="AH297" i="7"/>
  <c r="W194" i="7"/>
  <c r="AH194" i="7"/>
  <c r="AG53" i="7"/>
  <c r="V53" i="7"/>
  <c r="C53" i="7"/>
  <c r="D59" i="3"/>
  <c r="AI308" i="7"/>
  <c r="X308" i="7"/>
  <c r="AI62" i="7"/>
  <c r="X62" i="7"/>
  <c r="AI205" i="7"/>
  <c r="X205" i="7"/>
  <c r="D64" i="7"/>
  <c r="E71" i="3"/>
  <c r="U73" i="3"/>
  <c r="K54" i="7"/>
  <c r="AD54" i="7" s="1"/>
  <c r="K300" i="7"/>
  <c r="AD300" i="7" s="1"/>
  <c r="K197" i="7"/>
  <c r="AD197" i="7" s="1"/>
  <c r="R298" i="7"/>
  <c r="AA58" i="3"/>
  <c r="T60" i="3"/>
  <c r="J54" i="7"/>
  <c r="AC54" i="7" s="1"/>
  <c r="J196" i="7"/>
  <c r="AC196" i="7" s="1"/>
  <c r="J299" i="7"/>
  <c r="AC299" i="7" s="1"/>
  <c r="I54" i="7"/>
  <c r="AB54" i="7" s="1"/>
  <c r="I196" i="7"/>
  <c r="AB196" i="7" s="1"/>
  <c r="Z464" i="3"/>
  <c r="I299" i="7"/>
  <c r="AB299" i="7" s="1"/>
  <c r="G52" i="7"/>
  <c r="Q52" i="7" s="1"/>
  <c r="P52" i="7"/>
  <c r="R58" i="3"/>
  <c r="Y193" i="7"/>
  <c r="N193" i="7" s="1"/>
  <c r="AJ193" i="7"/>
  <c r="S193" i="7" s="1"/>
  <c r="Y296" i="7"/>
  <c r="N296" i="7" s="1"/>
  <c r="AJ296" i="7"/>
  <c r="S296" i="7" s="1"/>
  <c r="Y52" i="7"/>
  <c r="AJ52" i="7"/>
  <c r="E54" i="7"/>
  <c r="M54" i="7" s="1"/>
  <c r="E195" i="7"/>
  <c r="E298" i="7"/>
  <c r="Y295" i="7"/>
  <c r="N295" i="7" s="1"/>
  <c r="AJ295" i="7"/>
  <c r="S295" i="7" s="1"/>
  <c r="Y51" i="7"/>
  <c r="N51" i="7" s="1"/>
  <c r="AJ51" i="7"/>
  <c r="S51" i="7" s="1"/>
  <c r="E53" i="7"/>
  <c r="M53" i="7" s="1"/>
  <c r="E297" i="7"/>
  <c r="Y56" i="3"/>
  <c r="E194" i="7"/>
  <c r="Y192" i="7"/>
  <c r="N192" i="7" s="1"/>
  <c r="AJ192" i="7"/>
  <c r="S192" i="7" s="1"/>
  <c r="AD55" i="3"/>
  <c r="R195" i="7"/>
  <c r="R53" i="7"/>
  <c r="AQ52" i="7" l="1"/>
  <c r="AR49" i="7"/>
  <c r="AR50" i="7"/>
  <c r="AO51" i="7"/>
  <c r="AM50" i="7"/>
  <c r="AP52" i="7"/>
  <c r="AM49" i="7"/>
  <c r="ER18" i="13"/>
  <c r="EG18" i="13"/>
  <c r="EM18" i="13" s="1"/>
  <c r="EK17" i="13"/>
  <c r="EJ18" i="13"/>
  <c r="J779" i="6"/>
  <c r="N779" i="6" s="1"/>
  <c r="W18" i="13"/>
  <c r="AA18" i="13" s="1"/>
  <c r="CP18" i="13" s="1"/>
  <c r="AF18" i="13"/>
  <c r="AJ18" i="13" s="1"/>
  <c r="DA18" i="13" s="1"/>
  <c r="X18" i="13"/>
  <c r="AB18" i="13" s="1"/>
  <c r="CZ18" i="13" s="1"/>
  <c r="V18" i="13"/>
  <c r="Y18" i="13"/>
  <c r="AC18" i="13" s="1"/>
  <c r="DJ18" i="13" s="1"/>
  <c r="AH18" i="13"/>
  <c r="AL18" i="13" s="1"/>
  <c r="BS18" i="13" s="1"/>
  <c r="AG18" i="13"/>
  <c r="AK18" i="13" s="1"/>
  <c r="DK18" i="13" s="1"/>
  <c r="AE18" i="13"/>
  <c r="AI18" i="13" s="1"/>
  <c r="CQ18" i="13" s="1"/>
  <c r="AP18" i="13"/>
  <c r="AS18" i="13" s="1"/>
  <c r="DV18" i="13" s="1"/>
  <c r="DZ18" i="13" s="1"/>
  <c r="ED18" i="13" s="1"/>
  <c r="L19" i="13"/>
  <c r="AN19" i="13" s="1"/>
  <c r="AQ19" i="13" s="1"/>
  <c r="BU19" i="13" s="1"/>
  <c r="CG18" i="13"/>
  <c r="M19" i="13"/>
  <c r="K19" i="13"/>
  <c r="CJ18" i="13"/>
  <c r="Q18" i="13"/>
  <c r="DZ17" i="12"/>
  <c r="G261" i="3"/>
  <c r="V196" i="7"/>
  <c r="AG196" i="7"/>
  <c r="M466" i="3"/>
  <c r="S466" i="3" s="1"/>
  <c r="S60" i="3"/>
  <c r="CJ18" i="12"/>
  <c r="CG18" i="12"/>
  <c r="W18" i="12"/>
  <c r="X18" i="12"/>
  <c r="Y18" i="12"/>
  <c r="AR18" i="12"/>
  <c r="AZ18" i="12" s="1"/>
  <c r="AM18" i="12"/>
  <c r="BT18" i="12" s="1"/>
  <c r="M19" i="12"/>
  <c r="L19" i="12"/>
  <c r="AN19" i="12" s="1"/>
  <c r="AP18" i="12"/>
  <c r="AE18" i="12"/>
  <c r="AF18" i="12"/>
  <c r="AG18" i="12"/>
  <c r="AH18" i="12"/>
  <c r="U18" i="12"/>
  <c r="DI18" i="12" s="1"/>
  <c r="V18" i="12"/>
  <c r="K19" i="12"/>
  <c r="T18" i="12"/>
  <c r="CY18" i="12" s="1"/>
  <c r="R18" i="12"/>
  <c r="BQ18" i="12" s="1"/>
  <c r="Q18" i="12"/>
  <c r="AY18" i="12" s="1"/>
  <c r="S18" i="12"/>
  <c r="CO18" i="12" s="1"/>
  <c r="AG298" i="7"/>
  <c r="V298" i="7"/>
  <c r="B299" i="7"/>
  <c r="G464" i="3"/>
  <c r="C262" i="3"/>
  <c r="B197" i="7" s="1"/>
  <c r="C54" i="10"/>
  <c r="G54" i="10" s="1"/>
  <c r="C465" i="3"/>
  <c r="Z465" i="3" s="1"/>
  <c r="O311" i="3"/>
  <c r="O514" i="3"/>
  <c r="E309" i="3"/>
  <c r="D244" i="7" s="1"/>
  <c r="E101" i="10"/>
  <c r="I101" i="10" s="1"/>
  <c r="E512" i="3"/>
  <c r="D347" i="7" s="1"/>
  <c r="D262" i="3"/>
  <c r="G262" i="3" s="1"/>
  <c r="D54" i="10"/>
  <c r="H54" i="10" s="1"/>
  <c r="D465" i="3"/>
  <c r="E274" i="3"/>
  <c r="D209" i="7" s="1"/>
  <c r="E66" i="10"/>
  <c r="I66" i="10" s="1"/>
  <c r="E477" i="3"/>
  <c r="D312" i="7" s="1"/>
  <c r="O276" i="3"/>
  <c r="O479" i="3"/>
  <c r="N263" i="3"/>
  <c r="T263" i="3" s="1"/>
  <c r="N466" i="3"/>
  <c r="T466" i="3" s="1"/>
  <c r="J261" i="3"/>
  <c r="G196" i="7" s="1"/>
  <c r="Q196" i="7" s="1"/>
  <c r="J464" i="3"/>
  <c r="G299" i="7" s="1"/>
  <c r="Q299" i="7" s="1"/>
  <c r="H261" i="3"/>
  <c r="R261" i="3" s="1"/>
  <c r="H464" i="3"/>
  <c r="R464" i="3" s="1"/>
  <c r="F264" i="3"/>
  <c r="F56" i="10"/>
  <c r="J56" i="10" s="1"/>
  <c r="F467" i="3"/>
  <c r="F263" i="3"/>
  <c r="F55" i="10"/>
  <c r="J55" i="10" s="1"/>
  <c r="F466" i="3"/>
  <c r="W462" i="3"/>
  <c r="Y463" i="3"/>
  <c r="AD463" i="3" s="1"/>
  <c r="J778" i="6"/>
  <c r="N778" i="6" s="1"/>
  <c r="I837" i="6"/>
  <c r="D837" i="6"/>
  <c r="E837" i="6"/>
  <c r="F837" i="6"/>
  <c r="G837" i="6"/>
  <c r="H837" i="6"/>
  <c r="C867" i="6"/>
  <c r="I836" i="6"/>
  <c r="D836" i="6"/>
  <c r="E836" i="6"/>
  <c r="F836" i="6"/>
  <c r="G836" i="6"/>
  <c r="H836" i="6"/>
  <c r="C866" i="6"/>
  <c r="I835" i="6"/>
  <c r="D835" i="6"/>
  <c r="E835" i="6"/>
  <c r="F835" i="6"/>
  <c r="G835" i="6"/>
  <c r="H835" i="6"/>
  <c r="C865" i="6"/>
  <c r="I834" i="6"/>
  <c r="D834" i="6"/>
  <c r="E834" i="6"/>
  <c r="F834" i="6"/>
  <c r="G834" i="6"/>
  <c r="H834" i="6"/>
  <c r="C864" i="6"/>
  <c r="I833" i="6"/>
  <c r="D833" i="6"/>
  <c r="E833" i="6"/>
  <c r="F833" i="6"/>
  <c r="G833" i="6"/>
  <c r="H833" i="6"/>
  <c r="C863" i="6"/>
  <c r="H832" i="6"/>
  <c r="D832" i="6"/>
  <c r="E832" i="6"/>
  <c r="F832" i="6"/>
  <c r="G832" i="6"/>
  <c r="I832" i="6"/>
  <c r="C862" i="6"/>
  <c r="H831" i="6"/>
  <c r="D831" i="6"/>
  <c r="E831" i="6"/>
  <c r="F831" i="6"/>
  <c r="G831" i="6"/>
  <c r="I831" i="6"/>
  <c r="C861" i="6"/>
  <c r="H830" i="6"/>
  <c r="D830" i="6"/>
  <c r="E830" i="6"/>
  <c r="F830" i="6"/>
  <c r="G830" i="6"/>
  <c r="I830" i="6"/>
  <c r="C860" i="6"/>
  <c r="H829" i="6"/>
  <c r="D829" i="6"/>
  <c r="E829" i="6"/>
  <c r="F829" i="6"/>
  <c r="G829" i="6"/>
  <c r="I829" i="6"/>
  <c r="C859" i="6"/>
  <c r="H828" i="6"/>
  <c r="D828" i="6"/>
  <c r="E828" i="6"/>
  <c r="F828" i="6"/>
  <c r="G828" i="6"/>
  <c r="I828" i="6"/>
  <c r="C858" i="6"/>
  <c r="H827" i="6"/>
  <c r="D827" i="6"/>
  <c r="E827" i="6"/>
  <c r="F827" i="6"/>
  <c r="G827" i="6"/>
  <c r="I827" i="6"/>
  <c r="C857" i="6"/>
  <c r="H826" i="6"/>
  <c r="D826" i="6"/>
  <c r="E826" i="6"/>
  <c r="F826" i="6"/>
  <c r="G826" i="6"/>
  <c r="I826" i="6"/>
  <c r="C856" i="6"/>
  <c r="H825" i="6"/>
  <c r="D825" i="6"/>
  <c r="E825" i="6"/>
  <c r="F825" i="6"/>
  <c r="G825" i="6"/>
  <c r="I825" i="6"/>
  <c r="C855" i="6"/>
  <c r="H824" i="6"/>
  <c r="D824" i="6"/>
  <c r="E824" i="6"/>
  <c r="F824" i="6"/>
  <c r="G824" i="6"/>
  <c r="I824" i="6"/>
  <c r="C854" i="6"/>
  <c r="H823" i="6"/>
  <c r="D823" i="6"/>
  <c r="E823" i="6"/>
  <c r="F823" i="6"/>
  <c r="G823" i="6"/>
  <c r="I823" i="6"/>
  <c r="C853" i="6"/>
  <c r="D822" i="6"/>
  <c r="G822" i="6"/>
  <c r="E822" i="6"/>
  <c r="F822" i="6"/>
  <c r="H822" i="6"/>
  <c r="I822" i="6"/>
  <c r="C852" i="6"/>
  <c r="D821" i="6"/>
  <c r="G821" i="6"/>
  <c r="E821" i="6"/>
  <c r="F821" i="6"/>
  <c r="H821" i="6"/>
  <c r="I821" i="6"/>
  <c r="C851" i="6"/>
  <c r="D820" i="6"/>
  <c r="G820" i="6"/>
  <c r="E820" i="6"/>
  <c r="F820" i="6"/>
  <c r="H820" i="6"/>
  <c r="I820" i="6"/>
  <c r="C850" i="6"/>
  <c r="D819" i="6"/>
  <c r="G819" i="6"/>
  <c r="E819" i="6"/>
  <c r="F819" i="6"/>
  <c r="H819" i="6"/>
  <c r="I819" i="6"/>
  <c r="C849" i="6"/>
  <c r="D818" i="6"/>
  <c r="G818" i="6"/>
  <c r="E818" i="6"/>
  <c r="F818" i="6"/>
  <c r="H818" i="6"/>
  <c r="I818" i="6"/>
  <c r="C848" i="6"/>
  <c r="D817" i="6"/>
  <c r="G817" i="6"/>
  <c r="E817" i="6"/>
  <c r="F817" i="6"/>
  <c r="H817" i="6"/>
  <c r="I817" i="6"/>
  <c r="C847" i="6"/>
  <c r="D816" i="6"/>
  <c r="G816" i="6"/>
  <c r="E816" i="6"/>
  <c r="F816" i="6"/>
  <c r="H816" i="6"/>
  <c r="I816" i="6"/>
  <c r="C846" i="6"/>
  <c r="D815" i="6"/>
  <c r="G815" i="6"/>
  <c r="F815" i="6"/>
  <c r="H815" i="6"/>
  <c r="I815" i="6"/>
  <c r="C845" i="6"/>
  <c r="E815" i="6"/>
  <c r="D814" i="6"/>
  <c r="G814" i="6"/>
  <c r="F814" i="6"/>
  <c r="H814" i="6"/>
  <c r="E814" i="6"/>
  <c r="I814" i="6"/>
  <c r="C844" i="6"/>
  <c r="D813" i="6"/>
  <c r="G813" i="6"/>
  <c r="H813" i="6"/>
  <c r="F813" i="6"/>
  <c r="I813" i="6"/>
  <c r="E813" i="6"/>
  <c r="C843" i="6"/>
  <c r="I812" i="6"/>
  <c r="D812" i="6"/>
  <c r="H812" i="6"/>
  <c r="G812" i="6"/>
  <c r="C842" i="6"/>
  <c r="F812" i="6"/>
  <c r="E812" i="6"/>
  <c r="I811" i="6"/>
  <c r="H811" i="6"/>
  <c r="D811" i="6"/>
  <c r="F811" i="6"/>
  <c r="G811" i="6"/>
  <c r="C841" i="6"/>
  <c r="E811" i="6"/>
  <c r="I810" i="6"/>
  <c r="G810" i="6"/>
  <c r="E810" i="6"/>
  <c r="H810" i="6"/>
  <c r="C840" i="6"/>
  <c r="F810" i="6"/>
  <c r="D810" i="6"/>
  <c r="I809" i="6"/>
  <c r="E809" i="6"/>
  <c r="F809" i="6"/>
  <c r="G809" i="6"/>
  <c r="D809" i="6"/>
  <c r="C839" i="6"/>
  <c r="H809" i="6"/>
  <c r="K802" i="6"/>
  <c r="I808" i="6"/>
  <c r="E808" i="6"/>
  <c r="G808" i="6"/>
  <c r="D808" i="6"/>
  <c r="F808" i="6"/>
  <c r="C838" i="6"/>
  <c r="H808" i="6"/>
  <c r="J798" i="6"/>
  <c r="N798" i="6" s="1"/>
  <c r="J797" i="6"/>
  <c r="N797" i="6" s="1"/>
  <c r="J794" i="6"/>
  <c r="N794" i="6" s="1"/>
  <c r="J793" i="6"/>
  <c r="N793" i="6" s="1"/>
  <c r="J790" i="6"/>
  <c r="N790" i="6" s="1"/>
  <c r="J789" i="6"/>
  <c r="N789" i="6" s="1"/>
  <c r="J788" i="6"/>
  <c r="N788" i="6" s="1"/>
  <c r="J787" i="6"/>
  <c r="N787" i="6" s="1"/>
  <c r="J786" i="6"/>
  <c r="N786" i="6" s="1"/>
  <c r="J785" i="6"/>
  <c r="N785" i="6" s="1"/>
  <c r="J784" i="6"/>
  <c r="N784" i="6" s="1"/>
  <c r="J783" i="6"/>
  <c r="N783" i="6" s="1"/>
  <c r="J781" i="6"/>
  <c r="N781" i="6" s="1"/>
  <c r="J780" i="6"/>
  <c r="N780" i="6" s="1"/>
  <c r="J807" i="6"/>
  <c r="N807" i="6" s="1"/>
  <c r="J806" i="6"/>
  <c r="N806" i="6" s="1"/>
  <c r="J804" i="6"/>
  <c r="N804" i="6" s="1"/>
  <c r="J803" i="6"/>
  <c r="N803" i="6" s="1"/>
  <c r="J801" i="6"/>
  <c r="N801" i="6" s="1"/>
  <c r="J800" i="6"/>
  <c r="N800" i="6" s="1"/>
  <c r="J796" i="6"/>
  <c r="N796" i="6" s="1"/>
  <c r="J791" i="6"/>
  <c r="N791" i="6" s="1"/>
  <c r="J782" i="6"/>
  <c r="N782" i="6" s="1"/>
  <c r="J808" i="6"/>
  <c r="N808" i="6" s="1"/>
  <c r="J805" i="6"/>
  <c r="N805" i="6" s="1"/>
  <c r="J802" i="6"/>
  <c r="N802" i="6" s="1"/>
  <c r="J799" i="6"/>
  <c r="N799" i="6" s="1"/>
  <c r="J795" i="6"/>
  <c r="N795" i="6" s="1"/>
  <c r="J792" i="6"/>
  <c r="N792" i="6" s="1"/>
  <c r="K805" i="6"/>
  <c r="K834" i="6"/>
  <c r="K806" i="6"/>
  <c r="K789" i="6"/>
  <c r="K801" i="6"/>
  <c r="K807" i="6"/>
  <c r="K794" i="6"/>
  <c r="K798" i="6"/>
  <c r="K819" i="6"/>
  <c r="K829" i="6"/>
  <c r="K823" i="6"/>
  <c r="K837" i="6"/>
  <c r="K820" i="6"/>
  <c r="K828" i="6"/>
  <c r="K782" i="6"/>
  <c r="K822" i="6"/>
  <c r="K781" i="6"/>
  <c r="K783" i="6"/>
  <c r="K784" i="6"/>
  <c r="K821" i="6"/>
  <c r="K800" i="6"/>
  <c r="K815" i="6"/>
  <c r="K779" i="6"/>
  <c r="K830" i="6"/>
  <c r="K803" i="6"/>
  <c r="K797" i="6"/>
  <c r="K778" i="6"/>
  <c r="K811" i="6"/>
  <c r="K799" i="6"/>
  <c r="K780" i="6"/>
  <c r="K785" i="6"/>
  <c r="K825" i="6"/>
  <c r="K833" i="6"/>
  <c r="K812" i="6"/>
  <c r="K827" i="6"/>
  <c r="K787" i="6"/>
  <c r="K793" i="6"/>
  <c r="K831" i="6"/>
  <c r="K835" i="6"/>
  <c r="K790" i="6"/>
  <c r="K795" i="6"/>
  <c r="K786" i="6"/>
  <c r="K791" i="6"/>
  <c r="K832" i="6"/>
  <c r="K792" i="6"/>
  <c r="K824" i="6"/>
  <c r="K804" i="6"/>
  <c r="K826" i="6"/>
  <c r="C60" i="3"/>
  <c r="M263" i="3"/>
  <c r="S263" i="3" s="1"/>
  <c r="Z261" i="3"/>
  <c r="Y259" i="3"/>
  <c r="AD259" i="3" s="1"/>
  <c r="W259" i="3"/>
  <c r="E108" i="3"/>
  <c r="E103" i="10" s="1"/>
  <c r="I103" i="10" s="1"/>
  <c r="U110" i="3"/>
  <c r="D101" i="7"/>
  <c r="AI345" i="7"/>
  <c r="X345" i="7"/>
  <c r="X242" i="7"/>
  <c r="AI242" i="7"/>
  <c r="AI99" i="7"/>
  <c r="X99" i="7"/>
  <c r="AH298" i="7"/>
  <c r="W298" i="7"/>
  <c r="AH195" i="7"/>
  <c r="W195" i="7"/>
  <c r="N52" i="7"/>
  <c r="Y57" i="3"/>
  <c r="R16" i="13" s="1"/>
  <c r="BQ16" i="13" s="1"/>
  <c r="W57" i="3"/>
  <c r="S52" i="7"/>
  <c r="C299" i="7"/>
  <c r="C196" i="7"/>
  <c r="G59" i="3"/>
  <c r="W53" i="7"/>
  <c r="AH53" i="7"/>
  <c r="V54" i="7"/>
  <c r="AG54" i="7"/>
  <c r="C54" i="7"/>
  <c r="D60" i="3"/>
  <c r="X310" i="7"/>
  <c r="AI310" i="7"/>
  <c r="AI207" i="7"/>
  <c r="X207" i="7"/>
  <c r="X64" i="7"/>
  <c r="AI64" i="7"/>
  <c r="D66" i="7"/>
  <c r="E73" i="3"/>
  <c r="U75" i="3"/>
  <c r="AB59" i="3"/>
  <c r="U18" i="13" s="1"/>
  <c r="DI18" i="13" s="1"/>
  <c r="K55" i="7"/>
  <c r="AD55" i="7" s="1"/>
  <c r="K301" i="7"/>
  <c r="AD301" i="7" s="1"/>
  <c r="K198" i="7"/>
  <c r="AD198" i="7" s="1"/>
  <c r="T61" i="3"/>
  <c r="J55" i="7"/>
  <c r="AC55" i="7" s="1"/>
  <c r="J300" i="7"/>
  <c r="AC300" i="7" s="1"/>
  <c r="J197" i="7"/>
  <c r="AC197" i="7" s="1"/>
  <c r="Z59" i="3"/>
  <c r="S18" i="13" s="1"/>
  <c r="CO18" i="13" s="1"/>
  <c r="I55" i="7"/>
  <c r="AB55" i="7" s="1"/>
  <c r="Z262" i="3"/>
  <c r="I197" i="7"/>
  <c r="AB197" i="7" s="1"/>
  <c r="I300" i="7"/>
  <c r="AB300" i="7" s="1"/>
  <c r="G53" i="7"/>
  <c r="Q53" i="7" s="1"/>
  <c r="R59" i="3"/>
  <c r="P53" i="7"/>
  <c r="E56" i="7"/>
  <c r="M56" i="7" s="1"/>
  <c r="E197" i="7"/>
  <c r="E300" i="7"/>
  <c r="Y54" i="7"/>
  <c r="AJ54" i="7"/>
  <c r="Y195" i="7"/>
  <c r="AJ195" i="7"/>
  <c r="Y298" i="7"/>
  <c r="AJ298" i="7"/>
  <c r="E55" i="7"/>
  <c r="M55" i="7" s="1"/>
  <c r="E196" i="7"/>
  <c r="E299" i="7"/>
  <c r="Y53" i="7"/>
  <c r="AJ53" i="7"/>
  <c r="Y297" i="7"/>
  <c r="N297" i="7" s="1"/>
  <c r="AJ297" i="7"/>
  <c r="S297" i="7" s="1"/>
  <c r="AD56" i="3"/>
  <c r="AJ194" i="7"/>
  <c r="S194" i="7" s="1"/>
  <c r="Y194" i="7"/>
  <c r="N194" i="7" s="1"/>
  <c r="R54" i="7"/>
  <c r="R196" i="7"/>
  <c r="R299" i="7"/>
  <c r="F298" i="7"/>
  <c r="P298" i="7" s="1"/>
  <c r="F195" i="7"/>
  <c r="P195" i="7" s="1"/>
  <c r="AO52" i="7" l="1"/>
  <c r="AM51" i="7"/>
  <c r="AG197" i="7"/>
  <c r="V197" i="7"/>
  <c r="AQ53" i="7"/>
  <c r="AP53" i="7"/>
  <c r="AR51" i="7"/>
  <c r="AY18" i="13"/>
  <c r="EF19" i="13"/>
  <c r="EL19" i="13" s="1"/>
  <c r="FE19" i="13" s="1"/>
  <c r="N19" i="13"/>
  <c r="AO19" i="13"/>
  <c r="AR19" i="13" s="1"/>
  <c r="AZ19" i="13" s="1"/>
  <c r="ED17" i="12"/>
  <c r="M467" i="3"/>
  <c r="S467" i="3" s="1"/>
  <c r="S61" i="3"/>
  <c r="AA18" i="12"/>
  <c r="CP18" i="12" s="1"/>
  <c r="AB18" i="12"/>
  <c r="CZ18" i="12" s="1"/>
  <c r="AC18" i="12"/>
  <c r="DJ18" i="12" s="1"/>
  <c r="AD18" i="12"/>
  <c r="BR18" i="12" s="1"/>
  <c r="AQ19" i="12"/>
  <c r="BU19" i="12" s="1"/>
  <c r="AS18" i="12"/>
  <c r="DV18" i="12" s="1"/>
  <c r="AO19" i="12"/>
  <c r="AI18" i="12"/>
  <c r="CQ18" i="12" s="1"/>
  <c r="AJ18" i="12"/>
  <c r="DA18" i="12" s="1"/>
  <c r="AK18" i="12"/>
  <c r="DK18" i="12" s="1"/>
  <c r="AL18" i="12"/>
  <c r="BS18" i="12" s="1"/>
  <c r="N19" i="12"/>
  <c r="Z19" i="12" s="1"/>
  <c r="AG299" i="7"/>
  <c r="V299" i="7"/>
  <c r="B300" i="7"/>
  <c r="G465" i="3"/>
  <c r="C263" i="3"/>
  <c r="B198" i="7" s="1"/>
  <c r="C55" i="10"/>
  <c r="G55" i="10" s="1"/>
  <c r="C466" i="3"/>
  <c r="E311" i="3"/>
  <c r="E514" i="3"/>
  <c r="U514" i="3" s="1"/>
  <c r="O313" i="3"/>
  <c r="O516" i="3"/>
  <c r="AA464" i="3"/>
  <c r="D263" i="3"/>
  <c r="D55" i="10"/>
  <c r="H55" i="10" s="1"/>
  <c r="D466" i="3"/>
  <c r="E276" i="3"/>
  <c r="E479" i="3"/>
  <c r="E68" i="10"/>
  <c r="I68" i="10" s="1"/>
  <c r="O278" i="3"/>
  <c r="O481" i="3"/>
  <c r="W58" i="3"/>
  <c r="N264" i="3"/>
  <c r="T264" i="3" s="1"/>
  <c r="N467" i="3"/>
  <c r="T467" i="3" s="1"/>
  <c r="J262" i="3"/>
  <c r="G197" i="7" s="1"/>
  <c r="Q197" i="7" s="1"/>
  <c r="J465" i="3"/>
  <c r="G300" i="7" s="1"/>
  <c r="Q300" i="7" s="1"/>
  <c r="H262" i="3"/>
  <c r="H465" i="3"/>
  <c r="F266" i="3"/>
  <c r="F58" i="10"/>
  <c r="J58" i="10" s="1"/>
  <c r="F469" i="3"/>
  <c r="F265" i="3"/>
  <c r="F57" i="10"/>
  <c r="J57" i="10" s="1"/>
  <c r="F468" i="3"/>
  <c r="W463" i="3"/>
  <c r="K817" i="6"/>
  <c r="J818" i="6"/>
  <c r="N818" i="6" s="1"/>
  <c r="J819" i="6"/>
  <c r="N819" i="6" s="1"/>
  <c r="J820" i="6"/>
  <c r="N820" i="6" s="1"/>
  <c r="I867" i="6"/>
  <c r="F867" i="6"/>
  <c r="H867" i="6"/>
  <c r="E867" i="6"/>
  <c r="G867" i="6"/>
  <c r="C897" i="6"/>
  <c r="D867" i="6"/>
  <c r="I866" i="6"/>
  <c r="D866" i="6"/>
  <c r="E866" i="6"/>
  <c r="F866" i="6"/>
  <c r="G866" i="6"/>
  <c r="H866" i="6"/>
  <c r="C896" i="6"/>
  <c r="I865" i="6"/>
  <c r="D865" i="6"/>
  <c r="E865" i="6"/>
  <c r="F865" i="6"/>
  <c r="G865" i="6"/>
  <c r="H865" i="6"/>
  <c r="C895" i="6"/>
  <c r="I864" i="6"/>
  <c r="D864" i="6"/>
  <c r="E864" i="6"/>
  <c r="F864" i="6"/>
  <c r="G864" i="6"/>
  <c r="H864" i="6"/>
  <c r="C894" i="6"/>
  <c r="I863" i="6"/>
  <c r="D863" i="6"/>
  <c r="E863" i="6"/>
  <c r="F863" i="6"/>
  <c r="G863" i="6"/>
  <c r="H863" i="6"/>
  <c r="C893" i="6"/>
  <c r="H862" i="6"/>
  <c r="D862" i="6"/>
  <c r="E862" i="6"/>
  <c r="F862" i="6"/>
  <c r="G862" i="6"/>
  <c r="I862" i="6"/>
  <c r="C892" i="6"/>
  <c r="H861" i="6"/>
  <c r="D861" i="6"/>
  <c r="E861" i="6"/>
  <c r="F861" i="6"/>
  <c r="G861" i="6"/>
  <c r="I861" i="6"/>
  <c r="C891" i="6"/>
  <c r="H860" i="6"/>
  <c r="D860" i="6"/>
  <c r="E860" i="6"/>
  <c r="F860" i="6"/>
  <c r="G860" i="6"/>
  <c r="I860" i="6"/>
  <c r="C890" i="6"/>
  <c r="H859" i="6"/>
  <c r="D859" i="6"/>
  <c r="E859" i="6"/>
  <c r="F859" i="6"/>
  <c r="G859" i="6"/>
  <c r="I859" i="6"/>
  <c r="C889" i="6"/>
  <c r="H858" i="6"/>
  <c r="D858" i="6"/>
  <c r="E858" i="6"/>
  <c r="F858" i="6"/>
  <c r="G858" i="6"/>
  <c r="I858" i="6"/>
  <c r="C888" i="6"/>
  <c r="H857" i="6"/>
  <c r="D857" i="6"/>
  <c r="E857" i="6"/>
  <c r="F857" i="6"/>
  <c r="G857" i="6"/>
  <c r="I857" i="6"/>
  <c r="C887" i="6"/>
  <c r="H856" i="6"/>
  <c r="D856" i="6"/>
  <c r="E856" i="6"/>
  <c r="F856" i="6"/>
  <c r="G856" i="6"/>
  <c r="I856" i="6"/>
  <c r="C886" i="6"/>
  <c r="H855" i="6"/>
  <c r="D855" i="6"/>
  <c r="E855" i="6"/>
  <c r="F855" i="6"/>
  <c r="G855" i="6"/>
  <c r="I855" i="6"/>
  <c r="C885" i="6"/>
  <c r="H854" i="6"/>
  <c r="D854" i="6"/>
  <c r="E854" i="6"/>
  <c r="F854" i="6"/>
  <c r="G854" i="6"/>
  <c r="I854" i="6"/>
  <c r="C884" i="6"/>
  <c r="H853" i="6"/>
  <c r="D853" i="6"/>
  <c r="E853" i="6"/>
  <c r="F853" i="6"/>
  <c r="G853" i="6"/>
  <c r="I853" i="6"/>
  <c r="C883" i="6"/>
  <c r="D852" i="6"/>
  <c r="G852" i="6"/>
  <c r="E852" i="6"/>
  <c r="F852" i="6"/>
  <c r="H852" i="6"/>
  <c r="I852" i="6"/>
  <c r="C882" i="6"/>
  <c r="D851" i="6"/>
  <c r="G851" i="6"/>
  <c r="E851" i="6"/>
  <c r="F851" i="6"/>
  <c r="H851" i="6"/>
  <c r="I851" i="6"/>
  <c r="C881" i="6"/>
  <c r="D850" i="6"/>
  <c r="G850" i="6"/>
  <c r="E850" i="6"/>
  <c r="F850" i="6"/>
  <c r="H850" i="6"/>
  <c r="I850" i="6"/>
  <c r="C880" i="6"/>
  <c r="D849" i="6"/>
  <c r="G849" i="6"/>
  <c r="E849" i="6"/>
  <c r="F849" i="6"/>
  <c r="H849" i="6"/>
  <c r="I849" i="6"/>
  <c r="C879" i="6"/>
  <c r="D848" i="6"/>
  <c r="G848" i="6"/>
  <c r="E848" i="6"/>
  <c r="F848" i="6"/>
  <c r="H848" i="6"/>
  <c r="I848" i="6"/>
  <c r="C878" i="6"/>
  <c r="D847" i="6"/>
  <c r="G847" i="6"/>
  <c r="E847" i="6"/>
  <c r="F847" i="6"/>
  <c r="H847" i="6"/>
  <c r="I847" i="6"/>
  <c r="C877" i="6"/>
  <c r="D846" i="6"/>
  <c r="G846" i="6"/>
  <c r="E846" i="6"/>
  <c r="F846" i="6"/>
  <c r="H846" i="6"/>
  <c r="I846" i="6"/>
  <c r="C876" i="6"/>
  <c r="D845" i="6"/>
  <c r="G845" i="6"/>
  <c r="E845" i="6"/>
  <c r="F845" i="6"/>
  <c r="H845" i="6"/>
  <c r="I845" i="6"/>
  <c r="C875" i="6"/>
  <c r="D844" i="6"/>
  <c r="G844" i="6"/>
  <c r="E844" i="6"/>
  <c r="F844" i="6"/>
  <c r="H844" i="6"/>
  <c r="I844" i="6"/>
  <c r="C874" i="6"/>
  <c r="D843" i="6"/>
  <c r="G843" i="6"/>
  <c r="E843" i="6"/>
  <c r="F843" i="6"/>
  <c r="H843" i="6"/>
  <c r="I843" i="6"/>
  <c r="C873" i="6"/>
  <c r="I842" i="6"/>
  <c r="D842" i="6"/>
  <c r="E842" i="6"/>
  <c r="F842" i="6"/>
  <c r="G842" i="6"/>
  <c r="H842" i="6"/>
  <c r="C872" i="6"/>
  <c r="I841" i="6"/>
  <c r="D841" i="6"/>
  <c r="E841" i="6"/>
  <c r="F841" i="6"/>
  <c r="G841" i="6"/>
  <c r="H841" i="6"/>
  <c r="C871" i="6"/>
  <c r="I840" i="6"/>
  <c r="D840" i="6"/>
  <c r="E840" i="6"/>
  <c r="F840" i="6"/>
  <c r="G840" i="6"/>
  <c r="H840" i="6"/>
  <c r="C870" i="6"/>
  <c r="I839" i="6"/>
  <c r="D839" i="6"/>
  <c r="E839" i="6"/>
  <c r="F839" i="6"/>
  <c r="G839" i="6"/>
  <c r="H839" i="6"/>
  <c r="C869" i="6"/>
  <c r="K809" i="6"/>
  <c r="K816" i="6"/>
  <c r="K813" i="6"/>
  <c r="I838" i="6"/>
  <c r="D838" i="6"/>
  <c r="E838" i="6"/>
  <c r="F838" i="6"/>
  <c r="G838" i="6"/>
  <c r="H838" i="6"/>
  <c r="C868" i="6"/>
  <c r="J834" i="6"/>
  <c r="N834" i="6" s="1"/>
  <c r="J835" i="6"/>
  <c r="N835" i="6" s="1"/>
  <c r="J832" i="6"/>
  <c r="N832" i="6" s="1"/>
  <c r="J833" i="6"/>
  <c r="N833" i="6" s="1"/>
  <c r="J822" i="6"/>
  <c r="N822" i="6" s="1"/>
  <c r="J831" i="6"/>
  <c r="N831" i="6" s="1"/>
  <c r="J829" i="6"/>
  <c r="N829" i="6" s="1"/>
  <c r="J830" i="6"/>
  <c r="N830" i="6" s="1"/>
  <c r="J828" i="6"/>
  <c r="N828" i="6" s="1"/>
  <c r="J827" i="6"/>
  <c r="N827" i="6" s="1"/>
  <c r="J826" i="6"/>
  <c r="N826" i="6" s="1"/>
  <c r="J825" i="6"/>
  <c r="N825" i="6" s="1"/>
  <c r="J824" i="6"/>
  <c r="N824" i="6" s="1"/>
  <c r="J823" i="6"/>
  <c r="N823" i="6" s="1"/>
  <c r="J821" i="6"/>
  <c r="N821" i="6" s="1"/>
  <c r="J817" i="6"/>
  <c r="N817" i="6" s="1"/>
  <c r="J815" i="6"/>
  <c r="N815" i="6" s="1"/>
  <c r="J816" i="6"/>
  <c r="N816" i="6" s="1"/>
  <c r="J814" i="6"/>
  <c r="N814" i="6" s="1"/>
  <c r="J813" i="6"/>
  <c r="N813" i="6" s="1"/>
  <c r="J812" i="6"/>
  <c r="N812" i="6" s="1"/>
  <c r="J811" i="6"/>
  <c r="N811" i="6" s="1"/>
  <c r="J809" i="6"/>
  <c r="N809" i="6" s="1"/>
  <c r="J810" i="6"/>
  <c r="N810" i="6" s="1"/>
  <c r="J837" i="6"/>
  <c r="N837" i="6" s="1"/>
  <c r="J836" i="6"/>
  <c r="N836" i="6" s="1"/>
  <c r="K808" i="6"/>
  <c r="K814" i="6"/>
  <c r="K818" i="6"/>
  <c r="K836" i="6"/>
  <c r="K810" i="6"/>
  <c r="K848" i="6"/>
  <c r="K862" i="6"/>
  <c r="AA261" i="3"/>
  <c r="C61" i="3"/>
  <c r="M264" i="3"/>
  <c r="S264" i="3" s="1"/>
  <c r="Y260" i="3"/>
  <c r="AD260" i="3" s="1"/>
  <c r="W260" i="3"/>
  <c r="U112" i="3"/>
  <c r="E110" i="3"/>
  <c r="E105" i="10" s="1"/>
  <c r="I105" i="10" s="1"/>
  <c r="X244" i="7"/>
  <c r="AI244" i="7"/>
  <c r="X101" i="7"/>
  <c r="AI101" i="7"/>
  <c r="AI347" i="7"/>
  <c r="X347" i="7"/>
  <c r="AD57" i="3"/>
  <c r="N195" i="7"/>
  <c r="S195" i="7"/>
  <c r="N298" i="7"/>
  <c r="S298" i="7"/>
  <c r="AH299" i="7"/>
  <c r="W299" i="7"/>
  <c r="AH196" i="7"/>
  <c r="W196" i="7"/>
  <c r="AA59" i="3"/>
  <c r="T18" i="13" s="1"/>
  <c r="CY18" i="13" s="1"/>
  <c r="Y58" i="3"/>
  <c r="AV13" i="3"/>
  <c r="AB60" i="3"/>
  <c r="Z60" i="3"/>
  <c r="AH54" i="7"/>
  <c r="S54" i="7" s="1"/>
  <c r="W54" i="7"/>
  <c r="N54" i="7" s="1"/>
  <c r="AG55" i="7"/>
  <c r="V55" i="7"/>
  <c r="C55" i="7"/>
  <c r="S53" i="7"/>
  <c r="N53" i="7"/>
  <c r="C300" i="7"/>
  <c r="C197" i="7"/>
  <c r="G60" i="3"/>
  <c r="D61" i="3"/>
  <c r="AI209" i="7"/>
  <c r="X209" i="7"/>
  <c r="X66" i="7"/>
  <c r="AI66" i="7"/>
  <c r="AI312" i="7"/>
  <c r="X312" i="7"/>
  <c r="D314" i="7"/>
  <c r="D211" i="7"/>
  <c r="D68" i="7"/>
  <c r="E75" i="3"/>
  <c r="U77" i="3"/>
  <c r="K56" i="7"/>
  <c r="AD56" i="7" s="1"/>
  <c r="AB61" i="3"/>
  <c r="R300" i="7"/>
  <c r="R55" i="7"/>
  <c r="R197" i="7"/>
  <c r="T62" i="3"/>
  <c r="J56" i="7"/>
  <c r="AC56" i="7" s="1"/>
  <c r="J198" i="7"/>
  <c r="AC198" i="7" s="1"/>
  <c r="J301" i="7"/>
  <c r="AC301" i="7" s="1"/>
  <c r="I56" i="7"/>
  <c r="AB56" i="7" s="1"/>
  <c r="Z466" i="3"/>
  <c r="I301" i="7"/>
  <c r="AB301" i="7" s="1"/>
  <c r="I198" i="7"/>
  <c r="AB198" i="7" s="1"/>
  <c r="G54" i="7"/>
  <c r="Q54" i="7" s="1"/>
  <c r="W59" i="3"/>
  <c r="R60" i="3"/>
  <c r="P54" i="7"/>
  <c r="E58" i="7"/>
  <c r="M58" i="7" s="1"/>
  <c r="E199" i="7"/>
  <c r="E302" i="7"/>
  <c r="Y56" i="7"/>
  <c r="AJ56" i="7"/>
  <c r="AJ197" i="7"/>
  <c r="Y197" i="7"/>
  <c r="Y300" i="7"/>
  <c r="AJ300" i="7"/>
  <c r="Z18" i="13"/>
  <c r="AD18" i="13" s="1"/>
  <c r="BR18" i="13" s="1"/>
  <c r="E57" i="7"/>
  <c r="M57" i="7" s="1"/>
  <c r="E198" i="7"/>
  <c r="E301" i="7"/>
  <c r="Y55" i="7"/>
  <c r="AJ55" i="7"/>
  <c r="Y196" i="7"/>
  <c r="AJ196" i="7"/>
  <c r="Y299" i="7"/>
  <c r="AJ299" i="7"/>
  <c r="F299" i="7"/>
  <c r="P299" i="7" s="1"/>
  <c r="F196" i="7"/>
  <c r="P196" i="7" s="1"/>
  <c r="AO53" i="7" l="1"/>
  <c r="AM52" i="7"/>
  <c r="G263" i="3"/>
  <c r="AQ54" i="7"/>
  <c r="AR52" i="7"/>
  <c r="R465" i="3"/>
  <c r="R262" i="3"/>
  <c r="Y262" i="3" s="1"/>
  <c r="AP54" i="7"/>
  <c r="J839" i="6"/>
  <c r="N839" i="6" s="1"/>
  <c r="K861" i="6"/>
  <c r="J838" i="6"/>
  <c r="N838" i="6" s="1"/>
  <c r="ER19" i="13"/>
  <c r="EG19" i="13"/>
  <c r="EM19" i="13" s="1"/>
  <c r="EK18" i="13"/>
  <c r="EJ19" i="13"/>
  <c r="L20" i="13"/>
  <c r="AN20" i="13" s="1"/>
  <c r="AQ20" i="13" s="1"/>
  <c r="BU20" i="13" s="1"/>
  <c r="M20" i="13"/>
  <c r="AP19" i="13"/>
  <c r="AS19" i="13" s="1"/>
  <c r="DV19" i="13" s="1"/>
  <c r="DZ19" i="13" s="1"/>
  <c r="ED19" i="13" s="1"/>
  <c r="CG19" i="13"/>
  <c r="K20" i="13"/>
  <c r="AM19" i="13"/>
  <c r="BT19" i="13" s="1"/>
  <c r="V19" i="13"/>
  <c r="Q19" i="13"/>
  <c r="Y19" i="13"/>
  <c r="AC19" i="13" s="1"/>
  <c r="DJ19" i="13" s="1"/>
  <c r="CJ19" i="13"/>
  <c r="AH19" i="13"/>
  <c r="AL19" i="13" s="1"/>
  <c r="BS19" i="13" s="1"/>
  <c r="AG19" i="13"/>
  <c r="AK19" i="13" s="1"/>
  <c r="DK19" i="13" s="1"/>
  <c r="AF19" i="13"/>
  <c r="AJ19" i="13" s="1"/>
  <c r="DA19" i="13" s="1"/>
  <c r="AE19" i="13"/>
  <c r="AI19" i="13" s="1"/>
  <c r="CQ19" i="13" s="1"/>
  <c r="DZ18" i="12"/>
  <c r="AG198" i="7"/>
  <c r="V198" i="7"/>
  <c r="M468" i="3"/>
  <c r="S468" i="3" s="1"/>
  <c r="S62" i="3"/>
  <c r="CJ19" i="12"/>
  <c r="CG19" i="12"/>
  <c r="W19" i="12"/>
  <c r="X19" i="12"/>
  <c r="Y19" i="12"/>
  <c r="AR19" i="12"/>
  <c r="AZ19" i="12" s="1"/>
  <c r="AM19" i="12"/>
  <c r="BT19" i="12" s="1"/>
  <c r="M20" i="12"/>
  <c r="L20" i="12"/>
  <c r="AN20" i="12" s="1"/>
  <c r="AP19" i="12"/>
  <c r="AE19" i="12"/>
  <c r="AF19" i="12"/>
  <c r="AG19" i="12"/>
  <c r="AH19" i="12"/>
  <c r="V19" i="12"/>
  <c r="T19" i="12"/>
  <c r="CY19" i="12" s="1"/>
  <c r="Q19" i="12"/>
  <c r="AY19" i="12" s="1"/>
  <c r="R19" i="12"/>
  <c r="BQ19" i="12" s="1"/>
  <c r="U19" i="12"/>
  <c r="DI19" i="12" s="1"/>
  <c r="K20" i="12"/>
  <c r="S19" i="12"/>
  <c r="CO19" i="12" s="1"/>
  <c r="AG300" i="7"/>
  <c r="V300" i="7"/>
  <c r="B301" i="7"/>
  <c r="G466" i="3"/>
  <c r="C264" i="3"/>
  <c r="B199" i="7" s="1"/>
  <c r="C56" i="10"/>
  <c r="G56" i="10" s="1"/>
  <c r="C467" i="3"/>
  <c r="O315" i="3"/>
  <c r="O518" i="3"/>
  <c r="E313" i="3"/>
  <c r="E516" i="3"/>
  <c r="U516" i="3" s="1"/>
  <c r="AA465" i="3"/>
  <c r="AA466" i="3"/>
  <c r="D264" i="3"/>
  <c r="D56" i="10"/>
  <c r="H56" i="10" s="1"/>
  <c r="D467" i="3"/>
  <c r="E278" i="3"/>
  <c r="D213" i="7" s="1"/>
  <c r="E70" i="10"/>
  <c r="I70" i="10" s="1"/>
  <c r="E481" i="3"/>
  <c r="D316" i="7" s="1"/>
  <c r="O280" i="3"/>
  <c r="O483" i="3"/>
  <c r="N265" i="3"/>
  <c r="T265" i="3" s="1"/>
  <c r="N468" i="3"/>
  <c r="T468" i="3" s="1"/>
  <c r="J263" i="3"/>
  <c r="G198" i="7" s="1"/>
  <c r="Q198" i="7" s="1"/>
  <c r="J466" i="3"/>
  <c r="G301" i="7" s="1"/>
  <c r="Q301" i="7" s="1"/>
  <c r="H263" i="3"/>
  <c r="H466" i="3"/>
  <c r="F268" i="3"/>
  <c r="F60" i="10"/>
  <c r="J60" i="10" s="1"/>
  <c r="F471" i="3"/>
  <c r="F267" i="3"/>
  <c r="F59" i="10"/>
  <c r="J59" i="10" s="1"/>
  <c r="F470" i="3"/>
  <c r="Y464" i="3"/>
  <c r="AD464" i="3" s="1"/>
  <c r="W464" i="3"/>
  <c r="Y465" i="3"/>
  <c r="K863" i="6"/>
  <c r="K859" i="6"/>
  <c r="I897" i="6"/>
  <c r="G897" i="6"/>
  <c r="C927" i="6"/>
  <c r="E897" i="6"/>
  <c r="H897" i="6"/>
  <c r="D897" i="6"/>
  <c r="F897" i="6"/>
  <c r="I896" i="6"/>
  <c r="E896" i="6"/>
  <c r="H896" i="6"/>
  <c r="C926" i="6"/>
  <c r="F896" i="6"/>
  <c r="D896" i="6"/>
  <c r="G896" i="6"/>
  <c r="I895" i="6"/>
  <c r="G895" i="6"/>
  <c r="H895" i="6"/>
  <c r="D895" i="6"/>
  <c r="F895" i="6"/>
  <c r="E895" i="6"/>
  <c r="C925" i="6"/>
  <c r="I894" i="6"/>
  <c r="D894" i="6"/>
  <c r="F894" i="6"/>
  <c r="G894" i="6"/>
  <c r="H894" i="6"/>
  <c r="E894" i="6"/>
  <c r="C924" i="6"/>
  <c r="I893" i="6"/>
  <c r="H893" i="6"/>
  <c r="D893" i="6"/>
  <c r="G893" i="6"/>
  <c r="F893" i="6"/>
  <c r="E893" i="6"/>
  <c r="C923" i="6"/>
  <c r="H892" i="6"/>
  <c r="F892" i="6"/>
  <c r="D892" i="6"/>
  <c r="G892" i="6"/>
  <c r="E892" i="6"/>
  <c r="C922" i="6"/>
  <c r="I892" i="6"/>
  <c r="H891" i="6"/>
  <c r="I891" i="6"/>
  <c r="D891" i="6"/>
  <c r="G891" i="6"/>
  <c r="F891" i="6"/>
  <c r="C921" i="6"/>
  <c r="E891" i="6"/>
  <c r="H890" i="6"/>
  <c r="D890" i="6"/>
  <c r="I890" i="6"/>
  <c r="C920" i="6"/>
  <c r="F890" i="6"/>
  <c r="G890" i="6"/>
  <c r="E890" i="6"/>
  <c r="H889" i="6"/>
  <c r="G889" i="6"/>
  <c r="D889" i="6"/>
  <c r="E889" i="6"/>
  <c r="C919" i="6"/>
  <c r="F889" i="6"/>
  <c r="I889" i="6"/>
  <c r="H888" i="6"/>
  <c r="G888" i="6"/>
  <c r="D888" i="6"/>
  <c r="E888" i="6"/>
  <c r="F888" i="6"/>
  <c r="I888" i="6"/>
  <c r="C918" i="6"/>
  <c r="H887" i="6"/>
  <c r="F887" i="6"/>
  <c r="C917" i="6"/>
  <c r="E887" i="6"/>
  <c r="G887" i="6"/>
  <c r="D887" i="6"/>
  <c r="I887" i="6"/>
  <c r="H886" i="6"/>
  <c r="D886" i="6"/>
  <c r="G886" i="6"/>
  <c r="I886" i="6"/>
  <c r="F886" i="6"/>
  <c r="E886" i="6"/>
  <c r="C916" i="6"/>
  <c r="H885" i="6"/>
  <c r="F885" i="6"/>
  <c r="E885" i="6"/>
  <c r="I885" i="6"/>
  <c r="C915" i="6"/>
  <c r="D885" i="6"/>
  <c r="G885" i="6"/>
  <c r="H884" i="6"/>
  <c r="C914" i="6"/>
  <c r="D884" i="6"/>
  <c r="F884" i="6"/>
  <c r="G884" i="6"/>
  <c r="I884" i="6"/>
  <c r="E884" i="6"/>
  <c r="H883" i="6"/>
  <c r="I883" i="6"/>
  <c r="G883" i="6"/>
  <c r="C913" i="6"/>
  <c r="D883" i="6"/>
  <c r="E883" i="6"/>
  <c r="F883" i="6"/>
  <c r="D882" i="6"/>
  <c r="G882" i="6"/>
  <c r="E882" i="6"/>
  <c r="C912" i="6"/>
  <c r="F882" i="6"/>
  <c r="H882" i="6"/>
  <c r="I882" i="6"/>
  <c r="D881" i="6"/>
  <c r="G881" i="6"/>
  <c r="H881" i="6"/>
  <c r="E881" i="6"/>
  <c r="F881" i="6"/>
  <c r="C911" i="6"/>
  <c r="I881" i="6"/>
  <c r="D880" i="6"/>
  <c r="G880" i="6"/>
  <c r="E880" i="6"/>
  <c r="C910" i="6"/>
  <c r="H880" i="6"/>
  <c r="I880" i="6"/>
  <c r="F880" i="6"/>
  <c r="D879" i="6"/>
  <c r="G879" i="6"/>
  <c r="I879" i="6"/>
  <c r="E879" i="6"/>
  <c r="F879" i="6"/>
  <c r="H879" i="6"/>
  <c r="C909" i="6"/>
  <c r="D878" i="6"/>
  <c r="G878" i="6"/>
  <c r="E878" i="6"/>
  <c r="I878" i="6"/>
  <c r="C908" i="6"/>
  <c r="F878" i="6"/>
  <c r="H878" i="6"/>
  <c r="D877" i="6"/>
  <c r="G877" i="6"/>
  <c r="H877" i="6"/>
  <c r="I877" i="6"/>
  <c r="C907" i="6"/>
  <c r="F877" i="6"/>
  <c r="E877" i="6"/>
  <c r="D876" i="6"/>
  <c r="G876" i="6"/>
  <c r="H876" i="6"/>
  <c r="C906" i="6"/>
  <c r="F876" i="6"/>
  <c r="E876" i="6"/>
  <c r="I876" i="6"/>
  <c r="D875" i="6"/>
  <c r="G875" i="6"/>
  <c r="I875" i="6"/>
  <c r="C905" i="6"/>
  <c r="E875" i="6"/>
  <c r="H875" i="6"/>
  <c r="F875" i="6"/>
  <c r="D874" i="6"/>
  <c r="G874" i="6"/>
  <c r="F874" i="6"/>
  <c r="E874" i="6"/>
  <c r="C904" i="6"/>
  <c r="I874" i="6"/>
  <c r="H874" i="6"/>
  <c r="D873" i="6"/>
  <c r="G873" i="6"/>
  <c r="H873" i="6"/>
  <c r="C903" i="6"/>
  <c r="F873" i="6"/>
  <c r="I873" i="6"/>
  <c r="E873" i="6"/>
  <c r="I872" i="6"/>
  <c r="D872" i="6"/>
  <c r="F872" i="6"/>
  <c r="C902" i="6"/>
  <c r="E872" i="6"/>
  <c r="G872" i="6"/>
  <c r="H872" i="6"/>
  <c r="I871" i="6"/>
  <c r="E871" i="6"/>
  <c r="D871" i="6"/>
  <c r="F871" i="6"/>
  <c r="G871" i="6"/>
  <c r="C901" i="6"/>
  <c r="H871" i="6"/>
  <c r="I870" i="6"/>
  <c r="E870" i="6"/>
  <c r="D870" i="6"/>
  <c r="G870" i="6"/>
  <c r="C900" i="6"/>
  <c r="H870" i="6"/>
  <c r="F870" i="6"/>
  <c r="I869" i="6"/>
  <c r="G869" i="6"/>
  <c r="D869" i="6"/>
  <c r="E869" i="6"/>
  <c r="H869" i="6"/>
  <c r="F869" i="6"/>
  <c r="C899" i="6"/>
  <c r="K867" i="6"/>
  <c r="K846" i="6"/>
  <c r="K842" i="6"/>
  <c r="K838" i="6"/>
  <c r="K849" i="6"/>
  <c r="K840" i="6"/>
  <c r="K864" i="6"/>
  <c r="K854" i="6"/>
  <c r="K858" i="6"/>
  <c r="K853" i="6"/>
  <c r="K860" i="6"/>
  <c r="K866" i="6"/>
  <c r="K844" i="6"/>
  <c r="K845" i="6"/>
  <c r="K857" i="6"/>
  <c r="K851" i="6"/>
  <c r="K855" i="6"/>
  <c r="K878" i="6"/>
  <c r="K865" i="6"/>
  <c r="I868" i="6"/>
  <c r="E868" i="6"/>
  <c r="F868" i="6"/>
  <c r="D868" i="6"/>
  <c r="K894" i="6" s="1"/>
  <c r="H868" i="6"/>
  <c r="C898" i="6"/>
  <c r="G868" i="6"/>
  <c r="J865" i="6"/>
  <c r="N865" i="6" s="1"/>
  <c r="J855" i="6"/>
  <c r="N855" i="6" s="1"/>
  <c r="J860" i="6"/>
  <c r="N860" i="6" s="1"/>
  <c r="J858" i="6"/>
  <c r="N858" i="6" s="1"/>
  <c r="J857" i="6"/>
  <c r="N857" i="6" s="1"/>
  <c r="J853" i="6"/>
  <c r="N853" i="6" s="1"/>
  <c r="J846" i="6"/>
  <c r="N846" i="6" s="1"/>
  <c r="J851" i="6"/>
  <c r="N851" i="6" s="1"/>
  <c r="J850" i="6"/>
  <c r="N850" i="6" s="1"/>
  <c r="J841" i="6"/>
  <c r="N841" i="6" s="1"/>
  <c r="J849" i="6"/>
  <c r="N849" i="6" s="1"/>
  <c r="J848" i="6"/>
  <c r="N848" i="6" s="1"/>
  <c r="J844" i="6"/>
  <c r="N844" i="6" s="1"/>
  <c r="J847" i="6"/>
  <c r="N847" i="6" s="1"/>
  <c r="J842" i="6"/>
  <c r="N842" i="6" s="1"/>
  <c r="J840" i="6"/>
  <c r="N840" i="6" s="1"/>
  <c r="J866" i="6"/>
  <c r="N866" i="6" s="1"/>
  <c r="J862" i="6"/>
  <c r="N862" i="6" s="1"/>
  <c r="J856" i="6"/>
  <c r="N856" i="6" s="1"/>
  <c r="J845" i="6"/>
  <c r="N845" i="6" s="1"/>
  <c r="J864" i="6"/>
  <c r="N864" i="6" s="1"/>
  <c r="J852" i="6"/>
  <c r="N852" i="6" s="1"/>
  <c r="J867" i="6"/>
  <c r="N867" i="6" s="1"/>
  <c r="J863" i="6"/>
  <c r="N863" i="6" s="1"/>
  <c r="J859" i="6"/>
  <c r="N859" i="6" s="1"/>
  <c r="J854" i="6"/>
  <c r="N854" i="6" s="1"/>
  <c r="J861" i="6"/>
  <c r="N861" i="6" s="1"/>
  <c r="J843" i="6"/>
  <c r="N843" i="6" s="1"/>
  <c r="K847" i="6"/>
  <c r="AA262" i="3"/>
  <c r="C62" i="3"/>
  <c r="W19" i="13" s="1"/>
  <c r="AA19" i="13" s="1"/>
  <c r="CP19" i="13" s="1"/>
  <c r="M265" i="3"/>
  <c r="S265" i="3" s="1"/>
  <c r="Z263" i="3"/>
  <c r="Y261" i="3"/>
  <c r="AD261" i="3" s="1"/>
  <c r="W261" i="3"/>
  <c r="U114" i="3"/>
  <c r="E112" i="3"/>
  <c r="E107" i="10" s="1"/>
  <c r="I107" i="10" s="1"/>
  <c r="N196" i="7"/>
  <c r="S196" i="7"/>
  <c r="N299" i="7"/>
  <c r="S299" i="7"/>
  <c r="AD58" i="3"/>
  <c r="AA60" i="3"/>
  <c r="C301" i="7"/>
  <c r="C198" i="7"/>
  <c r="AA263" i="3"/>
  <c r="G61" i="3"/>
  <c r="AH55" i="7"/>
  <c r="S55" i="7" s="1"/>
  <c r="W55" i="7"/>
  <c r="N55" i="7" s="1"/>
  <c r="W300" i="7"/>
  <c r="AH300" i="7"/>
  <c r="W197" i="7"/>
  <c r="N197" i="7" s="1"/>
  <c r="AH197" i="7"/>
  <c r="S197" i="7" s="1"/>
  <c r="AG56" i="7"/>
  <c r="V56" i="7"/>
  <c r="C56" i="7"/>
  <c r="D62" i="3"/>
  <c r="X19" i="13" s="1"/>
  <c r="AB19" i="13" s="1"/>
  <c r="CZ19" i="13" s="1"/>
  <c r="AI314" i="7"/>
  <c r="X314" i="7"/>
  <c r="X211" i="7"/>
  <c r="AI211" i="7"/>
  <c r="X68" i="7"/>
  <c r="AI68" i="7"/>
  <c r="D70" i="7"/>
  <c r="E77" i="3"/>
  <c r="U79" i="3"/>
  <c r="K199" i="7"/>
  <c r="AD199" i="7" s="1"/>
  <c r="U264" i="3"/>
  <c r="K302" i="7"/>
  <c r="AD302" i="7" s="1"/>
  <c r="U467" i="3"/>
  <c r="K57" i="7"/>
  <c r="AD57" i="7" s="1"/>
  <c r="T63" i="3"/>
  <c r="J57" i="7"/>
  <c r="AC57" i="7" s="1"/>
  <c r="J199" i="7"/>
  <c r="AC199" i="7" s="1"/>
  <c r="J302" i="7"/>
  <c r="AC302" i="7" s="1"/>
  <c r="Z61" i="3"/>
  <c r="I57" i="7"/>
  <c r="AB57" i="7" s="1"/>
  <c r="Z264" i="3"/>
  <c r="I199" i="7"/>
  <c r="AB199" i="7" s="1"/>
  <c r="Z467" i="3"/>
  <c r="I302" i="7"/>
  <c r="AB302" i="7" s="1"/>
  <c r="G55" i="7"/>
  <c r="Q55" i="7" s="1"/>
  <c r="Y59" i="3"/>
  <c r="W60" i="3"/>
  <c r="R61" i="3"/>
  <c r="P55" i="7"/>
  <c r="F197" i="7"/>
  <c r="P197" i="7" s="1"/>
  <c r="F300" i="7"/>
  <c r="P300" i="7" s="1"/>
  <c r="E60" i="7"/>
  <c r="M60" i="7" s="1"/>
  <c r="E201" i="7"/>
  <c r="E304" i="7"/>
  <c r="Y58" i="7"/>
  <c r="AJ58" i="7"/>
  <c r="Y199" i="7"/>
  <c r="AJ199" i="7"/>
  <c r="Y302" i="7"/>
  <c r="AJ302" i="7"/>
  <c r="E59" i="7"/>
  <c r="M59" i="7" s="1"/>
  <c r="E303" i="7"/>
  <c r="E200" i="7"/>
  <c r="Y57" i="7"/>
  <c r="AJ57" i="7"/>
  <c r="Y198" i="7"/>
  <c r="AJ198" i="7"/>
  <c r="AJ301" i="7"/>
  <c r="Y301" i="7"/>
  <c r="R56" i="7"/>
  <c r="R301" i="7"/>
  <c r="R198" i="7"/>
  <c r="AD465" i="3" l="1"/>
  <c r="AD262" i="3"/>
  <c r="AQ55" i="7"/>
  <c r="R263" i="3"/>
  <c r="R466" i="3"/>
  <c r="AP55" i="7"/>
  <c r="AO54" i="7"/>
  <c r="AM53" i="7"/>
  <c r="AR53" i="7"/>
  <c r="J868" i="6"/>
  <c r="N868" i="6" s="1"/>
  <c r="AO20" i="13"/>
  <c r="AR20" i="13" s="1"/>
  <c r="AZ20" i="13" s="1"/>
  <c r="AY19" i="13"/>
  <c r="N20" i="13"/>
  <c r="EF20" i="13"/>
  <c r="EL20" i="13" s="1"/>
  <c r="FE20" i="13" s="1"/>
  <c r="ED18" i="12"/>
  <c r="S300" i="7"/>
  <c r="AR54" i="7" s="1"/>
  <c r="N300" i="7"/>
  <c r="AM54" i="7" s="1"/>
  <c r="G264" i="3"/>
  <c r="AG199" i="7"/>
  <c r="V199" i="7"/>
  <c r="M469" i="3"/>
  <c r="S469" i="3" s="1"/>
  <c r="S63" i="3"/>
  <c r="AA19" i="12"/>
  <c r="CP19" i="12" s="1"/>
  <c r="AB19" i="12"/>
  <c r="CZ19" i="12" s="1"/>
  <c r="AC19" i="12"/>
  <c r="DJ19" i="12" s="1"/>
  <c r="AD19" i="12"/>
  <c r="BR19" i="12" s="1"/>
  <c r="AQ20" i="12"/>
  <c r="BU20" i="12" s="1"/>
  <c r="AS19" i="12"/>
  <c r="DV19" i="12" s="1"/>
  <c r="AO20" i="12"/>
  <c r="AI19" i="12"/>
  <c r="CQ19" i="12" s="1"/>
  <c r="AJ19" i="12"/>
  <c r="DA19" i="12" s="1"/>
  <c r="AK19" i="12"/>
  <c r="DK19" i="12" s="1"/>
  <c r="AL19" i="12"/>
  <c r="BS19" i="12" s="1"/>
  <c r="N20" i="12"/>
  <c r="Z20" i="12" s="1"/>
  <c r="V301" i="7"/>
  <c r="AG301" i="7"/>
  <c r="B302" i="7"/>
  <c r="G467" i="3"/>
  <c r="C265" i="3"/>
  <c r="B200" i="7" s="1"/>
  <c r="C57" i="10"/>
  <c r="G57" i="10" s="1"/>
  <c r="C468" i="3"/>
  <c r="Z468" i="3" s="1"/>
  <c r="O317" i="3"/>
  <c r="O520" i="3"/>
  <c r="E315" i="3"/>
  <c r="U315" i="3" s="1"/>
  <c r="E518" i="3"/>
  <c r="U518" i="3" s="1"/>
  <c r="D265" i="3"/>
  <c r="G265" i="3" s="1"/>
  <c r="D57" i="10"/>
  <c r="H57" i="10" s="1"/>
  <c r="D468" i="3"/>
  <c r="E280" i="3"/>
  <c r="D215" i="7" s="1"/>
  <c r="E72" i="10"/>
  <c r="I72" i="10" s="1"/>
  <c r="E483" i="3"/>
  <c r="D318" i="7" s="1"/>
  <c r="O282" i="3"/>
  <c r="O485" i="3"/>
  <c r="AB468" i="3"/>
  <c r="AB467" i="3"/>
  <c r="N266" i="3"/>
  <c r="T266" i="3" s="1"/>
  <c r="N469" i="3"/>
  <c r="T469" i="3" s="1"/>
  <c r="J264" i="3"/>
  <c r="G199" i="7" s="1"/>
  <c r="Q199" i="7" s="1"/>
  <c r="J467" i="3"/>
  <c r="G302" i="7" s="1"/>
  <c r="Q302" i="7" s="1"/>
  <c r="H264" i="3"/>
  <c r="R264" i="3" s="1"/>
  <c r="H467" i="3"/>
  <c r="R467" i="3" s="1"/>
  <c r="W465" i="3"/>
  <c r="F270" i="3"/>
  <c r="F62" i="10"/>
  <c r="J62" i="10" s="1"/>
  <c r="F473" i="3"/>
  <c r="F269" i="3"/>
  <c r="F61" i="10"/>
  <c r="J61" i="10" s="1"/>
  <c r="F472" i="3"/>
  <c r="K871" i="6"/>
  <c r="K879" i="6"/>
  <c r="I927" i="6"/>
  <c r="D927" i="6"/>
  <c r="E927" i="6"/>
  <c r="F927" i="6"/>
  <c r="G927" i="6"/>
  <c r="C957" i="6"/>
  <c r="H927" i="6"/>
  <c r="I926" i="6"/>
  <c r="F926" i="6"/>
  <c r="G926" i="6"/>
  <c r="H926" i="6"/>
  <c r="D926" i="6"/>
  <c r="E926" i="6"/>
  <c r="C956" i="6"/>
  <c r="I925" i="6"/>
  <c r="H925" i="6"/>
  <c r="D925" i="6"/>
  <c r="C955" i="6"/>
  <c r="G925" i="6"/>
  <c r="E925" i="6"/>
  <c r="F925" i="6"/>
  <c r="I924" i="6"/>
  <c r="F924" i="6"/>
  <c r="G924" i="6"/>
  <c r="E924" i="6"/>
  <c r="C954" i="6"/>
  <c r="H924" i="6"/>
  <c r="D924" i="6"/>
  <c r="I923" i="6"/>
  <c r="G923" i="6"/>
  <c r="H923" i="6"/>
  <c r="E923" i="6"/>
  <c r="C953" i="6"/>
  <c r="F923" i="6"/>
  <c r="D923" i="6"/>
  <c r="H922" i="6"/>
  <c r="F922" i="6"/>
  <c r="G922" i="6"/>
  <c r="D922" i="6"/>
  <c r="E922" i="6"/>
  <c r="I922" i="6"/>
  <c r="C952" i="6"/>
  <c r="H921" i="6"/>
  <c r="F921" i="6"/>
  <c r="D921" i="6"/>
  <c r="G921" i="6"/>
  <c r="I921" i="6"/>
  <c r="C951" i="6"/>
  <c r="E921" i="6"/>
  <c r="H920" i="6"/>
  <c r="G920" i="6"/>
  <c r="I920" i="6"/>
  <c r="C950" i="6"/>
  <c r="F920" i="6"/>
  <c r="D920" i="6"/>
  <c r="E920" i="6"/>
  <c r="H919" i="6"/>
  <c r="E919" i="6"/>
  <c r="C949" i="6"/>
  <c r="F919" i="6"/>
  <c r="D919" i="6"/>
  <c r="I919" i="6"/>
  <c r="G919" i="6"/>
  <c r="H918" i="6"/>
  <c r="F918" i="6"/>
  <c r="D918" i="6"/>
  <c r="G918" i="6"/>
  <c r="I918" i="6"/>
  <c r="E918" i="6"/>
  <c r="C948" i="6"/>
  <c r="H917" i="6"/>
  <c r="E917" i="6"/>
  <c r="I917" i="6"/>
  <c r="C947" i="6"/>
  <c r="G917" i="6"/>
  <c r="D917" i="6"/>
  <c r="F917" i="6"/>
  <c r="H916" i="6"/>
  <c r="D916" i="6"/>
  <c r="E916" i="6"/>
  <c r="F916" i="6"/>
  <c r="C946" i="6"/>
  <c r="G916" i="6"/>
  <c r="I916" i="6"/>
  <c r="H915" i="6"/>
  <c r="G915" i="6"/>
  <c r="C945" i="6"/>
  <c r="D915" i="6"/>
  <c r="I915" i="6"/>
  <c r="F915" i="6"/>
  <c r="E915" i="6"/>
  <c r="H914" i="6"/>
  <c r="D914" i="6"/>
  <c r="G914" i="6"/>
  <c r="C944" i="6"/>
  <c r="E914" i="6"/>
  <c r="F914" i="6"/>
  <c r="I914" i="6"/>
  <c r="H913" i="6"/>
  <c r="I913" i="6"/>
  <c r="E913" i="6"/>
  <c r="G913" i="6"/>
  <c r="D913" i="6"/>
  <c r="C943" i="6"/>
  <c r="F913" i="6"/>
  <c r="D912" i="6"/>
  <c r="G912" i="6"/>
  <c r="E912" i="6"/>
  <c r="I912" i="6"/>
  <c r="H912" i="6"/>
  <c r="F912" i="6"/>
  <c r="C942" i="6"/>
  <c r="D911" i="6"/>
  <c r="G911" i="6"/>
  <c r="H911" i="6"/>
  <c r="F911" i="6"/>
  <c r="C941" i="6"/>
  <c r="I911" i="6"/>
  <c r="E911" i="6"/>
  <c r="D910" i="6"/>
  <c r="G910" i="6"/>
  <c r="F910" i="6"/>
  <c r="I910" i="6"/>
  <c r="E910" i="6"/>
  <c r="H910" i="6"/>
  <c r="C940" i="6"/>
  <c r="D909" i="6"/>
  <c r="G909" i="6"/>
  <c r="H909" i="6"/>
  <c r="E909" i="6"/>
  <c r="F909" i="6"/>
  <c r="I909" i="6"/>
  <c r="C939" i="6"/>
  <c r="D908" i="6"/>
  <c r="G908" i="6"/>
  <c r="H908" i="6"/>
  <c r="I908" i="6"/>
  <c r="E908" i="6"/>
  <c r="F908" i="6"/>
  <c r="C938" i="6"/>
  <c r="D907" i="6"/>
  <c r="G907" i="6"/>
  <c r="E907" i="6"/>
  <c r="H907" i="6"/>
  <c r="F907" i="6"/>
  <c r="C937" i="6"/>
  <c r="I907" i="6"/>
  <c r="D906" i="6"/>
  <c r="G906" i="6"/>
  <c r="C936" i="6"/>
  <c r="I906" i="6"/>
  <c r="F906" i="6"/>
  <c r="H906" i="6"/>
  <c r="E906" i="6"/>
  <c r="D905" i="6"/>
  <c r="G905" i="6"/>
  <c r="H905" i="6"/>
  <c r="I905" i="6"/>
  <c r="F905" i="6"/>
  <c r="E905" i="6"/>
  <c r="C935" i="6"/>
  <c r="D904" i="6"/>
  <c r="G904" i="6"/>
  <c r="H904" i="6"/>
  <c r="I904" i="6"/>
  <c r="E904" i="6"/>
  <c r="F904" i="6"/>
  <c r="C934" i="6"/>
  <c r="D903" i="6"/>
  <c r="G903" i="6"/>
  <c r="H903" i="6"/>
  <c r="E903" i="6"/>
  <c r="I903" i="6"/>
  <c r="C933" i="6"/>
  <c r="F903" i="6"/>
  <c r="I902" i="6"/>
  <c r="H902" i="6"/>
  <c r="E902" i="6"/>
  <c r="F902" i="6"/>
  <c r="G902" i="6"/>
  <c r="C932" i="6"/>
  <c r="D902" i="6"/>
  <c r="I901" i="6"/>
  <c r="G901" i="6"/>
  <c r="D901" i="6"/>
  <c r="H901" i="6"/>
  <c r="E901" i="6"/>
  <c r="F901" i="6"/>
  <c r="C931" i="6"/>
  <c r="I900" i="6"/>
  <c r="F900" i="6"/>
  <c r="E900" i="6"/>
  <c r="C930" i="6"/>
  <c r="G900" i="6"/>
  <c r="D900" i="6"/>
  <c r="H900" i="6"/>
  <c r="I899" i="6"/>
  <c r="G899" i="6"/>
  <c r="D899" i="6"/>
  <c r="F899" i="6"/>
  <c r="H899" i="6"/>
  <c r="E899" i="6"/>
  <c r="C929" i="6"/>
  <c r="I898" i="6"/>
  <c r="F898" i="6"/>
  <c r="H898" i="6"/>
  <c r="E898" i="6"/>
  <c r="C928" i="6"/>
  <c r="G898" i="6"/>
  <c r="D898" i="6"/>
  <c r="J898" i="6"/>
  <c r="N898" i="6" s="1"/>
  <c r="J896" i="6"/>
  <c r="N896" i="6" s="1"/>
  <c r="J894" i="6"/>
  <c r="N894" i="6" s="1"/>
  <c r="J891" i="6"/>
  <c r="N891" i="6" s="1"/>
  <c r="J886" i="6"/>
  <c r="N886" i="6" s="1"/>
  <c r="J878" i="6"/>
  <c r="N878" i="6" s="1"/>
  <c r="J888" i="6"/>
  <c r="N888" i="6" s="1"/>
  <c r="J887" i="6"/>
  <c r="N887" i="6" s="1"/>
  <c r="J876" i="6"/>
  <c r="N876" i="6" s="1"/>
  <c r="J885" i="6"/>
  <c r="N885" i="6" s="1"/>
  <c r="J884" i="6"/>
  <c r="N884" i="6" s="1"/>
  <c r="J883" i="6"/>
  <c r="N883" i="6" s="1"/>
  <c r="J881" i="6"/>
  <c r="N881" i="6" s="1"/>
  <c r="J882" i="6"/>
  <c r="N882" i="6" s="1"/>
  <c r="J880" i="6"/>
  <c r="N880" i="6" s="1"/>
  <c r="J875" i="6"/>
  <c r="N875" i="6" s="1"/>
  <c r="J873" i="6"/>
  <c r="N873" i="6" s="1"/>
  <c r="J874" i="6"/>
  <c r="N874" i="6" s="1"/>
  <c r="J872" i="6"/>
  <c r="N872" i="6" s="1"/>
  <c r="J871" i="6"/>
  <c r="N871" i="6" s="1"/>
  <c r="J870" i="6"/>
  <c r="N870" i="6" s="1"/>
  <c r="J869" i="6"/>
  <c r="N869" i="6" s="1"/>
  <c r="J895" i="6"/>
  <c r="N895" i="6" s="1"/>
  <c r="J892" i="6"/>
  <c r="N892" i="6" s="1"/>
  <c r="J889" i="6"/>
  <c r="N889" i="6" s="1"/>
  <c r="J879" i="6"/>
  <c r="N879" i="6" s="1"/>
  <c r="J897" i="6"/>
  <c r="N897" i="6" s="1"/>
  <c r="J893" i="6"/>
  <c r="N893" i="6" s="1"/>
  <c r="J890" i="6"/>
  <c r="N890" i="6" s="1"/>
  <c r="J877" i="6"/>
  <c r="N877" i="6" s="1"/>
  <c r="AB264" i="3"/>
  <c r="C63" i="3"/>
  <c r="M266" i="3"/>
  <c r="S266" i="3" s="1"/>
  <c r="W262" i="3"/>
  <c r="E114" i="3"/>
  <c r="E109" i="10" s="1"/>
  <c r="I109" i="10" s="1"/>
  <c r="U116" i="3"/>
  <c r="AH198" i="7"/>
  <c r="S198" i="7" s="1"/>
  <c r="W198" i="7"/>
  <c r="N198" i="7" s="1"/>
  <c r="W301" i="7"/>
  <c r="AH301" i="7"/>
  <c r="AA61" i="3"/>
  <c r="Z62" i="3"/>
  <c r="S19" i="13" s="1"/>
  <c r="CO19" i="13" s="1"/>
  <c r="Y60" i="3"/>
  <c r="W56" i="7"/>
  <c r="N56" i="7" s="1"/>
  <c r="AH56" i="7"/>
  <c r="S56" i="7" s="1"/>
  <c r="AG57" i="7"/>
  <c r="V57" i="7"/>
  <c r="C57" i="7"/>
  <c r="C199" i="7"/>
  <c r="C302" i="7"/>
  <c r="G62" i="3"/>
  <c r="D63" i="3"/>
  <c r="X70" i="7"/>
  <c r="AI70" i="7"/>
  <c r="AI213" i="7"/>
  <c r="X213" i="7"/>
  <c r="X316" i="7"/>
  <c r="AI316" i="7"/>
  <c r="D72" i="7"/>
  <c r="E79" i="3"/>
  <c r="U81" i="3"/>
  <c r="K303" i="7"/>
  <c r="AD303" i="7" s="1"/>
  <c r="U468" i="3"/>
  <c r="K200" i="7"/>
  <c r="AD200" i="7" s="1"/>
  <c r="U265" i="3"/>
  <c r="AB265" i="3" s="1"/>
  <c r="AB62" i="3"/>
  <c r="U19" i="13" s="1"/>
  <c r="DI19" i="13" s="1"/>
  <c r="K58" i="7"/>
  <c r="AD58" i="7" s="1"/>
  <c r="T64" i="3"/>
  <c r="J58" i="7"/>
  <c r="AC58" i="7" s="1"/>
  <c r="J200" i="7"/>
  <c r="AC200" i="7" s="1"/>
  <c r="J303" i="7"/>
  <c r="AC303" i="7" s="1"/>
  <c r="I58" i="7"/>
  <c r="AB58" i="7" s="1"/>
  <c r="I200" i="7"/>
  <c r="AB200" i="7" s="1"/>
  <c r="I303" i="7"/>
  <c r="AB303" i="7" s="1"/>
  <c r="G56" i="7"/>
  <c r="Q56" i="7" s="1"/>
  <c r="AD59" i="3"/>
  <c r="W61" i="3"/>
  <c r="R62" i="3"/>
  <c r="P56" i="7"/>
  <c r="Y263" i="3"/>
  <c r="AD263" i="3" s="1"/>
  <c r="F198" i="7"/>
  <c r="P198" i="7" s="1"/>
  <c r="F301" i="7"/>
  <c r="P301" i="7" s="1"/>
  <c r="E62" i="7"/>
  <c r="M62" i="7" s="1"/>
  <c r="E203" i="7"/>
  <c r="E306" i="7"/>
  <c r="Y60" i="7"/>
  <c r="AJ60" i="7"/>
  <c r="AJ201" i="7"/>
  <c r="Y201" i="7"/>
  <c r="Y304" i="7"/>
  <c r="AJ304" i="7"/>
  <c r="Z19" i="13"/>
  <c r="AD19" i="13" s="1"/>
  <c r="BR19" i="13" s="1"/>
  <c r="E61" i="7"/>
  <c r="M61" i="7" s="1"/>
  <c r="E202" i="7"/>
  <c r="E305" i="7"/>
  <c r="Y59" i="7"/>
  <c r="AJ59" i="7"/>
  <c r="Y303" i="7"/>
  <c r="AJ303" i="7"/>
  <c r="AJ200" i="7"/>
  <c r="Y200" i="7"/>
  <c r="R57" i="7"/>
  <c r="R199" i="7"/>
  <c r="R302" i="7"/>
  <c r="AQ56" i="7" l="1"/>
  <c r="AP56" i="7"/>
  <c r="AO55" i="7"/>
  <c r="EG20" i="13"/>
  <c r="EM20" i="13" s="1"/>
  <c r="ER20" i="13"/>
  <c r="EK19" i="13"/>
  <c r="EJ20" i="13"/>
  <c r="M21" i="13"/>
  <c r="L21" i="13"/>
  <c r="AN21" i="13" s="1"/>
  <c r="AQ21" i="13" s="1"/>
  <c r="BU21" i="13" s="1"/>
  <c r="AM20" i="13"/>
  <c r="BT20" i="13" s="1"/>
  <c r="Z20" i="13"/>
  <c r="AD20" i="13" s="1"/>
  <c r="BR20" i="13" s="1"/>
  <c r="V20" i="13"/>
  <c r="AH20" i="13"/>
  <c r="AL20" i="13" s="1"/>
  <c r="BS20" i="13" s="1"/>
  <c r="AF20" i="13"/>
  <c r="AJ20" i="13" s="1"/>
  <c r="DA20" i="13" s="1"/>
  <c r="K21" i="13"/>
  <c r="CG20" i="13"/>
  <c r="AP20" i="13"/>
  <c r="AS20" i="13" s="1"/>
  <c r="DV20" i="13" s="1"/>
  <c r="DZ20" i="13" s="1"/>
  <c r="ED20" i="13" s="1"/>
  <c r="Q20" i="13"/>
  <c r="CJ20" i="13"/>
  <c r="Y20" i="13"/>
  <c r="AC20" i="13" s="1"/>
  <c r="DJ20" i="13" s="1"/>
  <c r="AG20" i="13"/>
  <c r="AK20" i="13" s="1"/>
  <c r="DK20" i="13" s="1"/>
  <c r="AE20" i="13"/>
  <c r="AI20" i="13" s="1"/>
  <c r="CQ20" i="13" s="1"/>
  <c r="DZ19" i="12"/>
  <c r="V200" i="7"/>
  <c r="AG200" i="7"/>
  <c r="M470" i="3"/>
  <c r="S470" i="3" s="1"/>
  <c r="S64" i="3"/>
  <c r="CJ20" i="12"/>
  <c r="CG20" i="12"/>
  <c r="W20" i="12"/>
  <c r="X20" i="12"/>
  <c r="Y20" i="12"/>
  <c r="AR20" i="12"/>
  <c r="AZ20" i="12" s="1"/>
  <c r="AM20" i="12"/>
  <c r="BT20" i="12" s="1"/>
  <c r="M21" i="12"/>
  <c r="L21" i="12"/>
  <c r="AN21" i="12" s="1"/>
  <c r="AP20" i="12"/>
  <c r="AE20" i="12"/>
  <c r="AF20" i="12"/>
  <c r="AG20" i="12"/>
  <c r="AH20" i="12"/>
  <c r="U20" i="12"/>
  <c r="DI20" i="12" s="1"/>
  <c r="V20" i="12"/>
  <c r="Q20" i="12"/>
  <c r="AY20" i="12" s="1"/>
  <c r="S20" i="12"/>
  <c r="CO20" i="12" s="1"/>
  <c r="R20" i="12"/>
  <c r="BQ20" i="12" s="1"/>
  <c r="K21" i="12"/>
  <c r="T20" i="12"/>
  <c r="CY20" i="12" s="1"/>
  <c r="AG302" i="7"/>
  <c r="V302" i="7"/>
  <c r="B303" i="7"/>
  <c r="G468" i="3"/>
  <c r="N301" i="7"/>
  <c r="AM55" i="7" s="1"/>
  <c r="S301" i="7"/>
  <c r="AR55" i="7" s="1"/>
  <c r="C266" i="3"/>
  <c r="B201" i="7" s="1"/>
  <c r="C469" i="3"/>
  <c r="Z469" i="3" s="1"/>
  <c r="C58" i="10"/>
  <c r="G58" i="10" s="1"/>
  <c r="E317" i="3"/>
  <c r="U317" i="3" s="1"/>
  <c r="E520" i="3"/>
  <c r="U520" i="3" s="1"/>
  <c r="O319" i="3"/>
  <c r="O522" i="3"/>
  <c r="AA467" i="3"/>
  <c r="AA468" i="3"/>
  <c r="D266" i="3"/>
  <c r="G266" i="3" s="1"/>
  <c r="D469" i="3"/>
  <c r="D58" i="10"/>
  <c r="H58" i="10" s="1"/>
  <c r="E282" i="3"/>
  <c r="D217" i="7" s="1"/>
  <c r="E485" i="3"/>
  <c r="D320" i="7" s="1"/>
  <c r="E74" i="10"/>
  <c r="I74" i="10" s="1"/>
  <c r="O284" i="3"/>
  <c r="O487" i="3"/>
  <c r="AB469" i="3"/>
  <c r="N267" i="3"/>
  <c r="T267" i="3" s="1"/>
  <c r="N470" i="3"/>
  <c r="T470" i="3" s="1"/>
  <c r="J265" i="3"/>
  <c r="G200" i="7" s="1"/>
  <c r="Q200" i="7" s="1"/>
  <c r="J468" i="3"/>
  <c r="G303" i="7" s="1"/>
  <c r="Q303" i="7" s="1"/>
  <c r="H265" i="3"/>
  <c r="H468" i="3"/>
  <c r="W466" i="3"/>
  <c r="Y466" i="3"/>
  <c r="AD466" i="3" s="1"/>
  <c r="F272" i="3"/>
  <c r="F475" i="3"/>
  <c r="F64" i="10"/>
  <c r="J64" i="10" s="1"/>
  <c r="F271" i="3"/>
  <c r="F474" i="3"/>
  <c r="F63" i="10"/>
  <c r="J63" i="10" s="1"/>
  <c r="J903" i="6"/>
  <c r="N903" i="6" s="1"/>
  <c r="J901" i="6"/>
  <c r="N901" i="6" s="1"/>
  <c r="J912" i="6"/>
  <c r="N912" i="6" s="1"/>
  <c r="J902" i="6"/>
  <c r="N902" i="6" s="1"/>
  <c r="I957" i="6"/>
  <c r="E957" i="6"/>
  <c r="H957" i="6"/>
  <c r="F957" i="6"/>
  <c r="D957" i="6"/>
  <c r="G957" i="6"/>
  <c r="C987" i="6"/>
  <c r="I956" i="6"/>
  <c r="D956" i="6"/>
  <c r="H956" i="6"/>
  <c r="C986" i="6"/>
  <c r="G956" i="6"/>
  <c r="E956" i="6"/>
  <c r="F956" i="6"/>
  <c r="I955" i="6"/>
  <c r="F955" i="6"/>
  <c r="E955" i="6"/>
  <c r="G955" i="6"/>
  <c r="H955" i="6"/>
  <c r="C985" i="6"/>
  <c r="D955" i="6"/>
  <c r="I954" i="6"/>
  <c r="G954" i="6"/>
  <c r="D954" i="6"/>
  <c r="F954" i="6"/>
  <c r="H954" i="6"/>
  <c r="E954" i="6"/>
  <c r="C984" i="6"/>
  <c r="I953" i="6"/>
  <c r="C983" i="6"/>
  <c r="D953" i="6"/>
  <c r="E953" i="6"/>
  <c r="H953" i="6"/>
  <c r="F953" i="6"/>
  <c r="G953" i="6"/>
  <c r="H952" i="6"/>
  <c r="C982" i="6"/>
  <c r="G952" i="6"/>
  <c r="I952" i="6"/>
  <c r="E952" i="6"/>
  <c r="D952" i="6"/>
  <c r="F952" i="6"/>
  <c r="H951" i="6"/>
  <c r="D951" i="6"/>
  <c r="F951" i="6"/>
  <c r="I951" i="6"/>
  <c r="E951" i="6"/>
  <c r="G951" i="6"/>
  <c r="C981" i="6"/>
  <c r="H950" i="6"/>
  <c r="G950" i="6"/>
  <c r="D950" i="6"/>
  <c r="F950" i="6"/>
  <c r="C980" i="6"/>
  <c r="E950" i="6"/>
  <c r="I950" i="6"/>
  <c r="H949" i="6"/>
  <c r="D949" i="6"/>
  <c r="F949" i="6"/>
  <c r="G949" i="6"/>
  <c r="C979" i="6"/>
  <c r="E949" i="6"/>
  <c r="I949" i="6"/>
  <c r="H948" i="6"/>
  <c r="I948" i="6"/>
  <c r="D948" i="6"/>
  <c r="C978" i="6"/>
  <c r="G948" i="6"/>
  <c r="E948" i="6"/>
  <c r="F948" i="6"/>
  <c r="H947" i="6"/>
  <c r="G947" i="6"/>
  <c r="F947" i="6"/>
  <c r="D947" i="6"/>
  <c r="I947" i="6"/>
  <c r="C977" i="6"/>
  <c r="E947" i="6"/>
  <c r="H946" i="6"/>
  <c r="F946" i="6"/>
  <c r="D946" i="6"/>
  <c r="G946" i="6"/>
  <c r="I946" i="6"/>
  <c r="C976" i="6"/>
  <c r="E946" i="6"/>
  <c r="H945" i="6"/>
  <c r="E945" i="6"/>
  <c r="I945" i="6"/>
  <c r="G945" i="6"/>
  <c r="C975" i="6"/>
  <c r="D945" i="6"/>
  <c r="F945" i="6"/>
  <c r="H944" i="6"/>
  <c r="I944" i="6"/>
  <c r="D944" i="6"/>
  <c r="E944" i="6"/>
  <c r="F944" i="6"/>
  <c r="C974" i="6"/>
  <c r="G944" i="6"/>
  <c r="H943" i="6"/>
  <c r="G943" i="6"/>
  <c r="F943" i="6"/>
  <c r="D943" i="6"/>
  <c r="I943" i="6"/>
  <c r="E943" i="6"/>
  <c r="C973" i="6"/>
  <c r="D942" i="6"/>
  <c r="G942" i="6"/>
  <c r="H942" i="6"/>
  <c r="F942" i="6"/>
  <c r="I942" i="6"/>
  <c r="C972" i="6"/>
  <c r="E942" i="6"/>
  <c r="D941" i="6"/>
  <c r="G941" i="6"/>
  <c r="I941" i="6"/>
  <c r="C971" i="6"/>
  <c r="F941" i="6"/>
  <c r="E941" i="6"/>
  <c r="H941" i="6"/>
  <c r="D940" i="6"/>
  <c r="G940" i="6"/>
  <c r="F940" i="6"/>
  <c r="C970" i="6"/>
  <c r="H940" i="6"/>
  <c r="E940" i="6"/>
  <c r="I940" i="6"/>
  <c r="D939" i="6"/>
  <c r="G939" i="6"/>
  <c r="C969" i="6"/>
  <c r="H939" i="6"/>
  <c r="I939" i="6"/>
  <c r="E939" i="6"/>
  <c r="F939" i="6"/>
  <c r="D938" i="6"/>
  <c r="G938" i="6"/>
  <c r="H938" i="6"/>
  <c r="C968" i="6"/>
  <c r="E938" i="6"/>
  <c r="I938" i="6"/>
  <c r="F938" i="6"/>
  <c r="D937" i="6"/>
  <c r="G937" i="6"/>
  <c r="I937" i="6"/>
  <c r="F937" i="6"/>
  <c r="H937" i="6"/>
  <c r="E937" i="6"/>
  <c r="C967" i="6"/>
  <c r="D936" i="6"/>
  <c r="G936" i="6"/>
  <c r="F936" i="6"/>
  <c r="C966" i="6"/>
  <c r="E936" i="6"/>
  <c r="I936" i="6"/>
  <c r="H936" i="6"/>
  <c r="D935" i="6"/>
  <c r="G935" i="6"/>
  <c r="H935" i="6"/>
  <c r="E935" i="6"/>
  <c r="F935" i="6"/>
  <c r="I935" i="6"/>
  <c r="C965" i="6"/>
  <c r="D934" i="6"/>
  <c r="G934" i="6"/>
  <c r="C964" i="6"/>
  <c r="H934" i="6"/>
  <c r="E934" i="6"/>
  <c r="I934" i="6"/>
  <c r="F934" i="6"/>
  <c r="D933" i="6"/>
  <c r="G933" i="6"/>
  <c r="H933" i="6"/>
  <c r="C963" i="6"/>
  <c r="F933" i="6"/>
  <c r="I933" i="6"/>
  <c r="E933" i="6"/>
  <c r="I932" i="6"/>
  <c r="F932" i="6"/>
  <c r="C962" i="6"/>
  <c r="E932" i="6"/>
  <c r="G932" i="6"/>
  <c r="D932" i="6"/>
  <c r="H932" i="6"/>
  <c r="I931" i="6"/>
  <c r="H931" i="6"/>
  <c r="G931" i="6"/>
  <c r="E931" i="6"/>
  <c r="F931" i="6"/>
  <c r="C961" i="6"/>
  <c r="D931" i="6"/>
  <c r="I930" i="6"/>
  <c r="G930" i="6"/>
  <c r="D930" i="6"/>
  <c r="F930" i="6"/>
  <c r="E930" i="6"/>
  <c r="C960" i="6"/>
  <c r="H930" i="6"/>
  <c r="I929" i="6"/>
  <c r="C959" i="6"/>
  <c r="G929" i="6"/>
  <c r="F929" i="6"/>
  <c r="E929" i="6"/>
  <c r="H929" i="6"/>
  <c r="D929" i="6"/>
  <c r="I928" i="6"/>
  <c r="H928" i="6"/>
  <c r="F928" i="6"/>
  <c r="D928" i="6"/>
  <c r="G928" i="6"/>
  <c r="E928" i="6"/>
  <c r="C958" i="6"/>
  <c r="J923" i="6"/>
  <c r="N923" i="6" s="1"/>
  <c r="J920" i="6"/>
  <c r="N920" i="6" s="1"/>
  <c r="J918" i="6"/>
  <c r="N918" i="6" s="1"/>
  <c r="J911" i="6"/>
  <c r="N911" i="6" s="1"/>
  <c r="J906" i="6"/>
  <c r="N906" i="6" s="1"/>
  <c r="J907" i="6"/>
  <c r="N907" i="6" s="1"/>
  <c r="J904" i="6"/>
  <c r="N904" i="6" s="1"/>
  <c r="J905" i="6"/>
  <c r="N905" i="6" s="1"/>
  <c r="J900" i="6"/>
  <c r="N900" i="6" s="1"/>
  <c r="J899" i="6"/>
  <c r="N899" i="6" s="1"/>
  <c r="J925" i="6"/>
  <c r="N925" i="6" s="1"/>
  <c r="J915" i="6"/>
  <c r="N915" i="6" s="1"/>
  <c r="J910" i="6"/>
  <c r="N910" i="6" s="1"/>
  <c r="J926" i="6"/>
  <c r="N926" i="6" s="1"/>
  <c r="J924" i="6"/>
  <c r="N924" i="6" s="1"/>
  <c r="J917" i="6"/>
  <c r="N917" i="6" s="1"/>
  <c r="J909" i="6"/>
  <c r="N909" i="6" s="1"/>
  <c r="J927" i="6"/>
  <c r="N927" i="6" s="1"/>
  <c r="J922" i="6"/>
  <c r="N922" i="6" s="1"/>
  <c r="J916" i="6"/>
  <c r="N916" i="6" s="1"/>
  <c r="J913" i="6"/>
  <c r="N913" i="6" s="1"/>
  <c r="J928" i="6"/>
  <c r="N928" i="6" s="1"/>
  <c r="J921" i="6"/>
  <c r="N921" i="6" s="1"/>
  <c r="J919" i="6"/>
  <c r="N919" i="6" s="1"/>
  <c r="J914" i="6"/>
  <c r="N914" i="6" s="1"/>
  <c r="J908" i="6"/>
  <c r="N908" i="6" s="1"/>
  <c r="AA264" i="3"/>
  <c r="C64" i="3"/>
  <c r="M267" i="3"/>
  <c r="S267" i="3" s="1"/>
  <c r="Z265" i="3"/>
  <c r="W263" i="3"/>
  <c r="U118" i="3"/>
  <c r="E116" i="3"/>
  <c r="E111" i="10" s="1"/>
  <c r="I111" i="10" s="1"/>
  <c r="AD60" i="3"/>
  <c r="AA62" i="3"/>
  <c r="T19" i="13" s="1"/>
  <c r="CY19" i="13" s="1"/>
  <c r="C303" i="7"/>
  <c r="C200" i="7"/>
  <c r="AA265" i="3"/>
  <c r="G63" i="3"/>
  <c r="W57" i="7"/>
  <c r="N57" i="7" s="1"/>
  <c r="AH57" i="7"/>
  <c r="S57" i="7" s="1"/>
  <c r="AH199" i="7"/>
  <c r="S199" i="7" s="1"/>
  <c r="W199" i="7"/>
  <c r="N199" i="7" s="1"/>
  <c r="W302" i="7"/>
  <c r="AH302" i="7"/>
  <c r="V58" i="7"/>
  <c r="AG58" i="7"/>
  <c r="C58" i="7"/>
  <c r="D64" i="3"/>
  <c r="AI318" i="7"/>
  <c r="X318" i="7"/>
  <c r="X72" i="7"/>
  <c r="AI72" i="7"/>
  <c r="AI215" i="7"/>
  <c r="X215" i="7"/>
  <c r="D74" i="7"/>
  <c r="E81" i="3"/>
  <c r="U83" i="3"/>
  <c r="K201" i="7"/>
  <c r="AD201" i="7" s="1"/>
  <c r="U266" i="3"/>
  <c r="U469" i="3"/>
  <c r="K304" i="7"/>
  <c r="AD304" i="7" s="1"/>
  <c r="AB63" i="3"/>
  <c r="K59" i="7"/>
  <c r="AD59" i="7" s="1"/>
  <c r="R200" i="7"/>
  <c r="R303" i="7"/>
  <c r="R58" i="7"/>
  <c r="T65" i="3"/>
  <c r="J59" i="7"/>
  <c r="AC59" i="7" s="1"/>
  <c r="J201" i="7"/>
  <c r="AC201" i="7" s="1"/>
  <c r="J304" i="7"/>
  <c r="AC304" i="7" s="1"/>
  <c r="Z63" i="3"/>
  <c r="I59" i="7"/>
  <c r="AB59" i="7" s="1"/>
  <c r="I201" i="7"/>
  <c r="AB201" i="7" s="1"/>
  <c r="I304" i="7"/>
  <c r="AB304" i="7" s="1"/>
  <c r="G57" i="7"/>
  <c r="Q57" i="7" s="1"/>
  <c r="Y61" i="3"/>
  <c r="R17" i="13" s="1"/>
  <c r="BQ17" i="13" s="1"/>
  <c r="W62" i="3"/>
  <c r="R63" i="3"/>
  <c r="P57" i="7"/>
  <c r="F302" i="7"/>
  <c r="P302" i="7" s="1"/>
  <c r="F199" i="7"/>
  <c r="P199" i="7" s="1"/>
  <c r="E64" i="7"/>
  <c r="M64" i="7" s="1"/>
  <c r="E308" i="7"/>
  <c r="E205" i="7"/>
  <c r="Y62" i="7"/>
  <c r="AJ62" i="7"/>
  <c r="AJ203" i="7"/>
  <c r="Y203" i="7"/>
  <c r="Y306" i="7"/>
  <c r="AJ306" i="7"/>
  <c r="E63" i="7"/>
  <c r="M63" i="7" s="1"/>
  <c r="E307" i="7"/>
  <c r="E204" i="7"/>
  <c r="Y61" i="7"/>
  <c r="AJ61" i="7"/>
  <c r="AJ202" i="7"/>
  <c r="Y202" i="7"/>
  <c r="Y305" i="7"/>
  <c r="AJ305" i="7"/>
  <c r="AO56" i="7" l="1"/>
  <c r="AQ57" i="7"/>
  <c r="R265" i="3"/>
  <c r="R468" i="3"/>
  <c r="AP57" i="7"/>
  <c r="J934" i="6"/>
  <c r="N934" i="6" s="1"/>
  <c r="AO21" i="13"/>
  <c r="AR21" i="13" s="1"/>
  <c r="AZ21" i="13" s="1"/>
  <c r="AY20" i="13"/>
  <c r="EF21" i="13"/>
  <c r="EL21" i="13" s="1"/>
  <c r="FE21" i="13" s="1"/>
  <c r="N21" i="13"/>
  <c r="ED19" i="12"/>
  <c r="V201" i="7"/>
  <c r="AG201" i="7"/>
  <c r="M471" i="3"/>
  <c r="S471" i="3" s="1"/>
  <c r="S65" i="3"/>
  <c r="AA20" i="12"/>
  <c r="CP20" i="12" s="1"/>
  <c r="AB20" i="12"/>
  <c r="CZ20" i="12" s="1"/>
  <c r="AC20" i="12"/>
  <c r="DJ20" i="12" s="1"/>
  <c r="AD20" i="12"/>
  <c r="BR20" i="12" s="1"/>
  <c r="AQ21" i="12"/>
  <c r="BU21" i="12" s="1"/>
  <c r="AS20" i="12"/>
  <c r="DV20" i="12" s="1"/>
  <c r="AO21" i="12"/>
  <c r="AI20" i="12"/>
  <c r="CQ20" i="12" s="1"/>
  <c r="AJ20" i="12"/>
  <c r="DA20" i="12" s="1"/>
  <c r="AK20" i="12"/>
  <c r="DK20" i="12" s="1"/>
  <c r="AL20" i="12"/>
  <c r="BS20" i="12" s="1"/>
  <c r="N21" i="12"/>
  <c r="Z21" i="12" s="1"/>
  <c r="AG303" i="7"/>
  <c r="V303" i="7"/>
  <c r="B304" i="7"/>
  <c r="G469" i="3"/>
  <c r="N302" i="7"/>
  <c r="AM56" i="7" s="1"/>
  <c r="S302" i="7"/>
  <c r="AR56" i="7" s="1"/>
  <c r="C267" i="3"/>
  <c r="B202" i="7" s="1"/>
  <c r="C470" i="3"/>
  <c r="Z470" i="3" s="1"/>
  <c r="C59" i="10"/>
  <c r="G59" i="10" s="1"/>
  <c r="O321" i="3"/>
  <c r="O524" i="3"/>
  <c r="E319" i="3"/>
  <c r="U319" i="3" s="1"/>
  <c r="E522" i="3"/>
  <c r="U522" i="3" s="1"/>
  <c r="D267" i="3"/>
  <c r="G267" i="3" s="1"/>
  <c r="D59" i="10"/>
  <c r="H59" i="10" s="1"/>
  <c r="D470" i="3"/>
  <c r="E284" i="3"/>
  <c r="E76" i="10"/>
  <c r="I76" i="10" s="1"/>
  <c r="E487" i="3"/>
  <c r="D322" i="7" s="1"/>
  <c r="O286" i="3"/>
  <c r="O489" i="3"/>
  <c r="N268" i="3"/>
  <c r="T268" i="3" s="1"/>
  <c r="N471" i="3"/>
  <c r="T471" i="3" s="1"/>
  <c r="J266" i="3"/>
  <c r="G201" i="7" s="1"/>
  <c r="Q201" i="7" s="1"/>
  <c r="J469" i="3"/>
  <c r="G304" i="7" s="1"/>
  <c r="Q304" i="7" s="1"/>
  <c r="H266" i="3"/>
  <c r="H469" i="3"/>
  <c r="Y467" i="3"/>
  <c r="AD467" i="3" s="1"/>
  <c r="W467" i="3"/>
  <c r="Y468" i="3"/>
  <c r="AD468" i="3" s="1"/>
  <c r="F274" i="3"/>
  <c r="F66" i="10"/>
  <c r="J66" i="10" s="1"/>
  <c r="F477" i="3"/>
  <c r="F273" i="3"/>
  <c r="F65" i="10"/>
  <c r="J65" i="10" s="1"/>
  <c r="F476" i="3"/>
  <c r="J940" i="6"/>
  <c r="N940" i="6" s="1"/>
  <c r="J931" i="6"/>
  <c r="N931" i="6" s="1"/>
  <c r="I987" i="6"/>
  <c r="E987" i="6"/>
  <c r="H987" i="6"/>
  <c r="F987" i="6"/>
  <c r="G987" i="6"/>
  <c r="D987" i="6"/>
  <c r="C1017" i="6"/>
  <c r="I986" i="6"/>
  <c r="H986" i="6"/>
  <c r="E986" i="6"/>
  <c r="D986" i="6"/>
  <c r="G986" i="6"/>
  <c r="F986" i="6"/>
  <c r="C1016" i="6"/>
  <c r="I985" i="6"/>
  <c r="E985" i="6"/>
  <c r="C1015" i="6"/>
  <c r="H985" i="6"/>
  <c r="D985" i="6"/>
  <c r="F985" i="6"/>
  <c r="G985" i="6"/>
  <c r="I984" i="6"/>
  <c r="E984" i="6"/>
  <c r="D984" i="6"/>
  <c r="G984" i="6"/>
  <c r="C1014" i="6"/>
  <c r="F984" i="6"/>
  <c r="H984" i="6"/>
  <c r="I983" i="6"/>
  <c r="C1013" i="6"/>
  <c r="F983" i="6"/>
  <c r="D983" i="6"/>
  <c r="H983" i="6"/>
  <c r="G983" i="6"/>
  <c r="E983" i="6"/>
  <c r="H982" i="6"/>
  <c r="I982" i="6"/>
  <c r="F982" i="6"/>
  <c r="E982" i="6"/>
  <c r="D982" i="6"/>
  <c r="G982" i="6"/>
  <c r="C1012" i="6"/>
  <c r="H981" i="6"/>
  <c r="G981" i="6"/>
  <c r="C1011" i="6"/>
  <c r="D981" i="6"/>
  <c r="F981" i="6"/>
  <c r="I981" i="6"/>
  <c r="E981" i="6"/>
  <c r="H980" i="6"/>
  <c r="G980" i="6"/>
  <c r="F980" i="6"/>
  <c r="E980" i="6"/>
  <c r="D980" i="6"/>
  <c r="C1010" i="6"/>
  <c r="I980" i="6"/>
  <c r="H979" i="6"/>
  <c r="I979" i="6"/>
  <c r="G979" i="6"/>
  <c r="C1009" i="6"/>
  <c r="D979" i="6"/>
  <c r="E979" i="6"/>
  <c r="F979" i="6"/>
  <c r="H978" i="6"/>
  <c r="I978" i="6"/>
  <c r="F978" i="6"/>
  <c r="D978" i="6"/>
  <c r="G978" i="6"/>
  <c r="E978" i="6"/>
  <c r="C1008" i="6"/>
  <c r="H977" i="6"/>
  <c r="G977" i="6"/>
  <c r="D977" i="6"/>
  <c r="I977" i="6"/>
  <c r="E977" i="6"/>
  <c r="C1007" i="6"/>
  <c r="F977" i="6"/>
  <c r="H976" i="6"/>
  <c r="D976" i="6"/>
  <c r="I976" i="6"/>
  <c r="F976" i="6"/>
  <c r="C1006" i="6"/>
  <c r="E976" i="6"/>
  <c r="G976" i="6"/>
  <c r="H975" i="6"/>
  <c r="G975" i="6"/>
  <c r="C1005" i="6"/>
  <c r="F975" i="6"/>
  <c r="E975" i="6"/>
  <c r="D975" i="6"/>
  <c r="I975" i="6"/>
  <c r="H974" i="6"/>
  <c r="D974" i="6"/>
  <c r="F974" i="6"/>
  <c r="E974" i="6"/>
  <c r="I974" i="6"/>
  <c r="C1004" i="6"/>
  <c r="G974" i="6"/>
  <c r="H973" i="6"/>
  <c r="I973" i="6"/>
  <c r="E973" i="6"/>
  <c r="G973" i="6"/>
  <c r="D973" i="6"/>
  <c r="F973" i="6"/>
  <c r="C1003" i="6"/>
  <c r="D972" i="6"/>
  <c r="G972" i="6"/>
  <c r="E972" i="6"/>
  <c r="H972" i="6"/>
  <c r="C1002" i="6"/>
  <c r="I972" i="6"/>
  <c r="F972" i="6"/>
  <c r="D971" i="6"/>
  <c r="G971" i="6"/>
  <c r="C1001" i="6"/>
  <c r="E971" i="6"/>
  <c r="F971" i="6"/>
  <c r="H971" i="6"/>
  <c r="I971" i="6"/>
  <c r="D970" i="6"/>
  <c r="G970" i="6"/>
  <c r="I970" i="6"/>
  <c r="E970" i="6"/>
  <c r="C1000" i="6"/>
  <c r="F970" i="6"/>
  <c r="H970" i="6"/>
  <c r="D969" i="6"/>
  <c r="G969" i="6"/>
  <c r="F969" i="6"/>
  <c r="E969" i="6"/>
  <c r="H969" i="6"/>
  <c r="C999" i="6"/>
  <c r="I969" i="6"/>
  <c r="D968" i="6"/>
  <c r="G968" i="6"/>
  <c r="F968" i="6"/>
  <c r="I968" i="6"/>
  <c r="E968" i="6"/>
  <c r="H968" i="6"/>
  <c r="C998" i="6"/>
  <c r="D967" i="6"/>
  <c r="G967" i="6"/>
  <c r="I967" i="6"/>
  <c r="C997" i="6"/>
  <c r="E967" i="6"/>
  <c r="H967" i="6"/>
  <c r="F967" i="6"/>
  <c r="D966" i="6"/>
  <c r="G966" i="6"/>
  <c r="I966" i="6"/>
  <c r="H966" i="6"/>
  <c r="F966" i="6"/>
  <c r="C996" i="6"/>
  <c r="E966" i="6"/>
  <c r="D965" i="6"/>
  <c r="G965" i="6"/>
  <c r="I965" i="6"/>
  <c r="E965" i="6"/>
  <c r="C995" i="6"/>
  <c r="H965" i="6"/>
  <c r="F965" i="6"/>
  <c r="D964" i="6"/>
  <c r="G964" i="6"/>
  <c r="H964" i="6"/>
  <c r="E964" i="6"/>
  <c r="F964" i="6"/>
  <c r="I964" i="6"/>
  <c r="C994" i="6"/>
  <c r="D963" i="6"/>
  <c r="G963" i="6"/>
  <c r="F963" i="6"/>
  <c r="C993" i="6"/>
  <c r="I963" i="6"/>
  <c r="E963" i="6"/>
  <c r="H963" i="6"/>
  <c r="I962" i="6"/>
  <c r="G962" i="6"/>
  <c r="D962" i="6"/>
  <c r="E962" i="6"/>
  <c r="F962" i="6"/>
  <c r="H962" i="6"/>
  <c r="C992" i="6"/>
  <c r="I961" i="6"/>
  <c r="D961" i="6"/>
  <c r="F961" i="6"/>
  <c r="H961" i="6"/>
  <c r="C991" i="6"/>
  <c r="G961" i="6"/>
  <c r="E961" i="6"/>
  <c r="I960" i="6"/>
  <c r="F960" i="6"/>
  <c r="E960" i="6"/>
  <c r="D960" i="6"/>
  <c r="C990" i="6"/>
  <c r="G960" i="6"/>
  <c r="H960" i="6"/>
  <c r="I959" i="6"/>
  <c r="C989" i="6"/>
  <c r="E959" i="6"/>
  <c r="G959" i="6"/>
  <c r="D959" i="6"/>
  <c r="F959" i="6"/>
  <c r="H959" i="6"/>
  <c r="I958" i="6"/>
  <c r="G958" i="6"/>
  <c r="J958" i="6" s="1"/>
  <c r="N958" i="6" s="1"/>
  <c r="C988" i="6"/>
  <c r="F958" i="6"/>
  <c r="D958" i="6"/>
  <c r="H958" i="6"/>
  <c r="E958" i="6"/>
  <c r="J953" i="6"/>
  <c r="N953" i="6" s="1"/>
  <c r="J952" i="6"/>
  <c r="N952" i="6" s="1"/>
  <c r="J951" i="6"/>
  <c r="N951" i="6" s="1"/>
  <c r="J950" i="6"/>
  <c r="N950" i="6" s="1"/>
  <c r="J949" i="6"/>
  <c r="N949" i="6" s="1"/>
  <c r="J945" i="6"/>
  <c r="N945" i="6" s="1"/>
  <c r="J946" i="6"/>
  <c r="N946" i="6" s="1"/>
  <c r="J944" i="6"/>
  <c r="N944" i="6" s="1"/>
  <c r="J942" i="6"/>
  <c r="N942" i="6" s="1"/>
  <c r="J943" i="6"/>
  <c r="N943" i="6" s="1"/>
  <c r="J941" i="6"/>
  <c r="N941" i="6" s="1"/>
  <c r="J938" i="6"/>
  <c r="N938" i="6" s="1"/>
  <c r="J936" i="6"/>
  <c r="N936" i="6" s="1"/>
  <c r="J933" i="6"/>
  <c r="N933" i="6" s="1"/>
  <c r="J932" i="6"/>
  <c r="N932" i="6" s="1"/>
  <c r="J930" i="6"/>
  <c r="N930" i="6" s="1"/>
  <c r="J929" i="6"/>
  <c r="N929" i="6" s="1"/>
  <c r="J956" i="6"/>
  <c r="N956" i="6" s="1"/>
  <c r="J954" i="6"/>
  <c r="N954" i="6" s="1"/>
  <c r="J948" i="6"/>
  <c r="N948" i="6" s="1"/>
  <c r="J939" i="6"/>
  <c r="N939" i="6" s="1"/>
  <c r="J935" i="6"/>
  <c r="N935" i="6" s="1"/>
  <c r="J947" i="6"/>
  <c r="N947" i="6" s="1"/>
  <c r="J957" i="6"/>
  <c r="N957" i="6" s="1"/>
  <c r="J955" i="6"/>
  <c r="N955" i="6" s="1"/>
  <c r="J937" i="6"/>
  <c r="N937" i="6" s="1"/>
  <c r="AB266" i="3"/>
  <c r="C65" i="3"/>
  <c r="M268" i="3"/>
  <c r="S268" i="3" s="1"/>
  <c r="Z266" i="3"/>
  <c r="Y264" i="3"/>
  <c r="AD264" i="3" s="1"/>
  <c r="W264" i="3"/>
  <c r="E118" i="3"/>
  <c r="E113" i="10" s="1"/>
  <c r="I113" i="10" s="1"/>
  <c r="U120" i="3"/>
  <c r="W303" i="7"/>
  <c r="AH303" i="7"/>
  <c r="W200" i="7"/>
  <c r="N200" i="7" s="1"/>
  <c r="AH200" i="7"/>
  <c r="S200" i="7" s="1"/>
  <c r="AA63" i="3"/>
  <c r="Z64" i="3"/>
  <c r="Y62" i="3"/>
  <c r="W58" i="7"/>
  <c r="N58" i="7" s="1"/>
  <c r="AH58" i="7"/>
  <c r="S58" i="7" s="1"/>
  <c r="V59" i="7"/>
  <c r="AG59" i="7"/>
  <c r="C59" i="7"/>
  <c r="C304" i="7"/>
  <c r="C201" i="7"/>
  <c r="G64" i="3"/>
  <c r="D65" i="3"/>
  <c r="AI320" i="7"/>
  <c r="X320" i="7"/>
  <c r="X217" i="7"/>
  <c r="AI217" i="7"/>
  <c r="X74" i="7"/>
  <c r="AI74" i="7"/>
  <c r="D76" i="7"/>
  <c r="D219" i="7"/>
  <c r="E83" i="3"/>
  <c r="U85" i="3"/>
  <c r="U470" i="3"/>
  <c r="AB470" i="3" s="1"/>
  <c r="K305" i="7"/>
  <c r="AD305" i="7" s="1"/>
  <c r="K202" i="7"/>
  <c r="AD202" i="7" s="1"/>
  <c r="U267" i="3"/>
  <c r="AB267" i="3" s="1"/>
  <c r="AB64" i="3"/>
  <c r="K60" i="7"/>
  <c r="AD60" i="7" s="1"/>
  <c r="R304" i="7"/>
  <c r="T66" i="3"/>
  <c r="J60" i="7"/>
  <c r="AC60" i="7" s="1"/>
  <c r="J305" i="7"/>
  <c r="AC305" i="7" s="1"/>
  <c r="J202" i="7"/>
  <c r="AC202" i="7" s="1"/>
  <c r="I60" i="7"/>
  <c r="AB60" i="7" s="1"/>
  <c r="I305" i="7"/>
  <c r="AB305" i="7" s="1"/>
  <c r="Z267" i="3"/>
  <c r="I202" i="7"/>
  <c r="AB202" i="7" s="1"/>
  <c r="G58" i="7"/>
  <c r="Q58" i="7" s="1"/>
  <c r="AD61" i="3"/>
  <c r="W63" i="3"/>
  <c r="R64" i="3"/>
  <c r="P58" i="7"/>
  <c r="Y265" i="3"/>
  <c r="AD265" i="3" s="1"/>
  <c r="F200" i="7"/>
  <c r="P200" i="7" s="1"/>
  <c r="F303" i="7"/>
  <c r="P303" i="7" s="1"/>
  <c r="E66" i="7"/>
  <c r="M66" i="7" s="1"/>
  <c r="E310" i="7"/>
  <c r="E207" i="7"/>
  <c r="Y64" i="7"/>
  <c r="AJ64" i="7"/>
  <c r="Y308" i="7"/>
  <c r="AJ308" i="7"/>
  <c r="AJ205" i="7"/>
  <c r="Y205" i="7"/>
  <c r="E65" i="7"/>
  <c r="M65" i="7" s="1"/>
  <c r="E206" i="7"/>
  <c r="E309" i="7"/>
  <c r="Y63" i="7"/>
  <c r="AJ63" i="7"/>
  <c r="Y307" i="7"/>
  <c r="AJ307" i="7"/>
  <c r="AJ204" i="7"/>
  <c r="Y204" i="7"/>
  <c r="R59" i="7"/>
  <c r="R201" i="7"/>
  <c r="AQ58" i="7" l="1"/>
  <c r="R266" i="3"/>
  <c r="R469" i="3"/>
  <c r="Y469" i="3" s="1"/>
  <c r="AP58" i="7"/>
  <c r="AO57" i="7"/>
  <c r="ER21" i="13"/>
  <c r="EG21" i="13"/>
  <c r="EM21" i="13" s="1"/>
  <c r="EK20" i="13"/>
  <c r="EJ21" i="13"/>
  <c r="AM21" i="13"/>
  <c r="BT21" i="13" s="1"/>
  <c r="V21" i="13"/>
  <c r="L22" i="13"/>
  <c r="AN22" i="13" s="1"/>
  <c r="AQ22" i="13" s="1"/>
  <c r="BU22" i="13" s="1"/>
  <c r="Z21" i="13"/>
  <c r="AD21" i="13" s="1"/>
  <c r="BR21" i="13" s="1"/>
  <c r="Q21" i="13"/>
  <c r="M22" i="13"/>
  <c r="CJ21" i="13"/>
  <c r="Y21" i="13"/>
  <c r="AC21" i="13" s="1"/>
  <c r="DJ21" i="13" s="1"/>
  <c r="AH21" i="13"/>
  <c r="AL21" i="13" s="1"/>
  <c r="BS21" i="13" s="1"/>
  <c r="AG21" i="13"/>
  <c r="AK21" i="13" s="1"/>
  <c r="DK21" i="13" s="1"/>
  <c r="AF21" i="13"/>
  <c r="AJ21" i="13" s="1"/>
  <c r="DA21" i="13" s="1"/>
  <c r="AE21" i="13"/>
  <c r="AI21" i="13" s="1"/>
  <c r="CQ21" i="13" s="1"/>
  <c r="K22" i="13"/>
  <c r="AP21" i="13"/>
  <c r="AS21" i="13" s="1"/>
  <c r="DV21" i="13" s="1"/>
  <c r="DZ21" i="13" s="1"/>
  <c r="ED21" i="13" s="1"/>
  <c r="CG21" i="13"/>
  <c r="DZ20" i="12"/>
  <c r="V202" i="7"/>
  <c r="AG202" i="7"/>
  <c r="M472" i="3"/>
  <c r="S472" i="3" s="1"/>
  <c r="S66" i="3"/>
  <c r="CJ21" i="12"/>
  <c r="CG21" i="12"/>
  <c r="W21" i="12"/>
  <c r="X21" i="12"/>
  <c r="Y21" i="12"/>
  <c r="AR21" i="12"/>
  <c r="AZ21" i="12" s="1"/>
  <c r="AM21" i="12"/>
  <c r="BT21" i="12" s="1"/>
  <c r="M22" i="12"/>
  <c r="L22" i="12"/>
  <c r="AN22" i="12" s="1"/>
  <c r="AP21" i="12"/>
  <c r="AE21" i="12"/>
  <c r="AF21" i="12"/>
  <c r="AG21" i="12"/>
  <c r="AH21" i="12"/>
  <c r="U21" i="12"/>
  <c r="DI21" i="12" s="1"/>
  <c r="V21" i="12"/>
  <c r="K22" i="12"/>
  <c r="Q21" i="12"/>
  <c r="AY21" i="12" s="1"/>
  <c r="T21" i="12"/>
  <c r="CY21" i="12" s="1"/>
  <c r="S21" i="12"/>
  <c r="CO21" i="12" s="1"/>
  <c r="R21" i="12"/>
  <c r="BQ21" i="12" s="1"/>
  <c r="V304" i="7"/>
  <c r="AG304" i="7"/>
  <c r="B305" i="7"/>
  <c r="G470" i="3"/>
  <c r="S303" i="7"/>
  <c r="AR57" i="7" s="1"/>
  <c r="N303" i="7"/>
  <c r="AM57" i="7" s="1"/>
  <c r="C268" i="3"/>
  <c r="B203" i="7" s="1"/>
  <c r="C60" i="10"/>
  <c r="G60" i="10" s="1"/>
  <c r="C471" i="3"/>
  <c r="Z471" i="3" s="1"/>
  <c r="E321" i="3"/>
  <c r="U321" i="3" s="1"/>
  <c r="E524" i="3"/>
  <c r="U524" i="3" s="1"/>
  <c r="O323" i="3"/>
  <c r="O526" i="3"/>
  <c r="AA469" i="3"/>
  <c r="AA470" i="3"/>
  <c r="D268" i="3"/>
  <c r="G268" i="3" s="1"/>
  <c r="D471" i="3"/>
  <c r="D60" i="10"/>
  <c r="H60" i="10" s="1"/>
  <c r="E286" i="3"/>
  <c r="D221" i="7" s="1"/>
  <c r="E78" i="10"/>
  <c r="I78" i="10" s="1"/>
  <c r="E489" i="3"/>
  <c r="D324" i="7" s="1"/>
  <c r="O288" i="3"/>
  <c r="O491" i="3"/>
  <c r="AB471" i="3"/>
  <c r="N269" i="3"/>
  <c r="T269" i="3" s="1"/>
  <c r="N472" i="3"/>
  <c r="T472" i="3" s="1"/>
  <c r="J267" i="3"/>
  <c r="G202" i="7" s="1"/>
  <c r="Q202" i="7" s="1"/>
  <c r="J470" i="3"/>
  <c r="G305" i="7" s="1"/>
  <c r="Q305" i="7" s="1"/>
  <c r="H267" i="3"/>
  <c r="H470" i="3"/>
  <c r="W468" i="3"/>
  <c r="F276" i="3"/>
  <c r="F479" i="3"/>
  <c r="F68" i="10"/>
  <c r="J68" i="10" s="1"/>
  <c r="F275" i="3"/>
  <c r="F67" i="10"/>
  <c r="J67" i="10" s="1"/>
  <c r="F478" i="3"/>
  <c r="J959" i="6"/>
  <c r="N959" i="6" s="1"/>
  <c r="J963" i="6"/>
  <c r="N963" i="6" s="1"/>
  <c r="J961" i="6"/>
  <c r="N961" i="6" s="1"/>
  <c r="J960" i="6"/>
  <c r="N960" i="6" s="1"/>
  <c r="J987" i="6"/>
  <c r="N987" i="6" s="1"/>
  <c r="I1017" i="6"/>
  <c r="H1017" i="6"/>
  <c r="G1017" i="6"/>
  <c r="C1047" i="6"/>
  <c r="D1017" i="6"/>
  <c r="E1017" i="6"/>
  <c r="F1017" i="6"/>
  <c r="I1016" i="6"/>
  <c r="F1016" i="6"/>
  <c r="E1016" i="6"/>
  <c r="G1016" i="6"/>
  <c r="H1016" i="6"/>
  <c r="D1016" i="6"/>
  <c r="C1046" i="6"/>
  <c r="I1015" i="6"/>
  <c r="F1015" i="6"/>
  <c r="C1045" i="6"/>
  <c r="E1015" i="6"/>
  <c r="G1015" i="6"/>
  <c r="D1015" i="6"/>
  <c r="H1015" i="6"/>
  <c r="I1014" i="6"/>
  <c r="E1014" i="6"/>
  <c r="H1014" i="6"/>
  <c r="F1014" i="6"/>
  <c r="C1044" i="6"/>
  <c r="D1014" i="6"/>
  <c r="G1014" i="6"/>
  <c r="I1013" i="6"/>
  <c r="E1013" i="6"/>
  <c r="F1013" i="6"/>
  <c r="G1013" i="6"/>
  <c r="D1013" i="6"/>
  <c r="H1013" i="6"/>
  <c r="C1043" i="6"/>
  <c r="H1012" i="6"/>
  <c r="G1012" i="6"/>
  <c r="F1012" i="6"/>
  <c r="C1042" i="6"/>
  <c r="D1012" i="6"/>
  <c r="I1012" i="6"/>
  <c r="E1012" i="6"/>
  <c r="H1011" i="6"/>
  <c r="D1011" i="6"/>
  <c r="G1011" i="6"/>
  <c r="C1041" i="6"/>
  <c r="E1011" i="6"/>
  <c r="F1011" i="6"/>
  <c r="I1011" i="6"/>
  <c r="H1010" i="6"/>
  <c r="D1010" i="6"/>
  <c r="I1010" i="6"/>
  <c r="C1040" i="6"/>
  <c r="F1010" i="6"/>
  <c r="E1010" i="6"/>
  <c r="G1010" i="6"/>
  <c r="H1009" i="6"/>
  <c r="I1009" i="6"/>
  <c r="E1009" i="6"/>
  <c r="G1009" i="6"/>
  <c r="F1009" i="6"/>
  <c r="C1039" i="6"/>
  <c r="D1009" i="6"/>
  <c r="H1008" i="6"/>
  <c r="F1008" i="6"/>
  <c r="G1008" i="6"/>
  <c r="E1008" i="6"/>
  <c r="D1008" i="6"/>
  <c r="I1008" i="6"/>
  <c r="C1038" i="6"/>
  <c r="H1007" i="6"/>
  <c r="F1007" i="6"/>
  <c r="I1007" i="6"/>
  <c r="E1007" i="6"/>
  <c r="C1037" i="6"/>
  <c r="D1007" i="6"/>
  <c r="G1007" i="6"/>
  <c r="H1006" i="6"/>
  <c r="G1006" i="6"/>
  <c r="C1036" i="6"/>
  <c r="F1006" i="6"/>
  <c r="D1006" i="6"/>
  <c r="I1006" i="6"/>
  <c r="E1006" i="6"/>
  <c r="H1005" i="6"/>
  <c r="I1005" i="6"/>
  <c r="E1005" i="6"/>
  <c r="F1005" i="6"/>
  <c r="C1035" i="6"/>
  <c r="D1005" i="6"/>
  <c r="G1005" i="6"/>
  <c r="H1004" i="6"/>
  <c r="G1004" i="6"/>
  <c r="I1004" i="6"/>
  <c r="F1004" i="6"/>
  <c r="C1034" i="6"/>
  <c r="D1004" i="6"/>
  <c r="E1004" i="6"/>
  <c r="H1003" i="6"/>
  <c r="E1003" i="6"/>
  <c r="G1003" i="6"/>
  <c r="F1003" i="6"/>
  <c r="I1003" i="6"/>
  <c r="D1003" i="6"/>
  <c r="C1033" i="6"/>
  <c r="D1002" i="6"/>
  <c r="G1002" i="6"/>
  <c r="H1002" i="6"/>
  <c r="I1002" i="6"/>
  <c r="F1002" i="6"/>
  <c r="E1002" i="6"/>
  <c r="C1032" i="6"/>
  <c r="D1001" i="6"/>
  <c r="G1001" i="6"/>
  <c r="F1001" i="6"/>
  <c r="E1001" i="6"/>
  <c r="I1001" i="6"/>
  <c r="H1001" i="6"/>
  <c r="C1031" i="6"/>
  <c r="D1000" i="6"/>
  <c r="G1000" i="6"/>
  <c r="H1000" i="6"/>
  <c r="I1000" i="6"/>
  <c r="F1000" i="6"/>
  <c r="E1000" i="6"/>
  <c r="C1030" i="6"/>
  <c r="D999" i="6"/>
  <c r="G999" i="6"/>
  <c r="C1029" i="6"/>
  <c r="E999" i="6"/>
  <c r="H999" i="6"/>
  <c r="F999" i="6"/>
  <c r="I999" i="6"/>
  <c r="D998" i="6"/>
  <c r="G998" i="6"/>
  <c r="E998" i="6"/>
  <c r="F998" i="6"/>
  <c r="I998" i="6"/>
  <c r="H998" i="6"/>
  <c r="C1028" i="6"/>
  <c r="D997" i="6"/>
  <c r="G997" i="6"/>
  <c r="H997" i="6"/>
  <c r="F997" i="6"/>
  <c r="C1027" i="6"/>
  <c r="I997" i="6"/>
  <c r="E997" i="6"/>
  <c r="D996" i="6"/>
  <c r="G996" i="6"/>
  <c r="H996" i="6"/>
  <c r="I996" i="6"/>
  <c r="C1026" i="6"/>
  <c r="E996" i="6"/>
  <c r="F996" i="6"/>
  <c r="D995" i="6"/>
  <c r="G995" i="6"/>
  <c r="H995" i="6"/>
  <c r="E995" i="6"/>
  <c r="F995" i="6"/>
  <c r="I995" i="6"/>
  <c r="C1025" i="6"/>
  <c r="D994" i="6"/>
  <c r="G994" i="6"/>
  <c r="H994" i="6"/>
  <c r="E994" i="6"/>
  <c r="F994" i="6"/>
  <c r="C1024" i="6"/>
  <c r="I994" i="6"/>
  <c r="D993" i="6"/>
  <c r="G993" i="6"/>
  <c r="F993" i="6"/>
  <c r="H993" i="6"/>
  <c r="I993" i="6"/>
  <c r="C1023" i="6"/>
  <c r="E993" i="6"/>
  <c r="I992" i="6"/>
  <c r="C1022" i="6"/>
  <c r="D992" i="6"/>
  <c r="G992" i="6"/>
  <c r="H992" i="6"/>
  <c r="E992" i="6"/>
  <c r="F992" i="6"/>
  <c r="I991" i="6"/>
  <c r="E991" i="6"/>
  <c r="H991" i="6"/>
  <c r="F991" i="6"/>
  <c r="C1021" i="6"/>
  <c r="D991" i="6"/>
  <c r="G991" i="6"/>
  <c r="I990" i="6"/>
  <c r="D990" i="6"/>
  <c r="G990" i="6"/>
  <c r="H990" i="6"/>
  <c r="F990" i="6"/>
  <c r="E990" i="6"/>
  <c r="C1020" i="6"/>
  <c r="I989" i="6"/>
  <c r="F989" i="6"/>
  <c r="G989" i="6"/>
  <c r="C1019" i="6"/>
  <c r="D989" i="6"/>
  <c r="H989" i="6"/>
  <c r="E989" i="6"/>
  <c r="I988" i="6"/>
  <c r="F988" i="6"/>
  <c r="H988" i="6"/>
  <c r="C1018" i="6"/>
  <c r="D988" i="6"/>
  <c r="E988" i="6"/>
  <c r="G988" i="6"/>
  <c r="J988" i="6" s="1"/>
  <c r="N988" i="6" s="1"/>
  <c r="J986" i="6"/>
  <c r="N986" i="6" s="1"/>
  <c r="J985" i="6"/>
  <c r="N985" i="6" s="1"/>
  <c r="J984" i="6"/>
  <c r="N984" i="6" s="1"/>
  <c r="J968" i="6"/>
  <c r="N968" i="6" s="1"/>
  <c r="J965" i="6"/>
  <c r="N965" i="6" s="1"/>
  <c r="J983" i="6"/>
  <c r="N983" i="6" s="1"/>
  <c r="J982" i="6"/>
  <c r="N982" i="6" s="1"/>
  <c r="J981" i="6"/>
  <c r="N981" i="6" s="1"/>
  <c r="J980" i="6"/>
  <c r="N980" i="6" s="1"/>
  <c r="J969" i="6"/>
  <c r="N969" i="6" s="1"/>
  <c r="J962" i="6"/>
  <c r="N962" i="6" s="1"/>
  <c r="J979" i="6"/>
  <c r="N979" i="6" s="1"/>
  <c r="J978" i="6"/>
  <c r="N978" i="6" s="1"/>
  <c r="J977" i="6"/>
  <c r="N977" i="6" s="1"/>
  <c r="J976" i="6"/>
  <c r="N976" i="6" s="1"/>
  <c r="J975" i="6"/>
  <c r="N975" i="6" s="1"/>
  <c r="J966" i="6"/>
  <c r="N966" i="6" s="1"/>
  <c r="J974" i="6"/>
  <c r="N974" i="6" s="1"/>
  <c r="J973" i="6"/>
  <c r="N973" i="6" s="1"/>
  <c r="J972" i="6"/>
  <c r="N972" i="6" s="1"/>
  <c r="J970" i="6"/>
  <c r="N970" i="6" s="1"/>
  <c r="J971" i="6"/>
  <c r="N971" i="6" s="1"/>
  <c r="J967" i="6"/>
  <c r="N967" i="6" s="1"/>
  <c r="J964" i="6"/>
  <c r="N964" i="6" s="1"/>
  <c r="AA266" i="3"/>
  <c r="C66" i="3"/>
  <c r="W20" i="13" s="1"/>
  <c r="AA20" i="13" s="1"/>
  <c r="CP20" i="13" s="1"/>
  <c r="M269" i="3"/>
  <c r="S269" i="3" s="1"/>
  <c r="W265" i="3"/>
  <c r="U122" i="3"/>
  <c r="E120" i="3"/>
  <c r="E115" i="10" s="1"/>
  <c r="I115" i="10" s="1"/>
  <c r="AD62" i="3"/>
  <c r="AA64" i="3"/>
  <c r="G65" i="3"/>
  <c r="W59" i="7"/>
  <c r="N59" i="7" s="1"/>
  <c r="AH59" i="7"/>
  <c r="S59" i="7" s="1"/>
  <c r="AH304" i="7"/>
  <c r="W304" i="7"/>
  <c r="AH201" i="7"/>
  <c r="S201" i="7" s="1"/>
  <c r="W201" i="7"/>
  <c r="N201" i="7" s="1"/>
  <c r="AG60" i="7"/>
  <c r="V60" i="7"/>
  <c r="C60" i="7"/>
  <c r="C305" i="7"/>
  <c r="C202" i="7"/>
  <c r="D66" i="3"/>
  <c r="X20" i="13" s="1"/>
  <c r="AB20" i="13" s="1"/>
  <c r="CZ20" i="13" s="1"/>
  <c r="AI76" i="7"/>
  <c r="X76" i="7"/>
  <c r="X322" i="7"/>
  <c r="AI322" i="7"/>
  <c r="X219" i="7"/>
  <c r="AI219" i="7"/>
  <c r="D78" i="7"/>
  <c r="E85" i="3"/>
  <c r="U87" i="3"/>
  <c r="K306" i="7"/>
  <c r="AD306" i="7" s="1"/>
  <c r="U471" i="3"/>
  <c r="K203" i="7"/>
  <c r="AD203" i="7" s="1"/>
  <c r="U268" i="3"/>
  <c r="AB268" i="3" s="1"/>
  <c r="AB65" i="3"/>
  <c r="K61" i="7"/>
  <c r="AD61" i="7" s="1"/>
  <c r="R305" i="7"/>
  <c r="R202" i="7"/>
  <c r="AQ59" i="7" s="1"/>
  <c r="R60" i="7"/>
  <c r="T67" i="3"/>
  <c r="J61" i="7"/>
  <c r="AC61" i="7" s="1"/>
  <c r="J306" i="7"/>
  <c r="AC306" i="7" s="1"/>
  <c r="J203" i="7"/>
  <c r="AC203" i="7" s="1"/>
  <c r="Z65" i="3"/>
  <c r="I61" i="7"/>
  <c r="AB61" i="7" s="1"/>
  <c r="I203" i="7"/>
  <c r="AB203" i="7" s="1"/>
  <c r="I306" i="7"/>
  <c r="AB306" i="7" s="1"/>
  <c r="G59" i="7"/>
  <c r="Q59" i="7" s="1"/>
  <c r="Y63" i="3"/>
  <c r="W64" i="3"/>
  <c r="R65" i="3"/>
  <c r="P59" i="7"/>
  <c r="Y266" i="3"/>
  <c r="F201" i="7"/>
  <c r="P201" i="7" s="1"/>
  <c r="F304" i="7"/>
  <c r="P304" i="7" s="1"/>
  <c r="E68" i="7"/>
  <c r="M68" i="7" s="1"/>
  <c r="E209" i="7"/>
  <c r="E312" i="7"/>
  <c r="Y66" i="7"/>
  <c r="AJ66" i="7"/>
  <c r="Y310" i="7"/>
  <c r="AJ310" i="7"/>
  <c r="AJ207" i="7"/>
  <c r="Y207" i="7"/>
  <c r="E67" i="7"/>
  <c r="M67" i="7" s="1"/>
  <c r="E208" i="7"/>
  <c r="E311" i="7"/>
  <c r="Y65" i="7"/>
  <c r="AJ65" i="7"/>
  <c r="AJ206" i="7"/>
  <c r="Y206" i="7"/>
  <c r="AJ309" i="7"/>
  <c r="Y309" i="7"/>
  <c r="AO22" i="13" l="1"/>
  <c r="AR22" i="13" s="1"/>
  <c r="AZ22" i="13" s="1"/>
  <c r="R267" i="3"/>
  <c r="Y267" i="3" s="1"/>
  <c r="R470" i="3"/>
  <c r="AP59" i="7"/>
  <c r="AO58" i="7"/>
  <c r="AY21" i="13"/>
  <c r="N22" i="13"/>
  <c r="EF22" i="13"/>
  <c r="EL22" i="13" s="1"/>
  <c r="FE22" i="13" s="1"/>
  <c r="ED20" i="12"/>
  <c r="AG203" i="7"/>
  <c r="V203" i="7"/>
  <c r="M473" i="3"/>
  <c r="S473" i="3" s="1"/>
  <c r="S67" i="3"/>
  <c r="AD469" i="3"/>
  <c r="AD266" i="3"/>
  <c r="AA21" i="12"/>
  <c r="CP21" i="12" s="1"/>
  <c r="AB21" i="12"/>
  <c r="CZ21" i="12" s="1"/>
  <c r="AC21" i="12"/>
  <c r="DJ21" i="12" s="1"/>
  <c r="AD21" i="12"/>
  <c r="BR21" i="12" s="1"/>
  <c r="AQ22" i="12"/>
  <c r="BU22" i="12" s="1"/>
  <c r="AS21" i="12"/>
  <c r="DV21" i="12" s="1"/>
  <c r="AO22" i="12"/>
  <c r="AI21" i="12"/>
  <c r="CQ21" i="12" s="1"/>
  <c r="AJ21" i="12"/>
  <c r="DA21" i="12" s="1"/>
  <c r="AK21" i="12"/>
  <c r="DK21" i="12" s="1"/>
  <c r="AL21" i="12"/>
  <c r="BS21" i="12" s="1"/>
  <c r="N22" i="12"/>
  <c r="Z22" i="12" s="1"/>
  <c r="V305" i="7"/>
  <c r="AG305" i="7"/>
  <c r="B306" i="7"/>
  <c r="G471" i="3"/>
  <c r="N304" i="7"/>
  <c r="AM58" i="7" s="1"/>
  <c r="S304" i="7"/>
  <c r="AR58" i="7" s="1"/>
  <c r="C269" i="3"/>
  <c r="B204" i="7" s="1"/>
  <c r="C61" i="10"/>
  <c r="G61" i="10" s="1"/>
  <c r="C472" i="3"/>
  <c r="Z472" i="3" s="1"/>
  <c r="O325" i="3"/>
  <c r="O528" i="3"/>
  <c r="E323" i="3"/>
  <c r="U323" i="3" s="1"/>
  <c r="E526" i="3"/>
  <c r="U526" i="3" s="1"/>
  <c r="D269" i="3"/>
  <c r="G269" i="3" s="1"/>
  <c r="D61" i="10"/>
  <c r="H61" i="10" s="1"/>
  <c r="D472" i="3"/>
  <c r="E288" i="3"/>
  <c r="D223" i="7" s="1"/>
  <c r="E491" i="3"/>
  <c r="D326" i="7" s="1"/>
  <c r="E80" i="10"/>
  <c r="I80" i="10" s="1"/>
  <c r="O290" i="3"/>
  <c r="O493" i="3"/>
  <c r="N270" i="3"/>
  <c r="T270" i="3" s="1"/>
  <c r="N473" i="3"/>
  <c r="T473" i="3" s="1"/>
  <c r="J268" i="3"/>
  <c r="G203" i="7" s="1"/>
  <c r="Q203" i="7" s="1"/>
  <c r="J471" i="3"/>
  <c r="G306" i="7" s="1"/>
  <c r="Q306" i="7" s="1"/>
  <c r="H268" i="3"/>
  <c r="R268" i="3" s="1"/>
  <c r="H471" i="3"/>
  <c r="R471" i="3" s="1"/>
  <c r="W469" i="3"/>
  <c r="Y470" i="3"/>
  <c r="AD470" i="3" s="1"/>
  <c r="F278" i="3"/>
  <c r="F70" i="10"/>
  <c r="J70" i="10" s="1"/>
  <c r="F481" i="3"/>
  <c r="F277" i="3"/>
  <c r="F480" i="3"/>
  <c r="F69" i="10"/>
  <c r="J69" i="10" s="1"/>
  <c r="J998" i="6"/>
  <c r="N998" i="6" s="1"/>
  <c r="J996" i="6"/>
  <c r="N996" i="6" s="1"/>
  <c r="J997" i="6"/>
  <c r="N997" i="6" s="1"/>
  <c r="J990" i="6"/>
  <c r="N990" i="6" s="1"/>
  <c r="I1047" i="6"/>
  <c r="E1047" i="6"/>
  <c r="G1047" i="6"/>
  <c r="D1047" i="6"/>
  <c r="F1047" i="6"/>
  <c r="H1047" i="6"/>
  <c r="I1046" i="6"/>
  <c r="E1046" i="6"/>
  <c r="G1046" i="6"/>
  <c r="D1046" i="6"/>
  <c r="F1046" i="6"/>
  <c r="H1046" i="6"/>
  <c r="I1045" i="6"/>
  <c r="E1045" i="6"/>
  <c r="G1045" i="6"/>
  <c r="D1045" i="6"/>
  <c r="F1045" i="6"/>
  <c r="H1045" i="6"/>
  <c r="I1044" i="6"/>
  <c r="F1044" i="6"/>
  <c r="G1044" i="6"/>
  <c r="D1044" i="6"/>
  <c r="E1044" i="6"/>
  <c r="H1044" i="6"/>
  <c r="I1043" i="6"/>
  <c r="G1043" i="6"/>
  <c r="D1043" i="6"/>
  <c r="E1043" i="6"/>
  <c r="F1043" i="6"/>
  <c r="H1043" i="6"/>
  <c r="H1042" i="6"/>
  <c r="D1042" i="6"/>
  <c r="G1042" i="6"/>
  <c r="E1042" i="6"/>
  <c r="F1042" i="6"/>
  <c r="I1042" i="6"/>
  <c r="H1041" i="6"/>
  <c r="D1041" i="6"/>
  <c r="F1041" i="6"/>
  <c r="G1041" i="6"/>
  <c r="E1041" i="6"/>
  <c r="I1041" i="6"/>
  <c r="H1040" i="6"/>
  <c r="G1040" i="6"/>
  <c r="E1040" i="6"/>
  <c r="F1040" i="6"/>
  <c r="D1040" i="6"/>
  <c r="I1040" i="6"/>
  <c r="H1039" i="6"/>
  <c r="E1039" i="6"/>
  <c r="G1039" i="6"/>
  <c r="I1039" i="6"/>
  <c r="D1039" i="6"/>
  <c r="F1039" i="6"/>
  <c r="H1038" i="6"/>
  <c r="F1038" i="6"/>
  <c r="E1038" i="6"/>
  <c r="I1038" i="6"/>
  <c r="D1038" i="6"/>
  <c r="G1038" i="6"/>
  <c r="H1037" i="6"/>
  <c r="G1037" i="6"/>
  <c r="D1037" i="6"/>
  <c r="I1037" i="6"/>
  <c r="E1037" i="6"/>
  <c r="F1037" i="6"/>
  <c r="H1036" i="6"/>
  <c r="E1036" i="6"/>
  <c r="F1036" i="6"/>
  <c r="I1036" i="6"/>
  <c r="G1036" i="6"/>
  <c r="D1036" i="6"/>
  <c r="H1035" i="6"/>
  <c r="F1035" i="6"/>
  <c r="I1035" i="6"/>
  <c r="D1035" i="6"/>
  <c r="E1035" i="6"/>
  <c r="G1035" i="6"/>
  <c r="H1034" i="6"/>
  <c r="E1034" i="6"/>
  <c r="I1034" i="6"/>
  <c r="D1034" i="6"/>
  <c r="G1034" i="6"/>
  <c r="F1034" i="6"/>
  <c r="H1033" i="6"/>
  <c r="G1033" i="6"/>
  <c r="F1033" i="6"/>
  <c r="I1033" i="6"/>
  <c r="D1033" i="6"/>
  <c r="E1033" i="6"/>
  <c r="D1032" i="6"/>
  <c r="G1032" i="6"/>
  <c r="I1032" i="6"/>
  <c r="F1032" i="6"/>
  <c r="E1032" i="6"/>
  <c r="H1032" i="6"/>
  <c r="D1031" i="6"/>
  <c r="G1031" i="6"/>
  <c r="I1031" i="6"/>
  <c r="H1031" i="6"/>
  <c r="E1031" i="6"/>
  <c r="F1031" i="6"/>
  <c r="D1030" i="6"/>
  <c r="G1030" i="6"/>
  <c r="H1030" i="6"/>
  <c r="F1030" i="6"/>
  <c r="E1030" i="6"/>
  <c r="I1030" i="6"/>
  <c r="D1029" i="6"/>
  <c r="G1029" i="6"/>
  <c r="F1029" i="6"/>
  <c r="H1029" i="6"/>
  <c r="I1029" i="6"/>
  <c r="E1029" i="6"/>
  <c r="D1028" i="6"/>
  <c r="G1028" i="6"/>
  <c r="E1028" i="6"/>
  <c r="I1028" i="6"/>
  <c r="F1028" i="6"/>
  <c r="H1028" i="6"/>
  <c r="D1027" i="6"/>
  <c r="G1027" i="6"/>
  <c r="I1027" i="6"/>
  <c r="E1027" i="6"/>
  <c r="H1027" i="6"/>
  <c r="F1027" i="6"/>
  <c r="D1026" i="6"/>
  <c r="G1026" i="6"/>
  <c r="F1026" i="6"/>
  <c r="I1026" i="6"/>
  <c r="H1026" i="6"/>
  <c r="E1026" i="6"/>
  <c r="D1025" i="6"/>
  <c r="G1025" i="6"/>
  <c r="F1025" i="6"/>
  <c r="I1025" i="6"/>
  <c r="E1025" i="6"/>
  <c r="H1025" i="6"/>
  <c r="D1024" i="6"/>
  <c r="G1024" i="6"/>
  <c r="F1024" i="6"/>
  <c r="I1024" i="6"/>
  <c r="H1024" i="6"/>
  <c r="E1024" i="6"/>
  <c r="D1023" i="6"/>
  <c r="G1023" i="6"/>
  <c r="F1023" i="6"/>
  <c r="I1023" i="6"/>
  <c r="E1023" i="6"/>
  <c r="H1023" i="6"/>
  <c r="I1022" i="6"/>
  <c r="H1022" i="6"/>
  <c r="F1022" i="6"/>
  <c r="E1022" i="6"/>
  <c r="G1022" i="6"/>
  <c r="D1022" i="6"/>
  <c r="I1021" i="6"/>
  <c r="E1021" i="6"/>
  <c r="H1021" i="6"/>
  <c r="G1021" i="6"/>
  <c r="D1021" i="6"/>
  <c r="F1021" i="6"/>
  <c r="I1020" i="6"/>
  <c r="F1020" i="6"/>
  <c r="H1020" i="6"/>
  <c r="D1020" i="6"/>
  <c r="G1020" i="6"/>
  <c r="E1020" i="6"/>
  <c r="I1019" i="6"/>
  <c r="F1019" i="6"/>
  <c r="D1019" i="6"/>
  <c r="H1019" i="6"/>
  <c r="G1019" i="6"/>
  <c r="E1019" i="6"/>
  <c r="C1049" i="6"/>
  <c r="I1018" i="6"/>
  <c r="G1018" i="6"/>
  <c r="C1048" i="6"/>
  <c r="E1018" i="6"/>
  <c r="F1018" i="6"/>
  <c r="D1018" i="6"/>
  <c r="H1018" i="6"/>
  <c r="J995" i="6"/>
  <c r="N995" i="6" s="1"/>
  <c r="J994" i="6"/>
  <c r="N994" i="6" s="1"/>
  <c r="J1001" i="6"/>
  <c r="N1001" i="6" s="1"/>
  <c r="J993" i="6"/>
  <c r="N993" i="6" s="1"/>
  <c r="J992" i="6"/>
  <c r="N992" i="6" s="1"/>
  <c r="J991" i="6"/>
  <c r="N991" i="6" s="1"/>
  <c r="J1005" i="6"/>
  <c r="N1005" i="6" s="1"/>
  <c r="J1000" i="6"/>
  <c r="N1000" i="6" s="1"/>
  <c r="J989" i="6"/>
  <c r="N989" i="6" s="1"/>
  <c r="J1003" i="6"/>
  <c r="N1003" i="6" s="1"/>
  <c r="J1018" i="6"/>
  <c r="N1018" i="6" s="1"/>
  <c r="J1016" i="6"/>
  <c r="N1016" i="6" s="1"/>
  <c r="J1014" i="6"/>
  <c r="N1014" i="6" s="1"/>
  <c r="J1013" i="6"/>
  <c r="N1013" i="6" s="1"/>
  <c r="J1011" i="6"/>
  <c r="N1011" i="6" s="1"/>
  <c r="J1009" i="6"/>
  <c r="N1009" i="6" s="1"/>
  <c r="J1007" i="6"/>
  <c r="N1007" i="6" s="1"/>
  <c r="J1004" i="6"/>
  <c r="N1004" i="6" s="1"/>
  <c r="J999" i="6"/>
  <c r="N999" i="6" s="1"/>
  <c r="J1017" i="6"/>
  <c r="N1017" i="6" s="1"/>
  <c r="J1015" i="6"/>
  <c r="N1015" i="6" s="1"/>
  <c r="J1012" i="6"/>
  <c r="N1012" i="6" s="1"/>
  <c r="J1010" i="6"/>
  <c r="N1010" i="6" s="1"/>
  <c r="J1008" i="6"/>
  <c r="N1008" i="6" s="1"/>
  <c r="J1006" i="6"/>
  <c r="N1006" i="6" s="1"/>
  <c r="J1002" i="6"/>
  <c r="N1002" i="6" s="1"/>
  <c r="AA267" i="3"/>
  <c r="C67" i="3"/>
  <c r="M270" i="3"/>
  <c r="S270" i="3" s="1"/>
  <c r="Z268" i="3"/>
  <c r="W266" i="3"/>
  <c r="U124" i="3"/>
  <c r="E122" i="3"/>
  <c r="E117" i="10" s="1"/>
  <c r="I117" i="10" s="1"/>
  <c r="AA65" i="3"/>
  <c r="Z66" i="3"/>
  <c r="S20" i="13" s="1"/>
  <c r="CO20" i="13" s="1"/>
  <c r="Y64" i="3"/>
  <c r="R18" i="13" s="1"/>
  <c r="BQ18" i="13" s="1"/>
  <c r="W60" i="7"/>
  <c r="N60" i="7" s="1"/>
  <c r="AH60" i="7"/>
  <c r="S60" i="7" s="1"/>
  <c r="AH305" i="7"/>
  <c r="W305" i="7"/>
  <c r="W202" i="7"/>
  <c r="N202" i="7" s="1"/>
  <c r="AH202" i="7"/>
  <c r="S202" i="7" s="1"/>
  <c r="AG61" i="7"/>
  <c r="V61" i="7"/>
  <c r="C61" i="7"/>
  <c r="C203" i="7"/>
  <c r="AA268" i="3"/>
  <c r="C306" i="7"/>
  <c r="AA66" i="3"/>
  <c r="T20" i="13" s="1"/>
  <c r="CY20" i="13" s="1"/>
  <c r="G66" i="3"/>
  <c r="D67" i="3"/>
  <c r="AI221" i="7"/>
  <c r="X221" i="7"/>
  <c r="X324" i="7"/>
  <c r="AI324" i="7"/>
  <c r="X78" i="7"/>
  <c r="AI78" i="7"/>
  <c r="D80" i="7"/>
  <c r="E87" i="3"/>
  <c r="U89" i="3"/>
  <c r="K204" i="7"/>
  <c r="AD204" i="7" s="1"/>
  <c r="U269" i="3"/>
  <c r="AB269" i="3" s="1"/>
  <c r="K307" i="7"/>
  <c r="AD307" i="7" s="1"/>
  <c r="U472" i="3"/>
  <c r="AB472" i="3" s="1"/>
  <c r="AB66" i="3"/>
  <c r="U20" i="13" s="1"/>
  <c r="DI20" i="13" s="1"/>
  <c r="K62" i="7"/>
  <c r="AD62" i="7" s="1"/>
  <c r="T68" i="3"/>
  <c r="J62" i="7"/>
  <c r="AC62" i="7" s="1"/>
  <c r="J204" i="7"/>
  <c r="AC204" i="7" s="1"/>
  <c r="J307" i="7"/>
  <c r="AC307" i="7" s="1"/>
  <c r="I62" i="7"/>
  <c r="AB62" i="7" s="1"/>
  <c r="I307" i="7"/>
  <c r="AB307" i="7" s="1"/>
  <c r="Z269" i="3"/>
  <c r="I204" i="7"/>
  <c r="AB204" i="7" s="1"/>
  <c r="G60" i="7"/>
  <c r="Q60" i="7" s="1"/>
  <c r="AD63" i="3"/>
  <c r="W65" i="3"/>
  <c r="R66" i="3"/>
  <c r="P60" i="7"/>
  <c r="F202" i="7"/>
  <c r="P202" i="7" s="1"/>
  <c r="F305" i="7"/>
  <c r="P305" i="7" s="1"/>
  <c r="E70" i="7"/>
  <c r="M70" i="7" s="1"/>
  <c r="E314" i="7"/>
  <c r="E211" i="7"/>
  <c r="AJ68" i="7"/>
  <c r="Y68" i="7"/>
  <c r="AJ209" i="7"/>
  <c r="Y209" i="7"/>
  <c r="AJ312" i="7"/>
  <c r="Y312" i="7"/>
  <c r="E69" i="7"/>
  <c r="M69" i="7" s="1"/>
  <c r="E210" i="7"/>
  <c r="E313" i="7"/>
  <c r="Y67" i="7"/>
  <c r="AJ67" i="7"/>
  <c r="AJ208" i="7"/>
  <c r="Y208" i="7"/>
  <c r="Y311" i="7"/>
  <c r="AJ311" i="7"/>
  <c r="R61" i="7"/>
  <c r="R203" i="7"/>
  <c r="R306" i="7"/>
  <c r="AQ60" i="7" l="1"/>
  <c r="AD267" i="3"/>
  <c r="AP60" i="7"/>
  <c r="AO59" i="7"/>
  <c r="ER22" i="13"/>
  <c r="EG22" i="13"/>
  <c r="EM22" i="13" s="1"/>
  <c r="EK21" i="13"/>
  <c r="EJ22" i="13"/>
  <c r="AM22" i="13"/>
  <c r="BT22" i="13" s="1"/>
  <c r="Y22" i="13"/>
  <c r="AC22" i="13" s="1"/>
  <c r="DJ22" i="13" s="1"/>
  <c r="Z22" i="13"/>
  <c r="AD22" i="13" s="1"/>
  <c r="BR22" i="13" s="1"/>
  <c r="AH22" i="13"/>
  <c r="AL22" i="13" s="1"/>
  <c r="BS22" i="13" s="1"/>
  <c r="AF22" i="13"/>
  <c r="AJ22" i="13" s="1"/>
  <c r="DA22" i="13" s="1"/>
  <c r="AG22" i="13"/>
  <c r="AK22" i="13" s="1"/>
  <c r="DK22" i="13" s="1"/>
  <c r="L23" i="13"/>
  <c r="AN23" i="13" s="1"/>
  <c r="AQ23" i="13" s="1"/>
  <c r="BU23" i="13" s="1"/>
  <c r="CG22" i="13"/>
  <c r="AP22" i="13"/>
  <c r="AS22" i="13" s="1"/>
  <c r="DV22" i="13" s="1"/>
  <c r="DZ22" i="13" s="1"/>
  <c r="ED22" i="13" s="1"/>
  <c r="Q22" i="13"/>
  <c r="M23" i="13"/>
  <c r="K23" i="13"/>
  <c r="V22" i="13"/>
  <c r="CJ22" i="13"/>
  <c r="AE22" i="13"/>
  <c r="AI22" i="13" s="1"/>
  <c r="CQ22" i="13" s="1"/>
  <c r="DZ21" i="12"/>
  <c r="AG204" i="7"/>
  <c r="V204" i="7"/>
  <c r="M474" i="3"/>
  <c r="S474" i="3" s="1"/>
  <c r="S68" i="3"/>
  <c r="CJ22" i="12"/>
  <c r="CG22" i="12"/>
  <c r="W22" i="12"/>
  <c r="X22" i="12"/>
  <c r="Y22" i="12"/>
  <c r="AR22" i="12"/>
  <c r="AZ22" i="12" s="1"/>
  <c r="AM22" i="12"/>
  <c r="BT22" i="12" s="1"/>
  <c r="M23" i="12"/>
  <c r="L23" i="12"/>
  <c r="AN23" i="12" s="1"/>
  <c r="AP22" i="12"/>
  <c r="AE22" i="12"/>
  <c r="AF22" i="12"/>
  <c r="AG22" i="12"/>
  <c r="AH22" i="12"/>
  <c r="K23" i="12"/>
  <c r="V22" i="12"/>
  <c r="R22" i="12"/>
  <c r="BQ22" i="12" s="1"/>
  <c r="S22" i="12"/>
  <c r="CO22" i="12" s="1"/>
  <c r="T22" i="12"/>
  <c r="CY22" i="12" s="1"/>
  <c r="U22" i="12"/>
  <c r="DI22" i="12" s="1"/>
  <c r="Q22" i="12"/>
  <c r="AY22" i="12" s="1"/>
  <c r="V306" i="7"/>
  <c r="AG306" i="7"/>
  <c r="B307" i="7"/>
  <c r="G472" i="3"/>
  <c r="N305" i="7"/>
  <c r="AM59" i="7" s="1"/>
  <c r="S305" i="7"/>
  <c r="AR59" i="7" s="1"/>
  <c r="C270" i="3"/>
  <c r="B205" i="7" s="1"/>
  <c r="C62" i="10"/>
  <c r="G62" i="10" s="1"/>
  <c r="C473" i="3"/>
  <c r="Z473" i="3" s="1"/>
  <c r="O327" i="3"/>
  <c r="O530" i="3"/>
  <c r="E325" i="3"/>
  <c r="U325" i="3" s="1"/>
  <c r="E528" i="3"/>
  <c r="U528" i="3" s="1"/>
  <c r="AA471" i="3"/>
  <c r="AA472" i="3"/>
  <c r="D270" i="3"/>
  <c r="G270" i="3" s="1"/>
  <c r="D62" i="10"/>
  <c r="H62" i="10" s="1"/>
  <c r="D473" i="3"/>
  <c r="E290" i="3"/>
  <c r="D225" i="7" s="1"/>
  <c r="E82" i="10"/>
  <c r="I82" i="10" s="1"/>
  <c r="E493" i="3"/>
  <c r="D328" i="7" s="1"/>
  <c r="O292" i="3"/>
  <c r="O495" i="3"/>
  <c r="N271" i="3"/>
  <c r="T271" i="3" s="1"/>
  <c r="N474" i="3"/>
  <c r="T474" i="3" s="1"/>
  <c r="J269" i="3"/>
  <c r="G204" i="7" s="1"/>
  <c r="Q204" i="7" s="1"/>
  <c r="J472" i="3"/>
  <c r="G307" i="7" s="1"/>
  <c r="Q307" i="7" s="1"/>
  <c r="H269" i="3"/>
  <c r="H472" i="3"/>
  <c r="W470" i="3"/>
  <c r="Y471" i="3"/>
  <c r="F280" i="3"/>
  <c r="F483" i="3"/>
  <c r="F72" i="10"/>
  <c r="J72" i="10" s="1"/>
  <c r="F279" i="3"/>
  <c r="F482" i="3"/>
  <c r="F71" i="10"/>
  <c r="J71" i="10" s="1"/>
  <c r="J1019" i="6"/>
  <c r="N1019" i="6" s="1"/>
  <c r="J1020" i="6"/>
  <c r="N1020" i="6" s="1"/>
  <c r="J1022" i="6"/>
  <c r="N1022" i="6" s="1"/>
  <c r="J1021" i="6"/>
  <c r="N1021" i="6" s="1"/>
  <c r="J1023" i="6"/>
  <c r="N1023" i="6" s="1"/>
  <c r="I1049" i="6"/>
  <c r="D1049" i="6"/>
  <c r="E1049" i="6"/>
  <c r="F1049" i="6"/>
  <c r="H1049" i="6"/>
  <c r="G1049" i="6"/>
  <c r="I1048" i="6"/>
  <c r="J1049" i="6" s="1"/>
  <c r="N1049" i="6" s="1"/>
  <c r="E1048" i="6"/>
  <c r="G1048" i="6"/>
  <c r="D1048" i="6"/>
  <c r="F1048" i="6"/>
  <c r="H1048" i="6"/>
  <c r="J1039" i="6"/>
  <c r="N1039" i="6" s="1"/>
  <c r="J1037" i="6"/>
  <c r="N1037" i="6" s="1"/>
  <c r="J1038" i="6"/>
  <c r="N1038" i="6" s="1"/>
  <c r="J1034" i="6"/>
  <c r="N1034" i="6" s="1"/>
  <c r="J1030" i="6"/>
  <c r="N1030" i="6" s="1"/>
  <c r="J1026" i="6"/>
  <c r="N1026" i="6" s="1"/>
  <c r="J1024" i="6"/>
  <c r="J1046" i="6"/>
  <c r="N1046" i="6" s="1"/>
  <c r="J1042" i="6"/>
  <c r="N1042" i="6" s="1"/>
  <c r="J1035" i="6"/>
  <c r="N1035" i="6" s="1"/>
  <c r="J1031" i="6"/>
  <c r="N1031" i="6" s="1"/>
  <c r="J1048" i="6"/>
  <c r="N1048" i="6" s="1"/>
  <c r="J1045" i="6"/>
  <c r="N1045" i="6" s="1"/>
  <c r="J1043" i="6"/>
  <c r="N1043" i="6" s="1"/>
  <c r="J1036" i="6"/>
  <c r="N1036" i="6" s="1"/>
  <c r="J1032" i="6"/>
  <c r="N1032" i="6" s="1"/>
  <c r="J1028" i="6"/>
  <c r="N1028" i="6" s="1"/>
  <c r="J1025" i="6"/>
  <c r="N1025" i="6" s="1"/>
  <c r="J1047" i="6"/>
  <c r="N1047" i="6" s="1"/>
  <c r="J1044" i="6"/>
  <c r="N1044" i="6" s="1"/>
  <c r="J1041" i="6"/>
  <c r="N1041" i="6" s="1"/>
  <c r="J1040" i="6"/>
  <c r="N1040" i="6" s="1"/>
  <c r="J1033" i="6"/>
  <c r="N1033" i="6" s="1"/>
  <c r="J1029" i="6"/>
  <c r="N1029" i="6" s="1"/>
  <c r="J1027" i="6"/>
  <c r="N1027" i="6" s="1"/>
  <c r="C68" i="3"/>
  <c r="M271" i="3"/>
  <c r="S271" i="3" s="1"/>
  <c r="W267" i="3"/>
  <c r="U126" i="3"/>
  <c r="E124" i="3"/>
  <c r="E119" i="10" s="1"/>
  <c r="I119" i="10" s="1"/>
  <c r="G67" i="3"/>
  <c r="AA67" i="3"/>
  <c r="AD64" i="3"/>
  <c r="C204" i="7"/>
  <c r="C307" i="7"/>
  <c r="W61" i="7"/>
  <c r="N61" i="7" s="1"/>
  <c r="AH61" i="7"/>
  <c r="S61" i="7" s="1"/>
  <c r="W203" i="7"/>
  <c r="N203" i="7" s="1"/>
  <c r="AH203" i="7"/>
  <c r="S203" i="7" s="1"/>
  <c r="AH306" i="7"/>
  <c r="W306" i="7"/>
  <c r="AG62" i="7"/>
  <c r="V62" i="7"/>
  <c r="C62" i="7"/>
  <c r="D68" i="3"/>
  <c r="X80" i="7"/>
  <c r="AI80" i="7"/>
  <c r="AI326" i="7"/>
  <c r="X326" i="7"/>
  <c r="X223" i="7"/>
  <c r="AI223" i="7"/>
  <c r="D82" i="7"/>
  <c r="E89" i="3"/>
  <c r="U91" i="3"/>
  <c r="K205" i="7"/>
  <c r="AD205" i="7" s="1"/>
  <c r="U270" i="3"/>
  <c r="AB67" i="3"/>
  <c r="K308" i="7"/>
  <c r="AD308" i="7" s="1"/>
  <c r="U473" i="3"/>
  <c r="AB473" i="3" s="1"/>
  <c r="K63" i="7"/>
  <c r="AD63" i="7" s="1"/>
  <c r="R307" i="7"/>
  <c r="T69" i="3"/>
  <c r="J63" i="7"/>
  <c r="AC63" i="7" s="1"/>
  <c r="J205" i="7"/>
  <c r="AC205" i="7" s="1"/>
  <c r="J308" i="7"/>
  <c r="AC308" i="7" s="1"/>
  <c r="Z67" i="3"/>
  <c r="I63" i="7"/>
  <c r="AB63" i="7" s="1"/>
  <c r="I308" i="7"/>
  <c r="AB308" i="7" s="1"/>
  <c r="I205" i="7"/>
  <c r="AB205" i="7" s="1"/>
  <c r="G61" i="7"/>
  <c r="Q61" i="7" s="1"/>
  <c r="Y65" i="3"/>
  <c r="R67" i="3"/>
  <c r="P61" i="7"/>
  <c r="Y268" i="3"/>
  <c r="AD268" i="3" s="1"/>
  <c r="F203" i="7"/>
  <c r="P203" i="7" s="1"/>
  <c r="F306" i="7"/>
  <c r="P306" i="7" s="1"/>
  <c r="E72" i="7"/>
  <c r="M72" i="7" s="1"/>
  <c r="E316" i="7"/>
  <c r="E213" i="7"/>
  <c r="Y70" i="7"/>
  <c r="AJ70" i="7"/>
  <c r="AJ314" i="7"/>
  <c r="Y314" i="7"/>
  <c r="AJ211" i="7"/>
  <c r="Y211" i="7"/>
  <c r="E71" i="7"/>
  <c r="M71" i="7" s="1"/>
  <c r="E212" i="7"/>
  <c r="E315" i="7"/>
  <c r="Y69" i="7"/>
  <c r="AJ69" i="7"/>
  <c r="AJ210" i="7"/>
  <c r="Y210" i="7"/>
  <c r="Y313" i="7"/>
  <c r="AJ313" i="7"/>
  <c r="R62" i="7"/>
  <c r="R204" i="7"/>
  <c r="AQ61" i="7" l="1"/>
  <c r="AO23" i="13"/>
  <c r="AR23" i="13" s="1"/>
  <c r="AZ23" i="13" s="1"/>
  <c r="R269" i="3"/>
  <c r="Y269" i="3" s="1"/>
  <c r="AD269" i="3" s="1"/>
  <c r="R472" i="3"/>
  <c r="AP61" i="7"/>
  <c r="AO60" i="7"/>
  <c r="AY22" i="13"/>
  <c r="CI7" i="13"/>
  <c r="CK7" i="13" s="1"/>
  <c r="CH7" i="13"/>
  <c r="CI7" i="12"/>
  <c r="CK7" i="12" s="1"/>
  <c r="CH7" i="12"/>
  <c r="EF23" i="13"/>
  <c r="EL23" i="13" s="1"/>
  <c r="FE23" i="13" s="1"/>
  <c r="N23" i="13"/>
  <c r="ED21" i="12"/>
  <c r="AD471" i="3"/>
  <c r="V205" i="7"/>
  <c r="AG205" i="7"/>
  <c r="M475" i="3"/>
  <c r="S475" i="3" s="1"/>
  <c r="S69" i="3"/>
  <c r="AA22" i="12"/>
  <c r="CP22" i="12" s="1"/>
  <c r="AB22" i="12"/>
  <c r="CZ22" i="12" s="1"/>
  <c r="AC22" i="12"/>
  <c r="DJ22" i="12" s="1"/>
  <c r="AD22" i="12"/>
  <c r="BR22" i="12" s="1"/>
  <c r="AQ23" i="12"/>
  <c r="BU23" i="12" s="1"/>
  <c r="AS22" i="12"/>
  <c r="DV22" i="12" s="1"/>
  <c r="AO23" i="12"/>
  <c r="AI22" i="12"/>
  <c r="CQ22" i="12" s="1"/>
  <c r="AJ22" i="12"/>
  <c r="DA22" i="12" s="1"/>
  <c r="AK22" i="12"/>
  <c r="DK22" i="12" s="1"/>
  <c r="AL22" i="12"/>
  <c r="BS22" i="12" s="1"/>
  <c r="N23" i="12"/>
  <c r="Z23" i="12" s="1"/>
  <c r="AG307" i="7"/>
  <c r="V307" i="7"/>
  <c r="B308" i="7"/>
  <c r="G473" i="3"/>
  <c r="S306" i="7"/>
  <c r="AR60" i="7" s="1"/>
  <c r="N306" i="7"/>
  <c r="AM60" i="7" s="1"/>
  <c r="C271" i="3"/>
  <c r="B206" i="7" s="1"/>
  <c r="C474" i="3"/>
  <c r="Z474" i="3" s="1"/>
  <c r="C63" i="10"/>
  <c r="G63" i="10" s="1"/>
  <c r="O329" i="3"/>
  <c r="O532" i="3"/>
  <c r="E327" i="3"/>
  <c r="U327" i="3" s="1"/>
  <c r="E530" i="3"/>
  <c r="U530" i="3" s="1"/>
  <c r="D271" i="3"/>
  <c r="G271" i="3" s="1"/>
  <c r="D474" i="3"/>
  <c r="D63" i="10"/>
  <c r="H63" i="10" s="1"/>
  <c r="E292" i="3"/>
  <c r="D227" i="7" s="1"/>
  <c r="E84" i="10"/>
  <c r="I84" i="10" s="1"/>
  <c r="E495" i="3"/>
  <c r="D330" i="7" s="1"/>
  <c r="O294" i="3"/>
  <c r="O497" i="3"/>
  <c r="AB474" i="3"/>
  <c r="N272" i="3"/>
  <c r="T272" i="3" s="1"/>
  <c r="N475" i="3"/>
  <c r="T475" i="3" s="1"/>
  <c r="J270" i="3"/>
  <c r="G205" i="7" s="1"/>
  <c r="Q205" i="7" s="1"/>
  <c r="J473" i="3"/>
  <c r="G308" i="7" s="1"/>
  <c r="Q308" i="7" s="1"/>
  <c r="W66" i="3"/>
  <c r="H270" i="3"/>
  <c r="R270" i="3" s="1"/>
  <c r="H473" i="3"/>
  <c r="R473" i="3" s="1"/>
  <c r="W471" i="3"/>
  <c r="Y472" i="3"/>
  <c r="AD472" i="3" s="1"/>
  <c r="F282" i="3"/>
  <c r="F485" i="3"/>
  <c r="F74" i="10"/>
  <c r="J74" i="10" s="1"/>
  <c r="F281" i="3"/>
  <c r="F73" i="10"/>
  <c r="J73" i="10" s="1"/>
  <c r="F484" i="3"/>
  <c r="K937" i="6"/>
  <c r="K1025" i="6"/>
  <c r="K910" i="6"/>
  <c r="K891" i="6"/>
  <c r="K905" i="6"/>
  <c r="K882" i="6"/>
  <c r="K916" i="6"/>
  <c r="K1024" i="6"/>
  <c r="K935" i="6"/>
  <c r="K1039" i="6"/>
  <c r="K1006" i="6"/>
  <c r="K925" i="6"/>
  <c r="K987" i="6"/>
  <c r="K929" i="6"/>
  <c r="K883" i="6"/>
  <c r="K945" i="6"/>
  <c r="K1030" i="6"/>
  <c r="K941" i="6"/>
  <c r="K1047" i="6"/>
  <c r="K919" i="6"/>
  <c r="K1021" i="6"/>
  <c r="K901" i="6"/>
  <c r="K993" i="6"/>
  <c r="K1029" i="6"/>
  <c r="K934" i="6"/>
  <c r="K914" i="6"/>
  <c r="K917" i="6"/>
  <c r="K943" i="6"/>
  <c r="K931" i="6"/>
  <c r="K1035" i="6"/>
  <c r="K1036" i="6"/>
  <c r="K874" i="6"/>
  <c r="K999" i="6"/>
  <c r="K1016" i="6"/>
  <c r="K994" i="6"/>
  <c r="K1023" i="6"/>
  <c r="K952" i="6"/>
  <c r="K957" i="6"/>
  <c r="K948" i="6"/>
  <c r="K1003" i="6"/>
  <c r="K1045" i="6"/>
  <c r="K1044" i="6"/>
  <c r="K1014" i="6"/>
  <c r="K1000" i="6"/>
  <c r="K1011" i="6"/>
  <c r="K1018" i="6"/>
  <c r="K889" i="6"/>
  <c r="K890" i="6"/>
  <c r="K1022" i="6"/>
  <c r="K923" i="6"/>
  <c r="K922" i="6"/>
  <c r="K892" i="6"/>
  <c r="K978" i="6"/>
  <c r="K974" i="6"/>
  <c r="K887" i="6"/>
  <c r="K918" i="6"/>
  <c r="K911" i="6"/>
  <c r="K985" i="6"/>
  <c r="K992" i="6"/>
  <c r="K1037" i="6"/>
  <c r="K902" i="6"/>
  <c r="K1019" i="6"/>
  <c r="K947" i="6"/>
  <c r="K1043" i="6"/>
  <c r="K928" i="6"/>
  <c r="K932" i="6"/>
  <c r="K1013" i="6"/>
  <c r="K1028" i="6"/>
  <c r="K997" i="6"/>
  <c r="K877" i="6"/>
  <c r="K870" i="6"/>
  <c r="K1031" i="6"/>
  <c r="K1027" i="6"/>
  <c r="K959" i="6"/>
  <c r="K1046" i="6"/>
  <c r="K964" i="6"/>
  <c r="K939" i="6"/>
  <c r="K1048" i="6"/>
  <c r="K989" i="6"/>
  <c r="K1042" i="6"/>
  <c r="K970" i="6"/>
  <c r="K900" i="6"/>
  <c r="K899" i="6"/>
  <c r="K924" i="6"/>
  <c r="K897" i="6"/>
  <c r="K962" i="6"/>
  <c r="K1009" i="6"/>
  <c r="K940" i="6"/>
  <c r="K990" i="6"/>
  <c r="K1005" i="6"/>
  <c r="K942" i="6"/>
  <c r="K936" i="6"/>
  <c r="K893" i="6"/>
  <c r="K930" i="6"/>
  <c r="K907" i="6"/>
  <c r="K955" i="6"/>
  <c r="K951" i="6"/>
  <c r="K980" i="6"/>
  <c r="K915" i="6"/>
  <c r="K969" i="6"/>
  <c r="K908" i="6"/>
  <c r="K904" i="6"/>
  <c r="K1026" i="6"/>
  <c r="K888" i="6"/>
  <c r="K912" i="6"/>
  <c r="K950" i="6"/>
  <c r="K983" i="6"/>
  <c r="K977" i="6"/>
  <c r="K1008" i="6"/>
  <c r="K975" i="6"/>
  <c r="K938" i="6"/>
  <c r="K1034" i="6"/>
  <c r="K1038" i="6"/>
  <c r="K998" i="6"/>
  <c r="K973" i="6"/>
  <c r="K956" i="6"/>
  <c r="K986" i="6"/>
  <c r="K1049" i="6"/>
  <c r="K958" i="6"/>
  <c r="K1033" i="6"/>
  <c r="K968" i="6"/>
  <c r="K965" i="6"/>
  <c r="K1017" i="6"/>
  <c r="K896" i="6"/>
  <c r="K1004" i="6"/>
  <c r="K988" i="6"/>
  <c r="K920" i="6"/>
  <c r="K898" i="6"/>
  <c r="K996" i="6"/>
  <c r="K981" i="6"/>
  <c r="K1012" i="6"/>
  <c r="K961" i="6"/>
  <c r="K906" i="6"/>
  <c r="K926" i="6"/>
  <c r="K850" i="6"/>
  <c r="K1041" i="6"/>
  <c r="K946" i="6"/>
  <c r="K995" i="6"/>
  <c r="K982" i="6"/>
  <c r="K944" i="6"/>
  <c r="K991" i="6"/>
  <c r="K1001" i="6"/>
  <c r="K1007" i="6"/>
  <c r="K966" i="6"/>
  <c r="K972" i="6"/>
  <c r="K876" i="6"/>
  <c r="K979" i="6"/>
  <c r="K869" i="6"/>
  <c r="K933" i="6"/>
  <c r="K1015" i="6"/>
  <c r="K886" i="6"/>
  <c r="K949" i="6"/>
  <c r="K913" i="6"/>
  <c r="K963" i="6"/>
  <c r="K875" i="6"/>
  <c r="K976" i="6"/>
  <c r="K903" i="6"/>
  <c r="K841" i="6"/>
  <c r="K971" i="6"/>
  <c r="K868" i="6"/>
  <c r="K852" i="6"/>
  <c r="K1002" i="6"/>
  <c r="K984" i="6"/>
  <c r="K967" i="6"/>
  <c r="K960" i="6"/>
  <c r="K895" i="6"/>
  <c r="K921" i="6"/>
  <c r="K873" i="6"/>
  <c r="K1040" i="6"/>
  <c r="K885" i="6"/>
  <c r="K839" i="6"/>
  <c r="K909" i="6"/>
  <c r="K927" i="6"/>
  <c r="K880" i="6"/>
  <c r="K1032" i="6"/>
  <c r="K884" i="6"/>
  <c r="K856" i="6"/>
  <c r="K881" i="6"/>
  <c r="K843" i="6"/>
  <c r="K872" i="6"/>
  <c r="K1020" i="6"/>
  <c r="K954" i="6"/>
  <c r="K953" i="6"/>
  <c r="K1010" i="6"/>
  <c r="K619" i="6"/>
  <c r="K668" i="6"/>
  <c r="K641" i="6"/>
  <c r="K655" i="6"/>
  <c r="K654" i="6"/>
  <c r="K688" i="6"/>
  <c r="K609" i="6"/>
  <c r="K643" i="6"/>
  <c r="K679" i="6"/>
  <c r="K610" i="6"/>
  <c r="K660" i="6"/>
  <c r="K603" i="6"/>
  <c r="K601" i="6"/>
  <c r="K589" i="6"/>
  <c r="K598" i="6"/>
  <c r="K602" i="6"/>
  <c r="K620" i="6"/>
  <c r="K594" i="6"/>
  <c r="K629" i="6"/>
  <c r="K616" i="6"/>
  <c r="K622" i="6"/>
  <c r="K611" i="6"/>
  <c r="K613" i="6"/>
  <c r="K595" i="6"/>
  <c r="K658" i="6"/>
  <c r="K652" i="6"/>
  <c r="K627" i="6"/>
  <c r="K632" i="6"/>
  <c r="K580" i="6"/>
  <c r="K606" i="6"/>
  <c r="K607" i="6"/>
  <c r="K608" i="6"/>
  <c r="K630" i="6"/>
  <c r="K604" i="6"/>
  <c r="K633" i="6"/>
  <c r="K614" i="6"/>
  <c r="K623" i="6"/>
  <c r="K642" i="6"/>
  <c r="K617" i="6"/>
  <c r="K621" i="6"/>
  <c r="K626" i="6"/>
  <c r="K605" i="6"/>
  <c r="K628" i="6"/>
  <c r="K631" i="6"/>
  <c r="K618" i="6"/>
  <c r="K615" i="6"/>
  <c r="K624" i="6"/>
  <c r="K582" i="6"/>
  <c r="K586" i="6"/>
  <c r="K612" i="6"/>
  <c r="K596" i="6"/>
  <c r="K574" i="6"/>
  <c r="K578" i="6"/>
  <c r="K585" i="6"/>
  <c r="K599" i="6"/>
  <c r="K591" i="6"/>
  <c r="K583" i="6"/>
  <c r="K597" i="6"/>
  <c r="K577" i="6"/>
  <c r="K600" i="6"/>
  <c r="K587" i="6"/>
  <c r="K579" i="6"/>
  <c r="K575" i="6"/>
  <c r="K584" i="6"/>
  <c r="K581" i="6"/>
  <c r="K590" i="6"/>
  <c r="K588" i="6"/>
  <c r="K593" i="6"/>
  <c r="K644" i="6"/>
  <c r="K576" i="6"/>
  <c r="K573" i="6"/>
  <c r="K559" i="6"/>
  <c r="K547" i="6"/>
  <c r="K534" i="6"/>
  <c r="K530" i="6"/>
  <c r="K568" i="6"/>
  <c r="K551" i="6"/>
  <c r="K569" i="6"/>
  <c r="K516" i="6"/>
  <c r="K548" i="6"/>
  <c r="K531" i="6"/>
  <c r="K565" i="6"/>
  <c r="K543" i="6"/>
  <c r="K561" i="6"/>
  <c r="K560" i="6"/>
  <c r="K519" i="6"/>
  <c r="K552" i="6"/>
  <c r="K566" i="6"/>
  <c r="K555" i="6"/>
  <c r="K571" i="6"/>
  <c r="K592" i="6"/>
  <c r="K572" i="6"/>
  <c r="K553" i="6"/>
  <c r="K558" i="6"/>
  <c r="K550" i="6"/>
  <c r="K532" i="6"/>
  <c r="K570" i="6"/>
  <c r="K567" i="6"/>
  <c r="K563" i="6"/>
  <c r="K526" i="6"/>
  <c r="K562" i="6"/>
  <c r="K549" i="6"/>
  <c r="K535" i="6"/>
  <c r="K554" i="6"/>
  <c r="K521" i="6"/>
  <c r="K520" i="6"/>
  <c r="K529" i="6"/>
  <c r="K484" i="6"/>
  <c r="K486" i="6"/>
  <c r="K539" i="6"/>
  <c r="K497" i="6"/>
  <c r="K545" i="6"/>
  <c r="K542" i="6"/>
  <c r="K564" i="6"/>
  <c r="K540" i="6"/>
  <c r="K518" i="6"/>
  <c r="K517" i="6"/>
  <c r="K533" i="6"/>
  <c r="K492" i="6"/>
  <c r="K536" i="6"/>
  <c r="K525" i="6"/>
  <c r="K507" i="6"/>
  <c r="K483" i="6"/>
  <c r="K515" i="6"/>
  <c r="K537" i="6"/>
  <c r="K485" i="6"/>
  <c r="K538" i="6"/>
  <c r="K541" i="6"/>
  <c r="K512" i="6"/>
  <c r="K489" i="6"/>
  <c r="K528" i="6"/>
  <c r="K513" i="6"/>
  <c r="K556" i="6"/>
  <c r="K544" i="6"/>
  <c r="K506" i="6"/>
  <c r="K523" i="6"/>
  <c r="K557" i="6"/>
  <c r="K527" i="6"/>
  <c r="K514" i="6"/>
  <c r="K495" i="6"/>
  <c r="K499" i="6"/>
  <c r="K508" i="6"/>
  <c r="K488" i="6"/>
  <c r="K524" i="6"/>
  <c r="K500" i="6"/>
  <c r="K457" i="6"/>
  <c r="K284" i="6"/>
  <c r="K382" i="6"/>
  <c r="K329" i="6"/>
  <c r="K444" i="6"/>
  <c r="K440" i="6"/>
  <c r="K364" i="6"/>
  <c r="K360" i="6"/>
  <c r="K313" i="6"/>
  <c r="K386" i="6"/>
  <c r="K415" i="6"/>
  <c r="K510" i="6"/>
  <c r="K505" i="6"/>
  <c r="K502" i="6"/>
  <c r="K522" i="6"/>
  <c r="K487" i="6"/>
  <c r="K494" i="6"/>
  <c r="K493" i="6"/>
  <c r="K490" i="6"/>
  <c r="K503" i="6"/>
  <c r="K511" i="6"/>
  <c r="K501" i="6"/>
  <c r="K509" i="6"/>
  <c r="K498" i="6"/>
  <c r="K504" i="6"/>
  <c r="K491" i="6"/>
  <c r="K496" i="6"/>
  <c r="K291" i="6"/>
  <c r="K448" i="6"/>
  <c r="K432" i="6"/>
  <c r="K454" i="6"/>
  <c r="K290" i="6"/>
  <c r="K392" i="6"/>
  <c r="K413" i="6"/>
  <c r="K439" i="6"/>
  <c r="K323" i="6"/>
  <c r="K370" i="6"/>
  <c r="K356" i="6"/>
  <c r="K372" i="6"/>
  <c r="K405" i="6"/>
  <c r="K272" i="6"/>
  <c r="K366" i="6"/>
  <c r="K384" i="6"/>
  <c r="K333" i="6"/>
  <c r="K337" i="6"/>
  <c r="K340" i="6"/>
  <c r="K429" i="6"/>
  <c r="K283" i="6"/>
  <c r="K350" i="6"/>
  <c r="K325" i="6"/>
  <c r="K409" i="6"/>
  <c r="K349" i="6"/>
  <c r="K466" i="6"/>
  <c r="K393" i="6"/>
  <c r="K450" i="6"/>
  <c r="K335" i="6"/>
  <c r="K367" i="6"/>
  <c r="K445" i="6"/>
  <c r="K273" i="6"/>
  <c r="K381" i="6"/>
  <c r="K473" i="6"/>
  <c r="K388" i="6"/>
  <c r="K292" i="6"/>
  <c r="K300" i="6"/>
  <c r="K425" i="6"/>
  <c r="K389" i="6"/>
  <c r="K430" i="6"/>
  <c r="K471" i="6"/>
  <c r="K276" i="6"/>
  <c r="K469" i="6"/>
  <c r="K417" i="6"/>
  <c r="K414" i="6"/>
  <c r="K305" i="6"/>
  <c r="K332" i="6"/>
  <c r="K371" i="6"/>
  <c r="K287" i="6"/>
  <c r="K324" i="6"/>
  <c r="K311" i="6"/>
  <c r="K270" i="6"/>
  <c r="K455" i="6"/>
  <c r="K467" i="6"/>
  <c r="K361" i="6"/>
  <c r="K456" i="6"/>
  <c r="K321" i="6"/>
  <c r="K464" i="6"/>
  <c r="K404" i="6"/>
  <c r="K308" i="6"/>
  <c r="K379" i="6"/>
  <c r="K383" i="6"/>
  <c r="K468" i="6"/>
  <c r="K302" i="6"/>
  <c r="K472" i="6"/>
  <c r="K336" i="6"/>
  <c r="K344" i="6"/>
  <c r="K374" i="6"/>
  <c r="K402" i="6"/>
  <c r="K442" i="6"/>
  <c r="K390" i="6"/>
  <c r="K362" i="6"/>
  <c r="K477" i="6"/>
  <c r="K443" i="6"/>
  <c r="K299" i="6"/>
  <c r="K281" i="6"/>
  <c r="K298" i="6"/>
  <c r="K446" i="6"/>
  <c r="K353" i="6"/>
  <c r="K406" i="6"/>
  <c r="K296" i="6"/>
  <c r="K285" i="6"/>
  <c r="K437" i="6"/>
  <c r="K282" i="6"/>
  <c r="K268" i="6"/>
  <c r="K422" i="6"/>
  <c r="K403" i="6"/>
  <c r="K423" i="6"/>
  <c r="K289" i="6"/>
  <c r="K424" i="6"/>
  <c r="K342" i="6"/>
  <c r="K315" i="6"/>
  <c r="K357" i="6"/>
  <c r="K310" i="6"/>
  <c r="K328" i="6"/>
  <c r="K307" i="6"/>
  <c r="K480" i="6"/>
  <c r="K359" i="6"/>
  <c r="K320" i="6"/>
  <c r="K462" i="6"/>
  <c r="K401" i="6"/>
  <c r="K396" i="6"/>
  <c r="K436" i="6"/>
  <c r="K331" i="6"/>
  <c r="K427" i="6"/>
  <c r="K412" i="6"/>
  <c r="K319" i="6"/>
  <c r="K434" i="6"/>
  <c r="K458" i="6"/>
  <c r="K317" i="6"/>
  <c r="K465" i="6"/>
  <c r="K280" i="6"/>
  <c r="K420" i="6"/>
  <c r="K288" i="6"/>
  <c r="K279" i="6"/>
  <c r="K338" i="6"/>
  <c r="K394" i="6"/>
  <c r="K322" i="6"/>
  <c r="K391" i="6"/>
  <c r="K330" i="6"/>
  <c r="K303" i="6"/>
  <c r="K293" i="6"/>
  <c r="K411" i="6"/>
  <c r="K453" i="6"/>
  <c r="K428" i="6"/>
  <c r="K334" i="6"/>
  <c r="K482" i="6"/>
  <c r="K418" i="6"/>
  <c r="K461" i="6"/>
  <c r="K438" i="6"/>
  <c r="K431" i="6"/>
  <c r="K378" i="6"/>
  <c r="K348" i="6"/>
  <c r="K373" i="6"/>
  <c r="K435" i="6"/>
  <c r="K316" i="6"/>
  <c r="K441" i="6"/>
  <c r="K400" i="6"/>
  <c r="K294" i="6"/>
  <c r="K343" i="6"/>
  <c r="K271" i="6"/>
  <c r="K277" i="6"/>
  <c r="K447" i="6"/>
  <c r="K354" i="6"/>
  <c r="K474" i="6"/>
  <c r="K452" i="6"/>
  <c r="K397" i="6"/>
  <c r="K385" i="6"/>
  <c r="K481" i="6"/>
  <c r="K408" i="6"/>
  <c r="K326" i="6"/>
  <c r="K475" i="6"/>
  <c r="K395" i="6"/>
  <c r="K470" i="6"/>
  <c r="K479" i="6"/>
  <c r="K256" i="6"/>
  <c r="O256" i="6" s="1"/>
  <c r="K306" i="6"/>
  <c r="K355" i="6"/>
  <c r="K476" i="6"/>
  <c r="K274" i="6"/>
  <c r="K327" i="6"/>
  <c r="K347" i="6"/>
  <c r="K301" i="6"/>
  <c r="K410" i="6"/>
  <c r="K363" i="6"/>
  <c r="K269" i="6"/>
  <c r="K341" i="6"/>
  <c r="K295" i="6"/>
  <c r="K377" i="6"/>
  <c r="K304" i="6"/>
  <c r="K459" i="6"/>
  <c r="K312" i="6"/>
  <c r="K426" i="6"/>
  <c r="K419" i="6"/>
  <c r="K449" i="6"/>
  <c r="K478" i="6"/>
  <c r="K345" i="6"/>
  <c r="K368" i="6"/>
  <c r="K318" i="6"/>
  <c r="K369" i="6"/>
  <c r="K416" i="6"/>
  <c r="K351" i="6"/>
  <c r="K346" i="6"/>
  <c r="K387" i="6"/>
  <c r="K352" i="6"/>
  <c r="K463" i="6"/>
  <c r="K275" i="6"/>
  <c r="K407" i="6"/>
  <c r="K246" i="6"/>
  <c r="O246" i="6" s="1"/>
  <c r="K286" i="6"/>
  <c r="K398" i="6"/>
  <c r="K433" i="6"/>
  <c r="K314" i="6"/>
  <c r="K460" i="6"/>
  <c r="K297" i="6"/>
  <c r="K365" i="6"/>
  <c r="K358" i="6"/>
  <c r="K375" i="6"/>
  <c r="K399" i="6"/>
  <c r="K309" i="6"/>
  <c r="K260" i="6"/>
  <c r="O260" i="6" s="1"/>
  <c r="K421" i="6"/>
  <c r="K248" i="6"/>
  <c r="O248" i="6" s="1"/>
  <c r="K339" i="6"/>
  <c r="K451" i="6"/>
  <c r="K376" i="6"/>
  <c r="K278" i="6"/>
  <c r="K380" i="6"/>
  <c r="L615" i="6"/>
  <c r="L375" i="6"/>
  <c r="L459" i="6"/>
  <c r="L431" i="6"/>
  <c r="L706" i="6"/>
  <c r="L296" i="6"/>
  <c r="L771" i="6"/>
  <c r="L892" i="6"/>
  <c r="L558" i="6"/>
  <c r="L900" i="6"/>
  <c r="L775" i="6"/>
  <c r="L355" i="6"/>
  <c r="L798" i="6"/>
  <c r="L750" i="6"/>
  <c r="L830" i="6"/>
  <c r="L602" i="6"/>
  <c r="L492" i="6"/>
  <c r="L1031" i="6"/>
  <c r="L957" i="6"/>
  <c r="L358" i="6"/>
  <c r="L578" i="6"/>
  <c r="L606" i="6"/>
  <c r="L1047" i="6"/>
  <c r="L517" i="6"/>
  <c r="L844" i="6"/>
  <c r="L304" i="6"/>
  <c r="L469" i="6"/>
  <c r="L728" i="6"/>
  <c r="L434" i="6"/>
  <c r="L532" i="6"/>
  <c r="L376" i="6"/>
  <c r="L498" i="6"/>
  <c r="L960" i="6"/>
  <c r="L270" i="6"/>
  <c r="L709" i="6"/>
  <c r="L592" i="6"/>
  <c r="L852" i="6"/>
  <c r="L448" i="6"/>
  <c r="L679" i="6"/>
  <c r="L471" i="6"/>
  <c r="L268" i="6"/>
  <c r="L954" i="6"/>
  <c r="L654" i="6"/>
  <c r="L645" i="6"/>
  <c r="L351" i="6"/>
  <c r="L818" i="6"/>
  <c r="L420" i="6"/>
  <c r="L810" i="6"/>
  <c r="L998" i="6"/>
  <c r="L377" i="6"/>
  <c r="L320" i="6"/>
  <c r="L403" i="6"/>
  <c r="L641" i="6"/>
  <c r="L988" i="6"/>
  <c r="L406" i="6"/>
  <c r="L622" i="6"/>
  <c r="L1038" i="6"/>
  <c r="L953" i="6"/>
  <c r="L468" i="6"/>
  <c r="L716" i="6"/>
  <c r="L670" i="6"/>
  <c r="L860" i="6"/>
  <c r="L541" i="6"/>
  <c r="L311" i="6"/>
  <c r="L962" i="6"/>
  <c r="L344" i="6"/>
  <c r="L437" i="6"/>
  <c r="L496" i="6"/>
  <c r="L1000" i="6"/>
  <c r="L937" i="6"/>
  <c r="L594" i="6"/>
  <c r="L331" i="6"/>
  <c r="L655" i="6"/>
  <c r="L734" i="6"/>
  <c r="L720" i="6"/>
  <c r="L978" i="6"/>
  <c r="L348" i="6"/>
  <c r="L676" i="6"/>
  <c r="L404" i="6"/>
  <c r="L922" i="6"/>
  <c r="L672" i="6"/>
  <c r="L759" i="6"/>
  <c r="L872" i="6"/>
  <c r="L690" i="6"/>
  <c r="L732" i="6"/>
  <c r="L510" i="6"/>
  <c r="L776" i="6"/>
  <c r="L936" i="6"/>
  <c r="L648" i="6"/>
  <c r="L330" i="6"/>
  <c r="L888" i="6"/>
  <c r="L333" i="6"/>
  <c r="L880" i="6"/>
  <c r="L735" i="6"/>
  <c r="L999" i="6"/>
  <c r="L809" i="6"/>
  <c r="L604" i="6"/>
  <c r="L1009" i="6"/>
  <c r="L637" i="6"/>
  <c r="L741" i="6"/>
  <c r="L520" i="6"/>
  <c r="L710" i="6"/>
  <c r="L814" i="6"/>
  <c r="L321" i="6"/>
  <c r="L813" i="6"/>
  <c r="L495" i="6"/>
  <c r="L737" i="6"/>
  <c r="L950" i="6"/>
  <c r="L666" i="6"/>
  <c r="L493" i="6"/>
  <c r="L1022" i="6"/>
  <c r="L624" i="6"/>
  <c r="L722" i="6"/>
  <c r="L538" i="6"/>
  <c r="L461" i="6"/>
  <c r="L638" i="6"/>
  <c r="L303" i="6"/>
  <c r="L640" i="6"/>
  <c r="L663" i="6"/>
  <c r="L370" i="6"/>
  <c r="L586" i="6"/>
  <c r="L754" i="6"/>
  <c r="L634" i="6"/>
  <c r="L519" i="6"/>
  <c r="L760" i="6"/>
  <c r="L1017" i="6"/>
  <c r="L372" i="6"/>
  <c r="L975" i="6"/>
  <c r="L866" i="6"/>
  <c r="L755" i="6"/>
  <c r="L985" i="6"/>
  <c r="L758" i="6"/>
  <c r="L806" i="6"/>
  <c r="L669" i="6"/>
  <c r="L898" i="6"/>
  <c r="L454" i="6"/>
  <c r="L811" i="6"/>
  <c r="L325" i="6"/>
  <c r="L614" i="6"/>
  <c r="L699" i="6"/>
  <c r="L804" i="6"/>
  <c r="L533" i="6"/>
  <c r="L894" i="6"/>
  <c r="L682" i="6"/>
  <c r="L848" i="6"/>
  <c r="L438" i="6"/>
  <c r="L644" i="6"/>
  <c r="L507" i="6"/>
  <c r="L662" i="6"/>
  <c r="L405" i="6"/>
  <c r="L779" i="6"/>
  <c r="L361" i="6"/>
  <c r="L505" i="6"/>
  <c r="L422" i="6"/>
  <c r="L839" i="6"/>
  <c r="L786" i="6"/>
  <c r="L816" i="6"/>
  <c r="L443" i="6"/>
  <c r="L546" i="6"/>
  <c r="L555" i="6"/>
  <c r="L290" i="6"/>
  <c r="L700" i="6"/>
  <c r="L730" i="6"/>
  <c r="L753" i="6"/>
  <c r="L726" i="6"/>
  <c r="L870" i="6"/>
  <c r="L1042" i="6"/>
  <c r="L854" i="6"/>
  <c r="L1035" i="6"/>
  <c r="L1003" i="6"/>
  <c r="L747" i="6"/>
  <c r="L689" i="6"/>
  <c r="L705" i="6"/>
  <c r="L980" i="6"/>
  <c r="L1034" i="6"/>
  <c r="L1037" i="6"/>
  <c r="L859" i="6"/>
  <c r="L1014" i="6"/>
  <c r="L718" i="6"/>
  <c r="L794" i="6"/>
  <c r="L767" i="6"/>
  <c r="L1023" i="6"/>
  <c r="L313" i="6"/>
  <c r="L412" i="6"/>
  <c r="L769" i="6"/>
  <c r="L608" i="6"/>
  <c r="L326" i="6"/>
  <c r="L362" i="6"/>
  <c r="L828" i="6"/>
  <c r="L787" i="6"/>
  <c r="L834" i="6"/>
  <c r="L357" i="6"/>
  <c r="L356" i="6"/>
  <c r="L609" i="6"/>
  <c r="L367" i="6"/>
  <c r="L895" i="6"/>
  <c r="L808" i="6"/>
  <c r="L526" i="6"/>
  <c r="L337" i="6"/>
  <c r="L708" i="6"/>
  <c r="L719" i="6"/>
  <c r="L312" i="6"/>
  <c r="L504" i="6"/>
  <c r="L815" i="6"/>
  <c r="L416" i="6"/>
  <c r="L882" i="6"/>
  <c r="L536" i="6"/>
  <c r="L724" i="6"/>
  <c r="L424" i="6"/>
  <c r="L488" i="6"/>
  <c r="L277" i="6"/>
  <c r="L426" i="6"/>
  <c r="L352" i="6"/>
  <c r="L1032" i="6"/>
  <c r="L845" i="6"/>
  <c r="L1029" i="6"/>
  <c r="L995" i="6"/>
  <c r="L369" i="6"/>
  <c r="L590" i="6"/>
  <c r="L294" i="6"/>
  <c r="L1006" i="6"/>
  <c r="L1045" i="6"/>
  <c r="L629" i="6"/>
  <c r="L269" i="6"/>
  <c r="L283" i="6"/>
  <c r="L396" i="6"/>
  <c r="L686" i="6"/>
  <c r="L364" i="6"/>
  <c r="L551" i="6"/>
  <c r="L522" i="6"/>
  <c r="L680" i="6"/>
  <c r="L979" i="6"/>
  <c r="L349" i="6"/>
  <c r="L425" i="6"/>
  <c r="L534" i="6"/>
  <c r="L417" i="6"/>
  <c r="L467" i="6"/>
  <c r="L559" i="6"/>
  <c r="L911" i="6"/>
  <c r="L915" i="6"/>
  <c r="L948" i="6"/>
  <c r="L958" i="6"/>
  <c r="L323" i="6"/>
  <c r="L805" i="6"/>
  <c r="L353" i="6"/>
  <c r="L402" i="6"/>
  <c r="L858" i="6"/>
  <c r="L935" i="6"/>
  <c r="L884" i="6"/>
  <c r="L432" i="6"/>
  <c r="L319" i="6"/>
  <c r="L642" i="6"/>
  <c r="L740" i="6"/>
  <c r="L1036" i="6"/>
  <c r="L462" i="6"/>
  <c r="L329" i="6"/>
  <c r="L535" i="6"/>
  <c r="L687" i="6"/>
  <c r="L1013" i="6"/>
  <c r="L1004" i="6"/>
  <c r="L552" i="6"/>
  <c r="L850" i="6"/>
  <c r="L564" i="6"/>
  <c r="L392" i="6"/>
  <c r="L400" i="6"/>
  <c r="L388" i="6"/>
  <c r="L360" i="6"/>
  <c r="L885" i="6"/>
  <c r="L874" i="6"/>
  <c r="L502" i="6"/>
  <c r="L531" i="6"/>
  <c r="L418" i="6"/>
  <c r="L562" i="6"/>
  <c r="L825" i="6"/>
  <c r="L363" i="6"/>
  <c r="L508" i="6"/>
  <c r="L397" i="6"/>
  <c r="L967" i="6"/>
  <c r="L481" i="6"/>
  <c r="L778" i="6"/>
  <c r="L585" i="6"/>
  <c r="L387" i="6"/>
  <c r="L1033" i="6"/>
  <c r="L584" i="6"/>
  <c r="L807" i="6"/>
  <c r="L764" i="6"/>
  <c r="L529" i="6"/>
  <c r="L618" i="6"/>
  <c r="L1010" i="6"/>
  <c r="L613" i="6"/>
  <c r="L560" i="6"/>
  <c r="L658" i="6"/>
  <c r="L276" i="6"/>
  <c r="L324" i="6"/>
  <c r="L946" i="6"/>
  <c r="L588" i="6"/>
  <c r="L368" i="6"/>
  <c r="L984" i="6"/>
  <c r="L931" i="6"/>
  <c r="L1011" i="6"/>
  <c r="L743" i="6"/>
  <c r="L691" i="6"/>
  <c r="L284" i="6"/>
  <c r="L653" i="6"/>
  <c r="L688" i="6"/>
  <c r="L861" i="6"/>
  <c r="L996" i="6"/>
  <c r="L513" i="6"/>
  <c r="L322" i="6"/>
  <c r="L1025" i="6"/>
  <c r="L835" i="6"/>
  <c r="L675" i="6"/>
  <c r="L853" i="6"/>
  <c r="L567" i="6"/>
  <c r="L674" i="6"/>
  <c r="L664" i="6"/>
  <c r="L390" i="6"/>
  <c r="L744" i="6"/>
  <c r="L869" i="6"/>
  <c r="L300" i="6"/>
  <c r="L796" i="6"/>
  <c r="L713" i="6"/>
  <c r="L401" i="6"/>
  <c r="L511" i="6"/>
  <c r="L868" i="6"/>
  <c r="L394" i="6"/>
  <c r="L698" i="6"/>
  <c r="L556" i="6"/>
  <c r="L733" i="6"/>
  <c r="L440" i="6"/>
  <c r="L970" i="6"/>
  <c r="L596" i="6"/>
  <c r="L577" i="6"/>
  <c r="L346" i="6"/>
  <c r="L444" i="6"/>
  <c r="L279" i="6"/>
  <c r="L611" i="6"/>
  <c r="L981" i="6"/>
  <c r="L879" i="6"/>
  <c r="L288" i="6"/>
  <c r="L395" i="6"/>
  <c r="L561" i="6"/>
  <c r="L890" i="6"/>
  <c r="L903" i="6"/>
  <c r="L751" i="6"/>
  <c r="L603" i="6"/>
  <c r="L763" i="6"/>
  <c r="L965" i="6"/>
  <c r="L625" i="6"/>
  <c r="L427" i="6"/>
  <c r="L595" i="6"/>
  <c r="L964" i="6"/>
  <c r="L429" i="6"/>
  <c r="L483" i="6"/>
  <c r="L450" i="6"/>
  <c r="L286" i="6"/>
  <c r="L914" i="6"/>
  <c r="L373" i="6"/>
  <c r="L291" i="6"/>
  <c r="L572" i="6"/>
  <c r="L503" i="6"/>
  <c r="L341" i="6"/>
  <c r="L736" i="6"/>
  <c r="L1040" i="6"/>
  <c r="L792" i="6"/>
  <c r="L784" i="6"/>
  <c r="L607" i="6"/>
  <c r="L1024" i="6"/>
  <c r="L316" i="6"/>
  <c r="L656" i="6"/>
  <c r="L557" i="6"/>
  <c r="L553" i="6"/>
  <c r="L477" i="6"/>
  <c r="L480" i="6"/>
  <c r="L489" i="6"/>
  <c r="L715" i="6"/>
  <c r="L692" i="6"/>
  <c r="L379" i="6"/>
  <c r="L849" i="6"/>
  <c r="L738" i="6"/>
  <c r="L993" i="6"/>
  <c r="L335" i="6"/>
  <c r="L955" i="6"/>
  <c r="L987" i="6"/>
  <c r="L302" i="6"/>
  <c r="L298" i="6"/>
  <c r="L479" i="6"/>
  <c r="L521" i="6"/>
  <c r="L490" i="6"/>
  <c r="L310" i="6"/>
  <c r="L540" i="6"/>
  <c r="L575" i="6"/>
  <c r="L435" i="6"/>
  <c r="L851" i="6"/>
  <c r="L752" i="6"/>
  <c r="L285" i="6"/>
  <c r="L677" i="6"/>
  <c r="L583" i="6"/>
  <c r="L399" i="6"/>
  <c r="L445" i="6"/>
  <c r="L449" i="6"/>
  <c r="L576" i="6"/>
  <c r="L657" i="6"/>
  <c r="L877" i="6"/>
  <c r="L528" i="6"/>
  <c r="L766" i="6"/>
  <c r="L793" i="6"/>
  <c r="L837" i="6"/>
  <c r="L626" i="6"/>
  <c r="L917" i="6"/>
  <c r="L439" i="6"/>
  <c r="L887" i="6"/>
  <c r="L727" i="6"/>
  <c r="L334" i="6"/>
  <c r="L1012" i="6"/>
  <c r="L873" i="6"/>
  <c r="L961" i="6"/>
  <c r="L1048" i="6"/>
  <c r="L579" i="6"/>
  <c r="L342" i="6"/>
  <c r="L499" i="6"/>
  <c r="L1026" i="6"/>
  <c r="L790" i="6"/>
  <c r="L910" i="6"/>
  <c r="L619" i="6"/>
  <c r="L765" i="6"/>
  <c r="L500" i="6"/>
  <c r="L904" i="6"/>
  <c r="L896" i="6"/>
  <c r="L668" i="6"/>
  <c r="L729" i="6"/>
  <c r="L317" i="6"/>
  <c r="L651" i="6"/>
  <c r="L308" i="6"/>
  <c r="L795" i="6"/>
  <c r="L843" i="6"/>
  <c r="L537" i="6"/>
  <c r="L314" i="6"/>
  <c r="L391" i="6"/>
  <c r="L524" i="6"/>
  <c r="L647" i="6"/>
  <c r="L386" i="6"/>
  <c r="L497" i="6"/>
  <c r="L864" i="6"/>
  <c r="L569" i="6"/>
  <c r="L773" i="6"/>
  <c r="L768" i="6"/>
  <c r="L820" i="6"/>
  <c r="L901" i="6"/>
  <c r="L757" i="6"/>
  <c r="L968" i="6"/>
  <c r="L287" i="6"/>
  <c r="L365" i="6"/>
  <c r="L484" i="6"/>
  <c r="L703" i="6"/>
  <c r="L782" i="6"/>
  <c r="L841" i="6"/>
  <c r="L389" i="6"/>
  <c r="L997" i="6"/>
  <c r="L865" i="6"/>
  <c r="L1028" i="6"/>
  <c r="L587" i="6"/>
  <c r="L350" i="6"/>
  <c r="L925" i="6"/>
  <c r="L472" i="6"/>
  <c r="L593" i="6"/>
  <c r="L1021" i="6"/>
  <c r="L940" i="6"/>
  <c r="L433" i="6"/>
  <c r="L791" i="6"/>
  <c r="L617" i="6"/>
  <c r="L383" i="6"/>
  <c r="L1043" i="6"/>
  <c r="L411" i="6"/>
  <c r="L442" i="6"/>
  <c r="L856" i="6"/>
  <c r="L460" i="6"/>
  <c r="L822" i="6"/>
  <c r="L408" i="6"/>
  <c r="L478" i="6"/>
  <c r="L788" i="6"/>
  <c r="L589" i="6"/>
  <c r="L307" i="6"/>
  <c r="L920" i="6"/>
  <c r="L924" i="6"/>
  <c r="L696" i="6"/>
  <c r="L514" i="6"/>
  <c r="L840" i="6"/>
  <c r="L863" i="6"/>
  <c r="L831" i="6"/>
  <c r="L695" i="6"/>
  <c r="L516" i="6"/>
  <c r="L630" i="6"/>
  <c r="L949" i="6"/>
  <c r="L633" i="6"/>
  <c r="L857" i="6"/>
  <c r="L309" i="6"/>
  <c r="L581" i="6"/>
  <c r="L616" i="6"/>
  <c r="L1001" i="6"/>
  <c r="L456" i="6"/>
  <c r="L466" i="6"/>
  <c r="L600" i="6"/>
  <c r="L800" i="6"/>
  <c r="L1008" i="6"/>
  <c r="L473" i="6"/>
  <c r="L829" i="6"/>
  <c r="L927" i="6"/>
  <c r="L328" i="6"/>
  <c r="L683" i="6"/>
  <c r="L530" i="6"/>
  <c r="L941" i="6"/>
  <c r="L906" i="6"/>
  <c r="L1018" i="6"/>
  <c r="L1015" i="6"/>
  <c r="L485" i="6"/>
  <c r="L878" i="6"/>
  <c r="L475" i="6"/>
  <c r="L550" i="6"/>
  <c r="L281" i="6"/>
  <c r="L301" i="6"/>
  <c r="L959" i="6"/>
  <c r="L566" i="6"/>
  <c r="L707" i="6"/>
  <c r="L812" i="6"/>
  <c r="L487" i="6"/>
  <c r="L930" i="6"/>
  <c r="L991" i="6"/>
  <c r="L802" i="6"/>
  <c r="L457" i="6"/>
  <c r="L847" i="6"/>
  <c r="L436" i="6"/>
  <c r="L876" i="6"/>
  <c r="L570" i="6"/>
  <c r="L476" i="6"/>
  <c r="L777" i="6"/>
  <c r="L525" i="6"/>
  <c r="L315" i="6"/>
  <c r="L621" i="6"/>
  <c r="L916" i="6"/>
  <c r="L465" i="6"/>
  <c r="L1002" i="6"/>
  <c r="L582" i="6"/>
  <c r="L799" i="6"/>
  <c r="L938" i="6"/>
  <c r="L907" i="6"/>
  <c r="L289" i="6"/>
  <c r="L639" i="6"/>
  <c r="L952" i="6"/>
  <c r="L631" i="6"/>
  <c r="L1049" i="6"/>
  <c r="L447" i="6"/>
  <c r="L297" i="6"/>
  <c r="L601" i="6"/>
  <c r="L574" i="6"/>
  <c r="L725" i="6"/>
  <c r="L591" i="6"/>
  <c r="L867" i="6"/>
  <c r="L280" i="6"/>
  <c r="L973" i="6"/>
  <c r="L455" i="6"/>
  <c r="L994" i="6"/>
  <c r="L899" i="6"/>
  <c r="L702" i="6"/>
  <c r="L628" i="6"/>
  <c r="L463" i="6"/>
  <c r="L681" i="6"/>
  <c r="L649" i="6"/>
  <c r="L345" i="6"/>
  <c r="L762" i="6"/>
  <c r="L661" i="6"/>
  <c r="L770" i="6"/>
  <c r="L421" i="6"/>
  <c r="L761" i="6"/>
  <c r="L823" i="6"/>
  <c r="L992" i="6"/>
  <c r="L347" i="6"/>
  <c r="L548" i="6"/>
  <c r="L512" i="6"/>
  <c r="L610" i="6"/>
  <c r="L474" i="6"/>
  <c r="L573" i="6"/>
  <c r="L947" i="6"/>
  <c r="L1016" i="6"/>
  <c r="L711" i="6"/>
  <c r="L632" i="6"/>
  <c r="L393" i="6"/>
  <c r="L660" i="6"/>
  <c r="L756" i="6"/>
  <c r="L846" i="6"/>
  <c r="L332" i="6"/>
  <c r="L659" i="6"/>
  <c r="L354" i="6"/>
  <c r="L772" i="6"/>
  <c r="L384" i="6"/>
  <c r="L943" i="6"/>
  <c r="L272" i="6"/>
  <c r="L928" i="6"/>
  <c r="L292" i="6"/>
  <c r="L414" i="6"/>
  <c r="L545" i="6"/>
  <c r="L871" i="6"/>
  <c r="L821" i="6"/>
  <c r="L652" i="6"/>
  <c r="L780" i="6"/>
  <c r="L926" i="6"/>
  <c r="L509" i="6"/>
  <c r="L527" i="6"/>
  <c r="L453" i="6"/>
  <c r="L875" i="6"/>
  <c r="L423" i="6"/>
  <c r="L921" i="6"/>
  <c r="L410" i="6"/>
  <c r="L515" i="6"/>
  <c r="L539" i="6"/>
  <c r="L717" i="6"/>
  <c r="L340" i="6"/>
  <c r="L832" i="6"/>
  <c r="L697" i="6"/>
  <c r="L701" i="6"/>
  <c r="L671" i="6"/>
  <c r="L983" i="6"/>
  <c r="L339" i="6"/>
  <c r="L385" i="6"/>
  <c r="L409" i="6"/>
  <c r="L568" i="6"/>
  <c r="L897" i="6"/>
  <c r="L827" i="6"/>
  <c r="L918" i="6"/>
  <c r="L745" i="6"/>
  <c r="L919" i="6"/>
  <c r="L359" i="6"/>
  <c r="L441" i="6"/>
  <c r="L862" i="6"/>
  <c r="L371" i="6"/>
  <c r="L976" i="6"/>
  <c r="L627" i="6"/>
  <c r="L704" i="6"/>
  <c r="L933" i="6"/>
  <c r="L989" i="6"/>
  <c r="L789" i="6"/>
  <c r="L944" i="6"/>
  <c r="L723" i="6"/>
  <c r="L318" i="6"/>
  <c r="L650" i="6"/>
  <c r="L893" i="6"/>
  <c r="L643" i="6"/>
  <c r="L580" i="6"/>
  <c r="L748" i="6"/>
  <c r="L974" i="6"/>
  <c r="L749" i="6"/>
  <c r="L909" i="6"/>
  <c r="L446" i="6"/>
  <c r="L836" i="6"/>
  <c r="L797" i="6"/>
  <c r="L542" i="6"/>
  <c r="L299" i="6"/>
  <c r="L781" i="6"/>
  <c r="L714" i="6"/>
  <c r="L684" i="6"/>
  <c r="L543" i="6"/>
  <c r="L549" i="6"/>
  <c r="L908" i="6"/>
  <c r="L293" i="6"/>
  <c r="L458" i="6"/>
  <c r="L571" i="6"/>
  <c r="L398" i="6"/>
  <c r="L343" i="6"/>
  <c r="L739" i="6"/>
  <c r="L599" i="6"/>
  <c r="L824" i="6"/>
  <c r="L678" i="6"/>
  <c r="L635" i="6"/>
  <c r="L693" i="6"/>
  <c r="L667" i="6"/>
  <c r="L826" i="6"/>
  <c r="L451" i="6"/>
  <c r="L623" i="6"/>
  <c r="L905" i="6"/>
  <c r="L665" i="6"/>
  <c r="L523" i="6"/>
  <c r="L620" i="6"/>
  <c r="L278" i="6"/>
  <c r="L518" i="6"/>
  <c r="L544" i="6"/>
  <c r="L282" i="6"/>
  <c r="L271" i="6"/>
  <c r="L464" i="6"/>
  <c r="L945" i="6"/>
  <c r="L430" i="6"/>
  <c r="L685" i="6"/>
  <c r="L274" i="6"/>
  <c r="L547" i="6"/>
  <c r="L963" i="6"/>
  <c r="L381" i="6"/>
  <c r="L501" i="6"/>
  <c r="L1007" i="6"/>
  <c r="L419" i="6"/>
  <c r="L452" i="6"/>
  <c r="L883" i="6"/>
  <c r="L554" i="6"/>
  <c r="L942" i="6"/>
  <c r="L374" i="6"/>
  <c r="L966" i="6"/>
  <c r="L305" i="6"/>
  <c r="L1005" i="6"/>
  <c r="L336" i="6"/>
  <c r="L428" i="6"/>
  <c r="L819" i="6"/>
  <c r="L415" i="6"/>
  <c r="L275" i="6"/>
  <c r="L482" i="6"/>
  <c r="L491" i="6"/>
  <c r="L912" i="6"/>
  <c r="L990" i="6"/>
  <c r="L378" i="6"/>
  <c r="L1027" i="6"/>
  <c r="L746" i="6"/>
  <c r="L470" i="6"/>
  <c r="L494" i="6"/>
  <c r="L986" i="6"/>
  <c r="L486" i="6"/>
  <c r="L612" i="6"/>
  <c r="L506" i="6"/>
  <c r="L889" i="6"/>
  <c r="L407" i="6"/>
  <c r="L932" i="6"/>
  <c r="L1020" i="6"/>
  <c r="L380" i="6"/>
  <c r="L969" i="6"/>
  <c r="L951" i="6"/>
  <c r="L366" i="6"/>
  <c r="L306" i="6"/>
  <c r="L382" i="6"/>
  <c r="L855" i="6"/>
  <c r="L565" i="6"/>
  <c r="L563" i="6"/>
  <c r="L803" i="6"/>
  <c r="L972" i="6"/>
  <c r="L295" i="6"/>
  <c r="L605" i="6"/>
  <c r="L891" i="6"/>
  <c r="L413" i="6"/>
  <c r="L956" i="6"/>
  <c r="L636" i="6"/>
  <c r="L842" i="6"/>
  <c r="L338" i="6"/>
  <c r="L783" i="6"/>
  <c r="L712" i="6"/>
  <c r="L913" i="6"/>
  <c r="L817" i="6"/>
  <c r="L1039" i="6"/>
  <c r="L1046" i="6"/>
  <c r="L597" i="6"/>
  <c r="L731" i="6"/>
  <c r="L1044" i="6"/>
  <c r="L801" i="6"/>
  <c r="L902" i="6"/>
  <c r="L939" i="6"/>
  <c r="L241" i="6"/>
  <c r="O241" i="6" s="1"/>
  <c r="L742" i="6"/>
  <c r="L694" i="6"/>
  <c r="L774" i="6"/>
  <c r="L838" i="6"/>
  <c r="L721" i="6"/>
  <c r="L1019" i="6"/>
  <c r="L886" i="6"/>
  <c r="L977" i="6"/>
  <c r="L923" i="6"/>
  <c r="L971" i="6"/>
  <c r="L785" i="6"/>
  <c r="L598" i="6"/>
  <c r="L881" i="6"/>
  <c r="L1041" i="6"/>
  <c r="L833" i="6"/>
  <c r="L934" i="6"/>
  <c r="L929" i="6"/>
  <c r="L673" i="6"/>
  <c r="L327" i="6"/>
  <c r="L646" i="6"/>
  <c r="L1030" i="6"/>
  <c r="L982" i="6"/>
  <c r="M735" i="6"/>
  <c r="M467" i="6"/>
  <c r="M835" i="6"/>
  <c r="M334" i="6"/>
  <c r="M658" i="6"/>
  <c r="M914" i="6"/>
  <c r="M744" i="6"/>
  <c r="M523" i="6"/>
  <c r="M786" i="6"/>
  <c r="M453" i="6"/>
  <c r="M934" i="6"/>
  <c r="M791" i="6"/>
  <c r="M1010" i="6"/>
  <c r="M666" i="6"/>
  <c r="M387" i="6"/>
  <c r="M587" i="6"/>
  <c r="M360" i="6"/>
  <c r="M400" i="6"/>
  <c r="M974" i="6"/>
  <c r="M579" i="6"/>
  <c r="M996" i="6"/>
  <c r="M551" i="6"/>
  <c r="M706" i="6"/>
  <c r="M1003" i="6"/>
  <c r="M820" i="6"/>
  <c r="M493" i="6"/>
  <c r="M1016" i="6"/>
  <c r="M615" i="6"/>
  <c r="M752" i="6"/>
  <c r="M520" i="6"/>
  <c r="M411" i="6"/>
  <c r="M882" i="6"/>
  <c r="M357" i="6"/>
  <c r="M718" i="6"/>
  <c r="M775" i="6"/>
  <c r="M763" i="6"/>
  <c r="M415" i="6"/>
  <c r="M844" i="6"/>
  <c r="M758" i="6"/>
  <c r="M645" i="6"/>
  <c r="M1046" i="6"/>
  <c r="M425" i="6"/>
  <c r="M446" i="6"/>
  <c r="M586" i="6"/>
  <c r="M424" i="6"/>
  <c r="M349" i="6"/>
  <c r="M422" i="6"/>
  <c r="M1037" i="6"/>
  <c r="M398" i="6"/>
  <c r="M806" i="6"/>
  <c r="M347" i="6"/>
  <c r="M789" i="6"/>
  <c r="M1047" i="6"/>
  <c r="M970" i="6"/>
  <c r="M716" i="6"/>
  <c r="M1042" i="6"/>
  <c r="M535" i="6"/>
  <c r="M1033" i="6"/>
  <c r="M705" i="6"/>
  <c r="M843" i="6"/>
  <c r="M512" i="6"/>
  <c r="M484" i="6"/>
  <c r="M783" i="6"/>
  <c r="M572" i="6"/>
  <c r="M985" i="6"/>
  <c r="M950" i="6"/>
  <c r="M659" i="6"/>
  <c r="M946" i="6"/>
  <c r="M839" i="6"/>
  <c r="M564" i="6"/>
  <c r="M968" i="6"/>
  <c r="M416" i="6"/>
  <c r="M454" i="6"/>
  <c r="M612" i="6"/>
  <c r="M1012" i="6"/>
  <c r="M403" i="6"/>
  <c r="M626" i="6"/>
  <c r="M1035" i="6"/>
  <c r="M746" i="6"/>
  <c r="M359" i="6"/>
  <c r="M702" i="6"/>
  <c r="M944" i="6"/>
  <c r="M826" i="6"/>
  <c r="M816" i="6"/>
  <c r="M781" i="6"/>
  <c r="M1028" i="6"/>
  <c r="M832" i="6"/>
  <c r="M966" i="6"/>
  <c r="M408" i="6"/>
  <c r="M477" i="6"/>
  <c r="M780" i="6"/>
  <c r="M673" i="6"/>
  <c r="M395" i="6"/>
  <c r="M468" i="6"/>
  <c r="M448" i="6"/>
  <c r="M556" i="6"/>
  <c r="M825" i="6"/>
  <c r="M817" i="6"/>
  <c r="M754" i="6"/>
  <c r="M1040" i="6"/>
  <c r="M857" i="6"/>
  <c r="M394" i="6"/>
  <c r="M823" i="6"/>
  <c r="M672" i="6"/>
  <c r="M561" i="6"/>
  <c r="M694" i="6"/>
  <c r="M939" i="6"/>
  <c r="M343" i="6"/>
  <c r="M529" i="6"/>
  <c r="M863" i="6"/>
  <c r="M619" i="6"/>
  <c r="M531" i="6"/>
  <c r="M618" i="6"/>
  <c r="M725" i="6"/>
  <c r="M683" i="6"/>
  <c r="M431" i="6"/>
  <c r="M662" i="6"/>
  <c r="M542" i="6"/>
  <c r="M772" i="6"/>
  <c r="M419" i="6"/>
  <c r="M534" i="6"/>
  <c r="M881" i="6"/>
  <c r="M928" i="6"/>
  <c r="M352" i="6"/>
  <c r="M460" i="6"/>
  <c r="M335" i="6"/>
  <c r="M701" i="6"/>
  <c r="M308" i="6"/>
  <c r="M643" i="6"/>
  <c r="M664" i="6"/>
  <c r="M896" i="6"/>
  <c r="M685" i="6"/>
  <c r="M435" i="6"/>
  <c r="M532" i="6"/>
  <c r="M595" i="6"/>
  <c r="M932" i="6"/>
  <c r="M318" i="6"/>
  <c r="M303" i="6"/>
  <c r="M750" i="6"/>
  <c r="M421" i="6"/>
  <c r="M923" i="6"/>
  <c r="M692" i="6"/>
  <c r="M439" i="6"/>
  <c r="M1032" i="6"/>
  <c r="M769" i="6"/>
  <c r="M736" i="6"/>
  <c r="M365" i="6"/>
  <c r="M471" i="6"/>
  <c r="M657" i="6"/>
  <c r="M426" i="6"/>
  <c r="M777" i="6"/>
  <c r="M684" i="6"/>
  <c r="M482" i="6"/>
  <c r="M745" i="6"/>
  <c r="M503" i="6"/>
  <c r="M631" i="6"/>
  <c r="M1023" i="6"/>
  <c r="M747" i="6"/>
  <c r="M642" i="6"/>
  <c r="M516" i="6"/>
  <c r="M669" i="6"/>
  <c r="M1026" i="6"/>
  <c r="M555" i="6"/>
  <c r="M479" i="6"/>
  <c r="M1015" i="6"/>
  <c r="M404" i="6"/>
  <c r="M767" i="6"/>
  <c r="M987" i="6"/>
  <c r="M938" i="6"/>
  <c r="M653" i="6"/>
  <c r="M893" i="6"/>
  <c r="M637" i="6"/>
  <c r="M1000" i="6"/>
  <c r="M1019" i="6"/>
  <c r="M700" i="6"/>
  <c r="M301" i="6"/>
  <c r="M406" i="6"/>
  <c r="M811" i="6"/>
  <c r="M679" i="6"/>
  <c r="M442" i="6"/>
  <c r="M894" i="6"/>
  <c r="M925" i="6"/>
  <c r="M886" i="6"/>
  <c r="M821" i="6"/>
  <c r="M696" i="6"/>
  <c r="M473" i="6"/>
  <c r="M911" i="6"/>
  <c r="M941" i="6"/>
  <c r="M338" i="6"/>
  <c r="M953" i="6"/>
  <c r="M784" i="6"/>
  <c r="M451" i="6"/>
  <c r="M402" i="6"/>
  <c r="M570" i="6"/>
  <c r="M434" i="6"/>
  <c r="M855" i="6"/>
  <c r="M538" i="6"/>
  <c r="M409" i="6"/>
  <c r="M708" i="6"/>
  <c r="M518" i="6"/>
  <c r="M554" i="6"/>
  <c r="M307" i="6"/>
  <c r="M443" i="6"/>
  <c r="M674" i="6"/>
  <c r="M959" i="6"/>
  <c r="M571" i="6"/>
  <c r="M1021" i="6"/>
  <c r="M605" i="6"/>
  <c r="M890" i="6"/>
  <c r="M853" i="6"/>
  <c r="M759" i="6"/>
  <c r="M836" i="6"/>
  <c r="M762" i="6"/>
  <c r="M351" i="6"/>
  <c r="M875" i="6"/>
  <c r="M989" i="6"/>
  <c r="M536" i="6"/>
  <c r="M971" i="6"/>
  <c r="M709" i="6"/>
  <c r="M854" i="6"/>
  <c r="M1007" i="6"/>
  <c r="M728" i="6"/>
  <c r="M738" i="6"/>
  <c r="M578" i="6"/>
  <c r="M640" i="6"/>
  <c r="M370" i="6"/>
  <c r="M545" i="6"/>
  <c r="M562" i="6"/>
  <c r="M873" i="6"/>
  <c r="M774" i="6"/>
  <c r="M378" i="6"/>
  <c r="M594" i="6"/>
  <c r="M432" i="6"/>
  <c r="M552" i="6"/>
  <c r="M543" i="6"/>
  <c r="M345" i="6"/>
  <c r="M957" i="6"/>
  <c r="M492" i="6"/>
  <c r="M459" i="6"/>
  <c r="M980" i="6"/>
  <c r="M831" i="6"/>
  <c r="M809" i="6"/>
  <c r="M833" i="6"/>
  <c r="M887" i="6"/>
  <c r="M504" i="6"/>
  <c r="M838" i="6"/>
  <c r="M670" i="6"/>
  <c r="M779" i="6"/>
  <c r="M599" i="6"/>
  <c r="M650" i="6"/>
  <c r="M470" i="6"/>
  <c r="M1039" i="6"/>
  <c r="M476" i="6"/>
  <c r="M622" i="6"/>
  <c r="M563" i="6"/>
  <c r="M514" i="6"/>
  <c r="M922" i="6"/>
  <c r="M865" i="6"/>
  <c r="M689" i="6"/>
  <c r="M847" i="6"/>
  <c r="M488" i="6"/>
  <c r="M397" i="6"/>
  <c r="M794" i="6"/>
  <c r="M748" i="6"/>
  <c r="M697" i="6"/>
  <c r="M511" i="6"/>
  <c r="M376" i="6"/>
  <c r="M814" i="6"/>
  <c r="M675" i="6"/>
  <c r="M465" i="6"/>
  <c r="M1048" i="6"/>
  <c r="M921" i="6"/>
  <c r="M704" i="6"/>
  <c r="M496" i="6"/>
  <c r="M660" i="6"/>
  <c r="M528" i="6"/>
  <c r="M879" i="6"/>
  <c r="M639" i="6"/>
  <c r="M412" i="6"/>
  <c r="M1024" i="6"/>
  <c r="M733" i="6"/>
  <c r="M782" i="6"/>
  <c r="M480" i="6"/>
  <c r="M652" i="6"/>
  <c r="M344" i="6"/>
  <c r="M812" i="6"/>
  <c r="M539" i="6"/>
  <c r="M1027" i="6"/>
  <c r="M858" i="6"/>
  <c r="M977" i="6"/>
  <c r="M933" i="6"/>
  <c r="M956" i="6"/>
  <c r="M573" i="6"/>
  <c r="M703" i="6"/>
  <c r="M582" i="6"/>
  <c r="M756" i="6"/>
  <c r="M741" i="6"/>
  <c r="M834" i="6"/>
  <c r="M296" i="6"/>
  <c r="M866" i="6"/>
  <c r="M926" i="6"/>
  <c r="M381" i="6"/>
  <c r="M361" i="6"/>
  <c r="M768" i="6"/>
  <c r="M908" i="6"/>
  <c r="M906" i="6"/>
  <c r="M548" i="6"/>
  <c r="M963" i="6"/>
  <c r="M356" i="6"/>
  <c r="M715" i="6"/>
  <c r="M945" i="6"/>
  <c r="M633" i="6"/>
  <c r="M993" i="6"/>
  <c r="M485" i="6"/>
  <c r="M270" i="6"/>
  <c r="M760" i="6"/>
  <c r="M331" i="6"/>
  <c r="M475" i="6"/>
  <c r="M824" i="6"/>
  <c r="M306" i="6"/>
  <c r="M740" i="6"/>
  <c r="M792" i="6"/>
  <c r="M377" i="6"/>
  <c r="M319" i="6"/>
  <c r="M862" i="6"/>
  <c r="M808" i="6"/>
  <c r="M478" i="6"/>
  <c r="M909" i="6"/>
  <c r="M1018" i="6"/>
  <c r="M1017" i="6"/>
  <c r="M649" i="6"/>
  <c r="M284" i="6"/>
  <c r="M742" i="6"/>
  <c r="M508" i="6"/>
  <c r="M546" i="6"/>
  <c r="M874" i="6"/>
  <c r="M510" i="6"/>
  <c r="M273" i="6"/>
  <c r="M973" i="6"/>
  <c r="M420" i="6"/>
  <c r="M654" i="6"/>
  <c r="M449" i="6"/>
  <c r="M707" i="6"/>
  <c r="M677" i="6"/>
  <c r="M452" i="6"/>
  <c r="M383" i="6"/>
  <c r="M682" i="6"/>
  <c r="M371" i="6"/>
  <c r="M671" i="6"/>
  <c r="M379" i="6"/>
  <c r="M458" i="6"/>
  <c r="M983" i="6"/>
  <c r="M880" i="6"/>
  <c r="M283" i="6"/>
  <c r="M541" i="6"/>
  <c r="M889" i="6"/>
  <c r="M885" i="6"/>
  <c r="M583" i="6"/>
  <c r="M978" i="6"/>
  <c r="M593" i="6"/>
  <c r="M902" i="6"/>
  <c r="M797" i="6"/>
  <c r="M581" i="6"/>
  <c r="M389" i="6"/>
  <c r="M1044" i="6"/>
  <c r="M693" i="6"/>
  <c r="M457" i="6"/>
  <c r="M860" i="6"/>
  <c r="M719" i="6"/>
  <c r="M646" i="6"/>
  <c r="M455" i="6"/>
  <c r="M743" i="6"/>
  <c r="M969" i="6"/>
  <c r="M300" i="6"/>
  <c r="M790" i="6"/>
  <c r="M785" i="6"/>
  <c r="M354" i="6"/>
  <c r="M1049" i="6"/>
  <c r="M877" i="6"/>
  <c r="M297" i="6"/>
  <c r="M462" i="6"/>
  <c r="M737" i="6"/>
  <c r="M623" i="6"/>
  <c r="M935" i="6"/>
  <c r="M819" i="6"/>
  <c r="M837" i="6"/>
  <c r="M606" i="6"/>
  <c r="M472" i="6"/>
  <c r="M867" i="6"/>
  <c r="M557" i="6"/>
  <c r="M489" i="6"/>
  <c r="M580" i="6"/>
  <c r="M912" i="6"/>
  <c r="M884" i="6"/>
  <c r="M710" i="6"/>
  <c r="M764" i="6"/>
  <c r="M632" i="6"/>
  <c r="M509" i="6"/>
  <c r="M525" i="6"/>
  <c r="M827" i="6"/>
  <c r="M964" i="6"/>
  <c r="M630" i="6"/>
  <c r="M481" i="6"/>
  <c r="M547" i="6"/>
  <c r="M565" i="6"/>
  <c r="M461" i="6"/>
  <c r="M526" i="6"/>
  <c r="M521" i="6"/>
  <c r="M567" i="6"/>
  <c r="M665" i="6"/>
  <c r="M428" i="6"/>
  <c r="M274" i="6"/>
  <c r="M723" i="6"/>
  <c r="M651" i="6"/>
  <c r="M765" i="6"/>
  <c r="M636" i="6"/>
  <c r="M614" i="6"/>
  <c r="M292" i="6"/>
  <c r="M527" i="6"/>
  <c r="M903" i="6"/>
  <c r="M695" i="6"/>
  <c r="M320" i="6"/>
  <c r="M341" i="6"/>
  <c r="M846" i="6"/>
  <c r="M999" i="6"/>
  <c r="M333" i="6"/>
  <c r="M663" i="6"/>
  <c r="M550" i="6"/>
  <c r="M450" i="6"/>
  <c r="M861" i="6"/>
  <c r="M294" i="6"/>
  <c r="M729" i="6"/>
  <c r="M727" i="6"/>
  <c r="M800" i="6"/>
  <c r="M822" i="6"/>
  <c r="M998" i="6"/>
  <c r="M569" i="6"/>
  <c r="M661" i="6"/>
  <c r="M937" i="6"/>
  <c r="M787" i="6"/>
  <c r="M788" i="6"/>
  <c r="M647" i="6"/>
  <c r="M757" i="6"/>
  <c r="M667" i="6"/>
  <c r="M927" i="6"/>
  <c r="M358" i="6"/>
  <c r="M878" i="6"/>
  <c r="M430" i="6"/>
  <c r="M732" i="6"/>
  <c r="M981" i="6"/>
  <c r="M427" i="6"/>
  <c r="M1014" i="6"/>
  <c r="M813" i="6"/>
  <c r="M698" i="6"/>
  <c r="M992" i="6"/>
  <c r="M712" i="6"/>
  <c r="M627" i="6"/>
  <c r="M761" i="6"/>
  <c r="M1031" i="6"/>
  <c r="M444" i="6"/>
  <c r="M1025" i="6"/>
  <c r="M499" i="6"/>
  <c r="M713" i="6"/>
  <c r="M803" i="6"/>
  <c r="M918" i="6"/>
  <c r="M310" i="6"/>
  <c r="M330" i="6"/>
  <c r="M290" i="6"/>
  <c r="M497" i="6"/>
  <c r="M954" i="6"/>
  <c r="M336" i="6"/>
  <c r="M648" i="6"/>
  <c r="M883" i="6"/>
  <c r="M644" i="6"/>
  <c r="M610" i="6"/>
  <c r="M942" i="6"/>
  <c r="M597" i="6"/>
  <c r="M280" i="6"/>
  <c r="M1002" i="6"/>
  <c r="M445" i="6"/>
  <c r="M312" i="6"/>
  <c r="M287" i="6"/>
  <c r="M711" i="6"/>
  <c r="M585" i="6"/>
  <c r="M558" i="6"/>
  <c r="M321" i="6"/>
  <c r="M293" i="6"/>
  <c r="M584" i="6"/>
  <c r="M856" i="6"/>
  <c r="M947" i="6"/>
  <c r="M413" i="6"/>
  <c r="M958" i="6"/>
  <c r="M490" i="6"/>
  <c r="M524" i="6"/>
  <c r="M721" i="6"/>
  <c r="M575" i="6"/>
  <c r="M1009" i="6"/>
  <c r="M830" i="6"/>
  <c r="M346" i="6"/>
  <c r="M498" i="6"/>
  <c r="M559" i="6"/>
  <c r="M948" i="6"/>
  <c r="M396" i="6"/>
  <c r="M549" i="6"/>
  <c r="M776" i="6"/>
  <c r="M433" i="6"/>
  <c r="M600" i="6"/>
  <c r="M391" i="6"/>
  <c r="M804" i="6"/>
  <c r="M699" i="6"/>
  <c r="M951" i="6"/>
  <c r="M965" i="6"/>
  <c r="M483" i="6"/>
  <c r="M494" i="6"/>
  <c r="M730" i="6"/>
  <c r="M366" i="6"/>
  <c r="M870" i="6"/>
  <c r="M405" i="6"/>
  <c r="M441" i="6"/>
  <c r="M625" i="6"/>
  <c r="M799" i="6"/>
  <c r="M299" i="6"/>
  <c r="M350" i="6"/>
  <c r="M414" i="6"/>
  <c r="M447" i="6"/>
  <c r="M515" i="6"/>
  <c r="M566" i="6"/>
  <c r="M891" i="6"/>
  <c r="M681" i="6"/>
  <c r="M904" i="6"/>
  <c r="M915" i="6"/>
  <c r="M440" i="6"/>
  <c r="M1008" i="6"/>
  <c r="M596" i="6"/>
  <c r="M734" i="6"/>
  <c r="M1001" i="6"/>
  <c r="M474" i="6"/>
  <c r="M801" i="6"/>
  <c r="M1011" i="6"/>
  <c r="M952" i="6"/>
  <c r="M917" i="6"/>
  <c r="M275" i="6"/>
  <c r="M1013" i="6"/>
  <c r="M577" i="6"/>
  <c r="M990" i="6"/>
  <c r="M766" i="6"/>
  <c r="M751" i="6"/>
  <c r="M975" i="6"/>
  <c r="M533" i="6"/>
  <c r="M629" i="6"/>
  <c r="M793" i="6"/>
  <c r="M805" i="6"/>
  <c r="M986" i="6"/>
  <c r="M540" i="6"/>
  <c r="M888" i="6"/>
  <c r="M372" i="6"/>
  <c r="M501" i="6"/>
  <c r="M726" i="6"/>
  <c r="M845" i="6"/>
  <c r="M326" i="6"/>
  <c r="M466" i="6"/>
  <c r="M363" i="6"/>
  <c r="M901" i="6"/>
  <c r="M739" i="6"/>
  <c r="M930" i="6"/>
  <c r="M807" i="6"/>
  <c r="M437" i="6"/>
  <c r="M339" i="6"/>
  <c r="M313" i="6"/>
  <c r="M368" i="6"/>
  <c r="M298" i="6"/>
  <c r="M936" i="6"/>
  <c r="M348" i="6"/>
  <c r="M724" i="6"/>
  <c r="M487" i="6"/>
  <c r="M384" i="6"/>
  <c r="M590" i="6"/>
  <c r="M592" i="6"/>
  <c r="M1030" i="6"/>
  <c r="M1006" i="6"/>
  <c r="M773" i="6"/>
  <c r="M848" i="6"/>
  <c r="M609" i="6"/>
  <c r="M982" i="6"/>
  <c r="M900" i="6"/>
  <c r="M690" i="6"/>
  <c r="M519" i="6"/>
  <c r="M818" i="6"/>
  <c r="M505" i="6"/>
  <c r="M517" i="6"/>
  <c r="M905" i="6"/>
  <c r="M842" i="6"/>
  <c r="M778" i="6"/>
  <c r="M995" i="6"/>
  <c r="M603" i="6"/>
  <c r="M513" i="6"/>
  <c r="M913" i="6"/>
  <c r="M1036" i="6"/>
  <c r="M892" i="6"/>
  <c r="M364" i="6"/>
  <c r="M628" i="6"/>
  <c r="M655" i="6"/>
  <c r="M920" i="6"/>
  <c r="M676" i="6"/>
  <c r="M919" i="6"/>
  <c r="M604" i="6"/>
  <c r="M624" i="6"/>
  <c r="M369" i="6"/>
  <c r="M302" i="6"/>
  <c r="M553" i="6"/>
  <c r="M755" i="6"/>
  <c r="M1034" i="6"/>
  <c r="M678" i="6"/>
  <c r="M955" i="6"/>
  <c r="M810" i="6"/>
  <c r="M972" i="6"/>
  <c r="M864" i="6"/>
  <c r="M872" i="6"/>
  <c r="M340" i="6"/>
  <c r="M278" i="6"/>
  <c r="M621" i="6"/>
  <c r="M829" i="6"/>
  <c r="M897" i="6"/>
  <c r="M429" i="6"/>
  <c r="M994" i="6"/>
  <c r="M815" i="6"/>
  <c r="M407" i="6"/>
  <c r="M544" i="6"/>
  <c r="M530" i="6"/>
  <c r="M868" i="6"/>
  <c r="M641" i="6"/>
  <c r="M798" i="6"/>
  <c r="M753" i="6"/>
  <c r="M668" i="6"/>
  <c r="M507" i="6"/>
  <c r="M393" i="6"/>
  <c r="M436" i="6"/>
  <c r="M608" i="6"/>
  <c r="M495" i="6"/>
  <c r="M568" i="6"/>
  <c r="M388" i="6"/>
  <c r="M438" i="6"/>
  <c r="M940" i="6"/>
  <c r="M418" i="6"/>
  <c r="M423" i="6"/>
  <c r="M560" i="6"/>
  <c r="M374" i="6"/>
  <c r="M385" i="6"/>
  <c r="M410" i="6"/>
  <c r="M390" i="6"/>
  <c r="M456" i="6"/>
  <c r="M589" i="6"/>
  <c r="M876" i="6"/>
  <c r="M332" i="6"/>
  <c r="M380" i="6"/>
  <c r="M961" i="6"/>
  <c r="M1043" i="6"/>
  <c r="M924" i="6"/>
  <c r="M382" i="6"/>
  <c r="M929" i="6"/>
  <c r="M869" i="6"/>
  <c r="M316" i="6"/>
  <c r="M574" i="6"/>
  <c r="M871" i="6"/>
  <c r="M314" i="6"/>
  <c r="M722" i="6"/>
  <c r="M931" i="6"/>
  <c r="M399" i="6"/>
  <c r="M271" i="6"/>
  <c r="M991" i="6"/>
  <c r="M840" i="6"/>
  <c r="M899" i="6"/>
  <c r="M1029" i="6"/>
  <c r="M688" i="6"/>
  <c r="M1022" i="6"/>
  <c r="M588" i="6"/>
  <c r="M907" i="6"/>
  <c r="M916" i="6"/>
  <c r="M635" i="6"/>
  <c r="M638" i="6"/>
  <c r="M342" i="6"/>
  <c r="M337" i="6"/>
  <c r="M960" i="6"/>
  <c r="M375" i="6"/>
  <c r="M841" i="6"/>
  <c r="M988" i="6"/>
  <c r="M997" i="6"/>
  <c r="M943" i="6"/>
  <c r="M367" i="6"/>
  <c r="M795" i="6"/>
  <c r="M576" i="6"/>
  <c r="M537" i="6"/>
  <c r="M392" i="6"/>
  <c r="M353" i="6"/>
  <c r="M1005" i="6"/>
  <c r="M898" i="6"/>
  <c r="M500" i="6"/>
  <c r="M464" i="6"/>
  <c r="M288" i="6"/>
  <c r="M749" i="6"/>
  <c r="M611" i="6"/>
  <c r="M714" i="6"/>
  <c r="M506" i="6"/>
  <c r="M617" i="6"/>
  <c r="M828" i="6"/>
  <c r="M486" i="6"/>
  <c r="M962" i="6"/>
  <c r="M1020" i="6"/>
  <c r="M328" i="6"/>
  <c r="M691" i="6"/>
  <c r="M598" i="6"/>
  <c r="M976" i="6"/>
  <c r="M1041" i="6"/>
  <c r="M717" i="6"/>
  <c r="M601" i="6"/>
  <c r="M687" i="6"/>
  <c r="M796" i="6"/>
  <c r="M895" i="6"/>
  <c r="M979" i="6"/>
  <c r="M984" i="6"/>
  <c r="M386" i="6"/>
  <c r="M1004" i="6"/>
  <c r="M1045" i="6"/>
  <c r="M355" i="6"/>
  <c r="M613" i="6"/>
  <c r="M910" i="6"/>
  <c r="M852" i="6"/>
  <c r="M967" i="6"/>
  <c r="M325" i="6"/>
  <c r="M656" i="6"/>
  <c r="M686" i="6"/>
  <c r="M417" i="6"/>
  <c r="M607" i="6"/>
  <c r="M591" i="6"/>
  <c r="M949" i="6"/>
  <c r="M463" i="6"/>
  <c r="M851" i="6"/>
  <c r="M1038" i="6"/>
  <c r="M502" i="6"/>
  <c r="M309" i="6"/>
  <c r="M329" i="6"/>
  <c r="M850" i="6"/>
  <c r="M680" i="6"/>
  <c r="M281" i="6"/>
  <c r="M522" i="6"/>
  <c r="M491" i="6"/>
  <c r="M373" i="6"/>
  <c r="M771" i="6"/>
  <c r="M770" i="6"/>
  <c r="M616" i="6"/>
  <c r="M362" i="6"/>
  <c r="M859" i="6"/>
  <c r="M849" i="6"/>
  <c r="M401" i="6"/>
  <c r="M634" i="6"/>
  <c r="M720" i="6"/>
  <c r="M602" i="6"/>
  <c r="M620" i="6"/>
  <c r="M731" i="6"/>
  <c r="M802" i="6"/>
  <c r="M304" i="6"/>
  <c r="M469" i="6"/>
  <c r="N1024" i="6"/>
  <c r="AA269" i="3"/>
  <c r="AB270" i="3"/>
  <c r="C69" i="3"/>
  <c r="W21" i="13" s="1"/>
  <c r="AA21" i="13" s="1"/>
  <c r="CP21" i="13" s="1"/>
  <c r="M272" i="3"/>
  <c r="S272" i="3" s="1"/>
  <c r="Z270" i="3"/>
  <c r="W268" i="3"/>
  <c r="E126" i="3"/>
  <c r="E121" i="10" s="1"/>
  <c r="I121" i="10" s="1"/>
  <c r="U128" i="3"/>
  <c r="W204" i="7"/>
  <c r="N204" i="7" s="1"/>
  <c r="AH204" i="7"/>
  <c r="S204" i="7" s="1"/>
  <c r="W307" i="7"/>
  <c r="AH307" i="7"/>
  <c r="C205" i="7"/>
  <c r="C308" i="7"/>
  <c r="G68" i="3"/>
  <c r="AA68" i="3"/>
  <c r="Z68" i="3"/>
  <c r="Y66" i="3"/>
  <c r="AH62" i="7"/>
  <c r="S62" i="7" s="1"/>
  <c r="W62" i="7"/>
  <c r="N62" i="7" s="1"/>
  <c r="V63" i="7"/>
  <c r="AG63" i="7"/>
  <c r="C63" i="7"/>
  <c r="D69" i="3"/>
  <c r="X21" i="13" s="1"/>
  <c r="AB21" i="13" s="1"/>
  <c r="CZ21" i="13" s="1"/>
  <c r="AI82" i="7"/>
  <c r="X82" i="7"/>
  <c r="AI225" i="7"/>
  <c r="X225" i="7"/>
  <c r="AI328" i="7"/>
  <c r="X328" i="7"/>
  <c r="D84" i="7"/>
  <c r="E91" i="3"/>
  <c r="U93" i="3"/>
  <c r="K206" i="7"/>
  <c r="AD206" i="7" s="1"/>
  <c r="U271" i="3"/>
  <c r="AB271" i="3" s="1"/>
  <c r="U474" i="3"/>
  <c r="K309" i="7"/>
  <c r="AD309" i="7" s="1"/>
  <c r="AB68" i="3"/>
  <c r="K64" i="7"/>
  <c r="AD64" i="7" s="1"/>
  <c r="R308" i="7"/>
  <c r="R205" i="7"/>
  <c r="R63" i="7"/>
  <c r="T70" i="3"/>
  <c r="J64" i="7"/>
  <c r="AC64" i="7" s="1"/>
  <c r="J206" i="7"/>
  <c r="AC206" i="7" s="1"/>
  <c r="J309" i="7"/>
  <c r="AC309" i="7" s="1"/>
  <c r="I64" i="7"/>
  <c r="AB64" i="7" s="1"/>
  <c r="Z271" i="3"/>
  <c r="I206" i="7"/>
  <c r="AB206" i="7" s="1"/>
  <c r="I309" i="7"/>
  <c r="AB309" i="7" s="1"/>
  <c r="G62" i="7"/>
  <c r="Q62" i="7" s="1"/>
  <c r="AD65" i="3"/>
  <c r="AV14" i="3"/>
  <c r="W67" i="3"/>
  <c r="R68" i="3"/>
  <c r="P62" i="7"/>
  <c r="F204" i="7"/>
  <c r="P204" i="7" s="1"/>
  <c r="F307" i="7"/>
  <c r="P307" i="7" s="1"/>
  <c r="E74" i="7"/>
  <c r="M74" i="7" s="1"/>
  <c r="E215" i="7"/>
  <c r="E318" i="7"/>
  <c r="AJ72" i="7"/>
  <c r="Y72" i="7"/>
  <c r="AJ316" i="7"/>
  <c r="Y316" i="7"/>
  <c r="AJ213" i="7"/>
  <c r="Y213" i="7"/>
  <c r="E73" i="7"/>
  <c r="M73" i="7" s="1"/>
  <c r="E317" i="7"/>
  <c r="E214" i="7"/>
  <c r="Y71" i="7"/>
  <c r="AJ71" i="7"/>
  <c r="AJ212" i="7"/>
  <c r="Y212" i="7"/>
  <c r="AJ315" i="7"/>
  <c r="Y315" i="7"/>
  <c r="AP62" i="7" l="1"/>
  <c r="AO61" i="7"/>
  <c r="AQ62" i="7"/>
  <c r="EG23" i="13"/>
  <c r="EM23" i="13" s="1"/>
  <c r="ER23" i="13"/>
  <c r="EK22" i="13"/>
  <c r="EJ23" i="13"/>
  <c r="CL7" i="13"/>
  <c r="BB8" i="13" s="1"/>
  <c r="CM7" i="13"/>
  <c r="CM7" i="12"/>
  <c r="CL7" i="12"/>
  <c r="BB8" i="12" s="1"/>
  <c r="BE8" i="12" s="1"/>
  <c r="Z23" i="13"/>
  <c r="AD23" i="13" s="1"/>
  <c r="BR23" i="13" s="1"/>
  <c r="CJ23" i="13"/>
  <c r="L24" i="13"/>
  <c r="AN24" i="13" s="1"/>
  <c r="AQ24" i="13" s="1"/>
  <c r="BU24" i="13" s="1"/>
  <c r="M24" i="13"/>
  <c r="CG23" i="13"/>
  <c r="AP23" i="13"/>
  <c r="AS23" i="13" s="1"/>
  <c r="DV23" i="13" s="1"/>
  <c r="DZ23" i="13" s="1"/>
  <c r="ED23" i="13" s="1"/>
  <c r="K24" i="13"/>
  <c r="AM23" i="13"/>
  <c r="BT23" i="13" s="1"/>
  <c r="Q23" i="13"/>
  <c r="V23" i="13"/>
  <c r="Y23" i="13"/>
  <c r="AG23" i="13"/>
  <c r="AK23" i="13" s="1"/>
  <c r="DK23" i="13" s="1"/>
  <c r="AF23" i="13"/>
  <c r="AJ23" i="13" s="1"/>
  <c r="DA23" i="13" s="1"/>
  <c r="AE23" i="13"/>
  <c r="AI23" i="13" s="1"/>
  <c r="CQ23" i="13" s="1"/>
  <c r="AH23" i="13"/>
  <c r="AL23" i="13" s="1"/>
  <c r="BS23" i="13" s="1"/>
  <c r="DZ22" i="12"/>
  <c r="AG206" i="7"/>
  <c r="V206" i="7"/>
  <c r="M476" i="3"/>
  <c r="S476" i="3" s="1"/>
  <c r="S70" i="3"/>
  <c r="CJ23" i="12"/>
  <c r="CG23" i="12"/>
  <c r="W23" i="12"/>
  <c r="X23" i="12"/>
  <c r="Y23" i="12"/>
  <c r="AR23" i="12"/>
  <c r="AZ23" i="12" s="1"/>
  <c r="AM23" i="12"/>
  <c r="BT23" i="12" s="1"/>
  <c r="M24" i="12"/>
  <c r="L24" i="12"/>
  <c r="AN24" i="12" s="1"/>
  <c r="AP23" i="12"/>
  <c r="AE23" i="12"/>
  <c r="AF23" i="12"/>
  <c r="AG23" i="12"/>
  <c r="AH23" i="12"/>
  <c r="V23" i="12"/>
  <c r="S23" i="12"/>
  <c r="CO23" i="12" s="1"/>
  <c r="Q23" i="12"/>
  <c r="AY23" i="12" s="1"/>
  <c r="R23" i="12"/>
  <c r="BQ23" i="12" s="1"/>
  <c r="T23" i="12"/>
  <c r="CY23" i="12" s="1"/>
  <c r="U23" i="12"/>
  <c r="DI23" i="12" s="1"/>
  <c r="K24" i="12"/>
  <c r="AG308" i="7"/>
  <c r="V308" i="7"/>
  <c r="B309" i="7"/>
  <c r="G474" i="3"/>
  <c r="N307" i="7"/>
  <c r="AM61" i="7" s="1"/>
  <c r="S307" i="7"/>
  <c r="AR61" i="7" s="1"/>
  <c r="C272" i="3"/>
  <c r="B207" i="7" s="1"/>
  <c r="C475" i="3"/>
  <c r="C64" i="10"/>
  <c r="G64" i="10" s="1"/>
  <c r="E329" i="3"/>
  <c r="U329" i="3" s="1"/>
  <c r="E532" i="3"/>
  <c r="U532" i="3" s="1"/>
  <c r="O331" i="3"/>
  <c r="O534" i="3"/>
  <c r="AA473" i="3"/>
  <c r="D272" i="3"/>
  <c r="G272" i="3" s="1"/>
  <c r="D64" i="10"/>
  <c r="H64" i="10" s="1"/>
  <c r="D475" i="3"/>
  <c r="E294" i="3"/>
  <c r="D229" i="7" s="1"/>
  <c r="E86" i="10"/>
  <c r="I86" i="10" s="1"/>
  <c r="E497" i="3"/>
  <c r="D332" i="7" s="1"/>
  <c r="O296" i="3"/>
  <c r="O499" i="3"/>
  <c r="AB475" i="3"/>
  <c r="N273" i="3"/>
  <c r="T273" i="3" s="1"/>
  <c r="N476" i="3"/>
  <c r="T476" i="3" s="1"/>
  <c r="J271" i="3"/>
  <c r="G206" i="7" s="1"/>
  <c r="Q206" i="7" s="1"/>
  <c r="J474" i="3"/>
  <c r="G309" i="7" s="1"/>
  <c r="Q309" i="7" s="1"/>
  <c r="H271" i="3"/>
  <c r="H474" i="3"/>
  <c r="W472" i="3"/>
  <c r="Y473" i="3"/>
  <c r="AD473" i="3" s="1"/>
  <c r="F284" i="3"/>
  <c r="F76" i="10"/>
  <c r="J76" i="10" s="1"/>
  <c r="F487" i="3"/>
  <c r="F283" i="3"/>
  <c r="F486" i="3"/>
  <c r="F75" i="10"/>
  <c r="J75" i="10" s="1"/>
  <c r="O804" i="6"/>
  <c r="O671" i="6"/>
  <c r="O699" i="6"/>
  <c r="O662" i="6"/>
  <c r="O625" i="6"/>
  <c r="O715" i="6"/>
  <c r="O740" i="6"/>
  <c r="O752" i="6"/>
  <c r="O862" i="6"/>
  <c r="O954" i="6"/>
  <c r="O648" i="6"/>
  <c r="O604" i="6"/>
  <c r="O550" i="6"/>
  <c r="O558" i="6"/>
  <c r="O317" i="6"/>
  <c r="O813" i="6"/>
  <c r="O760" i="6"/>
  <c r="O755" i="6"/>
  <c r="O713" i="6"/>
  <c r="O698" i="6"/>
  <c r="O657" i="6"/>
  <c r="O765" i="6"/>
  <c r="O729" i="6"/>
  <c r="O695" i="6"/>
  <c r="O761" i="6"/>
  <c r="O745" i="6"/>
  <c r="O824" i="6"/>
  <c r="O678" i="6"/>
  <c r="O665" i="6"/>
  <c r="O712" i="6"/>
  <c r="O610" i="6"/>
  <c r="O643" i="6"/>
  <c r="O532" i="6"/>
  <c r="O951" i="6"/>
  <c r="O1020" i="6"/>
  <c r="O611" i="6"/>
  <c r="O927" i="6"/>
  <c r="O566" i="6"/>
  <c r="O633" i="6"/>
  <c r="O617" i="6"/>
  <c r="O624" i="6"/>
  <c r="O578" i="6"/>
  <c r="O585" i="6"/>
  <c r="O597" i="6"/>
  <c r="O600" i="6"/>
  <c r="O526" i="6"/>
  <c r="O562" i="6"/>
  <c r="O549" i="6"/>
  <c r="O486" i="6"/>
  <c r="O279" i="6"/>
  <c r="O391" i="6"/>
  <c r="O431" i="6"/>
  <c r="O295" i="6"/>
  <c r="O377" i="6"/>
  <c r="O676" i="6"/>
  <c r="O759" i="6"/>
  <c r="O732" i="6"/>
  <c r="O776" i="6"/>
  <c r="O663" i="6"/>
  <c r="O546" i="6"/>
  <c r="O730" i="6"/>
  <c r="O854" i="6"/>
  <c r="O787" i="6"/>
  <c r="O691" i="6"/>
  <c r="O861" i="6"/>
  <c r="O664" i="6"/>
  <c r="O796" i="6"/>
  <c r="O736" i="6"/>
  <c r="O792" i="6"/>
  <c r="O656" i="6"/>
  <c r="O692" i="6"/>
  <c r="O738" i="6"/>
  <c r="O677" i="6"/>
  <c r="O651" i="6"/>
  <c r="O647" i="6"/>
  <c r="O757" i="6"/>
  <c r="O822" i="6"/>
  <c r="O788" i="6"/>
  <c r="O800" i="6"/>
  <c r="O683" i="6"/>
  <c r="O878" i="6"/>
  <c r="O799" i="6"/>
  <c r="O725" i="6"/>
  <c r="O681" i="6"/>
  <c r="O661" i="6"/>
  <c r="O846" i="6"/>
  <c r="O772" i="6"/>
  <c r="O717" i="6"/>
  <c r="O701" i="6"/>
  <c r="O723" i="6"/>
  <c r="O749" i="6"/>
  <c r="O836" i="6"/>
  <c r="O714" i="6"/>
  <c r="O667" i="6"/>
  <c r="O685" i="6"/>
  <c r="O636" i="6"/>
  <c r="O1018" i="6"/>
  <c r="O569" i="6"/>
  <c r="O1014" i="6"/>
  <c r="O655" i="6"/>
  <c r="O1047" i="6"/>
  <c r="O901" i="6"/>
  <c r="O934" i="6"/>
  <c r="O943" i="6"/>
  <c r="O1036" i="6"/>
  <c r="O1016" i="6"/>
  <c r="O952" i="6"/>
  <c r="O948" i="6"/>
  <c r="O1044" i="6"/>
  <c r="O1011" i="6"/>
  <c r="O890" i="6"/>
  <c r="O614" i="6"/>
  <c r="O605" i="6"/>
  <c r="O586" i="6"/>
  <c r="O599" i="6"/>
  <c r="O560" i="6"/>
  <c r="O572" i="6"/>
  <c r="O529" i="6"/>
  <c r="O733" i="6"/>
  <c r="O639" i="6"/>
  <c r="O826" i="6"/>
  <c r="O746" i="6"/>
  <c r="O923" i="6"/>
  <c r="O922" i="6"/>
  <c r="O892" i="6"/>
  <c r="O978" i="6"/>
  <c r="O974" i="6"/>
  <c r="O887" i="6"/>
  <c r="O918" i="6"/>
  <c r="O911" i="6"/>
  <c r="O985" i="6"/>
  <c r="O992" i="6"/>
  <c r="O1037" i="6"/>
  <c r="O902" i="6"/>
  <c r="O1019" i="6"/>
  <c r="O947" i="6"/>
  <c r="O1043" i="6"/>
  <c r="O928" i="6"/>
  <c r="O932" i="6"/>
  <c r="O1013" i="6"/>
  <c r="O1028" i="6"/>
  <c r="O997" i="6"/>
  <c r="O877" i="6"/>
  <c r="O870" i="6"/>
  <c r="O1031" i="6"/>
  <c r="O1027" i="6"/>
  <c r="O959" i="6"/>
  <c r="O1046" i="6"/>
  <c r="O964" i="6"/>
  <c r="O939" i="6"/>
  <c r="O1048" i="6"/>
  <c r="O989" i="6"/>
  <c r="O1042" i="6"/>
  <c r="O970" i="6"/>
  <c r="O900" i="6"/>
  <c r="O899" i="6"/>
  <c r="O924" i="6"/>
  <c r="O897" i="6"/>
  <c r="O962" i="6"/>
  <c r="O1009" i="6"/>
  <c r="O940" i="6"/>
  <c r="O990" i="6"/>
  <c r="O1005" i="6"/>
  <c r="O942" i="6"/>
  <c r="O936" i="6"/>
  <c r="O893" i="6"/>
  <c r="O930" i="6"/>
  <c r="O907" i="6"/>
  <c r="O955" i="6"/>
  <c r="O980" i="6"/>
  <c r="O972" i="6"/>
  <c r="O963" i="6"/>
  <c r="O976" i="6"/>
  <c r="O841" i="6"/>
  <c r="O868" i="6"/>
  <c r="O984" i="6"/>
  <c r="O960" i="6"/>
  <c r="O873" i="6"/>
  <c r="O839" i="6"/>
  <c r="O880" i="6"/>
  <c r="O856" i="6"/>
  <c r="O872" i="6"/>
  <c r="O619" i="6"/>
  <c r="O609" i="6"/>
  <c r="O608" i="6"/>
  <c r="O623" i="6"/>
  <c r="O631" i="6"/>
  <c r="O596" i="6"/>
  <c r="O552" i="6"/>
  <c r="O837" i="6"/>
  <c r="O827" i="6"/>
  <c r="O915" i="6"/>
  <c r="O969" i="6"/>
  <c r="O908" i="6"/>
  <c r="O904" i="6"/>
  <c r="O1026" i="6"/>
  <c r="O888" i="6"/>
  <c r="O912" i="6"/>
  <c r="O950" i="6"/>
  <c r="O983" i="6"/>
  <c r="O977" i="6"/>
  <c r="O1008" i="6"/>
  <c r="O975" i="6"/>
  <c r="O938" i="6"/>
  <c r="O1034" i="6"/>
  <c r="O1038" i="6"/>
  <c r="O998" i="6"/>
  <c r="O973" i="6"/>
  <c r="O956" i="6"/>
  <c r="O986" i="6"/>
  <c r="O1049" i="6"/>
  <c r="O1050" i="6" s="1"/>
  <c r="O958" i="6"/>
  <c r="O1033" i="6"/>
  <c r="O968" i="6"/>
  <c r="O965" i="6"/>
  <c r="O1017" i="6"/>
  <c r="O896" i="6"/>
  <c r="O1004" i="6"/>
  <c r="O988" i="6"/>
  <c r="O920" i="6"/>
  <c r="O898" i="6"/>
  <c r="O996" i="6"/>
  <c r="O981" i="6"/>
  <c r="O1012" i="6"/>
  <c r="O961" i="6"/>
  <c r="O906" i="6"/>
  <c r="O926" i="6"/>
  <c r="O850" i="6"/>
  <c r="O1041" i="6"/>
  <c r="O946" i="6"/>
  <c r="O995" i="6"/>
  <c r="O982" i="6"/>
  <c r="O944" i="6"/>
  <c r="O991" i="6"/>
  <c r="O1001" i="6"/>
  <c r="O1007" i="6"/>
  <c r="O966" i="6"/>
  <c r="O876" i="6"/>
  <c r="O903" i="6"/>
  <c r="O852" i="6"/>
  <c r="O967" i="6"/>
  <c r="O921" i="6"/>
  <c r="O885" i="6"/>
  <c r="O909" i="6"/>
  <c r="O1032" i="6"/>
  <c r="O881" i="6"/>
  <c r="O1010" i="6"/>
  <c r="O641" i="6"/>
  <c r="O654" i="6"/>
  <c r="O660" i="6"/>
  <c r="O626" i="6"/>
  <c r="O582" i="6"/>
  <c r="O543" i="6"/>
  <c r="O592" i="6"/>
  <c r="O563" i="6"/>
  <c r="O520" i="6"/>
  <c r="O979" i="6"/>
  <c r="O869" i="6"/>
  <c r="O933" i="6"/>
  <c r="O1015" i="6"/>
  <c r="O886" i="6"/>
  <c r="O949" i="6"/>
  <c r="O913" i="6"/>
  <c r="O875" i="6"/>
  <c r="O971" i="6"/>
  <c r="O1002" i="6"/>
  <c r="O895" i="6"/>
  <c r="O1040" i="6"/>
  <c r="O884" i="6"/>
  <c r="O843" i="6"/>
  <c r="O953" i="6"/>
  <c r="O668" i="6"/>
  <c r="O688" i="6"/>
  <c r="O679" i="6"/>
  <c r="O607" i="6"/>
  <c r="O642" i="6"/>
  <c r="O591" i="6"/>
  <c r="O519" i="6"/>
  <c r="O554" i="6"/>
  <c r="O674" i="6"/>
  <c r="O603" i="6"/>
  <c r="O601" i="6"/>
  <c r="O589" i="6"/>
  <c r="O598" i="6"/>
  <c r="O602" i="6"/>
  <c r="O620" i="6"/>
  <c r="O594" i="6"/>
  <c r="O629" i="6"/>
  <c r="O616" i="6"/>
  <c r="O622" i="6"/>
  <c r="O613" i="6"/>
  <c r="O595" i="6"/>
  <c r="O658" i="6"/>
  <c r="O652" i="6"/>
  <c r="O627" i="6"/>
  <c r="O632" i="6"/>
  <c r="O580" i="6"/>
  <c r="O606" i="6"/>
  <c r="O630" i="6"/>
  <c r="O618" i="6"/>
  <c r="O574" i="6"/>
  <c r="O577" i="6"/>
  <c r="O555" i="6"/>
  <c r="O535" i="6"/>
  <c r="O744" i="6"/>
  <c r="O784" i="6"/>
  <c r="O587" i="6"/>
  <c r="O579" i="6"/>
  <c r="O575" i="6"/>
  <c r="O584" i="6"/>
  <c r="O581" i="6"/>
  <c r="O590" i="6"/>
  <c r="O588" i="6"/>
  <c r="O593" i="6"/>
  <c r="O644" i="6"/>
  <c r="O576" i="6"/>
  <c r="O573" i="6"/>
  <c r="O559" i="6"/>
  <c r="O547" i="6"/>
  <c r="O534" i="6"/>
  <c r="O530" i="6"/>
  <c r="O568" i="6"/>
  <c r="O551" i="6"/>
  <c r="O516" i="6"/>
  <c r="O548" i="6"/>
  <c r="O531" i="6"/>
  <c r="O565" i="6"/>
  <c r="O561" i="6"/>
  <c r="O553" i="6"/>
  <c r="O693" i="6"/>
  <c r="O539" i="6"/>
  <c r="O497" i="6"/>
  <c r="O545" i="6"/>
  <c r="O542" i="6"/>
  <c r="O564" i="6"/>
  <c r="O540" i="6"/>
  <c r="O518" i="6"/>
  <c r="O517" i="6"/>
  <c r="O533" i="6"/>
  <c r="O492" i="6"/>
  <c r="O536" i="6"/>
  <c r="O525" i="6"/>
  <c r="O507" i="6"/>
  <c r="O483" i="6"/>
  <c r="O515" i="6"/>
  <c r="O537" i="6"/>
  <c r="O485" i="6"/>
  <c r="O538" i="6"/>
  <c r="O541" i="6"/>
  <c r="O512" i="6"/>
  <c r="O489" i="6"/>
  <c r="O528" i="6"/>
  <c r="O513" i="6"/>
  <c r="O556" i="6"/>
  <c r="O544" i="6"/>
  <c r="O506" i="6"/>
  <c r="O523" i="6"/>
  <c r="O557" i="6"/>
  <c r="O527" i="6"/>
  <c r="O514" i="6"/>
  <c r="O495" i="6"/>
  <c r="O499" i="6"/>
  <c r="O508" i="6"/>
  <c r="O488" i="6"/>
  <c r="O524" i="6"/>
  <c r="O500" i="6"/>
  <c r="O457" i="6"/>
  <c r="O284" i="6"/>
  <c r="O382" i="6"/>
  <c r="O329" i="6"/>
  <c r="O444" i="6"/>
  <c r="O440" i="6"/>
  <c r="O364" i="6"/>
  <c r="O360" i="6"/>
  <c r="O313" i="6"/>
  <c r="O386" i="6"/>
  <c r="O415" i="6"/>
  <c r="O510" i="6"/>
  <c r="O505" i="6"/>
  <c r="O337" i="6"/>
  <c r="O429" i="6"/>
  <c r="O350" i="6"/>
  <c r="O409" i="6"/>
  <c r="O466" i="6"/>
  <c r="O450" i="6"/>
  <c r="O445" i="6"/>
  <c r="O273" i="6"/>
  <c r="O381" i="6"/>
  <c r="O388" i="6"/>
  <c r="O383" i="6"/>
  <c r="O472" i="6"/>
  <c r="O374" i="6"/>
  <c r="O362" i="6"/>
  <c r="O281" i="6"/>
  <c r="O406" i="6"/>
  <c r="O437" i="6"/>
  <c r="O403" i="6"/>
  <c r="O424" i="6"/>
  <c r="O357" i="6"/>
  <c r="O307" i="6"/>
  <c r="O320" i="6"/>
  <c r="O436" i="6"/>
  <c r="O427" i="6"/>
  <c r="O434" i="6"/>
  <c r="O280" i="6"/>
  <c r="O411" i="6"/>
  <c r="O482" i="6"/>
  <c r="O304" i="6"/>
  <c r="O419" i="6"/>
  <c r="O318" i="6"/>
  <c r="O716" i="6"/>
  <c r="O734" i="6"/>
  <c r="O814" i="6"/>
  <c r="O894" i="6"/>
  <c r="O747" i="6"/>
  <c r="O686" i="6"/>
  <c r="O805" i="6"/>
  <c r="O675" i="6"/>
  <c r="O766" i="6"/>
  <c r="O502" i="6"/>
  <c r="O522" i="6"/>
  <c r="O487" i="6"/>
  <c r="O494" i="6"/>
  <c r="O493" i="6"/>
  <c r="O490" i="6"/>
  <c r="O503" i="6"/>
  <c r="O511" i="6"/>
  <c r="O501" i="6"/>
  <c r="O509" i="6"/>
  <c r="O498" i="6"/>
  <c r="O504" i="6"/>
  <c r="O491" i="6"/>
  <c r="O496" i="6"/>
  <c r="O291" i="6"/>
  <c r="O448" i="6"/>
  <c r="O432" i="6"/>
  <c r="O454" i="6"/>
  <c r="O290" i="6"/>
  <c r="O392" i="6"/>
  <c r="O413" i="6"/>
  <c r="O439" i="6"/>
  <c r="O323" i="6"/>
  <c r="O370" i="6"/>
  <c r="O356" i="6"/>
  <c r="O372" i="6"/>
  <c r="O405" i="6"/>
  <c r="O272" i="6"/>
  <c r="O366" i="6"/>
  <c r="O384" i="6"/>
  <c r="O333" i="6"/>
  <c r="O340" i="6"/>
  <c r="O283" i="6"/>
  <c r="O325" i="6"/>
  <c r="O349" i="6"/>
  <c r="O393" i="6"/>
  <c r="O335" i="6"/>
  <c r="O367" i="6"/>
  <c r="O473" i="6"/>
  <c r="O404" i="6"/>
  <c r="O379" i="6"/>
  <c r="O302" i="6"/>
  <c r="O336" i="6"/>
  <c r="O402" i="6"/>
  <c r="O390" i="6"/>
  <c r="O443" i="6"/>
  <c r="O446" i="6"/>
  <c r="O285" i="6"/>
  <c r="O422" i="6"/>
  <c r="O310" i="6"/>
  <c r="O359" i="6"/>
  <c r="O396" i="6"/>
  <c r="O288" i="6"/>
  <c r="O322" i="6"/>
  <c r="O330" i="6"/>
  <c r="O428" i="6"/>
  <c r="O461" i="6"/>
  <c r="O312" i="6"/>
  <c r="O345" i="6"/>
  <c r="O416" i="6"/>
  <c r="O670" i="6"/>
  <c r="O806" i="6"/>
  <c r="O858" i="6"/>
  <c r="O292" i="6"/>
  <c r="O300" i="6"/>
  <c r="O425" i="6"/>
  <c r="O389" i="6"/>
  <c r="O430" i="6"/>
  <c r="O471" i="6"/>
  <c r="O276" i="6"/>
  <c r="O469" i="6"/>
  <c r="O417" i="6"/>
  <c r="O414" i="6"/>
  <c r="O305" i="6"/>
  <c r="O332" i="6"/>
  <c r="O371" i="6"/>
  <c r="O287" i="6"/>
  <c r="O324" i="6"/>
  <c r="O311" i="6"/>
  <c r="O270" i="6"/>
  <c r="O455" i="6"/>
  <c r="O467" i="6"/>
  <c r="O361" i="6"/>
  <c r="O456" i="6"/>
  <c r="O321" i="6"/>
  <c r="O464" i="6"/>
  <c r="O308" i="6"/>
  <c r="O468" i="6"/>
  <c r="O344" i="6"/>
  <c r="O442" i="6"/>
  <c r="O477" i="6"/>
  <c r="O299" i="6"/>
  <c r="O298" i="6"/>
  <c r="O353" i="6"/>
  <c r="O296" i="6"/>
  <c r="O282" i="6"/>
  <c r="O268" i="6"/>
  <c r="O423" i="6"/>
  <c r="O289" i="6"/>
  <c r="O342" i="6"/>
  <c r="O315" i="6"/>
  <c r="O328" i="6"/>
  <c r="O480" i="6"/>
  <c r="O401" i="6"/>
  <c r="O331" i="6"/>
  <c r="O412" i="6"/>
  <c r="O458" i="6"/>
  <c r="O420" i="6"/>
  <c r="O394" i="6"/>
  <c r="O303" i="6"/>
  <c r="O453" i="6"/>
  <c r="O418" i="6"/>
  <c r="O378" i="6"/>
  <c r="O426" i="6"/>
  <c r="O368" i="6"/>
  <c r="O720" i="6"/>
  <c r="O672" i="6"/>
  <c r="O735" i="6"/>
  <c r="O741" i="6"/>
  <c r="O737" i="6"/>
  <c r="O758" i="6"/>
  <c r="O848" i="6"/>
  <c r="O700" i="6"/>
  <c r="O704" i="6"/>
  <c r="O462" i="6"/>
  <c r="O319" i="6"/>
  <c r="O465" i="6"/>
  <c r="O338" i="6"/>
  <c r="O293" i="6"/>
  <c r="O334" i="6"/>
  <c r="O438" i="6"/>
  <c r="O459" i="6"/>
  <c r="O478" i="6"/>
  <c r="O809" i="6"/>
  <c r="O666" i="6"/>
  <c r="O811" i="6"/>
  <c r="O743" i="6"/>
  <c r="O348" i="6"/>
  <c r="O373" i="6"/>
  <c r="O435" i="6"/>
  <c r="O316" i="6"/>
  <c r="O441" i="6"/>
  <c r="O400" i="6"/>
  <c r="O294" i="6"/>
  <c r="O343" i="6"/>
  <c r="O271" i="6"/>
  <c r="O277" i="6"/>
  <c r="O447" i="6"/>
  <c r="O354" i="6"/>
  <c r="O474" i="6"/>
  <c r="O452" i="6"/>
  <c r="O397" i="6"/>
  <c r="O385" i="6"/>
  <c r="O481" i="6"/>
  <c r="O408" i="6"/>
  <c r="O326" i="6"/>
  <c r="O475" i="6"/>
  <c r="O395" i="6"/>
  <c r="O470" i="6"/>
  <c r="O479" i="6"/>
  <c r="O306" i="6"/>
  <c r="O355" i="6"/>
  <c r="O476" i="6"/>
  <c r="O274" i="6"/>
  <c r="O327" i="6"/>
  <c r="O347" i="6"/>
  <c r="O301" i="6"/>
  <c r="O410" i="6"/>
  <c r="O363" i="6"/>
  <c r="O269" i="6"/>
  <c r="O341" i="6"/>
  <c r="O449" i="6"/>
  <c r="O369" i="6"/>
  <c r="O860" i="6"/>
  <c r="O710" i="6"/>
  <c r="O866" i="6"/>
  <c r="O786" i="6"/>
  <c r="O851" i="6"/>
  <c r="O832" i="6"/>
  <c r="O351" i="6"/>
  <c r="O346" i="6"/>
  <c r="O387" i="6"/>
  <c r="O352" i="6"/>
  <c r="O463" i="6"/>
  <c r="O275" i="6"/>
  <c r="O407" i="6"/>
  <c r="O286" i="6"/>
  <c r="O398" i="6"/>
  <c r="O433" i="6"/>
  <c r="O314" i="6"/>
  <c r="O460" i="6"/>
  <c r="O297" i="6"/>
  <c r="O365" i="6"/>
  <c r="O358" i="6"/>
  <c r="O375" i="6"/>
  <c r="O399" i="6"/>
  <c r="O309" i="6"/>
  <c r="O421" i="6"/>
  <c r="O339" i="6"/>
  <c r="O451" i="6"/>
  <c r="O376" i="6"/>
  <c r="O278" i="6"/>
  <c r="O380" i="6"/>
  <c r="O706" i="6"/>
  <c r="O771" i="6"/>
  <c r="O775" i="6"/>
  <c r="O798" i="6"/>
  <c r="O750" i="6"/>
  <c r="O830" i="6"/>
  <c r="O844" i="6"/>
  <c r="O728" i="6"/>
  <c r="O709" i="6"/>
  <c r="O754" i="6"/>
  <c r="O682" i="6"/>
  <c r="O779" i="6"/>
  <c r="O753" i="6"/>
  <c r="O689" i="6"/>
  <c r="O697" i="6"/>
  <c r="O789" i="6"/>
  <c r="O645" i="6"/>
  <c r="O818" i="6"/>
  <c r="O810" i="6"/>
  <c r="O690" i="6"/>
  <c r="O637" i="6"/>
  <c r="O669" i="6"/>
  <c r="O726" i="6"/>
  <c r="O705" i="6"/>
  <c r="O680" i="6"/>
  <c r="O653" i="6"/>
  <c r="O849" i="6"/>
  <c r="O819" i="6"/>
  <c r="O722" i="6"/>
  <c r="O638" i="6"/>
  <c r="O640" i="6"/>
  <c r="O634" i="6"/>
  <c r="O816" i="6"/>
  <c r="O793" i="6"/>
  <c r="O702" i="6"/>
  <c r="O859" i="6"/>
  <c r="O718" i="6"/>
  <c r="O794" i="6"/>
  <c r="O767" i="6"/>
  <c r="O769" i="6"/>
  <c r="O828" i="6"/>
  <c r="O834" i="6"/>
  <c r="O808" i="6"/>
  <c r="O708" i="6"/>
  <c r="O719" i="6"/>
  <c r="O815" i="6"/>
  <c r="O724" i="6"/>
  <c r="O845" i="6"/>
  <c r="O835" i="6"/>
  <c r="O687" i="6"/>
  <c r="O825" i="6"/>
  <c r="O778" i="6"/>
  <c r="O807" i="6"/>
  <c r="O764" i="6"/>
  <c r="O879" i="6"/>
  <c r="O751" i="6"/>
  <c r="O763" i="6"/>
  <c r="O867" i="6"/>
  <c r="O727" i="6"/>
  <c r="O790" i="6"/>
  <c r="O795" i="6"/>
  <c r="O864" i="6"/>
  <c r="O773" i="6"/>
  <c r="O768" i="6"/>
  <c r="O820" i="6"/>
  <c r="O703" i="6"/>
  <c r="O782" i="6"/>
  <c r="O865" i="6"/>
  <c r="O791" i="6"/>
  <c r="O696" i="6"/>
  <c r="O840" i="6"/>
  <c r="O707" i="6"/>
  <c r="O847" i="6"/>
  <c r="O863" i="6"/>
  <c r="O831" i="6"/>
  <c r="O857" i="6"/>
  <c r="O829" i="6"/>
  <c r="O812" i="6"/>
  <c r="O802" i="6"/>
  <c r="O777" i="6"/>
  <c r="O649" i="6"/>
  <c r="O762" i="6"/>
  <c r="O770" i="6"/>
  <c r="O823" i="6"/>
  <c r="O711" i="6"/>
  <c r="O756" i="6"/>
  <c r="O659" i="6"/>
  <c r="O871" i="6"/>
  <c r="O821" i="6"/>
  <c r="O780" i="6"/>
  <c r="O650" i="6"/>
  <c r="O748" i="6"/>
  <c r="O797" i="6"/>
  <c r="O781" i="6"/>
  <c r="O684" i="6"/>
  <c r="O739" i="6"/>
  <c r="O635" i="6"/>
  <c r="O855" i="6"/>
  <c r="O803" i="6"/>
  <c r="O842" i="6"/>
  <c r="O783" i="6"/>
  <c r="O817" i="6"/>
  <c r="O731" i="6"/>
  <c r="O801" i="6"/>
  <c r="O742" i="6"/>
  <c r="O694" i="6"/>
  <c r="O774" i="6"/>
  <c r="O838" i="6"/>
  <c r="O721" i="6"/>
  <c r="O785" i="6"/>
  <c r="O833" i="6"/>
  <c r="O673" i="6"/>
  <c r="O646" i="6"/>
  <c r="O910" i="6"/>
  <c r="O905" i="6"/>
  <c r="O916" i="6"/>
  <c r="O935" i="6"/>
  <c r="O1006" i="6"/>
  <c r="O987" i="6"/>
  <c r="O929" i="6"/>
  <c r="O945" i="6"/>
  <c r="O941" i="6"/>
  <c r="O1021" i="6"/>
  <c r="O1029" i="6"/>
  <c r="O917" i="6"/>
  <c r="O1035" i="6"/>
  <c r="O874" i="6"/>
  <c r="O994" i="6"/>
  <c r="O957" i="6"/>
  <c r="O1045" i="6"/>
  <c r="O1000" i="6"/>
  <c r="O1022" i="6"/>
  <c r="O621" i="6"/>
  <c r="O615" i="6"/>
  <c r="O571" i="6"/>
  <c r="O567" i="6"/>
  <c r="O521" i="6"/>
  <c r="O937" i="6"/>
  <c r="O1025" i="6"/>
  <c r="O891" i="6"/>
  <c r="O882" i="6"/>
  <c r="O1024" i="6"/>
  <c r="O1039" i="6"/>
  <c r="O925" i="6"/>
  <c r="O883" i="6"/>
  <c r="O1030" i="6"/>
  <c r="O919" i="6"/>
  <c r="O993" i="6"/>
  <c r="O914" i="6"/>
  <c r="O931" i="6"/>
  <c r="O999" i="6"/>
  <c r="O1023" i="6"/>
  <c r="O1003" i="6"/>
  <c r="O889" i="6"/>
  <c r="O628" i="6"/>
  <c r="O612" i="6"/>
  <c r="O583" i="6"/>
  <c r="O570" i="6"/>
  <c r="O484" i="6"/>
  <c r="O853" i="6"/>
  <c r="AA270" i="3"/>
  <c r="AD66" i="3"/>
  <c r="C70" i="3"/>
  <c r="M273" i="3"/>
  <c r="S273" i="3" s="1"/>
  <c r="W269" i="3"/>
  <c r="W205" i="7"/>
  <c r="N205" i="7" s="1"/>
  <c r="AH205" i="7"/>
  <c r="S205" i="7" s="1"/>
  <c r="U130" i="3"/>
  <c r="E128" i="3"/>
  <c r="E123" i="10" s="1"/>
  <c r="I123" i="10" s="1"/>
  <c r="AH308" i="7"/>
  <c r="W308" i="7"/>
  <c r="Y67" i="3"/>
  <c r="C309" i="7"/>
  <c r="C206" i="7"/>
  <c r="W63" i="7"/>
  <c r="N63" i="7" s="1"/>
  <c r="AH63" i="7"/>
  <c r="S63" i="7" s="1"/>
  <c r="AG64" i="7"/>
  <c r="V64" i="7"/>
  <c r="C64" i="7"/>
  <c r="G69" i="3"/>
  <c r="D70" i="3"/>
  <c r="X84" i="7"/>
  <c r="AI84" i="7"/>
  <c r="AI330" i="7"/>
  <c r="X330" i="7"/>
  <c r="AI227" i="7"/>
  <c r="X227" i="7"/>
  <c r="D86" i="7"/>
  <c r="E93" i="3"/>
  <c r="U95" i="3"/>
  <c r="K207" i="7"/>
  <c r="AD207" i="7" s="1"/>
  <c r="U272" i="3"/>
  <c r="AB272" i="3" s="1"/>
  <c r="K310" i="7"/>
  <c r="AD310" i="7" s="1"/>
  <c r="U475" i="3"/>
  <c r="AB69" i="3"/>
  <c r="U21" i="13" s="1"/>
  <c r="DI21" i="13" s="1"/>
  <c r="K65" i="7"/>
  <c r="AD65" i="7" s="1"/>
  <c r="T71" i="3"/>
  <c r="J65" i="7"/>
  <c r="AC65" i="7" s="1"/>
  <c r="J310" i="7"/>
  <c r="AC310" i="7" s="1"/>
  <c r="J207" i="7"/>
  <c r="AC207" i="7" s="1"/>
  <c r="Z69" i="3"/>
  <c r="S21" i="13" s="1"/>
  <c r="CO21" i="13" s="1"/>
  <c r="I65" i="7"/>
  <c r="AB65" i="7" s="1"/>
  <c r="Z475" i="3"/>
  <c r="I310" i="7"/>
  <c r="AB310" i="7" s="1"/>
  <c r="I207" i="7"/>
  <c r="AB207" i="7" s="1"/>
  <c r="G63" i="7"/>
  <c r="Q63" i="7" s="1"/>
  <c r="W68" i="3"/>
  <c r="R69" i="3"/>
  <c r="P63" i="7"/>
  <c r="Y270" i="3"/>
  <c r="F205" i="7"/>
  <c r="P205" i="7" s="1"/>
  <c r="F308" i="7"/>
  <c r="P308" i="7" s="1"/>
  <c r="E76" i="7"/>
  <c r="M76" i="7" s="1"/>
  <c r="E217" i="7"/>
  <c r="E320" i="7"/>
  <c r="AJ74" i="7"/>
  <c r="Y74" i="7"/>
  <c r="AJ215" i="7"/>
  <c r="Y215" i="7"/>
  <c r="Y318" i="7"/>
  <c r="AJ318" i="7"/>
  <c r="E75" i="7"/>
  <c r="M75" i="7" s="1"/>
  <c r="E216" i="7"/>
  <c r="E319" i="7"/>
  <c r="Y73" i="7"/>
  <c r="AJ73" i="7"/>
  <c r="Y317" i="7"/>
  <c r="AJ317" i="7"/>
  <c r="AJ214" i="7"/>
  <c r="Y214" i="7"/>
  <c r="R64" i="7"/>
  <c r="R206" i="7"/>
  <c r="R309" i="7"/>
  <c r="AO62" i="7" l="1"/>
  <c r="AQ63" i="7"/>
  <c r="R474" i="3"/>
  <c r="R271" i="3"/>
  <c r="AP63" i="7"/>
  <c r="BC8" i="12"/>
  <c r="BC8" i="13"/>
  <c r="BE8" i="13"/>
  <c r="AO24" i="13"/>
  <c r="AR24" i="13" s="1"/>
  <c r="AZ24" i="13" s="1"/>
  <c r="AY23" i="13"/>
  <c r="N24" i="13"/>
  <c r="EF24" i="13"/>
  <c r="EL24" i="13" s="1"/>
  <c r="FE24" i="13" s="1"/>
  <c r="AC23" i="13"/>
  <c r="DJ23" i="13" s="1"/>
  <c r="ED22" i="12"/>
  <c r="S308" i="7"/>
  <c r="AR62" i="7" s="1"/>
  <c r="N308" i="7"/>
  <c r="AM62" i="7" s="1"/>
  <c r="AG207" i="7"/>
  <c r="V207" i="7"/>
  <c r="M477" i="3"/>
  <c r="S477" i="3" s="1"/>
  <c r="S71" i="3"/>
  <c r="AD270" i="3"/>
  <c r="AA23" i="12"/>
  <c r="CP23" i="12" s="1"/>
  <c r="AB23" i="12"/>
  <c r="CZ23" i="12" s="1"/>
  <c r="AC23" i="12"/>
  <c r="DJ23" i="12" s="1"/>
  <c r="AD23" i="12"/>
  <c r="BR23" i="12" s="1"/>
  <c r="AQ24" i="12"/>
  <c r="BU24" i="12" s="1"/>
  <c r="AS23" i="12"/>
  <c r="DV23" i="12" s="1"/>
  <c r="AO24" i="12"/>
  <c r="AI23" i="12"/>
  <c r="CQ23" i="12" s="1"/>
  <c r="AJ23" i="12"/>
  <c r="DA23" i="12" s="1"/>
  <c r="AK23" i="12"/>
  <c r="DK23" i="12" s="1"/>
  <c r="AL23" i="12"/>
  <c r="BS23" i="12" s="1"/>
  <c r="N24" i="12"/>
  <c r="Z24" i="12" s="1"/>
  <c r="V309" i="7"/>
  <c r="AG309" i="7"/>
  <c r="B310" i="7"/>
  <c r="G475" i="3"/>
  <c r="C273" i="3"/>
  <c r="B208" i="7" s="1"/>
  <c r="C65" i="10"/>
  <c r="G65" i="10" s="1"/>
  <c r="C476" i="3"/>
  <c r="Z476" i="3" s="1"/>
  <c r="O333" i="3"/>
  <c r="O536" i="3"/>
  <c r="E331" i="3"/>
  <c r="E534" i="3"/>
  <c r="AA474" i="3"/>
  <c r="AA475" i="3"/>
  <c r="D273" i="3"/>
  <c r="D65" i="10"/>
  <c r="H65" i="10" s="1"/>
  <c r="D476" i="3"/>
  <c r="E296" i="3"/>
  <c r="D231" i="7" s="1"/>
  <c r="E499" i="3"/>
  <c r="D334" i="7" s="1"/>
  <c r="E88" i="10"/>
  <c r="I88" i="10" s="1"/>
  <c r="O298" i="3"/>
  <c r="O501" i="3"/>
  <c r="N274" i="3"/>
  <c r="T274" i="3" s="1"/>
  <c r="N477" i="3"/>
  <c r="T477" i="3" s="1"/>
  <c r="J272" i="3"/>
  <c r="G207" i="7" s="1"/>
  <c r="Q207" i="7" s="1"/>
  <c r="J475" i="3"/>
  <c r="G310" i="7" s="1"/>
  <c r="Q310" i="7" s="1"/>
  <c r="H272" i="3"/>
  <c r="H475" i="3"/>
  <c r="W473" i="3"/>
  <c r="Y474" i="3"/>
  <c r="F286" i="3"/>
  <c r="F78" i="10"/>
  <c r="J78" i="10" s="1"/>
  <c r="F489" i="3"/>
  <c r="F285" i="3"/>
  <c r="F77" i="10"/>
  <c r="J77" i="10" s="1"/>
  <c r="F488" i="3"/>
  <c r="AA271" i="3"/>
  <c r="C71" i="3"/>
  <c r="M274" i="3"/>
  <c r="S274" i="3" s="1"/>
  <c r="Z272" i="3"/>
  <c r="W270" i="3"/>
  <c r="U132" i="3"/>
  <c r="E130" i="3"/>
  <c r="E125" i="10" s="1"/>
  <c r="I125" i="10" s="1"/>
  <c r="AD67" i="3"/>
  <c r="AH309" i="7"/>
  <c r="W309" i="7"/>
  <c r="W206" i="7"/>
  <c r="N206" i="7" s="1"/>
  <c r="AH206" i="7"/>
  <c r="S206" i="7" s="1"/>
  <c r="AA69" i="3"/>
  <c r="T21" i="13" s="1"/>
  <c r="CY21" i="13" s="1"/>
  <c r="Z70" i="3"/>
  <c r="AH64" i="7"/>
  <c r="S64" i="7" s="1"/>
  <c r="W64" i="7"/>
  <c r="N64" i="7" s="1"/>
  <c r="AG65" i="7"/>
  <c r="V65" i="7"/>
  <c r="C65" i="7"/>
  <c r="C207" i="7"/>
  <c r="C310" i="7"/>
  <c r="G70" i="3"/>
  <c r="D71" i="3"/>
  <c r="X229" i="7"/>
  <c r="AI229" i="7"/>
  <c r="AI332" i="7"/>
  <c r="X332" i="7"/>
  <c r="X86" i="7"/>
  <c r="AI86" i="7"/>
  <c r="D88" i="7"/>
  <c r="E95" i="3"/>
  <c r="U97" i="3"/>
  <c r="K311" i="7"/>
  <c r="AD311" i="7" s="1"/>
  <c r="U476" i="3"/>
  <c r="AB476" i="3" s="1"/>
  <c r="AB70" i="3"/>
  <c r="U273" i="3"/>
  <c r="AB273" i="3" s="1"/>
  <c r="K208" i="7"/>
  <c r="AD208" i="7" s="1"/>
  <c r="K66" i="7"/>
  <c r="AD66" i="7" s="1"/>
  <c r="R310" i="7"/>
  <c r="R207" i="7"/>
  <c r="T72" i="3"/>
  <c r="J66" i="7"/>
  <c r="AC66" i="7" s="1"/>
  <c r="J208" i="7"/>
  <c r="AC208" i="7" s="1"/>
  <c r="J311" i="7"/>
  <c r="AC311" i="7" s="1"/>
  <c r="I66" i="7"/>
  <c r="AB66" i="7" s="1"/>
  <c r="I208" i="7"/>
  <c r="AB208" i="7" s="1"/>
  <c r="I311" i="7"/>
  <c r="AB311" i="7" s="1"/>
  <c r="G64" i="7"/>
  <c r="Q64" i="7" s="1"/>
  <c r="Y68" i="3"/>
  <c r="R19" i="13" s="1"/>
  <c r="BQ19" i="13" s="1"/>
  <c r="W69" i="3"/>
  <c r="R70" i="3"/>
  <c r="P64" i="7"/>
  <c r="F206" i="7"/>
  <c r="P206" i="7" s="1"/>
  <c r="F309" i="7"/>
  <c r="P309" i="7" s="1"/>
  <c r="E78" i="7"/>
  <c r="M78" i="7" s="1"/>
  <c r="E322" i="7"/>
  <c r="E219" i="7"/>
  <c r="Y76" i="7"/>
  <c r="AJ76" i="7"/>
  <c r="AJ217" i="7"/>
  <c r="Y217" i="7"/>
  <c r="Y320" i="7"/>
  <c r="AJ320" i="7"/>
  <c r="E77" i="7"/>
  <c r="M77" i="7" s="1"/>
  <c r="E321" i="7"/>
  <c r="E218" i="7"/>
  <c r="AJ75" i="7"/>
  <c r="Y75" i="7"/>
  <c r="AJ216" i="7"/>
  <c r="Y216" i="7"/>
  <c r="AJ319" i="7"/>
  <c r="Y319" i="7"/>
  <c r="R65" i="7"/>
  <c r="AQ64" i="7" l="1"/>
  <c r="N309" i="7"/>
  <c r="AM63" i="7" s="1"/>
  <c r="S309" i="7"/>
  <c r="AR63" i="7" s="1"/>
  <c r="G273" i="3"/>
  <c r="R272" i="3"/>
  <c r="R475" i="3"/>
  <c r="AP64" i="7"/>
  <c r="AO63" i="7"/>
  <c r="BH8" i="12"/>
  <c r="BI8" i="12"/>
  <c r="BF8" i="12"/>
  <c r="BK8" i="12"/>
  <c r="BM8" i="12" s="1"/>
  <c r="CR8" i="12" s="1"/>
  <c r="BG8" i="12"/>
  <c r="BG8" i="13"/>
  <c r="BK8" i="13"/>
  <c r="BH8" i="13"/>
  <c r="BF8" i="13"/>
  <c r="BI8" i="13"/>
  <c r="EG24" i="13"/>
  <c r="EM24" i="13" s="1"/>
  <c r="ER24" i="13"/>
  <c r="EK23" i="13"/>
  <c r="EJ24" i="13"/>
  <c r="M25" i="13"/>
  <c r="K25" i="13"/>
  <c r="L25" i="13"/>
  <c r="AN25" i="13" s="1"/>
  <c r="AQ25" i="13" s="1"/>
  <c r="BU25" i="13" s="1"/>
  <c r="AP24" i="13"/>
  <c r="AS24" i="13" s="1"/>
  <c r="DV24" i="13" s="1"/>
  <c r="DZ24" i="13" s="1"/>
  <c r="ED24" i="13" s="1"/>
  <c r="AM24" i="13"/>
  <c r="BT24" i="13" s="1"/>
  <c r="Z24" i="13"/>
  <c r="AD24" i="13" s="1"/>
  <c r="BR24" i="13" s="1"/>
  <c r="Q24" i="13"/>
  <c r="V24" i="13"/>
  <c r="CJ24" i="13"/>
  <c r="Y24" i="13"/>
  <c r="AC24" i="13" s="1"/>
  <c r="DJ24" i="13" s="1"/>
  <c r="AH24" i="13"/>
  <c r="AL24" i="13" s="1"/>
  <c r="BS24" i="13" s="1"/>
  <c r="AG24" i="13"/>
  <c r="AK24" i="13" s="1"/>
  <c r="DK24" i="13" s="1"/>
  <c r="AF24" i="13"/>
  <c r="AJ24" i="13" s="1"/>
  <c r="DA24" i="13" s="1"/>
  <c r="AE24" i="13"/>
  <c r="AI24" i="13" s="1"/>
  <c r="CQ24" i="13" s="1"/>
  <c r="CG24" i="13"/>
  <c r="DZ23" i="12"/>
  <c r="AD474" i="3"/>
  <c r="AG208" i="7"/>
  <c r="V208" i="7"/>
  <c r="M478" i="3"/>
  <c r="S478" i="3" s="1"/>
  <c r="S72" i="3"/>
  <c r="CJ24" i="12"/>
  <c r="CG24" i="12"/>
  <c r="W24" i="12"/>
  <c r="X24" i="12"/>
  <c r="Y24" i="12"/>
  <c r="AR24" i="12"/>
  <c r="AZ24" i="12" s="1"/>
  <c r="AM24" i="12"/>
  <c r="BT24" i="12" s="1"/>
  <c r="M25" i="12"/>
  <c r="L25" i="12"/>
  <c r="AN25" i="12" s="1"/>
  <c r="AP24" i="12"/>
  <c r="AE24" i="12"/>
  <c r="AF24" i="12"/>
  <c r="AG24" i="12"/>
  <c r="AH24" i="12"/>
  <c r="S24" i="12"/>
  <c r="CO24" i="12" s="1"/>
  <c r="T24" i="12"/>
  <c r="CY24" i="12" s="1"/>
  <c r="U24" i="12"/>
  <c r="DI24" i="12" s="1"/>
  <c r="K25" i="12"/>
  <c r="R24" i="12"/>
  <c r="BQ24" i="12" s="1"/>
  <c r="V24" i="12"/>
  <c r="Q24" i="12"/>
  <c r="AY24" i="12" s="1"/>
  <c r="V310" i="7"/>
  <c r="AG310" i="7"/>
  <c r="B311" i="7"/>
  <c r="G476" i="3"/>
  <c r="C274" i="3"/>
  <c r="B209" i="7" s="1"/>
  <c r="C477" i="3"/>
  <c r="C66" i="10"/>
  <c r="G66" i="10" s="1"/>
  <c r="O335" i="3"/>
  <c r="O538" i="3"/>
  <c r="E333" i="3"/>
  <c r="U333" i="3" s="1"/>
  <c r="E536" i="3"/>
  <c r="U536" i="3" s="1"/>
  <c r="D274" i="3"/>
  <c r="D66" i="10"/>
  <c r="H66" i="10" s="1"/>
  <c r="D477" i="3"/>
  <c r="E298" i="3"/>
  <c r="E90" i="10"/>
  <c r="I90" i="10" s="1"/>
  <c r="E501" i="3"/>
  <c r="D336" i="7" s="1"/>
  <c r="O300" i="3"/>
  <c r="O503" i="3"/>
  <c r="N275" i="3"/>
  <c r="T275" i="3" s="1"/>
  <c r="N478" i="3"/>
  <c r="T478" i="3" s="1"/>
  <c r="J273" i="3"/>
  <c r="J476" i="3"/>
  <c r="G311" i="7" s="1"/>
  <c r="Q311" i="7" s="1"/>
  <c r="H273" i="3"/>
  <c r="H476" i="3"/>
  <c r="W474" i="3"/>
  <c r="Y475" i="3"/>
  <c r="AD475" i="3" s="1"/>
  <c r="F288" i="3"/>
  <c r="F80" i="10"/>
  <c r="J80" i="10" s="1"/>
  <c r="F491" i="3"/>
  <c r="F287" i="3"/>
  <c r="F79" i="10"/>
  <c r="J79" i="10" s="1"/>
  <c r="F490" i="3"/>
  <c r="AA272" i="3"/>
  <c r="AA273" i="3"/>
  <c r="C72" i="3"/>
  <c r="M275" i="3"/>
  <c r="S275" i="3" s="1"/>
  <c r="Z273" i="3"/>
  <c r="Z274" i="3"/>
  <c r="Y271" i="3"/>
  <c r="AD271" i="3" s="1"/>
  <c r="W271" i="3"/>
  <c r="U134" i="3"/>
  <c r="E132" i="3"/>
  <c r="E127" i="10" s="1"/>
  <c r="I127" i="10" s="1"/>
  <c r="AA70" i="3"/>
  <c r="AA71" i="3"/>
  <c r="G71" i="3"/>
  <c r="AB71" i="3"/>
  <c r="Y69" i="3"/>
  <c r="AH65" i="7"/>
  <c r="S65" i="7" s="1"/>
  <c r="W65" i="7"/>
  <c r="N65" i="7" s="1"/>
  <c r="AH207" i="7"/>
  <c r="S207" i="7" s="1"/>
  <c r="W207" i="7"/>
  <c r="N207" i="7" s="1"/>
  <c r="AH310" i="7"/>
  <c r="S310" i="7" s="1"/>
  <c r="W310" i="7"/>
  <c r="AG66" i="7"/>
  <c r="V66" i="7"/>
  <c r="C66" i="7"/>
  <c r="C208" i="7"/>
  <c r="C311" i="7"/>
  <c r="AI231" i="7"/>
  <c r="X231" i="7"/>
  <c r="X334" i="7"/>
  <c r="AI334" i="7"/>
  <c r="X88" i="7"/>
  <c r="AI88" i="7"/>
  <c r="D233" i="7"/>
  <c r="D90" i="7"/>
  <c r="E97" i="3"/>
  <c r="U99" i="3"/>
  <c r="K209" i="7"/>
  <c r="AD209" i="7" s="1"/>
  <c r="U274" i="3"/>
  <c r="AB274" i="3" s="1"/>
  <c r="K312" i="7"/>
  <c r="AD312" i="7" s="1"/>
  <c r="U477" i="3"/>
  <c r="AB477" i="3" s="1"/>
  <c r="R66" i="7"/>
  <c r="K67" i="7"/>
  <c r="AD67" i="7" s="1"/>
  <c r="R208" i="7"/>
  <c r="R311" i="7"/>
  <c r="T73" i="3"/>
  <c r="J67" i="7"/>
  <c r="AC67" i="7" s="1"/>
  <c r="J209" i="7"/>
  <c r="AC209" i="7" s="1"/>
  <c r="J312" i="7"/>
  <c r="AC312" i="7" s="1"/>
  <c r="Z71" i="3"/>
  <c r="I67" i="7"/>
  <c r="AB67" i="7" s="1"/>
  <c r="I209" i="7"/>
  <c r="AB209" i="7" s="1"/>
  <c r="Z477" i="3"/>
  <c r="I312" i="7"/>
  <c r="AB312" i="7" s="1"/>
  <c r="G208" i="7"/>
  <c r="Q208" i="7" s="1"/>
  <c r="G65" i="7"/>
  <c r="Q65" i="7" s="1"/>
  <c r="AD68" i="3"/>
  <c r="R71" i="3"/>
  <c r="P65" i="7"/>
  <c r="F310" i="7"/>
  <c r="P310" i="7" s="1"/>
  <c r="F207" i="7"/>
  <c r="P207" i="7" s="1"/>
  <c r="E80" i="7"/>
  <c r="M80" i="7" s="1"/>
  <c r="E221" i="7"/>
  <c r="E324" i="7"/>
  <c r="AJ78" i="7"/>
  <c r="Y78" i="7"/>
  <c r="AJ322" i="7"/>
  <c r="Y322" i="7"/>
  <c r="AJ219" i="7"/>
  <c r="Y219" i="7"/>
  <c r="E79" i="7"/>
  <c r="M79" i="7" s="1"/>
  <c r="E323" i="7"/>
  <c r="E220" i="7"/>
  <c r="AJ77" i="7"/>
  <c r="Y77" i="7"/>
  <c r="Y321" i="7"/>
  <c r="AJ321" i="7"/>
  <c r="AJ218" i="7"/>
  <c r="Y218" i="7"/>
  <c r="N310" i="7" l="1"/>
  <c r="AM64" i="7" s="1"/>
  <c r="AR64" i="7"/>
  <c r="G274" i="3"/>
  <c r="AQ65" i="7"/>
  <c r="R476" i="3"/>
  <c r="R273" i="3"/>
  <c r="AP65" i="7"/>
  <c r="AO64" i="7"/>
  <c r="BO8" i="12"/>
  <c r="DL8" i="12" s="1"/>
  <c r="DM8" i="12" s="1"/>
  <c r="DQ8" i="12" s="1"/>
  <c r="BN8" i="12"/>
  <c r="DB8" i="12" s="1"/>
  <c r="DC8" i="12" s="1"/>
  <c r="DG8" i="12" s="1"/>
  <c r="BL8" i="12"/>
  <c r="BW8" i="12" s="1"/>
  <c r="BX8" i="12" s="1"/>
  <c r="CE8" i="12" s="1"/>
  <c r="BL8" i="13"/>
  <c r="BW8" i="13" s="1"/>
  <c r="BX8" i="13" s="1"/>
  <c r="CE8" i="13" s="1"/>
  <c r="BN8" i="13"/>
  <c r="DB8" i="13" s="1"/>
  <c r="BM8" i="13"/>
  <c r="CR8" i="13" s="1"/>
  <c r="CS8" i="13" s="1"/>
  <c r="BO8" i="13"/>
  <c r="DL8" i="13" s="1"/>
  <c r="DM8" i="13" s="1"/>
  <c r="DP8" i="13" s="1"/>
  <c r="AY24" i="13"/>
  <c r="CS8" i="12"/>
  <c r="CW8" i="12" s="1"/>
  <c r="EF25" i="13"/>
  <c r="EL25" i="13" s="1"/>
  <c r="FE25" i="13" s="1"/>
  <c r="N25" i="13"/>
  <c r="AO25" i="13"/>
  <c r="AR25" i="13" s="1"/>
  <c r="AZ25" i="13" s="1"/>
  <c r="ED23" i="12"/>
  <c r="M479" i="3"/>
  <c r="S479" i="3" s="1"/>
  <c r="S73" i="3"/>
  <c r="AA24" i="12"/>
  <c r="CP24" i="12" s="1"/>
  <c r="AB24" i="12"/>
  <c r="CZ24" i="12" s="1"/>
  <c r="AC24" i="12"/>
  <c r="DJ24" i="12" s="1"/>
  <c r="AD24" i="12"/>
  <c r="BR24" i="12" s="1"/>
  <c r="AQ25" i="12"/>
  <c r="BU25" i="12" s="1"/>
  <c r="AS24" i="12"/>
  <c r="DV24" i="12" s="1"/>
  <c r="AO25" i="12"/>
  <c r="AI24" i="12"/>
  <c r="CQ24" i="12" s="1"/>
  <c r="AJ24" i="12"/>
  <c r="DA24" i="12" s="1"/>
  <c r="AK24" i="12"/>
  <c r="DK24" i="12" s="1"/>
  <c r="AL24" i="12"/>
  <c r="BS24" i="12" s="1"/>
  <c r="N25" i="12"/>
  <c r="Z25" i="12" s="1"/>
  <c r="AG311" i="7"/>
  <c r="V311" i="7"/>
  <c r="B312" i="7"/>
  <c r="G477" i="3"/>
  <c r="V209" i="7"/>
  <c r="AG209" i="7"/>
  <c r="C275" i="3"/>
  <c r="B210" i="7" s="1"/>
  <c r="D72" i="3"/>
  <c r="C67" i="10"/>
  <c r="G67" i="10" s="1"/>
  <c r="C478" i="3"/>
  <c r="O337" i="3"/>
  <c r="O540" i="3"/>
  <c r="E335" i="3"/>
  <c r="U335" i="3" s="1"/>
  <c r="E538" i="3"/>
  <c r="U538" i="3" s="1"/>
  <c r="AA477" i="3"/>
  <c r="AA476" i="3"/>
  <c r="E300" i="3"/>
  <c r="D235" i="7" s="1"/>
  <c r="E92" i="10"/>
  <c r="I92" i="10" s="1"/>
  <c r="E503" i="3"/>
  <c r="D338" i="7" s="1"/>
  <c r="O302" i="3"/>
  <c r="O505" i="3"/>
  <c r="AB478" i="3"/>
  <c r="N276" i="3"/>
  <c r="T276" i="3" s="1"/>
  <c r="N479" i="3"/>
  <c r="T479" i="3" s="1"/>
  <c r="J274" i="3"/>
  <c r="G209" i="7" s="1"/>
  <c r="Q209" i="7" s="1"/>
  <c r="J477" i="3"/>
  <c r="G312" i="7" s="1"/>
  <c r="Q312" i="7" s="1"/>
  <c r="W70" i="3"/>
  <c r="H274" i="3"/>
  <c r="H477" i="3"/>
  <c r="W475" i="3"/>
  <c r="Y476" i="3"/>
  <c r="F290" i="3"/>
  <c r="F493" i="3"/>
  <c r="F82" i="10"/>
  <c r="J82" i="10" s="1"/>
  <c r="F289" i="3"/>
  <c r="F81" i="10"/>
  <c r="J81" i="10" s="1"/>
  <c r="F492" i="3"/>
  <c r="C73" i="3"/>
  <c r="W22" i="13" s="1"/>
  <c r="M276" i="3"/>
  <c r="S276" i="3" s="1"/>
  <c r="Y272" i="3"/>
  <c r="AD272" i="3" s="1"/>
  <c r="W272" i="3"/>
  <c r="E134" i="3"/>
  <c r="E129" i="10" s="1"/>
  <c r="I129" i="10" s="1"/>
  <c r="U136" i="3"/>
  <c r="AD69" i="3"/>
  <c r="C209" i="7"/>
  <c r="AA72" i="3"/>
  <c r="Z72" i="3"/>
  <c r="C312" i="7"/>
  <c r="W66" i="7"/>
  <c r="N66" i="7" s="1"/>
  <c r="AH66" i="7"/>
  <c r="S66" i="7" s="1"/>
  <c r="W208" i="7"/>
  <c r="N208" i="7" s="1"/>
  <c r="AH208" i="7"/>
  <c r="S208" i="7" s="1"/>
  <c r="W311" i="7"/>
  <c r="AH311" i="7"/>
  <c r="AI233" i="7"/>
  <c r="X233" i="7"/>
  <c r="AI336" i="7"/>
  <c r="X336" i="7"/>
  <c r="X90" i="7"/>
  <c r="AI90" i="7"/>
  <c r="D92" i="7"/>
  <c r="E99" i="3"/>
  <c r="U101" i="3"/>
  <c r="K313" i="7"/>
  <c r="AD313" i="7" s="1"/>
  <c r="U478" i="3"/>
  <c r="K210" i="7"/>
  <c r="AD210" i="7" s="1"/>
  <c r="U275" i="3"/>
  <c r="AB72" i="3"/>
  <c r="K68" i="7"/>
  <c r="AD68" i="7" s="1"/>
  <c r="AB73" i="3"/>
  <c r="U22" i="13" s="1"/>
  <c r="DI22" i="13" s="1"/>
  <c r="R67" i="7"/>
  <c r="R209" i="7"/>
  <c r="R312" i="7"/>
  <c r="T74" i="3"/>
  <c r="J68" i="7"/>
  <c r="AC68" i="7" s="1"/>
  <c r="J210" i="7"/>
  <c r="AC210" i="7" s="1"/>
  <c r="J313" i="7"/>
  <c r="AC313" i="7" s="1"/>
  <c r="I68" i="7"/>
  <c r="AB68" i="7" s="1"/>
  <c r="I210" i="7"/>
  <c r="AB210" i="7" s="1"/>
  <c r="Z478" i="3"/>
  <c r="I313" i="7"/>
  <c r="AB313" i="7" s="1"/>
  <c r="G66" i="7"/>
  <c r="Q66" i="7" s="1"/>
  <c r="Y70" i="3"/>
  <c r="W71" i="3"/>
  <c r="R72" i="3"/>
  <c r="P66" i="7"/>
  <c r="F311" i="7"/>
  <c r="P311" i="7" s="1"/>
  <c r="F208" i="7"/>
  <c r="P208" i="7" s="1"/>
  <c r="E82" i="7"/>
  <c r="E223" i="7"/>
  <c r="E326" i="7"/>
  <c r="Y80" i="7"/>
  <c r="AJ80" i="7"/>
  <c r="Y221" i="7"/>
  <c r="AJ221" i="7"/>
  <c r="Y324" i="7"/>
  <c r="AJ324" i="7"/>
  <c r="E81" i="7"/>
  <c r="M81" i="7" s="1"/>
  <c r="E222" i="7"/>
  <c r="E325" i="7"/>
  <c r="Y79" i="7"/>
  <c r="AJ79" i="7"/>
  <c r="AJ323" i="7"/>
  <c r="Y323" i="7"/>
  <c r="AJ220" i="7"/>
  <c r="Y220" i="7"/>
  <c r="AO65" i="7" l="1"/>
  <c r="AQ66" i="7"/>
  <c r="AA22" i="13"/>
  <c r="CP22" i="13" s="1"/>
  <c r="AD476" i="3"/>
  <c r="R274" i="3"/>
  <c r="R477" i="3"/>
  <c r="AP66" i="7"/>
  <c r="CW8" i="13"/>
  <c r="DS8" i="13"/>
  <c r="DW8" i="13" s="1"/>
  <c r="EA8" i="13" s="1"/>
  <c r="DN8" i="13"/>
  <c r="DU8" i="13"/>
  <c r="DY8" i="13" s="1"/>
  <c r="EC8" i="13" s="1"/>
  <c r="FD8" i="13" s="1"/>
  <c r="FG8" i="13" s="1"/>
  <c r="DO8" i="13"/>
  <c r="DQ8" i="13"/>
  <c r="DC8" i="13"/>
  <c r="DG8" i="13" s="1"/>
  <c r="CV8" i="13"/>
  <c r="CU8" i="13"/>
  <c r="CT8" i="13"/>
  <c r="ER25" i="13"/>
  <c r="EG25" i="13"/>
  <c r="EM25" i="13" s="1"/>
  <c r="EK24" i="13"/>
  <c r="EJ25" i="13"/>
  <c r="CC8" i="13"/>
  <c r="CI8" i="13"/>
  <c r="CK8" i="13" s="1"/>
  <c r="BZ8" i="13"/>
  <c r="CB8" i="13"/>
  <c r="BY8" i="13"/>
  <c r="CD8" i="13"/>
  <c r="CA8" i="13"/>
  <c r="CH8" i="13"/>
  <c r="DO8" i="12"/>
  <c r="DU8" i="12"/>
  <c r="DY8" i="12" s="1"/>
  <c r="EC8" i="12" s="1"/>
  <c r="DP8" i="12"/>
  <c r="DN8" i="12"/>
  <c r="DF8" i="12"/>
  <c r="DE8" i="12"/>
  <c r="DD8" i="12"/>
  <c r="DT8" i="12"/>
  <c r="DX8" i="12" s="1"/>
  <c r="EB8" i="12" s="1"/>
  <c r="CV8" i="12"/>
  <c r="CT8" i="12"/>
  <c r="CU8" i="12"/>
  <c r="DS8" i="12"/>
  <c r="DW8" i="12" s="1"/>
  <c r="EA8" i="12" s="1"/>
  <c r="CD8" i="12"/>
  <c r="CB8" i="12"/>
  <c r="CI8" i="12"/>
  <c r="CK8" i="12" s="1"/>
  <c r="CH8" i="12"/>
  <c r="BY8" i="12"/>
  <c r="BZ8" i="12"/>
  <c r="CC8" i="12"/>
  <c r="CA8" i="12"/>
  <c r="M26" i="13"/>
  <c r="K26" i="13"/>
  <c r="AP25" i="13"/>
  <c r="AS25" i="13" s="1"/>
  <c r="DV25" i="13" s="1"/>
  <c r="DZ25" i="13" s="1"/>
  <c r="ED25" i="13" s="1"/>
  <c r="CG25" i="13"/>
  <c r="L26" i="13"/>
  <c r="AN26" i="13" s="1"/>
  <c r="AQ26" i="13" s="1"/>
  <c r="BU26" i="13" s="1"/>
  <c r="AM25" i="13"/>
  <c r="BT25" i="13" s="1"/>
  <c r="Q25" i="13"/>
  <c r="Y25" i="13"/>
  <c r="Z25" i="13"/>
  <c r="V25" i="13"/>
  <c r="CJ25" i="13"/>
  <c r="AH25" i="13"/>
  <c r="AL25" i="13" s="1"/>
  <c r="BS25" i="13" s="1"/>
  <c r="AG25" i="13"/>
  <c r="AK25" i="13" s="1"/>
  <c r="DK25" i="13" s="1"/>
  <c r="AF25" i="13"/>
  <c r="AJ25" i="13" s="1"/>
  <c r="DA25" i="13" s="1"/>
  <c r="AE25" i="13"/>
  <c r="AI25" i="13" s="1"/>
  <c r="CQ25" i="13" s="1"/>
  <c r="DZ24" i="12"/>
  <c r="N311" i="7"/>
  <c r="AM65" i="7" s="1"/>
  <c r="S311" i="7"/>
  <c r="AR65" i="7" s="1"/>
  <c r="V210" i="7"/>
  <c r="AG210" i="7"/>
  <c r="V67" i="7"/>
  <c r="AG67" i="7"/>
  <c r="G72" i="3"/>
  <c r="C67" i="7"/>
  <c r="M480" i="3"/>
  <c r="S480" i="3" s="1"/>
  <c r="S74" i="3"/>
  <c r="CJ25" i="12"/>
  <c r="CG25" i="12"/>
  <c r="W25" i="12"/>
  <c r="X25" i="12"/>
  <c r="Y25" i="12"/>
  <c r="AR25" i="12"/>
  <c r="AZ25" i="12" s="1"/>
  <c r="AM25" i="12"/>
  <c r="BT25" i="12" s="1"/>
  <c r="M26" i="12"/>
  <c r="L26" i="12"/>
  <c r="AN26" i="12" s="1"/>
  <c r="AP25" i="12"/>
  <c r="AE25" i="12"/>
  <c r="AF25" i="12"/>
  <c r="AG25" i="12"/>
  <c r="AH25" i="12"/>
  <c r="S25" i="12"/>
  <c r="CO25" i="12" s="1"/>
  <c r="T25" i="12"/>
  <c r="CY25" i="12" s="1"/>
  <c r="U25" i="12"/>
  <c r="DI25" i="12" s="1"/>
  <c r="Q25" i="12"/>
  <c r="AY25" i="12" s="1"/>
  <c r="V25" i="12"/>
  <c r="K26" i="12"/>
  <c r="R25" i="12"/>
  <c r="BQ25" i="12" s="1"/>
  <c r="V312" i="7"/>
  <c r="AG312" i="7"/>
  <c r="D478" i="3"/>
  <c r="D67" i="10"/>
  <c r="H67" i="10" s="1"/>
  <c r="D275" i="3"/>
  <c r="B313" i="7"/>
  <c r="C276" i="3"/>
  <c r="B211" i="7" s="1"/>
  <c r="D73" i="3"/>
  <c r="X22" i="13" s="1"/>
  <c r="C68" i="10"/>
  <c r="G68" i="10" s="1"/>
  <c r="C479" i="3"/>
  <c r="E337" i="3"/>
  <c r="U337" i="3" s="1"/>
  <c r="E540" i="3"/>
  <c r="U540" i="3" s="1"/>
  <c r="O339" i="3"/>
  <c r="O542" i="3"/>
  <c r="E302" i="3"/>
  <c r="D237" i="7" s="1"/>
  <c r="E94" i="10"/>
  <c r="I94" i="10" s="1"/>
  <c r="E505" i="3"/>
  <c r="D340" i="7" s="1"/>
  <c r="O304" i="3"/>
  <c r="O507" i="3"/>
  <c r="N277" i="3"/>
  <c r="T277" i="3" s="1"/>
  <c r="N480" i="3"/>
  <c r="T480" i="3" s="1"/>
  <c r="J275" i="3"/>
  <c r="G210" i="7" s="1"/>
  <c r="Q210" i="7" s="1"/>
  <c r="J478" i="3"/>
  <c r="G313" i="7" s="1"/>
  <c r="Q313" i="7" s="1"/>
  <c r="H275" i="3"/>
  <c r="R275" i="3" s="1"/>
  <c r="H478" i="3"/>
  <c r="R478" i="3" s="1"/>
  <c r="W476" i="3"/>
  <c r="Y477" i="3"/>
  <c r="AD477" i="3" s="1"/>
  <c r="F292" i="3"/>
  <c r="F84" i="10"/>
  <c r="J84" i="10" s="1"/>
  <c r="F495" i="3"/>
  <c r="F291" i="3"/>
  <c r="F83" i="10"/>
  <c r="J83" i="10" s="1"/>
  <c r="F494" i="3"/>
  <c r="AA274" i="3"/>
  <c r="AB275" i="3"/>
  <c r="C74" i="3"/>
  <c r="M277" i="3"/>
  <c r="S277" i="3" s="1"/>
  <c r="Z275" i="3"/>
  <c r="Y273" i="3"/>
  <c r="AD273" i="3" s="1"/>
  <c r="W273" i="3"/>
  <c r="U138" i="3"/>
  <c r="E136" i="3"/>
  <c r="E131" i="10" s="1"/>
  <c r="I131" i="10" s="1"/>
  <c r="AH312" i="7"/>
  <c r="W312" i="7"/>
  <c r="AH209" i="7"/>
  <c r="S209" i="7" s="1"/>
  <c r="W209" i="7"/>
  <c r="N209" i="7" s="1"/>
  <c r="Y71" i="3"/>
  <c r="R20" i="13" s="1"/>
  <c r="BQ20" i="13" s="1"/>
  <c r="X92" i="7"/>
  <c r="AI92" i="7"/>
  <c r="AI235" i="7"/>
  <c r="X235" i="7"/>
  <c r="AI338" i="7"/>
  <c r="X338" i="7"/>
  <c r="D94" i="7"/>
  <c r="E101" i="3"/>
  <c r="U103" i="3"/>
  <c r="K314" i="7"/>
  <c r="AD314" i="7" s="1"/>
  <c r="U479" i="3"/>
  <c r="AB479" i="3" s="1"/>
  <c r="K211" i="7"/>
  <c r="AD211" i="7" s="1"/>
  <c r="U276" i="3"/>
  <c r="K69" i="7"/>
  <c r="AD69" i="7" s="1"/>
  <c r="T75" i="3"/>
  <c r="J69" i="7"/>
  <c r="AC69" i="7" s="1"/>
  <c r="J211" i="7"/>
  <c r="AC211" i="7" s="1"/>
  <c r="J314" i="7"/>
  <c r="AC314" i="7" s="1"/>
  <c r="Z73" i="3"/>
  <c r="S22" i="13" s="1"/>
  <c r="CO22" i="13" s="1"/>
  <c r="I69" i="7"/>
  <c r="AB69" i="7" s="1"/>
  <c r="I211" i="7"/>
  <c r="AB211" i="7" s="1"/>
  <c r="Z479" i="3"/>
  <c r="I314" i="7"/>
  <c r="AB314" i="7" s="1"/>
  <c r="G67" i="7"/>
  <c r="Q67" i="7" s="1"/>
  <c r="AD70" i="3"/>
  <c r="W72" i="3"/>
  <c r="R73" i="3"/>
  <c r="P67" i="7"/>
  <c r="F209" i="7"/>
  <c r="P209" i="7" s="1"/>
  <c r="F312" i="7"/>
  <c r="P312" i="7" s="1"/>
  <c r="E84" i="7"/>
  <c r="E225" i="7"/>
  <c r="E328" i="7"/>
  <c r="Y82" i="7"/>
  <c r="AJ82" i="7"/>
  <c r="Y223" i="7"/>
  <c r="AJ223" i="7"/>
  <c r="AJ326" i="7"/>
  <c r="Y326" i="7"/>
  <c r="E83" i="7"/>
  <c r="E224" i="7"/>
  <c r="E327" i="7"/>
  <c r="Y81" i="7"/>
  <c r="AJ81" i="7"/>
  <c r="AJ222" i="7"/>
  <c r="Y222" i="7"/>
  <c r="Y325" i="7"/>
  <c r="AJ325" i="7"/>
  <c r="R68" i="7"/>
  <c r="R210" i="7"/>
  <c r="R313" i="7"/>
  <c r="AP67" i="7" l="1"/>
  <c r="AO66" i="7"/>
  <c r="FD8" i="12"/>
  <c r="FG8" i="12" s="1"/>
  <c r="AB22" i="13"/>
  <c r="CZ22" i="13" s="1"/>
  <c r="AQ67" i="7"/>
  <c r="DF8" i="13"/>
  <c r="DT8" i="13"/>
  <c r="DX8" i="13" s="1"/>
  <c r="EB8" i="13" s="1"/>
  <c r="DE8" i="13"/>
  <c r="DD8" i="13"/>
  <c r="AY25" i="13"/>
  <c r="CL8" i="13"/>
  <c r="BB9" i="13" s="1"/>
  <c r="CM8" i="13"/>
  <c r="CL8" i="12"/>
  <c r="BB9" i="12" s="1"/>
  <c r="BE9" i="12" s="1"/>
  <c r="CM8" i="12"/>
  <c r="EF26" i="13"/>
  <c r="EL26" i="13" s="1"/>
  <c r="FE26" i="13" s="1"/>
  <c r="N26" i="13"/>
  <c r="AO26" i="13"/>
  <c r="AR26" i="13" s="1"/>
  <c r="AZ26" i="13" s="1"/>
  <c r="AC25" i="13"/>
  <c r="DJ25" i="13" s="1"/>
  <c r="AD25" i="13"/>
  <c r="BR25" i="13" s="1"/>
  <c r="ED24" i="12"/>
  <c r="W67" i="7"/>
  <c r="N67" i="7" s="1"/>
  <c r="AH67" i="7"/>
  <c r="S67" i="7" s="1"/>
  <c r="V211" i="7"/>
  <c r="AG211" i="7"/>
  <c r="G73" i="3"/>
  <c r="C68" i="7"/>
  <c r="V68" i="7"/>
  <c r="AG68" i="7"/>
  <c r="M481" i="3"/>
  <c r="S481" i="3" s="1"/>
  <c r="S75" i="3"/>
  <c r="AA25" i="12"/>
  <c r="CP25" i="12" s="1"/>
  <c r="AB25" i="12"/>
  <c r="CZ25" i="12" s="1"/>
  <c r="AC25" i="12"/>
  <c r="DJ25" i="12" s="1"/>
  <c r="AD25" i="12"/>
  <c r="BR25" i="12" s="1"/>
  <c r="AQ26" i="12"/>
  <c r="BU26" i="12" s="1"/>
  <c r="AS25" i="12"/>
  <c r="DV25" i="12" s="1"/>
  <c r="AO26" i="12"/>
  <c r="AI25" i="12"/>
  <c r="CQ25" i="12" s="1"/>
  <c r="AJ25" i="12"/>
  <c r="DA25" i="12" s="1"/>
  <c r="AK25" i="12"/>
  <c r="DK25" i="12" s="1"/>
  <c r="AL25" i="12"/>
  <c r="BS25" i="12" s="1"/>
  <c r="N26" i="12"/>
  <c r="Z26" i="12" s="1"/>
  <c r="V313" i="7"/>
  <c r="AG313" i="7"/>
  <c r="D479" i="3"/>
  <c r="D68" i="10"/>
  <c r="H68" i="10" s="1"/>
  <c r="D276" i="3"/>
  <c r="G276" i="3" s="1"/>
  <c r="B314" i="7"/>
  <c r="S312" i="7"/>
  <c r="AR66" i="7" s="1"/>
  <c r="N312" i="7"/>
  <c r="AM66" i="7" s="1"/>
  <c r="G478" i="3"/>
  <c r="C313" i="7"/>
  <c r="AH313" i="7" s="1"/>
  <c r="S313" i="7" s="1"/>
  <c r="G275" i="3"/>
  <c r="C210" i="7"/>
  <c r="AH210" i="7" s="1"/>
  <c r="S210" i="7" s="1"/>
  <c r="AA275" i="3"/>
  <c r="C277" i="3"/>
  <c r="B212" i="7" s="1"/>
  <c r="V212" i="7" s="1"/>
  <c r="D74" i="3"/>
  <c r="C69" i="10"/>
  <c r="G69" i="10" s="1"/>
  <c r="C480" i="3"/>
  <c r="O341" i="3"/>
  <c r="O544" i="3"/>
  <c r="E339" i="3"/>
  <c r="E542" i="3"/>
  <c r="U542" i="3" s="1"/>
  <c r="E304" i="3"/>
  <c r="E507" i="3"/>
  <c r="E96" i="10"/>
  <c r="I96" i="10" s="1"/>
  <c r="O306" i="3"/>
  <c r="O509" i="3"/>
  <c r="N278" i="3"/>
  <c r="T278" i="3" s="1"/>
  <c r="N481" i="3"/>
  <c r="T481" i="3" s="1"/>
  <c r="J276" i="3"/>
  <c r="G211" i="7" s="1"/>
  <c r="Q211" i="7" s="1"/>
  <c r="J479" i="3"/>
  <c r="G314" i="7" s="1"/>
  <c r="Q314" i="7" s="1"/>
  <c r="H276" i="3"/>
  <c r="H479" i="3"/>
  <c r="Y478" i="3"/>
  <c r="W477" i="3"/>
  <c r="F294" i="3"/>
  <c r="F497" i="3"/>
  <c r="F86" i="10"/>
  <c r="J86" i="10" s="1"/>
  <c r="F293" i="3"/>
  <c r="F496" i="3"/>
  <c r="F85" i="10"/>
  <c r="J85" i="10" s="1"/>
  <c r="AB276" i="3"/>
  <c r="C75" i="3"/>
  <c r="M278" i="3"/>
  <c r="S278" i="3" s="1"/>
  <c r="Z276" i="3"/>
  <c r="Y274" i="3"/>
  <c r="AD274" i="3" s="1"/>
  <c r="W274" i="3"/>
  <c r="U140" i="3"/>
  <c r="E138" i="3"/>
  <c r="E133" i="10" s="1"/>
  <c r="I133" i="10" s="1"/>
  <c r="U339" i="3"/>
  <c r="AD71" i="3"/>
  <c r="AA73" i="3"/>
  <c r="T22" i="13" s="1"/>
  <c r="CY22" i="13" s="1"/>
  <c r="Z74" i="3"/>
  <c r="G74" i="3"/>
  <c r="W68" i="7"/>
  <c r="AH68" i="7"/>
  <c r="V69" i="7"/>
  <c r="AG69" i="7"/>
  <c r="C69" i="7"/>
  <c r="C211" i="7"/>
  <c r="D75" i="3"/>
  <c r="AI94" i="7"/>
  <c r="X94" i="7"/>
  <c r="AI340" i="7"/>
  <c r="X340" i="7"/>
  <c r="X237" i="7"/>
  <c r="AI237" i="7"/>
  <c r="D239" i="7"/>
  <c r="D96" i="7"/>
  <c r="D342" i="7"/>
  <c r="E103" i="3"/>
  <c r="U105" i="3"/>
  <c r="U277" i="3"/>
  <c r="AB277" i="3" s="1"/>
  <c r="K212" i="7"/>
  <c r="AD212" i="7" s="1"/>
  <c r="U480" i="3"/>
  <c r="K315" i="7"/>
  <c r="AD315" i="7" s="1"/>
  <c r="AB74" i="3"/>
  <c r="K70" i="7"/>
  <c r="AD70" i="7" s="1"/>
  <c r="R69" i="7"/>
  <c r="R211" i="7"/>
  <c r="T76" i="3"/>
  <c r="J70" i="7"/>
  <c r="AC70" i="7" s="1"/>
  <c r="J212" i="7"/>
  <c r="AC212" i="7" s="1"/>
  <c r="J315" i="7"/>
  <c r="AC315" i="7" s="1"/>
  <c r="I70" i="7"/>
  <c r="AB70" i="7" s="1"/>
  <c r="Z277" i="3"/>
  <c r="I212" i="7"/>
  <c r="AB212" i="7" s="1"/>
  <c r="Z480" i="3"/>
  <c r="I315" i="7"/>
  <c r="AB315" i="7" s="1"/>
  <c r="G68" i="7"/>
  <c r="Q68" i="7" s="1"/>
  <c r="Y72" i="3"/>
  <c r="W73" i="3"/>
  <c r="R74" i="3"/>
  <c r="P68" i="7"/>
  <c r="Y275" i="3"/>
  <c r="F210" i="7"/>
  <c r="P210" i="7" s="1"/>
  <c r="F313" i="7"/>
  <c r="P313" i="7" s="1"/>
  <c r="E86" i="7"/>
  <c r="E227" i="7"/>
  <c r="E330" i="7"/>
  <c r="Y84" i="7"/>
  <c r="AJ84" i="7"/>
  <c r="Y225" i="7"/>
  <c r="AJ225" i="7"/>
  <c r="AJ328" i="7"/>
  <c r="Y328" i="7"/>
  <c r="E85" i="7"/>
  <c r="E226" i="7"/>
  <c r="E329" i="7"/>
  <c r="Y83" i="7"/>
  <c r="AJ83" i="7"/>
  <c r="AJ224" i="7"/>
  <c r="Y224" i="7"/>
  <c r="Y327" i="7"/>
  <c r="AJ327" i="7"/>
  <c r="R314" i="7"/>
  <c r="W313" i="7" l="1"/>
  <c r="N313" i="7" s="1"/>
  <c r="AG212" i="7"/>
  <c r="W210" i="7"/>
  <c r="N210" i="7" s="1"/>
  <c r="AM67" i="7" s="1"/>
  <c r="S68" i="7"/>
  <c r="N68" i="7"/>
  <c r="AQ68" i="7"/>
  <c r="AD275" i="3"/>
  <c r="R276" i="3"/>
  <c r="R479" i="3"/>
  <c r="AP68" i="7"/>
  <c r="AO67" i="7"/>
  <c r="AR67" i="7"/>
  <c r="BC9" i="12"/>
  <c r="BC9" i="13"/>
  <c r="BE9" i="13"/>
  <c r="EG26" i="13"/>
  <c r="EM26" i="13" s="1"/>
  <c r="ER26" i="13"/>
  <c r="EK25" i="13"/>
  <c r="EJ26" i="13"/>
  <c r="AM26" i="13"/>
  <c r="BT26" i="13" s="1"/>
  <c r="Q26" i="13"/>
  <c r="Y26" i="13"/>
  <c r="AH26" i="13"/>
  <c r="AL26" i="13" s="1"/>
  <c r="BS26" i="13" s="1"/>
  <c r="K27" i="13"/>
  <c r="CG26" i="13"/>
  <c r="L27" i="13"/>
  <c r="AN27" i="13" s="1"/>
  <c r="AQ27" i="13" s="1"/>
  <c r="BU27" i="13" s="1"/>
  <c r="M27" i="13"/>
  <c r="AP26" i="13"/>
  <c r="AS26" i="13" s="1"/>
  <c r="DV26" i="13" s="1"/>
  <c r="DZ26" i="13" s="1"/>
  <c r="ED26" i="13" s="1"/>
  <c r="Z26" i="13"/>
  <c r="AD26" i="13" s="1"/>
  <c r="BR26" i="13" s="1"/>
  <c r="V26" i="13"/>
  <c r="CJ26" i="13"/>
  <c r="AG26" i="13"/>
  <c r="AK26" i="13" s="1"/>
  <c r="DK26" i="13" s="1"/>
  <c r="AF26" i="13"/>
  <c r="AJ26" i="13" s="1"/>
  <c r="DA26" i="13" s="1"/>
  <c r="AE26" i="13"/>
  <c r="AI26" i="13" s="1"/>
  <c r="CQ26" i="13" s="1"/>
  <c r="DZ25" i="12"/>
  <c r="M482" i="3"/>
  <c r="S482" i="3" s="1"/>
  <c r="S76" i="3"/>
  <c r="CJ26" i="12"/>
  <c r="CG26" i="12"/>
  <c r="W26" i="12"/>
  <c r="X26" i="12"/>
  <c r="Y26" i="12"/>
  <c r="AR26" i="12"/>
  <c r="AZ26" i="12" s="1"/>
  <c r="AM26" i="12"/>
  <c r="BT26" i="12" s="1"/>
  <c r="M27" i="12"/>
  <c r="L27" i="12"/>
  <c r="AN27" i="12" s="1"/>
  <c r="AP26" i="12"/>
  <c r="AE26" i="12"/>
  <c r="AF26" i="12"/>
  <c r="AG26" i="12"/>
  <c r="AH26" i="12"/>
  <c r="T26" i="12"/>
  <c r="CY26" i="12" s="1"/>
  <c r="U26" i="12"/>
  <c r="DI26" i="12" s="1"/>
  <c r="Q26" i="12"/>
  <c r="AY26" i="12" s="1"/>
  <c r="V26" i="12"/>
  <c r="S26" i="12"/>
  <c r="CO26" i="12" s="1"/>
  <c r="K27" i="12"/>
  <c r="R26" i="12"/>
  <c r="BQ26" i="12" s="1"/>
  <c r="AG314" i="7"/>
  <c r="V314" i="7"/>
  <c r="AA478" i="3"/>
  <c r="AD478" i="3" s="1"/>
  <c r="D480" i="3"/>
  <c r="D69" i="10"/>
  <c r="H69" i="10" s="1"/>
  <c r="D277" i="3"/>
  <c r="B315" i="7"/>
  <c r="G479" i="3"/>
  <c r="AA479" i="3"/>
  <c r="C314" i="7"/>
  <c r="C278" i="3"/>
  <c r="B213" i="7" s="1"/>
  <c r="V213" i="7" s="1"/>
  <c r="C481" i="3"/>
  <c r="Z481" i="3" s="1"/>
  <c r="C70" i="10"/>
  <c r="G70" i="10" s="1"/>
  <c r="O343" i="3"/>
  <c r="O546" i="3"/>
  <c r="E341" i="3"/>
  <c r="E544" i="3"/>
  <c r="U544" i="3" s="1"/>
  <c r="D278" i="3"/>
  <c r="G278" i="3" s="1"/>
  <c r="D70" i="10"/>
  <c r="H70" i="10" s="1"/>
  <c r="D481" i="3"/>
  <c r="E306" i="3"/>
  <c r="D241" i="7" s="1"/>
  <c r="E509" i="3"/>
  <c r="D344" i="7" s="1"/>
  <c r="E98" i="10"/>
  <c r="I98" i="10" s="1"/>
  <c r="O308" i="3"/>
  <c r="O511" i="3"/>
  <c r="AB480" i="3"/>
  <c r="N279" i="3"/>
  <c r="T279" i="3" s="1"/>
  <c r="N482" i="3"/>
  <c r="T482" i="3" s="1"/>
  <c r="J277" i="3"/>
  <c r="G212" i="7" s="1"/>
  <c r="Q212" i="7" s="1"/>
  <c r="J480" i="3"/>
  <c r="G315" i="7" s="1"/>
  <c r="Q315" i="7" s="1"/>
  <c r="H277" i="3"/>
  <c r="R277" i="3" s="1"/>
  <c r="H480" i="3"/>
  <c r="R480" i="3" s="1"/>
  <c r="Y479" i="3"/>
  <c r="W478" i="3"/>
  <c r="F296" i="3"/>
  <c r="F499" i="3"/>
  <c r="F88" i="10"/>
  <c r="J88" i="10" s="1"/>
  <c r="F295" i="3"/>
  <c r="F498" i="3"/>
  <c r="F87" i="10"/>
  <c r="J87" i="10" s="1"/>
  <c r="AA276" i="3"/>
  <c r="C76" i="3"/>
  <c r="M279" i="3"/>
  <c r="S279" i="3" s="1"/>
  <c r="W275" i="3"/>
  <c r="E140" i="3"/>
  <c r="E135" i="10" s="1"/>
  <c r="I135" i="10" s="1"/>
  <c r="U142" i="3"/>
  <c r="U341" i="3"/>
  <c r="AA74" i="3"/>
  <c r="Y73" i="3"/>
  <c r="AH69" i="7"/>
  <c r="S69" i="7" s="1"/>
  <c r="W69" i="7"/>
  <c r="N69" i="7" s="1"/>
  <c r="AH211" i="7"/>
  <c r="S211" i="7" s="1"/>
  <c r="W211" i="7"/>
  <c r="N211" i="7" s="1"/>
  <c r="AG70" i="7"/>
  <c r="V70" i="7"/>
  <c r="C70" i="7"/>
  <c r="G75" i="3"/>
  <c r="D76" i="3"/>
  <c r="X239" i="7"/>
  <c r="AI239" i="7"/>
  <c r="AI96" i="7"/>
  <c r="X96" i="7"/>
  <c r="X342" i="7"/>
  <c r="AI342" i="7"/>
  <c r="D98" i="7"/>
  <c r="E105" i="3"/>
  <c r="U107" i="3"/>
  <c r="K316" i="7"/>
  <c r="AD316" i="7" s="1"/>
  <c r="U481" i="3"/>
  <c r="K213" i="7"/>
  <c r="AD213" i="7" s="1"/>
  <c r="U278" i="3"/>
  <c r="AB278" i="3" s="1"/>
  <c r="R212" i="7"/>
  <c r="R315" i="7"/>
  <c r="AB75" i="3"/>
  <c r="K71" i="7"/>
  <c r="AD71" i="7" s="1"/>
  <c r="R70" i="7"/>
  <c r="T77" i="3"/>
  <c r="J71" i="7"/>
  <c r="AC71" i="7" s="1"/>
  <c r="J213" i="7"/>
  <c r="AC213" i="7" s="1"/>
  <c r="J316" i="7"/>
  <c r="AC316" i="7" s="1"/>
  <c r="Z75" i="3"/>
  <c r="I71" i="7"/>
  <c r="AB71" i="7" s="1"/>
  <c r="I213" i="7"/>
  <c r="AB213" i="7" s="1"/>
  <c r="I316" i="7"/>
  <c r="AB316" i="7" s="1"/>
  <c r="G69" i="7"/>
  <c r="Q69" i="7" s="1"/>
  <c r="AD72" i="3"/>
  <c r="R75" i="3"/>
  <c r="P69" i="7"/>
  <c r="F314" i="7"/>
  <c r="P314" i="7" s="1"/>
  <c r="F211" i="7"/>
  <c r="P211" i="7" s="1"/>
  <c r="E88" i="7"/>
  <c r="E229" i="7"/>
  <c r="E332" i="7"/>
  <c r="Y86" i="7"/>
  <c r="AJ86" i="7"/>
  <c r="Y227" i="7"/>
  <c r="AJ227" i="7"/>
  <c r="Y330" i="7"/>
  <c r="AJ330" i="7"/>
  <c r="E87" i="7"/>
  <c r="E228" i="7"/>
  <c r="E331" i="7"/>
  <c r="Y85" i="7"/>
  <c r="AJ85" i="7"/>
  <c r="Y226" i="7"/>
  <c r="AJ226" i="7"/>
  <c r="Y329" i="7"/>
  <c r="AJ329" i="7"/>
  <c r="AG213" i="7" l="1"/>
  <c r="AQ69" i="7"/>
  <c r="AP69" i="7"/>
  <c r="AO68" i="7"/>
  <c r="BK9" i="12"/>
  <c r="BO9" i="12" s="1"/>
  <c r="DL9" i="12" s="1"/>
  <c r="BH9" i="12"/>
  <c r="BI9" i="12"/>
  <c r="BH9" i="13"/>
  <c r="BI9" i="13"/>
  <c r="BG9" i="12"/>
  <c r="BF9" i="12"/>
  <c r="BG9" i="13"/>
  <c r="BK9" i="13"/>
  <c r="BF9" i="13"/>
  <c r="AY26" i="13"/>
  <c r="EF27" i="13"/>
  <c r="EL27" i="13" s="1"/>
  <c r="FE27" i="13" s="1"/>
  <c r="N27" i="13"/>
  <c r="AM27" i="13" s="1"/>
  <c r="BT27" i="13" s="1"/>
  <c r="AC26" i="13"/>
  <c r="DJ26" i="13" s="1"/>
  <c r="AO27" i="13"/>
  <c r="AR27" i="13" s="1"/>
  <c r="AZ27" i="13" s="1"/>
  <c r="ED25" i="12"/>
  <c r="M483" i="3"/>
  <c r="S483" i="3" s="1"/>
  <c r="S77" i="3"/>
  <c r="AA26" i="12"/>
  <c r="CP26" i="12" s="1"/>
  <c r="AB26" i="12"/>
  <c r="CZ26" i="12" s="1"/>
  <c r="AC26" i="12"/>
  <c r="DJ26" i="12" s="1"/>
  <c r="AD26" i="12"/>
  <c r="BR26" i="12" s="1"/>
  <c r="AQ27" i="12"/>
  <c r="BU27" i="12" s="1"/>
  <c r="AS26" i="12"/>
  <c r="DV26" i="12" s="1"/>
  <c r="AO27" i="12"/>
  <c r="AI26" i="12"/>
  <c r="CQ26" i="12" s="1"/>
  <c r="AJ26" i="12"/>
  <c r="DA26" i="12" s="1"/>
  <c r="AK26" i="12"/>
  <c r="DK26" i="12" s="1"/>
  <c r="AL26" i="12"/>
  <c r="BS26" i="12" s="1"/>
  <c r="N27" i="12"/>
  <c r="Z27" i="12" s="1"/>
  <c r="AG315" i="7"/>
  <c r="V315" i="7"/>
  <c r="B316" i="7"/>
  <c r="G481" i="3"/>
  <c r="AD479" i="3"/>
  <c r="G480" i="3"/>
  <c r="C315" i="7"/>
  <c r="AH315" i="7" s="1"/>
  <c r="G277" i="3"/>
  <c r="AA277" i="3"/>
  <c r="C212" i="7"/>
  <c r="W212" i="7" s="1"/>
  <c r="N212" i="7" s="1"/>
  <c r="W314" i="7"/>
  <c r="N314" i="7" s="1"/>
  <c r="AM68" i="7" s="1"/>
  <c r="AH314" i="7"/>
  <c r="S314" i="7" s="1"/>
  <c r="AR68" i="7" s="1"/>
  <c r="C279" i="3"/>
  <c r="B214" i="7" s="1"/>
  <c r="C71" i="10"/>
  <c r="G71" i="10" s="1"/>
  <c r="C482" i="3"/>
  <c r="E343" i="3"/>
  <c r="U343" i="3" s="1"/>
  <c r="E546" i="3"/>
  <c r="U546" i="3" s="1"/>
  <c r="O345" i="3"/>
  <c r="O548" i="3"/>
  <c r="D279" i="3"/>
  <c r="D71" i="10"/>
  <c r="H71" i="10" s="1"/>
  <c r="D482" i="3"/>
  <c r="E308" i="3"/>
  <c r="E100" i="10"/>
  <c r="I100" i="10" s="1"/>
  <c r="E511" i="3"/>
  <c r="D346" i="7" s="1"/>
  <c r="O310" i="3"/>
  <c r="O513" i="3"/>
  <c r="AB481" i="3"/>
  <c r="N280" i="3"/>
  <c r="T280" i="3" s="1"/>
  <c r="N483" i="3"/>
  <c r="T483" i="3" s="1"/>
  <c r="J278" i="3"/>
  <c r="G213" i="7" s="1"/>
  <c r="Q213" i="7" s="1"/>
  <c r="J481" i="3"/>
  <c r="G316" i="7" s="1"/>
  <c r="Q316" i="7" s="1"/>
  <c r="W74" i="3"/>
  <c r="AV15" i="3"/>
  <c r="H278" i="3"/>
  <c r="R278" i="3" s="1"/>
  <c r="H481" i="3"/>
  <c r="W479" i="3"/>
  <c r="Y480" i="3"/>
  <c r="F298" i="3"/>
  <c r="F90" i="10"/>
  <c r="J90" i="10" s="1"/>
  <c r="F501" i="3"/>
  <c r="F297" i="3"/>
  <c r="F89" i="10"/>
  <c r="J89" i="10" s="1"/>
  <c r="F500" i="3"/>
  <c r="C77" i="3"/>
  <c r="W23" i="13" s="1"/>
  <c r="M280" i="3"/>
  <c r="S280" i="3" s="1"/>
  <c r="Z279" i="3"/>
  <c r="Z278" i="3"/>
  <c r="Y276" i="3"/>
  <c r="AD276" i="3" s="1"/>
  <c r="W276" i="3"/>
  <c r="Y277" i="3"/>
  <c r="U144" i="3"/>
  <c r="E142" i="3"/>
  <c r="E137" i="10" s="1"/>
  <c r="I137" i="10" s="1"/>
  <c r="AD73" i="3"/>
  <c r="E107" i="3"/>
  <c r="U109" i="3"/>
  <c r="C213" i="7"/>
  <c r="C316" i="7"/>
  <c r="AA75" i="3"/>
  <c r="G76" i="3"/>
  <c r="Z76" i="3"/>
  <c r="W70" i="7"/>
  <c r="N70" i="7" s="1"/>
  <c r="AH70" i="7"/>
  <c r="S70" i="7" s="1"/>
  <c r="V71" i="7"/>
  <c r="AG71" i="7"/>
  <c r="C71" i="7"/>
  <c r="X98" i="7"/>
  <c r="AI98" i="7"/>
  <c r="X344" i="7"/>
  <c r="AI344" i="7"/>
  <c r="AI241" i="7"/>
  <c r="X241" i="7"/>
  <c r="D100" i="7"/>
  <c r="D243" i="7"/>
  <c r="K317" i="7"/>
  <c r="AD317" i="7" s="1"/>
  <c r="U482" i="3"/>
  <c r="AB482" i="3" s="1"/>
  <c r="K214" i="7"/>
  <c r="AD214" i="7" s="1"/>
  <c r="U279" i="3"/>
  <c r="AB76" i="3"/>
  <c r="K72" i="7"/>
  <c r="AD72" i="7" s="1"/>
  <c r="K215" i="7"/>
  <c r="AD215" i="7" s="1"/>
  <c r="K318" i="7"/>
  <c r="AD318" i="7" s="1"/>
  <c r="R71" i="7"/>
  <c r="R213" i="7"/>
  <c r="R316" i="7"/>
  <c r="T78" i="3"/>
  <c r="J72" i="7"/>
  <c r="AC72" i="7" s="1"/>
  <c r="J214" i="7"/>
  <c r="AC214" i="7" s="1"/>
  <c r="J317" i="7"/>
  <c r="AC317" i="7" s="1"/>
  <c r="I72" i="7"/>
  <c r="AB72" i="7" s="1"/>
  <c r="Z482" i="3"/>
  <c r="I317" i="7"/>
  <c r="AB317" i="7" s="1"/>
  <c r="I214" i="7"/>
  <c r="AB214" i="7" s="1"/>
  <c r="G70" i="7"/>
  <c r="Q70" i="7" s="1"/>
  <c r="Y74" i="3"/>
  <c r="R21" i="13" s="1"/>
  <c r="BQ21" i="13" s="1"/>
  <c r="R76" i="3"/>
  <c r="P70" i="7"/>
  <c r="F212" i="7"/>
  <c r="P212" i="7" s="1"/>
  <c r="F315" i="7"/>
  <c r="P315" i="7" s="1"/>
  <c r="E90" i="7"/>
  <c r="E231" i="7"/>
  <c r="E334" i="7"/>
  <c r="Y88" i="7"/>
  <c r="AJ88" i="7"/>
  <c r="AJ229" i="7"/>
  <c r="Y229" i="7"/>
  <c r="Y332" i="7"/>
  <c r="AJ332" i="7"/>
  <c r="E89" i="7"/>
  <c r="E230" i="7"/>
  <c r="E333" i="7"/>
  <c r="Y87" i="7"/>
  <c r="AJ87" i="7"/>
  <c r="AJ228" i="7"/>
  <c r="Y228" i="7"/>
  <c r="AJ331" i="7"/>
  <c r="Y331" i="7"/>
  <c r="S315" i="7" l="1"/>
  <c r="AH212" i="7"/>
  <c r="S212" i="7" s="1"/>
  <c r="AR69" i="7" s="1"/>
  <c r="W315" i="7"/>
  <c r="N315" i="7" s="1"/>
  <c r="AM69" i="7" s="1"/>
  <c r="AQ70" i="7"/>
  <c r="AA23" i="13"/>
  <c r="CP23" i="13" s="1"/>
  <c r="R481" i="3"/>
  <c r="Y481" i="3" s="1"/>
  <c r="AP70" i="7"/>
  <c r="AO69" i="7"/>
  <c r="BL9" i="12"/>
  <c r="BW9" i="12" s="1"/>
  <c r="BX9" i="12" s="1"/>
  <c r="CE9" i="12" s="1"/>
  <c r="BM9" i="12"/>
  <c r="CR9" i="12" s="1"/>
  <c r="CS9" i="12" s="1"/>
  <c r="CW9" i="12" s="1"/>
  <c r="BN9" i="12"/>
  <c r="DB9" i="12" s="1"/>
  <c r="DC9" i="12" s="1"/>
  <c r="DG9" i="12" s="1"/>
  <c r="BL9" i="13"/>
  <c r="BW9" i="13" s="1"/>
  <c r="BX9" i="13" s="1"/>
  <c r="CE9" i="13" s="1"/>
  <c r="BM9" i="13"/>
  <c r="CR9" i="13" s="1"/>
  <c r="BN9" i="13"/>
  <c r="DB9" i="13" s="1"/>
  <c r="BO9" i="13"/>
  <c r="DL9" i="13" s="1"/>
  <c r="ER27" i="13"/>
  <c r="EG27" i="13"/>
  <c r="EM27" i="13" s="1"/>
  <c r="EK26" i="13"/>
  <c r="EJ27" i="13"/>
  <c r="DM9" i="12"/>
  <c r="DQ9" i="12" s="1"/>
  <c r="K28" i="13"/>
  <c r="M28" i="13"/>
  <c r="CG27" i="13"/>
  <c r="L28" i="13"/>
  <c r="AN28" i="13" s="1"/>
  <c r="AQ28" i="13" s="1"/>
  <c r="BU28" i="13" s="1"/>
  <c r="AP27" i="13"/>
  <c r="AS27" i="13" s="1"/>
  <c r="DV27" i="13" s="1"/>
  <c r="DZ27" i="13" s="1"/>
  <c r="ED27" i="13" s="1"/>
  <c r="Z27" i="13"/>
  <c r="CJ27" i="13"/>
  <c r="Q27" i="13"/>
  <c r="Y27" i="13"/>
  <c r="AC27" i="13" s="1"/>
  <c r="DJ27" i="13" s="1"/>
  <c r="V27" i="13"/>
  <c r="AH27" i="13"/>
  <c r="AL27" i="13" s="1"/>
  <c r="BS27" i="13" s="1"/>
  <c r="AG27" i="13"/>
  <c r="AK27" i="13" s="1"/>
  <c r="DK27" i="13" s="1"/>
  <c r="AF27" i="13"/>
  <c r="AJ27" i="13" s="1"/>
  <c r="DA27" i="13" s="1"/>
  <c r="AE27" i="13"/>
  <c r="AI27" i="13" s="1"/>
  <c r="CQ27" i="13" s="1"/>
  <c r="DZ26" i="12"/>
  <c r="G279" i="3"/>
  <c r="AD277" i="3"/>
  <c r="AG214" i="7"/>
  <c r="V214" i="7"/>
  <c r="M484" i="3"/>
  <c r="S484" i="3" s="1"/>
  <c r="S78" i="3"/>
  <c r="CJ27" i="12"/>
  <c r="CG27" i="12"/>
  <c r="W27" i="12"/>
  <c r="X27" i="12"/>
  <c r="Y27" i="12"/>
  <c r="AR27" i="12"/>
  <c r="AZ27" i="12" s="1"/>
  <c r="AM27" i="12"/>
  <c r="BT27" i="12" s="1"/>
  <c r="M28" i="12"/>
  <c r="L28" i="12"/>
  <c r="AN28" i="12" s="1"/>
  <c r="AP27" i="12"/>
  <c r="AE27" i="12"/>
  <c r="AF27" i="12"/>
  <c r="AG27" i="12"/>
  <c r="AH27" i="12"/>
  <c r="K28" i="12"/>
  <c r="R27" i="12"/>
  <c r="BQ27" i="12" s="1"/>
  <c r="V27" i="12"/>
  <c r="S27" i="12"/>
  <c r="CO27" i="12" s="1"/>
  <c r="T27" i="12"/>
  <c r="CY27" i="12" s="1"/>
  <c r="U27" i="12"/>
  <c r="DI27" i="12" s="1"/>
  <c r="Q27" i="12"/>
  <c r="AY27" i="12" s="1"/>
  <c r="AG316" i="7"/>
  <c r="V316" i="7"/>
  <c r="AA481" i="3"/>
  <c r="AA480" i="3"/>
  <c r="AD480" i="3" s="1"/>
  <c r="B317" i="7"/>
  <c r="G482" i="3"/>
  <c r="C280" i="3"/>
  <c r="B215" i="7" s="1"/>
  <c r="D77" i="3"/>
  <c r="X23" i="13" s="1"/>
  <c r="Z77" i="3"/>
  <c r="S23" i="13" s="1"/>
  <c r="CO23" i="13" s="1"/>
  <c r="C72" i="10"/>
  <c r="G72" i="10" s="1"/>
  <c r="C483" i="3"/>
  <c r="Z483" i="3" s="1"/>
  <c r="O347" i="3"/>
  <c r="O550" i="3"/>
  <c r="E345" i="3"/>
  <c r="U345" i="3" s="1"/>
  <c r="E548" i="3"/>
  <c r="U548" i="3" s="1"/>
  <c r="E310" i="3"/>
  <c r="D245" i="7" s="1"/>
  <c r="E102" i="10"/>
  <c r="I102" i="10" s="1"/>
  <c r="E513" i="3"/>
  <c r="D348" i="7" s="1"/>
  <c r="O312" i="3"/>
  <c r="O515" i="3"/>
  <c r="AB484" i="3"/>
  <c r="AB483" i="3"/>
  <c r="AB485" i="3"/>
  <c r="N281" i="3"/>
  <c r="T281" i="3" s="1"/>
  <c r="N484" i="3"/>
  <c r="T484" i="3" s="1"/>
  <c r="J279" i="3"/>
  <c r="G214" i="7" s="1"/>
  <c r="Q214" i="7" s="1"/>
  <c r="J482" i="3"/>
  <c r="G317" i="7" s="1"/>
  <c r="Q317" i="7" s="1"/>
  <c r="H279" i="3"/>
  <c r="H482" i="3"/>
  <c r="W480" i="3"/>
  <c r="F300" i="3"/>
  <c r="F92" i="10"/>
  <c r="J92" i="10" s="1"/>
  <c r="F503" i="3"/>
  <c r="F299" i="3"/>
  <c r="F91" i="10"/>
  <c r="J91" i="10" s="1"/>
  <c r="F502" i="3"/>
  <c r="AA278" i="3"/>
  <c r="AB279" i="3"/>
  <c r="AB281" i="3"/>
  <c r="AB280" i="3"/>
  <c r="AB282" i="3"/>
  <c r="C78" i="3"/>
  <c r="M281" i="3"/>
  <c r="S281" i="3" s="1"/>
  <c r="W277" i="3"/>
  <c r="E144" i="3"/>
  <c r="E139" i="10" s="1"/>
  <c r="I139" i="10" s="1"/>
  <c r="U146" i="3"/>
  <c r="D102" i="7"/>
  <c r="AH316" i="7"/>
  <c r="W316" i="7"/>
  <c r="Y75" i="3"/>
  <c r="W75" i="3"/>
  <c r="U111" i="3"/>
  <c r="E109" i="3"/>
  <c r="E104" i="10" s="1"/>
  <c r="I104" i="10" s="1"/>
  <c r="AH213" i="7"/>
  <c r="S213" i="7" s="1"/>
  <c r="W213" i="7"/>
  <c r="N213" i="7" s="1"/>
  <c r="AA76" i="3"/>
  <c r="C214" i="7"/>
  <c r="AA279" i="3"/>
  <c r="W71" i="7"/>
  <c r="N71" i="7" s="1"/>
  <c r="AH71" i="7"/>
  <c r="S71" i="7" s="1"/>
  <c r="C317" i="7"/>
  <c r="AI100" i="7"/>
  <c r="X100" i="7"/>
  <c r="X346" i="7"/>
  <c r="AI346" i="7"/>
  <c r="X243" i="7"/>
  <c r="AI243" i="7"/>
  <c r="AB77" i="3"/>
  <c r="U23" i="13" s="1"/>
  <c r="DI23" i="13" s="1"/>
  <c r="K73" i="7"/>
  <c r="AD73" i="7" s="1"/>
  <c r="K319" i="7"/>
  <c r="AD319" i="7" s="1"/>
  <c r="K216" i="7"/>
  <c r="AD216" i="7" s="1"/>
  <c r="R72" i="7"/>
  <c r="R317" i="7"/>
  <c r="R214" i="7"/>
  <c r="T79" i="3"/>
  <c r="J73" i="7"/>
  <c r="AC73" i="7" s="1"/>
  <c r="J318" i="7"/>
  <c r="AC318" i="7" s="1"/>
  <c r="J215" i="7"/>
  <c r="AC215" i="7" s="1"/>
  <c r="I73" i="7"/>
  <c r="AB73" i="7" s="1"/>
  <c r="I215" i="7"/>
  <c r="AB215" i="7" s="1"/>
  <c r="I318" i="7"/>
  <c r="AB318" i="7" s="1"/>
  <c r="G71" i="7"/>
  <c r="Q71" i="7" s="1"/>
  <c r="AD74" i="3"/>
  <c r="W76" i="3"/>
  <c r="R77" i="3"/>
  <c r="P71" i="7"/>
  <c r="F316" i="7"/>
  <c r="P316" i="7" s="1"/>
  <c r="Y278" i="3"/>
  <c r="F213" i="7"/>
  <c r="P213" i="7" s="1"/>
  <c r="E233" i="7"/>
  <c r="E92" i="7"/>
  <c r="E336" i="7"/>
  <c r="Y90" i="7"/>
  <c r="AJ90" i="7"/>
  <c r="AJ231" i="7"/>
  <c r="Y231" i="7"/>
  <c r="Y334" i="7"/>
  <c r="AJ334" i="7"/>
  <c r="E232" i="7"/>
  <c r="E335" i="7"/>
  <c r="E91" i="7"/>
  <c r="Y89" i="7"/>
  <c r="AJ89" i="7"/>
  <c r="Y230" i="7"/>
  <c r="AJ230" i="7"/>
  <c r="AJ333" i="7"/>
  <c r="Y333" i="7"/>
  <c r="AP71" i="7" l="1"/>
  <c r="AO70" i="7"/>
  <c r="AQ71" i="7"/>
  <c r="AB23" i="13"/>
  <c r="CZ23" i="13" s="1"/>
  <c r="D78" i="3"/>
  <c r="W214" i="7"/>
  <c r="N214" i="7" s="1"/>
  <c r="AH214" i="7"/>
  <c r="S214" i="7" s="1"/>
  <c r="AD278" i="3"/>
  <c r="R279" i="3"/>
  <c r="R482" i="3"/>
  <c r="CS9" i="13"/>
  <c r="CW9" i="13" s="1"/>
  <c r="DC9" i="13"/>
  <c r="DG9" i="13" s="1"/>
  <c r="DM9" i="13"/>
  <c r="DQ9" i="13" s="1"/>
  <c r="AY27" i="13"/>
  <c r="BZ9" i="13"/>
  <c r="CI9" i="13"/>
  <c r="CK9" i="13" s="1"/>
  <c r="CH9" i="13"/>
  <c r="CC9" i="13"/>
  <c r="CD9" i="13"/>
  <c r="CB9" i="13"/>
  <c r="BY9" i="13"/>
  <c r="CA9" i="13"/>
  <c r="CT9" i="12"/>
  <c r="CU9" i="12"/>
  <c r="CV9" i="12"/>
  <c r="DS9" i="12"/>
  <c r="DW9" i="12" s="1"/>
  <c r="EA9" i="12" s="1"/>
  <c r="DF9" i="12"/>
  <c r="DE9" i="12"/>
  <c r="DD9" i="12"/>
  <c r="DT9" i="12"/>
  <c r="DX9" i="12" s="1"/>
  <c r="EB9" i="12" s="1"/>
  <c r="CH9" i="12"/>
  <c r="CA9" i="12"/>
  <c r="CD9" i="12"/>
  <c r="CC9" i="12"/>
  <c r="CB9" i="12"/>
  <c r="BZ9" i="12"/>
  <c r="BY9" i="12"/>
  <c r="CI9" i="12"/>
  <c r="CK9" i="12" s="1"/>
  <c r="DO9" i="12"/>
  <c r="DP9" i="12"/>
  <c r="DN9" i="12"/>
  <c r="DU9" i="12"/>
  <c r="DY9" i="12" s="1"/>
  <c r="EC9" i="12" s="1"/>
  <c r="EF28" i="13"/>
  <c r="EL28" i="13" s="1"/>
  <c r="FE28" i="13" s="1"/>
  <c r="N28" i="13"/>
  <c r="AO28" i="13"/>
  <c r="AR28" i="13" s="1"/>
  <c r="AZ28" i="13" s="1"/>
  <c r="AD27" i="13"/>
  <c r="BR27" i="13" s="1"/>
  <c r="ED26" i="12"/>
  <c r="AD481" i="3"/>
  <c r="M485" i="3"/>
  <c r="S485" i="3" s="1"/>
  <c r="S79" i="3"/>
  <c r="AA27" i="12"/>
  <c r="CP27" i="12" s="1"/>
  <c r="AB27" i="12"/>
  <c r="CZ27" i="12" s="1"/>
  <c r="AC27" i="12"/>
  <c r="DJ27" i="12" s="1"/>
  <c r="AD27" i="12"/>
  <c r="BR27" i="12" s="1"/>
  <c r="AQ28" i="12"/>
  <c r="BU28" i="12" s="1"/>
  <c r="AS27" i="12"/>
  <c r="DV27" i="12" s="1"/>
  <c r="AO28" i="12"/>
  <c r="AI27" i="12"/>
  <c r="CQ27" i="12" s="1"/>
  <c r="AJ27" i="12"/>
  <c r="DA27" i="12" s="1"/>
  <c r="AK27" i="12"/>
  <c r="DK27" i="12" s="1"/>
  <c r="AL27" i="12"/>
  <c r="BS27" i="12" s="1"/>
  <c r="N28" i="12"/>
  <c r="Z28" i="12" s="1"/>
  <c r="AG317" i="7"/>
  <c r="V317" i="7"/>
  <c r="D483" i="3"/>
  <c r="G483" i="3" s="1"/>
  <c r="D72" i="10"/>
  <c r="H72" i="10" s="1"/>
  <c r="D280" i="3"/>
  <c r="B318" i="7"/>
  <c r="N316" i="7"/>
  <c r="AM70" i="7" s="1"/>
  <c r="S316" i="7"/>
  <c r="AR70" i="7" s="1"/>
  <c r="V215" i="7"/>
  <c r="AG215" i="7"/>
  <c r="AG72" i="7"/>
  <c r="V72" i="7"/>
  <c r="G77" i="3"/>
  <c r="C72" i="7"/>
  <c r="C281" i="3"/>
  <c r="B216" i="7" s="1"/>
  <c r="AG216" i="7" s="1"/>
  <c r="C484" i="3"/>
  <c r="C73" i="10"/>
  <c r="G73" i="10" s="1"/>
  <c r="E347" i="3"/>
  <c r="E550" i="3"/>
  <c r="U550" i="3" s="1"/>
  <c r="O349" i="3"/>
  <c r="O552" i="3"/>
  <c r="O314" i="3"/>
  <c r="O517" i="3"/>
  <c r="E312" i="3"/>
  <c r="E515" i="3"/>
  <c r="U515" i="3" s="1"/>
  <c r="AA482" i="3"/>
  <c r="N282" i="3"/>
  <c r="T282" i="3" s="1"/>
  <c r="N485" i="3"/>
  <c r="T485" i="3" s="1"/>
  <c r="J280" i="3"/>
  <c r="G215" i="7" s="1"/>
  <c r="Q215" i="7" s="1"/>
  <c r="J483" i="3"/>
  <c r="G318" i="7" s="1"/>
  <c r="Q318" i="7" s="1"/>
  <c r="H280" i="3"/>
  <c r="R280" i="3" s="1"/>
  <c r="H483" i="3"/>
  <c r="W481" i="3"/>
  <c r="F302" i="3"/>
  <c r="F505" i="3"/>
  <c r="F94" i="10"/>
  <c r="J94" i="10" s="1"/>
  <c r="F301" i="3"/>
  <c r="F504" i="3"/>
  <c r="F93" i="10"/>
  <c r="J93" i="10" s="1"/>
  <c r="C79" i="3"/>
  <c r="M282" i="3"/>
  <c r="S282" i="3" s="1"/>
  <c r="Z280" i="3"/>
  <c r="W278" i="3"/>
  <c r="Y279" i="3"/>
  <c r="AD279" i="3" s="1"/>
  <c r="U347" i="3"/>
  <c r="U148" i="3"/>
  <c r="E146" i="3"/>
  <c r="E141" i="10" s="1"/>
  <c r="I141" i="10" s="1"/>
  <c r="AD75" i="3"/>
  <c r="X102" i="7"/>
  <c r="AI102" i="7"/>
  <c r="AI245" i="7"/>
  <c r="X245" i="7"/>
  <c r="AI348" i="7"/>
  <c r="X348" i="7"/>
  <c r="E111" i="3"/>
  <c r="E106" i="10" s="1"/>
  <c r="I106" i="10" s="1"/>
  <c r="U113" i="3"/>
  <c r="AA77" i="3"/>
  <c r="T23" i="13" s="1"/>
  <c r="CY23" i="13" s="1"/>
  <c r="AB78" i="3"/>
  <c r="Z78" i="3"/>
  <c r="C318" i="7"/>
  <c r="G78" i="3"/>
  <c r="AH317" i="7"/>
  <c r="W317" i="7"/>
  <c r="V73" i="7"/>
  <c r="AG73" i="7"/>
  <c r="C73" i="7"/>
  <c r="K74" i="7"/>
  <c r="AD74" i="7" s="1"/>
  <c r="K217" i="7"/>
  <c r="AD217" i="7" s="1"/>
  <c r="K320" i="7"/>
  <c r="AD320" i="7" s="1"/>
  <c r="T80" i="3"/>
  <c r="J74" i="7"/>
  <c r="AC74" i="7" s="1"/>
  <c r="J319" i="7"/>
  <c r="AC319" i="7" s="1"/>
  <c r="J216" i="7"/>
  <c r="AC216" i="7" s="1"/>
  <c r="I74" i="7"/>
  <c r="AB74" i="7" s="1"/>
  <c r="Z281" i="3"/>
  <c r="I216" i="7"/>
  <c r="AB216" i="7" s="1"/>
  <c r="Z484" i="3"/>
  <c r="I319" i="7"/>
  <c r="AB319" i="7" s="1"/>
  <c r="G72" i="7"/>
  <c r="Q72" i="7" s="1"/>
  <c r="Y76" i="3"/>
  <c r="W77" i="3"/>
  <c r="R78" i="3"/>
  <c r="P72" i="7"/>
  <c r="F214" i="7"/>
  <c r="P214" i="7" s="1"/>
  <c r="F317" i="7"/>
  <c r="P317" i="7" s="1"/>
  <c r="Y233" i="7"/>
  <c r="AJ233" i="7"/>
  <c r="E94" i="7"/>
  <c r="E338" i="7"/>
  <c r="Y92" i="7"/>
  <c r="AJ92" i="7"/>
  <c r="E235" i="7"/>
  <c r="AJ336" i="7"/>
  <c r="Y336" i="7"/>
  <c r="AJ232" i="7"/>
  <c r="Y232" i="7"/>
  <c r="AJ335" i="7"/>
  <c r="Y335" i="7"/>
  <c r="E337" i="7"/>
  <c r="Y91" i="7"/>
  <c r="AJ91" i="7"/>
  <c r="E234" i="7"/>
  <c r="E93" i="7"/>
  <c r="R73" i="7"/>
  <c r="R215" i="7"/>
  <c r="R318" i="7"/>
  <c r="V216" i="7" l="1"/>
  <c r="N317" i="7"/>
  <c r="AM71" i="7" s="1"/>
  <c r="AO71" i="7"/>
  <c r="S317" i="7"/>
  <c r="AR71" i="7" s="1"/>
  <c r="FD9" i="12"/>
  <c r="FG9" i="12" s="1"/>
  <c r="AQ72" i="7"/>
  <c r="D484" i="3"/>
  <c r="D281" i="3"/>
  <c r="D73" i="10"/>
  <c r="H73" i="10" s="1"/>
  <c r="R483" i="3"/>
  <c r="AP72" i="7"/>
  <c r="CV9" i="13"/>
  <c r="DS9" i="13"/>
  <c r="DW9" i="13" s="1"/>
  <c r="EA9" i="13" s="1"/>
  <c r="CT9" i="13"/>
  <c r="CU9" i="13"/>
  <c r="DF9" i="13"/>
  <c r="DT9" i="13"/>
  <c r="DX9" i="13" s="1"/>
  <c r="EB9" i="13" s="1"/>
  <c r="DD9" i="13"/>
  <c r="DE9" i="13"/>
  <c r="DP9" i="13"/>
  <c r="DU9" i="13"/>
  <c r="DY9" i="13" s="1"/>
  <c r="EC9" i="13" s="1"/>
  <c r="FD9" i="13" s="1"/>
  <c r="FG9" i="13" s="1"/>
  <c r="DN9" i="13"/>
  <c r="DO9" i="13"/>
  <c r="EG28" i="13"/>
  <c r="EM28" i="13" s="1"/>
  <c r="ER28" i="13"/>
  <c r="EK27" i="13"/>
  <c r="EJ28" i="13"/>
  <c r="CM9" i="13"/>
  <c r="CL9" i="13"/>
  <c r="BB10" i="13" s="1"/>
  <c r="BD10" i="13" s="1"/>
  <c r="EQ10" i="13" s="1"/>
  <c r="ES10" i="13" s="1"/>
  <c r="CM9" i="12"/>
  <c r="CL9" i="12"/>
  <c r="BB10" i="12" s="1"/>
  <c r="AM28" i="13"/>
  <c r="BT28" i="13" s="1"/>
  <c r="L29" i="13"/>
  <c r="AN29" i="13" s="1"/>
  <c r="AQ29" i="13" s="1"/>
  <c r="BU29" i="13" s="1"/>
  <c r="M29" i="13"/>
  <c r="AP28" i="13"/>
  <c r="AS28" i="13" s="1"/>
  <c r="DV28" i="13" s="1"/>
  <c r="DZ28" i="13" s="1"/>
  <c r="ED28" i="13" s="1"/>
  <c r="K29" i="13"/>
  <c r="CG28" i="13"/>
  <c r="Y28" i="13"/>
  <c r="V28" i="13"/>
  <c r="CJ28" i="13"/>
  <c r="Q28" i="13"/>
  <c r="Z28" i="13"/>
  <c r="AH28" i="13"/>
  <c r="AL28" i="13" s="1"/>
  <c r="BS28" i="13" s="1"/>
  <c r="AG28" i="13"/>
  <c r="AK28" i="13" s="1"/>
  <c r="DK28" i="13" s="1"/>
  <c r="AF28" i="13"/>
  <c r="AJ28" i="13" s="1"/>
  <c r="DA28" i="13" s="1"/>
  <c r="AE28" i="13"/>
  <c r="AI28" i="13" s="1"/>
  <c r="CQ28" i="13" s="1"/>
  <c r="DZ27" i="12"/>
  <c r="G280" i="3"/>
  <c r="C215" i="7"/>
  <c r="W72" i="7"/>
  <c r="N72" i="7" s="1"/>
  <c r="AH72" i="7"/>
  <c r="S72" i="7" s="1"/>
  <c r="M486" i="3"/>
  <c r="S486" i="3" s="1"/>
  <c r="S80" i="3"/>
  <c r="CJ28" i="12"/>
  <c r="CG28" i="12"/>
  <c r="W28" i="12"/>
  <c r="X28" i="12"/>
  <c r="Y28" i="12"/>
  <c r="AR28" i="12"/>
  <c r="AZ28" i="12" s="1"/>
  <c r="AM28" i="12"/>
  <c r="BT28" i="12" s="1"/>
  <c r="M29" i="12"/>
  <c r="L29" i="12"/>
  <c r="AN29" i="12" s="1"/>
  <c r="AP28" i="12"/>
  <c r="AE28" i="12"/>
  <c r="AF28" i="12"/>
  <c r="AG28" i="12"/>
  <c r="AH28" i="12"/>
  <c r="S28" i="12"/>
  <c r="CO28" i="12" s="1"/>
  <c r="T28" i="12"/>
  <c r="CY28" i="12" s="1"/>
  <c r="V28" i="12"/>
  <c r="Q28" i="12"/>
  <c r="AY28" i="12" s="1"/>
  <c r="U28" i="12"/>
  <c r="DI28" i="12" s="1"/>
  <c r="K29" i="12"/>
  <c r="R28" i="12"/>
  <c r="BQ28" i="12" s="1"/>
  <c r="V318" i="7"/>
  <c r="AG318" i="7"/>
  <c r="B319" i="7"/>
  <c r="C282" i="3"/>
  <c r="B217" i="7" s="1"/>
  <c r="D79" i="3"/>
  <c r="C74" i="10"/>
  <c r="G74" i="10" s="1"/>
  <c r="C485" i="3"/>
  <c r="Z485" i="3" s="1"/>
  <c r="O351" i="3"/>
  <c r="O554" i="3"/>
  <c r="E349" i="3"/>
  <c r="U349" i="3" s="1"/>
  <c r="E552" i="3"/>
  <c r="U552" i="3" s="1"/>
  <c r="E314" i="3"/>
  <c r="U314" i="3" s="1"/>
  <c r="E517" i="3"/>
  <c r="U517" i="3" s="1"/>
  <c r="O316" i="3"/>
  <c r="O519" i="3"/>
  <c r="AA483" i="3"/>
  <c r="AA484" i="3"/>
  <c r="N283" i="3"/>
  <c r="T283" i="3" s="1"/>
  <c r="N486" i="3"/>
  <c r="T486" i="3" s="1"/>
  <c r="J281" i="3"/>
  <c r="G216" i="7" s="1"/>
  <c r="Q216" i="7" s="1"/>
  <c r="J484" i="3"/>
  <c r="G319" i="7" s="1"/>
  <c r="Q319" i="7" s="1"/>
  <c r="H281" i="3"/>
  <c r="R281" i="3" s="1"/>
  <c r="H484" i="3"/>
  <c r="R484" i="3" s="1"/>
  <c r="Y482" i="3"/>
  <c r="AD482" i="3" s="1"/>
  <c r="W482" i="3"/>
  <c r="Y483" i="3"/>
  <c r="F304" i="3"/>
  <c r="F96" i="10"/>
  <c r="J96" i="10" s="1"/>
  <c r="F507" i="3"/>
  <c r="F303" i="3"/>
  <c r="F95" i="10"/>
  <c r="J95" i="10" s="1"/>
  <c r="F506" i="3"/>
  <c r="AA281" i="3"/>
  <c r="AA280" i="3"/>
  <c r="C80" i="3"/>
  <c r="M283" i="3"/>
  <c r="S283" i="3" s="1"/>
  <c r="W279" i="3"/>
  <c r="Y280" i="3"/>
  <c r="U150" i="3"/>
  <c r="E148" i="3"/>
  <c r="E143" i="10" s="1"/>
  <c r="I143" i="10" s="1"/>
  <c r="W318" i="7"/>
  <c r="AH318" i="7"/>
  <c r="AA79" i="3"/>
  <c r="E113" i="3"/>
  <c r="E108" i="10" s="1"/>
  <c r="I108" i="10" s="1"/>
  <c r="U115" i="3"/>
  <c r="AA78" i="3"/>
  <c r="Y77" i="3"/>
  <c r="R22" i="13" s="1"/>
  <c r="BQ22" i="13" s="1"/>
  <c r="AH73" i="7"/>
  <c r="S73" i="7" s="1"/>
  <c r="W73" i="7"/>
  <c r="N73" i="7" s="1"/>
  <c r="V74" i="7"/>
  <c r="AG74" i="7"/>
  <c r="AB79" i="3"/>
  <c r="K75" i="7"/>
  <c r="AD75" i="7" s="1"/>
  <c r="R319" i="7"/>
  <c r="T81" i="3"/>
  <c r="J75" i="7"/>
  <c r="AC75" i="7" s="1"/>
  <c r="J217" i="7"/>
  <c r="AC217" i="7" s="1"/>
  <c r="J320" i="7"/>
  <c r="AC320" i="7" s="1"/>
  <c r="Z79" i="3"/>
  <c r="I75" i="7"/>
  <c r="AB75" i="7" s="1"/>
  <c r="I217" i="7"/>
  <c r="AB217" i="7" s="1"/>
  <c r="I320" i="7"/>
  <c r="AB320" i="7" s="1"/>
  <c r="G73" i="7"/>
  <c r="Q73" i="7" s="1"/>
  <c r="AD76" i="3"/>
  <c r="W78" i="3"/>
  <c r="R79" i="3"/>
  <c r="P73" i="7"/>
  <c r="F215" i="7"/>
  <c r="P215" i="7" s="1"/>
  <c r="F318" i="7"/>
  <c r="P318" i="7" s="1"/>
  <c r="E96" i="7"/>
  <c r="Y94" i="7"/>
  <c r="AJ94" i="7"/>
  <c r="E237" i="7"/>
  <c r="E340" i="7"/>
  <c r="Y338" i="7"/>
  <c r="AJ338" i="7"/>
  <c r="AJ235" i="7"/>
  <c r="Y235" i="7"/>
  <c r="AJ337" i="7"/>
  <c r="Y337" i="7"/>
  <c r="AJ234" i="7"/>
  <c r="Y234" i="7"/>
  <c r="E95" i="7"/>
  <c r="E339" i="7"/>
  <c r="Y93" i="7"/>
  <c r="AJ93" i="7"/>
  <c r="E236" i="7"/>
  <c r="R74" i="7"/>
  <c r="R216" i="7"/>
  <c r="AQ73" i="7" l="1"/>
  <c r="C319" i="7"/>
  <c r="G484" i="3"/>
  <c r="G281" i="3"/>
  <c r="C216" i="7"/>
  <c r="AD483" i="3"/>
  <c r="BE10" i="12"/>
  <c r="AP73" i="7"/>
  <c r="AO72" i="7"/>
  <c r="EV10" i="13"/>
  <c r="EY10" i="13" s="1"/>
  <c r="FB10" i="13" s="1"/>
  <c r="FF10" i="13" s="1"/>
  <c r="ET10" i="13"/>
  <c r="EW10" i="13" s="1"/>
  <c r="EZ10" i="13" s="1"/>
  <c r="EU10" i="13"/>
  <c r="EX10" i="13" s="1"/>
  <c r="FA10" i="13" s="1"/>
  <c r="BE10" i="13"/>
  <c r="BC10" i="13" s="1"/>
  <c r="AY28" i="13"/>
  <c r="EF29" i="13"/>
  <c r="EL29" i="13" s="1"/>
  <c r="FE29" i="13" s="1"/>
  <c r="N29" i="13"/>
  <c r="AM29" i="13" s="1"/>
  <c r="BT29" i="13" s="1"/>
  <c r="AO29" i="13"/>
  <c r="AR29" i="13" s="1"/>
  <c r="AZ29" i="13" s="1"/>
  <c r="AC28" i="13"/>
  <c r="DJ28" i="13" s="1"/>
  <c r="AD28" i="13"/>
  <c r="BR28" i="13" s="1"/>
  <c r="ED27" i="12"/>
  <c r="AD280" i="3"/>
  <c r="N318" i="7"/>
  <c r="S318" i="7"/>
  <c r="AH215" i="7"/>
  <c r="S215" i="7" s="1"/>
  <c r="AR72" i="7" s="1"/>
  <c r="W215" i="7"/>
  <c r="N215" i="7" s="1"/>
  <c r="AG217" i="7"/>
  <c r="V217" i="7"/>
  <c r="C74" i="7"/>
  <c r="W74" i="7" s="1"/>
  <c r="N74" i="7" s="1"/>
  <c r="G79" i="3"/>
  <c r="M487" i="3"/>
  <c r="S487" i="3" s="1"/>
  <c r="S81" i="3"/>
  <c r="AA28" i="12"/>
  <c r="CP28" i="12" s="1"/>
  <c r="AB28" i="12"/>
  <c r="CZ28" i="12" s="1"/>
  <c r="AC28" i="12"/>
  <c r="DJ28" i="12" s="1"/>
  <c r="AD28" i="12"/>
  <c r="BR28" i="12" s="1"/>
  <c r="AQ29" i="12"/>
  <c r="BU29" i="12" s="1"/>
  <c r="AS28" i="12"/>
  <c r="DV28" i="12" s="1"/>
  <c r="AO29" i="12"/>
  <c r="AI28" i="12"/>
  <c r="CQ28" i="12" s="1"/>
  <c r="AJ28" i="12"/>
  <c r="DA28" i="12" s="1"/>
  <c r="AK28" i="12"/>
  <c r="DK28" i="12" s="1"/>
  <c r="AL28" i="12"/>
  <c r="BS28" i="12" s="1"/>
  <c r="N29" i="12"/>
  <c r="Z29" i="12" s="1"/>
  <c r="V319" i="7"/>
  <c r="AG319" i="7"/>
  <c r="D485" i="3"/>
  <c r="C320" i="7" s="1"/>
  <c r="D74" i="10"/>
  <c r="H74" i="10" s="1"/>
  <c r="D282" i="3"/>
  <c r="B320" i="7"/>
  <c r="G485" i="3"/>
  <c r="C283" i="3"/>
  <c r="B218" i="7" s="1"/>
  <c r="D80" i="3"/>
  <c r="C75" i="10"/>
  <c r="G75" i="10" s="1"/>
  <c r="C486" i="3"/>
  <c r="O353" i="3"/>
  <c r="O556" i="3"/>
  <c r="E351" i="3"/>
  <c r="E554" i="3"/>
  <c r="U554" i="3" s="1"/>
  <c r="E316" i="3"/>
  <c r="U316" i="3" s="1"/>
  <c r="E519" i="3"/>
  <c r="U519" i="3" s="1"/>
  <c r="O318" i="3"/>
  <c r="O521" i="3"/>
  <c r="N284" i="3"/>
  <c r="T284" i="3" s="1"/>
  <c r="N487" i="3"/>
  <c r="T487" i="3" s="1"/>
  <c r="J282" i="3"/>
  <c r="G217" i="7" s="1"/>
  <c r="Q217" i="7" s="1"/>
  <c r="J485" i="3"/>
  <c r="G320" i="7" s="1"/>
  <c r="Q320" i="7" s="1"/>
  <c r="H282" i="3"/>
  <c r="H485" i="3"/>
  <c r="W483" i="3"/>
  <c r="Y484" i="3"/>
  <c r="AD484" i="3" s="1"/>
  <c r="F306" i="3"/>
  <c r="F98" i="10"/>
  <c r="J98" i="10" s="1"/>
  <c r="F509" i="3"/>
  <c r="F305" i="3"/>
  <c r="F97" i="10"/>
  <c r="J97" i="10" s="1"/>
  <c r="F508" i="3"/>
  <c r="AD77" i="3"/>
  <c r="C81" i="3"/>
  <c r="W24" i="13" s="1"/>
  <c r="M284" i="3"/>
  <c r="S284" i="3" s="1"/>
  <c r="Z283" i="3"/>
  <c r="Z282" i="3"/>
  <c r="W280" i="3"/>
  <c r="U152" i="3"/>
  <c r="E150" i="3"/>
  <c r="E145" i="10" s="1"/>
  <c r="I145" i="10" s="1"/>
  <c r="U351" i="3"/>
  <c r="E115" i="3"/>
  <c r="E110" i="10" s="1"/>
  <c r="I110" i="10" s="1"/>
  <c r="U117" i="3"/>
  <c r="Z80" i="3"/>
  <c r="AH74" i="7"/>
  <c r="S74" i="7" s="1"/>
  <c r="K321" i="7"/>
  <c r="AD321" i="7" s="1"/>
  <c r="U486" i="3"/>
  <c r="K218" i="7"/>
  <c r="AD218" i="7" s="1"/>
  <c r="U283" i="3"/>
  <c r="AB80" i="3"/>
  <c r="K76" i="7"/>
  <c r="AD76" i="7" s="1"/>
  <c r="AB81" i="3"/>
  <c r="U24" i="13" s="1"/>
  <c r="DI24" i="13" s="1"/>
  <c r="R217" i="7"/>
  <c r="R320" i="7"/>
  <c r="R75" i="7"/>
  <c r="T82" i="3"/>
  <c r="J76" i="7"/>
  <c r="AC76" i="7" s="1"/>
  <c r="J321" i="7"/>
  <c r="AC321" i="7" s="1"/>
  <c r="J218" i="7"/>
  <c r="AC218" i="7" s="1"/>
  <c r="I76" i="7"/>
  <c r="AB76" i="7" s="1"/>
  <c r="I218" i="7"/>
  <c r="AB218" i="7" s="1"/>
  <c r="Z486" i="3"/>
  <c r="I321" i="7"/>
  <c r="AB321" i="7" s="1"/>
  <c r="G74" i="7"/>
  <c r="Q74" i="7" s="1"/>
  <c r="Y78" i="3"/>
  <c r="W79" i="3"/>
  <c r="R80" i="3"/>
  <c r="P74" i="7"/>
  <c r="Y281" i="3"/>
  <c r="AD281" i="3" s="1"/>
  <c r="F216" i="7"/>
  <c r="P216" i="7" s="1"/>
  <c r="F319" i="7"/>
  <c r="P319" i="7" s="1"/>
  <c r="E239" i="7"/>
  <c r="E342" i="7"/>
  <c r="E98" i="7"/>
  <c r="AJ96" i="7"/>
  <c r="Y96" i="7"/>
  <c r="Y237" i="7"/>
  <c r="AJ237" i="7"/>
  <c r="Y340" i="7"/>
  <c r="AJ340" i="7"/>
  <c r="E341" i="7"/>
  <c r="E97" i="7"/>
  <c r="Y95" i="7"/>
  <c r="AJ95" i="7"/>
  <c r="E238" i="7"/>
  <c r="Y339" i="7"/>
  <c r="AJ339" i="7"/>
  <c r="Y236" i="7"/>
  <c r="AJ236" i="7"/>
  <c r="AM72" i="7" l="1"/>
  <c r="AQ74" i="7"/>
  <c r="W319" i="7"/>
  <c r="N319" i="7" s="1"/>
  <c r="AH319" i="7"/>
  <c r="S319" i="7" s="1"/>
  <c r="W216" i="7"/>
  <c r="N216" i="7" s="1"/>
  <c r="AH216" i="7"/>
  <c r="S216" i="7" s="1"/>
  <c r="AA24" i="13"/>
  <c r="CP24" i="13" s="1"/>
  <c r="R485" i="3"/>
  <c r="R282" i="3"/>
  <c r="AP74" i="7"/>
  <c r="AO73" i="7"/>
  <c r="BC10" i="12"/>
  <c r="BK10" i="13"/>
  <c r="BI10" i="13"/>
  <c r="BF10" i="13"/>
  <c r="BH10" i="13"/>
  <c r="BG10" i="13"/>
  <c r="ER29" i="13"/>
  <c r="EG29" i="13"/>
  <c r="EM29" i="13" s="1"/>
  <c r="EK28" i="13"/>
  <c r="EJ29" i="13"/>
  <c r="CG29" i="13"/>
  <c r="L30" i="13"/>
  <c r="AN30" i="13" s="1"/>
  <c r="AQ30" i="13" s="1"/>
  <c r="BU30" i="13" s="1"/>
  <c r="AP29" i="13"/>
  <c r="AS29" i="13" s="1"/>
  <c r="DV29" i="13" s="1"/>
  <c r="DZ29" i="13" s="1"/>
  <c r="ED29" i="13" s="1"/>
  <c r="M30" i="13"/>
  <c r="K30" i="13"/>
  <c r="V29" i="13"/>
  <c r="Z29" i="13"/>
  <c r="AD29" i="13" s="1"/>
  <c r="BR29" i="13" s="1"/>
  <c r="CJ29" i="13"/>
  <c r="Q29" i="13"/>
  <c r="Y29" i="13"/>
  <c r="AC29" i="13" s="1"/>
  <c r="DJ29" i="13" s="1"/>
  <c r="AH29" i="13"/>
  <c r="AL29" i="13" s="1"/>
  <c r="BS29" i="13" s="1"/>
  <c r="AG29" i="13"/>
  <c r="AK29" i="13" s="1"/>
  <c r="DK29" i="13" s="1"/>
  <c r="AF29" i="13"/>
  <c r="AJ29" i="13" s="1"/>
  <c r="DA29" i="13" s="1"/>
  <c r="AE29" i="13"/>
  <c r="AI29" i="13" s="1"/>
  <c r="CQ29" i="13" s="1"/>
  <c r="DZ28" i="12"/>
  <c r="G282" i="3"/>
  <c r="C217" i="7"/>
  <c r="AH217" i="7" s="1"/>
  <c r="S217" i="7" s="1"/>
  <c r="AG218" i="7"/>
  <c r="V218" i="7"/>
  <c r="V75" i="7"/>
  <c r="AG75" i="7"/>
  <c r="G80" i="3"/>
  <c r="C75" i="7"/>
  <c r="D81" i="3"/>
  <c r="X24" i="13" s="1"/>
  <c r="M488" i="3"/>
  <c r="S488" i="3" s="1"/>
  <c r="S82" i="3"/>
  <c r="CJ29" i="12"/>
  <c r="CG29" i="12"/>
  <c r="W29" i="12"/>
  <c r="X29" i="12"/>
  <c r="Y29" i="12"/>
  <c r="AR29" i="12"/>
  <c r="AZ29" i="12" s="1"/>
  <c r="AM29" i="12"/>
  <c r="BT29" i="12" s="1"/>
  <c r="M30" i="12"/>
  <c r="L30" i="12"/>
  <c r="AN30" i="12" s="1"/>
  <c r="AP29" i="12"/>
  <c r="AE29" i="12"/>
  <c r="AF29" i="12"/>
  <c r="AG29" i="12"/>
  <c r="AH29" i="12"/>
  <c r="T29" i="12"/>
  <c r="CY29" i="12" s="1"/>
  <c r="V29" i="12"/>
  <c r="R29" i="12"/>
  <c r="BQ29" i="12" s="1"/>
  <c r="S29" i="12"/>
  <c r="CO29" i="12" s="1"/>
  <c r="U29" i="12"/>
  <c r="DI29" i="12" s="1"/>
  <c r="Q29" i="12"/>
  <c r="AY29" i="12" s="1"/>
  <c r="K30" i="12"/>
  <c r="V320" i="7"/>
  <c r="AG320" i="7"/>
  <c r="D75" i="10"/>
  <c r="H75" i="10" s="1"/>
  <c r="D486" i="3"/>
  <c r="C321" i="7" s="1"/>
  <c r="D283" i="3"/>
  <c r="C218" i="7" s="1"/>
  <c r="B321" i="7"/>
  <c r="G486" i="3"/>
  <c r="C284" i="3"/>
  <c r="B219" i="7" s="1"/>
  <c r="C76" i="10"/>
  <c r="G76" i="10" s="1"/>
  <c r="C487" i="3"/>
  <c r="O355" i="3"/>
  <c r="O558" i="3"/>
  <c r="E353" i="3"/>
  <c r="U353" i="3" s="1"/>
  <c r="E556" i="3"/>
  <c r="U556" i="3" s="1"/>
  <c r="E318" i="3"/>
  <c r="U318" i="3" s="1"/>
  <c r="E521" i="3"/>
  <c r="U521" i="3" s="1"/>
  <c r="O320" i="3"/>
  <c r="O523" i="3"/>
  <c r="AA485" i="3"/>
  <c r="D284" i="3"/>
  <c r="G284" i="3" s="1"/>
  <c r="D76" i="10"/>
  <c r="H76" i="10" s="1"/>
  <c r="D487" i="3"/>
  <c r="AB487" i="3"/>
  <c r="AB486" i="3"/>
  <c r="N285" i="3"/>
  <c r="T285" i="3" s="1"/>
  <c r="N488" i="3"/>
  <c r="T488" i="3" s="1"/>
  <c r="J283" i="3"/>
  <c r="G218" i="7" s="1"/>
  <c r="Q218" i="7" s="1"/>
  <c r="J486" i="3"/>
  <c r="G321" i="7" s="1"/>
  <c r="Q321" i="7" s="1"/>
  <c r="H283" i="3"/>
  <c r="R283" i="3" s="1"/>
  <c r="H486" i="3"/>
  <c r="R486" i="3" s="1"/>
  <c r="W484" i="3"/>
  <c r="Y485" i="3"/>
  <c r="F100" i="10"/>
  <c r="J100" i="10" s="1"/>
  <c r="F511" i="3"/>
  <c r="F307" i="3"/>
  <c r="F99" i="10"/>
  <c r="J99" i="10" s="1"/>
  <c r="F510" i="3"/>
  <c r="AA282" i="3"/>
  <c r="AB283" i="3"/>
  <c r="C82" i="3"/>
  <c r="M285" i="3"/>
  <c r="S285" i="3" s="1"/>
  <c r="W281" i="3"/>
  <c r="Y282" i="3"/>
  <c r="F308" i="3"/>
  <c r="U154" i="3"/>
  <c r="E152" i="3"/>
  <c r="E147" i="10" s="1"/>
  <c r="I147" i="10" s="1"/>
  <c r="E117" i="3"/>
  <c r="E112" i="10" s="1"/>
  <c r="I112" i="10" s="1"/>
  <c r="U119" i="3"/>
  <c r="W320" i="7"/>
  <c r="AH320" i="7"/>
  <c r="AA80" i="3"/>
  <c r="Y79" i="3"/>
  <c r="R23" i="13" s="1"/>
  <c r="BQ23" i="13" s="1"/>
  <c r="K219" i="7"/>
  <c r="AD219" i="7" s="1"/>
  <c r="U284" i="3"/>
  <c r="AB284" i="3" s="1"/>
  <c r="K322" i="7"/>
  <c r="AD322" i="7" s="1"/>
  <c r="U487" i="3"/>
  <c r="K77" i="7"/>
  <c r="AD77" i="7" s="1"/>
  <c r="AB82" i="3"/>
  <c r="R76" i="7"/>
  <c r="R218" i="7"/>
  <c r="R321" i="7"/>
  <c r="T83" i="3"/>
  <c r="J77" i="7"/>
  <c r="AC77" i="7" s="1"/>
  <c r="J219" i="7"/>
  <c r="AC219" i="7" s="1"/>
  <c r="J322" i="7"/>
  <c r="AC322" i="7" s="1"/>
  <c r="Z81" i="3"/>
  <c r="S24" i="13" s="1"/>
  <c r="CO24" i="13" s="1"/>
  <c r="I77" i="7"/>
  <c r="AB77" i="7" s="1"/>
  <c r="I219" i="7"/>
  <c r="AB219" i="7" s="1"/>
  <c r="Z487" i="3"/>
  <c r="I322" i="7"/>
  <c r="AB322" i="7" s="1"/>
  <c r="G75" i="7"/>
  <c r="Q75" i="7" s="1"/>
  <c r="AD78" i="3"/>
  <c r="W80" i="3"/>
  <c r="R81" i="3"/>
  <c r="P75" i="7"/>
  <c r="F320" i="7"/>
  <c r="P320" i="7" s="1"/>
  <c r="F217" i="7"/>
  <c r="P217" i="7" s="1"/>
  <c r="AJ239" i="7"/>
  <c r="Y239" i="7"/>
  <c r="Y342" i="7"/>
  <c r="AJ342" i="7"/>
  <c r="E344" i="7"/>
  <c r="E100" i="7"/>
  <c r="E241" i="7"/>
  <c r="Y98" i="7"/>
  <c r="AJ98" i="7"/>
  <c r="AJ341" i="7"/>
  <c r="Y341" i="7"/>
  <c r="Y97" i="7"/>
  <c r="AJ97" i="7"/>
  <c r="E99" i="7"/>
  <c r="E240" i="7"/>
  <c r="E343" i="7"/>
  <c r="AJ238" i="7"/>
  <c r="Y238" i="7"/>
  <c r="W217" i="7" l="1"/>
  <c r="N217" i="7" s="1"/>
  <c r="AM73" i="7"/>
  <c r="AR73" i="7"/>
  <c r="AQ75" i="7"/>
  <c r="W75" i="7"/>
  <c r="N75" i="7" s="1"/>
  <c r="AH75" i="7"/>
  <c r="S75" i="7" s="1"/>
  <c r="AG76" i="7"/>
  <c r="V76" i="7"/>
  <c r="AB24" i="13"/>
  <c r="CZ24" i="13" s="1"/>
  <c r="AP75" i="7"/>
  <c r="AO74" i="7"/>
  <c r="BG10" i="12"/>
  <c r="BH10" i="12"/>
  <c r="BF10" i="12"/>
  <c r="BK10" i="12"/>
  <c r="BI10" i="12"/>
  <c r="BN10" i="13"/>
  <c r="DB10" i="13" s="1"/>
  <c r="BO10" i="13"/>
  <c r="DL10" i="13" s="1"/>
  <c r="BM10" i="13"/>
  <c r="CR10" i="13" s="1"/>
  <c r="BL10" i="13"/>
  <c r="BW10" i="13" s="1"/>
  <c r="BX10" i="13" s="1"/>
  <c r="CE10" i="13" s="1"/>
  <c r="EG30" i="13"/>
  <c r="EM30" i="13" s="1"/>
  <c r="ER30" i="13"/>
  <c r="AO30" i="13"/>
  <c r="AR30" i="13" s="1"/>
  <c r="AZ30" i="13" s="1"/>
  <c r="AY29" i="13"/>
  <c r="N30" i="13"/>
  <c r="EF30" i="13"/>
  <c r="EL30" i="13" s="1"/>
  <c r="FE30" i="13" s="1"/>
  <c r="ED28" i="12"/>
  <c r="N320" i="7"/>
  <c r="AM74" i="7" s="1"/>
  <c r="S320" i="7"/>
  <c r="AR74" i="7" s="1"/>
  <c r="C76" i="7"/>
  <c r="G81" i="3"/>
  <c r="AG219" i="7"/>
  <c r="V219" i="7"/>
  <c r="M489" i="3"/>
  <c r="S489" i="3" s="1"/>
  <c r="S83" i="3"/>
  <c r="AD485" i="3"/>
  <c r="AD282" i="3"/>
  <c r="AA29" i="12"/>
  <c r="CP29" i="12" s="1"/>
  <c r="AD29" i="12"/>
  <c r="BR29" i="12" s="1"/>
  <c r="AC29" i="12"/>
  <c r="DJ29" i="12" s="1"/>
  <c r="AB29" i="12"/>
  <c r="CZ29" i="12" s="1"/>
  <c r="AQ30" i="12"/>
  <c r="BU30" i="12" s="1"/>
  <c r="AS29" i="12"/>
  <c r="DV29" i="12" s="1"/>
  <c r="AO30" i="12"/>
  <c r="AI29" i="12"/>
  <c r="CQ29" i="12" s="1"/>
  <c r="AJ29" i="12"/>
  <c r="DA29" i="12" s="1"/>
  <c r="AK29" i="12"/>
  <c r="DK29" i="12" s="1"/>
  <c r="AL29" i="12"/>
  <c r="BS29" i="12" s="1"/>
  <c r="N30" i="12"/>
  <c r="Z30" i="12" s="1"/>
  <c r="V321" i="7"/>
  <c r="AG321" i="7"/>
  <c r="B322" i="7"/>
  <c r="G487" i="3"/>
  <c r="G283" i="3"/>
  <c r="C285" i="3"/>
  <c r="B220" i="7" s="1"/>
  <c r="D82" i="3"/>
  <c r="C77" i="7" s="1"/>
  <c r="C77" i="10"/>
  <c r="G77" i="10" s="1"/>
  <c r="C488" i="3"/>
  <c r="F513" i="3"/>
  <c r="F102" i="10"/>
  <c r="J102" i="10" s="1"/>
  <c r="O357" i="3"/>
  <c r="O560" i="3"/>
  <c r="E355" i="3"/>
  <c r="U355" i="3" s="1"/>
  <c r="E558" i="3"/>
  <c r="U558" i="3" s="1"/>
  <c r="E320" i="3"/>
  <c r="U320" i="3" s="1"/>
  <c r="E523" i="3"/>
  <c r="U523" i="3" s="1"/>
  <c r="O322" i="3"/>
  <c r="O525" i="3"/>
  <c r="AD79" i="3"/>
  <c r="AA486" i="3"/>
  <c r="AA487" i="3"/>
  <c r="AB488" i="3"/>
  <c r="N286" i="3"/>
  <c r="T286" i="3" s="1"/>
  <c r="N489" i="3"/>
  <c r="T489" i="3" s="1"/>
  <c r="J284" i="3"/>
  <c r="G219" i="7" s="1"/>
  <c r="Q219" i="7" s="1"/>
  <c r="J487" i="3"/>
  <c r="G322" i="7" s="1"/>
  <c r="Q322" i="7" s="1"/>
  <c r="H284" i="3"/>
  <c r="H487" i="3"/>
  <c r="W485" i="3"/>
  <c r="Y486" i="3"/>
  <c r="AD486" i="3" s="1"/>
  <c r="F101" i="10"/>
  <c r="J101" i="10" s="1"/>
  <c r="F512" i="3"/>
  <c r="F310" i="3"/>
  <c r="F104" i="10"/>
  <c r="J104" i="10" s="1"/>
  <c r="AA283" i="3"/>
  <c r="C83" i="3"/>
  <c r="M286" i="3"/>
  <c r="S286" i="3" s="1"/>
  <c r="Z284" i="3"/>
  <c r="W282" i="3"/>
  <c r="F309" i="3"/>
  <c r="U156" i="3"/>
  <c r="E154" i="3"/>
  <c r="E149" i="10" s="1"/>
  <c r="I149" i="10" s="1"/>
  <c r="E119" i="3"/>
  <c r="E114" i="10" s="1"/>
  <c r="I114" i="10" s="1"/>
  <c r="U121" i="3"/>
  <c r="AA81" i="3"/>
  <c r="T24" i="13" s="1"/>
  <c r="CY24" i="13" s="1"/>
  <c r="Z82" i="3"/>
  <c r="G82" i="3"/>
  <c r="AH321" i="7"/>
  <c r="W321" i="7"/>
  <c r="W218" i="7"/>
  <c r="N218" i="7" s="1"/>
  <c r="AH218" i="7"/>
  <c r="S218" i="7" s="1"/>
  <c r="C322" i="7"/>
  <c r="C219" i="7"/>
  <c r="K323" i="7"/>
  <c r="AD323" i="7" s="1"/>
  <c r="U488" i="3"/>
  <c r="K220" i="7"/>
  <c r="AD220" i="7" s="1"/>
  <c r="U285" i="3"/>
  <c r="K78" i="7"/>
  <c r="AD78" i="7" s="1"/>
  <c r="AB83" i="3"/>
  <c r="T84" i="3"/>
  <c r="J78" i="7"/>
  <c r="AC78" i="7" s="1"/>
  <c r="J220" i="7"/>
  <c r="AC220" i="7" s="1"/>
  <c r="J323" i="7"/>
  <c r="AC323" i="7" s="1"/>
  <c r="I78" i="7"/>
  <c r="AB78" i="7" s="1"/>
  <c r="I220" i="7"/>
  <c r="AB220" i="7" s="1"/>
  <c r="Z488" i="3"/>
  <c r="I323" i="7"/>
  <c r="AB323" i="7" s="1"/>
  <c r="G76" i="7"/>
  <c r="Q76" i="7" s="1"/>
  <c r="Y80" i="3"/>
  <c r="W81" i="3"/>
  <c r="R82" i="3"/>
  <c r="P76" i="7"/>
  <c r="F321" i="7"/>
  <c r="P321" i="7" s="1"/>
  <c r="Y283" i="3"/>
  <c r="F218" i="7"/>
  <c r="P218" i="7" s="1"/>
  <c r="AJ344" i="7"/>
  <c r="Y344" i="7"/>
  <c r="Y100" i="7"/>
  <c r="AJ100" i="7"/>
  <c r="E102" i="7"/>
  <c r="E243" i="7"/>
  <c r="E346" i="7"/>
  <c r="AJ241" i="7"/>
  <c r="Y241" i="7"/>
  <c r="E101" i="7"/>
  <c r="E242" i="7"/>
  <c r="E345" i="7"/>
  <c r="Y99" i="7"/>
  <c r="AJ99" i="7"/>
  <c r="AJ240" i="7"/>
  <c r="Y240" i="7"/>
  <c r="Y343" i="7"/>
  <c r="AJ343" i="7"/>
  <c r="R77" i="7"/>
  <c r="R219" i="7"/>
  <c r="R322" i="7"/>
  <c r="AQ76" i="7" l="1"/>
  <c r="W76" i="7"/>
  <c r="N76" i="7" s="1"/>
  <c r="AH76" i="7"/>
  <c r="S76" i="7" s="1"/>
  <c r="R284" i="3"/>
  <c r="R487" i="3"/>
  <c r="Y487" i="3" s="1"/>
  <c r="AD487" i="3" s="1"/>
  <c r="AP76" i="7"/>
  <c r="AO75" i="7"/>
  <c r="F103" i="10"/>
  <c r="J103" i="10" s="1"/>
  <c r="F105" i="10"/>
  <c r="J105" i="10" s="1"/>
  <c r="BN10" i="12"/>
  <c r="DB10" i="12" s="1"/>
  <c r="DC10" i="12" s="1"/>
  <c r="BO10" i="12"/>
  <c r="DL10" i="12" s="1"/>
  <c r="DM10" i="12" s="1"/>
  <c r="BM10" i="12"/>
  <c r="CR10" i="12" s="1"/>
  <c r="CS10" i="12" s="1"/>
  <c r="BL10" i="12"/>
  <c r="BW10" i="12" s="1"/>
  <c r="BX10" i="12" s="1"/>
  <c r="DC10" i="13"/>
  <c r="DG10" i="13" s="1"/>
  <c r="DM10" i="13"/>
  <c r="DQ10" i="13" s="1"/>
  <c r="CS10" i="13"/>
  <c r="EK29" i="13"/>
  <c r="EJ30" i="13"/>
  <c r="CI10" i="13"/>
  <c r="CK10" i="13" s="1"/>
  <c r="BZ10" i="13"/>
  <c r="CB10" i="13"/>
  <c r="CC10" i="13"/>
  <c r="BY10" i="13"/>
  <c r="CD10" i="13"/>
  <c r="CA10" i="13"/>
  <c r="CH10" i="13"/>
  <c r="V30" i="13"/>
  <c r="AE30" i="13"/>
  <c r="AI30" i="13" s="1"/>
  <c r="CQ30" i="13" s="1"/>
  <c r="Q30" i="13"/>
  <c r="AH30" i="13"/>
  <c r="AL30" i="13" s="1"/>
  <c r="BS30" i="13" s="1"/>
  <c r="AF30" i="13"/>
  <c r="AJ30" i="13" s="1"/>
  <c r="DA30" i="13" s="1"/>
  <c r="K31" i="13"/>
  <c r="L31" i="13"/>
  <c r="AN31" i="13" s="1"/>
  <c r="AQ31" i="13" s="1"/>
  <c r="BU31" i="13" s="1"/>
  <c r="CG30" i="13"/>
  <c r="M31" i="13"/>
  <c r="AP30" i="13"/>
  <c r="AS30" i="13" s="1"/>
  <c r="DV30" i="13" s="1"/>
  <c r="DZ30" i="13" s="1"/>
  <c r="ED30" i="13" s="1"/>
  <c r="AM30" i="13"/>
  <c r="BT30" i="13" s="1"/>
  <c r="Y30" i="13"/>
  <c r="CJ30" i="13"/>
  <c r="Z30" i="13"/>
  <c r="AD30" i="13" s="1"/>
  <c r="BR30" i="13" s="1"/>
  <c r="AG30" i="13"/>
  <c r="AK30" i="13" s="1"/>
  <c r="DK30" i="13" s="1"/>
  <c r="DZ29" i="12"/>
  <c r="AG220" i="7"/>
  <c r="V220" i="7"/>
  <c r="AG77" i="7"/>
  <c r="V77" i="7"/>
  <c r="M490" i="3"/>
  <c r="S490" i="3" s="1"/>
  <c r="S84" i="3"/>
  <c r="CJ30" i="12"/>
  <c r="CG30" i="12"/>
  <c r="W30" i="12"/>
  <c r="X30" i="12"/>
  <c r="Y30" i="12"/>
  <c r="AD283" i="3"/>
  <c r="AR30" i="12"/>
  <c r="AZ30" i="12" s="1"/>
  <c r="AM30" i="12"/>
  <c r="BT30" i="12" s="1"/>
  <c r="M31" i="12"/>
  <c r="L31" i="12"/>
  <c r="AN31" i="12" s="1"/>
  <c r="AP30" i="12"/>
  <c r="AE30" i="12"/>
  <c r="AF30" i="12"/>
  <c r="AG30" i="12"/>
  <c r="AH30" i="12"/>
  <c r="T30" i="12"/>
  <c r="CY30" i="12" s="1"/>
  <c r="S30" i="12"/>
  <c r="CO30" i="12" s="1"/>
  <c r="Q30" i="12"/>
  <c r="AY30" i="12" s="1"/>
  <c r="K31" i="12"/>
  <c r="R30" i="12"/>
  <c r="BQ30" i="12" s="1"/>
  <c r="U30" i="12"/>
  <c r="DI30" i="12" s="1"/>
  <c r="V30" i="12"/>
  <c r="AG322" i="7"/>
  <c r="V322" i="7"/>
  <c r="D488" i="3"/>
  <c r="D77" i="10"/>
  <c r="H77" i="10" s="1"/>
  <c r="D285" i="3"/>
  <c r="B323" i="7"/>
  <c r="N321" i="7"/>
  <c r="AM75" i="7" s="1"/>
  <c r="S321" i="7"/>
  <c r="AR75" i="7" s="1"/>
  <c r="F312" i="3"/>
  <c r="F515" i="3"/>
  <c r="F106" i="10"/>
  <c r="J106" i="10" s="1"/>
  <c r="C286" i="3"/>
  <c r="B221" i="7" s="1"/>
  <c r="D83" i="3"/>
  <c r="C78" i="10"/>
  <c r="G78" i="10" s="1"/>
  <c r="C489" i="3"/>
  <c r="Z489" i="3" s="1"/>
  <c r="F311" i="3"/>
  <c r="F514" i="3"/>
  <c r="O359" i="3"/>
  <c r="O562" i="3"/>
  <c r="E357" i="3"/>
  <c r="U357" i="3" s="1"/>
  <c r="E560" i="3"/>
  <c r="U560" i="3" s="1"/>
  <c r="F313" i="3"/>
  <c r="F516" i="3"/>
  <c r="E322" i="3"/>
  <c r="U322" i="3" s="1"/>
  <c r="E525" i="3"/>
  <c r="U525" i="3" s="1"/>
  <c r="O324" i="3"/>
  <c r="O527" i="3"/>
  <c r="AB489" i="3"/>
  <c r="N287" i="3"/>
  <c r="T287" i="3" s="1"/>
  <c r="N490" i="3"/>
  <c r="T490" i="3" s="1"/>
  <c r="J285" i="3"/>
  <c r="J488" i="3"/>
  <c r="G323" i="7" s="1"/>
  <c r="Q323" i="7" s="1"/>
  <c r="H285" i="3"/>
  <c r="R285" i="3" s="1"/>
  <c r="H488" i="3"/>
  <c r="R488" i="3" s="1"/>
  <c r="W486" i="3"/>
  <c r="AA284" i="3"/>
  <c r="AB285" i="3"/>
  <c r="C84" i="3"/>
  <c r="M287" i="3"/>
  <c r="S287" i="3" s="1"/>
  <c r="Z285" i="3"/>
  <c r="Z286" i="3"/>
  <c r="W283" i="3"/>
  <c r="E156" i="3"/>
  <c r="E151" i="10" s="1"/>
  <c r="I151" i="10" s="1"/>
  <c r="U158" i="3"/>
  <c r="E121" i="3"/>
  <c r="E116" i="10" s="1"/>
  <c r="I116" i="10" s="1"/>
  <c r="U123" i="3"/>
  <c r="AA82" i="3"/>
  <c r="Y81" i="3"/>
  <c r="AH77" i="7"/>
  <c r="W77" i="7"/>
  <c r="AH322" i="7"/>
  <c r="W322" i="7"/>
  <c r="W219" i="7"/>
  <c r="N219" i="7" s="1"/>
  <c r="AH219" i="7"/>
  <c r="S219" i="7" s="1"/>
  <c r="K324" i="7"/>
  <c r="AD324" i="7" s="1"/>
  <c r="U489" i="3"/>
  <c r="K221" i="7"/>
  <c r="AD221" i="7" s="1"/>
  <c r="U286" i="3"/>
  <c r="AB286" i="3" s="1"/>
  <c r="R78" i="7"/>
  <c r="K79" i="7"/>
  <c r="AD79" i="7" s="1"/>
  <c r="T85" i="3"/>
  <c r="J79" i="7"/>
  <c r="AC79" i="7" s="1"/>
  <c r="J221" i="7"/>
  <c r="AC221" i="7" s="1"/>
  <c r="J324" i="7"/>
  <c r="AC324" i="7" s="1"/>
  <c r="Z83" i="3"/>
  <c r="I79" i="7"/>
  <c r="AB79" i="7" s="1"/>
  <c r="I221" i="7"/>
  <c r="AB221" i="7" s="1"/>
  <c r="I324" i="7"/>
  <c r="AB324" i="7" s="1"/>
  <c r="G220" i="7"/>
  <c r="Q220" i="7" s="1"/>
  <c r="G77" i="7"/>
  <c r="Q77" i="7" s="1"/>
  <c r="AD80" i="3"/>
  <c r="W82" i="3"/>
  <c r="R83" i="3"/>
  <c r="P77" i="7"/>
  <c r="F219" i="7"/>
  <c r="P219" i="7" s="1"/>
  <c r="F322" i="7"/>
  <c r="P322" i="7" s="1"/>
  <c r="E348" i="7"/>
  <c r="E245" i="7"/>
  <c r="Y102" i="7"/>
  <c r="AJ102" i="7"/>
  <c r="AJ243" i="7"/>
  <c r="Y243" i="7"/>
  <c r="Y346" i="7"/>
  <c r="AJ346" i="7"/>
  <c r="E244" i="7"/>
  <c r="Y101" i="7"/>
  <c r="AJ101" i="7"/>
  <c r="E347" i="7"/>
  <c r="AJ242" i="7"/>
  <c r="Y242" i="7"/>
  <c r="Y345" i="7"/>
  <c r="AJ345" i="7"/>
  <c r="R220" i="7"/>
  <c r="R323" i="7"/>
  <c r="S77" i="7" l="1"/>
  <c r="N77" i="7"/>
  <c r="AQ77" i="7"/>
  <c r="AP77" i="7"/>
  <c r="AO76" i="7"/>
  <c r="F107" i="10"/>
  <c r="J107" i="10" s="1"/>
  <c r="F315" i="3"/>
  <c r="F518" i="3"/>
  <c r="DQ10" i="12"/>
  <c r="DN10" i="12"/>
  <c r="DO10" i="12"/>
  <c r="DP10" i="12"/>
  <c r="DU10" i="12"/>
  <c r="DY10" i="12" s="1"/>
  <c r="EC10" i="12" s="1"/>
  <c r="CW10" i="12"/>
  <c r="CT10" i="12"/>
  <c r="CU10" i="12"/>
  <c r="CV10" i="12"/>
  <c r="DS10" i="12"/>
  <c r="DW10" i="12" s="1"/>
  <c r="EA10" i="12" s="1"/>
  <c r="CI10" i="12"/>
  <c r="CK10" i="12" s="1"/>
  <c r="CD10" i="12"/>
  <c r="BY10" i="12"/>
  <c r="CH10" i="12"/>
  <c r="CB10" i="12"/>
  <c r="CC10" i="12"/>
  <c r="CA10" i="12"/>
  <c r="DG10" i="12"/>
  <c r="DF10" i="12"/>
  <c r="DD10" i="12"/>
  <c r="DT10" i="12"/>
  <c r="DX10" i="12" s="1"/>
  <c r="EB10" i="12" s="1"/>
  <c r="DE10" i="12"/>
  <c r="CE10" i="12"/>
  <c r="BZ10" i="12"/>
  <c r="CU10" i="13"/>
  <c r="CW10" i="13"/>
  <c r="DF10" i="13"/>
  <c r="DT10" i="13"/>
  <c r="DX10" i="13" s="1"/>
  <c r="EB10" i="13" s="1"/>
  <c r="DD10" i="13"/>
  <c r="DE10" i="13"/>
  <c r="DP10" i="13"/>
  <c r="DU10" i="13"/>
  <c r="DY10" i="13" s="1"/>
  <c r="EC10" i="13" s="1"/>
  <c r="FD10" i="13" s="1"/>
  <c r="FG10" i="13" s="1"/>
  <c r="DN10" i="13"/>
  <c r="DO10" i="13"/>
  <c r="DS10" i="13"/>
  <c r="DW10" i="13" s="1"/>
  <c r="EA10" i="13" s="1"/>
  <c r="CT10" i="13"/>
  <c r="CV10" i="13"/>
  <c r="AY30" i="13"/>
  <c r="CM10" i="13"/>
  <c r="CL10" i="13"/>
  <c r="BB11" i="13" s="1"/>
  <c r="N31" i="13"/>
  <c r="AM31" i="13" s="1"/>
  <c r="BT31" i="13" s="1"/>
  <c r="EF31" i="13"/>
  <c r="EL31" i="13" s="1"/>
  <c r="FE31" i="13" s="1"/>
  <c r="AO31" i="13"/>
  <c r="AR31" i="13" s="1"/>
  <c r="AZ31" i="13" s="1"/>
  <c r="AC30" i="13"/>
  <c r="DJ30" i="13" s="1"/>
  <c r="ED29" i="12"/>
  <c r="V221" i="7"/>
  <c r="AG221" i="7"/>
  <c r="M491" i="3"/>
  <c r="S491" i="3" s="1"/>
  <c r="S85" i="3"/>
  <c r="AA30" i="12"/>
  <c r="CP30" i="12" s="1"/>
  <c r="AB30" i="12"/>
  <c r="CZ30" i="12" s="1"/>
  <c r="AD30" i="12"/>
  <c r="BR30" i="12" s="1"/>
  <c r="AC30" i="12"/>
  <c r="DJ30" i="12" s="1"/>
  <c r="AQ31" i="12"/>
  <c r="BU31" i="12" s="1"/>
  <c r="AS30" i="12"/>
  <c r="DV30" i="12" s="1"/>
  <c r="AO31" i="12"/>
  <c r="AI30" i="12"/>
  <c r="CQ30" i="12" s="1"/>
  <c r="AJ30" i="12"/>
  <c r="DA30" i="12" s="1"/>
  <c r="AK30" i="12"/>
  <c r="DK30" i="12" s="1"/>
  <c r="AL30" i="12"/>
  <c r="BS30" i="12" s="1"/>
  <c r="N31" i="12"/>
  <c r="Z31" i="12" s="1"/>
  <c r="AG323" i="7"/>
  <c r="V323" i="7"/>
  <c r="F108" i="10"/>
  <c r="J108" i="10" s="1"/>
  <c r="F517" i="3"/>
  <c r="F314" i="3"/>
  <c r="D489" i="3"/>
  <c r="D78" i="10"/>
  <c r="H78" i="10" s="1"/>
  <c r="D286" i="3"/>
  <c r="B324" i="7"/>
  <c r="G489" i="3"/>
  <c r="S322" i="7"/>
  <c r="AR76" i="7" s="1"/>
  <c r="N322" i="7"/>
  <c r="AM76" i="7" s="1"/>
  <c r="G488" i="3"/>
  <c r="C323" i="7"/>
  <c r="W323" i="7" s="1"/>
  <c r="G285" i="3"/>
  <c r="C220" i="7"/>
  <c r="AH220" i="7" s="1"/>
  <c r="S220" i="7" s="1"/>
  <c r="AA285" i="3"/>
  <c r="V78" i="7"/>
  <c r="AG78" i="7"/>
  <c r="G83" i="3"/>
  <c r="AA83" i="3"/>
  <c r="C78" i="7"/>
  <c r="C287" i="3"/>
  <c r="B222" i="7" s="1"/>
  <c r="D84" i="3"/>
  <c r="C79" i="10"/>
  <c r="G79" i="10" s="1"/>
  <c r="C490" i="3"/>
  <c r="E359" i="3"/>
  <c r="E562" i="3"/>
  <c r="U562" i="3" s="1"/>
  <c r="O361" i="3"/>
  <c r="O564" i="3"/>
  <c r="E324" i="3"/>
  <c r="E527" i="3"/>
  <c r="U527" i="3" s="1"/>
  <c r="O326" i="3"/>
  <c r="O529" i="3"/>
  <c r="N288" i="3"/>
  <c r="T288" i="3" s="1"/>
  <c r="N491" i="3"/>
  <c r="T491" i="3" s="1"/>
  <c r="J286" i="3"/>
  <c r="G221" i="7" s="1"/>
  <c r="Q221" i="7" s="1"/>
  <c r="J489" i="3"/>
  <c r="G324" i="7" s="1"/>
  <c r="Q324" i="7" s="1"/>
  <c r="H286" i="3"/>
  <c r="R286" i="3" s="1"/>
  <c r="H489" i="3"/>
  <c r="R489" i="3" s="1"/>
  <c r="W487" i="3"/>
  <c r="Y488" i="3"/>
  <c r="C85" i="3"/>
  <c r="W25" i="13" s="1"/>
  <c r="M288" i="3"/>
  <c r="S288" i="3" s="1"/>
  <c r="Y284" i="3"/>
  <c r="AD284" i="3" s="1"/>
  <c r="W284" i="3"/>
  <c r="Y285" i="3"/>
  <c r="AD285" i="3" s="1"/>
  <c r="U359" i="3"/>
  <c r="U160" i="3"/>
  <c r="E158" i="3"/>
  <c r="E153" i="10" s="1"/>
  <c r="I153" i="10" s="1"/>
  <c r="AD81" i="3"/>
  <c r="U324" i="3"/>
  <c r="E123" i="3"/>
  <c r="E118" i="10" s="1"/>
  <c r="I118" i="10" s="1"/>
  <c r="U125" i="3"/>
  <c r="Z84" i="3"/>
  <c r="K325" i="7"/>
  <c r="AD325" i="7" s="1"/>
  <c r="U490" i="3"/>
  <c r="K222" i="7"/>
  <c r="AD222" i="7" s="1"/>
  <c r="U287" i="3"/>
  <c r="AB287" i="3" s="1"/>
  <c r="AB84" i="3"/>
  <c r="K80" i="7"/>
  <c r="AD80" i="7" s="1"/>
  <c r="AB85" i="3"/>
  <c r="U25" i="13" s="1"/>
  <c r="DI25" i="13" s="1"/>
  <c r="R324" i="7"/>
  <c r="R79" i="7"/>
  <c r="R221" i="7"/>
  <c r="T86" i="3"/>
  <c r="J80" i="7"/>
  <c r="AC80" i="7" s="1"/>
  <c r="J222" i="7"/>
  <c r="AC222" i="7" s="1"/>
  <c r="J325" i="7"/>
  <c r="AC325" i="7" s="1"/>
  <c r="I80" i="7"/>
  <c r="AB80" i="7" s="1"/>
  <c r="I222" i="7"/>
  <c r="AB222" i="7" s="1"/>
  <c r="Z490" i="3"/>
  <c r="I325" i="7"/>
  <c r="AB325" i="7" s="1"/>
  <c r="G78" i="7"/>
  <c r="Q78" i="7" s="1"/>
  <c r="Y82" i="3"/>
  <c r="R24" i="13" s="1"/>
  <c r="BQ24" i="13" s="1"/>
  <c r="R84" i="3"/>
  <c r="P78" i="7"/>
  <c r="F220" i="7"/>
  <c r="P220" i="7" s="1"/>
  <c r="F323" i="7"/>
  <c r="P323" i="7" s="1"/>
  <c r="AJ348" i="7"/>
  <c r="Y348" i="7"/>
  <c r="AJ245" i="7"/>
  <c r="Y245" i="7"/>
  <c r="AJ244" i="7"/>
  <c r="Y244" i="7"/>
  <c r="Y347" i="7"/>
  <c r="AJ347" i="7"/>
  <c r="N323" i="7" l="1"/>
  <c r="W220" i="7"/>
  <c r="N220" i="7" s="1"/>
  <c r="AM77" i="7" s="1"/>
  <c r="AP78" i="7"/>
  <c r="AO77" i="7"/>
  <c r="AQ78" i="7"/>
  <c r="AH323" i="7"/>
  <c r="S323" i="7" s="1"/>
  <c r="AR77" i="7" s="1"/>
  <c r="FD10" i="12"/>
  <c r="FG10" i="12" s="1"/>
  <c r="AH78" i="7"/>
  <c r="S78" i="7" s="1"/>
  <c r="W78" i="7"/>
  <c r="N78" i="7" s="1"/>
  <c r="AG222" i="7"/>
  <c r="V222" i="7"/>
  <c r="AG79" i="7"/>
  <c r="V79" i="7"/>
  <c r="C79" i="7"/>
  <c r="AH79" i="7" s="1"/>
  <c r="G84" i="3"/>
  <c r="AA25" i="13"/>
  <c r="CP25" i="13" s="1"/>
  <c r="F109" i="10"/>
  <c r="J109" i="10" s="1"/>
  <c r="F520" i="3"/>
  <c r="F317" i="3"/>
  <c r="CM10" i="12"/>
  <c r="CL10" i="12"/>
  <c r="BB11" i="12" s="1"/>
  <c r="BD11" i="13"/>
  <c r="EQ11" i="13" s="1"/>
  <c r="ES11" i="13" s="1"/>
  <c r="BE11" i="13"/>
  <c r="EG31" i="13"/>
  <c r="EM31" i="13" s="1"/>
  <c r="ER31" i="13"/>
  <c r="EK30" i="13"/>
  <c r="EJ31" i="13"/>
  <c r="AG31" i="13"/>
  <c r="AK31" i="13" s="1"/>
  <c r="DK31" i="13" s="1"/>
  <c r="AF31" i="13"/>
  <c r="AJ31" i="13" s="1"/>
  <c r="DA31" i="13" s="1"/>
  <c r="AE31" i="13"/>
  <c r="AI31" i="13" s="1"/>
  <c r="CQ31" i="13" s="1"/>
  <c r="CG31" i="13"/>
  <c r="L32" i="13"/>
  <c r="AN32" i="13" s="1"/>
  <c r="AQ32" i="13" s="1"/>
  <c r="BU32" i="13" s="1"/>
  <c r="AP31" i="13"/>
  <c r="AS31" i="13" s="1"/>
  <c r="DV31" i="13" s="1"/>
  <c r="DZ31" i="13" s="1"/>
  <c r="ED31" i="13" s="1"/>
  <c r="K32" i="13"/>
  <c r="M32" i="13"/>
  <c r="V31" i="13"/>
  <c r="Z31" i="13"/>
  <c r="AD31" i="13" s="1"/>
  <c r="BR31" i="13" s="1"/>
  <c r="Q31" i="13"/>
  <c r="CJ31" i="13"/>
  <c r="Y31" i="13"/>
  <c r="AC31" i="13" s="1"/>
  <c r="DJ31" i="13" s="1"/>
  <c r="AH31" i="13"/>
  <c r="AL31" i="13" s="1"/>
  <c r="BS31" i="13" s="1"/>
  <c r="DZ30" i="12"/>
  <c r="D85" i="3"/>
  <c r="X25" i="13" s="1"/>
  <c r="M492" i="3"/>
  <c r="S492" i="3" s="1"/>
  <c r="S86" i="3"/>
  <c r="CJ31" i="12"/>
  <c r="CG31" i="12"/>
  <c r="W31" i="12"/>
  <c r="X31" i="12"/>
  <c r="Y31" i="12"/>
  <c r="AR31" i="12"/>
  <c r="AZ31" i="12" s="1"/>
  <c r="AM31" i="12"/>
  <c r="BT31" i="12" s="1"/>
  <c r="M32" i="12"/>
  <c r="L32" i="12"/>
  <c r="AN32" i="12" s="1"/>
  <c r="AP31" i="12"/>
  <c r="AE31" i="12"/>
  <c r="AF31" i="12"/>
  <c r="AG31" i="12"/>
  <c r="AH31" i="12"/>
  <c r="R31" i="12"/>
  <c r="BQ31" i="12" s="1"/>
  <c r="U31" i="12"/>
  <c r="DI31" i="12" s="1"/>
  <c r="V31" i="12"/>
  <c r="T31" i="12"/>
  <c r="CY31" i="12" s="1"/>
  <c r="Q31" i="12"/>
  <c r="AY31" i="12" s="1"/>
  <c r="K32" i="12"/>
  <c r="S31" i="12"/>
  <c r="CO31" i="12" s="1"/>
  <c r="F110" i="10"/>
  <c r="J110" i="10" s="1"/>
  <c r="F519" i="3"/>
  <c r="F316" i="3"/>
  <c r="AG324" i="7"/>
  <c r="V324" i="7"/>
  <c r="AA488" i="3"/>
  <c r="AD488" i="3" s="1"/>
  <c r="AA489" i="3"/>
  <c r="D490" i="3"/>
  <c r="D79" i="10"/>
  <c r="H79" i="10" s="1"/>
  <c r="D287" i="3"/>
  <c r="C222" i="7" s="1"/>
  <c r="B325" i="7"/>
  <c r="C324" i="7"/>
  <c r="AH324" i="7" s="1"/>
  <c r="G286" i="3"/>
  <c r="C221" i="7"/>
  <c r="W221" i="7" s="1"/>
  <c r="N221" i="7" s="1"/>
  <c r="C288" i="3"/>
  <c r="B223" i="7" s="1"/>
  <c r="C80" i="10"/>
  <c r="G80" i="10" s="1"/>
  <c r="C491" i="3"/>
  <c r="O363" i="3"/>
  <c r="O566" i="3"/>
  <c r="E361" i="3"/>
  <c r="E564" i="3"/>
  <c r="E326" i="3"/>
  <c r="E529" i="3"/>
  <c r="U529" i="3" s="1"/>
  <c r="O328" i="3"/>
  <c r="O531" i="3"/>
  <c r="D288" i="3"/>
  <c r="G288" i="3" s="1"/>
  <c r="D80" i="10"/>
  <c r="H80" i="10" s="1"/>
  <c r="D491" i="3"/>
  <c r="AB490" i="3"/>
  <c r="N289" i="3"/>
  <c r="T289" i="3" s="1"/>
  <c r="N492" i="3"/>
  <c r="T492" i="3" s="1"/>
  <c r="J287" i="3"/>
  <c r="G222" i="7" s="1"/>
  <c r="Q222" i="7" s="1"/>
  <c r="J490" i="3"/>
  <c r="G325" i="7" s="1"/>
  <c r="Q325" i="7" s="1"/>
  <c r="H287" i="3"/>
  <c r="H490" i="3"/>
  <c r="W488" i="3"/>
  <c r="Y489" i="3"/>
  <c r="AA286" i="3"/>
  <c r="C86" i="3"/>
  <c r="M289" i="3"/>
  <c r="S289" i="3" s="1"/>
  <c r="Z287" i="3"/>
  <c r="W285" i="3"/>
  <c r="E160" i="3"/>
  <c r="E155" i="10" s="1"/>
  <c r="I155" i="10" s="1"/>
  <c r="U162" i="3"/>
  <c r="U326" i="3"/>
  <c r="Y83" i="3"/>
  <c r="W83" i="3"/>
  <c r="E125" i="3"/>
  <c r="E120" i="10" s="1"/>
  <c r="I120" i="10" s="1"/>
  <c r="U127" i="3"/>
  <c r="AA85" i="3"/>
  <c r="T25" i="13" s="1"/>
  <c r="CY25" i="13" s="1"/>
  <c r="AA84" i="3"/>
  <c r="K326" i="7"/>
  <c r="AD326" i="7" s="1"/>
  <c r="U491" i="3"/>
  <c r="AB491" i="3" s="1"/>
  <c r="K223" i="7"/>
  <c r="AD223" i="7" s="1"/>
  <c r="U288" i="3"/>
  <c r="AB288" i="3" s="1"/>
  <c r="K81" i="7"/>
  <c r="AD81" i="7" s="1"/>
  <c r="R80" i="7"/>
  <c r="R222" i="7"/>
  <c r="R325" i="7"/>
  <c r="T87" i="3"/>
  <c r="J81" i="7"/>
  <c r="AC81" i="7" s="1"/>
  <c r="J223" i="7"/>
  <c r="AC223" i="7" s="1"/>
  <c r="J326" i="7"/>
  <c r="AC326" i="7" s="1"/>
  <c r="Z85" i="3"/>
  <c r="S25" i="13" s="1"/>
  <c r="CO25" i="13" s="1"/>
  <c r="I81" i="7"/>
  <c r="AB81" i="7" s="1"/>
  <c r="I223" i="7"/>
  <c r="AB223" i="7" s="1"/>
  <c r="Z491" i="3"/>
  <c r="I326" i="7"/>
  <c r="AB326" i="7" s="1"/>
  <c r="G79" i="7"/>
  <c r="Q79" i="7" s="1"/>
  <c r="AP79" i="7" s="1"/>
  <c r="AD82" i="3"/>
  <c r="W84" i="3"/>
  <c r="R85" i="3"/>
  <c r="P79" i="7"/>
  <c r="F221" i="7"/>
  <c r="P221" i="7" s="1"/>
  <c r="F324" i="7"/>
  <c r="P324" i="7" s="1"/>
  <c r="AO78" i="7" l="1"/>
  <c r="AH221" i="7"/>
  <c r="S221" i="7" s="1"/>
  <c r="W79" i="7"/>
  <c r="W324" i="7"/>
  <c r="N324" i="7" s="1"/>
  <c r="AM78" i="7" s="1"/>
  <c r="N79" i="7"/>
  <c r="S79" i="7"/>
  <c r="AB25" i="13"/>
  <c r="CZ25" i="13" s="1"/>
  <c r="BE11" i="12"/>
  <c r="AQ79" i="7"/>
  <c r="R490" i="3"/>
  <c r="R287" i="3"/>
  <c r="F111" i="10"/>
  <c r="J111" i="10" s="1"/>
  <c r="F319" i="3"/>
  <c r="F522" i="3"/>
  <c r="BC11" i="13"/>
  <c r="EV11" i="13"/>
  <c r="EY11" i="13" s="1"/>
  <c r="FB11" i="13" s="1"/>
  <c r="FF11" i="13" s="1"/>
  <c r="EU11" i="13"/>
  <c r="EX11" i="13" s="1"/>
  <c r="FA11" i="13" s="1"/>
  <c r="ET11" i="13"/>
  <c r="EW11" i="13" s="1"/>
  <c r="EZ11" i="13" s="1"/>
  <c r="AO32" i="13"/>
  <c r="AR32" i="13" s="1"/>
  <c r="AZ32" i="13" s="1"/>
  <c r="AY31" i="13"/>
  <c r="EF32" i="13"/>
  <c r="EL32" i="13" s="1"/>
  <c r="FE32" i="13" s="1"/>
  <c r="N32" i="13"/>
  <c r="ED30" i="12"/>
  <c r="AG80" i="7"/>
  <c r="V80" i="7"/>
  <c r="G85" i="3"/>
  <c r="C80" i="7"/>
  <c r="AH80" i="7" s="1"/>
  <c r="AG223" i="7"/>
  <c r="V223" i="7"/>
  <c r="M493" i="3"/>
  <c r="S493" i="3" s="1"/>
  <c r="S87" i="3"/>
  <c r="AD489" i="3"/>
  <c r="AB31" i="12"/>
  <c r="CZ31" i="12" s="1"/>
  <c r="AD31" i="12"/>
  <c r="BR31" i="12" s="1"/>
  <c r="AA31" i="12"/>
  <c r="CP31" i="12" s="1"/>
  <c r="AC31" i="12"/>
  <c r="DJ31" i="12" s="1"/>
  <c r="AQ32" i="12"/>
  <c r="BU32" i="12" s="1"/>
  <c r="AS31" i="12"/>
  <c r="DV31" i="12" s="1"/>
  <c r="AO32" i="12"/>
  <c r="AI31" i="12"/>
  <c r="CQ31" i="12" s="1"/>
  <c r="AJ31" i="12"/>
  <c r="DA31" i="12" s="1"/>
  <c r="AK31" i="12"/>
  <c r="DK31" i="12" s="1"/>
  <c r="AL31" i="12"/>
  <c r="BS31" i="12" s="1"/>
  <c r="N32" i="12"/>
  <c r="Z32" i="12" s="1"/>
  <c r="F112" i="10"/>
  <c r="J112" i="10" s="1"/>
  <c r="F521" i="3"/>
  <c r="F318" i="3"/>
  <c r="V325" i="7"/>
  <c r="AG325" i="7"/>
  <c r="B326" i="7"/>
  <c r="G491" i="3"/>
  <c r="S324" i="7"/>
  <c r="G490" i="3"/>
  <c r="C325" i="7"/>
  <c r="G287" i="3"/>
  <c r="AA287" i="3"/>
  <c r="C289" i="3"/>
  <c r="B224" i="7" s="1"/>
  <c r="V224" i="7" s="1"/>
  <c r="D86" i="3"/>
  <c r="AA86" i="3" s="1"/>
  <c r="Z86" i="3"/>
  <c r="C81" i="10"/>
  <c r="G81" i="10" s="1"/>
  <c r="C492" i="3"/>
  <c r="E363" i="3"/>
  <c r="E566" i="3"/>
  <c r="O365" i="3"/>
  <c r="O568" i="3"/>
  <c r="E328" i="3"/>
  <c r="E531" i="3"/>
  <c r="U531" i="3" s="1"/>
  <c r="O330" i="3"/>
  <c r="O533" i="3"/>
  <c r="N290" i="3"/>
  <c r="T290" i="3" s="1"/>
  <c r="N493" i="3"/>
  <c r="T493" i="3" s="1"/>
  <c r="J288" i="3"/>
  <c r="G223" i="7" s="1"/>
  <c r="Q223" i="7" s="1"/>
  <c r="J491" i="3"/>
  <c r="G326" i="7" s="1"/>
  <c r="Q326" i="7" s="1"/>
  <c r="H288" i="3"/>
  <c r="H491" i="3"/>
  <c r="W489" i="3"/>
  <c r="Y490" i="3"/>
  <c r="C87" i="3"/>
  <c r="M290" i="3"/>
  <c r="S290" i="3" s="1"/>
  <c r="Z288" i="3"/>
  <c r="Y286" i="3"/>
  <c r="AD286" i="3" s="1"/>
  <c r="W286" i="3"/>
  <c r="U164" i="3"/>
  <c r="E162" i="3"/>
  <c r="E157" i="10" s="1"/>
  <c r="I157" i="10" s="1"/>
  <c r="G86" i="3"/>
  <c r="AD83" i="3"/>
  <c r="U328" i="3"/>
  <c r="AH222" i="7"/>
  <c r="S222" i="7" s="1"/>
  <c r="W222" i="7"/>
  <c r="N222" i="7" s="1"/>
  <c r="E127" i="3"/>
  <c r="E122" i="10" s="1"/>
  <c r="I122" i="10" s="1"/>
  <c r="U129" i="3"/>
  <c r="C223" i="7"/>
  <c r="C326" i="7"/>
  <c r="W80" i="7"/>
  <c r="C81" i="7"/>
  <c r="D87" i="3"/>
  <c r="U492" i="3"/>
  <c r="AB492" i="3" s="1"/>
  <c r="K327" i="7"/>
  <c r="AD327" i="7" s="1"/>
  <c r="K224" i="7"/>
  <c r="AD224" i="7" s="1"/>
  <c r="U289" i="3"/>
  <c r="AB86" i="3"/>
  <c r="K82" i="7"/>
  <c r="AD82" i="7" s="1"/>
  <c r="AB87" i="3"/>
  <c r="T88" i="3"/>
  <c r="J82" i="7"/>
  <c r="AC82" i="7" s="1"/>
  <c r="J224" i="7"/>
  <c r="AC224" i="7" s="1"/>
  <c r="J327" i="7"/>
  <c r="AC327" i="7" s="1"/>
  <c r="I82" i="7"/>
  <c r="AB82" i="7" s="1"/>
  <c r="I224" i="7"/>
  <c r="AB224" i="7" s="1"/>
  <c r="Z492" i="3"/>
  <c r="I327" i="7"/>
  <c r="AB327" i="7" s="1"/>
  <c r="G80" i="7"/>
  <c r="Q80" i="7" s="1"/>
  <c r="Y84" i="3"/>
  <c r="R86" i="3"/>
  <c r="P80" i="7"/>
  <c r="F222" i="7"/>
  <c r="P222" i="7" s="1"/>
  <c r="F325" i="7"/>
  <c r="P325" i="7" s="1"/>
  <c r="R81" i="7"/>
  <c r="R223" i="7"/>
  <c r="R326" i="7"/>
  <c r="AG224" i="7" l="1"/>
  <c r="AR78" i="7"/>
  <c r="S80" i="7"/>
  <c r="N80" i="7"/>
  <c r="AQ80" i="7"/>
  <c r="R288" i="3"/>
  <c r="R491" i="3"/>
  <c r="AP80" i="7"/>
  <c r="AO79" i="7"/>
  <c r="F113" i="10"/>
  <c r="J113" i="10" s="1"/>
  <c r="F321" i="3"/>
  <c r="F524" i="3"/>
  <c r="BC11" i="12"/>
  <c r="BH11" i="13"/>
  <c r="BI11" i="13"/>
  <c r="BF11" i="13"/>
  <c r="BK11" i="13"/>
  <c r="BO11" i="13" s="1"/>
  <c r="DL11" i="13" s="1"/>
  <c r="BG11" i="13"/>
  <c r="ER32" i="13"/>
  <c r="EG32" i="13"/>
  <c r="EM32" i="13" s="1"/>
  <c r="EK31" i="13"/>
  <c r="EJ32" i="13"/>
  <c r="CG32" i="13"/>
  <c r="L33" i="13"/>
  <c r="AN33" i="13" s="1"/>
  <c r="AQ33" i="13" s="1"/>
  <c r="BU33" i="13" s="1"/>
  <c r="M33" i="13"/>
  <c r="AM32" i="13"/>
  <c r="BT32" i="13" s="1"/>
  <c r="Z32" i="13"/>
  <c r="AD32" i="13" s="1"/>
  <c r="BR32" i="13" s="1"/>
  <c r="AH32" i="13"/>
  <c r="AL32" i="13" s="1"/>
  <c r="BS32" i="13" s="1"/>
  <c r="AE32" i="13"/>
  <c r="AI32" i="13" s="1"/>
  <c r="CQ32" i="13" s="1"/>
  <c r="CJ32" i="13"/>
  <c r="V32" i="13"/>
  <c r="AG32" i="13"/>
  <c r="AK32" i="13" s="1"/>
  <c r="DK32" i="13" s="1"/>
  <c r="AP32" i="13"/>
  <c r="AS32" i="13" s="1"/>
  <c r="DV32" i="13" s="1"/>
  <c r="DZ32" i="13" s="1"/>
  <c r="ED32" i="13" s="1"/>
  <c r="K33" i="13"/>
  <c r="Y32" i="13"/>
  <c r="AC32" i="13" s="1"/>
  <c r="DJ32" i="13" s="1"/>
  <c r="Q32" i="13"/>
  <c r="AF32" i="13"/>
  <c r="AJ32" i="13" s="1"/>
  <c r="DA32" i="13" s="1"/>
  <c r="DZ31" i="12"/>
  <c r="M494" i="3"/>
  <c r="S494" i="3" s="1"/>
  <c r="S88" i="3"/>
  <c r="CJ32" i="12"/>
  <c r="CG32" i="12"/>
  <c r="W32" i="12"/>
  <c r="X32" i="12"/>
  <c r="Y32" i="12"/>
  <c r="AR32" i="12"/>
  <c r="AZ32" i="12" s="1"/>
  <c r="AM32" i="12"/>
  <c r="BT32" i="12" s="1"/>
  <c r="M33" i="12"/>
  <c r="L33" i="12"/>
  <c r="AN33" i="12" s="1"/>
  <c r="AP32" i="12"/>
  <c r="AE32" i="12"/>
  <c r="AF32" i="12"/>
  <c r="AG32" i="12"/>
  <c r="AH32" i="12"/>
  <c r="T32" i="12"/>
  <c r="CY32" i="12" s="1"/>
  <c r="V32" i="12"/>
  <c r="S32" i="12"/>
  <c r="CO32" i="12" s="1"/>
  <c r="U32" i="12"/>
  <c r="DI32" i="12" s="1"/>
  <c r="Q32" i="12"/>
  <c r="AY32" i="12" s="1"/>
  <c r="K33" i="12"/>
  <c r="R32" i="12"/>
  <c r="BQ32" i="12" s="1"/>
  <c r="F114" i="10"/>
  <c r="J114" i="10" s="1"/>
  <c r="F523" i="3"/>
  <c r="F320" i="3"/>
  <c r="AG326" i="7"/>
  <c r="V326" i="7"/>
  <c r="AA490" i="3"/>
  <c r="AD490" i="3" s="1"/>
  <c r="AA491" i="3"/>
  <c r="D492" i="3"/>
  <c r="D81" i="10"/>
  <c r="H81" i="10" s="1"/>
  <c r="D289" i="3"/>
  <c r="B327" i="7"/>
  <c r="G492" i="3"/>
  <c r="W325" i="7"/>
  <c r="N325" i="7" s="1"/>
  <c r="AM79" i="7" s="1"/>
  <c r="AH325" i="7"/>
  <c r="S325" i="7" s="1"/>
  <c r="AR79" i="7" s="1"/>
  <c r="AG81" i="7"/>
  <c r="V81" i="7"/>
  <c r="C290" i="3"/>
  <c r="B225" i="7" s="1"/>
  <c r="C82" i="10"/>
  <c r="G82" i="10" s="1"/>
  <c r="C493" i="3"/>
  <c r="Z493" i="3" s="1"/>
  <c r="O367" i="3"/>
  <c r="O570" i="3"/>
  <c r="E365" i="3"/>
  <c r="U365" i="3" s="1"/>
  <c r="E568" i="3"/>
  <c r="U568" i="3" s="1"/>
  <c r="E330" i="3"/>
  <c r="E533" i="3"/>
  <c r="O332" i="3"/>
  <c r="O535" i="3"/>
  <c r="D290" i="3"/>
  <c r="G290" i="3" s="1"/>
  <c r="D82" i="10"/>
  <c r="H82" i="10" s="1"/>
  <c r="D493" i="3"/>
  <c r="AB493" i="3"/>
  <c r="N291" i="3"/>
  <c r="T291" i="3" s="1"/>
  <c r="N494" i="3"/>
  <c r="T494" i="3" s="1"/>
  <c r="J289" i="3"/>
  <c r="G224" i="7" s="1"/>
  <c r="Q224" i="7" s="1"/>
  <c r="J492" i="3"/>
  <c r="G327" i="7" s="1"/>
  <c r="Q327" i="7" s="1"/>
  <c r="H289" i="3"/>
  <c r="R289" i="3" s="1"/>
  <c r="H492" i="3"/>
  <c r="R492" i="3" s="1"/>
  <c r="W490" i="3"/>
  <c r="AA288" i="3"/>
  <c r="AB289" i="3"/>
  <c r="C88" i="3"/>
  <c r="M291" i="3"/>
  <c r="S291" i="3" s="1"/>
  <c r="Z289" i="3"/>
  <c r="Z290" i="3"/>
  <c r="Y287" i="3"/>
  <c r="AD287" i="3" s="1"/>
  <c r="W287" i="3"/>
  <c r="E164" i="3"/>
  <c r="E159" i="10" s="1"/>
  <c r="I159" i="10" s="1"/>
  <c r="U166" i="3"/>
  <c r="W326" i="7"/>
  <c r="AH326" i="7"/>
  <c r="Y85" i="3"/>
  <c r="R25" i="13" s="1"/>
  <c r="BQ25" i="13" s="1"/>
  <c r="W85" i="3"/>
  <c r="E129" i="3"/>
  <c r="E124" i="10" s="1"/>
  <c r="I124" i="10" s="1"/>
  <c r="U131" i="3"/>
  <c r="AH223" i="7"/>
  <c r="S223" i="7" s="1"/>
  <c r="W223" i="7"/>
  <c r="N223" i="7" s="1"/>
  <c r="AH81" i="7"/>
  <c r="W81" i="7"/>
  <c r="AG82" i="7"/>
  <c r="V82" i="7"/>
  <c r="C82" i="7"/>
  <c r="G87" i="3"/>
  <c r="K328" i="7"/>
  <c r="AD328" i="7" s="1"/>
  <c r="U493" i="3"/>
  <c r="K225" i="7"/>
  <c r="AD225" i="7" s="1"/>
  <c r="U290" i="3"/>
  <c r="AB290" i="3" s="1"/>
  <c r="K83" i="7"/>
  <c r="AD83" i="7" s="1"/>
  <c r="R82" i="7"/>
  <c r="R224" i="7"/>
  <c r="R327" i="7"/>
  <c r="T89" i="3"/>
  <c r="J83" i="7"/>
  <c r="AC83" i="7" s="1"/>
  <c r="J225" i="7"/>
  <c r="AC225" i="7" s="1"/>
  <c r="J328" i="7"/>
  <c r="AC328" i="7" s="1"/>
  <c r="Z87" i="3"/>
  <c r="I83" i="7"/>
  <c r="AB83" i="7" s="1"/>
  <c r="I225" i="7"/>
  <c r="AB225" i="7" s="1"/>
  <c r="I328" i="7"/>
  <c r="AB328" i="7" s="1"/>
  <c r="G81" i="7"/>
  <c r="Q81" i="7" s="1"/>
  <c r="AD84" i="3"/>
  <c r="W86" i="3"/>
  <c r="R87" i="3"/>
  <c r="P81" i="7"/>
  <c r="F223" i="7"/>
  <c r="P223" i="7" s="1"/>
  <c r="F326" i="7"/>
  <c r="P326" i="7" s="1"/>
  <c r="AQ81" i="7" l="1"/>
  <c r="AP81" i="7"/>
  <c r="AO80" i="7"/>
  <c r="F115" i="10"/>
  <c r="J115" i="10" s="1"/>
  <c r="F323" i="3"/>
  <c r="F526" i="3"/>
  <c r="BI11" i="12"/>
  <c r="BG11" i="12"/>
  <c r="BF11" i="12"/>
  <c r="BH11" i="12"/>
  <c r="BK11" i="12"/>
  <c r="BM11" i="12" s="1"/>
  <c r="CR11" i="12" s="1"/>
  <c r="CS11" i="12" s="1"/>
  <c r="BM11" i="13"/>
  <c r="CR11" i="13" s="1"/>
  <c r="CS11" i="13" s="1"/>
  <c r="CW11" i="13" s="1"/>
  <c r="BN11" i="13"/>
  <c r="DB11" i="13" s="1"/>
  <c r="BL11" i="13"/>
  <c r="BW11" i="13" s="1"/>
  <c r="BX11" i="13" s="1"/>
  <c r="DM11" i="13"/>
  <c r="DQ11" i="13" s="1"/>
  <c r="AO33" i="13"/>
  <c r="AR33" i="13" s="1"/>
  <c r="AZ33" i="13" s="1"/>
  <c r="AY32" i="13"/>
  <c r="N33" i="13"/>
  <c r="EF33" i="13"/>
  <c r="EL33" i="13" s="1"/>
  <c r="FE33" i="13" s="1"/>
  <c r="ED31" i="12"/>
  <c r="N326" i="7"/>
  <c r="AM80" i="7" s="1"/>
  <c r="AG225" i="7"/>
  <c r="V225" i="7"/>
  <c r="M495" i="3"/>
  <c r="S495" i="3" s="1"/>
  <c r="S89" i="3"/>
  <c r="AA32" i="12"/>
  <c r="CP32" i="12" s="1"/>
  <c r="AC32" i="12"/>
  <c r="DJ32" i="12" s="1"/>
  <c r="AB32" i="12"/>
  <c r="CZ32" i="12" s="1"/>
  <c r="AD32" i="12"/>
  <c r="BR32" i="12" s="1"/>
  <c r="AQ33" i="12"/>
  <c r="BU33" i="12" s="1"/>
  <c r="AS32" i="12"/>
  <c r="DV32" i="12" s="1"/>
  <c r="AO33" i="12"/>
  <c r="AI32" i="12"/>
  <c r="CQ32" i="12" s="1"/>
  <c r="AJ32" i="12"/>
  <c r="DA32" i="12" s="1"/>
  <c r="AK32" i="12"/>
  <c r="DK32" i="12" s="1"/>
  <c r="AL32" i="12"/>
  <c r="BS32" i="12" s="1"/>
  <c r="N33" i="12"/>
  <c r="Z33" i="12" s="1"/>
  <c r="F116" i="10"/>
  <c r="J116" i="10" s="1"/>
  <c r="F525" i="3"/>
  <c r="F322" i="3"/>
  <c r="V327" i="7"/>
  <c r="AG327" i="7"/>
  <c r="B328" i="7"/>
  <c r="G493" i="3"/>
  <c r="S326" i="7"/>
  <c r="AR80" i="7" s="1"/>
  <c r="S81" i="7"/>
  <c r="N81" i="7"/>
  <c r="C327" i="7"/>
  <c r="G289" i="3"/>
  <c r="C224" i="7"/>
  <c r="AA289" i="3"/>
  <c r="C291" i="3"/>
  <c r="B226" i="7" s="1"/>
  <c r="C83" i="10"/>
  <c r="G83" i="10" s="1"/>
  <c r="D88" i="3"/>
  <c r="Z88" i="3"/>
  <c r="C494" i="3"/>
  <c r="E367" i="3"/>
  <c r="U367" i="3" s="1"/>
  <c r="E570" i="3"/>
  <c r="U570" i="3" s="1"/>
  <c r="O369" i="3"/>
  <c r="O572" i="3"/>
  <c r="E332" i="3"/>
  <c r="E535" i="3"/>
  <c r="O334" i="3"/>
  <c r="O537" i="3"/>
  <c r="N292" i="3"/>
  <c r="T292" i="3" s="1"/>
  <c r="N495" i="3"/>
  <c r="T495" i="3" s="1"/>
  <c r="J290" i="3"/>
  <c r="G225" i="7" s="1"/>
  <c r="Q225" i="7" s="1"/>
  <c r="J493" i="3"/>
  <c r="G328" i="7" s="1"/>
  <c r="Q328" i="7" s="1"/>
  <c r="H290" i="3"/>
  <c r="R290" i="3" s="1"/>
  <c r="H493" i="3"/>
  <c r="R493" i="3" s="1"/>
  <c r="W491" i="3"/>
  <c r="Y491" i="3"/>
  <c r="AD491" i="3" s="1"/>
  <c r="C89" i="3"/>
  <c r="W26" i="13" s="1"/>
  <c r="M292" i="3"/>
  <c r="S292" i="3" s="1"/>
  <c r="Y288" i="3"/>
  <c r="AD288" i="3" s="1"/>
  <c r="W288" i="3"/>
  <c r="Y289" i="3"/>
  <c r="U168" i="3"/>
  <c r="E166" i="3"/>
  <c r="E161" i="10" s="1"/>
  <c r="I161" i="10" s="1"/>
  <c r="AD85" i="3"/>
  <c r="E131" i="3"/>
  <c r="E126" i="10" s="1"/>
  <c r="I126" i="10" s="1"/>
  <c r="U133" i="3"/>
  <c r="AA87" i="3"/>
  <c r="C225" i="7"/>
  <c r="C328" i="7"/>
  <c r="AH82" i="7"/>
  <c r="S82" i="7" s="1"/>
  <c r="W82" i="7"/>
  <c r="N82" i="7" s="1"/>
  <c r="K329" i="7"/>
  <c r="AD329" i="7" s="1"/>
  <c r="U494" i="3"/>
  <c r="K226" i="7"/>
  <c r="AD226" i="7" s="1"/>
  <c r="U291" i="3"/>
  <c r="AB291" i="3" s="1"/>
  <c r="AB88" i="3"/>
  <c r="K84" i="7"/>
  <c r="AD84" i="7" s="1"/>
  <c r="AB89" i="3"/>
  <c r="U26" i="13" s="1"/>
  <c r="DI26" i="13" s="1"/>
  <c r="R83" i="7"/>
  <c r="R225" i="7"/>
  <c r="R328" i="7"/>
  <c r="T90" i="3"/>
  <c r="J84" i="7"/>
  <c r="AC84" i="7" s="1"/>
  <c r="J226" i="7"/>
  <c r="AC226" i="7" s="1"/>
  <c r="J329" i="7"/>
  <c r="AC329" i="7" s="1"/>
  <c r="I84" i="7"/>
  <c r="AB84" i="7" s="1"/>
  <c r="I226" i="7"/>
  <c r="AB226" i="7" s="1"/>
  <c r="Z494" i="3"/>
  <c r="I329" i="7"/>
  <c r="AB329" i="7" s="1"/>
  <c r="G82" i="7"/>
  <c r="Q82" i="7" s="1"/>
  <c r="Y86" i="3"/>
  <c r="R88" i="3"/>
  <c r="P82" i="7"/>
  <c r="F224" i="7"/>
  <c r="P224" i="7" s="1"/>
  <c r="F327" i="7"/>
  <c r="P327" i="7" s="1"/>
  <c r="AO81" i="7" l="1"/>
  <c r="AD289" i="3"/>
  <c r="C83" i="7"/>
  <c r="G88" i="3"/>
  <c r="D291" i="3"/>
  <c r="AA26" i="13"/>
  <c r="CP26" i="13" s="1"/>
  <c r="AQ82" i="7"/>
  <c r="AP82" i="7"/>
  <c r="F117" i="10"/>
  <c r="J117" i="10" s="1"/>
  <c r="F325" i="3"/>
  <c r="F528" i="3"/>
  <c r="BO11" i="12"/>
  <c r="DL11" i="12" s="1"/>
  <c r="BL11" i="12"/>
  <c r="BW11" i="12" s="1"/>
  <c r="BN11" i="12"/>
  <c r="DB11" i="12" s="1"/>
  <c r="CE11" i="13"/>
  <c r="CA11" i="13"/>
  <c r="CB11" i="13"/>
  <c r="CD11" i="13"/>
  <c r="CI11" i="13"/>
  <c r="CK11" i="13" s="1"/>
  <c r="CH11" i="13"/>
  <c r="BZ11" i="13"/>
  <c r="CC11" i="13"/>
  <c r="BY11" i="13"/>
  <c r="DC11" i="13"/>
  <c r="DT11" i="13" s="1"/>
  <c r="DX11" i="13" s="1"/>
  <c r="EB11" i="13" s="1"/>
  <c r="CW11" i="12"/>
  <c r="CT11" i="12"/>
  <c r="CU11" i="12"/>
  <c r="CV11" i="12"/>
  <c r="DS11" i="12"/>
  <c r="DW11" i="12" s="1"/>
  <c r="EA11" i="12" s="1"/>
  <c r="DU11" i="13"/>
  <c r="DY11" i="13" s="1"/>
  <c r="EC11" i="13" s="1"/>
  <c r="FD11" i="13" s="1"/>
  <c r="FG11" i="13" s="1"/>
  <c r="DN11" i="13"/>
  <c r="DO11" i="13"/>
  <c r="DP11" i="13"/>
  <c r="DS11" i="13"/>
  <c r="DW11" i="13" s="1"/>
  <c r="EA11" i="13" s="1"/>
  <c r="CT11" i="13"/>
  <c r="CU11" i="13"/>
  <c r="CV11" i="13"/>
  <c r="ER33" i="13"/>
  <c r="EG33" i="13"/>
  <c r="EM33" i="13" s="1"/>
  <c r="EK32" i="13"/>
  <c r="EJ33" i="13"/>
  <c r="Y33" i="13"/>
  <c r="AC33" i="13" s="1"/>
  <c r="DJ33" i="13" s="1"/>
  <c r="AH33" i="13"/>
  <c r="AL33" i="13" s="1"/>
  <c r="BS33" i="13" s="1"/>
  <c r="Z33" i="13"/>
  <c r="AD33" i="13" s="1"/>
  <c r="BR33" i="13" s="1"/>
  <c r="AG33" i="13"/>
  <c r="AK33" i="13" s="1"/>
  <c r="DK33" i="13" s="1"/>
  <c r="AE33" i="13"/>
  <c r="AI33" i="13" s="1"/>
  <c r="CQ33" i="13" s="1"/>
  <c r="AF33" i="13"/>
  <c r="AJ33" i="13" s="1"/>
  <c r="DA33" i="13" s="1"/>
  <c r="K34" i="13"/>
  <c r="L34" i="13"/>
  <c r="AN34" i="13" s="1"/>
  <c r="AQ34" i="13" s="1"/>
  <c r="BU34" i="13" s="1"/>
  <c r="CG33" i="13"/>
  <c r="M34" i="13"/>
  <c r="AP33" i="13"/>
  <c r="AS33" i="13" s="1"/>
  <c r="DV33" i="13" s="1"/>
  <c r="DZ33" i="13" s="1"/>
  <c r="ED33" i="13" s="1"/>
  <c r="AM33" i="13"/>
  <c r="BT33" i="13" s="1"/>
  <c r="V33" i="13"/>
  <c r="CJ33" i="13"/>
  <c r="Q33" i="13"/>
  <c r="DZ32" i="12"/>
  <c r="W327" i="7"/>
  <c r="N327" i="7" s="1"/>
  <c r="AH327" i="7"/>
  <c r="S327" i="7" s="1"/>
  <c r="AH224" i="7"/>
  <c r="S224" i="7" s="1"/>
  <c r="W224" i="7"/>
  <c r="N224" i="7" s="1"/>
  <c r="AM81" i="7" s="1"/>
  <c r="V226" i="7"/>
  <c r="AG226" i="7"/>
  <c r="M496" i="3"/>
  <c r="S496" i="3" s="1"/>
  <c r="S90" i="3"/>
  <c r="CJ33" i="12"/>
  <c r="CG33" i="12"/>
  <c r="W33" i="12"/>
  <c r="X33" i="12"/>
  <c r="Y33" i="12"/>
  <c r="AR33" i="12"/>
  <c r="AZ33" i="12" s="1"/>
  <c r="AM33" i="12"/>
  <c r="BT33" i="12" s="1"/>
  <c r="M34" i="12"/>
  <c r="L34" i="12"/>
  <c r="AN34" i="12" s="1"/>
  <c r="AP33" i="12"/>
  <c r="AE33" i="12"/>
  <c r="AF33" i="12"/>
  <c r="AG33" i="12"/>
  <c r="AH33" i="12"/>
  <c r="T33" i="12"/>
  <c r="CY33" i="12" s="1"/>
  <c r="S33" i="12"/>
  <c r="CO33" i="12" s="1"/>
  <c r="U33" i="12"/>
  <c r="DI33" i="12" s="1"/>
  <c r="R33" i="12"/>
  <c r="BQ33" i="12" s="1"/>
  <c r="Q33" i="12"/>
  <c r="AY33" i="12" s="1"/>
  <c r="K34" i="12"/>
  <c r="V33" i="12"/>
  <c r="F118" i="10"/>
  <c r="J118" i="10" s="1"/>
  <c r="F527" i="3"/>
  <c r="F324" i="3"/>
  <c r="AG328" i="7"/>
  <c r="V328" i="7"/>
  <c r="AA492" i="3"/>
  <c r="AA493" i="3"/>
  <c r="D83" i="10"/>
  <c r="H83" i="10" s="1"/>
  <c r="D494" i="3"/>
  <c r="AA88" i="3"/>
  <c r="B329" i="7"/>
  <c r="AG83" i="7"/>
  <c r="V83" i="7"/>
  <c r="C292" i="3"/>
  <c r="B227" i="7" s="1"/>
  <c r="Z89" i="3"/>
  <c r="S26" i="13" s="1"/>
  <c r="CO26" i="13" s="1"/>
  <c r="D89" i="3"/>
  <c r="X26" i="13" s="1"/>
  <c r="C84" i="10"/>
  <c r="G84" i="10" s="1"/>
  <c r="C495" i="3"/>
  <c r="Z495" i="3" s="1"/>
  <c r="O371" i="3"/>
  <c r="O574" i="3"/>
  <c r="E369" i="3"/>
  <c r="U369" i="3" s="1"/>
  <c r="E572" i="3"/>
  <c r="U572" i="3" s="1"/>
  <c r="E334" i="3"/>
  <c r="U334" i="3" s="1"/>
  <c r="E537" i="3"/>
  <c r="U537" i="3" s="1"/>
  <c r="O336" i="3"/>
  <c r="O539" i="3"/>
  <c r="AB494" i="3"/>
  <c r="N293" i="3"/>
  <c r="T293" i="3" s="1"/>
  <c r="N496" i="3"/>
  <c r="T496" i="3" s="1"/>
  <c r="J291" i="3"/>
  <c r="G226" i="7" s="1"/>
  <c r="Q226" i="7" s="1"/>
  <c r="J494" i="3"/>
  <c r="G329" i="7" s="1"/>
  <c r="Q329" i="7" s="1"/>
  <c r="H291" i="3"/>
  <c r="R291" i="3" s="1"/>
  <c r="H494" i="3"/>
  <c r="Y493" i="3"/>
  <c r="W492" i="3"/>
  <c r="Y492" i="3"/>
  <c r="AA291" i="3"/>
  <c r="AA290" i="3"/>
  <c r="AB292" i="3"/>
  <c r="C90" i="3"/>
  <c r="M293" i="3"/>
  <c r="S293" i="3" s="1"/>
  <c r="Z292" i="3"/>
  <c r="Z291" i="3"/>
  <c r="W289" i="3"/>
  <c r="U170" i="3"/>
  <c r="E168" i="3"/>
  <c r="E163" i="10" s="1"/>
  <c r="I163" i="10" s="1"/>
  <c r="W225" i="7"/>
  <c r="N225" i="7" s="1"/>
  <c r="AH225" i="7"/>
  <c r="S225" i="7" s="1"/>
  <c r="AH328" i="7"/>
  <c r="W328" i="7"/>
  <c r="Y87" i="3"/>
  <c r="R26" i="13" s="1"/>
  <c r="BQ26" i="13" s="1"/>
  <c r="W87" i="3"/>
  <c r="E133" i="3"/>
  <c r="E128" i="10" s="1"/>
  <c r="I128" i="10" s="1"/>
  <c r="U135" i="3"/>
  <c r="W83" i="7"/>
  <c r="AH83" i="7"/>
  <c r="R84" i="7"/>
  <c r="K330" i="7"/>
  <c r="AD330" i="7" s="1"/>
  <c r="U495" i="3"/>
  <c r="K227" i="7"/>
  <c r="AD227" i="7" s="1"/>
  <c r="U292" i="3"/>
  <c r="K85" i="7"/>
  <c r="AD85" i="7" s="1"/>
  <c r="R226" i="7"/>
  <c r="R329" i="7"/>
  <c r="T91" i="3"/>
  <c r="J85" i="7"/>
  <c r="AC85" i="7" s="1"/>
  <c r="J227" i="7"/>
  <c r="AC227" i="7" s="1"/>
  <c r="J330" i="7"/>
  <c r="AC330" i="7" s="1"/>
  <c r="I85" i="7"/>
  <c r="AB85" i="7" s="1"/>
  <c r="I227" i="7"/>
  <c r="AB227" i="7" s="1"/>
  <c r="I330" i="7"/>
  <c r="AB330" i="7" s="1"/>
  <c r="G83" i="7"/>
  <c r="Q83" i="7" s="1"/>
  <c r="AD86" i="3"/>
  <c r="R89" i="3"/>
  <c r="P83" i="7"/>
  <c r="F225" i="7"/>
  <c r="P225" i="7" s="1"/>
  <c r="F328" i="7"/>
  <c r="P328" i="7" s="1"/>
  <c r="AO82" i="7" l="1"/>
  <c r="AQ83" i="7"/>
  <c r="G291" i="3"/>
  <c r="C226" i="7"/>
  <c r="AH226" i="7" s="1"/>
  <c r="S226" i="7" s="1"/>
  <c r="AB26" i="13"/>
  <c r="CZ26" i="13" s="1"/>
  <c r="R494" i="3"/>
  <c r="AP83" i="7"/>
  <c r="AR81" i="7"/>
  <c r="F119" i="10"/>
  <c r="J119" i="10" s="1"/>
  <c r="F327" i="3"/>
  <c r="F530" i="3"/>
  <c r="DM11" i="12"/>
  <c r="DQ11" i="12" s="1"/>
  <c r="BX11" i="12"/>
  <c r="CE11" i="12" s="1"/>
  <c r="DC11" i="12"/>
  <c r="DG11" i="12" s="1"/>
  <c r="CM11" i="13"/>
  <c r="CL11" i="13"/>
  <c r="BB12" i="13" s="1"/>
  <c r="DG11" i="13"/>
  <c r="DD11" i="13"/>
  <c r="DE11" i="13"/>
  <c r="DF11" i="13"/>
  <c r="AY33" i="13"/>
  <c r="EF34" i="13"/>
  <c r="EL34" i="13" s="1"/>
  <c r="FE34" i="13" s="1"/>
  <c r="N34" i="13"/>
  <c r="AM34" i="13" s="1"/>
  <c r="BT34" i="13" s="1"/>
  <c r="AO34" i="13"/>
  <c r="AR34" i="13" s="1"/>
  <c r="AZ34" i="13" s="1"/>
  <c r="ED32" i="12"/>
  <c r="V227" i="7"/>
  <c r="AG227" i="7"/>
  <c r="M497" i="3"/>
  <c r="S497" i="3" s="1"/>
  <c r="S91" i="3"/>
  <c r="AD493" i="3"/>
  <c r="AD492" i="3"/>
  <c r="AA33" i="12"/>
  <c r="CP33" i="12" s="1"/>
  <c r="AD33" i="12"/>
  <c r="BR33" i="12" s="1"/>
  <c r="AB33" i="12"/>
  <c r="CZ33" i="12" s="1"/>
  <c r="AC33" i="12"/>
  <c r="DJ33" i="12" s="1"/>
  <c r="AQ34" i="12"/>
  <c r="BU34" i="12" s="1"/>
  <c r="AS33" i="12"/>
  <c r="DV33" i="12" s="1"/>
  <c r="AO34" i="12"/>
  <c r="AI33" i="12"/>
  <c r="CQ33" i="12" s="1"/>
  <c r="AJ33" i="12"/>
  <c r="DA33" i="12" s="1"/>
  <c r="AK33" i="12"/>
  <c r="DK33" i="12" s="1"/>
  <c r="AL33" i="12"/>
  <c r="BS33" i="12" s="1"/>
  <c r="N34" i="12"/>
  <c r="Z34" i="12" s="1"/>
  <c r="F120" i="10"/>
  <c r="J120" i="10" s="1"/>
  <c r="F529" i="3"/>
  <c r="F326" i="3"/>
  <c r="V329" i="7"/>
  <c r="AG329" i="7"/>
  <c r="D84" i="10"/>
  <c r="H84" i="10" s="1"/>
  <c r="D495" i="3"/>
  <c r="G495" i="3" s="1"/>
  <c r="D292" i="3"/>
  <c r="G292" i="3" s="1"/>
  <c r="B330" i="7"/>
  <c r="N83" i="7"/>
  <c r="S328" i="7"/>
  <c r="AR82" i="7" s="1"/>
  <c r="N328" i="7"/>
  <c r="AM82" i="7" s="1"/>
  <c r="S83" i="7"/>
  <c r="W88" i="3"/>
  <c r="C329" i="7"/>
  <c r="G494" i="3"/>
  <c r="V84" i="7"/>
  <c r="AG84" i="7"/>
  <c r="C84" i="7"/>
  <c r="G89" i="3"/>
  <c r="AA89" i="3"/>
  <c r="T26" i="13" s="1"/>
  <c r="CY26" i="13" s="1"/>
  <c r="C293" i="3"/>
  <c r="B228" i="7" s="1"/>
  <c r="D90" i="3"/>
  <c r="C85" i="10"/>
  <c r="G85" i="10" s="1"/>
  <c r="C496" i="3"/>
  <c r="Z496" i="3" s="1"/>
  <c r="O373" i="3"/>
  <c r="O576" i="3"/>
  <c r="E371" i="3"/>
  <c r="U371" i="3" s="1"/>
  <c r="E574" i="3"/>
  <c r="U574" i="3" s="1"/>
  <c r="E336" i="3"/>
  <c r="E539" i="3"/>
  <c r="U539" i="3" s="1"/>
  <c r="O338" i="3"/>
  <c r="O541" i="3"/>
  <c r="AB495" i="3"/>
  <c r="N294" i="3"/>
  <c r="T294" i="3" s="1"/>
  <c r="N497" i="3"/>
  <c r="T497" i="3" s="1"/>
  <c r="J292" i="3"/>
  <c r="G227" i="7" s="1"/>
  <c r="Q227" i="7" s="1"/>
  <c r="J495" i="3"/>
  <c r="G330" i="7" s="1"/>
  <c r="Q330" i="7" s="1"/>
  <c r="H292" i="3"/>
  <c r="H495" i="3"/>
  <c r="Y494" i="3"/>
  <c r="W493" i="3"/>
  <c r="C91" i="3"/>
  <c r="M294" i="3"/>
  <c r="S294" i="3" s="1"/>
  <c r="Y290" i="3"/>
  <c r="AD290" i="3" s="1"/>
  <c r="W290" i="3"/>
  <c r="U172" i="3"/>
  <c r="E170" i="3"/>
  <c r="E165" i="10" s="1"/>
  <c r="I165" i="10" s="1"/>
  <c r="AD87" i="3"/>
  <c r="U336" i="3"/>
  <c r="E135" i="3"/>
  <c r="E130" i="10" s="1"/>
  <c r="I130" i="10" s="1"/>
  <c r="U137" i="3"/>
  <c r="AA90" i="3"/>
  <c r="Z90" i="3"/>
  <c r="C227" i="7"/>
  <c r="C330" i="7"/>
  <c r="K331" i="7"/>
  <c r="AD331" i="7" s="1"/>
  <c r="U496" i="3"/>
  <c r="AB496" i="3" s="1"/>
  <c r="K228" i="7"/>
  <c r="AD228" i="7" s="1"/>
  <c r="U293" i="3"/>
  <c r="AB90" i="3"/>
  <c r="K86" i="7"/>
  <c r="AD86" i="7" s="1"/>
  <c r="AB91" i="3"/>
  <c r="R330" i="7"/>
  <c r="R227" i="7"/>
  <c r="AQ84" i="7" s="1"/>
  <c r="R85" i="7"/>
  <c r="T92" i="3"/>
  <c r="J86" i="7"/>
  <c r="AC86" i="7" s="1"/>
  <c r="J228" i="7"/>
  <c r="AC228" i="7" s="1"/>
  <c r="J331" i="7"/>
  <c r="AC331" i="7" s="1"/>
  <c r="I86" i="7"/>
  <c r="AB86" i="7" s="1"/>
  <c r="I228" i="7"/>
  <c r="AB228" i="7" s="1"/>
  <c r="I331" i="7"/>
  <c r="AB331" i="7" s="1"/>
  <c r="G84" i="7"/>
  <c r="Q84" i="7" s="1"/>
  <c r="Y88" i="3"/>
  <c r="R90" i="3"/>
  <c r="P84" i="7"/>
  <c r="F226" i="7"/>
  <c r="P226" i="7" s="1"/>
  <c r="F329" i="7"/>
  <c r="P329" i="7" s="1"/>
  <c r="AP84" i="7" l="1"/>
  <c r="W226" i="7"/>
  <c r="N226" i="7" s="1"/>
  <c r="R292" i="3"/>
  <c r="R495" i="3"/>
  <c r="AO83" i="7"/>
  <c r="F121" i="10"/>
  <c r="J121" i="10" s="1"/>
  <c r="F329" i="3"/>
  <c r="F532" i="3"/>
  <c r="DN11" i="12"/>
  <c r="DO11" i="12"/>
  <c r="DU11" i="12"/>
  <c r="DY11" i="12" s="1"/>
  <c r="EC11" i="12" s="1"/>
  <c r="DP11" i="12"/>
  <c r="CC11" i="12"/>
  <c r="CB11" i="12"/>
  <c r="BZ11" i="12"/>
  <c r="BY11" i="12"/>
  <c r="CI11" i="12"/>
  <c r="CK11" i="12" s="1"/>
  <c r="CH11" i="12"/>
  <c r="CA11" i="12"/>
  <c r="CD11" i="12"/>
  <c r="DF11" i="12"/>
  <c r="DT11" i="12"/>
  <c r="DX11" i="12" s="1"/>
  <c r="EB11" i="12" s="1"/>
  <c r="DE11" i="12"/>
  <c r="DD11" i="12"/>
  <c r="BD12" i="13"/>
  <c r="EQ12" i="13" s="1"/>
  <c r="ES12" i="13" s="1"/>
  <c r="BE12" i="13"/>
  <c r="ER34" i="13"/>
  <c r="EG34" i="13"/>
  <c r="EM34" i="13" s="1"/>
  <c r="EK33" i="13"/>
  <c r="EJ34" i="13"/>
  <c r="M35" i="13"/>
  <c r="AP34" i="13"/>
  <c r="AS34" i="13" s="1"/>
  <c r="DV34" i="13" s="1"/>
  <c r="DZ34" i="13" s="1"/>
  <c r="ED34" i="13" s="1"/>
  <c r="L35" i="13"/>
  <c r="AN35" i="13" s="1"/>
  <c r="AQ35" i="13" s="1"/>
  <c r="BU35" i="13" s="1"/>
  <c r="K35" i="13"/>
  <c r="CG34" i="13"/>
  <c r="Z34" i="13"/>
  <c r="AD34" i="13" s="1"/>
  <c r="BR34" i="13" s="1"/>
  <c r="CJ34" i="13"/>
  <c r="Y34" i="13"/>
  <c r="AC34" i="13" s="1"/>
  <c r="DJ34" i="13" s="1"/>
  <c r="V34" i="13"/>
  <c r="Q34" i="13"/>
  <c r="AH34" i="13"/>
  <c r="AL34" i="13" s="1"/>
  <c r="BS34" i="13" s="1"/>
  <c r="AG34" i="13"/>
  <c r="AK34" i="13" s="1"/>
  <c r="DK34" i="13" s="1"/>
  <c r="AF34" i="13"/>
  <c r="AJ34" i="13" s="1"/>
  <c r="DA34" i="13" s="1"/>
  <c r="AE34" i="13"/>
  <c r="AI34" i="13" s="1"/>
  <c r="CQ34" i="13" s="1"/>
  <c r="DZ33" i="12"/>
  <c r="W329" i="7"/>
  <c r="N329" i="7" s="1"/>
  <c r="AM83" i="7" s="1"/>
  <c r="AH329" i="7"/>
  <c r="S329" i="7" s="1"/>
  <c r="AR83" i="7" s="1"/>
  <c r="W84" i="7"/>
  <c r="N84" i="7" s="1"/>
  <c r="AH84" i="7"/>
  <c r="S84" i="7" s="1"/>
  <c r="AG228" i="7"/>
  <c r="V228" i="7"/>
  <c r="G90" i="3"/>
  <c r="C85" i="7"/>
  <c r="V85" i="7"/>
  <c r="AG85" i="7"/>
  <c r="M498" i="3"/>
  <c r="S498" i="3" s="1"/>
  <c r="S92" i="3"/>
  <c r="CJ34" i="12"/>
  <c r="CG34" i="12"/>
  <c r="W34" i="12"/>
  <c r="X34" i="12"/>
  <c r="Y34" i="12"/>
  <c r="AR34" i="12"/>
  <c r="AZ34" i="12" s="1"/>
  <c r="AM34" i="12"/>
  <c r="BT34" i="12" s="1"/>
  <c r="M35" i="12"/>
  <c r="L35" i="12"/>
  <c r="AN35" i="12" s="1"/>
  <c r="AP34" i="12"/>
  <c r="AE34" i="12"/>
  <c r="AF34" i="12"/>
  <c r="AG34" i="12"/>
  <c r="AH34" i="12"/>
  <c r="T34" i="12"/>
  <c r="CY34" i="12" s="1"/>
  <c r="K35" i="12"/>
  <c r="V34" i="12"/>
  <c r="U34" i="12"/>
  <c r="DI34" i="12" s="1"/>
  <c r="R34" i="12"/>
  <c r="BQ34" i="12" s="1"/>
  <c r="S34" i="12"/>
  <c r="CO34" i="12" s="1"/>
  <c r="Q34" i="12"/>
  <c r="AY34" i="12" s="1"/>
  <c r="F122" i="10"/>
  <c r="J122" i="10" s="1"/>
  <c r="F531" i="3"/>
  <c r="F328" i="3"/>
  <c r="AG330" i="7"/>
  <c r="V330" i="7"/>
  <c r="AA494" i="3"/>
  <c r="AD494" i="3" s="1"/>
  <c r="AA495" i="3"/>
  <c r="D496" i="3"/>
  <c r="G496" i="3" s="1"/>
  <c r="D85" i="10"/>
  <c r="H85" i="10" s="1"/>
  <c r="D293" i="3"/>
  <c r="B331" i="7"/>
  <c r="C294" i="3"/>
  <c r="B229" i="7" s="1"/>
  <c r="D91" i="3"/>
  <c r="Z91" i="3"/>
  <c r="C86" i="10"/>
  <c r="G86" i="10" s="1"/>
  <c r="C497" i="3"/>
  <c r="Z497" i="3" s="1"/>
  <c r="O375" i="3"/>
  <c r="O578" i="3"/>
  <c r="E373" i="3"/>
  <c r="E576" i="3"/>
  <c r="U576" i="3" s="1"/>
  <c r="E338" i="3"/>
  <c r="E541" i="3"/>
  <c r="U541" i="3" s="1"/>
  <c r="O340" i="3"/>
  <c r="O543" i="3"/>
  <c r="N295" i="3"/>
  <c r="T295" i="3" s="1"/>
  <c r="N498" i="3"/>
  <c r="T498" i="3" s="1"/>
  <c r="J293" i="3"/>
  <c r="G228" i="7" s="1"/>
  <c r="Q228" i="7" s="1"/>
  <c r="J496" i="3"/>
  <c r="G331" i="7" s="1"/>
  <c r="Q331" i="7" s="1"/>
  <c r="H293" i="3"/>
  <c r="H496" i="3"/>
  <c r="W494" i="3"/>
  <c r="Y495" i="3"/>
  <c r="AA292" i="3"/>
  <c r="AB293" i="3"/>
  <c r="C92" i="3"/>
  <c r="M295" i="3"/>
  <c r="S295" i="3" s="1"/>
  <c r="Z294" i="3"/>
  <c r="Z293" i="3"/>
  <c r="W291" i="3"/>
  <c r="Y291" i="3"/>
  <c r="AD291" i="3" s="1"/>
  <c r="U174" i="3"/>
  <c r="E172" i="3"/>
  <c r="E167" i="10" s="1"/>
  <c r="I167" i="10" s="1"/>
  <c r="U373" i="3"/>
  <c r="U338" i="3"/>
  <c r="Y89" i="3"/>
  <c r="W89" i="3"/>
  <c r="E137" i="3"/>
  <c r="E132" i="10" s="1"/>
  <c r="I132" i="10" s="1"/>
  <c r="U139" i="3"/>
  <c r="W227" i="7"/>
  <c r="N227" i="7" s="1"/>
  <c r="AH227" i="7"/>
  <c r="S227" i="7" s="1"/>
  <c r="AH330" i="7"/>
  <c r="W330" i="7"/>
  <c r="V86" i="7"/>
  <c r="AG86" i="7"/>
  <c r="U497" i="3"/>
  <c r="AB497" i="3" s="1"/>
  <c r="K332" i="7"/>
  <c r="AD332" i="7" s="1"/>
  <c r="U294" i="3"/>
  <c r="AB294" i="3" s="1"/>
  <c r="K229" i="7"/>
  <c r="AD229" i="7" s="1"/>
  <c r="R86" i="7"/>
  <c r="K87" i="7"/>
  <c r="AD87" i="7" s="1"/>
  <c r="R228" i="7"/>
  <c r="R331" i="7"/>
  <c r="T93" i="3"/>
  <c r="J87" i="7"/>
  <c r="AC87" i="7" s="1"/>
  <c r="J229" i="7"/>
  <c r="AC229" i="7" s="1"/>
  <c r="J332" i="7"/>
  <c r="AC332" i="7" s="1"/>
  <c r="I87" i="7"/>
  <c r="AB87" i="7" s="1"/>
  <c r="I229" i="7"/>
  <c r="AB229" i="7" s="1"/>
  <c r="I332" i="7"/>
  <c r="AB332" i="7" s="1"/>
  <c r="G85" i="7"/>
  <c r="Q85" i="7" s="1"/>
  <c r="AD88" i="3"/>
  <c r="W90" i="3"/>
  <c r="R91" i="3"/>
  <c r="P85" i="7"/>
  <c r="F227" i="7"/>
  <c r="P227" i="7" s="1"/>
  <c r="F330" i="7"/>
  <c r="P330" i="7" s="1"/>
  <c r="FD11" i="12" l="1"/>
  <c r="FG11" i="12" s="1"/>
  <c r="AQ85" i="7"/>
  <c r="R293" i="3"/>
  <c r="R496" i="3"/>
  <c r="AP85" i="7"/>
  <c r="AO84" i="7"/>
  <c r="F123" i="10"/>
  <c r="J123" i="10" s="1"/>
  <c r="F331" i="3"/>
  <c r="F534" i="3"/>
  <c r="CL11" i="12"/>
  <c r="BB12" i="12" s="1"/>
  <c r="CM11" i="12"/>
  <c r="BC12" i="13"/>
  <c r="BK12" i="13" s="1"/>
  <c r="ET12" i="13"/>
  <c r="EW12" i="13" s="1"/>
  <c r="EZ12" i="13" s="1"/>
  <c r="EU12" i="13"/>
  <c r="EX12" i="13" s="1"/>
  <c r="FA12" i="13" s="1"/>
  <c r="EV12" i="13"/>
  <c r="EY12" i="13" s="1"/>
  <c r="FB12" i="13" s="1"/>
  <c r="FF12" i="13" s="1"/>
  <c r="AY34" i="13"/>
  <c r="N35" i="13"/>
  <c r="EF35" i="13"/>
  <c r="EL35" i="13" s="1"/>
  <c r="FE35" i="13" s="1"/>
  <c r="AO35" i="13"/>
  <c r="AR35" i="13" s="1"/>
  <c r="AZ35" i="13" s="1"/>
  <c r="ED33" i="12"/>
  <c r="W85" i="7"/>
  <c r="N85" i="7" s="1"/>
  <c r="AH85" i="7"/>
  <c r="S85" i="7" s="1"/>
  <c r="M499" i="3"/>
  <c r="S499" i="3" s="1"/>
  <c r="S93" i="3"/>
  <c r="AD495" i="3"/>
  <c r="AB34" i="12"/>
  <c r="CZ34" i="12" s="1"/>
  <c r="AC34" i="12"/>
  <c r="DJ34" i="12" s="1"/>
  <c r="AA34" i="12"/>
  <c r="CP34" i="12" s="1"/>
  <c r="AD34" i="12"/>
  <c r="BR34" i="12" s="1"/>
  <c r="AQ35" i="12"/>
  <c r="BU35" i="12" s="1"/>
  <c r="AS34" i="12"/>
  <c r="DV34" i="12" s="1"/>
  <c r="AO35" i="12"/>
  <c r="AI34" i="12"/>
  <c r="CQ34" i="12" s="1"/>
  <c r="AJ34" i="12"/>
  <c r="DA34" i="12" s="1"/>
  <c r="AK34" i="12"/>
  <c r="DK34" i="12" s="1"/>
  <c r="AL34" i="12"/>
  <c r="BS34" i="12" s="1"/>
  <c r="N35" i="12"/>
  <c r="Z35" i="12" s="1"/>
  <c r="F124" i="10"/>
  <c r="J124" i="10" s="1"/>
  <c r="F533" i="3"/>
  <c r="F330" i="3"/>
  <c r="V331" i="7"/>
  <c r="AG331" i="7"/>
  <c r="D497" i="3"/>
  <c r="C332" i="7" s="1"/>
  <c r="D86" i="10"/>
  <c r="H86" i="10" s="1"/>
  <c r="D294" i="3"/>
  <c r="B332" i="7"/>
  <c r="G497" i="3"/>
  <c r="S330" i="7"/>
  <c r="AR84" i="7" s="1"/>
  <c r="N330" i="7"/>
  <c r="AM84" i="7" s="1"/>
  <c r="C331" i="7"/>
  <c r="W331" i="7" s="1"/>
  <c r="G293" i="3"/>
  <c r="C228" i="7"/>
  <c r="AA293" i="3"/>
  <c r="AG229" i="7"/>
  <c r="V229" i="7"/>
  <c r="C86" i="7"/>
  <c r="G91" i="3"/>
  <c r="C295" i="3"/>
  <c r="B230" i="7" s="1"/>
  <c r="C87" i="10"/>
  <c r="G87" i="10" s="1"/>
  <c r="D92" i="3"/>
  <c r="C498" i="3"/>
  <c r="O377" i="3"/>
  <c r="O580" i="3"/>
  <c r="E375" i="3"/>
  <c r="U375" i="3" s="1"/>
  <c r="E578" i="3"/>
  <c r="U578" i="3" s="1"/>
  <c r="E340" i="3"/>
  <c r="U340" i="3" s="1"/>
  <c r="E543" i="3"/>
  <c r="U543" i="3" s="1"/>
  <c r="O342" i="3"/>
  <c r="O545" i="3"/>
  <c r="N296" i="3"/>
  <c r="T296" i="3" s="1"/>
  <c r="N499" i="3"/>
  <c r="T499" i="3" s="1"/>
  <c r="J294" i="3"/>
  <c r="G229" i="7" s="1"/>
  <c r="Q229" i="7" s="1"/>
  <c r="J497" i="3"/>
  <c r="G332" i="7" s="1"/>
  <c r="Q332" i="7" s="1"/>
  <c r="H294" i="3"/>
  <c r="H497" i="3"/>
  <c r="W495" i="3"/>
  <c r="Y496" i="3"/>
  <c r="C93" i="3"/>
  <c r="M296" i="3"/>
  <c r="S296" i="3" s="1"/>
  <c r="Y292" i="3"/>
  <c r="AD292" i="3" s="1"/>
  <c r="W292" i="3"/>
  <c r="Y293" i="3"/>
  <c r="U176" i="3"/>
  <c r="E174" i="3"/>
  <c r="E169" i="10" s="1"/>
  <c r="I169" i="10" s="1"/>
  <c r="AD89" i="3"/>
  <c r="E139" i="3"/>
  <c r="E134" i="10" s="1"/>
  <c r="I134" i="10" s="1"/>
  <c r="U141" i="3"/>
  <c r="AA91" i="3"/>
  <c r="G92" i="3"/>
  <c r="Z92" i="3"/>
  <c r="AG87" i="7"/>
  <c r="V87" i="7"/>
  <c r="C87" i="7"/>
  <c r="D93" i="3"/>
  <c r="K230" i="7"/>
  <c r="AD230" i="7" s="1"/>
  <c r="U295" i="3"/>
  <c r="K333" i="7"/>
  <c r="AD333" i="7" s="1"/>
  <c r="U498" i="3"/>
  <c r="AB92" i="3"/>
  <c r="AB93" i="3"/>
  <c r="K88" i="7"/>
  <c r="AD88" i="7" s="1"/>
  <c r="R87" i="7"/>
  <c r="R332" i="7"/>
  <c r="R229" i="7"/>
  <c r="T94" i="3"/>
  <c r="J88" i="7"/>
  <c r="AC88" i="7" s="1"/>
  <c r="J230" i="7"/>
  <c r="AC230" i="7" s="1"/>
  <c r="J333" i="7"/>
  <c r="AC333" i="7" s="1"/>
  <c r="I88" i="7"/>
  <c r="AB88" i="7" s="1"/>
  <c r="I230" i="7"/>
  <c r="AB230" i="7" s="1"/>
  <c r="Z498" i="3"/>
  <c r="I333" i="7"/>
  <c r="AB333" i="7" s="1"/>
  <c r="G86" i="7"/>
  <c r="Q86" i="7" s="1"/>
  <c r="Y90" i="3"/>
  <c r="R27" i="13" s="1"/>
  <c r="BQ27" i="13" s="1"/>
  <c r="R92" i="3"/>
  <c r="P86" i="7"/>
  <c r="F228" i="7"/>
  <c r="P228" i="7" s="1"/>
  <c r="F331" i="7"/>
  <c r="P331" i="7" s="1"/>
  <c r="AH331" i="7" l="1"/>
  <c r="S331" i="7" s="1"/>
  <c r="AQ86" i="7"/>
  <c r="BE12" i="12"/>
  <c r="R294" i="3"/>
  <c r="R497" i="3"/>
  <c r="AP86" i="7"/>
  <c r="AO85" i="7"/>
  <c r="F125" i="10"/>
  <c r="J125" i="10" s="1"/>
  <c r="F333" i="3"/>
  <c r="F536" i="3"/>
  <c r="BH12" i="13"/>
  <c r="BI12" i="13"/>
  <c r="BF12" i="13"/>
  <c r="BG12" i="13"/>
  <c r="BN12" i="13"/>
  <c r="DB12" i="13" s="1"/>
  <c r="DC12" i="13" s="1"/>
  <c r="DG12" i="13" s="1"/>
  <c r="BL12" i="13"/>
  <c r="BW12" i="13" s="1"/>
  <c r="BX12" i="13" s="1"/>
  <c r="BO12" i="13"/>
  <c r="DL12" i="13" s="1"/>
  <c r="DM12" i="13" s="1"/>
  <c r="DQ12" i="13" s="1"/>
  <c r="BM12" i="13"/>
  <c r="CR12" i="13" s="1"/>
  <c r="CS12" i="13" s="1"/>
  <c r="CW12" i="13" s="1"/>
  <c r="ER35" i="13"/>
  <c r="EG35" i="13"/>
  <c r="EM35" i="13" s="1"/>
  <c r="EK34" i="13"/>
  <c r="EJ35" i="13"/>
  <c r="CG35" i="13"/>
  <c r="AP35" i="13"/>
  <c r="AS35" i="13" s="1"/>
  <c r="DV35" i="13" s="1"/>
  <c r="DZ35" i="13" s="1"/>
  <c r="ED35" i="13" s="1"/>
  <c r="K36" i="13"/>
  <c r="L36" i="13"/>
  <c r="AN36" i="13" s="1"/>
  <c r="AQ36" i="13" s="1"/>
  <c r="BU36" i="13" s="1"/>
  <c r="M36" i="13"/>
  <c r="AM35" i="13"/>
  <c r="BT35" i="13" s="1"/>
  <c r="Q35" i="13"/>
  <c r="Z35" i="13"/>
  <c r="AD35" i="13" s="1"/>
  <c r="BR35" i="13" s="1"/>
  <c r="CJ35" i="13"/>
  <c r="Y35" i="13"/>
  <c r="V35" i="13"/>
  <c r="AH35" i="13"/>
  <c r="AL35" i="13" s="1"/>
  <c r="BS35" i="13" s="1"/>
  <c r="AG35" i="13"/>
  <c r="AK35" i="13" s="1"/>
  <c r="DK35" i="13" s="1"/>
  <c r="AF35" i="13"/>
  <c r="AJ35" i="13" s="1"/>
  <c r="DA35" i="13" s="1"/>
  <c r="AE35" i="13"/>
  <c r="AI35" i="13" s="1"/>
  <c r="CQ35" i="13" s="1"/>
  <c r="DZ34" i="12"/>
  <c r="AD293" i="3"/>
  <c r="N331" i="7"/>
  <c r="G294" i="3"/>
  <c r="C229" i="7"/>
  <c r="AH229" i="7" s="1"/>
  <c r="S229" i="7" s="1"/>
  <c r="W228" i="7"/>
  <c r="N228" i="7" s="1"/>
  <c r="AH228" i="7"/>
  <c r="S228" i="7" s="1"/>
  <c r="AR85" i="7" s="1"/>
  <c r="W86" i="7"/>
  <c r="N86" i="7" s="1"/>
  <c r="AH86" i="7"/>
  <c r="S86" i="7" s="1"/>
  <c r="V230" i="7"/>
  <c r="AG230" i="7"/>
  <c r="M500" i="3"/>
  <c r="S500" i="3" s="1"/>
  <c r="S94" i="3"/>
  <c r="CJ35" i="12"/>
  <c r="CG35" i="12"/>
  <c r="W35" i="12"/>
  <c r="X35" i="12"/>
  <c r="Y35" i="12"/>
  <c r="AR35" i="12"/>
  <c r="AZ35" i="12" s="1"/>
  <c r="AM35" i="12"/>
  <c r="BT35" i="12" s="1"/>
  <c r="M36" i="12"/>
  <c r="L36" i="12"/>
  <c r="AN36" i="12" s="1"/>
  <c r="AP35" i="12"/>
  <c r="AE35" i="12"/>
  <c r="AF35" i="12"/>
  <c r="AG35" i="12"/>
  <c r="AH35" i="12"/>
  <c r="R35" i="12"/>
  <c r="BQ35" i="12" s="1"/>
  <c r="T35" i="12"/>
  <c r="CY35" i="12" s="1"/>
  <c r="K36" i="12"/>
  <c r="S35" i="12"/>
  <c r="CO35" i="12" s="1"/>
  <c r="Q35" i="12"/>
  <c r="AY35" i="12" s="1"/>
  <c r="V35" i="12"/>
  <c r="U35" i="12"/>
  <c r="DI35" i="12" s="1"/>
  <c r="F126" i="10"/>
  <c r="J126" i="10" s="1"/>
  <c r="F535" i="3"/>
  <c r="F332" i="3"/>
  <c r="V332" i="7"/>
  <c r="AG332" i="7"/>
  <c r="AA496" i="3"/>
  <c r="AD496" i="3" s="1"/>
  <c r="AA497" i="3"/>
  <c r="D498" i="3"/>
  <c r="C333" i="7" s="1"/>
  <c r="D87" i="10"/>
  <c r="H87" i="10" s="1"/>
  <c r="D295" i="3"/>
  <c r="B333" i="7"/>
  <c r="G498" i="3"/>
  <c r="C296" i="3"/>
  <c r="B231" i="7" s="1"/>
  <c r="C88" i="10"/>
  <c r="G88" i="10" s="1"/>
  <c r="C499" i="3"/>
  <c r="Z499" i="3" s="1"/>
  <c r="O379" i="3"/>
  <c r="O582" i="3"/>
  <c r="E377" i="3"/>
  <c r="U377" i="3" s="1"/>
  <c r="E580" i="3"/>
  <c r="U580" i="3" s="1"/>
  <c r="E342" i="3"/>
  <c r="U342" i="3" s="1"/>
  <c r="E545" i="3"/>
  <c r="U545" i="3" s="1"/>
  <c r="O344" i="3"/>
  <c r="O547" i="3"/>
  <c r="F335" i="3"/>
  <c r="F538" i="3"/>
  <c r="D296" i="3"/>
  <c r="G296" i="3" s="1"/>
  <c r="D88" i="10"/>
  <c r="H88" i="10" s="1"/>
  <c r="D499" i="3"/>
  <c r="AB498" i="3"/>
  <c r="AB499" i="3"/>
  <c r="N297" i="3"/>
  <c r="T297" i="3" s="1"/>
  <c r="N500" i="3"/>
  <c r="T500" i="3" s="1"/>
  <c r="J295" i="3"/>
  <c r="G230" i="7" s="1"/>
  <c r="Q230" i="7" s="1"/>
  <c r="J498" i="3"/>
  <c r="G333" i="7" s="1"/>
  <c r="Q333" i="7" s="1"/>
  <c r="H295" i="3"/>
  <c r="R295" i="3" s="1"/>
  <c r="H498" i="3"/>
  <c r="Y497" i="3"/>
  <c r="W496" i="3"/>
  <c r="AA294" i="3"/>
  <c r="AB295" i="3"/>
  <c r="C94" i="3"/>
  <c r="W27" i="13" s="1"/>
  <c r="M297" i="3"/>
  <c r="S297" i="3" s="1"/>
  <c r="Z296" i="3"/>
  <c r="Z295" i="3"/>
  <c r="W293" i="3"/>
  <c r="U178" i="3"/>
  <c r="E176" i="3"/>
  <c r="E171" i="10" s="1"/>
  <c r="I171" i="10" s="1"/>
  <c r="Y91" i="3"/>
  <c r="W91" i="3"/>
  <c r="E141" i="3"/>
  <c r="E136" i="10" s="1"/>
  <c r="I136" i="10" s="1"/>
  <c r="U143" i="3"/>
  <c r="AA92" i="3"/>
  <c r="AA295" i="3"/>
  <c r="G93" i="3"/>
  <c r="AH87" i="7"/>
  <c r="S87" i="7" s="1"/>
  <c r="W87" i="7"/>
  <c r="N87" i="7" s="1"/>
  <c r="W332" i="7"/>
  <c r="AH332" i="7"/>
  <c r="AG88" i="7"/>
  <c r="V88" i="7"/>
  <c r="C88" i="7"/>
  <c r="K334" i="7"/>
  <c r="AD334" i="7" s="1"/>
  <c r="U499" i="3"/>
  <c r="K231" i="7"/>
  <c r="AD231" i="7" s="1"/>
  <c r="U296" i="3"/>
  <c r="AB296" i="3" s="1"/>
  <c r="K89" i="7"/>
  <c r="AD89" i="7" s="1"/>
  <c r="T95" i="3"/>
  <c r="J89" i="7"/>
  <c r="AC89" i="7" s="1"/>
  <c r="J231" i="7"/>
  <c r="AC231" i="7" s="1"/>
  <c r="J334" i="7"/>
  <c r="AC334" i="7" s="1"/>
  <c r="Z93" i="3"/>
  <c r="I89" i="7"/>
  <c r="AB89" i="7" s="1"/>
  <c r="I231" i="7"/>
  <c r="AB231" i="7" s="1"/>
  <c r="I334" i="7"/>
  <c r="AB334" i="7" s="1"/>
  <c r="G87" i="7"/>
  <c r="Q87" i="7" s="1"/>
  <c r="AD90" i="3"/>
  <c r="W92" i="3"/>
  <c r="R93" i="3"/>
  <c r="P87" i="7"/>
  <c r="F229" i="7"/>
  <c r="P229" i="7" s="1"/>
  <c r="F332" i="7"/>
  <c r="P332" i="7" s="1"/>
  <c r="R88" i="7"/>
  <c r="R230" i="7"/>
  <c r="R333" i="7"/>
  <c r="W229" i="7" l="1"/>
  <c r="N229" i="7" s="1"/>
  <c r="AA27" i="13"/>
  <c r="CP27" i="13" s="1"/>
  <c r="AQ87" i="7"/>
  <c r="R498" i="3"/>
  <c r="AP87" i="7"/>
  <c r="AO86" i="7"/>
  <c r="F127" i="10"/>
  <c r="J127" i="10" s="1"/>
  <c r="AM85" i="7"/>
  <c r="BC12" i="12"/>
  <c r="CE12" i="13"/>
  <c r="BZ12" i="13"/>
  <c r="CC12" i="13"/>
  <c r="CB12" i="13"/>
  <c r="BY12" i="13"/>
  <c r="CD12" i="13"/>
  <c r="CA12" i="13"/>
  <c r="CH12" i="13"/>
  <c r="CI12" i="13"/>
  <c r="CK12" i="13" s="1"/>
  <c r="DE12" i="13"/>
  <c r="DF12" i="13"/>
  <c r="DT12" i="13"/>
  <c r="DX12" i="13" s="1"/>
  <c r="EB12" i="13" s="1"/>
  <c r="DD12" i="13"/>
  <c r="DS12" i="13"/>
  <c r="DW12" i="13" s="1"/>
  <c r="EA12" i="13" s="1"/>
  <c r="CT12" i="13"/>
  <c r="CV12" i="13"/>
  <c r="CU12" i="13"/>
  <c r="DP12" i="13"/>
  <c r="DU12" i="13"/>
  <c r="DY12" i="13" s="1"/>
  <c r="EC12" i="13" s="1"/>
  <c r="FD12" i="13" s="1"/>
  <c r="FG12" i="13" s="1"/>
  <c r="DO12" i="13"/>
  <c r="DN12" i="13"/>
  <c r="AY35" i="13"/>
  <c r="EF36" i="13"/>
  <c r="EL36" i="13" s="1"/>
  <c r="FE36" i="13" s="1"/>
  <c r="N36" i="13"/>
  <c r="AM36" i="13" s="1"/>
  <c r="BT36" i="13" s="1"/>
  <c r="AO36" i="13"/>
  <c r="AR36" i="13" s="1"/>
  <c r="AZ36" i="13" s="1"/>
  <c r="AC35" i="13"/>
  <c r="DJ35" i="13" s="1"/>
  <c r="ED34" i="12"/>
  <c r="G295" i="3"/>
  <c r="C230" i="7"/>
  <c r="AH230" i="7" s="1"/>
  <c r="S230" i="7" s="1"/>
  <c r="V231" i="7"/>
  <c r="AG231" i="7"/>
  <c r="M501" i="3"/>
  <c r="S501" i="3" s="1"/>
  <c r="S95" i="3"/>
  <c r="AD497" i="3"/>
  <c r="AB35" i="12"/>
  <c r="CZ35" i="12" s="1"/>
  <c r="AC35" i="12"/>
  <c r="DJ35" i="12" s="1"/>
  <c r="AA35" i="12"/>
  <c r="CP35" i="12" s="1"/>
  <c r="AD35" i="12"/>
  <c r="BR35" i="12" s="1"/>
  <c r="AQ36" i="12"/>
  <c r="BU36" i="12" s="1"/>
  <c r="AS35" i="12"/>
  <c r="DV35" i="12" s="1"/>
  <c r="AO36" i="12"/>
  <c r="AI35" i="12"/>
  <c r="CQ35" i="12" s="1"/>
  <c r="AJ35" i="12"/>
  <c r="DA35" i="12" s="1"/>
  <c r="AK35" i="12"/>
  <c r="DK35" i="12" s="1"/>
  <c r="AL35" i="12"/>
  <c r="BS35" i="12" s="1"/>
  <c r="N36" i="12"/>
  <c r="Z36" i="12" s="1"/>
  <c r="F128" i="10"/>
  <c r="J128" i="10" s="1"/>
  <c r="F537" i="3"/>
  <c r="F334" i="3"/>
  <c r="V333" i="7"/>
  <c r="AG333" i="7"/>
  <c r="B334" i="7"/>
  <c r="G499" i="3"/>
  <c r="N332" i="7"/>
  <c r="AM86" i="7" s="1"/>
  <c r="S332" i="7"/>
  <c r="AR86" i="7" s="1"/>
  <c r="C297" i="3"/>
  <c r="B232" i="7" s="1"/>
  <c r="D94" i="3"/>
  <c r="X27" i="13" s="1"/>
  <c r="C500" i="3"/>
  <c r="C89" i="10"/>
  <c r="G89" i="10" s="1"/>
  <c r="O381" i="3"/>
  <c r="O584" i="3"/>
  <c r="E379" i="3"/>
  <c r="U379" i="3" s="1"/>
  <c r="E582" i="3"/>
  <c r="U582" i="3" s="1"/>
  <c r="AD91" i="3"/>
  <c r="E344" i="3"/>
  <c r="U344" i="3" s="1"/>
  <c r="E547" i="3"/>
  <c r="U547" i="3" s="1"/>
  <c r="O346" i="3"/>
  <c r="O549" i="3"/>
  <c r="AA498" i="3"/>
  <c r="N298" i="3"/>
  <c r="T298" i="3" s="1"/>
  <c r="N501" i="3"/>
  <c r="T501" i="3" s="1"/>
  <c r="J296" i="3"/>
  <c r="G231" i="7" s="1"/>
  <c r="Q231" i="7" s="1"/>
  <c r="J499" i="3"/>
  <c r="G334" i="7" s="1"/>
  <c r="Q334" i="7" s="1"/>
  <c r="H296" i="3"/>
  <c r="R296" i="3" s="1"/>
  <c r="H499" i="3"/>
  <c r="R499" i="3" s="1"/>
  <c r="W497" i="3"/>
  <c r="C95" i="3"/>
  <c r="M298" i="3"/>
  <c r="S298" i="3" s="1"/>
  <c r="Y294" i="3"/>
  <c r="AD294" i="3" s="1"/>
  <c r="W294" i="3"/>
  <c r="Y295" i="3"/>
  <c r="AD295" i="3" s="1"/>
  <c r="U180" i="3"/>
  <c r="E178" i="3"/>
  <c r="E173" i="10" s="1"/>
  <c r="I173" i="10" s="1"/>
  <c r="W333" i="7"/>
  <c r="AH333" i="7"/>
  <c r="E143" i="3"/>
  <c r="E138" i="10" s="1"/>
  <c r="I138" i="10" s="1"/>
  <c r="U145" i="3"/>
  <c r="AA93" i="3"/>
  <c r="Z94" i="3"/>
  <c r="S27" i="13" s="1"/>
  <c r="CO27" i="13" s="1"/>
  <c r="AA94" i="3"/>
  <c r="T27" i="13" s="1"/>
  <c r="CY27" i="13" s="1"/>
  <c r="W88" i="7"/>
  <c r="N88" i="7" s="1"/>
  <c r="AH88" i="7"/>
  <c r="S88" i="7" s="1"/>
  <c r="C231" i="7"/>
  <c r="C334" i="7"/>
  <c r="K335" i="7"/>
  <c r="AD335" i="7" s="1"/>
  <c r="U500" i="3"/>
  <c r="K232" i="7"/>
  <c r="AD232" i="7" s="1"/>
  <c r="U297" i="3"/>
  <c r="AB94" i="3"/>
  <c r="U27" i="13" s="1"/>
  <c r="DI27" i="13" s="1"/>
  <c r="K90" i="7"/>
  <c r="AD90" i="7" s="1"/>
  <c r="AB95" i="3"/>
  <c r="T96" i="3"/>
  <c r="J90" i="7"/>
  <c r="AC90" i="7" s="1"/>
  <c r="J232" i="7"/>
  <c r="AC232" i="7" s="1"/>
  <c r="J335" i="7"/>
  <c r="AC335" i="7" s="1"/>
  <c r="I90" i="7"/>
  <c r="AB90" i="7" s="1"/>
  <c r="I232" i="7"/>
  <c r="AB232" i="7" s="1"/>
  <c r="Z500" i="3"/>
  <c r="I335" i="7"/>
  <c r="AB335" i="7" s="1"/>
  <c r="G88" i="7"/>
  <c r="Q88" i="7" s="1"/>
  <c r="Y92" i="3"/>
  <c r="R94" i="3"/>
  <c r="P88" i="7"/>
  <c r="F230" i="7"/>
  <c r="P230" i="7" s="1"/>
  <c r="F333" i="7"/>
  <c r="P333" i="7" s="1"/>
  <c r="R89" i="7"/>
  <c r="R231" i="7"/>
  <c r="R334" i="7"/>
  <c r="W230" i="7" l="1"/>
  <c r="N230" i="7" s="1"/>
  <c r="AQ88" i="7"/>
  <c r="AB27" i="13"/>
  <c r="CZ27" i="13" s="1"/>
  <c r="AP88" i="7"/>
  <c r="AO87" i="7"/>
  <c r="F129" i="10"/>
  <c r="J129" i="10" s="1"/>
  <c r="F337" i="3"/>
  <c r="F540" i="3"/>
  <c r="BI12" i="12"/>
  <c r="BF12" i="12"/>
  <c r="BH12" i="12"/>
  <c r="BG12" i="12"/>
  <c r="BK12" i="12"/>
  <c r="CM12" i="13"/>
  <c r="CL12" i="13"/>
  <c r="BB13" i="13" s="1"/>
  <c r="EG36" i="13"/>
  <c r="EM36" i="13" s="1"/>
  <c r="ER36" i="13"/>
  <c r="EK35" i="13"/>
  <c r="EJ36" i="13"/>
  <c r="AP36" i="13"/>
  <c r="AS36" i="13" s="1"/>
  <c r="DV36" i="13" s="1"/>
  <c r="DZ36" i="13" s="1"/>
  <c r="ED36" i="13" s="1"/>
  <c r="CG36" i="13"/>
  <c r="K37" i="13"/>
  <c r="M37" i="13"/>
  <c r="L37" i="13"/>
  <c r="AN37" i="13" s="1"/>
  <c r="AQ37" i="13" s="1"/>
  <c r="BU37" i="13" s="1"/>
  <c r="Z36" i="13"/>
  <c r="Q36" i="13"/>
  <c r="CJ36" i="13"/>
  <c r="V36" i="13"/>
  <c r="Y36" i="13"/>
  <c r="AC36" i="13" s="1"/>
  <c r="DJ36" i="13" s="1"/>
  <c r="AH36" i="13"/>
  <c r="AL36" i="13" s="1"/>
  <c r="BS36" i="13" s="1"/>
  <c r="AG36" i="13"/>
  <c r="AK36" i="13" s="1"/>
  <c r="DK36" i="13" s="1"/>
  <c r="AF36" i="13"/>
  <c r="AJ36" i="13" s="1"/>
  <c r="DA36" i="13" s="1"/>
  <c r="AE36" i="13"/>
  <c r="AI36" i="13" s="1"/>
  <c r="CQ36" i="13" s="1"/>
  <c r="DZ35" i="12"/>
  <c r="AG232" i="7"/>
  <c r="V232" i="7"/>
  <c r="AG89" i="7"/>
  <c r="V89" i="7"/>
  <c r="G94" i="3"/>
  <c r="C89" i="7"/>
  <c r="W89" i="7" s="1"/>
  <c r="D95" i="3"/>
  <c r="C90" i="7" s="1"/>
  <c r="M502" i="3"/>
  <c r="S502" i="3" s="1"/>
  <c r="S96" i="3"/>
  <c r="CJ36" i="12"/>
  <c r="CG36" i="12"/>
  <c r="W36" i="12"/>
  <c r="X36" i="12"/>
  <c r="Y36" i="12"/>
  <c r="AR36" i="12"/>
  <c r="AZ36" i="12" s="1"/>
  <c r="AM36" i="12"/>
  <c r="BT36" i="12" s="1"/>
  <c r="M37" i="12"/>
  <c r="L37" i="12"/>
  <c r="AN37" i="12" s="1"/>
  <c r="AP36" i="12"/>
  <c r="AE36" i="12"/>
  <c r="AF36" i="12"/>
  <c r="AG36" i="12"/>
  <c r="AH36" i="12"/>
  <c r="S36" i="12"/>
  <c r="CO36" i="12" s="1"/>
  <c r="Q36" i="12"/>
  <c r="AY36" i="12" s="1"/>
  <c r="V36" i="12"/>
  <c r="R36" i="12"/>
  <c r="BQ36" i="12" s="1"/>
  <c r="T36" i="12"/>
  <c r="CY36" i="12" s="1"/>
  <c r="U36" i="12"/>
  <c r="DI36" i="12" s="1"/>
  <c r="K37" i="12"/>
  <c r="F130" i="10"/>
  <c r="J130" i="10" s="1"/>
  <c r="F539" i="3"/>
  <c r="F336" i="3"/>
  <c r="V334" i="7"/>
  <c r="AG334" i="7"/>
  <c r="D500" i="3"/>
  <c r="D89" i="10"/>
  <c r="H89" i="10" s="1"/>
  <c r="D297" i="3"/>
  <c r="B335" i="7"/>
  <c r="N333" i="7"/>
  <c r="AM87" i="7" s="1"/>
  <c r="S333" i="7"/>
  <c r="AR87" i="7" s="1"/>
  <c r="C298" i="3"/>
  <c r="B233" i="7" s="1"/>
  <c r="C501" i="3"/>
  <c r="Z501" i="3" s="1"/>
  <c r="C90" i="10"/>
  <c r="G90" i="10" s="1"/>
  <c r="O383" i="3"/>
  <c r="O586" i="3"/>
  <c r="E381" i="3"/>
  <c r="E584" i="3"/>
  <c r="E346" i="3"/>
  <c r="E549" i="3"/>
  <c r="U549" i="3" s="1"/>
  <c r="O348" i="3"/>
  <c r="O551" i="3"/>
  <c r="F339" i="3"/>
  <c r="F542" i="3"/>
  <c r="AA499" i="3"/>
  <c r="AA500" i="3"/>
  <c r="D298" i="3"/>
  <c r="G298" i="3" s="1"/>
  <c r="D501" i="3"/>
  <c r="D90" i="10"/>
  <c r="H90" i="10" s="1"/>
  <c r="AB500" i="3"/>
  <c r="N299" i="3"/>
  <c r="T299" i="3" s="1"/>
  <c r="N502" i="3"/>
  <c r="T502" i="3" s="1"/>
  <c r="J297" i="3"/>
  <c r="G232" i="7" s="1"/>
  <c r="Q232" i="7" s="1"/>
  <c r="J500" i="3"/>
  <c r="G335" i="7" s="1"/>
  <c r="Q335" i="7" s="1"/>
  <c r="H297" i="3"/>
  <c r="R297" i="3" s="1"/>
  <c r="H500" i="3"/>
  <c r="Y498" i="3"/>
  <c r="AD498" i="3" s="1"/>
  <c r="W498" i="3"/>
  <c r="Y499" i="3"/>
  <c r="AA296" i="3"/>
  <c r="AA297" i="3"/>
  <c r="AB297" i="3"/>
  <c r="AB298" i="3"/>
  <c r="C96" i="3"/>
  <c r="M299" i="3"/>
  <c r="S299" i="3" s="1"/>
  <c r="Z297" i="3"/>
  <c r="Z298" i="3"/>
  <c r="Y296" i="3"/>
  <c r="AD296" i="3" s="1"/>
  <c r="W295" i="3"/>
  <c r="U182" i="3"/>
  <c r="E180" i="3"/>
  <c r="E175" i="10" s="1"/>
  <c r="I175" i="10" s="1"/>
  <c r="U346" i="3"/>
  <c r="G95" i="3"/>
  <c r="AA95" i="3"/>
  <c r="Y93" i="3"/>
  <c r="R28" i="13" s="1"/>
  <c r="BQ28" i="13" s="1"/>
  <c r="W93" i="3"/>
  <c r="E145" i="3"/>
  <c r="E140" i="10" s="1"/>
  <c r="I140" i="10" s="1"/>
  <c r="U147" i="3"/>
  <c r="W231" i="7"/>
  <c r="N231" i="7" s="1"/>
  <c r="AH231" i="7"/>
  <c r="S231" i="7" s="1"/>
  <c r="AH334" i="7"/>
  <c r="W334" i="7"/>
  <c r="AG233" i="7"/>
  <c r="V233" i="7"/>
  <c r="K336" i="7"/>
  <c r="AD336" i="7" s="1"/>
  <c r="U501" i="3"/>
  <c r="K233" i="7"/>
  <c r="AD233" i="7" s="1"/>
  <c r="U298" i="3"/>
  <c r="K91" i="7"/>
  <c r="AD91" i="7" s="1"/>
  <c r="R90" i="7"/>
  <c r="R232" i="7"/>
  <c r="R335" i="7"/>
  <c r="J233" i="7"/>
  <c r="AC233" i="7" s="1"/>
  <c r="T97" i="3"/>
  <c r="J91" i="7"/>
  <c r="AC91" i="7" s="1"/>
  <c r="J336" i="7"/>
  <c r="AC336" i="7" s="1"/>
  <c r="Z95" i="3"/>
  <c r="I233" i="7"/>
  <c r="AB233" i="7" s="1"/>
  <c r="I91" i="7"/>
  <c r="AB91" i="7" s="1"/>
  <c r="I336" i="7"/>
  <c r="AB336" i="7" s="1"/>
  <c r="G89" i="7"/>
  <c r="Q89" i="7" s="1"/>
  <c r="AD92" i="3"/>
  <c r="W94" i="3"/>
  <c r="R95" i="3"/>
  <c r="P89" i="7"/>
  <c r="F231" i="7"/>
  <c r="P231" i="7" s="1"/>
  <c r="F334" i="7"/>
  <c r="P334" i="7" s="1"/>
  <c r="AH89" i="7" l="1"/>
  <c r="S89" i="7" s="1"/>
  <c r="N89" i="7"/>
  <c r="S334" i="7"/>
  <c r="AR88" i="7" s="1"/>
  <c r="N334" i="7"/>
  <c r="AM88" i="7" s="1"/>
  <c r="AG90" i="7"/>
  <c r="V90" i="7"/>
  <c r="G500" i="3"/>
  <c r="C335" i="7"/>
  <c r="G297" i="3"/>
  <c r="C232" i="7"/>
  <c r="AQ89" i="7"/>
  <c r="R500" i="3"/>
  <c r="Y500" i="3" s="1"/>
  <c r="AD500" i="3" s="1"/>
  <c r="AP89" i="7"/>
  <c r="AO88" i="7"/>
  <c r="F131" i="10"/>
  <c r="J131" i="10" s="1"/>
  <c r="BN12" i="12"/>
  <c r="DB12" i="12" s="1"/>
  <c r="DC12" i="12" s="1"/>
  <c r="BO12" i="12"/>
  <c r="DL12" i="12" s="1"/>
  <c r="DM12" i="12" s="1"/>
  <c r="BL12" i="12"/>
  <c r="BW12" i="12" s="1"/>
  <c r="BM12" i="12"/>
  <c r="CR12" i="12" s="1"/>
  <c r="CS12" i="12" s="1"/>
  <c r="BD13" i="13"/>
  <c r="EQ13" i="13" s="1"/>
  <c r="ES13" i="13" s="1"/>
  <c r="EV13" i="13" s="1"/>
  <c r="EY13" i="13" s="1"/>
  <c r="FB13" i="13" s="1"/>
  <c r="FF13" i="13" s="1"/>
  <c r="BE13" i="13"/>
  <c r="AY36" i="13"/>
  <c r="EF37" i="13"/>
  <c r="EL37" i="13" s="1"/>
  <c r="FE37" i="13" s="1"/>
  <c r="N37" i="13"/>
  <c r="AM37" i="13" s="1"/>
  <c r="BT37" i="13" s="1"/>
  <c r="AO37" i="13"/>
  <c r="AR37" i="13" s="1"/>
  <c r="AZ37" i="13" s="1"/>
  <c r="AD36" i="13"/>
  <c r="BR36" i="13" s="1"/>
  <c r="ED35" i="12"/>
  <c r="M503" i="3"/>
  <c r="S503" i="3" s="1"/>
  <c r="S97" i="3"/>
  <c r="AD499" i="3"/>
  <c r="AC36" i="12"/>
  <c r="DJ36" i="12" s="1"/>
  <c r="AA36" i="12"/>
  <c r="CP36" i="12" s="1"/>
  <c r="AB36" i="12"/>
  <c r="CZ36" i="12" s="1"/>
  <c r="AD36" i="12"/>
  <c r="BR36" i="12" s="1"/>
  <c r="AQ37" i="12"/>
  <c r="BU37" i="12" s="1"/>
  <c r="AS36" i="12"/>
  <c r="DV36" i="12" s="1"/>
  <c r="AO37" i="12"/>
  <c r="AI36" i="12"/>
  <c r="CQ36" i="12" s="1"/>
  <c r="AJ36" i="12"/>
  <c r="DA36" i="12" s="1"/>
  <c r="AK36" i="12"/>
  <c r="DK36" i="12" s="1"/>
  <c r="AL36" i="12"/>
  <c r="BS36" i="12" s="1"/>
  <c r="N37" i="12"/>
  <c r="Z37" i="12" s="1"/>
  <c r="F132" i="10"/>
  <c r="J132" i="10" s="1"/>
  <c r="F541" i="3"/>
  <c r="F338" i="3"/>
  <c r="AG335" i="7"/>
  <c r="V335" i="7"/>
  <c r="B336" i="7"/>
  <c r="G501" i="3"/>
  <c r="C299" i="3"/>
  <c r="B234" i="7" s="1"/>
  <c r="D96" i="3"/>
  <c r="Z96" i="3"/>
  <c r="C91" i="10"/>
  <c r="G91" i="10" s="1"/>
  <c r="C502" i="3"/>
  <c r="Z502" i="3" s="1"/>
  <c r="O385" i="3"/>
  <c r="O588" i="3"/>
  <c r="E383" i="3"/>
  <c r="E586" i="3"/>
  <c r="U586" i="3" s="1"/>
  <c r="E348" i="3"/>
  <c r="U348" i="3" s="1"/>
  <c r="E551" i="3"/>
  <c r="U551" i="3" s="1"/>
  <c r="O350" i="3"/>
  <c r="O553" i="3"/>
  <c r="AB501" i="3"/>
  <c r="AB502" i="3"/>
  <c r="N300" i="3"/>
  <c r="T300" i="3" s="1"/>
  <c r="N503" i="3"/>
  <c r="T503" i="3" s="1"/>
  <c r="J298" i="3"/>
  <c r="G233" i="7" s="1"/>
  <c r="Q233" i="7" s="1"/>
  <c r="J501" i="3"/>
  <c r="G336" i="7" s="1"/>
  <c r="Q336" i="7" s="1"/>
  <c r="H298" i="3"/>
  <c r="H501" i="3"/>
  <c r="W499" i="3"/>
  <c r="C97" i="3"/>
  <c r="M300" i="3"/>
  <c r="S300" i="3" s="1"/>
  <c r="W296" i="3"/>
  <c r="Y297" i="3"/>
  <c r="AD297" i="3" s="1"/>
  <c r="U184" i="3"/>
  <c r="E182" i="3"/>
  <c r="E177" i="10" s="1"/>
  <c r="I177" i="10" s="1"/>
  <c r="U383" i="3"/>
  <c r="AD93" i="3"/>
  <c r="E147" i="3"/>
  <c r="E142" i="10" s="1"/>
  <c r="I142" i="10" s="1"/>
  <c r="U149" i="3"/>
  <c r="C336" i="7"/>
  <c r="W90" i="7"/>
  <c r="AH90" i="7"/>
  <c r="C233" i="7"/>
  <c r="K337" i="7"/>
  <c r="AD337" i="7" s="1"/>
  <c r="U502" i="3"/>
  <c r="K234" i="7"/>
  <c r="AD234" i="7" s="1"/>
  <c r="U299" i="3"/>
  <c r="AB96" i="3"/>
  <c r="K92" i="7"/>
  <c r="AD92" i="7" s="1"/>
  <c r="AB97" i="3"/>
  <c r="R91" i="7"/>
  <c r="T98" i="3"/>
  <c r="J92" i="7"/>
  <c r="AC92" i="7" s="1"/>
  <c r="J234" i="7"/>
  <c r="AC234" i="7" s="1"/>
  <c r="J337" i="7"/>
  <c r="AC337" i="7" s="1"/>
  <c r="I92" i="7"/>
  <c r="AB92" i="7" s="1"/>
  <c r="I337" i="7"/>
  <c r="AB337" i="7" s="1"/>
  <c r="I234" i="7"/>
  <c r="AB234" i="7" s="1"/>
  <c r="G90" i="7"/>
  <c r="Q90" i="7" s="1"/>
  <c r="Y94" i="3"/>
  <c r="R96" i="3"/>
  <c r="P90" i="7"/>
  <c r="F232" i="7"/>
  <c r="P232" i="7" s="1"/>
  <c r="F335" i="7"/>
  <c r="P335" i="7" s="1"/>
  <c r="R233" i="7"/>
  <c r="R336" i="7"/>
  <c r="N90" i="7" l="1"/>
  <c r="S90" i="7"/>
  <c r="AH335" i="7"/>
  <c r="S335" i="7" s="1"/>
  <c r="W335" i="7"/>
  <c r="N335" i="7" s="1"/>
  <c r="W232" i="7"/>
  <c r="N232" i="7" s="1"/>
  <c r="AH232" i="7"/>
  <c r="S232" i="7" s="1"/>
  <c r="AQ90" i="7"/>
  <c r="R298" i="3"/>
  <c r="R501" i="3"/>
  <c r="AP90" i="7"/>
  <c r="AO89" i="7"/>
  <c r="F133" i="10"/>
  <c r="J133" i="10" s="1"/>
  <c r="F341" i="3"/>
  <c r="F544" i="3"/>
  <c r="DG12" i="12"/>
  <c r="DF12" i="12"/>
  <c r="DE12" i="12"/>
  <c r="DD12" i="12"/>
  <c r="DT12" i="12"/>
  <c r="DX12" i="12" s="1"/>
  <c r="EB12" i="12" s="1"/>
  <c r="CW12" i="12"/>
  <c r="DS12" i="12"/>
  <c r="DW12" i="12" s="1"/>
  <c r="EA12" i="12" s="1"/>
  <c r="CV12" i="12"/>
  <c r="CU12" i="12"/>
  <c r="CT12" i="12"/>
  <c r="BX12" i="12"/>
  <c r="CE12" i="12" s="1"/>
  <c r="DQ12" i="12"/>
  <c r="DN12" i="12"/>
  <c r="DU12" i="12"/>
  <c r="DY12" i="12" s="1"/>
  <c r="EC12" i="12" s="1"/>
  <c r="DO12" i="12"/>
  <c r="DP12" i="12"/>
  <c r="BC13" i="13"/>
  <c r="ET13" i="13"/>
  <c r="EW13" i="13" s="1"/>
  <c r="EZ13" i="13" s="1"/>
  <c r="EU13" i="13"/>
  <c r="EX13" i="13" s="1"/>
  <c r="FA13" i="13" s="1"/>
  <c r="EG37" i="13"/>
  <c r="EM37" i="13" s="1"/>
  <c r="ER37" i="13"/>
  <c r="EK36" i="13"/>
  <c r="EJ37" i="13"/>
  <c r="AH37" i="13"/>
  <c r="AL37" i="13" s="1"/>
  <c r="BS37" i="13" s="1"/>
  <c r="AG37" i="13"/>
  <c r="AK37" i="13" s="1"/>
  <c r="DK37" i="13" s="1"/>
  <c r="AF37" i="13"/>
  <c r="AJ37" i="13" s="1"/>
  <c r="DA37" i="13" s="1"/>
  <c r="AE37" i="13"/>
  <c r="AI37" i="13" s="1"/>
  <c r="CQ37" i="13" s="1"/>
  <c r="K38" i="13"/>
  <c r="M38" i="13"/>
  <c r="L38" i="13"/>
  <c r="AN38" i="13" s="1"/>
  <c r="AQ38" i="13" s="1"/>
  <c r="BU38" i="13" s="1"/>
  <c r="AP37" i="13"/>
  <c r="AS37" i="13" s="1"/>
  <c r="DV37" i="13" s="1"/>
  <c r="DZ37" i="13" s="1"/>
  <c r="ED37" i="13" s="1"/>
  <c r="CG37" i="13"/>
  <c r="Q37" i="13"/>
  <c r="Y37" i="13"/>
  <c r="AC37" i="13" s="1"/>
  <c r="DJ37" i="13" s="1"/>
  <c r="V37" i="13"/>
  <c r="CJ37" i="13"/>
  <c r="Z37" i="13"/>
  <c r="AD37" i="13" s="1"/>
  <c r="BR37" i="13" s="1"/>
  <c r="DZ36" i="12"/>
  <c r="V234" i="7"/>
  <c r="AG234" i="7"/>
  <c r="M504" i="3"/>
  <c r="S504" i="3" s="1"/>
  <c r="S98" i="3"/>
  <c r="CJ37" i="12"/>
  <c r="CG37" i="12"/>
  <c r="W37" i="12"/>
  <c r="Y37" i="12"/>
  <c r="X37" i="12"/>
  <c r="AR37" i="12"/>
  <c r="AZ37" i="12" s="1"/>
  <c r="AM37" i="12"/>
  <c r="BT37" i="12" s="1"/>
  <c r="M38" i="12"/>
  <c r="L38" i="12"/>
  <c r="AN38" i="12" s="1"/>
  <c r="AP37" i="12"/>
  <c r="AE37" i="12"/>
  <c r="AF37" i="12"/>
  <c r="AG37" i="12"/>
  <c r="AH37" i="12"/>
  <c r="S37" i="12"/>
  <c r="CO37" i="12" s="1"/>
  <c r="U37" i="12"/>
  <c r="DI37" i="12" s="1"/>
  <c r="K38" i="12"/>
  <c r="R37" i="12"/>
  <c r="BQ37" i="12" s="1"/>
  <c r="V37" i="12"/>
  <c r="T37" i="12"/>
  <c r="CY37" i="12" s="1"/>
  <c r="Q37" i="12"/>
  <c r="AY37" i="12" s="1"/>
  <c r="F134" i="10"/>
  <c r="J134" i="10" s="1"/>
  <c r="F543" i="3"/>
  <c r="F340" i="3"/>
  <c r="AG336" i="7"/>
  <c r="V336" i="7"/>
  <c r="D502" i="3"/>
  <c r="D91" i="10"/>
  <c r="H91" i="10" s="1"/>
  <c r="D299" i="3"/>
  <c r="B337" i="7"/>
  <c r="C91" i="7"/>
  <c r="G96" i="3"/>
  <c r="AG91" i="7"/>
  <c r="V91" i="7"/>
  <c r="C300" i="3"/>
  <c r="B235" i="7" s="1"/>
  <c r="C92" i="10"/>
  <c r="G92" i="10" s="1"/>
  <c r="D97" i="3"/>
  <c r="C503" i="3"/>
  <c r="O387" i="3"/>
  <c r="O590" i="3"/>
  <c r="E385" i="3"/>
  <c r="U385" i="3" s="1"/>
  <c r="E588" i="3"/>
  <c r="U588" i="3" s="1"/>
  <c r="E350" i="3"/>
  <c r="E553" i="3"/>
  <c r="U553" i="3" s="1"/>
  <c r="O352" i="3"/>
  <c r="O555" i="3"/>
  <c r="AA501" i="3"/>
  <c r="N301" i="3"/>
  <c r="T301" i="3" s="1"/>
  <c r="N504" i="3"/>
  <c r="T504" i="3" s="1"/>
  <c r="J299" i="3"/>
  <c r="G234" i="7" s="1"/>
  <c r="Q234" i="7" s="1"/>
  <c r="J502" i="3"/>
  <c r="G337" i="7" s="1"/>
  <c r="Q337" i="7" s="1"/>
  <c r="H299" i="3"/>
  <c r="R299" i="3" s="1"/>
  <c r="H502" i="3"/>
  <c r="R502" i="3" s="1"/>
  <c r="W500" i="3"/>
  <c r="AA298" i="3"/>
  <c r="AB299" i="3"/>
  <c r="C98" i="3"/>
  <c r="W28" i="13" s="1"/>
  <c r="M301" i="3"/>
  <c r="S301" i="3" s="1"/>
  <c r="Z299" i="3"/>
  <c r="W297" i="3"/>
  <c r="U186" i="3"/>
  <c r="E184" i="3"/>
  <c r="E179" i="10" s="1"/>
  <c r="I179" i="10" s="1"/>
  <c r="AH336" i="7"/>
  <c r="W336" i="7"/>
  <c r="U350" i="3"/>
  <c r="Y95" i="3"/>
  <c r="W95" i="3"/>
  <c r="E149" i="3"/>
  <c r="E144" i="10" s="1"/>
  <c r="I144" i="10" s="1"/>
  <c r="U151" i="3"/>
  <c r="AA96" i="3"/>
  <c r="W233" i="7"/>
  <c r="N233" i="7" s="1"/>
  <c r="AH233" i="7"/>
  <c r="S233" i="7" s="1"/>
  <c r="K338" i="7"/>
  <c r="AD338" i="7" s="1"/>
  <c r="U503" i="3"/>
  <c r="AB503" i="3" s="1"/>
  <c r="K235" i="7"/>
  <c r="AD235" i="7" s="1"/>
  <c r="U300" i="3"/>
  <c r="R92" i="7"/>
  <c r="R337" i="7"/>
  <c r="K93" i="7"/>
  <c r="AD93" i="7" s="1"/>
  <c r="R234" i="7"/>
  <c r="J93" i="7"/>
  <c r="AC93" i="7" s="1"/>
  <c r="T99" i="3"/>
  <c r="J235" i="7"/>
  <c r="AC235" i="7" s="1"/>
  <c r="J338" i="7"/>
  <c r="AC338" i="7" s="1"/>
  <c r="Z97" i="3"/>
  <c r="Z503" i="3"/>
  <c r="I338" i="7"/>
  <c r="AB338" i="7" s="1"/>
  <c r="I235" i="7"/>
  <c r="AB235" i="7" s="1"/>
  <c r="I93" i="7"/>
  <c r="AB93" i="7" s="1"/>
  <c r="G91" i="7"/>
  <c r="Q91" i="7" s="1"/>
  <c r="AD94" i="3"/>
  <c r="F233" i="7"/>
  <c r="P233" i="7" s="1"/>
  <c r="W96" i="3"/>
  <c r="P91" i="7"/>
  <c r="R97" i="3"/>
  <c r="F336" i="7"/>
  <c r="P336" i="7" s="1"/>
  <c r="AO90" i="7" l="1"/>
  <c r="AM89" i="7"/>
  <c r="AR89" i="7"/>
  <c r="FD12" i="12"/>
  <c r="FG12" i="12" s="1"/>
  <c r="AQ91" i="7"/>
  <c r="AA28" i="13"/>
  <c r="CP28" i="13" s="1"/>
  <c r="AP91" i="7"/>
  <c r="F135" i="10"/>
  <c r="J135" i="10" s="1"/>
  <c r="F343" i="3"/>
  <c r="F546" i="3"/>
  <c r="CI12" i="12"/>
  <c r="CK12" i="12" s="1"/>
  <c r="BY12" i="12"/>
  <c r="CH12" i="12"/>
  <c r="BZ12" i="12"/>
  <c r="CD12" i="12"/>
  <c r="CC12" i="12"/>
  <c r="CB12" i="12"/>
  <c r="CA12" i="12"/>
  <c r="BK13" i="13"/>
  <c r="BH13" i="13"/>
  <c r="BI13" i="13"/>
  <c r="BF13" i="13"/>
  <c r="BG13" i="13"/>
  <c r="AY37" i="13"/>
  <c r="EF38" i="13"/>
  <c r="EL38" i="13" s="1"/>
  <c r="FE38" i="13" s="1"/>
  <c r="N38" i="13"/>
  <c r="AO38" i="13"/>
  <c r="AR38" i="13" s="1"/>
  <c r="AZ38" i="13" s="1"/>
  <c r="ED36" i="12"/>
  <c r="AG235" i="7"/>
  <c r="V235" i="7"/>
  <c r="C92" i="7"/>
  <c r="G97" i="3"/>
  <c r="M505" i="3"/>
  <c r="S505" i="3" s="1"/>
  <c r="S99" i="3"/>
  <c r="AA37" i="12"/>
  <c r="CP37" i="12" s="1"/>
  <c r="AC37" i="12"/>
  <c r="DJ37" i="12" s="1"/>
  <c r="AB37" i="12"/>
  <c r="CZ37" i="12" s="1"/>
  <c r="AD37" i="12"/>
  <c r="BR37" i="12" s="1"/>
  <c r="AQ38" i="12"/>
  <c r="BU38" i="12" s="1"/>
  <c r="AS37" i="12"/>
  <c r="DV37" i="12" s="1"/>
  <c r="AO38" i="12"/>
  <c r="AI37" i="12"/>
  <c r="CQ37" i="12" s="1"/>
  <c r="AJ37" i="12"/>
  <c r="DA37" i="12" s="1"/>
  <c r="AK37" i="12"/>
  <c r="DK37" i="12" s="1"/>
  <c r="AL37" i="12"/>
  <c r="BS37" i="12" s="1"/>
  <c r="N38" i="12"/>
  <c r="Z38" i="12" s="1"/>
  <c r="F136" i="10"/>
  <c r="J136" i="10" s="1"/>
  <c r="F545" i="3"/>
  <c r="F342" i="3"/>
  <c r="AG337" i="7"/>
  <c r="V337" i="7"/>
  <c r="D503" i="3"/>
  <c r="D92" i="10"/>
  <c r="H92" i="10" s="1"/>
  <c r="D300" i="3"/>
  <c r="B338" i="7"/>
  <c r="S336" i="7"/>
  <c r="AR90" i="7" s="1"/>
  <c r="N336" i="7"/>
  <c r="AM90" i="7" s="1"/>
  <c r="C337" i="7"/>
  <c r="G502" i="3"/>
  <c r="G299" i="3"/>
  <c r="AA299" i="3"/>
  <c r="C234" i="7"/>
  <c r="W91" i="7"/>
  <c r="N91" i="7" s="1"/>
  <c r="AH91" i="7"/>
  <c r="S91" i="7" s="1"/>
  <c r="V92" i="7"/>
  <c r="AG92" i="7"/>
  <c r="C301" i="3"/>
  <c r="B236" i="7" s="1"/>
  <c r="D98" i="3"/>
  <c r="X28" i="13" s="1"/>
  <c r="C93" i="10"/>
  <c r="G93" i="10" s="1"/>
  <c r="C504" i="3"/>
  <c r="Z504" i="3" s="1"/>
  <c r="O389" i="3"/>
  <c r="O592" i="3"/>
  <c r="E387" i="3"/>
  <c r="U387" i="3" s="1"/>
  <c r="E590" i="3"/>
  <c r="U590" i="3" s="1"/>
  <c r="E352" i="3"/>
  <c r="U352" i="3" s="1"/>
  <c r="E555" i="3"/>
  <c r="U555" i="3" s="1"/>
  <c r="O354" i="3"/>
  <c r="O557" i="3"/>
  <c r="N302" i="3"/>
  <c r="T302" i="3" s="1"/>
  <c r="N505" i="3"/>
  <c r="T505" i="3" s="1"/>
  <c r="J300" i="3"/>
  <c r="G235" i="7" s="1"/>
  <c r="Q235" i="7" s="1"/>
  <c r="J503" i="3"/>
  <c r="G338" i="7" s="1"/>
  <c r="Q338" i="7" s="1"/>
  <c r="H300" i="3"/>
  <c r="R300" i="3" s="1"/>
  <c r="H503" i="3"/>
  <c r="Y501" i="3"/>
  <c r="AD501" i="3" s="1"/>
  <c r="W501" i="3"/>
  <c r="Y502" i="3"/>
  <c r="AB300" i="3"/>
  <c r="Z301" i="3"/>
  <c r="Z300" i="3"/>
  <c r="C99" i="3"/>
  <c r="M302" i="3"/>
  <c r="S302" i="3" s="1"/>
  <c r="W298" i="3"/>
  <c r="Y299" i="3"/>
  <c r="Y298" i="3"/>
  <c r="AD298" i="3" s="1"/>
  <c r="U188" i="3"/>
  <c r="E186" i="3"/>
  <c r="E181" i="10" s="1"/>
  <c r="I181" i="10" s="1"/>
  <c r="AD95" i="3"/>
  <c r="E151" i="3"/>
  <c r="E146" i="10" s="1"/>
  <c r="I146" i="10" s="1"/>
  <c r="U153" i="3"/>
  <c r="AA97" i="3"/>
  <c r="Z98" i="3"/>
  <c r="S28" i="13" s="1"/>
  <c r="CO28" i="13" s="1"/>
  <c r="W92" i="7"/>
  <c r="AH92" i="7"/>
  <c r="K339" i="7"/>
  <c r="AD339" i="7" s="1"/>
  <c r="U504" i="3"/>
  <c r="AB504" i="3" s="1"/>
  <c r="K236" i="7"/>
  <c r="AD236" i="7" s="1"/>
  <c r="U301" i="3"/>
  <c r="AB301" i="3" s="1"/>
  <c r="AB98" i="3"/>
  <c r="U28" i="13" s="1"/>
  <c r="DI28" i="13" s="1"/>
  <c r="K94" i="7"/>
  <c r="AD94" i="7" s="1"/>
  <c r="AB99" i="3"/>
  <c r="J236" i="7"/>
  <c r="AC236" i="7" s="1"/>
  <c r="T100" i="3"/>
  <c r="J94" i="7"/>
  <c r="AC94" i="7" s="1"/>
  <c r="J339" i="7"/>
  <c r="AC339" i="7" s="1"/>
  <c r="I339" i="7"/>
  <c r="AB339" i="7" s="1"/>
  <c r="I236" i="7"/>
  <c r="AB236" i="7" s="1"/>
  <c r="I94" i="7"/>
  <c r="AB94" i="7" s="1"/>
  <c r="G92" i="7"/>
  <c r="Q92" i="7" s="1"/>
  <c r="Y96" i="3"/>
  <c r="R29" i="13" s="1"/>
  <c r="BQ29" i="13" s="1"/>
  <c r="F337" i="7"/>
  <c r="P337" i="7" s="1"/>
  <c r="R98" i="3"/>
  <c r="P92" i="7"/>
  <c r="F234" i="7"/>
  <c r="P234" i="7" s="1"/>
  <c r="R338" i="7"/>
  <c r="R235" i="7"/>
  <c r="AQ92" i="7" s="1"/>
  <c r="R93" i="7"/>
  <c r="AP92" i="7" l="1"/>
  <c r="AB28" i="13"/>
  <c r="CZ28" i="13" s="1"/>
  <c r="R503" i="3"/>
  <c r="AO91" i="7"/>
  <c r="F137" i="10"/>
  <c r="J137" i="10" s="1"/>
  <c r="F345" i="3"/>
  <c r="F548" i="3"/>
  <c r="CL12" i="12"/>
  <c r="BB13" i="12" s="1"/>
  <c r="CM12" i="12"/>
  <c r="BL13" i="13"/>
  <c r="BW13" i="13" s="1"/>
  <c r="BX13" i="13" s="1"/>
  <c r="BO13" i="13"/>
  <c r="DL13" i="13" s="1"/>
  <c r="DM13" i="13" s="1"/>
  <c r="BM13" i="13"/>
  <c r="CR13" i="13" s="1"/>
  <c r="BN13" i="13"/>
  <c r="DB13" i="13" s="1"/>
  <c r="DC13" i="13" s="1"/>
  <c r="ER38" i="13"/>
  <c r="EG38" i="13"/>
  <c r="EM38" i="13" s="1"/>
  <c r="EK37" i="13"/>
  <c r="EJ38" i="13"/>
  <c r="AM38" i="13"/>
  <c r="BT38" i="13" s="1"/>
  <c r="L39" i="13"/>
  <c r="AN39" i="13" s="1"/>
  <c r="AQ39" i="13" s="1"/>
  <c r="BU39" i="13" s="1"/>
  <c r="AP38" i="13"/>
  <c r="AS38" i="13" s="1"/>
  <c r="DV38" i="13" s="1"/>
  <c r="DZ38" i="13" s="1"/>
  <c r="ED38" i="13" s="1"/>
  <c r="M39" i="13"/>
  <c r="CG38" i="13"/>
  <c r="K39" i="13"/>
  <c r="V38" i="13"/>
  <c r="CJ38" i="13"/>
  <c r="Q38" i="13"/>
  <c r="Y38" i="13"/>
  <c r="Z38" i="13"/>
  <c r="AH38" i="13"/>
  <c r="AL38" i="13" s="1"/>
  <c r="BS38" i="13" s="1"/>
  <c r="AG38" i="13"/>
  <c r="AK38" i="13" s="1"/>
  <c r="DK38" i="13" s="1"/>
  <c r="AF38" i="13"/>
  <c r="AJ38" i="13" s="1"/>
  <c r="DA38" i="13" s="1"/>
  <c r="AE38" i="13"/>
  <c r="AI38" i="13" s="1"/>
  <c r="CQ38" i="13" s="1"/>
  <c r="DZ37" i="12"/>
  <c r="S92" i="7"/>
  <c r="N92" i="7"/>
  <c r="AH337" i="7"/>
  <c r="S337" i="7" s="1"/>
  <c r="W337" i="7"/>
  <c r="N337" i="7" s="1"/>
  <c r="AH234" i="7"/>
  <c r="S234" i="7" s="1"/>
  <c r="W234" i="7"/>
  <c r="N234" i="7" s="1"/>
  <c r="V236" i="7"/>
  <c r="AG236" i="7"/>
  <c r="C93" i="7"/>
  <c r="G98" i="3"/>
  <c r="M506" i="3"/>
  <c r="S506" i="3" s="1"/>
  <c r="S100" i="3"/>
  <c r="CJ38" i="12"/>
  <c r="CG38" i="12"/>
  <c r="W38" i="12"/>
  <c r="X38" i="12"/>
  <c r="Y38" i="12"/>
  <c r="AD299" i="3"/>
  <c r="AR38" i="12"/>
  <c r="AZ38" i="12" s="1"/>
  <c r="AM38" i="12"/>
  <c r="BT38" i="12" s="1"/>
  <c r="M39" i="12"/>
  <c r="L39" i="12"/>
  <c r="AN39" i="12" s="1"/>
  <c r="AP38" i="12"/>
  <c r="AE38" i="12"/>
  <c r="AF38" i="12"/>
  <c r="AG38" i="12"/>
  <c r="AH38" i="12"/>
  <c r="R38" i="12"/>
  <c r="BQ38" i="12" s="1"/>
  <c r="U38" i="12"/>
  <c r="DI38" i="12" s="1"/>
  <c r="Q38" i="12"/>
  <c r="AY38" i="12" s="1"/>
  <c r="K39" i="12"/>
  <c r="V38" i="12"/>
  <c r="T38" i="12"/>
  <c r="CY38" i="12" s="1"/>
  <c r="S38" i="12"/>
  <c r="CO38" i="12" s="1"/>
  <c r="F138" i="10"/>
  <c r="J138" i="10" s="1"/>
  <c r="F547" i="3"/>
  <c r="F344" i="3"/>
  <c r="AG338" i="7"/>
  <c r="V338" i="7"/>
  <c r="AA502" i="3"/>
  <c r="AD502" i="3" s="1"/>
  <c r="AA503" i="3"/>
  <c r="D504" i="3"/>
  <c r="C339" i="7" s="1"/>
  <c r="D93" i="10"/>
  <c r="H93" i="10" s="1"/>
  <c r="D301" i="3"/>
  <c r="B339" i="7"/>
  <c r="C338" i="7"/>
  <c r="AH338" i="7" s="1"/>
  <c r="G503" i="3"/>
  <c r="G300" i="3"/>
  <c r="C235" i="7"/>
  <c r="W235" i="7" s="1"/>
  <c r="N235" i="7" s="1"/>
  <c r="AG93" i="7"/>
  <c r="V93" i="7"/>
  <c r="C302" i="3"/>
  <c r="B237" i="7" s="1"/>
  <c r="D99" i="3"/>
  <c r="C505" i="3"/>
  <c r="C94" i="10"/>
  <c r="G94" i="10" s="1"/>
  <c r="O391" i="3"/>
  <c r="O594" i="3"/>
  <c r="E389" i="3"/>
  <c r="U389" i="3" s="1"/>
  <c r="E592" i="3"/>
  <c r="U592" i="3" s="1"/>
  <c r="E354" i="3"/>
  <c r="U354" i="3" s="1"/>
  <c r="E557" i="3"/>
  <c r="U557" i="3" s="1"/>
  <c r="O356" i="3"/>
  <c r="O559" i="3"/>
  <c r="AB505" i="3"/>
  <c r="N303" i="3"/>
  <c r="T303" i="3" s="1"/>
  <c r="N506" i="3"/>
  <c r="T506" i="3" s="1"/>
  <c r="J301" i="3"/>
  <c r="G236" i="7" s="1"/>
  <c r="Q236" i="7" s="1"/>
  <c r="J504" i="3"/>
  <c r="G339" i="7" s="1"/>
  <c r="Q339" i="7" s="1"/>
  <c r="Y503" i="3"/>
  <c r="W502" i="3"/>
  <c r="H301" i="3"/>
  <c r="H504" i="3"/>
  <c r="R504" i="3" s="1"/>
  <c r="AA300" i="3"/>
  <c r="C100" i="3"/>
  <c r="M303" i="3"/>
  <c r="S303" i="3" s="1"/>
  <c r="W299" i="3"/>
  <c r="U190" i="3"/>
  <c r="E188" i="3"/>
  <c r="E183" i="10" s="1"/>
  <c r="I183" i="10" s="1"/>
  <c r="Y97" i="3"/>
  <c r="W97" i="3"/>
  <c r="E153" i="3"/>
  <c r="E148" i="10" s="1"/>
  <c r="I148" i="10" s="1"/>
  <c r="U155" i="3"/>
  <c r="AA98" i="3"/>
  <c r="T28" i="13" s="1"/>
  <c r="CY28" i="13" s="1"/>
  <c r="W93" i="7"/>
  <c r="AH93" i="7"/>
  <c r="W338" i="7"/>
  <c r="K237" i="7"/>
  <c r="AD237" i="7" s="1"/>
  <c r="U302" i="3"/>
  <c r="AB302" i="3" s="1"/>
  <c r="K340" i="7"/>
  <c r="AD340" i="7" s="1"/>
  <c r="U505" i="3"/>
  <c r="K95" i="7"/>
  <c r="AD95" i="7" s="1"/>
  <c r="R236" i="7"/>
  <c r="J95" i="7"/>
  <c r="AC95" i="7" s="1"/>
  <c r="T101" i="3"/>
  <c r="J340" i="7"/>
  <c r="AC340" i="7" s="1"/>
  <c r="J237" i="7"/>
  <c r="AC237" i="7" s="1"/>
  <c r="Z99" i="3"/>
  <c r="Z505" i="3"/>
  <c r="I340" i="7"/>
  <c r="AB340" i="7" s="1"/>
  <c r="I95" i="7"/>
  <c r="AB95" i="7" s="1"/>
  <c r="I237" i="7"/>
  <c r="AB237" i="7" s="1"/>
  <c r="G93" i="7"/>
  <c r="Q93" i="7" s="1"/>
  <c r="AD96" i="3"/>
  <c r="F235" i="7"/>
  <c r="P235" i="7" s="1"/>
  <c r="W98" i="3"/>
  <c r="R99" i="3"/>
  <c r="P93" i="7"/>
  <c r="F338" i="7"/>
  <c r="P338" i="7" s="1"/>
  <c r="R339" i="7"/>
  <c r="R94" i="7"/>
  <c r="AP93" i="7" l="1"/>
  <c r="AH235" i="7"/>
  <c r="S235" i="7" s="1"/>
  <c r="AR91" i="7"/>
  <c r="AM91" i="7"/>
  <c r="AQ93" i="7"/>
  <c r="AG237" i="7"/>
  <c r="V237" i="7"/>
  <c r="AG94" i="7"/>
  <c r="V94" i="7"/>
  <c r="G99" i="3"/>
  <c r="C94" i="7"/>
  <c r="BE13" i="12"/>
  <c r="R301" i="3"/>
  <c r="AO92" i="7"/>
  <c r="F139" i="10"/>
  <c r="J139" i="10" s="1"/>
  <c r="F347" i="3"/>
  <c r="F550" i="3"/>
  <c r="CS13" i="13"/>
  <c r="DQ13" i="13"/>
  <c r="DP13" i="13"/>
  <c r="DO13" i="13"/>
  <c r="DU13" i="13"/>
  <c r="DY13" i="13" s="1"/>
  <c r="EC13" i="13" s="1"/>
  <c r="FD13" i="13" s="1"/>
  <c r="FG13" i="13" s="1"/>
  <c r="DN13" i="13"/>
  <c r="BZ13" i="13"/>
  <c r="CI13" i="13"/>
  <c r="CK13" i="13" s="1"/>
  <c r="CH13" i="13"/>
  <c r="CC13" i="13"/>
  <c r="CA13" i="13"/>
  <c r="CD13" i="13"/>
  <c r="BY13" i="13"/>
  <c r="CB13" i="13"/>
  <c r="CE13" i="13"/>
  <c r="DT13" i="13"/>
  <c r="DX13" i="13" s="1"/>
  <c r="EB13" i="13" s="1"/>
  <c r="DD13" i="13"/>
  <c r="DE13" i="13"/>
  <c r="DF13" i="13"/>
  <c r="DG13" i="13"/>
  <c r="AY38" i="13"/>
  <c r="EF39" i="13"/>
  <c r="EL39" i="13" s="1"/>
  <c r="FE39" i="13" s="1"/>
  <c r="N39" i="13"/>
  <c r="AM39" i="13" s="1"/>
  <c r="BT39" i="13" s="1"/>
  <c r="AO39" i="13"/>
  <c r="AR39" i="13" s="1"/>
  <c r="AZ39" i="13" s="1"/>
  <c r="AC38" i="13"/>
  <c r="DJ38" i="13" s="1"/>
  <c r="AD38" i="13"/>
  <c r="BR38" i="13" s="1"/>
  <c r="ED37" i="12"/>
  <c r="S93" i="7"/>
  <c r="N338" i="7"/>
  <c r="AM92" i="7" s="1"/>
  <c r="S338" i="7"/>
  <c r="AR92" i="7" s="1"/>
  <c r="N93" i="7"/>
  <c r="M507" i="3"/>
  <c r="S507" i="3" s="1"/>
  <c r="S101" i="3"/>
  <c r="AC38" i="12"/>
  <c r="DJ38" i="12" s="1"/>
  <c r="AA38" i="12"/>
  <c r="CP38" i="12" s="1"/>
  <c r="AD38" i="12"/>
  <c r="BR38" i="12" s="1"/>
  <c r="AB38" i="12"/>
  <c r="CZ38" i="12" s="1"/>
  <c r="AQ39" i="12"/>
  <c r="BU39" i="12" s="1"/>
  <c r="AS38" i="12"/>
  <c r="DV38" i="12" s="1"/>
  <c r="AO39" i="12"/>
  <c r="AI38" i="12"/>
  <c r="CQ38" i="12" s="1"/>
  <c r="AJ38" i="12"/>
  <c r="DA38" i="12" s="1"/>
  <c r="AK38" i="12"/>
  <c r="DK38" i="12" s="1"/>
  <c r="AL38" i="12"/>
  <c r="BS38" i="12" s="1"/>
  <c r="N39" i="12"/>
  <c r="Z39" i="12" s="1"/>
  <c r="F140" i="10"/>
  <c r="J140" i="10" s="1"/>
  <c r="F549" i="3"/>
  <c r="F346" i="3"/>
  <c r="AG339" i="7"/>
  <c r="V339" i="7"/>
  <c r="D505" i="3"/>
  <c r="D94" i="10"/>
  <c r="H94" i="10" s="1"/>
  <c r="D302" i="3"/>
  <c r="B340" i="7"/>
  <c r="G505" i="3"/>
  <c r="AD503" i="3"/>
  <c r="G504" i="3"/>
  <c r="G301" i="3"/>
  <c r="C236" i="7"/>
  <c r="AH236" i="7" s="1"/>
  <c r="S236" i="7" s="1"/>
  <c r="C303" i="3"/>
  <c r="B238" i="7" s="1"/>
  <c r="AG238" i="7" s="1"/>
  <c r="C506" i="3"/>
  <c r="Z506" i="3" s="1"/>
  <c r="D100" i="3"/>
  <c r="Z100" i="3"/>
  <c r="C95" i="10"/>
  <c r="G95" i="10" s="1"/>
  <c r="O393" i="3"/>
  <c r="O596" i="3"/>
  <c r="E391" i="3"/>
  <c r="U391" i="3" s="1"/>
  <c r="E594" i="3"/>
  <c r="U594" i="3" s="1"/>
  <c r="E356" i="3"/>
  <c r="U356" i="3" s="1"/>
  <c r="E559" i="3"/>
  <c r="U559" i="3" s="1"/>
  <c r="O358" i="3"/>
  <c r="O561" i="3"/>
  <c r="N304" i="3"/>
  <c r="T304" i="3" s="1"/>
  <c r="N507" i="3"/>
  <c r="T507" i="3" s="1"/>
  <c r="J302" i="3"/>
  <c r="G237" i="7" s="1"/>
  <c r="Q237" i="7" s="1"/>
  <c r="J505" i="3"/>
  <c r="G340" i="7" s="1"/>
  <c r="Q340" i="7" s="1"/>
  <c r="H302" i="3"/>
  <c r="H505" i="3"/>
  <c r="W503" i="3"/>
  <c r="Y504" i="3"/>
  <c r="AA301" i="3"/>
  <c r="C101" i="3"/>
  <c r="M304" i="3"/>
  <c r="S304" i="3" s="1"/>
  <c r="Z302" i="3"/>
  <c r="Y300" i="3"/>
  <c r="AD300" i="3" s="1"/>
  <c r="W300" i="3"/>
  <c r="Y301" i="3"/>
  <c r="E190" i="3"/>
  <c r="E185" i="10" s="1"/>
  <c r="I185" i="10" s="1"/>
  <c r="U192" i="3"/>
  <c r="AD97" i="3"/>
  <c r="E155" i="3"/>
  <c r="E150" i="10" s="1"/>
  <c r="I150" i="10" s="1"/>
  <c r="U157" i="3"/>
  <c r="AA99" i="3"/>
  <c r="AH339" i="7"/>
  <c r="W339" i="7"/>
  <c r="V95" i="7"/>
  <c r="AG95" i="7"/>
  <c r="C95" i="7"/>
  <c r="K238" i="7"/>
  <c r="AD238" i="7" s="1"/>
  <c r="U303" i="3"/>
  <c r="K341" i="7"/>
  <c r="AD341" i="7" s="1"/>
  <c r="U506" i="3"/>
  <c r="AB100" i="3"/>
  <c r="K96" i="7"/>
  <c r="AD96" i="7" s="1"/>
  <c r="AB101" i="3"/>
  <c r="R95" i="7"/>
  <c r="R340" i="7"/>
  <c r="R237" i="7"/>
  <c r="J341" i="7"/>
  <c r="AC341" i="7" s="1"/>
  <c r="J238" i="7"/>
  <c r="AC238" i="7" s="1"/>
  <c r="T102" i="3"/>
  <c r="J96" i="7"/>
  <c r="AC96" i="7" s="1"/>
  <c r="I96" i="7"/>
  <c r="AB96" i="7" s="1"/>
  <c r="I238" i="7"/>
  <c r="AB238" i="7" s="1"/>
  <c r="I341" i="7"/>
  <c r="AB341" i="7" s="1"/>
  <c r="G94" i="7"/>
  <c r="Q94" i="7" s="1"/>
  <c r="Y98" i="3"/>
  <c r="F339" i="7"/>
  <c r="P339" i="7" s="1"/>
  <c r="P94" i="7"/>
  <c r="R100" i="3"/>
  <c r="F236" i="7"/>
  <c r="P236" i="7" s="1"/>
  <c r="W236" i="7" l="1"/>
  <c r="N236" i="7" s="1"/>
  <c r="AO93" i="7"/>
  <c r="V238" i="7"/>
  <c r="AQ94" i="7"/>
  <c r="W94" i="7"/>
  <c r="N94" i="7" s="1"/>
  <c r="AH94" i="7"/>
  <c r="S94" i="7" s="1"/>
  <c r="R302" i="3"/>
  <c r="R505" i="3"/>
  <c r="AP94" i="7"/>
  <c r="F141" i="10"/>
  <c r="J141" i="10" s="1"/>
  <c r="F349" i="3"/>
  <c r="F552" i="3"/>
  <c r="CT13" i="13"/>
  <c r="CV13" i="13"/>
  <c r="DS13" i="13"/>
  <c r="DW13" i="13" s="1"/>
  <c r="EA13" i="13" s="1"/>
  <c r="BC13" i="12"/>
  <c r="BI13" i="12" s="1"/>
  <c r="CU13" i="13"/>
  <c r="CW13" i="13"/>
  <c r="CL13" i="13"/>
  <c r="BB14" i="13" s="1"/>
  <c r="CM13" i="13"/>
  <c r="EG39" i="13"/>
  <c r="EM39" i="13" s="1"/>
  <c r="ER39" i="13"/>
  <c r="EK38" i="13"/>
  <c r="EJ39" i="13"/>
  <c r="CG39" i="13"/>
  <c r="K40" i="13"/>
  <c r="L40" i="13"/>
  <c r="AN40" i="13" s="1"/>
  <c r="AQ40" i="13" s="1"/>
  <c r="BU40" i="13" s="1"/>
  <c r="AP39" i="13"/>
  <c r="AS39" i="13" s="1"/>
  <c r="DV39" i="13" s="1"/>
  <c r="DZ39" i="13" s="1"/>
  <c r="ED39" i="13" s="1"/>
  <c r="M40" i="13"/>
  <c r="Q39" i="13"/>
  <c r="V39" i="13"/>
  <c r="Z39" i="13"/>
  <c r="AD39" i="13" s="1"/>
  <c r="BR39" i="13" s="1"/>
  <c r="Y39" i="13"/>
  <c r="AC39" i="13" s="1"/>
  <c r="DJ39" i="13" s="1"/>
  <c r="CJ39" i="13"/>
  <c r="AH39" i="13"/>
  <c r="AL39" i="13" s="1"/>
  <c r="BS39" i="13" s="1"/>
  <c r="AG39" i="13"/>
  <c r="AK39" i="13" s="1"/>
  <c r="DK39" i="13" s="1"/>
  <c r="AF39" i="13"/>
  <c r="AJ39" i="13" s="1"/>
  <c r="DA39" i="13" s="1"/>
  <c r="AE39" i="13"/>
  <c r="AI39" i="13" s="1"/>
  <c r="CQ39" i="13" s="1"/>
  <c r="DZ38" i="12"/>
  <c r="AD301" i="3"/>
  <c r="S339" i="7"/>
  <c r="AR93" i="7" s="1"/>
  <c r="N339" i="7"/>
  <c r="AM93" i="7" s="1"/>
  <c r="AA100" i="3"/>
  <c r="G100" i="3"/>
  <c r="M508" i="3"/>
  <c r="S508" i="3" s="1"/>
  <c r="S102" i="3"/>
  <c r="CJ39" i="12"/>
  <c r="CG39" i="12"/>
  <c r="W39" i="12"/>
  <c r="X39" i="12"/>
  <c r="Y39" i="12"/>
  <c r="AR39" i="12"/>
  <c r="AZ39" i="12" s="1"/>
  <c r="AM39" i="12"/>
  <c r="BT39" i="12" s="1"/>
  <c r="M40" i="12"/>
  <c r="L40" i="12"/>
  <c r="AN40" i="12" s="1"/>
  <c r="AP39" i="12"/>
  <c r="AE39" i="12"/>
  <c r="AF39" i="12"/>
  <c r="AG39" i="12"/>
  <c r="AH39" i="12"/>
  <c r="V39" i="12"/>
  <c r="R39" i="12"/>
  <c r="BQ39" i="12" s="1"/>
  <c r="S39" i="12"/>
  <c r="CO39" i="12" s="1"/>
  <c r="T39" i="12"/>
  <c r="CY39" i="12" s="1"/>
  <c r="Q39" i="12"/>
  <c r="AY39" i="12" s="1"/>
  <c r="U39" i="12"/>
  <c r="DI39" i="12" s="1"/>
  <c r="K40" i="12"/>
  <c r="F142" i="10"/>
  <c r="J142" i="10" s="1"/>
  <c r="F551" i="3"/>
  <c r="F348" i="3"/>
  <c r="V340" i="7"/>
  <c r="AG340" i="7"/>
  <c r="AA504" i="3"/>
  <c r="AD504" i="3" s="1"/>
  <c r="B341" i="7"/>
  <c r="D506" i="3"/>
  <c r="D95" i="10"/>
  <c r="H95" i="10" s="1"/>
  <c r="D303" i="3"/>
  <c r="C340" i="7"/>
  <c r="AA505" i="3"/>
  <c r="G302" i="3"/>
  <c r="C237" i="7"/>
  <c r="AA302" i="3"/>
  <c r="C304" i="3"/>
  <c r="B239" i="7" s="1"/>
  <c r="D101" i="3"/>
  <c r="C96" i="10"/>
  <c r="G96" i="10" s="1"/>
  <c r="C507" i="3"/>
  <c r="E393" i="3"/>
  <c r="E596" i="3"/>
  <c r="U596" i="3" s="1"/>
  <c r="O395" i="3"/>
  <c r="O598" i="3"/>
  <c r="E358" i="3"/>
  <c r="U358" i="3" s="1"/>
  <c r="E561" i="3"/>
  <c r="U561" i="3" s="1"/>
  <c r="O360" i="3"/>
  <c r="O563" i="3"/>
  <c r="AB506" i="3"/>
  <c r="N305" i="3"/>
  <c r="T305" i="3" s="1"/>
  <c r="N508" i="3"/>
  <c r="T508" i="3" s="1"/>
  <c r="J303" i="3"/>
  <c r="G238" i="7" s="1"/>
  <c r="Q238" i="7" s="1"/>
  <c r="J506" i="3"/>
  <c r="G341" i="7" s="1"/>
  <c r="Q341" i="7" s="1"/>
  <c r="Y505" i="3"/>
  <c r="W504" i="3"/>
  <c r="H303" i="3"/>
  <c r="R303" i="3" s="1"/>
  <c r="H506" i="3"/>
  <c r="R506" i="3" s="1"/>
  <c r="AB303" i="3"/>
  <c r="C102" i="3"/>
  <c r="M305" i="3"/>
  <c r="S305" i="3" s="1"/>
  <c r="Z303" i="3"/>
  <c r="W301" i="3"/>
  <c r="U393" i="3"/>
  <c r="U194" i="3"/>
  <c r="E192" i="3"/>
  <c r="E187" i="10" s="1"/>
  <c r="I187" i="10" s="1"/>
  <c r="AA101" i="3"/>
  <c r="Y99" i="3"/>
  <c r="R30" i="13" s="1"/>
  <c r="BQ30" i="13" s="1"/>
  <c r="W99" i="3"/>
  <c r="E157" i="3"/>
  <c r="E152" i="10" s="1"/>
  <c r="I152" i="10" s="1"/>
  <c r="U159" i="3"/>
  <c r="W95" i="7"/>
  <c r="N95" i="7" s="1"/>
  <c r="AH95" i="7"/>
  <c r="S95" i="7" s="1"/>
  <c r="R96" i="7"/>
  <c r="K342" i="7"/>
  <c r="AD342" i="7" s="1"/>
  <c r="U507" i="3"/>
  <c r="K239" i="7"/>
  <c r="AD239" i="7" s="1"/>
  <c r="U304" i="3"/>
  <c r="AB304" i="3" s="1"/>
  <c r="K97" i="7"/>
  <c r="AD97" i="7" s="1"/>
  <c r="R238" i="7"/>
  <c r="R341" i="7"/>
  <c r="J97" i="7"/>
  <c r="AC97" i="7" s="1"/>
  <c r="T103" i="3"/>
  <c r="J342" i="7"/>
  <c r="AC342" i="7" s="1"/>
  <c r="J239" i="7"/>
  <c r="AC239" i="7" s="1"/>
  <c r="Z101" i="3"/>
  <c r="Z304" i="3"/>
  <c r="I239" i="7"/>
  <c r="AB239" i="7" s="1"/>
  <c r="Z102" i="3"/>
  <c r="I97" i="7"/>
  <c r="AB97" i="7" s="1"/>
  <c r="Z507" i="3"/>
  <c r="I342" i="7"/>
  <c r="AB342" i="7" s="1"/>
  <c r="G95" i="7"/>
  <c r="Q95" i="7" s="1"/>
  <c r="AD98" i="3"/>
  <c r="F237" i="7"/>
  <c r="P237" i="7" s="1"/>
  <c r="W100" i="3"/>
  <c r="P95" i="7"/>
  <c r="R101" i="3"/>
  <c r="F340" i="7"/>
  <c r="P340" i="7" s="1"/>
  <c r="AQ95" i="7" l="1"/>
  <c r="AP95" i="7"/>
  <c r="AO94" i="7"/>
  <c r="F143" i="10"/>
  <c r="J143" i="10" s="1"/>
  <c r="F351" i="3"/>
  <c r="F554" i="3"/>
  <c r="BK13" i="12"/>
  <c r="BM13" i="12" s="1"/>
  <c r="CR13" i="12" s="1"/>
  <c r="CS13" i="12" s="1"/>
  <c r="CW13" i="12" s="1"/>
  <c r="BH13" i="12"/>
  <c r="BF13" i="12"/>
  <c r="BG13" i="12"/>
  <c r="BE14" i="13"/>
  <c r="BD14" i="13"/>
  <c r="EQ14" i="13" s="1"/>
  <c r="ES14" i="13" s="1"/>
  <c r="AO40" i="13"/>
  <c r="AR40" i="13" s="1"/>
  <c r="AZ40" i="13" s="1"/>
  <c r="AY39" i="13"/>
  <c r="EF40" i="13"/>
  <c r="EL40" i="13" s="1"/>
  <c r="FE40" i="13" s="1"/>
  <c r="N40" i="13"/>
  <c r="ED38" i="12"/>
  <c r="G506" i="3"/>
  <c r="C341" i="7"/>
  <c r="G303" i="3"/>
  <c r="C238" i="7"/>
  <c r="W340" i="7"/>
  <c r="N340" i="7" s="1"/>
  <c r="AH340" i="7"/>
  <c r="S340" i="7" s="1"/>
  <c r="W237" i="7"/>
  <c r="N237" i="7" s="1"/>
  <c r="AH237" i="7"/>
  <c r="S237" i="7" s="1"/>
  <c r="V239" i="7"/>
  <c r="AG239" i="7"/>
  <c r="V96" i="7"/>
  <c r="AG96" i="7"/>
  <c r="G101" i="3"/>
  <c r="C96" i="7"/>
  <c r="D102" i="3"/>
  <c r="M509" i="3"/>
  <c r="S509" i="3" s="1"/>
  <c r="S103" i="3"/>
  <c r="AD505" i="3"/>
  <c r="AB39" i="12"/>
  <c r="CZ39" i="12" s="1"/>
  <c r="AD39" i="12"/>
  <c r="BR39" i="12" s="1"/>
  <c r="AA39" i="12"/>
  <c r="CP39" i="12" s="1"/>
  <c r="AC39" i="12"/>
  <c r="DJ39" i="12" s="1"/>
  <c r="AQ40" i="12"/>
  <c r="BU40" i="12" s="1"/>
  <c r="AS39" i="12"/>
  <c r="DV39" i="12" s="1"/>
  <c r="AO40" i="12"/>
  <c r="AI39" i="12"/>
  <c r="CQ39" i="12" s="1"/>
  <c r="AJ39" i="12"/>
  <c r="DA39" i="12" s="1"/>
  <c r="AK39" i="12"/>
  <c r="DK39" i="12" s="1"/>
  <c r="AL39" i="12"/>
  <c r="BS39" i="12" s="1"/>
  <c r="N40" i="12"/>
  <c r="Z40" i="12" s="1"/>
  <c r="F144" i="10"/>
  <c r="J144" i="10" s="1"/>
  <c r="F553" i="3"/>
  <c r="F350" i="3"/>
  <c r="V341" i="7"/>
  <c r="AG341" i="7"/>
  <c r="D507" i="3"/>
  <c r="D96" i="10"/>
  <c r="H96" i="10" s="1"/>
  <c r="D304" i="3"/>
  <c r="B342" i="7"/>
  <c r="AA506" i="3"/>
  <c r="C305" i="3"/>
  <c r="B240" i="7" s="1"/>
  <c r="C508" i="3"/>
  <c r="C97" i="10"/>
  <c r="G97" i="10" s="1"/>
  <c r="O397" i="3"/>
  <c r="O600" i="3"/>
  <c r="E395" i="3"/>
  <c r="U395" i="3" s="1"/>
  <c r="E598" i="3"/>
  <c r="U598" i="3" s="1"/>
  <c r="E360" i="3"/>
  <c r="U360" i="3" s="1"/>
  <c r="E563" i="3"/>
  <c r="U563" i="3" s="1"/>
  <c r="O362" i="3"/>
  <c r="O565" i="3"/>
  <c r="AB507" i="3"/>
  <c r="N306" i="3"/>
  <c r="T306" i="3" s="1"/>
  <c r="N509" i="3"/>
  <c r="T509" i="3" s="1"/>
  <c r="J304" i="3"/>
  <c r="J507" i="3"/>
  <c r="G342" i="7" s="1"/>
  <c r="Q342" i="7" s="1"/>
  <c r="H304" i="3"/>
  <c r="H507" i="3"/>
  <c r="R507" i="3" s="1"/>
  <c r="Y506" i="3"/>
  <c r="W505" i="3"/>
  <c r="AA303" i="3"/>
  <c r="C103" i="3"/>
  <c r="W29" i="13" s="1"/>
  <c r="M306" i="3"/>
  <c r="S306" i="3" s="1"/>
  <c r="Y302" i="3"/>
  <c r="AD302" i="3" s="1"/>
  <c r="W302" i="3"/>
  <c r="U196" i="3"/>
  <c r="E194" i="3"/>
  <c r="E189" i="10" s="1"/>
  <c r="I189" i="10" s="1"/>
  <c r="AD99" i="3"/>
  <c r="E159" i="3"/>
  <c r="E154" i="10" s="1"/>
  <c r="I154" i="10" s="1"/>
  <c r="U161" i="3"/>
  <c r="AA102" i="3"/>
  <c r="K343" i="7"/>
  <c r="AD343" i="7" s="1"/>
  <c r="U508" i="3"/>
  <c r="AB508" i="3" s="1"/>
  <c r="K240" i="7"/>
  <c r="AD240" i="7" s="1"/>
  <c r="U305" i="3"/>
  <c r="AB102" i="3"/>
  <c r="K98" i="7"/>
  <c r="AD98" i="7" s="1"/>
  <c r="AB103" i="3"/>
  <c r="U29" i="13" s="1"/>
  <c r="DI29" i="13" s="1"/>
  <c r="J343" i="7"/>
  <c r="AC343" i="7" s="1"/>
  <c r="J240" i="7"/>
  <c r="AC240" i="7" s="1"/>
  <c r="T104" i="3"/>
  <c r="J98" i="7"/>
  <c r="AC98" i="7" s="1"/>
  <c r="I240" i="7"/>
  <c r="AB240" i="7" s="1"/>
  <c r="I98" i="7"/>
  <c r="AB98" i="7" s="1"/>
  <c r="Z508" i="3"/>
  <c r="I343" i="7"/>
  <c r="AB343" i="7" s="1"/>
  <c r="G96" i="7"/>
  <c r="Q96" i="7" s="1"/>
  <c r="G239" i="7"/>
  <c r="Q239" i="7" s="1"/>
  <c r="Y100" i="3"/>
  <c r="F238" i="7"/>
  <c r="P238" i="7" s="1"/>
  <c r="F341" i="7"/>
  <c r="P341" i="7" s="1"/>
  <c r="P96" i="7"/>
  <c r="R102" i="3"/>
  <c r="R239" i="7"/>
  <c r="R97" i="7"/>
  <c r="R342" i="7"/>
  <c r="AM94" i="7" l="1"/>
  <c r="AR94" i="7"/>
  <c r="AQ96" i="7"/>
  <c r="AA29" i="13"/>
  <c r="CP29" i="13" s="1"/>
  <c r="R304" i="3"/>
  <c r="AP96" i="7"/>
  <c r="AO95" i="7"/>
  <c r="F145" i="10"/>
  <c r="J145" i="10" s="1"/>
  <c r="F353" i="3"/>
  <c r="F556" i="3"/>
  <c r="BL13" i="12"/>
  <c r="BW13" i="12" s="1"/>
  <c r="BX13" i="12" s="1"/>
  <c r="BN13" i="12"/>
  <c r="DB13" i="12" s="1"/>
  <c r="DC13" i="12" s="1"/>
  <c r="DD13" i="12" s="1"/>
  <c r="BO13" i="12"/>
  <c r="DL13" i="12" s="1"/>
  <c r="DM13" i="12" s="1"/>
  <c r="DS13" i="12"/>
  <c r="DW13" i="12" s="1"/>
  <c r="EA13" i="12" s="1"/>
  <c r="CV13" i="12"/>
  <c r="CU13" i="12"/>
  <c r="CT13" i="12"/>
  <c r="ET14" i="13"/>
  <c r="EW14" i="13" s="1"/>
  <c r="EZ14" i="13" s="1"/>
  <c r="EV14" i="13"/>
  <c r="EY14" i="13" s="1"/>
  <c r="FB14" i="13" s="1"/>
  <c r="FF14" i="13" s="1"/>
  <c r="EU14" i="13"/>
  <c r="EX14" i="13" s="1"/>
  <c r="FA14" i="13" s="1"/>
  <c r="BC14" i="13"/>
  <c r="ER40" i="13"/>
  <c r="EG40" i="13"/>
  <c r="EM40" i="13" s="1"/>
  <c r="EK39" i="13"/>
  <c r="EJ40" i="13"/>
  <c r="V40" i="13"/>
  <c r="AH40" i="13"/>
  <c r="AL40" i="13" s="1"/>
  <c r="BS40" i="13" s="1"/>
  <c r="AG40" i="13"/>
  <c r="AK40" i="13" s="1"/>
  <c r="DK40" i="13" s="1"/>
  <c r="AF40" i="13"/>
  <c r="AJ40" i="13" s="1"/>
  <c r="DA40" i="13" s="1"/>
  <c r="AE40" i="13"/>
  <c r="AI40" i="13" s="1"/>
  <c r="CQ40" i="13" s="1"/>
  <c r="Y40" i="13"/>
  <c r="AC40" i="13" s="1"/>
  <c r="DJ40" i="13" s="1"/>
  <c r="Q40" i="13"/>
  <c r="Z40" i="13"/>
  <c r="AD40" i="13" s="1"/>
  <c r="BR40" i="13" s="1"/>
  <c r="AP40" i="13"/>
  <c r="AS40" i="13" s="1"/>
  <c r="DV40" i="13" s="1"/>
  <c r="DZ40" i="13" s="1"/>
  <c r="ED40" i="13" s="1"/>
  <c r="CG40" i="13"/>
  <c r="K41" i="13"/>
  <c r="L41" i="13"/>
  <c r="AN41" i="13" s="1"/>
  <c r="AQ41" i="13" s="1"/>
  <c r="BU41" i="13" s="1"/>
  <c r="M41" i="13"/>
  <c r="AM40" i="13"/>
  <c r="BT40" i="13" s="1"/>
  <c r="CJ40" i="13"/>
  <c r="DZ39" i="12"/>
  <c r="W341" i="7"/>
  <c r="AH341" i="7"/>
  <c r="S341" i="7" s="1"/>
  <c r="AH238" i="7"/>
  <c r="S238" i="7" s="1"/>
  <c r="W238" i="7"/>
  <c r="N238" i="7" s="1"/>
  <c r="W96" i="7"/>
  <c r="N96" i="7" s="1"/>
  <c r="AH96" i="7"/>
  <c r="S96" i="7" s="1"/>
  <c r="V97" i="7"/>
  <c r="AG97" i="7"/>
  <c r="D305" i="3"/>
  <c r="D508" i="3"/>
  <c r="C343" i="7" s="1"/>
  <c r="D97" i="10"/>
  <c r="H97" i="10" s="1"/>
  <c r="G102" i="3"/>
  <c r="C97" i="7"/>
  <c r="AG240" i="7"/>
  <c r="V240" i="7"/>
  <c r="M510" i="3"/>
  <c r="S510" i="3" s="1"/>
  <c r="S104" i="3"/>
  <c r="CJ40" i="12"/>
  <c r="CG40" i="12"/>
  <c r="W40" i="12"/>
  <c r="X40" i="12"/>
  <c r="Y40" i="12"/>
  <c r="AD506" i="3"/>
  <c r="AR40" i="12"/>
  <c r="AZ40" i="12" s="1"/>
  <c r="AM40" i="12"/>
  <c r="BT40" i="12" s="1"/>
  <c r="M41" i="12"/>
  <c r="L41" i="12"/>
  <c r="AN41" i="12" s="1"/>
  <c r="AP40" i="12"/>
  <c r="AE40" i="12"/>
  <c r="AF40" i="12"/>
  <c r="AG40" i="12"/>
  <c r="AH40" i="12"/>
  <c r="R40" i="12"/>
  <c r="BQ40" i="12" s="1"/>
  <c r="S40" i="12"/>
  <c r="CO40" i="12" s="1"/>
  <c r="T40" i="12"/>
  <c r="CY40" i="12" s="1"/>
  <c r="U40" i="12"/>
  <c r="DI40" i="12" s="1"/>
  <c r="Q40" i="12"/>
  <c r="AY40" i="12" s="1"/>
  <c r="K41" i="12"/>
  <c r="V40" i="12"/>
  <c r="F146" i="10"/>
  <c r="J146" i="10" s="1"/>
  <c r="F555" i="3"/>
  <c r="F352" i="3"/>
  <c r="V342" i="7"/>
  <c r="AG342" i="7"/>
  <c r="B343" i="7"/>
  <c r="G508" i="3"/>
  <c r="N341" i="7"/>
  <c r="G507" i="3"/>
  <c r="C342" i="7"/>
  <c r="G304" i="3"/>
  <c r="C239" i="7"/>
  <c r="AA304" i="3"/>
  <c r="C306" i="3"/>
  <c r="B241" i="7" s="1"/>
  <c r="C98" i="10"/>
  <c r="G98" i="10" s="1"/>
  <c r="D103" i="3"/>
  <c r="X29" i="13" s="1"/>
  <c r="Z103" i="3"/>
  <c r="S29" i="13" s="1"/>
  <c r="CO29" i="13" s="1"/>
  <c r="C509" i="3"/>
  <c r="Z509" i="3" s="1"/>
  <c r="O399" i="3"/>
  <c r="O602" i="3"/>
  <c r="E397" i="3"/>
  <c r="U397" i="3" s="1"/>
  <c r="E600" i="3"/>
  <c r="U600" i="3" s="1"/>
  <c r="E362" i="3"/>
  <c r="E565" i="3"/>
  <c r="O364" i="3"/>
  <c r="O567" i="3"/>
  <c r="AB509" i="3"/>
  <c r="N307" i="3"/>
  <c r="T307" i="3" s="1"/>
  <c r="N510" i="3"/>
  <c r="T510" i="3" s="1"/>
  <c r="J305" i="3"/>
  <c r="G240" i="7" s="1"/>
  <c r="Q240" i="7" s="1"/>
  <c r="J508" i="3"/>
  <c r="G343" i="7" s="1"/>
  <c r="Q343" i="7" s="1"/>
  <c r="Y507" i="3"/>
  <c r="W506" i="3"/>
  <c r="H305" i="3"/>
  <c r="R305" i="3" s="1"/>
  <c r="H508" i="3"/>
  <c r="AB305" i="3"/>
  <c r="Z305" i="3"/>
  <c r="C104" i="3"/>
  <c r="M307" i="3"/>
  <c r="S307" i="3" s="1"/>
  <c r="Y303" i="3"/>
  <c r="AD303" i="3" s="1"/>
  <c r="W303" i="3"/>
  <c r="U198" i="3"/>
  <c r="E196" i="3"/>
  <c r="E191" i="10" s="1"/>
  <c r="I191" i="10" s="1"/>
  <c r="Y101" i="3"/>
  <c r="W101" i="3"/>
  <c r="E161" i="3"/>
  <c r="E156" i="10" s="1"/>
  <c r="I156" i="10" s="1"/>
  <c r="U163" i="3"/>
  <c r="K344" i="7"/>
  <c r="AD344" i="7" s="1"/>
  <c r="U509" i="3"/>
  <c r="K241" i="7"/>
  <c r="AD241" i="7" s="1"/>
  <c r="U306" i="3"/>
  <c r="K99" i="7"/>
  <c r="AD99" i="7" s="1"/>
  <c r="R240" i="7"/>
  <c r="R98" i="7"/>
  <c r="R343" i="7"/>
  <c r="J344" i="7"/>
  <c r="AC344" i="7" s="1"/>
  <c r="T105" i="3"/>
  <c r="J99" i="7"/>
  <c r="AC99" i="7" s="1"/>
  <c r="J241" i="7"/>
  <c r="AC241" i="7" s="1"/>
  <c r="I99" i="7"/>
  <c r="AB99" i="7" s="1"/>
  <c r="I344" i="7"/>
  <c r="AB344" i="7" s="1"/>
  <c r="I241" i="7"/>
  <c r="AB241" i="7" s="1"/>
  <c r="G97" i="7"/>
  <c r="Q97" i="7" s="1"/>
  <c r="AD100" i="3"/>
  <c r="F342" i="7"/>
  <c r="P342" i="7" s="1"/>
  <c r="F239" i="7"/>
  <c r="P239" i="7" s="1"/>
  <c r="W102" i="3"/>
  <c r="R103" i="3"/>
  <c r="P97" i="7"/>
  <c r="AO96" i="7" l="1"/>
  <c r="AM95" i="7"/>
  <c r="AB29" i="13"/>
  <c r="CZ29" i="13" s="1"/>
  <c r="D104" i="3"/>
  <c r="AQ97" i="7"/>
  <c r="R508" i="3"/>
  <c r="AP97" i="7"/>
  <c r="AR95" i="7"/>
  <c r="F147" i="10"/>
  <c r="J147" i="10" s="1"/>
  <c r="F355" i="3"/>
  <c r="F558" i="3"/>
  <c r="F149" i="10"/>
  <c r="J149" i="10" s="1"/>
  <c r="DG13" i="12"/>
  <c r="DT13" i="12"/>
  <c r="DX13" i="12" s="1"/>
  <c r="EB13" i="12" s="1"/>
  <c r="DF13" i="12"/>
  <c r="DE13" i="12"/>
  <c r="CC13" i="12"/>
  <c r="CB13" i="12"/>
  <c r="CA13" i="12"/>
  <c r="BZ13" i="12"/>
  <c r="CD13" i="12"/>
  <c r="CI13" i="12"/>
  <c r="CK13" i="12" s="1"/>
  <c r="BY13" i="12"/>
  <c r="CE13" i="12"/>
  <c r="CH13" i="12"/>
  <c r="DQ13" i="12"/>
  <c r="DP13" i="12"/>
  <c r="DO13" i="12"/>
  <c r="DN13" i="12"/>
  <c r="DU13" i="12"/>
  <c r="DY13" i="12" s="1"/>
  <c r="EC13" i="12" s="1"/>
  <c r="FD13" i="12" s="1"/>
  <c r="FG13" i="12" s="1"/>
  <c r="BI14" i="13"/>
  <c r="BG14" i="13"/>
  <c r="BH14" i="13"/>
  <c r="BK14" i="13"/>
  <c r="BF14" i="13"/>
  <c r="AO41" i="13"/>
  <c r="AR41" i="13" s="1"/>
  <c r="AZ41" i="13" s="1"/>
  <c r="AY40" i="13"/>
  <c r="N41" i="13"/>
  <c r="EF41" i="13"/>
  <c r="EL41" i="13" s="1"/>
  <c r="FE41" i="13" s="1"/>
  <c r="ED39" i="12"/>
  <c r="G305" i="3"/>
  <c r="C240" i="7"/>
  <c r="W97" i="7"/>
  <c r="N97" i="7" s="1"/>
  <c r="AH97" i="7"/>
  <c r="S97" i="7" s="1"/>
  <c r="AG241" i="7"/>
  <c r="V241" i="7"/>
  <c r="M511" i="3"/>
  <c r="S511" i="3" s="1"/>
  <c r="S105" i="3"/>
  <c r="AA40" i="12"/>
  <c r="CP40" i="12" s="1"/>
  <c r="AC40" i="12"/>
  <c r="DJ40" i="12" s="1"/>
  <c r="AD40" i="12"/>
  <c r="BR40" i="12" s="1"/>
  <c r="AB40" i="12"/>
  <c r="CZ40" i="12" s="1"/>
  <c r="AQ41" i="12"/>
  <c r="BU41" i="12" s="1"/>
  <c r="AS40" i="12"/>
  <c r="DV40" i="12" s="1"/>
  <c r="AO41" i="12"/>
  <c r="AI40" i="12"/>
  <c r="CQ40" i="12" s="1"/>
  <c r="AJ40" i="12"/>
  <c r="DA40" i="12" s="1"/>
  <c r="AK40" i="12"/>
  <c r="DK40" i="12" s="1"/>
  <c r="AL40" i="12"/>
  <c r="BS40" i="12" s="1"/>
  <c r="N41" i="12"/>
  <c r="Z41" i="12" s="1"/>
  <c r="F148" i="10"/>
  <c r="J148" i="10" s="1"/>
  <c r="F557" i="3"/>
  <c r="F354" i="3"/>
  <c r="V343" i="7"/>
  <c r="AG343" i="7"/>
  <c r="AA507" i="3"/>
  <c r="AD507" i="3" s="1"/>
  <c r="AA508" i="3"/>
  <c r="D509" i="3"/>
  <c r="G509" i="3" s="1"/>
  <c r="D98" i="10"/>
  <c r="H98" i="10" s="1"/>
  <c r="D306" i="3"/>
  <c r="G306" i="3" s="1"/>
  <c r="B344" i="7"/>
  <c r="AH342" i="7"/>
  <c r="S342" i="7" s="1"/>
  <c r="W342" i="7"/>
  <c r="N342" i="7" s="1"/>
  <c r="W239" i="7"/>
  <c r="N239" i="7" s="1"/>
  <c r="AH239" i="7"/>
  <c r="S239" i="7" s="1"/>
  <c r="G103" i="3"/>
  <c r="C98" i="7"/>
  <c r="W98" i="7" s="1"/>
  <c r="V98" i="7"/>
  <c r="AG98" i="7"/>
  <c r="C307" i="3"/>
  <c r="B242" i="7" s="1"/>
  <c r="C99" i="10"/>
  <c r="G99" i="10" s="1"/>
  <c r="C510" i="3"/>
  <c r="Z510" i="3" s="1"/>
  <c r="O401" i="3"/>
  <c r="O604" i="3"/>
  <c r="E399" i="3"/>
  <c r="U399" i="3" s="1"/>
  <c r="E602" i="3"/>
  <c r="U602" i="3" s="1"/>
  <c r="E364" i="3"/>
  <c r="U364" i="3" s="1"/>
  <c r="E567" i="3"/>
  <c r="U567" i="3" s="1"/>
  <c r="O366" i="3"/>
  <c r="O569" i="3"/>
  <c r="F357" i="3"/>
  <c r="F560" i="3"/>
  <c r="D307" i="3"/>
  <c r="G307" i="3" s="1"/>
  <c r="D99" i="10"/>
  <c r="H99" i="10" s="1"/>
  <c r="D510" i="3"/>
  <c r="N308" i="3"/>
  <c r="T308" i="3" s="1"/>
  <c r="N511" i="3"/>
  <c r="T511" i="3" s="1"/>
  <c r="J306" i="3"/>
  <c r="G241" i="7" s="1"/>
  <c r="Q241" i="7" s="1"/>
  <c r="J509" i="3"/>
  <c r="G344" i="7" s="1"/>
  <c r="Q344" i="7" s="1"/>
  <c r="Y508" i="3"/>
  <c r="W507" i="3"/>
  <c r="H306" i="3"/>
  <c r="H509" i="3"/>
  <c r="AA305" i="3"/>
  <c r="AB306" i="3"/>
  <c r="C105" i="3"/>
  <c r="M308" i="3"/>
  <c r="S308" i="3" s="1"/>
  <c r="Z306" i="3"/>
  <c r="W304" i="3"/>
  <c r="Y304" i="3"/>
  <c r="AD304" i="3" s="1"/>
  <c r="U200" i="3"/>
  <c r="E198" i="3"/>
  <c r="E193" i="10" s="1"/>
  <c r="I193" i="10" s="1"/>
  <c r="AH343" i="7"/>
  <c r="W343" i="7"/>
  <c r="AD101" i="3"/>
  <c r="E163" i="3"/>
  <c r="E158" i="10" s="1"/>
  <c r="I158" i="10" s="1"/>
  <c r="U165" i="3"/>
  <c r="F151" i="10"/>
  <c r="J151" i="10" s="1"/>
  <c r="AA103" i="3"/>
  <c r="T29" i="13" s="1"/>
  <c r="CY29" i="13" s="1"/>
  <c r="Z104" i="3"/>
  <c r="C344" i="7"/>
  <c r="C241" i="7"/>
  <c r="G104" i="3"/>
  <c r="AA104" i="3"/>
  <c r="AH98" i="7"/>
  <c r="AG99" i="7"/>
  <c r="V99" i="7"/>
  <c r="C99" i="7"/>
  <c r="U510" i="3"/>
  <c r="K345" i="7"/>
  <c r="AD345" i="7" s="1"/>
  <c r="K242" i="7"/>
  <c r="AD242" i="7" s="1"/>
  <c r="U307" i="3"/>
  <c r="AB307" i="3" s="1"/>
  <c r="AB104" i="3"/>
  <c r="K100" i="7"/>
  <c r="AD100" i="7" s="1"/>
  <c r="AB105" i="3"/>
  <c r="J242" i="7"/>
  <c r="AC242" i="7" s="1"/>
  <c r="J345" i="7"/>
  <c r="AC345" i="7" s="1"/>
  <c r="J100" i="7"/>
  <c r="AC100" i="7" s="1"/>
  <c r="S106" i="3"/>
  <c r="I100" i="7"/>
  <c r="AB100" i="7" s="1"/>
  <c r="I242" i="7"/>
  <c r="AB242" i="7" s="1"/>
  <c r="I345" i="7"/>
  <c r="AB345" i="7" s="1"/>
  <c r="G98" i="7"/>
  <c r="Q98" i="7" s="1"/>
  <c r="Y102" i="3"/>
  <c r="F343" i="7"/>
  <c r="P343" i="7" s="1"/>
  <c r="Y305" i="3"/>
  <c r="F240" i="7"/>
  <c r="P240" i="7" s="1"/>
  <c r="R104" i="3"/>
  <c r="P98" i="7"/>
  <c r="R99" i="7"/>
  <c r="R344" i="7"/>
  <c r="R241" i="7"/>
  <c r="AQ98" i="7" l="1"/>
  <c r="S98" i="7"/>
  <c r="N98" i="7"/>
  <c r="AO97" i="7"/>
  <c r="AR96" i="7"/>
  <c r="S343" i="7"/>
  <c r="N343" i="7"/>
  <c r="AM96" i="7"/>
  <c r="W240" i="7"/>
  <c r="N240" i="7" s="1"/>
  <c r="AH240" i="7"/>
  <c r="S240" i="7" s="1"/>
  <c r="R306" i="3"/>
  <c r="R509" i="3"/>
  <c r="AP98" i="7"/>
  <c r="CL13" i="12"/>
  <c r="BB14" i="12" s="1"/>
  <c r="CM13" i="12"/>
  <c r="BN14" i="13"/>
  <c r="DB14" i="13" s="1"/>
  <c r="DC14" i="13" s="1"/>
  <c r="BM14" i="13"/>
  <c r="CR14" i="13" s="1"/>
  <c r="CS14" i="13" s="1"/>
  <c r="BO14" i="13"/>
  <c r="DL14" i="13" s="1"/>
  <c r="BL14" i="13"/>
  <c r="BW14" i="13" s="1"/>
  <c r="BX14" i="13" s="1"/>
  <c r="ER41" i="13"/>
  <c r="EG41" i="13"/>
  <c r="EM41" i="13" s="1"/>
  <c r="EK40" i="13"/>
  <c r="EJ41" i="13"/>
  <c r="Y41" i="13"/>
  <c r="AC41" i="13" s="1"/>
  <c r="DJ41" i="13" s="1"/>
  <c r="M42" i="13"/>
  <c r="V41" i="13"/>
  <c r="Z41" i="13"/>
  <c r="AD41" i="13" s="1"/>
  <c r="BR41" i="13" s="1"/>
  <c r="CJ41" i="13"/>
  <c r="K42" i="13"/>
  <c r="AM41" i="13"/>
  <c r="BT41" i="13" s="1"/>
  <c r="Q41" i="13"/>
  <c r="AH41" i="13"/>
  <c r="AL41" i="13" s="1"/>
  <c r="BS41" i="13" s="1"/>
  <c r="AG41" i="13"/>
  <c r="AK41" i="13" s="1"/>
  <c r="DK41" i="13" s="1"/>
  <c r="AF41" i="13"/>
  <c r="AJ41" i="13" s="1"/>
  <c r="DA41" i="13" s="1"/>
  <c r="AE41" i="13"/>
  <c r="AI41" i="13" s="1"/>
  <c r="CQ41" i="13" s="1"/>
  <c r="AP41" i="13"/>
  <c r="AS41" i="13" s="1"/>
  <c r="DV41" i="13" s="1"/>
  <c r="DZ41" i="13" s="1"/>
  <c r="ED41" i="13" s="1"/>
  <c r="CG41" i="13"/>
  <c r="L42" i="13"/>
  <c r="AN42" i="13" s="1"/>
  <c r="AQ42" i="13" s="1"/>
  <c r="BU42" i="13" s="1"/>
  <c r="DZ40" i="12"/>
  <c r="AD305" i="3"/>
  <c r="V242" i="7"/>
  <c r="AG242" i="7"/>
  <c r="D105" i="3"/>
  <c r="N512" i="3"/>
  <c r="T512" i="3" s="1"/>
  <c r="T106" i="3"/>
  <c r="CJ41" i="12"/>
  <c r="CG41" i="12"/>
  <c r="W41" i="12"/>
  <c r="Y41" i="12"/>
  <c r="X41" i="12"/>
  <c r="AD508" i="3"/>
  <c r="AR41" i="12"/>
  <c r="AZ41" i="12" s="1"/>
  <c r="AM41" i="12"/>
  <c r="BT41" i="12" s="1"/>
  <c r="M42" i="12"/>
  <c r="L42" i="12"/>
  <c r="AN42" i="12" s="1"/>
  <c r="AP41" i="12"/>
  <c r="AE41" i="12"/>
  <c r="AF41" i="12"/>
  <c r="AG41" i="12"/>
  <c r="AH41" i="12"/>
  <c r="Q41" i="12"/>
  <c r="AY41" i="12" s="1"/>
  <c r="K42" i="12"/>
  <c r="V41" i="12"/>
  <c r="R41" i="12"/>
  <c r="BQ41" i="12" s="1"/>
  <c r="S41" i="12"/>
  <c r="CO41" i="12" s="1"/>
  <c r="T41" i="12"/>
  <c r="CY41" i="12" s="1"/>
  <c r="U41" i="12"/>
  <c r="DI41" i="12" s="1"/>
  <c r="F150" i="10"/>
  <c r="J150" i="10" s="1"/>
  <c r="F559" i="3"/>
  <c r="F356" i="3"/>
  <c r="AG344" i="7"/>
  <c r="V344" i="7"/>
  <c r="B345" i="7"/>
  <c r="G510" i="3"/>
  <c r="C308" i="3"/>
  <c r="B243" i="7" s="1"/>
  <c r="V243" i="7" s="1"/>
  <c r="C100" i="10"/>
  <c r="G100" i="10" s="1"/>
  <c r="C511" i="3"/>
  <c r="Z511" i="3" s="1"/>
  <c r="O403" i="3"/>
  <c r="O606" i="3"/>
  <c r="E401" i="3"/>
  <c r="U401" i="3" s="1"/>
  <c r="E604" i="3"/>
  <c r="U604" i="3" s="1"/>
  <c r="E366" i="3"/>
  <c r="U366" i="3" s="1"/>
  <c r="E569" i="3"/>
  <c r="U569" i="3" s="1"/>
  <c r="O368" i="3"/>
  <c r="O571" i="3"/>
  <c r="F359" i="3"/>
  <c r="F562" i="3"/>
  <c r="AA509" i="3"/>
  <c r="AA510" i="3"/>
  <c r="D308" i="3"/>
  <c r="G308" i="3" s="1"/>
  <c r="D511" i="3"/>
  <c r="D100" i="10"/>
  <c r="H100" i="10" s="1"/>
  <c r="AB510" i="3"/>
  <c r="M309" i="3"/>
  <c r="S309" i="3" s="1"/>
  <c r="M512" i="3"/>
  <c r="S512" i="3" s="1"/>
  <c r="J307" i="3"/>
  <c r="G242" i="7" s="1"/>
  <c r="Q242" i="7" s="1"/>
  <c r="J510" i="3"/>
  <c r="G345" i="7" s="1"/>
  <c r="Q345" i="7" s="1"/>
  <c r="Y509" i="3"/>
  <c r="W508" i="3"/>
  <c r="H307" i="3"/>
  <c r="R307" i="3" s="1"/>
  <c r="H510" i="3"/>
  <c r="R510" i="3" s="1"/>
  <c r="AA306" i="3"/>
  <c r="N309" i="3"/>
  <c r="T309" i="3" s="1"/>
  <c r="Z307" i="3"/>
  <c r="Z308" i="3"/>
  <c r="W305" i="3"/>
  <c r="Y306" i="3"/>
  <c r="U202" i="3"/>
  <c r="E200" i="3"/>
  <c r="E195" i="10" s="1"/>
  <c r="I195" i="10" s="1"/>
  <c r="Y103" i="3"/>
  <c r="R31" i="13" s="1"/>
  <c r="BQ31" i="13" s="1"/>
  <c r="W103" i="3"/>
  <c r="E165" i="3"/>
  <c r="E160" i="10" s="1"/>
  <c r="I160" i="10" s="1"/>
  <c r="U167" i="3"/>
  <c r="F153" i="10"/>
  <c r="J153" i="10" s="1"/>
  <c r="AH344" i="7"/>
  <c r="W344" i="7"/>
  <c r="AH241" i="7"/>
  <c r="S241" i="7" s="1"/>
  <c r="W241" i="7"/>
  <c r="N241" i="7" s="1"/>
  <c r="C242" i="7"/>
  <c r="C345" i="7"/>
  <c r="C106" i="3"/>
  <c r="S107" i="3"/>
  <c r="G105" i="3"/>
  <c r="AH99" i="7"/>
  <c r="S99" i="7" s="1"/>
  <c r="W99" i="7"/>
  <c r="N99" i="7" s="1"/>
  <c r="V100" i="7"/>
  <c r="AG100" i="7"/>
  <c r="C100" i="7"/>
  <c r="K243" i="7"/>
  <c r="AD243" i="7" s="1"/>
  <c r="U308" i="3"/>
  <c r="K346" i="7"/>
  <c r="AD346" i="7" s="1"/>
  <c r="U511" i="3"/>
  <c r="K101" i="7"/>
  <c r="AD101" i="7" s="1"/>
  <c r="R100" i="7"/>
  <c r="J346" i="7"/>
  <c r="AC346" i="7" s="1"/>
  <c r="J101" i="7"/>
  <c r="AC101" i="7" s="1"/>
  <c r="J243" i="7"/>
  <c r="AC243" i="7" s="1"/>
  <c r="Z105" i="3"/>
  <c r="I243" i="7"/>
  <c r="AB243" i="7" s="1"/>
  <c r="I101" i="7"/>
  <c r="AB101" i="7" s="1"/>
  <c r="I346" i="7"/>
  <c r="AB346" i="7" s="1"/>
  <c r="G99" i="7"/>
  <c r="Q99" i="7" s="1"/>
  <c r="AD102" i="3"/>
  <c r="F241" i="7"/>
  <c r="P241" i="7" s="1"/>
  <c r="F344" i="7"/>
  <c r="P344" i="7" s="1"/>
  <c r="W104" i="3"/>
  <c r="P99" i="7"/>
  <c r="R105" i="3"/>
  <c r="R242" i="7"/>
  <c r="R345" i="7"/>
  <c r="AM97" i="7" l="1"/>
  <c r="AG243" i="7"/>
  <c r="AR97" i="7"/>
  <c r="BE14" i="12"/>
  <c r="AQ99" i="7"/>
  <c r="AP99" i="7"/>
  <c r="AO98" i="7"/>
  <c r="DE14" i="13"/>
  <c r="DD14" i="13"/>
  <c r="DF14" i="13"/>
  <c r="DT14" i="13"/>
  <c r="DX14" i="13" s="1"/>
  <c r="EB14" i="13" s="1"/>
  <c r="DG14" i="13"/>
  <c r="CV14" i="13"/>
  <c r="DS14" i="13"/>
  <c r="DW14" i="13" s="1"/>
  <c r="EA14" i="13" s="1"/>
  <c r="CU14" i="13"/>
  <c r="CT14" i="13"/>
  <c r="CW14" i="13"/>
  <c r="DM14" i="13"/>
  <c r="DQ14" i="13" s="1"/>
  <c r="CH14" i="13"/>
  <c r="BY14" i="13"/>
  <c r="CB14" i="13"/>
  <c r="CC14" i="13"/>
  <c r="CD14" i="13"/>
  <c r="CI14" i="13"/>
  <c r="CK14" i="13" s="1"/>
  <c r="CA14" i="13"/>
  <c r="BZ14" i="13"/>
  <c r="CE14" i="13"/>
  <c r="AY41" i="13"/>
  <c r="EF42" i="13"/>
  <c r="EL42" i="13" s="1"/>
  <c r="FE42" i="13" s="1"/>
  <c r="N42" i="13"/>
  <c r="AO42" i="13"/>
  <c r="AR42" i="13" s="1"/>
  <c r="AZ42" i="13" s="1"/>
  <c r="ED40" i="12"/>
  <c r="N513" i="3"/>
  <c r="T513" i="3" s="1"/>
  <c r="T107" i="3"/>
  <c r="AD509" i="3"/>
  <c r="AD306" i="3"/>
  <c r="AB41" i="12"/>
  <c r="CZ41" i="12" s="1"/>
  <c r="AC41" i="12"/>
  <c r="DJ41" i="12" s="1"/>
  <c r="AA41" i="12"/>
  <c r="CP41" i="12" s="1"/>
  <c r="AD41" i="12"/>
  <c r="BR41" i="12" s="1"/>
  <c r="AQ42" i="12"/>
  <c r="BU42" i="12" s="1"/>
  <c r="AS41" i="12"/>
  <c r="DV41" i="12" s="1"/>
  <c r="AO42" i="12"/>
  <c r="AI41" i="12"/>
  <c r="CQ41" i="12" s="1"/>
  <c r="AJ41" i="12"/>
  <c r="DA41" i="12" s="1"/>
  <c r="AK41" i="12"/>
  <c r="DK41" i="12" s="1"/>
  <c r="AL41" i="12"/>
  <c r="BS41" i="12" s="1"/>
  <c r="N42" i="12"/>
  <c r="Z42" i="12" s="1"/>
  <c r="F152" i="10"/>
  <c r="J152" i="10" s="1"/>
  <c r="F561" i="3"/>
  <c r="F358" i="3"/>
  <c r="V345" i="7"/>
  <c r="AG345" i="7"/>
  <c r="B346" i="7"/>
  <c r="G511" i="3"/>
  <c r="N344" i="7"/>
  <c r="AM98" i="7" s="1"/>
  <c r="S344" i="7"/>
  <c r="AR98" i="7" s="1"/>
  <c r="O405" i="3"/>
  <c r="O608" i="3"/>
  <c r="E403" i="3"/>
  <c r="U403" i="3" s="1"/>
  <c r="E606" i="3"/>
  <c r="U606" i="3" s="1"/>
  <c r="E368" i="3"/>
  <c r="E571" i="3"/>
  <c r="U571" i="3" s="1"/>
  <c r="O370" i="3"/>
  <c r="O573" i="3"/>
  <c r="F361" i="3"/>
  <c r="F564" i="3"/>
  <c r="C309" i="3"/>
  <c r="C101" i="10"/>
  <c r="G101" i="10" s="1"/>
  <c r="C512" i="3"/>
  <c r="M310" i="3"/>
  <c r="S310" i="3" s="1"/>
  <c r="M513" i="3"/>
  <c r="S513" i="3" s="1"/>
  <c r="AB511" i="3"/>
  <c r="J308" i="3"/>
  <c r="G243" i="7" s="1"/>
  <c r="Q243" i="7" s="1"/>
  <c r="J511" i="3"/>
  <c r="G346" i="7" s="1"/>
  <c r="Q346" i="7" s="1"/>
  <c r="W509" i="3"/>
  <c r="H308" i="3"/>
  <c r="R308" i="3" s="1"/>
  <c r="H511" i="3"/>
  <c r="N310" i="3"/>
  <c r="T310" i="3" s="1"/>
  <c r="T108" i="3"/>
  <c r="AA307" i="3"/>
  <c r="AA308" i="3"/>
  <c r="AB308" i="3"/>
  <c r="AB309" i="3"/>
  <c r="W306" i="3"/>
  <c r="U204" i="3"/>
  <c r="E202" i="3"/>
  <c r="E197" i="10" s="1"/>
  <c r="I197" i="10" s="1"/>
  <c r="AD103" i="3"/>
  <c r="U368" i="3"/>
  <c r="AH242" i="7"/>
  <c r="S242" i="7" s="1"/>
  <c r="W242" i="7"/>
  <c r="N242" i="7" s="1"/>
  <c r="W345" i="7"/>
  <c r="AH345" i="7"/>
  <c r="D106" i="3"/>
  <c r="Z106" i="3"/>
  <c r="E167" i="3"/>
  <c r="E162" i="10" s="1"/>
  <c r="I162" i="10" s="1"/>
  <c r="U169" i="3"/>
  <c r="F155" i="10"/>
  <c r="J155" i="10" s="1"/>
  <c r="S108" i="3"/>
  <c r="C107" i="3"/>
  <c r="W30" i="13" s="1"/>
  <c r="AA105" i="3"/>
  <c r="C243" i="7"/>
  <c r="W100" i="7"/>
  <c r="N100" i="7" s="1"/>
  <c r="AH100" i="7"/>
  <c r="S100" i="7" s="1"/>
  <c r="C346" i="7"/>
  <c r="AB106" i="3"/>
  <c r="K347" i="7"/>
  <c r="AD347" i="7" s="1"/>
  <c r="U512" i="3"/>
  <c r="AB512" i="3" s="1"/>
  <c r="K244" i="7"/>
  <c r="AD244" i="7" s="1"/>
  <c r="U309" i="3"/>
  <c r="R243" i="7"/>
  <c r="K102" i="7"/>
  <c r="AD102" i="7" s="1"/>
  <c r="J347" i="7"/>
  <c r="AC347" i="7" s="1"/>
  <c r="J244" i="7"/>
  <c r="AC244" i="7" s="1"/>
  <c r="J102" i="7"/>
  <c r="AC102" i="7" s="1"/>
  <c r="I244" i="7"/>
  <c r="AB244" i="7" s="1"/>
  <c r="I102" i="7"/>
  <c r="AB102" i="7" s="1"/>
  <c r="I347" i="7"/>
  <c r="AB347" i="7" s="1"/>
  <c r="J512" i="3"/>
  <c r="G100" i="7"/>
  <c r="Q100" i="7" s="1"/>
  <c r="Y104" i="3"/>
  <c r="P100" i="7"/>
  <c r="F345" i="7"/>
  <c r="P345" i="7" s="1"/>
  <c r="Y307" i="3"/>
  <c r="F242" i="7"/>
  <c r="P242" i="7" s="1"/>
  <c r="R101" i="7"/>
  <c r="R346" i="7"/>
  <c r="AO99" i="7" l="1"/>
  <c r="AA30" i="13"/>
  <c r="CP30" i="13" s="1"/>
  <c r="AQ100" i="7"/>
  <c r="R511" i="3"/>
  <c r="AP100" i="7"/>
  <c r="BC14" i="12"/>
  <c r="DN14" i="13"/>
  <c r="DO14" i="13"/>
  <c r="DP14" i="13"/>
  <c r="DU14" i="13"/>
  <c r="DY14" i="13" s="1"/>
  <c r="EC14" i="13" s="1"/>
  <c r="FD14" i="13" s="1"/>
  <c r="FG14" i="13" s="1"/>
  <c r="CM14" i="13"/>
  <c r="CL14" i="13"/>
  <c r="BB15" i="13" s="1"/>
  <c r="ER42" i="13"/>
  <c r="EG42" i="13"/>
  <c r="EM42" i="13" s="1"/>
  <c r="EK41" i="13"/>
  <c r="EJ42" i="13"/>
  <c r="AH42" i="13"/>
  <c r="AL42" i="13" s="1"/>
  <c r="BS42" i="13" s="1"/>
  <c r="Z42" i="13"/>
  <c r="AD42" i="13" s="1"/>
  <c r="BR42" i="13" s="1"/>
  <c r="AE42" i="13"/>
  <c r="AI42" i="13" s="1"/>
  <c r="CQ42" i="13" s="1"/>
  <c r="AG42" i="13"/>
  <c r="AK42" i="13" s="1"/>
  <c r="DK42" i="13" s="1"/>
  <c r="AF42" i="13"/>
  <c r="AJ42" i="13" s="1"/>
  <c r="DA42" i="13" s="1"/>
  <c r="L43" i="13"/>
  <c r="AN43" i="13" s="1"/>
  <c r="AQ43" i="13" s="1"/>
  <c r="BU43" i="13" s="1"/>
  <c r="V42" i="13"/>
  <c r="AP42" i="13"/>
  <c r="AS42" i="13" s="1"/>
  <c r="DV42" i="13" s="1"/>
  <c r="DZ42" i="13" s="1"/>
  <c r="ED42" i="13" s="1"/>
  <c r="CG42" i="13"/>
  <c r="K43" i="13"/>
  <c r="M43" i="13"/>
  <c r="AM42" i="13"/>
  <c r="BT42" i="13" s="1"/>
  <c r="CJ42" i="13"/>
  <c r="Q42" i="13"/>
  <c r="Y42" i="13"/>
  <c r="AC42" i="13" s="1"/>
  <c r="DJ42" i="13" s="1"/>
  <c r="DZ41" i="12"/>
  <c r="N345" i="7"/>
  <c r="AM99" i="7" s="1"/>
  <c r="S345" i="7"/>
  <c r="AR99" i="7" s="1"/>
  <c r="H512" i="3"/>
  <c r="R512" i="3" s="1"/>
  <c r="R106" i="3"/>
  <c r="CJ42" i="12"/>
  <c r="CG42" i="12"/>
  <c r="W42" i="12"/>
  <c r="Y42" i="12"/>
  <c r="X42" i="12"/>
  <c r="AD307" i="3"/>
  <c r="AR42" i="12"/>
  <c r="AZ42" i="12" s="1"/>
  <c r="AM42" i="12"/>
  <c r="BT42" i="12" s="1"/>
  <c r="M43" i="12"/>
  <c r="L43" i="12"/>
  <c r="AN43" i="12" s="1"/>
  <c r="AP42" i="12"/>
  <c r="AE42" i="12"/>
  <c r="AF42" i="12"/>
  <c r="AG42" i="12"/>
  <c r="AH42" i="12"/>
  <c r="S42" i="12"/>
  <c r="CO42" i="12" s="1"/>
  <c r="T42" i="12"/>
  <c r="CY42" i="12" s="1"/>
  <c r="U42" i="12"/>
  <c r="DI42" i="12" s="1"/>
  <c r="Q42" i="12"/>
  <c r="AY42" i="12" s="1"/>
  <c r="R42" i="12"/>
  <c r="BQ42" i="12" s="1"/>
  <c r="K43" i="12"/>
  <c r="V42" i="12"/>
  <c r="F154" i="10"/>
  <c r="J154" i="10" s="1"/>
  <c r="F563" i="3"/>
  <c r="F360" i="3"/>
  <c r="V346" i="7"/>
  <c r="AG346" i="7"/>
  <c r="N311" i="3"/>
  <c r="T311" i="3" s="1"/>
  <c r="N514" i="3"/>
  <c r="T514" i="3" s="1"/>
  <c r="T109" i="3"/>
  <c r="O407" i="3"/>
  <c r="O610" i="3"/>
  <c r="E405" i="3"/>
  <c r="U405" i="3" s="1"/>
  <c r="E608" i="3"/>
  <c r="U608" i="3" s="1"/>
  <c r="D309" i="3"/>
  <c r="G309" i="3" s="1"/>
  <c r="D101" i="10"/>
  <c r="H101" i="10" s="1"/>
  <c r="D512" i="3"/>
  <c r="G512" i="3" s="1"/>
  <c r="E370" i="3"/>
  <c r="U370" i="3" s="1"/>
  <c r="E573" i="3"/>
  <c r="U573" i="3" s="1"/>
  <c r="O372" i="3"/>
  <c r="O575" i="3"/>
  <c r="F363" i="3"/>
  <c r="F566" i="3"/>
  <c r="M311" i="3"/>
  <c r="S311" i="3" s="1"/>
  <c r="M514" i="3"/>
  <c r="S514" i="3" s="1"/>
  <c r="C102" i="10"/>
  <c r="G102" i="10" s="1"/>
  <c r="C513" i="3"/>
  <c r="AA511" i="3"/>
  <c r="Y511" i="3"/>
  <c r="W510" i="3"/>
  <c r="Y510" i="3"/>
  <c r="AD510" i="3" s="1"/>
  <c r="Z107" i="3"/>
  <c r="S30" i="13" s="1"/>
  <c r="CO30" i="13" s="1"/>
  <c r="C310" i="3"/>
  <c r="J513" i="3"/>
  <c r="J309" i="3"/>
  <c r="G244" i="7" s="1"/>
  <c r="Q244" i="7" s="1"/>
  <c r="H309" i="3"/>
  <c r="W307" i="3"/>
  <c r="U206" i="3"/>
  <c r="E204" i="3"/>
  <c r="E199" i="10" s="1"/>
  <c r="I199" i="10" s="1"/>
  <c r="AA106" i="3"/>
  <c r="G106" i="3"/>
  <c r="AG101" i="7"/>
  <c r="V101" i="7"/>
  <c r="B347" i="7"/>
  <c r="Z512" i="3"/>
  <c r="B244" i="7"/>
  <c r="C101" i="7"/>
  <c r="Y105" i="3"/>
  <c r="W105" i="3"/>
  <c r="E169" i="3"/>
  <c r="E164" i="10" s="1"/>
  <c r="I164" i="10" s="1"/>
  <c r="U171" i="3"/>
  <c r="F157" i="10"/>
  <c r="J157" i="10" s="1"/>
  <c r="S109" i="3"/>
  <c r="C108" i="3"/>
  <c r="C103" i="10" s="1"/>
  <c r="G103" i="10" s="1"/>
  <c r="D107" i="3"/>
  <c r="X30" i="13" s="1"/>
  <c r="AH243" i="7"/>
  <c r="S243" i="7" s="1"/>
  <c r="W243" i="7"/>
  <c r="N243" i="7" s="1"/>
  <c r="AB107" i="3"/>
  <c r="U30" i="13" s="1"/>
  <c r="DI30" i="13" s="1"/>
  <c r="AB164" i="3"/>
  <c r="AB163" i="3"/>
  <c r="AB165" i="3"/>
  <c r="AB166" i="3"/>
  <c r="AB110" i="3"/>
  <c r="AB116" i="3"/>
  <c r="U32" i="13" s="1"/>
  <c r="DI32" i="13" s="1"/>
  <c r="AB120" i="3"/>
  <c r="U33" i="13" s="1"/>
  <c r="DI33" i="13" s="1"/>
  <c r="AB113" i="3"/>
  <c r="AB129" i="3"/>
  <c r="U35" i="13" s="1"/>
  <c r="DI35" i="13" s="1"/>
  <c r="AB111" i="3"/>
  <c r="U31" i="13" s="1"/>
  <c r="DI31" i="13" s="1"/>
  <c r="AB115" i="3"/>
  <c r="AB122" i="3"/>
  <c r="AB112" i="3"/>
  <c r="AB123" i="3"/>
  <c r="AB117" i="3"/>
  <c r="AB127" i="3"/>
  <c r="AB126" i="3"/>
  <c r="AB121" i="3"/>
  <c r="AB125" i="3"/>
  <c r="U34" i="13" s="1"/>
  <c r="DI34" i="13" s="1"/>
  <c r="AB109" i="3"/>
  <c r="AB128" i="3"/>
  <c r="AB108" i="3"/>
  <c r="AB130" i="3"/>
  <c r="AB118" i="3"/>
  <c r="AB119" i="3"/>
  <c r="AB124" i="3"/>
  <c r="AB114" i="3"/>
  <c r="AB132" i="3"/>
  <c r="AB131" i="3"/>
  <c r="AB134" i="3"/>
  <c r="AB133" i="3"/>
  <c r="U36" i="13" s="1"/>
  <c r="DI36" i="13" s="1"/>
  <c r="AB135" i="3"/>
  <c r="AB136" i="3"/>
  <c r="AB137" i="3"/>
  <c r="U37" i="13" s="1"/>
  <c r="DI37" i="13" s="1"/>
  <c r="AB138" i="3"/>
  <c r="AB141" i="3"/>
  <c r="AB139" i="3"/>
  <c r="AB140" i="3"/>
  <c r="AB143" i="3"/>
  <c r="AB144" i="3"/>
  <c r="AB142" i="3"/>
  <c r="U38" i="13" s="1"/>
  <c r="DI38" i="13" s="1"/>
  <c r="AB159" i="3"/>
  <c r="U42" i="13" s="1"/>
  <c r="DI42" i="13" s="1"/>
  <c r="AB146" i="3"/>
  <c r="U39" i="13" s="1"/>
  <c r="DI39" i="13" s="1"/>
  <c r="AB147" i="3"/>
  <c r="AB145" i="3"/>
  <c r="AB148" i="3"/>
  <c r="AB150" i="3"/>
  <c r="AB149" i="3"/>
  <c r="AB151" i="3"/>
  <c r="U40" i="13" s="1"/>
  <c r="DI40" i="13" s="1"/>
  <c r="AB152" i="3"/>
  <c r="AB153" i="3"/>
  <c r="AB154" i="3"/>
  <c r="AB156" i="3"/>
  <c r="AB155" i="3"/>
  <c r="U41" i="13" s="1"/>
  <c r="DI41" i="13" s="1"/>
  <c r="AB157" i="3"/>
  <c r="AB158" i="3"/>
  <c r="AB160" i="3"/>
  <c r="AB161" i="3"/>
  <c r="AB162" i="3"/>
  <c r="AH346" i="7"/>
  <c r="W346" i="7"/>
  <c r="K245" i="7"/>
  <c r="AD245" i="7" s="1"/>
  <c r="U310" i="3"/>
  <c r="K348" i="7"/>
  <c r="AD348" i="7" s="1"/>
  <c r="U513" i="3"/>
  <c r="R244" i="7"/>
  <c r="J245" i="7"/>
  <c r="AC245" i="7" s="1"/>
  <c r="J348" i="7"/>
  <c r="AC348" i="7" s="1"/>
  <c r="I245" i="7"/>
  <c r="AB245" i="7" s="1"/>
  <c r="I348" i="7"/>
  <c r="AB348" i="7" s="1"/>
  <c r="G101" i="7"/>
  <c r="Q101" i="7" s="1"/>
  <c r="G347" i="7"/>
  <c r="Q347" i="7" s="1"/>
  <c r="AD104" i="3"/>
  <c r="F346" i="7"/>
  <c r="P346" i="7" s="1"/>
  <c r="P101" i="7"/>
  <c r="Y308" i="3"/>
  <c r="AD308" i="3" s="1"/>
  <c r="F243" i="7"/>
  <c r="P243" i="7" s="1"/>
  <c r="R102" i="7"/>
  <c r="R347" i="7"/>
  <c r="AB30" i="13" l="1"/>
  <c r="CZ30" i="13" s="1"/>
  <c r="AB565" i="3"/>
  <c r="AB566" i="3"/>
  <c r="AB567" i="3"/>
  <c r="AB568" i="3"/>
  <c r="AB513" i="3"/>
  <c r="AB564" i="3"/>
  <c r="AB569" i="3"/>
  <c r="AO43" i="13"/>
  <c r="AR43" i="13" s="1"/>
  <c r="AZ43" i="13" s="1"/>
  <c r="AQ101" i="7"/>
  <c r="R309" i="3"/>
  <c r="AP101" i="7"/>
  <c r="AO100" i="7"/>
  <c r="BI14" i="12"/>
  <c r="BK14" i="12"/>
  <c r="BG14" i="12"/>
  <c r="BF14" i="12"/>
  <c r="BH14" i="12"/>
  <c r="BE15" i="13"/>
  <c r="BD15" i="13"/>
  <c r="EQ15" i="13" s="1"/>
  <c r="ES15" i="13" s="1"/>
  <c r="AY42" i="13"/>
  <c r="N43" i="13"/>
  <c r="EF43" i="13"/>
  <c r="EL43" i="13" s="1"/>
  <c r="FE43" i="13" s="1"/>
  <c r="ED41" i="12"/>
  <c r="H513" i="3"/>
  <c r="R513" i="3" s="1"/>
  <c r="R107" i="3"/>
  <c r="W107" i="3" s="1"/>
  <c r="AB573" i="3"/>
  <c r="AB572" i="3"/>
  <c r="AD511" i="3"/>
  <c r="AB42" i="12"/>
  <c r="CZ42" i="12" s="1"/>
  <c r="AA42" i="12"/>
  <c r="CP42" i="12" s="1"/>
  <c r="AC42" i="12"/>
  <c r="DJ42" i="12" s="1"/>
  <c r="AD42" i="12"/>
  <c r="BR42" i="12" s="1"/>
  <c r="AQ43" i="12"/>
  <c r="BU43" i="12" s="1"/>
  <c r="AS42" i="12"/>
  <c r="DV42" i="12" s="1"/>
  <c r="AO43" i="12"/>
  <c r="AI42" i="12"/>
  <c r="CQ42" i="12" s="1"/>
  <c r="AJ42" i="12"/>
  <c r="DA42" i="12" s="1"/>
  <c r="AK42" i="12"/>
  <c r="DK42" i="12" s="1"/>
  <c r="AL42" i="12"/>
  <c r="BS42" i="12" s="1"/>
  <c r="N43" i="12"/>
  <c r="Z43" i="12" s="1"/>
  <c r="F156" i="10"/>
  <c r="J156" i="10" s="1"/>
  <c r="F565" i="3"/>
  <c r="F362" i="3"/>
  <c r="T110" i="3"/>
  <c r="N515" i="3"/>
  <c r="T515" i="3" s="1"/>
  <c r="N312" i="3"/>
  <c r="T312" i="3" s="1"/>
  <c r="AB574" i="3"/>
  <c r="S346" i="7"/>
  <c r="AR100" i="7" s="1"/>
  <c r="N346" i="7"/>
  <c r="AM100" i="7" s="1"/>
  <c r="O409" i="3"/>
  <c r="O612" i="3"/>
  <c r="E407" i="3"/>
  <c r="U407" i="3" s="1"/>
  <c r="E610" i="3"/>
  <c r="U610" i="3" s="1"/>
  <c r="E372" i="3"/>
  <c r="E575" i="3"/>
  <c r="U575" i="3" s="1"/>
  <c r="O374" i="3"/>
  <c r="O577" i="3"/>
  <c r="F365" i="3"/>
  <c r="F568" i="3"/>
  <c r="M312" i="3"/>
  <c r="S312" i="3" s="1"/>
  <c r="M515" i="3"/>
  <c r="S515" i="3" s="1"/>
  <c r="C311" i="3"/>
  <c r="C514" i="3"/>
  <c r="C102" i="7"/>
  <c r="AA107" i="3"/>
  <c r="T30" i="13" s="1"/>
  <c r="CY30" i="13" s="1"/>
  <c r="D102" i="10"/>
  <c r="H102" i="10" s="1"/>
  <c r="D513" i="3"/>
  <c r="AB571" i="3"/>
  <c r="AB570" i="3"/>
  <c r="AB563" i="3"/>
  <c r="AB514" i="3"/>
  <c r="AB515" i="3"/>
  <c r="AB516" i="3"/>
  <c r="AB518" i="3"/>
  <c r="AB521" i="3"/>
  <c r="AB520" i="3"/>
  <c r="AB517" i="3"/>
  <c r="AB519" i="3"/>
  <c r="AB522" i="3"/>
  <c r="AB523" i="3"/>
  <c r="AB526" i="3"/>
  <c r="AB528" i="3"/>
  <c r="AB529" i="3"/>
  <c r="AB524" i="3"/>
  <c r="AB527" i="3"/>
  <c r="AB525" i="3"/>
  <c r="AB531" i="3"/>
  <c r="AB533" i="3"/>
  <c r="AB535" i="3"/>
  <c r="AB537" i="3"/>
  <c r="AB530" i="3"/>
  <c r="AB534" i="3"/>
  <c r="AB532" i="3"/>
  <c r="AB536" i="3"/>
  <c r="AB538" i="3"/>
  <c r="AB543" i="3"/>
  <c r="AB542" i="3"/>
  <c r="AB539" i="3"/>
  <c r="AB540" i="3"/>
  <c r="AB541" i="3"/>
  <c r="AB546" i="3"/>
  <c r="AB545" i="3"/>
  <c r="AB547" i="3"/>
  <c r="AB544" i="3"/>
  <c r="AB548" i="3"/>
  <c r="AB549" i="3"/>
  <c r="AB552" i="3"/>
  <c r="AB557" i="3"/>
  <c r="AB556" i="3"/>
  <c r="AB553" i="3"/>
  <c r="AB550" i="3"/>
  <c r="AB551" i="3"/>
  <c r="AB558" i="3"/>
  <c r="AB559" i="3"/>
  <c r="AB555" i="3"/>
  <c r="AB554" i="3"/>
  <c r="AB560" i="3"/>
  <c r="AB561" i="3"/>
  <c r="AB562" i="3"/>
  <c r="W511" i="3"/>
  <c r="J310" i="3"/>
  <c r="G245" i="7" s="1"/>
  <c r="Q245" i="7" s="1"/>
  <c r="H310" i="3"/>
  <c r="R310" i="3" s="1"/>
  <c r="R108" i="3"/>
  <c r="Z309" i="3"/>
  <c r="AB371" i="3"/>
  <c r="G107" i="3"/>
  <c r="D310" i="3"/>
  <c r="AB369" i="3"/>
  <c r="AB370" i="3"/>
  <c r="AB310" i="3"/>
  <c r="AB313" i="3"/>
  <c r="AB314" i="3"/>
  <c r="AB311" i="3"/>
  <c r="AB312" i="3"/>
  <c r="AB315" i="3"/>
  <c r="AB316" i="3"/>
  <c r="AB318" i="3"/>
  <c r="AB320" i="3"/>
  <c r="AB317" i="3"/>
  <c r="AB319" i="3"/>
  <c r="AB322" i="3"/>
  <c r="AB321" i="3"/>
  <c r="AB324" i="3"/>
  <c r="AB323" i="3"/>
  <c r="AB325" i="3"/>
  <c r="AB326" i="3"/>
  <c r="AB333" i="3"/>
  <c r="AB328" i="3"/>
  <c r="AB327" i="3"/>
  <c r="AB331" i="3"/>
  <c r="AB332" i="3"/>
  <c r="AB329" i="3"/>
  <c r="AB334" i="3"/>
  <c r="AB330" i="3"/>
  <c r="AB335" i="3"/>
  <c r="AB336" i="3"/>
  <c r="AB337" i="3"/>
  <c r="AB344" i="3"/>
  <c r="AB339" i="3"/>
  <c r="AB340" i="3"/>
  <c r="AB338" i="3"/>
  <c r="AB343" i="3"/>
  <c r="AB342" i="3"/>
  <c r="AB341" i="3"/>
  <c r="AB348" i="3"/>
  <c r="AB347" i="3"/>
  <c r="AB349" i="3"/>
  <c r="AB350" i="3"/>
  <c r="AB345" i="3"/>
  <c r="AB346" i="3"/>
  <c r="AB351" i="3"/>
  <c r="AB352" i="3"/>
  <c r="AB354" i="3"/>
  <c r="AB355" i="3"/>
  <c r="AB356" i="3"/>
  <c r="AB353" i="3"/>
  <c r="AB358" i="3"/>
  <c r="AB357" i="3"/>
  <c r="AB367" i="3"/>
  <c r="AB368" i="3"/>
  <c r="AB365" i="3"/>
  <c r="AB366" i="3"/>
  <c r="AB361" i="3"/>
  <c r="AB363" i="3"/>
  <c r="AB362" i="3"/>
  <c r="AB359" i="3"/>
  <c r="AB364" i="3"/>
  <c r="AB360" i="3"/>
  <c r="W308" i="3"/>
  <c r="E206" i="3"/>
  <c r="E201" i="10" s="1"/>
  <c r="I201" i="10" s="1"/>
  <c r="W106" i="3"/>
  <c r="AG102" i="7"/>
  <c r="V102" i="7"/>
  <c r="AB168" i="3"/>
  <c r="AB167" i="3"/>
  <c r="AD105" i="3"/>
  <c r="AG347" i="7"/>
  <c r="V347" i="7"/>
  <c r="C347" i="7"/>
  <c r="C244" i="7"/>
  <c r="B348" i="7"/>
  <c r="Z513" i="3"/>
  <c r="B245" i="7"/>
  <c r="AG244" i="7"/>
  <c r="V244" i="7"/>
  <c r="AH101" i="7"/>
  <c r="S101" i="7" s="1"/>
  <c r="W101" i="7"/>
  <c r="N101" i="7" s="1"/>
  <c r="U372" i="3"/>
  <c r="AB372" i="3" s="1"/>
  <c r="E171" i="3"/>
  <c r="E166" i="10" s="1"/>
  <c r="I166" i="10" s="1"/>
  <c r="U173" i="3"/>
  <c r="F159" i="10"/>
  <c r="J159" i="10" s="1"/>
  <c r="C109" i="3"/>
  <c r="C104" i="10" s="1"/>
  <c r="G104" i="10" s="1"/>
  <c r="S110" i="3"/>
  <c r="D108" i="3"/>
  <c r="D103" i="10" s="1"/>
  <c r="H103" i="10" s="1"/>
  <c r="R245" i="7"/>
  <c r="AQ102" i="7" s="1"/>
  <c r="R348" i="7"/>
  <c r="G348" i="7"/>
  <c r="Q348" i="7" s="1"/>
  <c r="G102" i="7"/>
  <c r="Q102" i="7" s="1"/>
  <c r="Y106" i="3"/>
  <c r="F244" i="7"/>
  <c r="P244" i="7" s="1"/>
  <c r="P102" i="7"/>
  <c r="F347" i="7"/>
  <c r="P347" i="7" s="1"/>
  <c r="AO101" i="7" l="1"/>
  <c r="AP102" i="7"/>
  <c r="BL14" i="12"/>
  <c r="BW14" i="12" s="1"/>
  <c r="BX14" i="12" s="1"/>
  <c r="CI14" i="12" s="1"/>
  <c r="CK14" i="12" s="1"/>
  <c r="BN14" i="12"/>
  <c r="DB14" i="12" s="1"/>
  <c r="DC14" i="12" s="1"/>
  <c r="BO14" i="12"/>
  <c r="DL14" i="12" s="1"/>
  <c r="DM14" i="12" s="1"/>
  <c r="BM14" i="12"/>
  <c r="CR14" i="12" s="1"/>
  <c r="CS14" i="12" s="1"/>
  <c r="EV15" i="13"/>
  <c r="EY15" i="13" s="1"/>
  <c r="FB15" i="13" s="1"/>
  <c r="FF15" i="13" s="1"/>
  <c r="EU15" i="13"/>
  <c r="EX15" i="13" s="1"/>
  <c r="FA15" i="13" s="1"/>
  <c r="ET15" i="13"/>
  <c r="EW15" i="13" s="1"/>
  <c r="EZ15" i="13" s="1"/>
  <c r="BC15" i="13"/>
  <c r="EG43" i="13"/>
  <c r="EM43" i="13" s="1"/>
  <c r="ER43" i="13"/>
  <c r="EK42" i="13"/>
  <c r="EJ43" i="13"/>
  <c r="AP43" i="13"/>
  <c r="AS43" i="13" s="1"/>
  <c r="DV43" i="13" s="1"/>
  <c r="DZ43" i="13" s="1"/>
  <c r="ED43" i="13" s="1"/>
  <c r="CG43" i="13"/>
  <c r="K44" i="13"/>
  <c r="L44" i="13"/>
  <c r="AN44" i="13" s="1"/>
  <c r="AQ44" i="13" s="1"/>
  <c r="BU44" i="13" s="1"/>
  <c r="M44" i="13"/>
  <c r="AM43" i="13"/>
  <c r="BT43" i="13" s="1"/>
  <c r="Y43" i="13"/>
  <c r="U43" i="13"/>
  <c r="DI43" i="13" s="1"/>
  <c r="Z43" i="13"/>
  <c r="Q43" i="13"/>
  <c r="V43" i="13"/>
  <c r="CJ43" i="13"/>
  <c r="AH43" i="13"/>
  <c r="AL43" i="13" s="1"/>
  <c r="BS43" i="13" s="1"/>
  <c r="AG43" i="13"/>
  <c r="AK43" i="13" s="1"/>
  <c r="DK43" i="13" s="1"/>
  <c r="AF43" i="13"/>
  <c r="AJ43" i="13" s="1"/>
  <c r="DA43" i="13" s="1"/>
  <c r="AE43" i="13"/>
  <c r="AI43" i="13" s="1"/>
  <c r="CQ43" i="13" s="1"/>
  <c r="DZ42" i="12"/>
  <c r="CJ43" i="12"/>
  <c r="CG43" i="12"/>
  <c r="X43" i="12"/>
  <c r="Y43" i="12"/>
  <c r="W43" i="12"/>
  <c r="AR43" i="12"/>
  <c r="AZ43" i="12" s="1"/>
  <c r="AM43" i="12"/>
  <c r="BT43" i="12" s="1"/>
  <c r="M44" i="12"/>
  <c r="L44" i="12"/>
  <c r="AN44" i="12" s="1"/>
  <c r="AP43" i="12"/>
  <c r="AE43" i="12"/>
  <c r="AF43" i="12"/>
  <c r="AG43" i="12"/>
  <c r="AH43" i="12"/>
  <c r="V43" i="12"/>
  <c r="S43" i="12"/>
  <c r="CO43" i="12" s="1"/>
  <c r="Q43" i="12"/>
  <c r="AY43" i="12" s="1"/>
  <c r="R43" i="12"/>
  <c r="BQ43" i="12" s="1"/>
  <c r="T43" i="12"/>
  <c r="CY43" i="12" s="1"/>
  <c r="U43" i="12"/>
  <c r="DI43" i="12" s="1"/>
  <c r="K44" i="12"/>
  <c r="F158" i="10"/>
  <c r="J158" i="10" s="1"/>
  <c r="F567" i="3"/>
  <c r="F364" i="3"/>
  <c r="T111" i="3"/>
  <c r="N516" i="3"/>
  <c r="T516" i="3" s="1"/>
  <c r="N313" i="3"/>
  <c r="T313" i="3" s="1"/>
  <c r="AB576" i="3"/>
  <c r="Z514" i="3"/>
  <c r="AB575" i="3"/>
  <c r="W102" i="7"/>
  <c r="N102" i="7" s="1"/>
  <c r="AH102" i="7"/>
  <c r="S102" i="7" s="1"/>
  <c r="G513" i="3"/>
  <c r="C348" i="7"/>
  <c r="J311" i="3"/>
  <c r="J514" i="3"/>
  <c r="H311" i="3"/>
  <c r="R311" i="3" s="1"/>
  <c r="W311" i="3" s="1"/>
  <c r="H514" i="3"/>
  <c r="R109" i="3"/>
  <c r="G310" i="3"/>
  <c r="C245" i="7"/>
  <c r="AH245" i="7" s="1"/>
  <c r="E409" i="3"/>
  <c r="U409" i="3" s="1"/>
  <c r="E612" i="3"/>
  <c r="U612" i="3" s="1"/>
  <c r="AA512" i="3"/>
  <c r="Z311" i="3"/>
  <c r="Z310" i="3"/>
  <c r="E374" i="3"/>
  <c r="E577" i="3"/>
  <c r="U577" i="3" s="1"/>
  <c r="AB577" i="3" s="1"/>
  <c r="O376" i="3"/>
  <c r="O579" i="3"/>
  <c r="F367" i="3"/>
  <c r="F570" i="3"/>
  <c r="C312" i="3"/>
  <c r="C515" i="3"/>
  <c r="M313" i="3"/>
  <c r="S313" i="3" s="1"/>
  <c r="M516" i="3"/>
  <c r="S516" i="3" s="1"/>
  <c r="D311" i="3"/>
  <c r="D514" i="3"/>
  <c r="G514" i="3" s="1"/>
  <c r="Y512" i="3"/>
  <c r="W512" i="3"/>
  <c r="AA310" i="3"/>
  <c r="AA309" i="3"/>
  <c r="AB373" i="3"/>
  <c r="Z312" i="3"/>
  <c r="G311" i="3"/>
  <c r="Y309" i="3"/>
  <c r="W309" i="3"/>
  <c r="AB169" i="3"/>
  <c r="AB170" i="3"/>
  <c r="V348" i="7"/>
  <c r="AG348" i="7"/>
  <c r="AG245" i="7"/>
  <c r="V245" i="7"/>
  <c r="AH347" i="7"/>
  <c r="S347" i="7" s="1"/>
  <c r="W347" i="7"/>
  <c r="N347" i="7" s="1"/>
  <c r="AH244" i="7"/>
  <c r="S244" i="7" s="1"/>
  <c r="W244" i="7"/>
  <c r="N244" i="7" s="1"/>
  <c r="U374" i="3"/>
  <c r="E173" i="3"/>
  <c r="E168" i="10" s="1"/>
  <c r="I168" i="10" s="1"/>
  <c r="U175" i="3"/>
  <c r="F161" i="10"/>
  <c r="J161" i="10" s="1"/>
  <c r="D109" i="3"/>
  <c r="D104" i="10" s="1"/>
  <c r="H104" i="10" s="1"/>
  <c r="C110" i="3"/>
  <c r="C105" i="10" s="1"/>
  <c r="G105" i="10" s="1"/>
  <c r="S111" i="3"/>
  <c r="Z109" i="3"/>
  <c r="Z108" i="3"/>
  <c r="W108" i="3"/>
  <c r="G108" i="3"/>
  <c r="Y107" i="3"/>
  <c r="R32" i="13" s="1"/>
  <c r="BQ32" i="13" s="1"/>
  <c r="Y108" i="3"/>
  <c r="AD106" i="3"/>
  <c r="F348" i="7"/>
  <c r="P348" i="7" s="1"/>
  <c r="F245" i="7"/>
  <c r="P245" i="7" s="1"/>
  <c r="AO102" i="7" l="1"/>
  <c r="W245" i="7"/>
  <c r="W348" i="7"/>
  <c r="N348" i="7" s="1"/>
  <c r="AH348" i="7"/>
  <c r="S348" i="7" s="1"/>
  <c r="R514" i="3"/>
  <c r="AR101" i="7"/>
  <c r="AM101" i="7"/>
  <c r="CC14" i="12"/>
  <c r="BZ14" i="12"/>
  <c r="CB14" i="12"/>
  <c r="CA14" i="12"/>
  <c r="CD14" i="12"/>
  <c r="BY14" i="12"/>
  <c r="CE14" i="12"/>
  <c r="CH14" i="12"/>
  <c r="DG14" i="12"/>
  <c r="DF14" i="12"/>
  <c r="DD14" i="12"/>
  <c r="DT14" i="12"/>
  <c r="DX14" i="12" s="1"/>
  <c r="EB14" i="12" s="1"/>
  <c r="DE14" i="12"/>
  <c r="DQ14" i="12"/>
  <c r="DN14" i="12"/>
  <c r="DO14" i="12"/>
  <c r="DP14" i="12"/>
  <c r="DU14" i="12"/>
  <c r="DY14" i="12" s="1"/>
  <c r="EC14" i="12" s="1"/>
  <c r="CW14" i="12"/>
  <c r="DS14" i="12"/>
  <c r="DW14" i="12" s="1"/>
  <c r="EA14" i="12" s="1"/>
  <c r="CT14" i="12"/>
  <c r="CV14" i="12"/>
  <c r="CU14" i="12"/>
  <c r="BF15" i="13"/>
  <c r="BH15" i="13"/>
  <c r="BG15" i="13"/>
  <c r="BK15" i="13"/>
  <c r="BI15" i="13"/>
  <c r="AO44" i="13"/>
  <c r="AR44" i="13" s="1"/>
  <c r="AZ44" i="13" s="1"/>
  <c r="AY43" i="13"/>
  <c r="EF44" i="13"/>
  <c r="EL44" i="13" s="1"/>
  <c r="FE44" i="13" s="1"/>
  <c r="N44" i="13"/>
  <c r="AC43" i="13"/>
  <c r="DJ43" i="13" s="1"/>
  <c r="AD43" i="13"/>
  <c r="BR43" i="13" s="1"/>
  <c r="ED42" i="12"/>
  <c r="AD512" i="3"/>
  <c r="AA43" i="12"/>
  <c r="CP43" i="12" s="1"/>
  <c r="AC43" i="12"/>
  <c r="DJ43" i="12" s="1"/>
  <c r="AB43" i="12"/>
  <c r="CZ43" i="12" s="1"/>
  <c r="AD43" i="12"/>
  <c r="BR43" i="12" s="1"/>
  <c r="AQ44" i="12"/>
  <c r="BU44" i="12" s="1"/>
  <c r="AS43" i="12"/>
  <c r="DV43" i="12" s="1"/>
  <c r="AO44" i="12"/>
  <c r="AI43" i="12"/>
  <c r="CQ43" i="12" s="1"/>
  <c r="AJ43" i="12"/>
  <c r="DA43" i="12" s="1"/>
  <c r="AK43" i="12"/>
  <c r="DK43" i="12" s="1"/>
  <c r="AL43" i="12"/>
  <c r="BS43" i="12" s="1"/>
  <c r="N44" i="12"/>
  <c r="Z44" i="12" s="1"/>
  <c r="F160" i="10"/>
  <c r="J160" i="10" s="1"/>
  <c r="F569" i="3"/>
  <c r="F366" i="3"/>
  <c r="T112" i="3"/>
  <c r="N517" i="3"/>
  <c r="T517" i="3" s="1"/>
  <c r="N314" i="3"/>
  <c r="T314" i="3" s="1"/>
  <c r="J515" i="3"/>
  <c r="J312" i="3"/>
  <c r="Y109" i="3"/>
  <c r="R110" i="3"/>
  <c r="H515" i="3"/>
  <c r="H312" i="3"/>
  <c r="AB578" i="3"/>
  <c r="Z515" i="3"/>
  <c r="Y514" i="3"/>
  <c r="AA514" i="3"/>
  <c r="AA513" i="3"/>
  <c r="E376" i="3"/>
  <c r="U376" i="3" s="1"/>
  <c r="E579" i="3"/>
  <c r="U579" i="3" s="1"/>
  <c r="AB579" i="3" s="1"/>
  <c r="O378" i="3"/>
  <c r="O581" i="3"/>
  <c r="F369" i="3"/>
  <c r="F572" i="3"/>
  <c r="D312" i="3"/>
  <c r="G312" i="3" s="1"/>
  <c r="D515" i="3"/>
  <c r="C313" i="3"/>
  <c r="C516" i="3"/>
  <c r="M314" i="3"/>
  <c r="S314" i="3" s="1"/>
  <c r="M517" i="3"/>
  <c r="S517" i="3" s="1"/>
  <c r="AD107" i="3"/>
  <c r="Y513" i="3"/>
  <c r="AD513" i="3" s="1"/>
  <c r="W513" i="3"/>
  <c r="AA311" i="3"/>
  <c r="AD309" i="3"/>
  <c r="AB374" i="3"/>
  <c r="AB375" i="3"/>
  <c r="AA312" i="3"/>
  <c r="Y310" i="3"/>
  <c r="AD310" i="3" s="1"/>
  <c r="W310" i="3"/>
  <c r="Y311" i="3"/>
  <c r="AB171" i="3"/>
  <c r="AB172" i="3"/>
  <c r="S245" i="7"/>
  <c r="N245" i="7"/>
  <c r="E175" i="3"/>
  <c r="E170" i="10" s="1"/>
  <c r="I170" i="10" s="1"/>
  <c r="U177" i="3"/>
  <c r="F163" i="10"/>
  <c r="J163" i="10" s="1"/>
  <c r="D110" i="3"/>
  <c r="D105" i="10" s="1"/>
  <c r="H105" i="10" s="1"/>
  <c r="C111" i="3"/>
  <c r="S112" i="3"/>
  <c r="AA108" i="3"/>
  <c r="AD108" i="3" s="1"/>
  <c r="G109" i="3"/>
  <c r="FD14" i="12" l="1"/>
  <c r="FG14" i="12" s="1"/>
  <c r="AR102" i="7"/>
  <c r="AM102" i="7"/>
  <c r="C106" i="10"/>
  <c r="G106" i="10" s="1"/>
  <c r="W31" i="13"/>
  <c r="R515" i="3"/>
  <c r="R312" i="3"/>
  <c r="CM14" i="12"/>
  <c r="CL14" i="12"/>
  <c r="BB15" i="12" s="1"/>
  <c r="BO15" i="13"/>
  <c r="DL15" i="13" s="1"/>
  <c r="DM15" i="13" s="1"/>
  <c r="BL15" i="13"/>
  <c r="BW15" i="13" s="1"/>
  <c r="BX15" i="13" s="1"/>
  <c r="BM15" i="13"/>
  <c r="CR15" i="13" s="1"/>
  <c r="CS15" i="13" s="1"/>
  <c r="BN15" i="13"/>
  <c r="DB15" i="13" s="1"/>
  <c r="ER44" i="13"/>
  <c r="EG44" i="13"/>
  <c r="EM44" i="13" s="1"/>
  <c r="EK43" i="13"/>
  <c r="EJ44" i="13"/>
  <c r="AP44" i="13"/>
  <c r="AS44" i="13" s="1"/>
  <c r="DV44" i="13" s="1"/>
  <c r="DZ44" i="13" s="1"/>
  <c r="ED44" i="13" s="1"/>
  <c r="CG44" i="13"/>
  <c r="K45" i="13"/>
  <c r="L45" i="13"/>
  <c r="AN45" i="13" s="1"/>
  <c r="AQ45" i="13" s="1"/>
  <c r="BU45" i="13" s="1"/>
  <c r="M45" i="13"/>
  <c r="AM44" i="13"/>
  <c r="BT44" i="13" s="1"/>
  <c r="U44" i="13"/>
  <c r="DI44" i="13" s="1"/>
  <c r="Y44" i="13"/>
  <c r="Q44" i="13"/>
  <c r="CJ44" i="13"/>
  <c r="V44" i="13"/>
  <c r="Z44" i="13"/>
  <c r="AH44" i="13"/>
  <c r="AL44" i="13" s="1"/>
  <c r="BS44" i="13" s="1"/>
  <c r="AG44" i="13"/>
  <c r="AK44" i="13" s="1"/>
  <c r="DK44" i="13" s="1"/>
  <c r="AF44" i="13"/>
  <c r="AJ44" i="13" s="1"/>
  <c r="DA44" i="13" s="1"/>
  <c r="AE44" i="13"/>
  <c r="AI44" i="13" s="1"/>
  <c r="CQ44" i="13" s="1"/>
  <c r="DZ43" i="12"/>
  <c r="AA515" i="3"/>
  <c r="G515" i="3"/>
  <c r="CJ44" i="12"/>
  <c r="CG44" i="12"/>
  <c r="Y44" i="12"/>
  <c r="W44" i="12"/>
  <c r="X44" i="12"/>
  <c r="AD514" i="3"/>
  <c r="AR44" i="12"/>
  <c r="AZ44" i="12" s="1"/>
  <c r="AM44" i="12"/>
  <c r="BT44" i="12" s="1"/>
  <c r="M45" i="12"/>
  <c r="L45" i="12"/>
  <c r="AN45" i="12" s="1"/>
  <c r="AP44" i="12"/>
  <c r="AE44" i="12"/>
  <c r="AF44" i="12"/>
  <c r="AG44" i="12"/>
  <c r="AH44" i="12"/>
  <c r="K45" i="12"/>
  <c r="T44" i="12"/>
  <c r="CY44" i="12" s="1"/>
  <c r="Q44" i="12"/>
  <c r="AY44" i="12" s="1"/>
  <c r="R44" i="12"/>
  <c r="BQ44" i="12" s="1"/>
  <c r="U44" i="12"/>
  <c r="DI44" i="12" s="1"/>
  <c r="V44" i="12"/>
  <c r="S44" i="12"/>
  <c r="CO44" i="12" s="1"/>
  <c r="F162" i="10"/>
  <c r="J162" i="10" s="1"/>
  <c r="F571" i="3"/>
  <c r="F368" i="3"/>
  <c r="T113" i="3"/>
  <c r="N518" i="3"/>
  <c r="T518" i="3" s="1"/>
  <c r="N315" i="3"/>
  <c r="T315" i="3" s="1"/>
  <c r="J516" i="3"/>
  <c r="J313" i="3"/>
  <c r="R111" i="3"/>
  <c r="Y110" i="3"/>
  <c r="H516" i="3"/>
  <c r="H313" i="3"/>
  <c r="W515" i="3"/>
  <c r="Y515" i="3"/>
  <c r="AD515" i="3" s="1"/>
  <c r="W514" i="3"/>
  <c r="AB580" i="3"/>
  <c r="Z516" i="3"/>
  <c r="Y312" i="3"/>
  <c r="AD312" i="3" s="1"/>
  <c r="E378" i="3"/>
  <c r="E581" i="3"/>
  <c r="U581" i="3" s="1"/>
  <c r="O380" i="3"/>
  <c r="O583" i="3"/>
  <c r="F371" i="3"/>
  <c r="F574" i="3"/>
  <c r="D313" i="3"/>
  <c r="D516" i="3"/>
  <c r="C314" i="3"/>
  <c r="C517" i="3"/>
  <c r="M315" i="3"/>
  <c r="S315" i="3" s="1"/>
  <c r="M518" i="3"/>
  <c r="S518" i="3" s="1"/>
  <c r="W312" i="3"/>
  <c r="Z313" i="3"/>
  <c r="AD311" i="3"/>
  <c r="AB376" i="3"/>
  <c r="AB377" i="3"/>
  <c r="AA313" i="3"/>
  <c r="G313" i="3"/>
  <c r="Z314" i="3"/>
  <c r="AB173" i="3"/>
  <c r="AB174" i="3"/>
  <c r="U378" i="3"/>
  <c r="AA109" i="3"/>
  <c r="AD109" i="3" s="1"/>
  <c r="W109" i="3"/>
  <c r="E177" i="3"/>
  <c r="E172" i="10" s="1"/>
  <c r="I172" i="10" s="1"/>
  <c r="U179" i="3"/>
  <c r="F165" i="10"/>
  <c r="J165" i="10" s="1"/>
  <c r="Z110" i="3"/>
  <c r="D111" i="3"/>
  <c r="C112" i="3"/>
  <c r="C107" i="10" s="1"/>
  <c r="G107" i="10" s="1"/>
  <c r="S113" i="3"/>
  <c r="G110" i="3"/>
  <c r="AA31" i="13" l="1"/>
  <c r="CP31" i="13" s="1"/>
  <c r="D106" i="10"/>
  <c r="H106" i="10" s="1"/>
  <c r="X31" i="13"/>
  <c r="BE15" i="12"/>
  <c r="R516" i="3"/>
  <c r="R313" i="3"/>
  <c r="W313" i="3" s="1"/>
  <c r="DP15" i="13"/>
  <c r="DO15" i="13"/>
  <c r="DN15" i="13"/>
  <c r="DU15" i="13"/>
  <c r="DY15" i="13" s="1"/>
  <c r="EC15" i="13" s="1"/>
  <c r="FD15" i="13" s="1"/>
  <c r="FG15" i="13" s="1"/>
  <c r="DQ15" i="13"/>
  <c r="CH15" i="13"/>
  <c r="BZ15" i="13"/>
  <c r="CI15" i="13"/>
  <c r="CK15" i="13" s="1"/>
  <c r="CA15" i="13"/>
  <c r="CD15" i="13"/>
  <c r="BY15" i="13"/>
  <c r="CC15" i="13"/>
  <c r="CB15" i="13"/>
  <c r="CE15" i="13"/>
  <c r="CU15" i="13"/>
  <c r="CT15" i="13"/>
  <c r="DS15" i="13"/>
  <c r="DW15" i="13" s="1"/>
  <c r="EA15" i="13" s="1"/>
  <c r="CV15" i="13"/>
  <c r="CW15" i="13"/>
  <c r="DC15" i="13"/>
  <c r="DG15" i="13" s="1"/>
  <c r="AO45" i="13"/>
  <c r="AR45" i="13" s="1"/>
  <c r="AZ45" i="13" s="1"/>
  <c r="AY44" i="13"/>
  <c r="EF45" i="13"/>
  <c r="EL45" i="13" s="1"/>
  <c r="FE45" i="13" s="1"/>
  <c r="N45" i="13"/>
  <c r="AC44" i="13"/>
  <c r="DJ44" i="13" s="1"/>
  <c r="AD44" i="13"/>
  <c r="BR44" i="13" s="1"/>
  <c r="ED43" i="12"/>
  <c r="AD44" i="12"/>
  <c r="BR44" i="12" s="1"/>
  <c r="AA44" i="12"/>
  <c r="CP44" i="12" s="1"/>
  <c r="AC44" i="12"/>
  <c r="DJ44" i="12" s="1"/>
  <c r="AB44" i="12"/>
  <c r="CZ44" i="12" s="1"/>
  <c r="AQ45" i="12"/>
  <c r="BU45" i="12" s="1"/>
  <c r="AS44" i="12"/>
  <c r="DV44" i="12" s="1"/>
  <c r="AO45" i="12"/>
  <c r="AI44" i="12"/>
  <c r="CQ44" i="12" s="1"/>
  <c r="AJ44" i="12"/>
  <c r="DA44" i="12" s="1"/>
  <c r="AK44" i="12"/>
  <c r="DK44" i="12" s="1"/>
  <c r="AL44" i="12"/>
  <c r="BS44" i="12" s="1"/>
  <c r="N45" i="12"/>
  <c r="Z45" i="12" s="1"/>
  <c r="F164" i="10"/>
  <c r="J164" i="10" s="1"/>
  <c r="F573" i="3"/>
  <c r="F370" i="3"/>
  <c r="T114" i="3"/>
  <c r="N519" i="3"/>
  <c r="T519" i="3" s="1"/>
  <c r="N316" i="3"/>
  <c r="T316" i="3" s="1"/>
  <c r="J517" i="3"/>
  <c r="J314" i="3"/>
  <c r="R112" i="3"/>
  <c r="Y111" i="3"/>
  <c r="R33" i="13" s="1"/>
  <c r="BQ33" i="13" s="1"/>
  <c r="H517" i="3"/>
  <c r="R517" i="3" s="1"/>
  <c r="H314" i="3"/>
  <c r="R314" i="3" s="1"/>
  <c r="AB584" i="3"/>
  <c r="AB586" i="3"/>
  <c r="AB585" i="3"/>
  <c r="AB583" i="3"/>
  <c r="AB582" i="3"/>
  <c r="Z517" i="3"/>
  <c r="AB581" i="3"/>
  <c r="G516" i="3"/>
  <c r="E380" i="3"/>
  <c r="E583" i="3"/>
  <c r="O382" i="3"/>
  <c r="O585" i="3"/>
  <c r="F373" i="3"/>
  <c r="F576" i="3"/>
  <c r="D314" i="3"/>
  <c r="D517" i="3"/>
  <c r="C315" i="3"/>
  <c r="C518" i="3"/>
  <c r="M316" i="3"/>
  <c r="S316" i="3" s="1"/>
  <c r="M519" i="3"/>
  <c r="S519" i="3" s="1"/>
  <c r="AB378" i="3"/>
  <c r="AB379" i="3"/>
  <c r="AB381" i="3"/>
  <c r="AB380" i="3"/>
  <c r="AB383" i="3"/>
  <c r="AB382" i="3"/>
  <c r="AA314" i="3"/>
  <c r="G314" i="3"/>
  <c r="AB176" i="3"/>
  <c r="AB175" i="3"/>
  <c r="Z111" i="3"/>
  <c r="S31" i="13" s="1"/>
  <c r="CO31" i="13" s="1"/>
  <c r="AA110" i="3"/>
  <c r="AD110" i="3" s="1"/>
  <c r="W110" i="3"/>
  <c r="E179" i="3"/>
  <c r="E174" i="10" s="1"/>
  <c r="I174" i="10" s="1"/>
  <c r="U181" i="3"/>
  <c r="F167" i="10"/>
  <c r="J167" i="10" s="1"/>
  <c r="W111" i="3"/>
  <c r="G111" i="3"/>
  <c r="D112" i="3"/>
  <c r="D107" i="10" s="1"/>
  <c r="H107" i="10" s="1"/>
  <c r="C113" i="3"/>
  <c r="C108" i="10" s="1"/>
  <c r="G108" i="10" s="1"/>
  <c r="S114" i="3"/>
  <c r="AB31" i="13" l="1"/>
  <c r="CZ31" i="13" s="1"/>
  <c r="BC15" i="12"/>
  <c r="CL15" i="13"/>
  <c r="BB16" i="13" s="1"/>
  <c r="CM15" i="13"/>
  <c r="DT15" i="13"/>
  <c r="DX15" i="13" s="1"/>
  <c r="EB15" i="13" s="1"/>
  <c r="DD15" i="13"/>
  <c r="DE15" i="13"/>
  <c r="DF15" i="13"/>
  <c r="EG45" i="13"/>
  <c r="EM45" i="13" s="1"/>
  <c r="ER45" i="13"/>
  <c r="EK44" i="13"/>
  <c r="EJ45" i="13"/>
  <c r="AP45" i="13"/>
  <c r="AS45" i="13" s="1"/>
  <c r="DV45" i="13" s="1"/>
  <c r="DZ45" i="13" s="1"/>
  <c r="ED45" i="13" s="1"/>
  <c r="CG45" i="13"/>
  <c r="K46" i="13"/>
  <c r="L46" i="13"/>
  <c r="AN46" i="13" s="1"/>
  <c r="AQ46" i="13" s="1"/>
  <c r="BU46" i="13" s="1"/>
  <c r="M46" i="13"/>
  <c r="AM45" i="13"/>
  <c r="BT45" i="13" s="1"/>
  <c r="Q45" i="13"/>
  <c r="V45" i="13"/>
  <c r="CJ45" i="13"/>
  <c r="Z45" i="13"/>
  <c r="Y45" i="13"/>
  <c r="U45" i="13"/>
  <c r="DI45" i="13" s="1"/>
  <c r="AH45" i="13"/>
  <c r="AL45" i="13" s="1"/>
  <c r="BS45" i="13" s="1"/>
  <c r="AG45" i="13"/>
  <c r="AK45" i="13" s="1"/>
  <c r="DK45" i="13" s="1"/>
  <c r="AF45" i="13"/>
  <c r="AJ45" i="13" s="1"/>
  <c r="DA45" i="13" s="1"/>
  <c r="AE45" i="13"/>
  <c r="AI45" i="13" s="1"/>
  <c r="CQ45" i="13" s="1"/>
  <c r="DZ44" i="12"/>
  <c r="CJ45" i="12"/>
  <c r="CG45" i="12"/>
  <c r="X45" i="12"/>
  <c r="Y45" i="12"/>
  <c r="W45" i="12"/>
  <c r="AR45" i="12"/>
  <c r="AZ45" i="12" s="1"/>
  <c r="AM45" i="12"/>
  <c r="BT45" i="12" s="1"/>
  <c r="M46" i="12"/>
  <c r="L46" i="12"/>
  <c r="AN46" i="12" s="1"/>
  <c r="AP45" i="12"/>
  <c r="AE45" i="12"/>
  <c r="AF45" i="12"/>
  <c r="AG45" i="12"/>
  <c r="AH45" i="12"/>
  <c r="V45" i="12"/>
  <c r="R45" i="12"/>
  <c r="BQ45" i="12" s="1"/>
  <c r="S45" i="12"/>
  <c r="CO45" i="12" s="1"/>
  <c r="T45" i="12"/>
  <c r="CY45" i="12" s="1"/>
  <c r="Q45" i="12"/>
  <c r="AY45" i="12" s="1"/>
  <c r="K46" i="12"/>
  <c r="U45" i="12"/>
  <c r="DI45" i="12" s="1"/>
  <c r="F166" i="10"/>
  <c r="J166" i="10" s="1"/>
  <c r="F575" i="3"/>
  <c r="F372" i="3"/>
  <c r="T115" i="3"/>
  <c r="N520" i="3"/>
  <c r="T520" i="3" s="1"/>
  <c r="N317" i="3"/>
  <c r="T317" i="3" s="1"/>
  <c r="J518" i="3"/>
  <c r="J315" i="3"/>
  <c r="R113" i="3"/>
  <c r="H518" i="3"/>
  <c r="H315" i="3"/>
  <c r="W516" i="3"/>
  <c r="Y516" i="3"/>
  <c r="Y314" i="3"/>
  <c r="AD314" i="3" s="1"/>
  <c r="Y313" i="3"/>
  <c r="AD313" i="3" s="1"/>
  <c r="AA517" i="3"/>
  <c r="AA516" i="3"/>
  <c r="Z518" i="3"/>
  <c r="Y517" i="3"/>
  <c r="G517" i="3"/>
  <c r="E382" i="3"/>
  <c r="E585" i="3"/>
  <c r="O384" i="3"/>
  <c r="O587" i="3"/>
  <c r="F375" i="3"/>
  <c r="F578" i="3"/>
  <c r="D315" i="3"/>
  <c r="D518" i="3"/>
  <c r="C316" i="3"/>
  <c r="C519" i="3"/>
  <c r="M317" i="3"/>
  <c r="S317" i="3" s="1"/>
  <c r="M520" i="3"/>
  <c r="S520" i="3" s="1"/>
  <c r="W314" i="3"/>
  <c r="Z315" i="3"/>
  <c r="G315" i="3"/>
  <c r="AA315" i="3"/>
  <c r="AB178" i="3"/>
  <c r="AB177" i="3"/>
  <c r="E181" i="3"/>
  <c r="E176" i="10" s="1"/>
  <c r="I176" i="10" s="1"/>
  <c r="U183" i="3"/>
  <c r="F169" i="10"/>
  <c r="J169" i="10" s="1"/>
  <c r="AA111" i="3"/>
  <c r="Z112" i="3"/>
  <c r="G112" i="3"/>
  <c r="D113" i="3"/>
  <c r="D108" i="10" s="1"/>
  <c r="H108" i="10" s="1"/>
  <c r="C114" i="3"/>
  <c r="C109" i="10" s="1"/>
  <c r="G109" i="10" s="1"/>
  <c r="S115" i="3"/>
  <c r="AD111" i="3" l="1"/>
  <c r="T31" i="13"/>
  <c r="CY31" i="13" s="1"/>
  <c r="R518" i="3"/>
  <c r="R315" i="3"/>
  <c r="W315" i="3" s="1"/>
  <c r="BK15" i="12"/>
  <c r="BF15" i="12"/>
  <c r="BG15" i="12"/>
  <c r="BH15" i="12"/>
  <c r="BI15" i="12"/>
  <c r="BE16" i="13"/>
  <c r="BD16" i="13"/>
  <c r="EQ16" i="13" s="1"/>
  <c r="ES16" i="13" s="1"/>
  <c r="AY45" i="13"/>
  <c r="N46" i="13"/>
  <c r="EF46" i="13"/>
  <c r="EL46" i="13" s="1"/>
  <c r="FE46" i="13" s="1"/>
  <c r="AO46" i="13"/>
  <c r="AR46" i="13" s="1"/>
  <c r="AZ46" i="13" s="1"/>
  <c r="AD45" i="13"/>
  <c r="BR45" i="13" s="1"/>
  <c r="AC45" i="13"/>
  <c r="DJ45" i="13" s="1"/>
  <c r="ED44" i="12"/>
  <c r="AD517" i="3"/>
  <c r="AB45" i="12"/>
  <c r="CZ45" i="12" s="1"/>
  <c r="AC45" i="12"/>
  <c r="DJ45" i="12" s="1"/>
  <c r="AA45" i="12"/>
  <c r="CP45" i="12" s="1"/>
  <c r="AD45" i="12"/>
  <c r="BR45" i="12" s="1"/>
  <c r="AQ46" i="12"/>
  <c r="BU46" i="12" s="1"/>
  <c r="AS45" i="12"/>
  <c r="DV45" i="12" s="1"/>
  <c r="AO46" i="12"/>
  <c r="AI45" i="12"/>
  <c r="CQ45" i="12" s="1"/>
  <c r="AJ45" i="12"/>
  <c r="DA45" i="12" s="1"/>
  <c r="AK45" i="12"/>
  <c r="DK45" i="12" s="1"/>
  <c r="AL45" i="12"/>
  <c r="BS45" i="12" s="1"/>
  <c r="N46" i="12"/>
  <c r="Z46" i="12" s="1"/>
  <c r="F168" i="10"/>
  <c r="J168" i="10" s="1"/>
  <c r="F577" i="3"/>
  <c r="F374" i="3"/>
  <c r="T116" i="3"/>
  <c r="N521" i="3"/>
  <c r="T521" i="3" s="1"/>
  <c r="N318" i="3"/>
  <c r="T318" i="3" s="1"/>
  <c r="J519" i="3"/>
  <c r="J316" i="3"/>
  <c r="R114" i="3"/>
  <c r="H519" i="3"/>
  <c r="R519" i="3" s="1"/>
  <c r="Y519" i="3" s="1"/>
  <c r="H316" i="3"/>
  <c r="R316" i="3" s="1"/>
  <c r="Y316" i="3" s="1"/>
  <c r="Y113" i="3"/>
  <c r="Y112" i="3"/>
  <c r="W518" i="3"/>
  <c r="Y518" i="3"/>
  <c r="W517" i="3"/>
  <c r="Z519" i="3"/>
  <c r="AD516" i="3"/>
  <c r="Y315" i="3"/>
  <c r="AD315" i="3" s="1"/>
  <c r="G518" i="3"/>
  <c r="E384" i="3"/>
  <c r="U384" i="3" s="1"/>
  <c r="E587" i="3"/>
  <c r="U587" i="3" s="1"/>
  <c r="O386" i="3"/>
  <c r="O589" i="3"/>
  <c r="F377" i="3"/>
  <c r="F580" i="3"/>
  <c r="D316" i="3"/>
  <c r="D519" i="3"/>
  <c r="C317" i="3"/>
  <c r="C520" i="3"/>
  <c r="M318" i="3"/>
  <c r="S318" i="3" s="1"/>
  <c r="M521" i="3"/>
  <c r="S521" i="3" s="1"/>
  <c r="Z316" i="3"/>
  <c r="G316" i="3"/>
  <c r="AB180" i="3"/>
  <c r="AB179" i="3"/>
  <c r="W112" i="3"/>
  <c r="AA112" i="3"/>
  <c r="E183" i="3"/>
  <c r="E178" i="10" s="1"/>
  <c r="I178" i="10" s="1"/>
  <c r="U185" i="3"/>
  <c r="F171" i="10"/>
  <c r="J171" i="10" s="1"/>
  <c r="G113" i="3"/>
  <c r="D114" i="3"/>
  <c r="D109" i="10" s="1"/>
  <c r="H109" i="10" s="1"/>
  <c r="C115" i="3"/>
  <c r="C110" i="10" s="1"/>
  <c r="G110" i="10" s="1"/>
  <c r="S116" i="3"/>
  <c r="Z113" i="3"/>
  <c r="BL15" i="12" l="1"/>
  <c r="BW15" i="12" s="1"/>
  <c r="BO15" i="12"/>
  <c r="DL15" i="12" s="1"/>
  <c r="BM15" i="12"/>
  <c r="CR15" i="12" s="1"/>
  <c r="BN15" i="12"/>
  <c r="DB15" i="12" s="1"/>
  <c r="DC15" i="12" s="1"/>
  <c r="EV16" i="13"/>
  <c r="EY16" i="13" s="1"/>
  <c r="FB16" i="13" s="1"/>
  <c r="FF16" i="13" s="1"/>
  <c r="ET16" i="13"/>
  <c r="EW16" i="13" s="1"/>
  <c r="EZ16" i="13" s="1"/>
  <c r="EU16" i="13"/>
  <c r="EX16" i="13" s="1"/>
  <c r="FA16" i="13" s="1"/>
  <c r="BC16" i="13"/>
  <c r="ER46" i="13"/>
  <c r="EG46" i="13"/>
  <c r="EM46" i="13" s="1"/>
  <c r="EK45" i="13"/>
  <c r="EJ46" i="13"/>
  <c r="AM46" i="13"/>
  <c r="BT46" i="13" s="1"/>
  <c r="AP46" i="13"/>
  <c r="AS46" i="13" s="1"/>
  <c r="DV46" i="13" s="1"/>
  <c r="DZ46" i="13" s="1"/>
  <c r="ED46" i="13" s="1"/>
  <c r="CG46" i="13"/>
  <c r="K47" i="13"/>
  <c r="L47" i="13"/>
  <c r="AN47" i="13" s="1"/>
  <c r="AQ47" i="13" s="1"/>
  <c r="BU47" i="13" s="1"/>
  <c r="M47" i="13"/>
  <c r="V46" i="13"/>
  <c r="CJ46" i="13"/>
  <c r="U46" i="13"/>
  <c r="DI46" i="13" s="1"/>
  <c r="Y46" i="13"/>
  <c r="Q46" i="13"/>
  <c r="Z46" i="13"/>
  <c r="AH46" i="13"/>
  <c r="AL46" i="13" s="1"/>
  <c r="BS46" i="13" s="1"/>
  <c r="AG46" i="13"/>
  <c r="AK46" i="13" s="1"/>
  <c r="DK46" i="13" s="1"/>
  <c r="AF46" i="13"/>
  <c r="AJ46" i="13" s="1"/>
  <c r="DA46" i="13" s="1"/>
  <c r="AE46" i="13"/>
  <c r="AI46" i="13" s="1"/>
  <c r="CQ46" i="13" s="1"/>
  <c r="DZ45" i="12"/>
  <c r="CJ46" i="12"/>
  <c r="CG46" i="12"/>
  <c r="W46" i="12"/>
  <c r="Y46" i="12"/>
  <c r="X46" i="12"/>
  <c r="AD112" i="3"/>
  <c r="AR46" i="12"/>
  <c r="AZ46" i="12" s="1"/>
  <c r="AM46" i="12"/>
  <c r="BT46" i="12" s="1"/>
  <c r="M47" i="12"/>
  <c r="L47" i="12"/>
  <c r="AN47" i="12" s="1"/>
  <c r="AP46" i="12"/>
  <c r="AE46" i="12"/>
  <c r="AF46" i="12"/>
  <c r="AG46" i="12"/>
  <c r="AH46" i="12"/>
  <c r="U46" i="12"/>
  <c r="DI46" i="12" s="1"/>
  <c r="V46" i="12"/>
  <c r="R46" i="12"/>
  <c r="BQ46" i="12" s="1"/>
  <c r="S46" i="12"/>
  <c r="CO46" i="12" s="1"/>
  <c r="T46" i="12"/>
  <c r="CY46" i="12" s="1"/>
  <c r="Q46" i="12"/>
  <c r="AY46" i="12" s="1"/>
  <c r="K47" i="12"/>
  <c r="F170" i="10"/>
  <c r="J170" i="10" s="1"/>
  <c r="F579" i="3"/>
  <c r="F376" i="3"/>
  <c r="T117" i="3"/>
  <c r="N522" i="3"/>
  <c r="T522" i="3" s="1"/>
  <c r="N319" i="3"/>
  <c r="T319" i="3" s="1"/>
  <c r="J520" i="3"/>
  <c r="J317" i="3"/>
  <c r="R115" i="3"/>
  <c r="H520" i="3"/>
  <c r="H317" i="3"/>
  <c r="W519" i="3"/>
  <c r="AA519" i="3"/>
  <c r="AD519" i="3" s="1"/>
  <c r="AA518" i="3"/>
  <c r="AD518" i="3" s="1"/>
  <c r="AB587" i="3"/>
  <c r="AB588" i="3"/>
  <c r="Z520" i="3"/>
  <c r="W113" i="3"/>
  <c r="G519" i="3"/>
  <c r="AA316" i="3"/>
  <c r="AD316" i="3" s="1"/>
  <c r="W316" i="3"/>
  <c r="E386" i="3"/>
  <c r="E589" i="3"/>
  <c r="U589" i="3" s="1"/>
  <c r="AB589" i="3" s="1"/>
  <c r="O388" i="3"/>
  <c r="O591" i="3"/>
  <c r="F379" i="3"/>
  <c r="F582" i="3"/>
  <c r="D317" i="3"/>
  <c r="D520" i="3"/>
  <c r="G520" i="3" s="1"/>
  <c r="C318" i="3"/>
  <c r="C521" i="3"/>
  <c r="M319" i="3"/>
  <c r="S319" i="3" s="1"/>
  <c r="M522" i="3"/>
  <c r="S522" i="3" s="1"/>
  <c r="Z317" i="3"/>
  <c r="AB182" i="3"/>
  <c r="AB181" i="3"/>
  <c r="AB385" i="3"/>
  <c r="AB384" i="3"/>
  <c r="G317" i="3"/>
  <c r="U386" i="3"/>
  <c r="Z114" i="3"/>
  <c r="E185" i="3"/>
  <c r="E180" i="10" s="1"/>
  <c r="I180" i="10" s="1"/>
  <c r="U187" i="3"/>
  <c r="F173" i="10"/>
  <c r="J173" i="10" s="1"/>
  <c r="AA113" i="3"/>
  <c r="AD113" i="3" s="1"/>
  <c r="G114" i="3"/>
  <c r="D115" i="3"/>
  <c r="D110" i="10" s="1"/>
  <c r="H110" i="10" s="1"/>
  <c r="C116" i="3"/>
  <c r="S117" i="3"/>
  <c r="C111" i="10" l="1"/>
  <c r="G111" i="10" s="1"/>
  <c r="W32" i="13"/>
  <c r="R317" i="3"/>
  <c r="W317" i="3" s="1"/>
  <c r="R520" i="3"/>
  <c r="CS15" i="12"/>
  <c r="DF15" i="12"/>
  <c r="DD15" i="12"/>
  <c r="DT15" i="12"/>
  <c r="DX15" i="12" s="1"/>
  <c r="EB15" i="12" s="1"/>
  <c r="DG15" i="12"/>
  <c r="DE15" i="12"/>
  <c r="BX15" i="12"/>
  <c r="CE15" i="12" s="1"/>
  <c r="DM15" i="12"/>
  <c r="DQ15" i="12" s="1"/>
  <c r="BH16" i="13"/>
  <c r="BK16" i="13"/>
  <c r="BF16" i="13"/>
  <c r="BG16" i="13"/>
  <c r="BI16" i="13"/>
  <c r="AY46" i="13"/>
  <c r="EF47" i="13"/>
  <c r="EL47" i="13" s="1"/>
  <c r="FE47" i="13" s="1"/>
  <c r="N47" i="13"/>
  <c r="AM47" i="13" s="1"/>
  <c r="BT47" i="13" s="1"/>
  <c r="AO47" i="13"/>
  <c r="AR47" i="13" s="1"/>
  <c r="AZ47" i="13" s="1"/>
  <c r="AC46" i="13"/>
  <c r="DJ46" i="13" s="1"/>
  <c r="AD46" i="13"/>
  <c r="BR46" i="13" s="1"/>
  <c r="ED45" i="12"/>
  <c r="AA46" i="12"/>
  <c r="CP46" i="12" s="1"/>
  <c r="AC46" i="12"/>
  <c r="DJ46" i="12" s="1"/>
  <c r="AB46" i="12"/>
  <c r="CZ46" i="12" s="1"/>
  <c r="AD46" i="12"/>
  <c r="BR46" i="12" s="1"/>
  <c r="AQ47" i="12"/>
  <c r="BU47" i="12" s="1"/>
  <c r="AS46" i="12"/>
  <c r="DV46" i="12" s="1"/>
  <c r="AO47" i="12"/>
  <c r="AI46" i="12"/>
  <c r="CQ46" i="12" s="1"/>
  <c r="AJ46" i="12"/>
  <c r="DA46" i="12" s="1"/>
  <c r="AK46" i="12"/>
  <c r="DK46" i="12" s="1"/>
  <c r="AL46" i="12"/>
  <c r="BS46" i="12" s="1"/>
  <c r="N47" i="12"/>
  <c r="Z47" i="12" s="1"/>
  <c r="F172" i="10"/>
  <c r="J172" i="10" s="1"/>
  <c r="F581" i="3"/>
  <c r="F378" i="3"/>
  <c r="T118" i="3"/>
  <c r="N523" i="3"/>
  <c r="T523" i="3" s="1"/>
  <c r="N320" i="3"/>
  <c r="T320" i="3" s="1"/>
  <c r="J521" i="3"/>
  <c r="J318" i="3"/>
  <c r="R116" i="3"/>
  <c r="H521" i="3"/>
  <c r="R521" i="3" s="1"/>
  <c r="Y521" i="3" s="1"/>
  <c r="H318" i="3"/>
  <c r="R318" i="3" s="1"/>
  <c r="AB590" i="3"/>
  <c r="AA520" i="3"/>
  <c r="Z521" i="3"/>
  <c r="W114" i="3"/>
  <c r="Y114" i="3"/>
  <c r="R34" i="13" s="1"/>
  <c r="BQ34" i="13" s="1"/>
  <c r="Y317" i="3"/>
  <c r="E388" i="3"/>
  <c r="U388" i="3" s="1"/>
  <c r="E591" i="3"/>
  <c r="U591" i="3" s="1"/>
  <c r="AB591" i="3" s="1"/>
  <c r="O390" i="3"/>
  <c r="O593" i="3"/>
  <c r="F381" i="3"/>
  <c r="F584" i="3"/>
  <c r="D318" i="3"/>
  <c r="G318" i="3" s="1"/>
  <c r="D521" i="3"/>
  <c r="C319" i="3"/>
  <c r="C522" i="3"/>
  <c r="M320" i="3"/>
  <c r="S320" i="3" s="1"/>
  <c r="M523" i="3"/>
  <c r="S523" i="3" s="1"/>
  <c r="AA317" i="3"/>
  <c r="Z318" i="3"/>
  <c r="AB386" i="3"/>
  <c r="AB387" i="3"/>
  <c r="AA318" i="3"/>
  <c r="AB184" i="3"/>
  <c r="AB183" i="3"/>
  <c r="AB185" i="3"/>
  <c r="AB186" i="3"/>
  <c r="E187" i="3"/>
  <c r="E182" i="10" s="1"/>
  <c r="I182" i="10" s="1"/>
  <c r="U189" i="3"/>
  <c r="F175" i="10"/>
  <c r="J175" i="10" s="1"/>
  <c r="Z115" i="3"/>
  <c r="G115" i="3"/>
  <c r="D116" i="3"/>
  <c r="C117" i="3"/>
  <c r="C112" i="10" s="1"/>
  <c r="G112" i="10" s="1"/>
  <c r="S118" i="3"/>
  <c r="AA114" i="3"/>
  <c r="AA32" i="13" l="1"/>
  <c r="CP32" i="13" s="1"/>
  <c r="D111" i="10"/>
  <c r="H111" i="10" s="1"/>
  <c r="X32" i="13"/>
  <c r="CT15" i="12"/>
  <c r="CW15" i="12"/>
  <c r="Y520" i="3"/>
  <c r="AD520" i="3" s="1"/>
  <c r="W520" i="3"/>
  <c r="AD317" i="3"/>
  <c r="CV15" i="12"/>
  <c r="CU15" i="12"/>
  <c r="DS15" i="12"/>
  <c r="DW15" i="12" s="1"/>
  <c r="EA15" i="12" s="1"/>
  <c r="CI15" i="12"/>
  <c r="CK15" i="12" s="1"/>
  <c r="CA15" i="12"/>
  <c r="CD15" i="12"/>
  <c r="CC15" i="12"/>
  <c r="CB15" i="12"/>
  <c r="BZ15" i="12"/>
  <c r="CH15" i="12"/>
  <c r="BY15" i="12"/>
  <c r="DO15" i="12"/>
  <c r="DN15" i="12"/>
  <c r="DU15" i="12"/>
  <c r="DY15" i="12" s="1"/>
  <c r="EC15" i="12" s="1"/>
  <c r="FD15" i="12" s="1"/>
  <c r="FG15" i="12" s="1"/>
  <c r="DP15" i="12"/>
  <c r="BM16" i="13"/>
  <c r="CR16" i="13" s="1"/>
  <c r="CS16" i="13" s="1"/>
  <c r="BN16" i="13"/>
  <c r="DB16" i="13" s="1"/>
  <c r="DC16" i="13" s="1"/>
  <c r="BO16" i="13"/>
  <c r="DL16" i="13" s="1"/>
  <c r="DM16" i="13" s="1"/>
  <c r="BL16" i="13"/>
  <c r="BW16" i="13" s="1"/>
  <c r="BX16" i="13" s="1"/>
  <c r="ER47" i="13"/>
  <c r="EG47" i="13"/>
  <c r="EM47" i="13" s="1"/>
  <c r="EK46" i="13"/>
  <c r="EJ47" i="13"/>
  <c r="Q47" i="13"/>
  <c r="AG47" i="13"/>
  <c r="AK47" i="13" s="1"/>
  <c r="DK47" i="13" s="1"/>
  <c r="AE47" i="13"/>
  <c r="AI47" i="13" s="1"/>
  <c r="CQ47" i="13" s="1"/>
  <c r="AH47" i="13"/>
  <c r="AL47" i="13" s="1"/>
  <c r="BS47" i="13" s="1"/>
  <c r="AF47" i="13"/>
  <c r="AJ47" i="13" s="1"/>
  <c r="DA47" i="13" s="1"/>
  <c r="AP47" i="13"/>
  <c r="AS47" i="13" s="1"/>
  <c r="DV47" i="13" s="1"/>
  <c r="DZ47" i="13" s="1"/>
  <c r="ED47" i="13" s="1"/>
  <c r="CG47" i="13"/>
  <c r="K48" i="13"/>
  <c r="L48" i="13"/>
  <c r="AN48" i="13" s="1"/>
  <c r="AQ48" i="13" s="1"/>
  <c r="BU48" i="13" s="1"/>
  <c r="M48" i="13"/>
  <c r="Y47" i="13"/>
  <c r="AC47" i="13" s="1"/>
  <c r="DJ47" i="13" s="1"/>
  <c r="U47" i="13"/>
  <c r="DI47" i="13" s="1"/>
  <c r="Z47" i="13"/>
  <c r="AD47" i="13" s="1"/>
  <c r="BR47" i="13" s="1"/>
  <c r="V47" i="13"/>
  <c r="CJ47" i="13"/>
  <c r="DZ46" i="12"/>
  <c r="CJ47" i="12"/>
  <c r="CG47" i="12"/>
  <c r="X47" i="12"/>
  <c r="Y47" i="12"/>
  <c r="W47" i="12"/>
  <c r="AD114" i="3"/>
  <c r="AR47" i="12"/>
  <c r="AZ47" i="12" s="1"/>
  <c r="AM47" i="12"/>
  <c r="BT47" i="12" s="1"/>
  <c r="M48" i="12"/>
  <c r="L48" i="12"/>
  <c r="AN48" i="12" s="1"/>
  <c r="AP47" i="12"/>
  <c r="AE47" i="12"/>
  <c r="AF47" i="12"/>
  <c r="AG47" i="12"/>
  <c r="AH47" i="12"/>
  <c r="V47" i="12"/>
  <c r="S47" i="12"/>
  <c r="CO47" i="12" s="1"/>
  <c r="T47" i="12"/>
  <c r="CY47" i="12" s="1"/>
  <c r="Q47" i="12"/>
  <c r="AY47" i="12" s="1"/>
  <c r="K48" i="12"/>
  <c r="R47" i="12"/>
  <c r="BQ47" i="12" s="1"/>
  <c r="U47" i="12"/>
  <c r="DI47" i="12" s="1"/>
  <c r="F174" i="10"/>
  <c r="J174" i="10" s="1"/>
  <c r="F583" i="3"/>
  <c r="F380" i="3"/>
  <c r="T119" i="3"/>
  <c r="N524" i="3"/>
  <c r="T524" i="3" s="1"/>
  <c r="N321" i="3"/>
  <c r="T321" i="3" s="1"/>
  <c r="J522" i="3"/>
  <c r="J319" i="3"/>
  <c r="R117" i="3"/>
  <c r="H522" i="3"/>
  <c r="H319" i="3"/>
  <c r="W521" i="3"/>
  <c r="AB592" i="3"/>
  <c r="Z522" i="3"/>
  <c r="Y115" i="3"/>
  <c r="Y318" i="3"/>
  <c r="AD318" i="3" s="1"/>
  <c r="W318" i="3"/>
  <c r="AA521" i="3"/>
  <c r="AD521" i="3" s="1"/>
  <c r="G521" i="3"/>
  <c r="E390" i="3"/>
  <c r="E593" i="3"/>
  <c r="U593" i="3" s="1"/>
  <c r="AB593" i="3" s="1"/>
  <c r="O392" i="3"/>
  <c r="O595" i="3"/>
  <c r="F383" i="3"/>
  <c r="F586" i="3"/>
  <c r="D319" i="3"/>
  <c r="G319" i="3" s="1"/>
  <c r="D522" i="3"/>
  <c r="C320" i="3"/>
  <c r="C523" i="3"/>
  <c r="M321" i="3"/>
  <c r="S321" i="3" s="1"/>
  <c r="M524" i="3"/>
  <c r="S524" i="3" s="1"/>
  <c r="Z319" i="3"/>
  <c r="AB388" i="3"/>
  <c r="AB389" i="3"/>
  <c r="Z320" i="3"/>
  <c r="AB187" i="3"/>
  <c r="U390" i="3"/>
  <c r="AB390" i="3" s="1"/>
  <c r="AA115" i="3"/>
  <c r="W115" i="3"/>
  <c r="Z116" i="3"/>
  <c r="S32" i="13" s="1"/>
  <c r="CO32" i="13" s="1"/>
  <c r="AB188" i="3"/>
  <c r="E189" i="3"/>
  <c r="E184" i="10" s="1"/>
  <c r="I184" i="10" s="1"/>
  <c r="U191" i="3"/>
  <c r="F177" i="10"/>
  <c r="J177" i="10" s="1"/>
  <c r="G116" i="3"/>
  <c r="D117" i="3"/>
  <c r="D112" i="10" s="1"/>
  <c r="H112" i="10" s="1"/>
  <c r="C118" i="3"/>
  <c r="C113" i="10" s="1"/>
  <c r="G113" i="10" s="1"/>
  <c r="S119" i="3"/>
  <c r="AB32" i="13" l="1"/>
  <c r="CZ32" i="13" s="1"/>
  <c r="R522" i="3"/>
  <c r="Y522" i="3" s="1"/>
  <c r="R319" i="3"/>
  <c r="CM15" i="12"/>
  <c r="CL15" i="12"/>
  <c r="BB16" i="12" s="1"/>
  <c r="CU16" i="13"/>
  <c r="CT16" i="13"/>
  <c r="CV16" i="13"/>
  <c r="DS16" i="13"/>
  <c r="DW16" i="13" s="1"/>
  <c r="EA16" i="13" s="1"/>
  <c r="CW16" i="13"/>
  <c r="DT16" i="13"/>
  <c r="DX16" i="13" s="1"/>
  <c r="EB16" i="13" s="1"/>
  <c r="DD16" i="13"/>
  <c r="DE16" i="13"/>
  <c r="DF16" i="13"/>
  <c r="DG16" i="13"/>
  <c r="DU16" i="13"/>
  <c r="DY16" i="13" s="1"/>
  <c r="EC16" i="13" s="1"/>
  <c r="FD16" i="13" s="1"/>
  <c r="FG16" i="13" s="1"/>
  <c r="DP16" i="13"/>
  <c r="DN16" i="13"/>
  <c r="DO16" i="13"/>
  <c r="DQ16" i="13"/>
  <c r="CH16" i="13"/>
  <c r="BZ16" i="13"/>
  <c r="BY16" i="13"/>
  <c r="CI16" i="13"/>
  <c r="CK16" i="13" s="1"/>
  <c r="CA16" i="13"/>
  <c r="CD16" i="13"/>
  <c r="CC16" i="13"/>
  <c r="CB16" i="13"/>
  <c r="CE16" i="13"/>
  <c r="AO48" i="13"/>
  <c r="AR48" i="13" s="1"/>
  <c r="AZ48" i="13" s="1"/>
  <c r="AY47" i="13"/>
  <c r="EF48" i="13"/>
  <c r="EL48" i="13" s="1"/>
  <c r="FE48" i="13" s="1"/>
  <c r="N48" i="13"/>
  <c r="ED46" i="12"/>
  <c r="AD115" i="3"/>
  <c r="AB47" i="12"/>
  <c r="CZ47" i="12" s="1"/>
  <c r="AA47" i="12"/>
  <c r="CP47" i="12" s="1"/>
  <c r="AD47" i="12"/>
  <c r="BR47" i="12" s="1"/>
  <c r="AC47" i="12"/>
  <c r="DJ47" i="12" s="1"/>
  <c r="AQ48" i="12"/>
  <c r="BU48" i="12" s="1"/>
  <c r="AS47" i="12"/>
  <c r="DV47" i="12" s="1"/>
  <c r="AO48" i="12"/>
  <c r="AI47" i="12"/>
  <c r="CQ47" i="12" s="1"/>
  <c r="AJ47" i="12"/>
  <c r="DA47" i="12" s="1"/>
  <c r="AK47" i="12"/>
  <c r="DK47" i="12" s="1"/>
  <c r="AL47" i="12"/>
  <c r="BS47" i="12" s="1"/>
  <c r="N48" i="12"/>
  <c r="Z48" i="12" s="1"/>
  <c r="F176" i="10"/>
  <c r="J176" i="10" s="1"/>
  <c r="F585" i="3"/>
  <c r="F382" i="3"/>
  <c r="T120" i="3"/>
  <c r="N525" i="3"/>
  <c r="T525" i="3" s="1"/>
  <c r="N322" i="3"/>
  <c r="T322" i="3" s="1"/>
  <c r="J523" i="3"/>
  <c r="J320" i="3"/>
  <c r="R118" i="3"/>
  <c r="H523" i="3"/>
  <c r="R523" i="3" s="1"/>
  <c r="H320" i="3"/>
  <c r="W522" i="3"/>
  <c r="AB594" i="3"/>
  <c r="Z523" i="3"/>
  <c r="Y116" i="3"/>
  <c r="Y117" i="3"/>
  <c r="Y319" i="3"/>
  <c r="G522" i="3"/>
  <c r="E392" i="3"/>
  <c r="E595" i="3"/>
  <c r="U595" i="3" s="1"/>
  <c r="AB595" i="3" s="1"/>
  <c r="O394" i="3"/>
  <c r="O597" i="3"/>
  <c r="F385" i="3"/>
  <c r="F588" i="3"/>
  <c r="D320" i="3"/>
  <c r="G320" i="3" s="1"/>
  <c r="D523" i="3"/>
  <c r="G523" i="3" s="1"/>
  <c r="C321" i="3"/>
  <c r="C524" i="3"/>
  <c r="M322" i="3"/>
  <c r="S322" i="3" s="1"/>
  <c r="M525" i="3"/>
  <c r="S525" i="3" s="1"/>
  <c r="W319" i="3"/>
  <c r="AA319" i="3"/>
  <c r="AB391" i="3"/>
  <c r="AA320" i="3"/>
  <c r="W116" i="3"/>
  <c r="AA116" i="3"/>
  <c r="T32" i="13" s="1"/>
  <c r="CY32" i="13" s="1"/>
  <c r="AB189" i="3"/>
  <c r="U392" i="3"/>
  <c r="AB392" i="3" s="1"/>
  <c r="AB190" i="3"/>
  <c r="E191" i="3"/>
  <c r="E186" i="10" s="1"/>
  <c r="I186" i="10" s="1"/>
  <c r="U193" i="3"/>
  <c r="F179" i="10"/>
  <c r="J179" i="10" s="1"/>
  <c r="Z117" i="3"/>
  <c r="W117" i="3"/>
  <c r="G117" i="3"/>
  <c r="Z118" i="3"/>
  <c r="D118" i="3"/>
  <c r="D113" i="10" s="1"/>
  <c r="H113" i="10" s="1"/>
  <c r="C119" i="3"/>
  <c r="C114" i="10" s="1"/>
  <c r="G114" i="10" s="1"/>
  <c r="S120" i="3"/>
  <c r="BE16" i="12" l="1"/>
  <c r="R320" i="3"/>
  <c r="CL16" i="13"/>
  <c r="BB17" i="13" s="1"/>
  <c r="CM16" i="13"/>
  <c r="EG48" i="13"/>
  <c r="EM48" i="13" s="1"/>
  <c r="ER48" i="13"/>
  <c r="EK47" i="13"/>
  <c r="EJ48" i="13"/>
  <c r="AP48" i="13"/>
  <c r="AS48" i="13" s="1"/>
  <c r="DV48" i="13" s="1"/>
  <c r="DZ48" i="13" s="1"/>
  <c r="ED48" i="13" s="1"/>
  <c r="K49" i="13"/>
  <c r="AM48" i="13"/>
  <c r="BT48" i="13" s="1"/>
  <c r="CJ48" i="13"/>
  <c r="U48" i="13"/>
  <c r="DI48" i="13" s="1"/>
  <c r="Z48" i="13"/>
  <c r="AD48" i="13" s="1"/>
  <c r="BR48" i="13" s="1"/>
  <c r="Y48" i="13"/>
  <c r="V48" i="13"/>
  <c r="Q48" i="13"/>
  <c r="AH48" i="13"/>
  <c r="AL48" i="13" s="1"/>
  <c r="BS48" i="13" s="1"/>
  <c r="AG48" i="13"/>
  <c r="AK48" i="13" s="1"/>
  <c r="DK48" i="13" s="1"/>
  <c r="AF48" i="13"/>
  <c r="AJ48" i="13" s="1"/>
  <c r="DA48" i="13" s="1"/>
  <c r="AE48" i="13"/>
  <c r="AI48" i="13" s="1"/>
  <c r="CQ48" i="13" s="1"/>
  <c r="CG48" i="13"/>
  <c r="M49" i="13"/>
  <c r="L49" i="13"/>
  <c r="AN49" i="13" s="1"/>
  <c r="AQ49" i="13" s="1"/>
  <c r="BU49" i="13" s="1"/>
  <c r="DZ47" i="12"/>
  <c r="CJ48" i="12"/>
  <c r="CG48" i="12"/>
  <c r="Y48" i="12"/>
  <c r="W48" i="12"/>
  <c r="X48" i="12"/>
  <c r="AD320" i="3"/>
  <c r="AD116" i="3"/>
  <c r="AR48" i="12"/>
  <c r="AZ48" i="12" s="1"/>
  <c r="AM48" i="12"/>
  <c r="BT48" i="12" s="1"/>
  <c r="M49" i="12"/>
  <c r="L49" i="12"/>
  <c r="AN49" i="12" s="1"/>
  <c r="AP48" i="12"/>
  <c r="AE48" i="12"/>
  <c r="AF48" i="12"/>
  <c r="AG48" i="12"/>
  <c r="AH48" i="12"/>
  <c r="U48" i="12"/>
  <c r="DI48" i="12" s="1"/>
  <c r="Q48" i="12"/>
  <c r="AY48" i="12" s="1"/>
  <c r="K49" i="12"/>
  <c r="V48" i="12"/>
  <c r="R48" i="12"/>
  <c r="BQ48" i="12" s="1"/>
  <c r="S48" i="12"/>
  <c r="CO48" i="12" s="1"/>
  <c r="T48" i="12"/>
  <c r="CY48" i="12" s="1"/>
  <c r="F178" i="10"/>
  <c r="J178" i="10" s="1"/>
  <c r="F587" i="3"/>
  <c r="F384" i="3"/>
  <c r="T121" i="3"/>
  <c r="N526" i="3"/>
  <c r="T526" i="3" s="1"/>
  <c r="N323" i="3"/>
  <c r="T323" i="3" s="1"/>
  <c r="J524" i="3"/>
  <c r="J321" i="3"/>
  <c r="R119" i="3"/>
  <c r="Y118" i="3"/>
  <c r="R35" i="13" s="1"/>
  <c r="BQ35" i="13" s="1"/>
  <c r="H524" i="3"/>
  <c r="R524" i="3" s="1"/>
  <c r="H321" i="3"/>
  <c r="AA523" i="3"/>
  <c r="AA522" i="3"/>
  <c r="AD522" i="3" s="1"/>
  <c r="AB596" i="3"/>
  <c r="Z524" i="3"/>
  <c r="AD319" i="3"/>
  <c r="E394" i="3"/>
  <c r="U394" i="3" s="1"/>
  <c r="E597" i="3"/>
  <c r="U597" i="3" s="1"/>
  <c r="AB597" i="3" s="1"/>
  <c r="O396" i="3"/>
  <c r="O599" i="3"/>
  <c r="F387" i="3"/>
  <c r="F590" i="3"/>
  <c r="D321" i="3"/>
  <c r="D524" i="3"/>
  <c r="C322" i="3"/>
  <c r="C525" i="3"/>
  <c r="M323" i="3"/>
  <c r="S323" i="3" s="1"/>
  <c r="M526" i="3"/>
  <c r="S526" i="3" s="1"/>
  <c r="Z321" i="3"/>
  <c r="AB393" i="3"/>
  <c r="AA321" i="3"/>
  <c r="G321" i="3"/>
  <c r="Z322" i="3"/>
  <c r="AB191" i="3"/>
  <c r="AB192" i="3"/>
  <c r="E193" i="3"/>
  <c r="E188" i="10" s="1"/>
  <c r="I188" i="10" s="1"/>
  <c r="U195" i="3"/>
  <c r="F181" i="10"/>
  <c r="J181" i="10" s="1"/>
  <c r="AA117" i="3"/>
  <c r="AD117" i="3" s="1"/>
  <c r="G118" i="3"/>
  <c r="D119" i="3"/>
  <c r="D114" i="10" s="1"/>
  <c r="H114" i="10" s="1"/>
  <c r="C120" i="3"/>
  <c r="S121" i="3"/>
  <c r="C115" i="10" l="1"/>
  <c r="G115" i="10" s="1"/>
  <c r="W33" i="13"/>
  <c r="R321" i="3"/>
  <c r="Y320" i="3"/>
  <c r="W320" i="3"/>
  <c r="BC16" i="12"/>
  <c r="BE17" i="13"/>
  <c r="BD17" i="13"/>
  <c r="EQ17" i="13" s="1"/>
  <c r="ES17" i="13" s="1"/>
  <c r="AY48" i="13"/>
  <c r="EF49" i="13"/>
  <c r="EL49" i="13" s="1"/>
  <c r="FE49" i="13" s="1"/>
  <c r="N49" i="13"/>
  <c r="AO49" i="13"/>
  <c r="AR49" i="13" s="1"/>
  <c r="AZ49" i="13" s="1"/>
  <c r="AC48" i="13"/>
  <c r="DJ48" i="13" s="1"/>
  <c r="ED47" i="12"/>
  <c r="AB48" i="12"/>
  <c r="CZ48" i="12" s="1"/>
  <c r="AA48" i="12"/>
  <c r="CP48" i="12" s="1"/>
  <c r="AC48" i="12"/>
  <c r="DJ48" i="12" s="1"/>
  <c r="AD48" i="12"/>
  <c r="BR48" i="12" s="1"/>
  <c r="AQ49" i="12"/>
  <c r="BU49" i="12" s="1"/>
  <c r="AS48" i="12"/>
  <c r="DV48" i="12" s="1"/>
  <c r="AO49" i="12"/>
  <c r="AI48" i="12"/>
  <c r="CQ48" i="12" s="1"/>
  <c r="AJ48" i="12"/>
  <c r="DA48" i="12" s="1"/>
  <c r="AK48" i="12"/>
  <c r="DK48" i="12" s="1"/>
  <c r="AL48" i="12"/>
  <c r="BS48" i="12" s="1"/>
  <c r="N49" i="12"/>
  <c r="Z49" i="12" s="1"/>
  <c r="F180" i="10"/>
  <c r="J180" i="10" s="1"/>
  <c r="F589" i="3"/>
  <c r="F386" i="3"/>
  <c r="T122" i="3"/>
  <c r="N527" i="3"/>
  <c r="T527" i="3" s="1"/>
  <c r="N324" i="3"/>
  <c r="T324" i="3" s="1"/>
  <c r="J525" i="3"/>
  <c r="J322" i="3"/>
  <c r="R120" i="3"/>
  <c r="Y119" i="3"/>
  <c r="H525" i="3"/>
  <c r="R525" i="3" s="1"/>
  <c r="H322" i="3"/>
  <c r="W523" i="3"/>
  <c r="Y523" i="3"/>
  <c r="AD523" i="3" s="1"/>
  <c r="AB598" i="3"/>
  <c r="Z525" i="3"/>
  <c r="Y524" i="3"/>
  <c r="G524" i="3"/>
  <c r="E396" i="3"/>
  <c r="E599" i="3"/>
  <c r="U599" i="3" s="1"/>
  <c r="AB599" i="3" s="1"/>
  <c r="O398" i="3"/>
  <c r="O601" i="3"/>
  <c r="F389" i="3"/>
  <c r="F592" i="3"/>
  <c r="D322" i="3"/>
  <c r="D525" i="3"/>
  <c r="C323" i="3"/>
  <c r="C526" i="3"/>
  <c r="M324" i="3"/>
  <c r="S324" i="3" s="1"/>
  <c r="M527" i="3"/>
  <c r="S527" i="3" s="1"/>
  <c r="AB394" i="3"/>
  <c r="AB395" i="3"/>
  <c r="AA322" i="3"/>
  <c r="G322" i="3"/>
  <c r="AB193" i="3"/>
  <c r="U396" i="3"/>
  <c r="AB396" i="3" s="1"/>
  <c r="AA118" i="3"/>
  <c r="AD118" i="3" s="1"/>
  <c r="W118" i="3"/>
  <c r="AB194" i="3"/>
  <c r="E195" i="3"/>
  <c r="E190" i="10" s="1"/>
  <c r="I190" i="10" s="1"/>
  <c r="U197" i="3"/>
  <c r="F183" i="10"/>
  <c r="J183" i="10" s="1"/>
  <c r="Z119" i="3"/>
  <c r="W119" i="3"/>
  <c r="G119" i="3"/>
  <c r="Z120" i="3"/>
  <c r="S33" i="13" s="1"/>
  <c r="CO33" i="13" s="1"/>
  <c r="D120" i="3"/>
  <c r="C121" i="3"/>
  <c r="C116" i="10" s="1"/>
  <c r="G116" i="10" s="1"/>
  <c r="S122" i="3"/>
  <c r="AA33" i="13" l="1"/>
  <c r="CP33" i="13" s="1"/>
  <c r="D115" i="10"/>
  <c r="H115" i="10" s="1"/>
  <c r="X33" i="13"/>
  <c r="R322" i="3"/>
  <c r="Y321" i="3"/>
  <c r="AD321" i="3" s="1"/>
  <c r="W321" i="3"/>
  <c r="BG16" i="12"/>
  <c r="BI16" i="12"/>
  <c r="BH16" i="12"/>
  <c r="BF16" i="12"/>
  <c r="BK16" i="12"/>
  <c r="ET17" i="13"/>
  <c r="EW17" i="13" s="1"/>
  <c r="EZ17" i="13" s="1"/>
  <c r="EV17" i="13"/>
  <c r="EY17" i="13" s="1"/>
  <c r="FB17" i="13" s="1"/>
  <c r="FF17" i="13" s="1"/>
  <c r="EU17" i="13"/>
  <c r="EX17" i="13" s="1"/>
  <c r="FA17" i="13" s="1"/>
  <c r="BC17" i="13"/>
  <c r="EG49" i="13"/>
  <c r="EM49" i="13" s="1"/>
  <c r="ER49" i="13"/>
  <c r="EK48" i="13"/>
  <c r="EJ49" i="13"/>
  <c r="AM49" i="13"/>
  <c r="BT49" i="13" s="1"/>
  <c r="CJ49" i="13"/>
  <c r="AH49" i="13"/>
  <c r="AL49" i="13" s="1"/>
  <c r="BS49" i="13" s="1"/>
  <c r="AF49" i="13"/>
  <c r="AJ49" i="13" s="1"/>
  <c r="DA49" i="13" s="1"/>
  <c r="U49" i="13"/>
  <c r="DI49" i="13" s="1"/>
  <c r="AG49" i="13"/>
  <c r="AK49" i="13" s="1"/>
  <c r="DK49" i="13" s="1"/>
  <c r="AE49" i="13"/>
  <c r="AI49" i="13" s="1"/>
  <c r="CQ49" i="13" s="1"/>
  <c r="M50" i="13"/>
  <c r="AP49" i="13"/>
  <c r="AS49" i="13" s="1"/>
  <c r="DV49" i="13" s="1"/>
  <c r="DZ49" i="13" s="1"/>
  <c r="ED49" i="13" s="1"/>
  <c r="CG49" i="13"/>
  <c r="K50" i="13"/>
  <c r="L50" i="13"/>
  <c r="AN50" i="13" s="1"/>
  <c r="AQ50" i="13" s="1"/>
  <c r="BU50" i="13" s="1"/>
  <c r="Y49" i="13"/>
  <c r="AC49" i="13" s="1"/>
  <c r="DJ49" i="13" s="1"/>
  <c r="V49" i="13"/>
  <c r="Q49" i="13"/>
  <c r="Z49" i="13"/>
  <c r="AD49" i="13" s="1"/>
  <c r="BR49" i="13" s="1"/>
  <c r="DZ48" i="12"/>
  <c r="CJ49" i="12"/>
  <c r="CG49" i="12"/>
  <c r="X49" i="12"/>
  <c r="Y49" i="12"/>
  <c r="W49" i="12"/>
  <c r="AR49" i="12"/>
  <c r="AZ49" i="12" s="1"/>
  <c r="AM49" i="12"/>
  <c r="BT49" i="12" s="1"/>
  <c r="M50" i="12"/>
  <c r="L50" i="12"/>
  <c r="AN50" i="12" s="1"/>
  <c r="AP49" i="12"/>
  <c r="AE49" i="12"/>
  <c r="AF49" i="12"/>
  <c r="AG49" i="12"/>
  <c r="AH49" i="12"/>
  <c r="V49" i="12"/>
  <c r="R49" i="12"/>
  <c r="BQ49" i="12" s="1"/>
  <c r="S49" i="12"/>
  <c r="CO49" i="12" s="1"/>
  <c r="T49" i="12"/>
  <c r="CY49" i="12" s="1"/>
  <c r="U49" i="12"/>
  <c r="DI49" i="12" s="1"/>
  <c r="K50" i="12"/>
  <c r="Q49" i="12"/>
  <c r="AY49" i="12" s="1"/>
  <c r="F182" i="10"/>
  <c r="J182" i="10" s="1"/>
  <c r="F591" i="3"/>
  <c r="F388" i="3"/>
  <c r="T123" i="3"/>
  <c r="N528" i="3"/>
  <c r="T528" i="3" s="1"/>
  <c r="N325" i="3"/>
  <c r="T325" i="3" s="1"/>
  <c r="J526" i="3"/>
  <c r="J323" i="3"/>
  <c r="R121" i="3"/>
  <c r="Y120" i="3"/>
  <c r="H526" i="3"/>
  <c r="H323" i="3"/>
  <c r="R323" i="3" s="1"/>
  <c r="W524" i="3"/>
  <c r="AA525" i="3"/>
  <c r="AA524" i="3"/>
  <c r="AD524" i="3" s="1"/>
  <c r="AB600" i="3"/>
  <c r="Z526" i="3"/>
  <c r="Y525" i="3"/>
  <c r="G525" i="3"/>
  <c r="E398" i="3"/>
  <c r="U398" i="3" s="1"/>
  <c r="AB398" i="3" s="1"/>
  <c r="E601" i="3"/>
  <c r="U601" i="3" s="1"/>
  <c r="AB601" i="3" s="1"/>
  <c r="O400" i="3"/>
  <c r="O603" i="3"/>
  <c r="F391" i="3"/>
  <c r="F594" i="3"/>
  <c r="D323" i="3"/>
  <c r="G323" i="3" s="1"/>
  <c r="D526" i="3"/>
  <c r="G526" i="3" s="1"/>
  <c r="C324" i="3"/>
  <c r="C527" i="3"/>
  <c r="M325" i="3"/>
  <c r="S325" i="3" s="1"/>
  <c r="M528" i="3"/>
  <c r="S528" i="3" s="1"/>
  <c r="W322" i="3"/>
  <c r="Z323" i="3"/>
  <c r="AB397" i="3"/>
  <c r="AA323" i="3"/>
  <c r="E197" i="3"/>
  <c r="E192" i="10" s="1"/>
  <c r="I192" i="10" s="1"/>
  <c r="U199" i="3"/>
  <c r="F185" i="10"/>
  <c r="J185" i="10" s="1"/>
  <c r="AA119" i="3"/>
  <c r="AD119" i="3" s="1"/>
  <c r="G120" i="3"/>
  <c r="D121" i="3"/>
  <c r="D116" i="10" s="1"/>
  <c r="H116" i="10" s="1"/>
  <c r="C122" i="3"/>
  <c r="C117" i="10" s="1"/>
  <c r="G117" i="10" s="1"/>
  <c r="S123" i="3"/>
  <c r="AB33" i="13" l="1"/>
  <c r="CZ33" i="13" s="1"/>
  <c r="R526" i="3"/>
  <c r="Y526" i="3" s="1"/>
  <c r="BL16" i="12"/>
  <c r="BW16" i="12" s="1"/>
  <c r="BX16" i="12" s="1"/>
  <c r="BM16" i="12"/>
  <c r="CR16" i="12" s="1"/>
  <c r="CS16" i="12" s="1"/>
  <c r="CW16" i="12" s="1"/>
  <c r="BN16" i="12"/>
  <c r="DB16" i="12" s="1"/>
  <c r="DC16" i="12" s="1"/>
  <c r="BO16" i="12"/>
  <c r="DL16" i="12" s="1"/>
  <c r="BG17" i="13"/>
  <c r="BK17" i="13"/>
  <c r="BF17" i="13"/>
  <c r="BH17" i="13"/>
  <c r="BI17" i="13"/>
  <c r="AY49" i="13"/>
  <c r="EF50" i="13"/>
  <c r="EL50" i="13" s="1"/>
  <c r="FE50" i="13" s="1"/>
  <c r="N50" i="13"/>
  <c r="AO50" i="13"/>
  <c r="AR50" i="13" s="1"/>
  <c r="AZ50" i="13" s="1"/>
  <c r="ED48" i="12"/>
  <c r="AD525" i="3"/>
  <c r="AA49" i="12"/>
  <c r="CP49" i="12" s="1"/>
  <c r="AC49" i="12"/>
  <c r="DJ49" i="12" s="1"/>
  <c r="AB49" i="12"/>
  <c r="CZ49" i="12" s="1"/>
  <c r="AD49" i="12"/>
  <c r="BR49" i="12" s="1"/>
  <c r="AQ50" i="12"/>
  <c r="BU50" i="12" s="1"/>
  <c r="AS49" i="12"/>
  <c r="DV49" i="12" s="1"/>
  <c r="AO50" i="12"/>
  <c r="AI49" i="12"/>
  <c r="CQ49" i="12" s="1"/>
  <c r="AJ49" i="12"/>
  <c r="DA49" i="12" s="1"/>
  <c r="AK49" i="12"/>
  <c r="DK49" i="12" s="1"/>
  <c r="AL49" i="12"/>
  <c r="BS49" i="12" s="1"/>
  <c r="N50" i="12"/>
  <c r="Z50" i="12" s="1"/>
  <c r="F184" i="10"/>
  <c r="J184" i="10" s="1"/>
  <c r="F593" i="3"/>
  <c r="F390" i="3"/>
  <c r="T124" i="3"/>
  <c r="N529" i="3"/>
  <c r="T529" i="3" s="1"/>
  <c r="N326" i="3"/>
  <c r="T326" i="3" s="1"/>
  <c r="J527" i="3"/>
  <c r="J324" i="3"/>
  <c r="R122" i="3"/>
  <c r="Y121" i="3"/>
  <c r="H527" i="3"/>
  <c r="R527" i="3" s="1"/>
  <c r="H324" i="3"/>
  <c r="W525" i="3"/>
  <c r="Y323" i="3"/>
  <c r="AD323" i="3" s="1"/>
  <c r="Y322" i="3"/>
  <c r="AD322" i="3" s="1"/>
  <c r="AB602" i="3"/>
  <c r="AA526" i="3"/>
  <c r="W526" i="3"/>
  <c r="Z527" i="3"/>
  <c r="E400" i="3"/>
  <c r="E603" i="3"/>
  <c r="U603" i="3" s="1"/>
  <c r="AB603" i="3" s="1"/>
  <c r="O402" i="3"/>
  <c r="O605" i="3"/>
  <c r="F393" i="3"/>
  <c r="F596" i="3"/>
  <c r="D324" i="3"/>
  <c r="D527" i="3"/>
  <c r="C325" i="3"/>
  <c r="C528" i="3"/>
  <c r="M326" i="3"/>
  <c r="S326" i="3" s="1"/>
  <c r="M529" i="3"/>
  <c r="S529" i="3" s="1"/>
  <c r="W323" i="3"/>
  <c r="Z324" i="3"/>
  <c r="AB399" i="3"/>
  <c r="G324" i="3"/>
  <c r="AB195" i="3"/>
  <c r="AB196" i="3"/>
  <c r="U400" i="3"/>
  <c r="AB400" i="3" s="1"/>
  <c r="AA120" i="3"/>
  <c r="W120" i="3"/>
  <c r="E199" i="3"/>
  <c r="E194" i="10" s="1"/>
  <c r="I194" i="10" s="1"/>
  <c r="U201" i="3"/>
  <c r="F187" i="10"/>
  <c r="J187" i="10" s="1"/>
  <c r="Z121" i="3"/>
  <c r="W121" i="3"/>
  <c r="G121" i="3"/>
  <c r="Z122" i="3"/>
  <c r="D122" i="3"/>
  <c r="D117" i="10" s="1"/>
  <c r="H117" i="10" s="1"/>
  <c r="C123" i="3"/>
  <c r="C118" i="10" s="1"/>
  <c r="G118" i="10" s="1"/>
  <c r="S124" i="3"/>
  <c r="AD120" i="3" l="1"/>
  <c r="T33" i="13"/>
  <c r="CY33" i="13" s="1"/>
  <c r="R324" i="3"/>
  <c r="Y527" i="3"/>
  <c r="DM16" i="12"/>
  <c r="DQ16" i="12" s="1"/>
  <c r="CE16" i="12"/>
  <c r="CA16" i="12"/>
  <c r="CB16" i="12"/>
  <c r="CI16" i="12"/>
  <c r="CK16" i="12" s="1"/>
  <c r="BY16" i="12"/>
  <c r="CH16" i="12"/>
  <c r="CD16" i="12"/>
  <c r="BZ16" i="12"/>
  <c r="CC16" i="12"/>
  <c r="DE16" i="12"/>
  <c r="DG16" i="12"/>
  <c r="DD16" i="12"/>
  <c r="DF16" i="12"/>
  <c r="DT16" i="12"/>
  <c r="DX16" i="12" s="1"/>
  <c r="EB16" i="12" s="1"/>
  <c r="CU16" i="12"/>
  <c r="DS16" i="12"/>
  <c r="DW16" i="12" s="1"/>
  <c r="EA16" i="12" s="1"/>
  <c r="CT16" i="12"/>
  <c r="CV16" i="12"/>
  <c r="BL17" i="13"/>
  <c r="BW17" i="13" s="1"/>
  <c r="BX17" i="13" s="1"/>
  <c r="BN17" i="13"/>
  <c r="DB17" i="13" s="1"/>
  <c r="DC17" i="13" s="1"/>
  <c r="BM17" i="13"/>
  <c r="CR17" i="13" s="1"/>
  <c r="CS17" i="13" s="1"/>
  <c r="BO17" i="13"/>
  <c r="DL17" i="13" s="1"/>
  <c r="DM17" i="13" s="1"/>
  <c r="ER50" i="13"/>
  <c r="EG50" i="13"/>
  <c r="EM50" i="13" s="1"/>
  <c r="EK49" i="13"/>
  <c r="EJ50" i="13"/>
  <c r="AP50" i="13"/>
  <c r="AS50" i="13" s="1"/>
  <c r="DV50" i="13" s="1"/>
  <c r="DZ50" i="13" s="1"/>
  <c r="ED50" i="13" s="1"/>
  <c r="CG50" i="13"/>
  <c r="K51" i="13"/>
  <c r="Y50" i="13"/>
  <c r="CJ50" i="13"/>
  <c r="AH50" i="13"/>
  <c r="AL50" i="13" s="1"/>
  <c r="BS50" i="13" s="1"/>
  <c r="AG50" i="13"/>
  <c r="AK50" i="13" s="1"/>
  <c r="DK50" i="13" s="1"/>
  <c r="AF50" i="13"/>
  <c r="AJ50" i="13" s="1"/>
  <c r="DA50" i="13" s="1"/>
  <c r="AE50" i="13"/>
  <c r="AI50" i="13" s="1"/>
  <c r="CQ50" i="13" s="1"/>
  <c r="L51" i="13"/>
  <c r="AN51" i="13" s="1"/>
  <c r="AQ51" i="13" s="1"/>
  <c r="BU51" i="13" s="1"/>
  <c r="M51" i="13"/>
  <c r="AM50" i="13"/>
  <c r="BT50" i="13" s="1"/>
  <c r="U50" i="13"/>
  <c r="DI50" i="13" s="1"/>
  <c r="Q50" i="13"/>
  <c r="Z50" i="13"/>
  <c r="V50" i="13"/>
  <c r="DZ49" i="12"/>
  <c r="CJ50" i="12"/>
  <c r="CG50" i="12"/>
  <c r="X50" i="12"/>
  <c r="Y50" i="12"/>
  <c r="W50" i="12"/>
  <c r="AR50" i="12"/>
  <c r="AZ50" i="12" s="1"/>
  <c r="AM50" i="12"/>
  <c r="BT50" i="12" s="1"/>
  <c r="M51" i="12"/>
  <c r="L51" i="12"/>
  <c r="AN51" i="12" s="1"/>
  <c r="AP50" i="12"/>
  <c r="AE50" i="12"/>
  <c r="AF50" i="12"/>
  <c r="AG50" i="12"/>
  <c r="AH50" i="12"/>
  <c r="R50" i="12"/>
  <c r="BQ50" i="12" s="1"/>
  <c r="U50" i="12"/>
  <c r="DI50" i="12" s="1"/>
  <c r="K51" i="12"/>
  <c r="V50" i="12"/>
  <c r="T50" i="12"/>
  <c r="CY50" i="12" s="1"/>
  <c r="S50" i="12"/>
  <c r="CO50" i="12" s="1"/>
  <c r="Q50" i="12"/>
  <c r="AY50" i="12" s="1"/>
  <c r="F186" i="10"/>
  <c r="J186" i="10" s="1"/>
  <c r="F595" i="3"/>
  <c r="F392" i="3"/>
  <c r="T125" i="3"/>
  <c r="N530" i="3"/>
  <c r="T530" i="3" s="1"/>
  <c r="N327" i="3"/>
  <c r="T327" i="3" s="1"/>
  <c r="J528" i="3"/>
  <c r="J325" i="3"/>
  <c r="R123" i="3"/>
  <c r="H528" i="3"/>
  <c r="H325" i="3"/>
  <c r="R325" i="3" s="1"/>
  <c r="Y325" i="3" s="1"/>
  <c r="W527" i="3"/>
  <c r="Y324" i="3"/>
  <c r="AB604" i="3"/>
  <c r="Z528" i="3"/>
  <c r="AD526" i="3"/>
  <c r="AA527" i="3"/>
  <c r="AD527" i="3" s="1"/>
  <c r="G527" i="3"/>
  <c r="E402" i="3"/>
  <c r="U402" i="3" s="1"/>
  <c r="E605" i="3"/>
  <c r="U605" i="3" s="1"/>
  <c r="AB605" i="3" s="1"/>
  <c r="O404" i="3"/>
  <c r="O607" i="3"/>
  <c r="F395" i="3"/>
  <c r="F598" i="3"/>
  <c r="D325" i="3"/>
  <c r="G325" i="3" s="1"/>
  <c r="D528" i="3"/>
  <c r="C326" i="3"/>
  <c r="C529" i="3"/>
  <c r="M327" i="3"/>
  <c r="S327" i="3" s="1"/>
  <c r="M530" i="3"/>
  <c r="S530" i="3" s="1"/>
  <c r="Z325" i="3"/>
  <c r="AA324" i="3"/>
  <c r="W324" i="3"/>
  <c r="AB197" i="3"/>
  <c r="AB198" i="3"/>
  <c r="AB401" i="3"/>
  <c r="Z326" i="3"/>
  <c r="AB199" i="3"/>
  <c r="AB200" i="3"/>
  <c r="E201" i="3"/>
  <c r="E196" i="10" s="1"/>
  <c r="I196" i="10" s="1"/>
  <c r="U203" i="3"/>
  <c r="F189" i="10"/>
  <c r="J189" i="10" s="1"/>
  <c r="AA121" i="3"/>
  <c r="AD121" i="3" s="1"/>
  <c r="G122" i="3"/>
  <c r="D123" i="3"/>
  <c r="D118" i="10" s="1"/>
  <c r="H118" i="10" s="1"/>
  <c r="C124" i="3"/>
  <c r="C119" i="10" s="1"/>
  <c r="G119" i="10" s="1"/>
  <c r="S125" i="3"/>
  <c r="R528" i="3" l="1"/>
  <c r="CL16" i="12"/>
  <c r="BB17" i="12" s="1"/>
  <c r="CM16" i="12"/>
  <c r="DO16" i="12"/>
  <c r="DN16" i="12"/>
  <c r="DP16" i="12"/>
  <c r="DU16" i="12"/>
  <c r="DY16" i="12" s="1"/>
  <c r="EC16" i="12" s="1"/>
  <c r="CI17" i="13"/>
  <c r="CK17" i="13" s="1"/>
  <c r="CH17" i="13"/>
  <c r="BZ17" i="13"/>
  <c r="CB17" i="13"/>
  <c r="CA17" i="13"/>
  <c r="BY17" i="13"/>
  <c r="CC17" i="13"/>
  <c r="CD17" i="13"/>
  <c r="CE17" i="13"/>
  <c r="DT17" i="13"/>
  <c r="DX17" i="13" s="1"/>
  <c r="EB17" i="13" s="1"/>
  <c r="DE17" i="13"/>
  <c r="DF17" i="13"/>
  <c r="DD17" i="13"/>
  <c r="DG17" i="13"/>
  <c r="DS17" i="13"/>
  <c r="DW17" i="13" s="1"/>
  <c r="EA17" i="13" s="1"/>
  <c r="CU17" i="13"/>
  <c r="CT17" i="13"/>
  <c r="CV17" i="13"/>
  <c r="CW17" i="13"/>
  <c r="DP17" i="13"/>
  <c r="DO17" i="13"/>
  <c r="DU17" i="13"/>
  <c r="DY17" i="13" s="1"/>
  <c r="EC17" i="13" s="1"/>
  <c r="FD17" i="13" s="1"/>
  <c r="FG17" i="13" s="1"/>
  <c r="DN17" i="13"/>
  <c r="DQ17" i="13"/>
  <c r="AO51" i="13"/>
  <c r="AR51" i="13" s="1"/>
  <c r="AZ51" i="13" s="1"/>
  <c r="AY50" i="13"/>
  <c r="EF51" i="13"/>
  <c r="EL51" i="13" s="1"/>
  <c r="FE51" i="13" s="1"/>
  <c r="N51" i="13"/>
  <c r="AC50" i="13"/>
  <c r="DJ50" i="13" s="1"/>
  <c r="AD50" i="13"/>
  <c r="BR50" i="13" s="1"/>
  <c r="ED49" i="12"/>
  <c r="AD324" i="3"/>
  <c r="AC50" i="12"/>
  <c r="DJ50" i="12" s="1"/>
  <c r="AA50" i="12"/>
  <c r="CP50" i="12" s="1"/>
  <c r="AB50" i="12"/>
  <c r="CZ50" i="12" s="1"/>
  <c r="AD50" i="12"/>
  <c r="BR50" i="12" s="1"/>
  <c r="AQ51" i="12"/>
  <c r="BU51" i="12" s="1"/>
  <c r="AS50" i="12"/>
  <c r="DV50" i="12" s="1"/>
  <c r="AO51" i="12"/>
  <c r="AI50" i="12"/>
  <c r="CQ50" i="12" s="1"/>
  <c r="AJ50" i="12"/>
  <c r="DA50" i="12" s="1"/>
  <c r="AK50" i="12"/>
  <c r="DK50" i="12" s="1"/>
  <c r="AL50" i="12"/>
  <c r="BS50" i="12" s="1"/>
  <c r="N51" i="12"/>
  <c r="Z51" i="12" s="1"/>
  <c r="F188" i="10"/>
  <c r="J188" i="10" s="1"/>
  <c r="F597" i="3"/>
  <c r="F394" i="3"/>
  <c r="T126" i="3"/>
  <c r="N531" i="3"/>
  <c r="T531" i="3" s="1"/>
  <c r="N328" i="3"/>
  <c r="T328" i="3" s="1"/>
  <c r="J529" i="3"/>
  <c r="J326" i="3"/>
  <c r="R124" i="3"/>
  <c r="Y123" i="3"/>
  <c r="H529" i="3"/>
  <c r="R529" i="3" s="1"/>
  <c r="H326" i="3"/>
  <c r="R326" i="3" s="1"/>
  <c r="AB606" i="3"/>
  <c r="Z529" i="3"/>
  <c r="Y122" i="3"/>
  <c r="R36" i="13" s="1"/>
  <c r="BQ36" i="13" s="1"/>
  <c r="G528" i="3"/>
  <c r="E404" i="3"/>
  <c r="U404" i="3" s="1"/>
  <c r="E607" i="3"/>
  <c r="U607" i="3" s="1"/>
  <c r="AB607" i="3" s="1"/>
  <c r="O406" i="3"/>
  <c r="O609" i="3"/>
  <c r="F397" i="3"/>
  <c r="F600" i="3"/>
  <c r="D326" i="3"/>
  <c r="G326" i="3" s="1"/>
  <c r="D529" i="3"/>
  <c r="G529" i="3" s="1"/>
  <c r="C327" i="3"/>
  <c r="C530" i="3"/>
  <c r="M328" i="3"/>
  <c r="S328" i="3" s="1"/>
  <c r="M531" i="3"/>
  <c r="S531" i="3" s="1"/>
  <c r="AA325" i="3"/>
  <c r="AD325" i="3" s="1"/>
  <c r="W325" i="3"/>
  <c r="AB402" i="3"/>
  <c r="AB403" i="3"/>
  <c r="AA326" i="3"/>
  <c r="AB201" i="3"/>
  <c r="AA122" i="3"/>
  <c r="W122" i="3"/>
  <c r="AB202" i="3"/>
  <c r="E203" i="3"/>
  <c r="E198" i="10" s="1"/>
  <c r="I198" i="10" s="1"/>
  <c r="U205" i="3"/>
  <c r="F191" i="10"/>
  <c r="J191" i="10" s="1"/>
  <c r="Z123" i="3"/>
  <c r="W123" i="3"/>
  <c r="G123" i="3"/>
  <c r="D124" i="3"/>
  <c r="D119" i="10" s="1"/>
  <c r="H119" i="10" s="1"/>
  <c r="C125" i="3"/>
  <c r="S126" i="3"/>
  <c r="FD16" i="12" l="1"/>
  <c r="FG16" i="12" s="1"/>
  <c r="C120" i="10"/>
  <c r="G120" i="10" s="1"/>
  <c r="W34" i="13"/>
  <c r="BE17" i="12"/>
  <c r="CM17" i="13"/>
  <c r="CL17" i="13"/>
  <c r="BB18" i="13" s="1"/>
  <c r="EG51" i="13"/>
  <c r="EM51" i="13" s="1"/>
  <c r="ER51" i="13"/>
  <c r="EK50" i="13"/>
  <c r="EJ51" i="13"/>
  <c r="Z51" i="13"/>
  <c r="AD51" i="13" s="1"/>
  <c r="BR51" i="13" s="1"/>
  <c r="Q51" i="13"/>
  <c r="CJ51" i="13"/>
  <c r="AF51" i="13"/>
  <c r="AJ51" i="13" s="1"/>
  <c r="DA51" i="13" s="1"/>
  <c r="AP51" i="13"/>
  <c r="AS51" i="13" s="1"/>
  <c r="DV51" i="13" s="1"/>
  <c r="DZ51" i="13" s="1"/>
  <c r="ED51" i="13" s="1"/>
  <c r="CG51" i="13"/>
  <c r="K52" i="13"/>
  <c r="L52" i="13"/>
  <c r="AN52" i="13" s="1"/>
  <c r="AQ52" i="13" s="1"/>
  <c r="BU52" i="13" s="1"/>
  <c r="M52" i="13"/>
  <c r="V51" i="13"/>
  <c r="U51" i="13"/>
  <c r="DI51" i="13" s="1"/>
  <c r="Y51" i="13"/>
  <c r="AH51" i="13"/>
  <c r="AL51" i="13" s="1"/>
  <c r="BS51" i="13" s="1"/>
  <c r="AG51" i="13"/>
  <c r="AK51" i="13" s="1"/>
  <c r="DK51" i="13" s="1"/>
  <c r="AE51" i="13"/>
  <c r="AI51" i="13" s="1"/>
  <c r="CQ51" i="13" s="1"/>
  <c r="AM51" i="13"/>
  <c r="BT51" i="13" s="1"/>
  <c r="DZ50" i="12"/>
  <c r="CJ51" i="12"/>
  <c r="CG51" i="12"/>
  <c r="W51" i="12"/>
  <c r="X51" i="12"/>
  <c r="Y51" i="12"/>
  <c r="AD122" i="3"/>
  <c r="AR51" i="12"/>
  <c r="AZ51" i="12" s="1"/>
  <c r="AM51" i="12"/>
  <c r="BT51" i="12" s="1"/>
  <c r="M52" i="12"/>
  <c r="L52" i="12"/>
  <c r="AN52" i="12" s="1"/>
  <c r="AP51" i="12"/>
  <c r="AE51" i="12"/>
  <c r="AF51" i="12"/>
  <c r="AG51" i="12"/>
  <c r="AH51" i="12"/>
  <c r="Q51" i="12"/>
  <c r="AY51" i="12" s="1"/>
  <c r="K52" i="12"/>
  <c r="R51" i="12"/>
  <c r="BQ51" i="12" s="1"/>
  <c r="S51" i="12"/>
  <c r="CO51" i="12" s="1"/>
  <c r="T51" i="12"/>
  <c r="CY51" i="12" s="1"/>
  <c r="U51" i="12"/>
  <c r="DI51" i="12" s="1"/>
  <c r="V51" i="12"/>
  <c r="F190" i="10"/>
  <c r="J190" i="10" s="1"/>
  <c r="F599" i="3"/>
  <c r="F396" i="3"/>
  <c r="T127" i="3"/>
  <c r="N532" i="3"/>
  <c r="T532" i="3" s="1"/>
  <c r="N329" i="3"/>
  <c r="T329" i="3" s="1"/>
  <c r="J530" i="3"/>
  <c r="J327" i="3"/>
  <c r="R125" i="3"/>
  <c r="Y124" i="3"/>
  <c r="H530" i="3"/>
  <c r="H327" i="3"/>
  <c r="W529" i="3"/>
  <c r="Y529" i="3"/>
  <c r="W528" i="3"/>
  <c r="Y528" i="3"/>
  <c r="AA529" i="3"/>
  <c r="AA528" i="3"/>
  <c r="AB608" i="3"/>
  <c r="Z530" i="3"/>
  <c r="E406" i="3"/>
  <c r="U406" i="3" s="1"/>
  <c r="E609" i="3"/>
  <c r="U609" i="3" s="1"/>
  <c r="AB609" i="3" s="1"/>
  <c r="O408" i="3"/>
  <c r="O611" i="3"/>
  <c r="F399" i="3"/>
  <c r="F602" i="3"/>
  <c r="D327" i="3"/>
  <c r="D530" i="3"/>
  <c r="C328" i="3"/>
  <c r="C531" i="3"/>
  <c r="M329" i="3"/>
  <c r="S329" i="3" s="1"/>
  <c r="M532" i="3"/>
  <c r="S532" i="3" s="1"/>
  <c r="Z327" i="3"/>
  <c r="AB404" i="3"/>
  <c r="AB405" i="3"/>
  <c r="AA327" i="3"/>
  <c r="G327" i="3"/>
  <c r="Z328" i="3"/>
  <c r="AB203" i="3"/>
  <c r="Z124" i="3"/>
  <c r="AB204" i="3"/>
  <c r="E205" i="3"/>
  <c r="E200" i="10" s="1"/>
  <c r="I200" i="10" s="1"/>
  <c r="U207" i="3"/>
  <c r="F193" i="10"/>
  <c r="J193" i="10" s="1"/>
  <c r="AA123" i="3"/>
  <c r="AD123" i="3" s="1"/>
  <c r="G124" i="3"/>
  <c r="D125" i="3"/>
  <c r="C126" i="3"/>
  <c r="C121" i="10" s="1"/>
  <c r="G121" i="10" s="1"/>
  <c r="S127" i="3"/>
  <c r="AA34" i="13" l="1"/>
  <c r="CP34" i="13" s="1"/>
  <c r="D120" i="10"/>
  <c r="H120" i="10" s="1"/>
  <c r="X34" i="13"/>
  <c r="R530" i="3"/>
  <c r="Y530" i="3" s="1"/>
  <c r="R327" i="3"/>
  <c r="W327" i="3" s="1"/>
  <c r="BC17" i="12"/>
  <c r="BE18" i="13"/>
  <c r="BD18" i="13"/>
  <c r="EQ18" i="13" s="1"/>
  <c r="ES18" i="13" s="1"/>
  <c r="AY51" i="13"/>
  <c r="EF52" i="13"/>
  <c r="EL52" i="13" s="1"/>
  <c r="FE52" i="13" s="1"/>
  <c r="N52" i="13"/>
  <c r="AM52" i="13" s="1"/>
  <c r="BT52" i="13" s="1"/>
  <c r="AO52" i="13"/>
  <c r="AR52" i="13" s="1"/>
  <c r="AZ52" i="13" s="1"/>
  <c r="AC51" i="13"/>
  <c r="DJ51" i="13" s="1"/>
  <c r="ED50" i="12"/>
  <c r="AC51" i="12"/>
  <c r="DJ51" i="12" s="1"/>
  <c r="AA51" i="12"/>
  <c r="CP51" i="12" s="1"/>
  <c r="AD51" i="12"/>
  <c r="BR51" i="12" s="1"/>
  <c r="AB51" i="12"/>
  <c r="CZ51" i="12" s="1"/>
  <c r="AQ52" i="12"/>
  <c r="BU52" i="12" s="1"/>
  <c r="AS51" i="12"/>
  <c r="DV51" i="12" s="1"/>
  <c r="AO52" i="12"/>
  <c r="AI51" i="12"/>
  <c r="CQ51" i="12" s="1"/>
  <c r="AJ51" i="12"/>
  <c r="DA51" i="12" s="1"/>
  <c r="AK51" i="12"/>
  <c r="DK51" i="12" s="1"/>
  <c r="AL51" i="12"/>
  <c r="BS51" i="12" s="1"/>
  <c r="N52" i="12"/>
  <c r="Z52" i="12" s="1"/>
  <c r="F192" i="10"/>
  <c r="J192" i="10" s="1"/>
  <c r="F601" i="3"/>
  <c r="F398" i="3"/>
  <c r="T128" i="3"/>
  <c r="N533" i="3"/>
  <c r="T533" i="3" s="1"/>
  <c r="N330" i="3"/>
  <c r="T330" i="3" s="1"/>
  <c r="J531" i="3"/>
  <c r="J328" i="3"/>
  <c r="R126" i="3"/>
  <c r="Y125" i="3"/>
  <c r="H531" i="3"/>
  <c r="R531" i="3" s="1"/>
  <c r="Y531" i="3" s="1"/>
  <c r="H328" i="3"/>
  <c r="R328" i="3" s="1"/>
  <c r="W530" i="3"/>
  <c r="Y327" i="3"/>
  <c r="AD327" i="3" s="1"/>
  <c r="Y326" i="3"/>
  <c r="AD326" i="3" s="1"/>
  <c r="AB610" i="3"/>
  <c r="Z531" i="3"/>
  <c r="AD528" i="3"/>
  <c r="AD529" i="3"/>
  <c r="W326" i="3"/>
  <c r="G530" i="3"/>
  <c r="E408" i="3"/>
  <c r="E611" i="3"/>
  <c r="U611" i="3" s="1"/>
  <c r="AB611" i="3" s="1"/>
  <c r="O410" i="3"/>
  <c r="O613" i="3"/>
  <c r="F401" i="3"/>
  <c r="F604" i="3"/>
  <c r="D328" i="3"/>
  <c r="D531" i="3"/>
  <c r="G531" i="3" s="1"/>
  <c r="C329" i="3"/>
  <c r="C532" i="3"/>
  <c r="M330" i="3"/>
  <c r="S330" i="3" s="1"/>
  <c r="M533" i="3"/>
  <c r="S533" i="3" s="1"/>
  <c r="AB406" i="3"/>
  <c r="AB407" i="3"/>
  <c r="AA328" i="3"/>
  <c r="G328" i="3"/>
  <c r="AA124" i="3"/>
  <c r="AD124" i="3" s="1"/>
  <c r="W124" i="3"/>
  <c r="U408" i="3"/>
  <c r="AB408" i="3" s="1"/>
  <c r="E207" i="3"/>
  <c r="E202" i="10" s="1"/>
  <c r="I202" i="10" s="1"/>
  <c r="F195" i="10"/>
  <c r="J195" i="10" s="1"/>
  <c r="Z125" i="3"/>
  <c r="S34" i="13" s="1"/>
  <c r="CO34" i="13" s="1"/>
  <c r="W125" i="3"/>
  <c r="G125" i="3"/>
  <c r="Z126" i="3"/>
  <c r="D126" i="3"/>
  <c r="D121" i="10" s="1"/>
  <c r="H121" i="10" s="1"/>
  <c r="C127" i="3"/>
  <c r="C122" i="10" s="1"/>
  <c r="G122" i="10" s="1"/>
  <c r="S128" i="3"/>
  <c r="AB34" i="13" l="1"/>
  <c r="CZ34" i="13" s="1"/>
  <c r="BF17" i="12"/>
  <c r="BH17" i="12"/>
  <c r="BI17" i="12"/>
  <c r="BG17" i="12"/>
  <c r="BK17" i="12"/>
  <c r="ET18" i="13"/>
  <c r="EW18" i="13" s="1"/>
  <c r="EZ18" i="13" s="1"/>
  <c r="EU18" i="13"/>
  <c r="EX18" i="13" s="1"/>
  <c r="FA18" i="13" s="1"/>
  <c r="EV18" i="13"/>
  <c r="EY18" i="13" s="1"/>
  <c r="FB18" i="13" s="1"/>
  <c r="FF18" i="13" s="1"/>
  <c r="BC18" i="13"/>
  <c r="ER52" i="13"/>
  <c r="EG52" i="13"/>
  <c r="EM52" i="13" s="1"/>
  <c r="EK51" i="13"/>
  <c r="EJ52" i="13"/>
  <c r="AP52" i="13"/>
  <c r="AS52" i="13" s="1"/>
  <c r="DV52" i="13" s="1"/>
  <c r="DZ52" i="13" s="1"/>
  <c r="ED52" i="13" s="1"/>
  <c r="CG52" i="13"/>
  <c r="K53" i="13"/>
  <c r="L53" i="13"/>
  <c r="AN53" i="13" s="1"/>
  <c r="AQ53" i="13" s="1"/>
  <c r="BU53" i="13" s="1"/>
  <c r="M53" i="13"/>
  <c r="CJ52" i="13"/>
  <c r="Q52" i="13"/>
  <c r="Z52" i="13"/>
  <c r="AD52" i="13" s="1"/>
  <c r="BR52" i="13" s="1"/>
  <c r="U52" i="13"/>
  <c r="DI52" i="13" s="1"/>
  <c r="V52" i="13"/>
  <c r="Y52" i="13"/>
  <c r="AC52" i="13" s="1"/>
  <c r="DJ52" i="13" s="1"/>
  <c r="AH52" i="13"/>
  <c r="AL52" i="13" s="1"/>
  <c r="BS52" i="13" s="1"/>
  <c r="AG52" i="13"/>
  <c r="AK52" i="13" s="1"/>
  <c r="DK52" i="13" s="1"/>
  <c r="AF52" i="13"/>
  <c r="AJ52" i="13" s="1"/>
  <c r="DA52" i="13" s="1"/>
  <c r="AE52" i="13"/>
  <c r="AI52" i="13" s="1"/>
  <c r="CQ52" i="13" s="1"/>
  <c r="DZ51" i="12"/>
  <c r="CJ52" i="12"/>
  <c r="CG52" i="12"/>
  <c r="W52" i="12"/>
  <c r="Y52" i="12"/>
  <c r="X52" i="12"/>
  <c r="AR52" i="12"/>
  <c r="AZ52" i="12" s="1"/>
  <c r="AM52" i="12"/>
  <c r="BT52" i="12" s="1"/>
  <c r="M53" i="12"/>
  <c r="L53" i="12"/>
  <c r="AN53" i="12" s="1"/>
  <c r="AP52" i="12"/>
  <c r="AE52" i="12"/>
  <c r="AF52" i="12"/>
  <c r="AG52" i="12"/>
  <c r="AH52" i="12"/>
  <c r="S52" i="12"/>
  <c r="CO52" i="12" s="1"/>
  <c r="T52" i="12"/>
  <c r="CY52" i="12" s="1"/>
  <c r="U52" i="12"/>
  <c r="DI52" i="12" s="1"/>
  <c r="Q52" i="12"/>
  <c r="AY52" i="12" s="1"/>
  <c r="K53" i="12"/>
  <c r="V52" i="12"/>
  <c r="R52" i="12"/>
  <c r="BQ52" i="12" s="1"/>
  <c r="F194" i="10"/>
  <c r="J194" i="10" s="1"/>
  <c r="F603" i="3"/>
  <c r="F400" i="3"/>
  <c r="T129" i="3"/>
  <c r="N534" i="3"/>
  <c r="T534" i="3" s="1"/>
  <c r="N331" i="3"/>
  <c r="T331" i="3" s="1"/>
  <c r="J532" i="3"/>
  <c r="J329" i="3"/>
  <c r="R127" i="3"/>
  <c r="H532" i="3"/>
  <c r="R532" i="3" s="1"/>
  <c r="Y532" i="3" s="1"/>
  <c r="H329" i="3"/>
  <c r="W531" i="3"/>
  <c r="AA531" i="3"/>
  <c r="AD531" i="3" s="1"/>
  <c r="AA530" i="3"/>
  <c r="AD530" i="3" s="1"/>
  <c r="AB612" i="3"/>
  <c r="G532" i="3"/>
  <c r="Z532" i="3"/>
  <c r="Y328" i="3"/>
  <c r="AD328" i="3" s="1"/>
  <c r="E410" i="3"/>
  <c r="U410" i="3" s="1"/>
  <c r="AB410" i="3" s="1"/>
  <c r="E613" i="3"/>
  <c r="U613" i="3" s="1"/>
  <c r="AB613" i="3" s="1"/>
  <c r="F403" i="3"/>
  <c r="F606" i="3"/>
  <c r="D329" i="3"/>
  <c r="D532" i="3"/>
  <c r="C330" i="3"/>
  <c r="C533" i="3"/>
  <c r="M331" i="3"/>
  <c r="S331" i="3" s="1"/>
  <c r="M534" i="3"/>
  <c r="S534" i="3" s="1"/>
  <c r="W328" i="3"/>
  <c r="Z329" i="3"/>
  <c r="AB409" i="3"/>
  <c r="AA329" i="3"/>
  <c r="G329" i="3"/>
  <c r="Z330" i="3"/>
  <c r="AB205" i="3"/>
  <c r="AB206" i="3"/>
  <c r="AB207" i="3"/>
  <c r="F197" i="10"/>
  <c r="J197" i="10" s="1"/>
  <c r="AA125" i="3"/>
  <c r="G126" i="3"/>
  <c r="D127" i="3"/>
  <c r="D122" i="10" s="1"/>
  <c r="H122" i="10" s="1"/>
  <c r="C128" i="3"/>
  <c r="C123" i="10" s="1"/>
  <c r="G123" i="10" s="1"/>
  <c r="S129" i="3"/>
  <c r="AD125" i="3" l="1"/>
  <c r="T34" i="13"/>
  <c r="CY34" i="13" s="1"/>
  <c r="BO17" i="12"/>
  <c r="DL17" i="12" s="1"/>
  <c r="DM17" i="12" s="1"/>
  <c r="DQ17" i="12" s="1"/>
  <c r="BN17" i="12"/>
  <c r="DB17" i="12" s="1"/>
  <c r="DC17" i="12" s="1"/>
  <c r="DG17" i="12" s="1"/>
  <c r="BM17" i="12"/>
  <c r="CR17" i="12" s="1"/>
  <c r="CS17" i="12" s="1"/>
  <c r="CW17" i="12" s="1"/>
  <c r="BL17" i="12"/>
  <c r="BW17" i="12" s="1"/>
  <c r="BX17" i="12" s="1"/>
  <c r="CE17" i="12" s="1"/>
  <c r="R329" i="3"/>
  <c r="BG18" i="13"/>
  <c r="BF18" i="13"/>
  <c r="BK18" i="13"/>
  <c r="BH18" i="13"/>
  <c r="BI18" i="13"/>
  <c r="AY52" i="13"/>
  <c r="EF53" i="13"/>
  <c r="EL53" i="13" s="1"/>
  <c r="FE53" i="13" s="1"/>
  <c r="N53" i="13"/>
  <c r="CJ53" i="13" s="1"/>
  <c r="AO53" i="13"/>
  <c r="AR53" i="13" s="1"/>
  <c r="AZ53" i="13" s="1"/>
  <c r="ED51" i="12"/>
  <c r="AD52" i="12"/>
  <c r="BR52" i="12" s="1"/>
  <c r="AB52" i="12"/>
  <c r="CZ52" i="12" s="1"/>
  <c r="AA52" i="12"/>
  <c r="CP52" i="12" s="1"/>
  <c r="AC52" i="12"/>
  <c r="DJ52" i="12" s="1"/>
  <c r="AQ53" i="12"/>
  <c r="BU53" i="12" s="1"/>
  <c r="AS52" i="12"/>
  <c r="DV52" i="12" s="1"/>
  <c r="AO53" i="12"/>
  <c r="AI52" i="12"/>
  <c r="CQ52" i="12" s="1"/>
  <c r="AJ52" i="12"/>
  <c r="DA52" i="12" s="1"/>
  <c r="AK52" i="12"/>
  <c r="DK52" i="12" s="1"/>
  <c r="AL52" i="12"/>
  <c r="BS52" i="12" s="1"/>
  <c r="N53" i="12"/>
  <c r="Z53" i="12" s="1"/>
  <c r="F196" i="10"/>
  <c r="J196" i="10" s="1"/>
  <c r="F605" i="3"/>
  <c r="F402" i="3"/>
  <c r="T130" i="3"/>
  <c r="N535" i="3"/>
  <c r="T535" i="3" s="1"/>
  <c r="N332" i="3"/>
  <c r="T332" i="3" s="1"/>
  <c r="J533" i="3"/>
  <c r="J330" i="3"/>
  <c r="R128" i="3"/>
  <c r="Y127" i="3"/>
  <c r="R37" i="13" s="1"/>
  <c r="BQ37" i="13" s="1"/>
  <c r="H533" i="3"/>
  <c r="R533" i="3" s="1"/>
  <c r="Y533" i="3" s="1"/>
  <c r="H330" i="3"/>
  <c r="W532" i="3"/>
  <c r="AA532" i="3"/>
  <c r="AD532" i="3" s="1"/>
  <c r="Z533" i="3"/>
  <c r="Y126" i="3"/>
  <c r="Y329" i="3"/>
  <c r="AD329" i="3" s="1"/>
  <c r="F405" i="3"/>
  <c r="F608" i="3"/>
  <c r="D330" i="3"/>
  <c r="G330" i="3" s="1"/>
  <c r="D533" i="3"/>
  <c r="C331" i="3"/>
  <c r="C534" i="3"/>
  <c r="M332" i="3"/>
  <c r="S332" i="3" s="1"/>
  <c r="M535" i="3"/>
  <c r="S535" i="3" s="1"/>
  <c r="W329" i="3"/>
  <c r="AA330" i="3"/>
  <c r="AA126" i="3"/>
  <c r="W126" i="3"/>
  <c r="F199" i="10"/>
  <c r="J199" i="10" s="1"/>
  <c r="Z127" i="3"/>
  <c r="W127" i="3"/>
  <c r="G127" i="3"/>
  <c r="D128" i="3"/>
  <c r="D123" i="10" s="1"/>
  <c r="H123" i="10" s="1"/>
  <c r="C129" i="3"/>
  <c r="S130" i="3"/>
  <c r="C124" i="10" l="1"/>
  <c r="G124" i="10" s="1"/>
  <c r="W35" i="13"/>
  <c r="R330" i="3"/>
  <c r="AD126" i="3"/>
  <c r="DE17" i="12"/>
  <c r="DF17" i="12"/>
  <c r="DT17" i="12"/>
  <c r="DX17" i="12" s="1"/>
  <c r="EB17" i="12" s="1"/>
  <c r="DD17" i="12"/>
  <c r="CU17" i="12"/>
  <c r="DS17" i="12"/>
  <c r="DW17" i="12" s="1"/>
  <c r="EA17" i="12" s="1"/>
  <c r="CV17" i="12"/>
  <c r="CT17" i="12"/>
  <c r="BY17" i="12"/>
  <c r="CD17" i="12"/>
  <c r="CA17" i="12"/>
  <c r="CC17" i="12"/>
  <c r="CH17" i="12"/>
  <c r="CB17" i="12"/>
  <c r="BZ17" i="12"/>
  <c r="CI17" i="12"/>
  <c r="CK17" i="12" s="1"/>
  <c r="DU17" i="12"/>
  <c r="DY17" i="12" s="1"/>
  <c r="EC17" i="12" s="1"/>
  <c r="DP17" i="12"/>
  <c r="DN17" i="12"/>
  <c r="DO17" i="12"/>
  <c r="BL18" i="13"/>
  <c r="BW18" i="13" s="1"/>
  <c r="BX18" i="13" s="1"/>
  <c r="BO18" i="13"/>
  <c r="DL18" i="13" s="1"/>
  <c r="DM18" i="13" s="1"/>
  <c r="BN18" i="13"/>
  <c r="DB18" i="13" s="1"/>
  <c r="DC18" i="13" s="1"/>
  <c r="BM18" i="13"/>
  <c r="CR18" i="13" s="1"/>
  <c r="CS18" i="13" s="1"/>
  <c r="EG53" i="13"/>
  <c r="EM53" i="13" s="1"/>
  <c r="ER53" i="13"/>
  <c r="EK52" i="13"/>
  <c r="EJ53" i="13"/>
  <c r="AM53" i="13"/>
  <c r="BT53" i="13" s="1"/>
  <c r="AP53" i="13"/>
  <c r="AS53" i="13" s="1"/>
  <c r="DV53" i="13" s="1"/>
  <c r="DZ53" i="13" s="1"/>
  <c r="ED53" i="13" s="1"/>
  <c r="CG53" i="13"/>
  <c r="K54" i="13"/>
  <c r="L54" i="13"/>
  <c r="AN54" i="13" s="1"/>
  <c r="AQ54" i="13" s="1"/>
  <c r="BU54" i="13" s="1"/>
  <c r="M54" i="13"/>
  <c r="U53" i="13"/>
  <c r="DI53" i="13" s="1"/>
  <c r="V53" i="13"/>
  <c r="Z53" i="13"/>
  <c r="Q53" i="13"/>
  <c r="Y53" i="13"/>
  <c r="AH53" i="13"/>
  <c r="AL53" i="13" s="1"/>
  <c r="BS53" i="13" s="1"/>
  <c r="AG53" i="13"/>
  <c r="AK53" i="13" s="1"/>
  <c r="DK53" i="13" s="1"/>
  <c r="AF53" i="13"/>
  <c r="AJ53" i="13" s="1"/>
  <c r="DA53" i="13" s="1"/>
  <c r="AE53" i="13"/>
  <c r="AI53" i="13" s="1"/>
  <c r="CQ53" i="13" s="1"/>
  <c r="DZ52" i="12"/>
  <c r="CJ53" i="12"/>
  <c r="CG53" i="12"/>
  <c r="X53" i="12"/>
  <c r="W53" i="12"/>
  <c r="Y53" i="12"/>
  <c r="AR53" i="12"/>
  <c r="AZ53" i="12" s="1"/>
  <c r="AM53" i="12"/>
  <c r="BT53" i="12" s="1"/>
  <c r="M54" i="12"/>
  <c r="L54" i="12"/>
  <c r="AN54" i="12" s="1"/>
  <c r="AP53" i="12"/>
  <c r="AE53" i="12"/>
  <c r="AF53" i="12"/>
  <c r="AG53" i="12"/>
  <c r="AH53" i="12"/>
  <c r="U53" i="12"/>
  <c r="DI53" i="12" s="1"/>
  <c r="Q53" i="12"/>
  <c r="AY53" i="12" s="1"/>
  <c r="V53" i="12"/>
  <c r="S53" i="12"/>
  <c r="CO53" i="12" s="1"/>
  <c r="T53" i="12"/>
  <c r="CY53" i="12" s="1"/>
  <c r="K54" i="12"/>
  <c r="R53" i="12"/>
  <c r="BQ53" i="12" s="1"/>
  <c r="F198" i="10"/>
  <c r="J198" i="10" s="1"/>
  <c r="F607" i="3"/>
  <c r="F404" i="3"/>
  <c r="T131" i="3"/>
  <c r="N536" i="3"/>
  <c r="T536" i="3" s="1"/>
  <c r="N333" i="3"/>
  <c r="T333" i="3" s="1"/>
  <c r="J534" i="3"/>
  <c r="J331" i="3"/>
  <c r="R129" i="3"/>
  <c r="H534" i="3"/>
  <c r="R534" i="3" s="1"/>
  <c r="Y534" i="3" s="1"/>
  <c r="H331" i="3"/>
  <c r="W533" i="3"/>
  <c r="Z534" i="3"/>
  <c r="Y330" i="3"/>
  <c r="AD330" i="3" s="1"/>
  <c r="AA533" i="3"/>
  <c r="AD533" i="3" s="1"/>
  <c r="G533" i="3"/>
  <c r="F407" i="3"/>
  <c r="F610" i="3"/>
  <c r="D331" i="3"/>
  <c r="G331" i="3" s="1"/>
  <c r="D534" i="3"/>
  <c r="G534" i="3" s="1"/>
  <c r="C332" i="3"/>
  <c r="C535" i="3"/>
  <c r="M333" i="3"/>
  <c r="S333" i="3" s="1"/>
  <c r="M536" i="3"/>
  <c r="S536" i="3" s="1"/>
  <c r="W330" i="3"/>
  <c r="AA331" i="3"/>
  <c r="Z331" i="3"/>
  <c r="Z332" i="3"/>
  <c r="Z128" i="3"/>
  <c r="F201" i="10"/>
  <c r="J201" i="10" s="1"/>
  <c r="AA127" i="3"/>
  <c r="AD127" i="3" s="1"/>
  <c r="G128" i="3"/>
  <c r="D129" i="3"/>
  <c r="C130" i="3"/>
  <c r="C125" i="10" s="1"/>
  <c r="G125" i="10" s="1"/>
  <c r="S131" i="3"/>
  <c r="FD17" i="12" l="1"/>
  <c r="FG17" i="12" s="1"/>
  <c r="AA35" i="13"/>
  <c r="CP35" i="13" s="1"/>
  <c r="D124" i="10"/>
  <c r="H124" i="10" s="1"/>
  <c r="X35" i="13"/>
  <c r="R331" i="3"/>
  <c r="CM17" i="12"/>
  <c r="CL17" i="12"/>
  <c r="BB18" i="12" s="1"/>
  <c r="CD18" i="13"/>
  <c r="CH18" i="13"/>
  <c r="BY18" i="13"/>
  <c r="CA18" i="13"/>
  <c r="CI18" i="13"/>
  <c r="CK18" i="13" s="1"/>
  <c r="CC18" i="13"/>
  <c r="CB18" i="13"/>
  <c r="BZ18" i="13"/>
  <c r="CE18" i="13"/>
  <c r="DO18" i="13"/>
  <c r="DN18" i="13"/>
  <c r="DU18" i="13"/>
  <c r="DY18" i="13" s="1"/>
  <c r="EC18" i="13" s="1"/>
  <c r="FD18" i="13" s="1"/>
  <c r="FG18" i="13" s="1"/>
  <c r="DP18" i="13"/>
  <c r="DQ18" i="13"/>
  <c r="DE18" i="13"/>
  <c r="DD18" i="13"/>
  <c r="DT18" i="13"/>
  <c r="DX18" i="13" s="1"/>
  <c r="EB18" i="13" s="1"/>
  <c r="DF18" i="13"/>
  <c r="DG18" i="13"/>
  <c r="CU18" i="13"/>
  <c r="CT18" i="13"/>
  <c r="DS18" i="13"/>
  <c r="DW18" i="13" s="1"/>
  <c r="EA18" i="13" s="1"/>
  <c r="CV18" i="13"/>
  <c r="CW18" i="13"/>
  <c r="AY53" i="13"/>
  <c r="N54" i="13"/>
  <c r="EF54" i="13"/>
  <c r="EL54" i="13" s="1"/>
  <c r="FE54" i="13" s="1"/>
  <c r="AO54" i="13"/>
  <c r="AR54" i="13" s="1"/>
  <c r="AZ54" i="13" s="1"/>
  <c r="AD53" i="13"/>
  <c r="BR53" i="13" s="1"/>
  <c r="AC53" i="13"/>
  <c r="DJ53" i="13" s="1"/>
  <c r="ED52" i="12"/>
  <c r="AB53" i="12"/>
  <c r="CZ53" i="12" s="1"/>
  <c r="AD53" i="12"/>
  <c r="BR53" i="12" s="1"/>
  <c r="AA53" i="12"/>
  <c r="CP53" i="12" s="1"/>
  <c r="AC53" i="12"/>
  <c r="DJ53" i="12" s="1"/>
  <c r="AQ54" i="12"/>
  <c r="BU54" i="12" s="1"/>
  <c r="AS53" i="12"/>
  <c r="DV53" i="12" s="1"/>
  <c r="AO54" i="12"/>
  <c r="AI53" i="12"/>
  <c r="CQ53" i="12" s="1"/>
  <c r="AJ53" i="12"/>
  <c r="DA53" i="12" s="1"/>
  <c r="AK53" i="12"/>
  <c r="DK53" i="12" s="1"/>
  <c r="AL53" i="12"/>
  <c r="BS53" i="12" s="1"/>
  <c r="N54" i="12"/>
  <c r="Z54" i="12" s="1"/>
  <c r="F200" i="10"/>
  <c r="J200" i="10" s="1"/>
  <c r="F609" i="3"/>
  <c r="F406" i="3"/>
  <c r="T132" i="3"/>
  <c r="N537" i="3"/>
  <c r="T537" i="3" s="1"/>
  <c r="N334" i="3"/>
  <c r="T334" i="3" s="1"/>
  <c r="J535" i="3"/>
  <c r="J332" i="3"/>
  <c r="R130" i="3"/>
  <c r="H535" i="3"/>
  <c r="R535" i="3" s="1"/>
  <c r="Y535" i="3" s="1"/>
  <c r="H332" i="3"/>
  <c r="R332" i="3" s="1"/>
  <c r="W534" i="3"/>
  <c r="AA534" i="3"/>
  <c r="AD534" i="3" s="1"/>
  <c r="AA535" i="3"/>
  <c r="Z535" i="3"/>
  <c r="Y128" i="3"/>
  <c r="Y331" i="3"/>
  <c r="AD331" i="3" s="1"/>
  <c r="F409" i="3"/>
  <c r="F612" i="3"/>
  <c r="D332" i="3"/>
  <c r="D535" i="3"/>
  <c r="G535" i="3" s="1"/>
  <c r="C333" i="3"/>
  <c r="C536" i="3"/>
  <c r="M334" i="3"/>
  <c r="S334" i="3" s="1"/>
  <c r="M537" i="3"/>
  <c r="S537" i="3" s="1"/>
  <c r="W331" i="3"/>
  <c r="AA128" i="3"/>
  <c r="W128" i="3"/>
  <c r="AA332" i="3"/>
  <c r="G332" i="3"/>
  <c r="Z129" i="3"/>
  <c r="S35" i="13" s="1"/>
  <c r="CO35" i="13" s="1"/>
  <c r="G129" i="3"/>
  <c r="D130" i="3"/>
  <c r="D125" i="10" s="1"/>
  <c r="H125" i="10" s="1"/>
  <c r="C131" i="3"/>
  <c r="C126" i="10" s="1"/>
  <c r="G126" i="10" s="1"/>
  <c r="S132" i="3"/>
  <c r="AB35" i="13" l="1"/>
  <c r="CZ35" i="13" s="1"/>
  <c r="BE18" i="12"/>
  <c r="CL18" i="13"/>
  <c r="BB19" i="13" s="1"/>
  <c r="CM18" i="13"/>
  <c r="ER54" i="13"/>
  <c r="EG54" i="13"/>
  <c r="EM54" i="13" s="1"/>
  <c r="EK53" i="13"/>
  <c r="EJ54" i="13"/>
  <c r="AP54" i="13"/>
  <c r="AS54" i="13" s="1"/>
  <c r="DV54" i="13" s="1"/>
  <c r="DZ54" i="13" s="1"/>
  <c r="ED54" i="13" s="1"/>
  <c r="CG54" i="13"/>
  <c r="K55" i="13"/>
  <c r="L55" i="13"/>
  <c r="AN55" i="13" s="1"/>
  <c r="AQ55" i="13" s="1"/>
  <c r="BU55" i="13" s="1"/>
  <c r="M55" i="13"/>
  <c r="AM54" i="13"/>
  <c r="BT54" i="13" s="1"/>
  <c r="Q54" i="13"/>
  <c r="U54" i="13"/>
  <c r="DI54" i="13" s="1"/>
  <c r="CJ54" i="13"/>
  <c r="V54" i="13"/>
  <c r="Z54" i="13"/>
  <c r="AD54" i="13" s="1"/>
  <c r="BR54" i="13" s="1"/>
  <c r="Y54" i="13"/>
  <c r="AC54" i="13" s="1"/>
  <c r="DJ54" i="13" s="1"/>
  <c r="AH54" i="13"/>
  <c r="AL54" i="13" s="1"/>
  <c r="BS54" i="13" s="1"/>
  <c r="AG54" i="13"/>
  <c r="AK54" i="13" s="1"/>
  <c r="DK54" i="13" s="1"/>
  <c r="AF54" i="13"/>
  <c r="AJ54" i="13" s="1"/>
  <c r="DA54" i="13" s="1"/>
  <c r="AE54" i="13"/>
  <c r="AI54" i="13" s="1"/>
  <c r="CQ54" i="13" s="1"/>
  <c r="DZ53" i="12"/>
  <c r="CJ54" i="12"/>
  <c r="CG54" i="12"/>
  <c r="W54" i="12"/>
  <c r="X54" i="12"/>
  <c r="Y54" i="12"/>
  <c r="AD128" i="3"/>
  <c r="AR54" i="12"/>
  <c r="AZ54" i="12" s="1"/>
  <c r="AM54" i="12"/>
  <c r="BT54" i="12" s="1"/>
  <c r="M55" i="12"/>
  <c r="L55" i="12"/>
  <c r="AN55" i="12" s="1"/>
  <c r="AP54" i="12"/>
  <c r="AE54" i="12"/>
  <c r="AF54" i="12"/>
  <c r="AG54" i="12"/>
  <c r="AH54" i="12"/>
  <c r="V54" i="12"/>
  <c r="S54" i="12"/>
  <c r="CO54" i="12" s="1"/>
  <c r="R54" i="12"/>
  <c r="BQ54" i="12" s="1"/>
  <c r="T54" i="12"/>
  <c r="CY54" i="12" s="1"/>
  <c r="U54" i="12"/>
  <c r="DI54" i="12" s="1"/>
  <c r="Q54" i="12"/>
  <c r="AY54" i="12" s="1"/>
  <c r="K55" i="12"/>
  <c r="F202" i="10"/>
  <c r="J202" i="10" s="1"/>
  <c r="F611" i="3"/>
  <c r="F408" i="3"/>
  <c r="T133" i="3"/>
  <c r="N538" i="3"/>
  <c r="T538" i="3" s="1"/>
  <c r="N335" i="3"/>
  <c r="T335" i="3" s="1"/>
  <c r="J536" i="3"/>
  <c r="J333" i="3"/>
  <c r="R131" i="3"/>
  <c r="H536" i="3"/>
  <c r="H333" i="3"/>
  <c r="W535" i="3"/>
  <c r="Z536" i="3"/>
  <c r="AD535" i="3"/>
  <c r="W129" i="3"/>
  <c r="Y129" i="3"/>
  <c r="Y332" i="3"/>
  <c r="AD332" i="3" s="1"/>
  <c r="D333" i="3"/>
  <c r="D536" i="3"/>
  <c r="G536" i="3" s="1"/>
  <c r="C334" i="3"/>
  <c r="C537" i="3"/>
  <c r="M335" i="3"/>
  <c r="S335" i="3" s="1"/>
  <c r="M538" i="3"/>
  <c r="S538" i="3" s="1"/>
  <c r="W332" i="3"/>
  <c r="Z333" i="3"/>
  <c r="G333" i="3"/>
  <c r="AA333" i="3"/>
  <c r="Z334" i="3"/>
  <c r="Z130" i="3"/>
  <c r="AA129" i="3"/>
  <c r="T35" i="13" s="1"/>
  <c r="CY35" i="13" s="1"/>
  <c r="G130" i="3"/>
  <c r="D131" i="3"/>
  <c r="D126" i="10" s="1"/>
  <c r="H126" i="10" s="1"/>
  <c r="C132" i="3"/>
  <c r="C127" i="10" s="1"/>
  <c r="G127" i="10" s="1"/>
  <c r="S133" i="3"/>
  <c r="R536" i="3" l="1"/>
  <c r="Y536" i="3" s="1"/>
  <c r="R333" i="3"/>
  <c r="BC18" i="12"/>
  <c r="BE19" i="13"/>
  <c r="BD19" i="13"/>
  <c r="EQ19" i="13" s="1"/>
  <c r="ES19" i="13" s="1"/>
  <c r="AY54" i="13"/>
  <c r="N55" i="13"/>
  <c r="EF55" i="13"/>
  <c r="EL55" i="13" s="1"/>
  <c r="FE55" i="13" s="1"/>
  <c r="AO55" i="13"/>
  <c r="AR55" i="13" s="1"/>
  <c r="AZ55" i="13" s="1"/>
  <c r="ED53" i="12"/>
  <c r="AD129" i="3"/>
  <c r="AA54" i="12"/>
  <c r="CP54" i="12" s="1"/>
  <c r="AC54" i="12"/>
  <c r="DJ54" i="12" s="1"/>
  <c r="AD54" i="12"/>
  <c r="BR54" i="12" s="1"/>
  <c r="AB54" i="12"/>
  <c r="CZ54" i="12" s="1"/>
  <c r="AQ55" i="12"/>
  <c r="BU55" i="12" s="1"/>
  <c r="AS54" i="12"/>
  <c r="DV54" i="12" s="1"/>
  <c r="AO55" i="12"/>
  <c r="AI54" i="12"/>
  <c r="CQ54" i="12" s="1"/>
  <c r="AJ54" i="12"/>
  <c r="DA54" i="12" s="1"/>
  <c r="AK54" i="12"/>
  <c r="DK54" i="12" s="1"/>
  <c r="AL54" i="12"/>
  <c r="BS54" i="12" s="1"/>
  <c r="N55" i="12"/>
  <c r="Z55" i="12" s="1"/>
  <c r="F613" i="3"/>
  <c r="F410" i="3"/>
  <c r="T134" i="3"/>
  <c r="N539" i="3"/>
  <c r="T539" i="3" s="1"/>
  <c r="N336" i="3"/>
  <c r="T336" i="3" s="1"/>
  <c r="J537" i="3"/>
  <c r="J334" i="3"/>
  <c r="R132" i="3"/>
  <c r="H537" i="3"/>
  <c r="H334" i="3"/>
  <c r="R334" i="3" s="1"/>
  <c r="W536" i="3"/>
  <c r="AA536" i="3"/>
  <c r="AD536" i="3" s="1"/>
  <c r="Z537" i="3"/>
  <c r="Y130" i="3"/>
  <c r="Y131" i="3"/>
  <c r="R38" i="13" s="1"/>
  <c r="BQ38" i="13" s="1"/>
  <c r="D334" i="3"/>
  <c r="G334" i="3" s="1"/>
  <c r="D537" i="3"/>
  <c r="C335" i="3"/>
  <c r="C538" i="3"/>
  <c r="M336" i="3"/>
  <c r="S336" i="3" s="1"/>
  <c r="M539" i="3"/>
  <c r="S539" i="3" s="1"/>
  <c r="AA334" i="3"/>
  <c r="AA130" i="3"/>
  <c r="W130" i="3"/>
  <c r="Z131" i="3"/>
  <c r="G131" i="3"/>
  <c r="D132" i="3"/>
  <c r="D127" i="10" s="1"/>
  <c r="H127" i="10" s="1"/>
  <c r="C133" i="3"/>
  <c r="S134" i="3"/>
  <c r="C128" i="10" l="1"/>
  <c r="G128" i="10" s="1"/>
  <c r="W36" i="13"/>
  <c r="R537" i="3"/>
  <c r="BI18" i="12"/>
  <c r="BK18" i="12"/>
  <c r="BG18" i="12"/>
  <c r="BH18" i="12"/>
  <c r="BF18" i="12"/>
  <c r="ET19" i="13"/>
  <c r="EW19" i="13" s="1"/>
  <c r="EZ19" i="13" s="1"/>
  <c r="EU19" i="13"/>
  <c r="EX19" i="13" s="1"/>
  <c r="FA19" i="13" s="1"/>
  <c r="EV19" i="13"/>
  <c r="EY19" i="13" s="1"/>
  <c r="FB19" i="13" s="1"/>
  <c r="FF19" i="13" s="1"/>
  <c r="BC19" i="13"/>
  <c r="ER55" i="13"/>
  <c r="EG55" i="13"/>
  <c r="EM55" i="13" s="1"/>
  <c r="EK54" i="13"/>
  <c r="EJ55" i="13"/>
  <c r="AM55" i="13"/>
  <c r="BT55" i="13" s="1"/>
  <c r="U55" i="13"/>
  <c r="DI55" i="13" s="1"/>
  <c r="Y55" i="13"/>
  <c r="AC55" i="13" s="1"/>
  <c r="DJ55" i="13" s="1"/>
  <c r="CJ55" i="13"/>
  <c r="AP55" i="13"/>
  <c r="AS55" i="13" s="1"/>
  <c r="DV55" i="13" s="1"/>
  <c r="DZ55" i="13" s="1"/>
  <c r="ED55" i="13" s="1"/>
  <c r="CG55" i="13"/>
  <c r="K56" i="13"/>
  <c r="L56" i="13"/>
  <c r="AN56" i="13" s="1"/>
  <c r="AQ56" i="13" s="1"/>
  <c r="BU56" i="13" s="1"/>
  <c r="M56" i="13"/>
  <c r="Z55" i="13"/>
  <c r="AD55" i="13" s="1"/>
  <c r="BR55" i="13" s="1"/>
  <c r="Q55" i="13"/>
  <c r="V55" i="13"/>
  <c r="AH55" i="13"/>
  <c r="AL55" i="13" s="1"/>
  <c r="BS55" i="13" s="1"/>
  <c r="AG55" i="13"/>
  <c r="AK55" i="13" s="1"/>
  <c r="DK55" i="13" s="1"/>
  <c r="AF55" i="13"/>
  <c r="AJ55" i="13" s="1"/>
  <c r="DA55" i="13" s="1"/>
  <c r="AE55" i="13"/>
  <c r="AI55" i="13" s="1"/>
  <c r="CQ55" i="13" s="1"/>
  <c r="DZ54" i="12"/>
  <c r="CJ55" i="12"/>
  <c r="CG55" i="12"/>
  <c r="W55" i="12"/>
  <c r="Y55" i="12"/>
  <c r="X55" i="12"/>
  <c r="AM55" i="12"/>
  <c r="BT55" i="12" s="1"/>
  <c r="AR55" i="12"/>
  <c r="AZ55" i="12" s="1"/>
  <c r="M56" i="12"/>
  <c r="L56" i="12"/>
  <c r="AN56" i="12" s="1"/>
  <c r="AP55" i="12"/>
  <c r="AE55" i="12"/>
  <c r="AF55" i="12"/>
  <c r="AG55" i="12"/>
  <c r="AH55" i="12"/>
  <c r="V55" i="12"/>
  <c r="T55" i="12"/>
  <c r="CY55" i="12" s="1"/>
  <c r="R55" i="12"/>
  <c r="BQ55" i="12" s="1"/>
  <c r="S55" i="12"/>
  <c r="CO55" i="12" s="1"/>
  <c r="U55" i="12"/>
  <c r="DI55" i="12" s="1"/>
  <c r="Q55" i="12"/>
  <c r="AY55" i="12" s="1"/>
  <c r="K56" i="12"/>
  <c r="T135" i="3"/>
  <c r="N540" i="3"/>
  <c r="T540" i="3" s="1"/>
  <c r="N337" i="3"/>
  <c r="T337" i="3" s="1"/>
  <c r="J538" i="3"/>
  <c r="J335" i="3"/>
  <c r="R133" i="3"/>
  <c r="H538" i="3"/>
  <c r="H335" i="3"/>
  <c r="R335" i="3" s="1"/>
  <c r="Y335" i="3" s="1"/>
  <c r="Y334" i="3"/>
  <c r="AD334" i="3" s="1"/>
  <c r="Y333" i="3"/>
  <c r="AD333" i="3" s="1"/>
  <c r="Z538" i="3"/>
  <c r="AD130" i="3"/>
  <c r="W131" i="3"/>
  <c r="W333" i="3"/>
  <c r="AA537" i="3"/>
  <c r="G537" i="3"/>
  <c r="D335" i="3"/>
  <c r="D538" i="3"/>
  <c r="G538" i="3" s="1"/>
  <c r="C336" i="3"/>
  <c r="C539" i="3"/>
  <c r="M337" i="3"/>
  <c r="S337" i="3" s="1"/>
  <c r="M540" i="3"/>
  <c r="S540" i="3" s="1"/>
  <c r="W334" i="3"/>
  <c r="Z335" i="3"/>
  <c r="AA335" i="3"/>
  <c r="G335" i="3"/>
  <c r="Z336" i="3"/>
  <c r="Z132" i="3"/>
  <c r="AA131" i="3"/>
  <c r="AD131" i="3" s="1"/>
  <c r="G132" i="3"/>
  <c r="D133" i="3"/>
  <c r="C134" i="3"/>
  <c r="C129" i="10" s="1"/>
  <c r="G129" i="10" s="1"/>
  <c r="S135" i="3"/>
  <c r="AA36" i="13" l="1"/>
  <c r="CP36" i="13" s="1"/>
  <c r="D128" i="10"/>
  <c r="H128" i="10" s="1"/>
  <c r="X36" i="13"/>
  <c r="R538" i="3"/>
  <c r="Y537" i="3"/>
  <c r="AD537" i="3" s="1"/>
  <c r="W537" i="3"/>
  <c r="BL18" i="12"/>
  <c r="BW18" i="12" s="1"/>
  <c r="BX18" i="12" s="1"/>
  <c r="BO18" i="12"/>
  <c r="DL18" i="12" s="1"/>
  <c r="DM18" i="12" s="1"/>
  <c r="BM18" i="12"/>
  <c r="CR18" i="12" s="1"/>
  <c r="CS18" i="12" s="1"/>
  <c r="BN18" i="12"/>
  <c r="DB18" i="12" s="1"/>
  <c r="DC18" i="12" s="1"/>
  <c r="BF19" i="13"/>
  <c r="BH19" i="13"/>
  <c r="BG19" i="13"/>
  <c r="BK19" i="13"/>
  <c r="BI19" i="13"/>
  <c r="AO56" i="13"/>
  <c r="AR56" i="13" s="1"/>
  <c r="AZ56" i="13" s="1"/>
  <c r="AY55" i="13"/>
  <c r="N56" i="13"/>
  <c r="EF56" i="13"/>
  <c r="EL56" i="13" s="1"/>
  <c r="FE56" i="13" s="1"/>
  <c r="ED54" i="12"/>
  <c r="AD335" i="3"/>
  <c r="AB55" i="12"/>
  <c r="CZ55" i="12" s="1"/>
  <c r="AD55" i="12"/>
  <c r="BR55" i="12" s="1"/>
  <c r="AA55" i="12"/>
  <c r="CP55" i="12" s="1"/>
  <c r="AC55" i="12"/>
  <c r="DJ55" i="12" s="1"/>
  <c r="AQ56" i="12"/>
  <c r="BU56" i="12" s="1"/>
  <c r="AS55" i="12"/>
  <c r="DV55" i="12" s="1"/>
  <c r="AO56" i="12"/>
  <c r="AI55" i="12"/>
  <c r="CQ55" i="12" s="1"/>
  <c r="AJ55" i="12"/>
  <c r="DA55" i="12" s="1"/>
  <c r="AK55" i="12"/>
  <c r="DK55" i="12" s="1"/>
  <c r="AL55" i="12"/>
  <c r="BS55" i="12" s="1"/>
  <c r="N56" i="12"/>
  <c r="Z56" i="12" s="1"/>
  <c r="T136" i="3"/>
  <c r="N541" i="3"/>
  <c r="T541" i="3" s="1"/>
  <c r="N338" i="3"/>
  <c r="T338" i="3" s="1"/>
  <c r="J539" i="3"/>
  <c r="J336" i="3"/>
  <c r="R134" i="3"/>
  <c r="H539" i="3"/>
  <c r="H336" i="3"/>
  <c r="AA538" i="3"/>
  <c r="Z539" i="3"/>
  <c r="Y132" i="3"/>
  <c r="D336" i="3"/>
  <c r="D539" i="3"/>
  <c r="C337" i="3"/>
  <c r="C540" i="3"/>
  <c r="M338" i="3"/>
  <c r="S338" i="3" s="1"/>
  <c r="M541" i="3"/>
  <c r="S541" i="3" s="1"/>
  <c r="W335" i="3"/>
  <c r="AA336" i="3"/>
  <c r="G336" i="3"/>
  <c r="AA132" i="3"/>
  <c r="W132" i="3"/>
  <c r="Z133" i="3"/>
  <c r="S36" i="13" s="1"/>
  <c r="CO36" i="13" s="1"/>
  <c r="G133" i="3"/>
  <c r="D134" i="3"/>
  <c r="D129" i="10" s="1"/>
  <c r="H129" i="10" s="1"/>
  <c r="C135" i="3"/>
  <c r="C130" i="10" s="1"/>
  <c r="G130" i="10" s="1"/>
  <c r="S136" i="3"/>
  <c r="AB36" i="13" l="1"/>
  <c r="CZ36" i="13" s="1"/>
  <c r="R539" i="3"/>
  <c r="R336" i="3"/>
  <c r="Y538" i="3"/>
  <c r="AD538" i="3" s="1"/>
  <c r="W538" i="3"/>
  <c r="CD18" i="12"/>
  <c r="BZ18" i="12"/>
  <c r="CI18" i="12"/>
  <c r="CK18" i="12" s="1"/>
  <c r="CH18" i="12"/>
  <c r="BY18" i="12"/>
  <c r="CC18" i="12"/>
  <c r="CB18" i="12"/>
  <c r="CA18" i="12"/>
  <c r="CE18" i="12"/>
  <c r="DO18" i="12"/>
  <c r="DP18" i="12"/>
  <c r="DN18" i="12"/>
  <c r="DU18" i="12"/>
  <c r="DY18" i="12" s="1"/>
  <c r="EC18" i="12" s="1"/>
  <c r="DQ18" i="12"/>
  <c r="CT18" i="12"/>
  <c r="CV18" i="12"/>
  <c r="CU18" i="12"/>
  <c r="DS18" i="12"/>
  <c r="DW18" i="12" s="1"/>
  <c r="EA18" i="12" s="1"/>
  <c r="CW18" i="12"/>
  <c r="DD18" i="12"/>
  <c r="DT18" i="12"/>
  <c r="DX18" i="12" s="1"/>
  <c r="EB18" i="12" s="1"/>
  <c r="DE18" i="12"/>
  <c r="DF18" i="12"/>
  <c r="DG18" i="12"/>
  <c r="BO19" i="13"/>
  <c r="DL19" i="13" s="1"/>
  <c r="DM19" i="13" s="1"/>
  <c r="BL19" i="13"/>
  <c r="BW19" i="13" s="1"/>
  <c r="BX19" i="13" s="1"/>
  <c r="BN19" i="13"/>
  <c r="DB19" i="13" s="1"/>
  <c r="DC19" i="13" s="1"/>
  <c r="BM19" i="13"/>
  <c r="CR19" i="13" s="1"/>
  <c r="CS19" i="13" s="1"/>
  <c r="EG56" i="13"/>
  <c r="EM56" i="13" s="1"/>
  <c r="ER56" i="13"/>
  <c r="EK55" i="13"/>
  <c r="EJ56" i="13"/>
  <c r="K57" i="13"/>
  <c r="AP56" i="13"/>
  <c r="AS56" i="13" s="1"/>
  <c r="DV56" i="13" s="1"/>
  <c r="DZ56" i="13" s="1"/>
  <c r="ED56" i="13" s="1"/>
  <c r="CG56" i="13"/>
  <c r="L57" i="13"/>
  <c r="AN57" i="13" s="1"/>
  <c r="AQ57" i="13" s="1"/>
  <c r="BU57" i="13" s="1"/>
  <c r="M57" i="13"/>
  <c r="AM56" i="13"/>
  <c r="BT56" i="13" s="1"/>
  <c r="Q56" i="13"/>
  <c r="Z56" i="13"/>
  <c r="AD56" i="13" s="1"/>
  <c r="BR56" i="13" s="1"/>
  <c r="U56" i="13"/>
  <c r="DI56" i="13" s="1"/>
  <c r="CJ56" i="13"/>
  <c r="Y56" i="13"/>
  <c r="V56" i="13"/>
  <c r="AH56" i="13"/>
  <c r="AL56" i="13" s="1"/>
  <c r="BS56" i="13" s="1"/>
  <c r="AG56" i="13"/>
  <c r="AK56" i="13" s="1"/>
  <c r="DK56" i="13" s="1"/>
  <c r="AF56" i="13"/>
  <c r="AJ56" i="13" s="1"/>
  <c r="DA56" i="13" s="1"/>
  <c r="AE56" i="13"/>
  <c r="AI56" i="13" s="1"/>
  <c r="CQ56" i="13" s="1"/>
  <c r="DZ55" i="12"/>
  <c r="CJ56" i="12"/>
  <c r="CG56" i="12"/>
  <c r="W56" i="12"/>
  <c r="Y56" i="12"/>
  <c r="X56" i="12"/>
  <c r="AD132" i="3"/>
  <c r="AR56" i="12"/>
  <c r="AZ56" i="12" s="1"/>
  <c r="AM56" i="12"/>
  <c r="BT56" i="12" s="1"/>
  <c r="M57" i="12"/>
  <c r="L57" i="12"/>
  <c r="AN57" i="12" s="1"/>
  <c r="AP56" i="12"/>
  <c r="AE56" i="12"/>
  <c r="AF56" i="12"/>
  <c r="AG56" i="12"/>
  <c r="AH56" i="12"/>
  <c r="K57" i="12"/>
  <c r="V56" i="12"/>
  <c r="R56" i="12"/>
  <c r="BQ56" i="12" s="1"/>
  <c r="S56" i="12"/>
  <c r="CO56" i="12" s="1"/>
  <c r="T56" i="12"/>
  <c r="CY56" i="12" s="1"/>
  <c r="U56" i="12"/>
  <c r="DI56" i="12" s="1"/>
  <c r="Q56" i="12"/>
  <c r="AY56" i="12" s="1"/>
  <c r="T137" i="3"/>
  <c r="N542" i="3"/>
  <c r="T542" i="3" s="1"/>
  <c r="N339" i="3"/>
  <c r="T339" i="3" s="1"/>
  <c r="J540" i="3"/>
  <c r="J337" i="3"/>
  <c r="R135" i="3"/>
  <c r="H540" i="3"/>
  <c r="H337" i="3"/>
  <c r="Z540" i="3"/>
  <c r="W133" i="3"/>
  <c r="Y133" i="3"/>
  <c r="Y134" i="3"/>
  <c r="AA539" i="3"/>
  <c r="G539" i="3"/>
  <c r="D337" i="3"/>
  <c r="G337" i="3" s="1"/>
  <c r="D540" i="3"/>
  <c r="G540" i="3" s="1"/>
  <c r="C338" i="3"/>
  <c r="C541" i="3"/>
  <c r="M339" i="3"/>
  <c r="S339" i="3" s="1"/>
  <c r="M542" i="3"/>
  <c r="S542" i="3" s="1"/>
  <c r="Z337" i="3"/>
  <c r="AA337" i="3"/>
  <c r="Z338" i="3"/>
  <c r="Z134" i="3"/>
  <c r="AA133" i="3"/>
  <c r="T36" i="13" s="1"/>
  <c r="CY36" i="13" s="1"/>
  <c r="G134" i="3"/>
  <c r="D135" i="3"/>
  <c r="D130" i="10" s="1"/>
  <c r="H130" i="10" s="1"/>
  <c r="C136" i="3"/>
  <c r="C131" i="10" s="1"/>
  <c r="G131" i="10" s="1"/>
  <c r="S137" i="3"/>
  <c r="FD18" i="12" l="1"/>
  <c r="FG18" i="12" s="1"/>
  <c r="R540" i="3"/>
  <c r="R337" i="3"/>
  <c r="Y539" i="3"/>
  <c r="AD539" i="3" s="1"/>
  <c r="W539" i="3"/>
  <c r="Y336" i="3"/>
  <c r="AD336" i="3" s="1"/>
  <c r="W336" i="3"/>
  <c r="CM18" i="12"/>
  <c r="CL18" i="12"/>
  <c r="BB19" i="12" s="1"/>
  <c r="DO19" i="13"/>
  <c r="DU19" i="13"/>
  <c r="DY19" i="13" s="1"/>
  <c r="EC19" i="13" s="1"/>
  <c r="FD19" i="13" s="1"/>
  <c r="FG19" i="13" s="1"/>
  <c r="DP19" i="13"/>
  <c r="DN19" i="13"/>
  <c r="DQ19" i="13"/>
  <c r="CH19" i="13"/>
  <c r="CI19" i="13"/>
  <c r="CK19" i="13" s="1"/>
  <c r="CD19" i="13"/>
  <c r="BY19" i="13"/>
  <c r="CB19" i="13"/>
  <c r="BZ19" i="13"/>
  <c r="CA19" i="13"/>
  <c r="CC19" i="13"/>
  <c r="CE19" i="13"/>
  <c r="DT19" i="13"/>
  <c r="DX19" i="13" s="1"/>
  <c r="EB19" i="13" s="1"/>
  <c r="DD19" i="13"/>
  <c r="DE19" i="13"/>
  <c r="DF19" i="13"/>
  <c r="DG19" i="13"/>
  <c r="DS19" i="13"/>
  <c r="DW19" i="13" s="1"/>
  <c r="EA19" i="13" s="1"/>
  <c r="CT19" i="13"/>
  <c r="CV19" i="13"/>
  <c r="CU19" i="13"/>
  <c r="CW19" i="13"/>
  <c r="AY56" i="13"/>
  <c r="EF57" i="13"/>
  <c r="EL57" i="13" s="1"/>
  <c r="FE57" i="13" s="1"/>
  <c r="N57" i="13"/>
  <c r="AO57" i="13"/>
  <c r="AR57" i="13" s="1"/>
  <c r="AZ57" i="13" s="1"/>
  <c r="AC56" i="13"/>
  <c r="DJ56" i="13" s="1"/>
  <c r="ED55" i="12"/>
  <c r="AC56" i="12"/>
  <c r="DJ56" i="12" s="1"/>
  <c r="AB56" i="12"/>
  <c r="CZ56" i="12" s="1"/>
  <c r="AD56" i="12"/>
  <c r="BR56" i="12" s="1"/>
  <c r="AA56" i="12"/>
  <c r="CP56" i="12" s="1"/>
  <c r="AQ57" i="12"/>
  <c r="BU57" i="12" s="1"/>
  <c r="AS56" i="12"/>
  <c r="DV56" i="12" s="1"/>
  <c r="AO57" i="12"/>
  <c r="AI56" i="12"/>
  <c r="CQ56" i="12" s="1"/>
  <c r="AJ56" i="12"/>
  <c r="DA56" i="12" s="1"/>
  <c r="AK56" i="12"/>
  <c r="DK56" i="12" s="1"/>
  <c r="AL56" i="12"/>
  <c r="BS56" i="12" s="1"/>
  <c r="N57" i="12"/>
  <c r="Z57" i="12" s="1"/>
  <c r="T138" i="3"/>
  <c r="N543" i="3"/>
  <c r="T543" i="3" s="1"/>
  <c r="N340" i="3"/>
  <c r="T340" i="3" s="1"/>
  <c r="J541" i="3"/>
  <c r="J338" i="3"/>
  <c r="R136" i="3"/>
  <c r="Y135" i="3"/>
  <c r="R39" i="13" s="1"/>
  <c r="BQ39" i="13" s="1"/>
  <c r="H541" i="3"/>
  <c r="R541" i="3" s="1"/>
  <c r="H338" i="3"/>
  <c r="AA540" i="3"/>
  <c r="AA541" i="3"/>
  <c r="Z541" i="3"/>
  <c r="AD133" i="3"/>
  <c r="D338" i="3"/>
  <c r="G338" i="3" s="1"/>
  <c r="D541" i="3"/>
  <c r="G541" i="3" s="1"/>
  <c r="C339" i="3"/>
  <c r="C542" i="3"/>
  <c r="M340" i="3"/>
  <c r="S340" i="3" s="1"/>
  <c r="M543" i="3"/>
  <c r="S543" i="3" s="1"/>
  <c r="AA338" i="3"/>
  <c r="AA134" i="3"/>
  <c r="AD134" i="3" s="1"/>
  <c r="W134" i="3"/>
  <c r="Z135" i="3"/>
  <c r="W135" i="3"/>
  <c r="G135" i="3"/>
  <c r="Z136" i="3"/>
  <c r="D136" i="3"/>
  <c r="D131" i="10" s="1"/>
  <c r="H131" i="10" s="1"/>
  <c r="C137" i="3"/>
  <c r="S138" i="3"/>
  <c r="C132" i="10" l="1"/>
  <c r="G132" i="10" s="1"/>
  <c r="W37" i="13"/>
  <c r="BE19" i="12"/>
  <c r="Y541" i="3"/>
  <c r="AD541" i="3" s="1"/>
  <c r="R338" i="3"/>
  <c r="Y540" i="3"/>
  <c r="AD540" i="3" s="1"/>
  <c r="W540" i="3"/>
  <c r="CM19" i="13"/>
  <c r="CL19" i="13"/>
  <c r="BB20" i="13" s="1"/>
  <c r="ER57" i="13"/>
  <c r="EG57" i="13"/>
  <c r="EM57" i="13" s="1"/>
  <c r="EK56" i="13"/>
  <c r="EJ57" i="13"/>
  <c r="AP57" i="13"/>
  <c r="AS57" i="13" s="1"/>
  <c r="DV57" i="13" s="1"/>
  <c r="DZ57" i="13" s="1"/>
  <c r="ED57" i="13" s="1"/>
  <c r="CG57" i="13"/>
  <c r="K58" i="13"/>
  <c r="L58" i="13"/>
  <c r="AN58" i="13" s="1"/>
  <c r="AQ58" i="13" s="1"/>
  <c r="BU58" i="13" s="1"/>
  <c r="M58" i="13"/>
  <c r="AM57" i="13"/>
  <c r="BT57" i="13" s="1"/>
  <c r="CJ57" i="13"/>
  <c r="U57" i="13"/>
  <c r="DI57" i="13" s="1"/>
  <c r="V57" i="13"/>
  <c r="Z57" i="13"/>
  <c r="Q57" i="13"/>
  <c r="Y57" i="13"/>
  <c r="AC57" i="13" s="1"/>
  <c r="DJ57" i="13" s="1"/>
  <c r="AH57" i="13"/>
  <c r="AL57" i="13" s="1"/>
  <c r="BS57" i="13" s="1"/>
  <c r="AG57" i="13"/>
  <c r="AK57" i="13" s="1"/>
  <c r="DK57" i="13" s="1"/>
  <c r="AF57" i="13"/>
  <c r="AJ57" i="13" s="1"/>
  <c r="DA57" i="13" s="1"/>
  <c r="AE57" i="13"/>
  <c r="AI57" i="13" s="1"/>
  <c r="CQ57" i="13" s="1"/>
  <c r="DZ56" i="12"/>
  <c r="CJ57" i="12"/>
  <c r="CG57" i="12"/>
  <c r="Y57" i="12"/>
  <c r="X57" i="12"/>
  <c r="W57" i="12"/>
  <c r="AR57" i="12"/>
  <c r="AZ57" i="12" s="1"/>
  <c r="AM57" i="12"/>
  <c r="BT57" i="12" s="1"/>
  <c r="M58" i="12"/>
  <c r="L58" i="12"/>
  <c r="AN58" i="12" s="1"/>
  <c r="AP57" i="12"/>
  <c r="AE57" i="12"/>
  <c r="AF57" i="12"/>
  <c r="AG57" i="12"/>
  <c r="AH57" i="12"/>
  <c r="U57" i="12"/>
  <c r="DI57" i="12" s="1"/>
  <c r="Q57" i="12"/>
  <c r="AY57" i="12" s="1"/>
  <c r="K58" i="12"/>
  <c r="V57" i="12"/>
  <c r="S57" i="12"/>
  <c r="CO57" i="12" s="1"/>
  <c r="T57" i="12"/>
  <c r="CY57" i="12" s="1"/>
  <c r="R57" i="12"/>
  <c r="BQ57" i="12" s="1"/>
  <c r="T139" i="3"/>
  <c r="N544" i="3"/>
  <c r="T544" i="3" s="1"/>
  <c r="N341" i="3"/>
  <c r="T341" i="3" s="1"/>
  <c r="J542" i="3"/>
  <c r="J339" i="3"/>
  <c r="R137" i="3"/>
  <c r="Y136" i="3"/>
  <c r="H542" i="3"/>
  <c r="R542" i="3" s="1"/>
  <c r="Y542" i="3" s="1"/>
  <c r="H339" i="3"/>
  <c r="R339" i="3" s="1"/>
  <c r="W541" i="3"/>
  <c r="Y337" i="3"/>
  <c r="AD337" i="3" s="1"/>
  <c r="Z542" i="3"/>
  <c r="W337" i="3"/>
  <c r="D339" i="3"/>
  <c r="G339" i="3" s="1"/>
  <c r="D542" i="3"/>
  <c r="C340" i="3"/>
  <c r="C543" i="3"/>
  <c r="M341" i="3"/>
  <c r="S341" i="3" s="1"/>
  <c r="M544" i="3"/>
  <c r="S544" i="3" s="1"/>
  <c r="Z339" i="3"/>
  <c r="AA339" i="3"/>
  <c r="Z340" i="3"/>
  <c r="AA135" i="3"/>
  <c r="AD135" i="3" s="1"/>
  <c r="G136" i="3"/>
  <c r="D137" i="3"/>
  <c r="C138" i="3"/>
  <c r="C133" i="10" s="1"/>
  <c r="G133" i="10" s="1"/>
  <c r="S139" i="3"/>
  <c r="AA37" i="13" l="1"/>
  <c r="CP37" i="13" s="1"/>
  <c r="D132" i="10"/>
  <c r="H132" i="10" s="1"/>
  <c r="X37" i="13"/>
  <c r="Y339" i="3"/>
  <c r="Y338" i="3"/>
  <c r="AD338" i="3" s="1"/>
  <c r="W338" i="3"/>
  <c r="BC19" i="12"/>
  <c r="BE20" i="13"/>
  <c r="BD20" i="13"/>
  <c r="EQ20" i="13" s="1"/>
  <c r="ES20" i="13" s="1"/>
  <c r="AY57" i="13"/>
  <c r="EF58" i="13"/>
  <c r="EL58" i="13" s="1"/>
  <c r="FE58" i="13" s="1"/>
  <c r="N58" i="13"/>
  <c r="AM58" i="13" s="1"/>
  <c r="BT58" i="13" s="1"/>
  <c r="AO58" i="13"/>
  <c r="AR58" i="13" s="1"/>
  <c r="AZ58" i="13" s="1"/>
  <c r="AD57" i="13"/>
  <c r="BR57" i="13" s="1"/>
  <c r="ED56" i="12"/>
  <c r="AB57" i="12"/>
  <c r="CZ57" i="12" s="1"/>
  <c r="AA57" i="12"/>
  <c r="CP57" i="12" s="1"/>
  <c r="AC57" i="12"/>
  <c r="DJ57" i="12" s="1"/>
  <c r="AD57" i="12"/>
  <c r="BR57" i="12" s="1"/>
  <c r="AQ58" i="12"/>
  <c r="BU58" i="12" s="1"/>
  <c r="AS57" i="12"/>
  <c r="DV57" i="12" s="1"/>
  <c r="AO58" i="12"/>
  <c r="AI57" i="12"/>
  <c r="CQ57" i="12" s="1"/>
  <c r="AJ57" i="12"/>
  <c r="DA57" i="12" s="1"/>
  <c r="AK57" i="12"/>
  <c r="DK57" i="12" s="1"/>
  <c r="AL57" i="12"/>
  <c r="BS57" i="12" s="1"/>
  <c r="N58" i="12"/>
  <c r="Z58" i="12" s="1"/>
  <c r="T140" i="3"/>
  <c r="N545" i="3"/>
  <c r="T545" i="3" s="1"/>
  <c r="N342" i="3"/>
  <c r="T342" i="3" s="1"/>
  <c r="J543" i="3"/>
  <c r="J340" i="3"/>
  <c r="R138" i="3"/>
  <c r="Y137" i="3"/>
  <c r="H543" i="3"/>
  <c r="H340" i="3"/>
  <c r="W542" i="3"/>
  <c r="Z543" i="3"/>
  <c r="AD339" i="3"/>
  <c r="G542" i="3"/>
  <c r="D340" i="3"/>
  <c r="D543" i="3"/>
  <c r="C341" i="3"/>
  <c r="C544" i="3"/>
  <c r="M342" i="3"/>
  <c r="S342" i="3" s="1"/>
  <c r="M545" i="3"/>
  <c r="S545" i="3" s="1"/>
  <c r="W339" i="3"/>
  <c r="AA340" i="3"/>
  <c r="G340" i="3"/>
  <c r="AA136" i="3"/>
  <c r="AD136" i="3" s="1"/>
  <c r="W136" i="3"/>
  <c r="Z137" i="3"/>
  <c r="S37" i="13" s="1"/>
  <c r="CO37" i="13" s="1"/>
  <c r="G137" i="3"/>
  <c r="D138" i="3"/>
  <c r="D133" i="10" s="1"/>
  <c r="H133" i="10" s="1"/>
  <c r="C139" i="3"/>
  <c r="C134" i="10" s="1"/>
  <c r="G134" i="10" s="1"/>
  <c r="S140" i="3"/>
  <c r="AB37" i="13" l="1"/>
  <c r="CZ37" i="13" s="1"/>
  <c r="R543" i="3"/>
  <c r="Y543" i="3" s="1"/>
  <c r="R340" i="3"/>
  <c r="BG19" i="12"/>
  <c r="BH19" i="12"/>
  <c r="BK19" i="12"/>
  <c r="BF19" i="12"/>
  <c r="BI19" i="12"/>
  <c r="ET20" i="13"/>
  <c r="EW20" i="13" s="1"/>
  <c r="EZ20" i="13" s="1"/>
  <c r="EU20" i="13"/>
  <c r="EX20" i="13" s="1"/>
  <c r="FA20" i="13" s="1"/>
  <c r="EV20" i="13"/>
  <c r="EY20" i="13" s="1"/>
  <c r="FB20" i="13" s="1"/>
  <c r="FF20" i="13" s="1"/>
  <c r="BC20" i="13"/>
  <c r="EG58" i="13"/>
  <c r="EM58" i="13" s="1"/>
  <c r="ER58" i="13"/>
  <c r="EK57" i="13"/>
  <c r="EJ58" i="13"/>
  <c r="AP58" i="13"/>
  <c r="AS58" i="13" s="1"/>
  <c r="DV58" i="13" s="1"/>
  <c r="DZ58" i="13" s="1"/>
  <c r="ED58" i="13" s="1"/>
  <c r="CG58" i="13"/>
  <c r="K59" i="13"/>
  <c r="L59" i="13"/>
  <c r="AN59" i="13" s="1"/>
  <c r="AQ59" i="13" s="1"/>
  <c r="BU59" i="13" s="1"/>
  <c r="M59" i="13"/>
  <c r="U58" i="13"/>
  <c r="DI58" i="13" s="1"/>
  <c r="Z58" i="13"/>
  <c r="AD58" i="13" s="1"/>
  <c r="BR58" i="13" s="1"/>
  <c r="V58" i="13"/>
  <c r="CJ58" i="13"/>
  <c r="Q58" i="13"/>
  <c r="AH58" i="13"/>
  <c r="AL58" i="13" s="1"/>
  <c r="BS58" i="13" s="1"/>
  <c r="AF58" i="13"/>
  <c r="AJ58" i="13" s="1"/>
  <c r="DA58" i="13" s="1"/>
  <c r="Y58" i="13"/>
  <c r="AG58" i="13"/>
  <c r="AK58" i="13" s="1"/>
  <c r="DK58" i="13" s="1"/>
  <c r="AE58" i="13"/>
  <c r="AI58" i="13" s="1"/>
  <c r="CQ58" i="13" s="1"/>
  <c r="DZ57" i="12"/>
  <c r="CJ58" i="12"/>
  <c r="CG58" i="12"/>
  <c r="X58" i="12"/>
  <c r="W58" i="12"/>
  <c r="Y58" i="12"/>
  <c r="AR58" i="12"/>
  <c r="AZ58" i="12" s="1"/>
  <c r="AM58" i="12"/>
  <c r="BT58" i="12" s="1"/>
  <c r="M59" i="12"/>
  <c r="L59" i="12"/>
  <c r="AN59" i="12" s="1"/>
  <c r="AP58" i="12"/>
  <c r="AE58" i="12"/>
  <c r="AF58" i="12"/>
  <c r="AG58" i="12"/>
  <c r="AH58" i="12"/>
  <c r="S58" i="12"/>
  <c r="CO58" i="12" s="1"/>
  <c r="T58" i="12"/>
  <c r="CY58" i="12" s="1"/>
  <c r="U58" i="12"/>
  <c r="DI58" i="12" s="1"/>
  <c r="Q58" i="12"/>
  <c r="AY58" i="12" s="1"/>
  <c r="V58" i="12"/>
  <c r="K59" i="12"/>
  <c r="R58" i="12"/>
  <c r="BQ58" i="12" s="1"/>
  <c r="T141" i="3"/>
  <c r="N546" i="3"/>
  <c r="T546" i="3" s="1"/>
  <c r="N343" i="3"/>
  <c r="T343" i="3" s="1"/>
  <c r="J544" i="3"/>
  <c r="J341" i="3"/>
  <c r="R139" i="3"/>
  <c r="Y138" i="3"/>
  <c r="H544" i="3"/>
  <c r="H341" i="3"/>
  <c r="W543" i="3"/>
  <c r="AA543" i="3"/>
  <c r="AA542" i="3"/>
  <c r="AD542" i="3" s="1"/>
  <c r="Z544" i="3"/>
  <c r="W137" i="3"/>
  <c r="G543" i="3"/>
  <c r="D341" i="3"/>
  <c r="G341" i="3" s="1"/>
  <c r="D544" i="3"/>
  <c r="G544" i="3" s="1"/>
  <c r="C342" i="3"/>
  <c r="C545" i="3"/>
  <c r="M343" i="3"/>
  <c r="S343" i="3" s="1"/>
  <c r="M546" i="3"/>
  <c r="S546" i="3" s="1"/>
  <c r="Z341" i="3"/>
  <c r="AA341" i="3"/>
  <c r="Z138" i="3"/>
  <c r="AA137" i="3"/>
  <c r="G138" i="3"/>
  <c r="D139" i="3"/>
  <c r="D134" i="10" s="1"/>
  <c r="H134" i="10" s="1"/>
  <c r="C140" i="3"/>
  <c r="C135" i="10" s="1"/>
  <c r="G135" i="10" s="1"/>
  <c r="S141" i="3"/>
  <c r="AD137" i="3" l="1"/>
  <c r="T37" i="13"/>
  <c r="CY37" i="13" s="1"/>
  <c r="R544" i="3"/>
  <c r="R341" i="3"/>
  <c r="AD543" i="3"/>
  <c r="Y340" i="3"/>
  <c r="AD340" i="3" s="1"/>
  <c r="W340" i="3"/>
  <c r="BL19" i="12"/>
  <c r="BW19" i="12" s="1"/>
  <c r="BX19" i="12" s="1"/>
  <c r="BO19" i="12"/>
  <c r="DL19" i="12" s="1"/>
  <c r="DM19" i="12" s="1"/>
  <c r="BN19" i="12"/>
  <c r="DB19" i="12" s="1"/>
  <c r="BM19" i="12"/>
  <c r="CR19" i="12" s="1"/>
  <c r="BG20" i="13"/>
  <c r="BF20" i="13"/>
  <c r="BH20" i="13"/>
  <c r="BK20" i="13"/>
  <c r="BI20" i="13"/>
  <c r="AY58" i="13"/>
  <c r="N59" i="13"/>
  <c r="EF59" i="13"/>
  <c r="EL59" i="13" s="1"/>
  <c r="FE59" i="13" s="1"/>
  <c r="AO59" i="13"/>
  <c r="AR59" i="13" s="1"/>
  <c r="AZ59" i="13" s="1"/>
  <c r="AC58" i="13"/>
  <c r="DJ58" i="13" s="1"/>
  <c r="ED57" i="12"/>
  <c r="AC58" i="12"/>
  <c r="DJ58" i="12" s="1"/>
  <c r="AA58" i="12"/>
  <c r="CP58" i="12" s="1"/>
  <c r="AB58" i="12"/>
  <c r="CZ58" i="12" s="1"/>
  <c r="AD58" i="12"/>
  <c r="BR58" i="12" s="1"/>
  <c r="AQ59" i="12"/>
  <c r="BU59" i="12" s="1"/>
  <c r="AS58" i="12"/>
  <c r="DV58" i="12" s="1"/>
  <c r="AO59" i="12"/>
  <c r="AI58" i="12"/>
  <c r="CQ58" i="12" s="1"/>
  <c r="AJ58" i="12"/>
  <c r="DA58" i="12" s="1"/>
  <c r="AK58" i="12"/>
  <c r="DK58" i="12" s="1"/>
  <c r="AL58" i="12"/>
  <c r="BS58" i="12" s="1"/>
  <c r="N59" i="12"/>
  <c r="Z59" i="12" s="1"/>
  <c r="T142" i="3"/>
  <c r="N547" i="3"/>
  <c r="T547" i="3" s="1"/>
  <c r="N344" i="3"/>
  <c r="T344" i="3" s="1"/>
  <c r="J545" i="3"/>
  <c r="J342" i="3"/>
  <c r="R140" i="3"/>
  <c r="Y139" i="3"/>
  <c r="R40" i="13" s="1"/>
  <c r="BQ40" i="13" s="1"/>
  <c r="H545" i="3"/>
  <c r="H342" i="3"/>
  <c r="AA544" i="3"/>
  <c r="AA545" i="3"/>
  <c r="Z545" i="3"/>
  <c r="Y341" i="3"/>
  <c r="AD341" i="3" s="1"/>
  <c r="D342" i="3"/>
  <c r="G342" i="3" s="1"/>
  <c r="D545" i="3"/>
  <c r="C343" i="3"/>
  <c r="C546" i="3"/>
  <c r="M344" i="3"/>
  <c r="S344" i="3" s="1"/>
  <c r="M547" i="3"/>
  <c r="S547" i="3" s="1"/>
  <c r="W341" i="3"/>
  <c r="Z342" i="3"/>
  <c r="W138" i="3"/>
  <c r="AA138" i="3"/>
  <c r="AD138" i="3" s="1"/>
  <c r="Z139" i="3"/>
  <c r="W139" i="3"/>
  <c r="G139" i="3"/>
  <c r="D140" i="3"/>
  <c r="D135" i="10" s="1"/>
  <c r="H135" i="10" s="1"/>
  <c r="C141" i="3"/>
  <c r="C136" i="10" s="1"/>
  <c r="G136" i="10" s="1"/>
  <c r="S142" i="3"/>
  <c r="R342" i="3" l="1"/>
  <c r="R545" i="3"/>
  <c r="Y545" i="3" s="1"/>
  <c r="AD545" i="3" s="1"/>
  <c r="CH19" i="12"/>
  <c r="CB19" i="12"/>
  <c r="CA19" i="12"/>
  <c r="BZ19" i="12"/>
  <c r="CD19" i="12"/>
  <c r="CC19" i="12"/>
  <c r="CI19" i="12"/>
  <c r="CK19" i="12" s="1"/>
  <c r="BY19" i="12"/>
  <c r="CE19" i="12"/>
  <c r="DN19" i="12"/>
  <c r="DO19" i="12"/>
  <c r="DU19" i="12"/>
  <c r="DY19" i="12" s="1"/>
  <c r="EC19" i="12" s="1"/>
  <c r="DP19" i="12"/>
  <c r="DQ19" i="12"/>
  <c r="DC19" i="12"/>
  <c r="DG19" i="12" s="1"/>
  <c r="CS19" i="12"/>
  <c r="CW19" i="12" s="1"/>
  <c r="BO20" i="13"/>
  <c r="DL20" i="13" s="1"/>
  <c r="DM20" i="13" s="1"/>
  <c r="BL20" i="13"/>
  <c r="BW20" i="13" s="1"/>
  <c r="BX20" i="13" s="1"/>
  <c r="BM20" i="13"/>
  <c r="CR20" i="13" s="1"/>
  <c r="CS20" i="13" s="1"/>
  <c r="BN20" i="13"/>
  <c r="DB20" i="13" s="1"/>
  <c r="DC20" i="13" s="1"/>
  <c r="ER59" i="13"/>
  <c r="EG59" i="13"/>
  <c r="EM59" i="13" s="1"/>
  <c r="EK58" i="13"/>
  <c r="EJ59" i="13"/>
  <c r="AP59" i="13"/>
  <c r="AS59" i="13" s="1"/>
  <c r="DV59" i="13" s="1"/>
  <c r="DZ59" i="13" s="1"/>
  <c r="ED59" i="13" s="1"/>
  <c r="CG59" i="13"/>
  <c r="M60" i="13"/>
  <c r="L60" i="13"/>
  <c r="AN60" i="13" s="1"/>
  <c r="AQ60" i="13" s="1"/>
  <c r="BU60" i="13" s="1"/>
  <c r="K60" i="13"/>
  <c r="AM59" i="13"/>
  <c r="BT59" i="13" s="1"/>
  <c r="U59" i="13"/>
  <c r="DI59" i="13" s="1"/>
  <c r="Z59" i="13"/>
  <c r="Q59" i="13"/>
  <c r="Y59" i="13"/>
  <c r="CJ59" i="13"/>
  <c r="V59" i="13"/>
  <c r="AH59" i="13"/>
  <c r="AL59" i="13" s="1"/>
  <c r="BS59" i="13" s="1"/>
  <c r="AG59" i="13"/>
  <c r="AK59" i="13" s="1"/>
  <c r="DK59" i="13" s="1"/>
  <c r="AF59" i="13"/>
  <c r="AJ59" i="13" s="1"/>
  <c r="DA59" i="13" s="1"/>
  <c r="AE59" i="13"/>
  <c r="AI59" i="13" s="1"/>
  <c r="CQ59" i="13" s="1"/>
  <c r="DZ58" i="12"/>
  <c r="CJ59" i="12"/>
  <c r="CG59" i="12"/>
  <c r="W59" i="12"/>
  <c r="X59" i="12"/>
  <c r="Y59" i="12"/>
  <c r="AR59" i="12"/>
  <c r="AZ59" i="12" s="1"/>
  <c r="AM59" i="12"/>
  <c r="BT59" i="12" s="1"/>
  <c r="M60" i="12"/>
  <c r="L60" i="12"/>
  <c r="AN60" i="12" s="1"/>
  <c r="AP59" i="12"/>
  <c r="AE59" i="12"/>
  <c r="AF59" i="12"/>
  <c r="AG59" i="12"/>
  <c r="AH59" i="12"/>
  <c r="U59" i="12"/>
  <c r="DI59" i="12" s="1"/>
  <c r="R59" i="12"/>
  <c r="BQ59" i="12" s="1"/>
  <c r="T59" i="12"/>
  <c r="CY59" i="12" s="1"/>
  <c r="Q59" i="12"/>
  <c r="AY59" i="12" s="1"/>
  <c r="K60" i="12"/>
  <c r="V59" i="12"/>
  <c r="S59" i="12"/>
  <c r="CO59" i="12" s="1"/>
  <c r="T143" i="3"/>
  <c r="N548" i="3"/>
  <c r="T548" i="3" s="1"/>
  <c r="N345" i="3"/>
  <c r="T345" i="3" s="1"/>
  <c r="J546" i="3"/>
  <c r="J343" i="3"/>
  <c r="R141" i="3"/>
  <c r="Y140" i="3"/>
  <c r="H546" i="3"/>
  <c r="H343" i="3"/>
  <c r="W544" i="3"/>
  <c r="Y544" i="3"/>
  <c r="AD544" i="3" s="1"/>
  <c r="Z546" i="3"/>
  <c r="G545" i="3"/>
  <c r="D343" i="3"/>
  <c r="D546" i="3"/>
  <c r="G546" i="3" s="1"/>
  <c r="C344" i="3"/>
  <c r="C547" i="3"/>
  <c r="M345" i="3"/>
  <c r="S345" i="3" s="1"/>
  <c r="M548" i="3"/>
  <c r="S548" i="3" s="1"/>
  <c r="Z343" i="3"/>
  <c r="AA342" i="3"/>
  <c r="G343" i="3"/>
  <c r="Z140" i="3"/>
  <c r="AA139" i="3"/>
  <c r="AD139" i="3" s="1"/>
  <c r="G140" i="3"/>
  <c r="D141" i="3"/>
  <c r="D136" i="10" s="1"/>
  <c r="H136" i="10" s="1"/>
  <c r="C142" i="3"/>
  <c r="S143" i="3"/>
  <c r="FD19" i="12" l="1"/>
  <c r="FG19" i="12" s="1"/>
  <c r="C137" i="10"/>
  <c r="G137" i="10" s="1"/>
  <c r="W38" i="13"/>
  <c r="R546" i="3"/>
  <c r="R343" i="3"/>
  <c r="Y342" i="3"/>
  <c r="AD342" i="3" s="1"/>
  <c r="W342" i="3"/>
  <c r="CM19" i="12"/>
  <c r="CL19" i="12"/>
  <c r="BB20" i="12" s="1"/>
  <c r="DD19" i="12"/>
  <c r="DE19" i="12"/>
  <c r="DT19" i="12"/>
  <c r="DX19" i="12" s="1"/>
  <c r="EB19" i="12" s="1"/>
  <c r="DF19" i="12"/>
  <c r="CU19" i="12"/>
  <c r="CT19" i="12"/>
  <c r="CV19" i="12"/>
  <c r="DS19" i="12"/>
  <c r="DW19" i="12" s="1"/>
  <c r="EA19" i="12" s="1"/>
  <c r="DP20" i="13"/>
  <c r="DO20" i="13"/>
  <c r="DN20" i="13"/>
  <c r="DU20" i="13"/>
  <c r="DY20" i="13" s="1"/>
  <c r="EC20" i="13" s="1"/>
  <c r="FD20" i="13" s="1"/>
  <c r="FG20" i="13" s="1"/>
  <c r="DQ20" i="13"/>
  <c r="CA20" i="13"/>
  <c r="CC20" i="13"/>
  <c r="CD20" i="13"/>
  <c r="BZ20" i="13"/>
  <c r="CH20" i="13"/>
  <c r="CB20" i="13"/>
  <c r="CI20" i="13"/>
  <c r="CK20" i="13" s="1"/>
  <c r="BY20" i="13"/>
  <c r="CE20" i="13"/>
  <c r="CU20" i="13"/>
  <c r="CV20" i="13"/>
  <c r="CT20" i="13"/>
  <c r="DS20" i="13"/>
  <c r="DW20" i="13" s="1"/>
  <c r="EA20" i="13" s="1"/>
  <c r="CW20" i="13"/>
  <c r="DD20" i="13"/>
  <c r="DF20" i="13"/>
  <c r="DT20" i="13"/>
  <c r="DX20" i="13" s="1"/>
  <c r="EB20" i="13" s="1"/>
  <c r="DE20" i="13"/>
  <c r="DG20" i="13"/>
  <c r="AY59" i="13"/>
  <c r="N60" i="13"/>
  <c r="EF60" i="13"/>
  <c r="EL60" i="13" s="1"/>
  <c r="FE60" i="13" s="1"/>
  <c r="AO60" i="13"/>
  <c r="AR60" i="13" s="1"/>
  <c r="AZ60" i="13" s="1"/>
  <c r="AD59" i="13"/>
  <c r="BR59" i="13" s="1"/>
  <c r="AC59" i="13"/>
  <c r="DJ59" i="13" s="1"/>
  <c r="ED58" i="12"/>
  <c r="AC59" i="12"/>
  <c r="DJ59" i="12" s="1"/>
  <c r="AA59" i="12"/>
  <c r="CP59" i="12" s="1"/>
  <c r="AD59" i="12"/>
  <c r="BR59" i="12" s="1"/>
  <c r="AB59" i="12"/>
  <c r="CZ59" i="12" s="1"/>
  <c r="AQ60" i="12"/>
  <c r="BU60" i="12" s="1"/>
  <c r="AS59" i="12"/>
  <c r="DV59" i="12" s="1"/>
  <c r="AO60" i="12"/>
  <c r="AI59" i="12"/>
  <c r="CQ59" i="12" s="1"/>
  <c r="AJ59" i="12"/>
  <c r="DA59" i="12" s="1"/>
  <c r="AK59" i="12"/>
  <c r="DK59" i="12" s="1"/>
  <c r="AL59" i="12"/>
  <c r="BS59" i="12" s="1"/>
  <c r="N60" i="12"/>
  <c r="Z60" i="12" s="1"/>
  <c r="T144" i="3"/>
  <c r="N549" i="3"/>
  <c r="T549" i="3" s="1"/>
  <c r="N346" i="3"/>
  <c r="T346" i="3" s="1"/>
  <c r="J547" i="3"/>
  <c r="J344" i="3"/>
  <c r="R142" i="3"/>
  <c r="Y141" i="3"/>
  <c r="H547" i="3"/>
  <c r="R547" i="3" s="1"/>
  <c r="Y547" i="3" s="1"/>
  <c r="H344" i="3"/>
  <c r="W546" i="3"/>
  <c r="Y546" i="3"/>
  <c r="W545" i="3"/>
  <c r="AA546" i="3"/>
  <c r="AA547" i="3"/>
  <c r="Z547" i="3"/>
  <c r="D344" i="3"/>
  <c r="G344" i="3" s="1"/>
  <c r="D547" i="3"/>
  <c r="C345" i="3"/>
  <c r="C548" i="3"/>
  <c r="M346" i="3"/>
  <c r="S346" i="3" s="1"/>
  <c r="M549" i="3"/>
  <c r="S549" i="3" s="1"/>
  <c r="AA343" i="3"/>
  <c r="Z344" i="3"/>
  <c r="W140" i="3"/>
  <c r="AA140" i="3"/>
  <c r="AD140" i="3" s="1"/>
  <c r="Z141" i="3"/>
  <c r="W141" i="3"/>
  <c r="G141" i="3"/>
  <c r="Z142" i="3"/>
  <c r="S38" i="13" s="1"/>
  <c r="CO38" i="13" s="1"/>
  <c r="D142" i="3"/>
  <c r="C143" i="3"/>
  <c r="C138" i="10" s="1"/>
  <c r="G138" i="10" s="1"/>
  <c r="S144" i="3"/>
  <c r="AA38" i="13" l="1"/>
  <c r="CP38" i="13" s="1"/>
  <c r="D137" i="10"/>
  <c r="H137" i="10" s="1"/>
  <c r="X38" i="13"/>
  <c r="BE20" i="12"/>
  <c r="R344" i="3"/>
  <c r="Y343" i="3"/>
  <c r="AD343" i="3" s="1"/>
  <c r="W343" i="3"/>
  <c r="CL20" i="13"/>
  <c r="BB21" i="13" s="1"/>
  <c r="CM20" i="13"/>
  <c r="ER60" i="13"/>
  <c r="EG60" i="13"/>
  <c r="EM60" i="13" s="1"/>
  <c r="EK59" i="13"/>
  <c r="EJ60" i="13"/>
  <c r="AM60" i="13"/>
  <c r="BT60" i="13" s="1"/>
  <c r="AP60" i="13"/>
  <c r="AS60" i="13" s="1"/>
  <c r="DV60" i="13" s="1"/>
  <c r="DZ60" i="13" s="1"/>
  <c r="ED60" i="13" s="1"/>
  <c r="K61" i="13"/>
  <c r="M61" i="13"/>
  <c r="L61" i="13"/>
  <c r="AN61" i="13" s="1"/>
  <c r="AQ61" i="13" s="1"/>
  <c r="BU61" i="13" s="1"/>
  <c r="CG60" i="13"/>
  <c r="U60" i="13"/>
  <c r="DI60" i="13" s="1"/>
  <c r="Q60" i="13"/>
  <c r="Y60" i="13"/>
  <c r="AC60" i="13" s="1"/>
  <c r="DJ60" i="13" s="1"/>
  <c r="CJ60" i="13"/>
  <c r="Z60" i="13"/>
  <c r="V60" i="13"/>
  <c r="AH60" i="13"/>
  <c r="AL60" i="13" s="1"/>
  <c r="BS60" i="13" s="1"/>
  <c r="AG60" i="13"/>
  <c r="AK60" i="13" s="1"/>
  <c r="DK60" i="13" s="1"/>
  <c r="AF60" i="13"/>
  <c r="AJ60" i="13" s="1"/>
  <c r="DA60" i="13" s="1"/>
  <c r="AE60" i="13"/>
  <c r="AI60" i="13" s="1"/>
  <c r="CQ60" i="13" s="1"/>
  <c r="DZ59" i="12"/>
  <c r="CJ60" i="12"/>
  <c r="CG60" i="12"/>
  <c r="Y60" i="12"/>
  <c r="W60" i="12"/>
  <c r="X60" i="12"/>
  <c r="AD547" i="3"/>
  <c r="AR60" i="12"/>
  <c r="AZ60" i="12" s="1"/>
  <c r="AM60" i="12"/>
  <c r="BT60" i="12" s="1"/>
  <c r="M61" i="12"/>
  <c r="L61" i="12"/>
  <c r="AN61" i="12" s="1"/>
  <c r="AP60" i="12"/>
  <c r="AE60" i="12"/>
  <c r="AF60" i="12"/>
  <c r="AG60" i="12"/>
  <c r="AH60" i="12"/>
  <c r="R60" i="12"/>
  <c r="BQ60" i="12" s="1"/>
  <c r="T60" i="12"/>
  <c r="CY60" i="12" s="1"/>
  <c r="K61" i="12"/>
  <c r="V60" i="12"/>
  <c r="S60" i="12"/>
  <c r="CO60" i="12" s="1"/>
  <c r="Q60" i="12"/>
  <c r="AY60" i="12" s="1"/>
  <c r="U60" i="12"/>
  <c r="DI60" i="12" s="1"/>
  <c r="T145" i="3"/>
  <c r="N550" i="3"/>
  <c r="T550" i="3" s="1"/>
  <c r="N347" i="3"/>
  <c r="T347" i="3" s="1"/>
  <c r="J548" i="3"/>
  <c r="J345" i="3"/>
  <c r="R143" i="3"/>
  <c r="H548" i="3"/>
  <c r="R548" i="3" s="1"/>
  <c r="H345" i="3"/>
  <c r="W547" i="3"/>
  <c r="Z548" i="3"/>
  <c r="AD546" i="3"/>
  <c r="Y344" i="3"/>
  <c r="G547" i="3"/>
  <c r="D345" i="3"/>
  <c r="G345" i="3" s="1"/>
  <c r="D548" i="3"/>
  <c r="C346" i="3"/>
  <c r="C549" i="3"/>
  <c r="M347" i="3"/>
  <c r="S347" i="3" s="1"/>
  <c r="M550" i="3"/>
  <c r="S550" i="3" s="1"/>
  <c r="Z345" i="3"/>
  <c r="AA344" i="3"/>
  <c r="W344" i="3"/>
  <c r="Z346" i="3"/>
  <c r="AA141" i="3"/>
  <c r="AD141" i="3" s="1"/>
  <c r="G142" i="3"/>
  <c r="D143" i="3"/>
  <c r="D138" i="10" s="1"/>
  <c r="H138" i="10" s="1"/>
  <c r="C144" i="3"/>
  <c r="C139" i="10" s="1"/>
  <c r="G139" i="10" s="1"/>
  <c r="S145" i="3"/>
  <c r="AB38" i="13" l="1"/>
  <c r="CZ38" i="13" s="1"/>
  <c r="R345" i="3"/>
  <c r="W345" i="3" s="1"/>
  <c r="BC20" i="12"/>
  <c r="BE21" i="13"/>
  <c r="BD21" i="13"/>
  <c r="EQ21" i="13" s="1"/>
  <c r="ES21" i="13" s="1"/>
  <c r="AY60" i="13"/>
  <c r="EF61" i="13"/>
  <c r="EL61" i="13" s="1"/>
  <c r="FE61" i="13" s="1"/>
  <c r="N61" i="13"/>
  <c r="AO61" i="13"/>
  <c r="AR61" i="13" s="1"/>
  <c r="AZ61" i="13" s="1"/>
  <c r="AD60" i="13"/>
  <c r="BR60" i="13" s="1"/>
  <c r="ED59" i="12"/>
  <c r="AD344" i="3"/>
  <c r="AC60" i="12"/>
  <c r="DJ60" i="12" s="1"/>
  <c r="AB60" i="12"/>
  <c r="CZ60" i="12" s="1"/>
  <c r="AA60" i="12"/>
  <c r="CP60" i="12" s="1"/>
  <c r="AD60" i="12"/>
  <c r="BR60" i="12" s="1"/>
  <c r="AQ61" i="12"/>
  <c r="BU61" i="12" s="1"/>
  <c r="AS60" i="12"/>
  <c r="DV60" i="12" s="1"/>
  <c r="AO61" i="12"/>
  <c r="AI60" i="12"/>
  <c r="CQ60" i="12" s="1"/>
  <c r="AJ60" i="12"/>
  <c r="DA60" i="12" s="1"/>
  <c r="AK60" i="12"/>
  <c r="DK60" i="12" s="1"/>
  <c r="AL60" i="12"/>
  <c r="BS60" i="12" s="1"/>
  <c r="N61" i="12"/>
  <c r="Z61" i="12" s="1"/>
  <c r="T146" i="3"/>
  <c r="N551" i="3"/>
  <c r="T551" i="3" s="1"/>
  <c r="N348" i="3"/>
  <c r="T348" i="3" s="1"/>
  <c r="J549" i="3"/>
  <c r="J346" i="3"/>
  <c r="R144" i="3"/>
  <c r="Y143" i="3"/>
  <c r="H549" i="3"/>
  <c r="H346" i="3"/>
  <c r="R346" i="3" s="1"/>
  <c r="Z549" i="3"/>
  <c r="Y142" i="3"/>
  <c r="G548" i="3"/>
  <c r="D346" i="3"/>
  <c r="G346" i="3" s="1"/>
  <c r="D549" i="3"/>
  <c r="G549" i="3" s="1"/>
  <c r="C347" i="3"/>
  <c r="C550" i="3"/>
  <c r="M348" i="3"/>
  <c r="S348" i="3" s="1"/>
  <c r="M551" i="3"/>
  <c r="S551" i="3" s="1"/>
  <c r="AA345" i="3"/>
  <c r="AA346" i="3"/>
  <c r="AA142" i="3"/>
  <c r="T38" i="13" s="1"/>
  <c r="CY38" i="13" s="1"/>
  <c r="W142" i="3"/>
  <c r="Z143" i="3"/>
  <c r="G143" i="3"/>
  <c r="D144" i="3"/>
  <c r="D139" i="10" s="1"/>
  <c r="H139" i="10" s="1"/>
  <c r="C145" i="3"/>
  <c r="C140" i="10" s="1"/>
  <c r="G140" i="10" s="1"/>
  <c r="S146" i="3"/>
  <c r="R549" i="3" l="1"/>
  <c r="BH20" i="12"/>
  <c r="BG20" i="12"/>
  <c r="BF20" i="12"/>
  <c r="BK20" i="12"/>
  <c r="BI20" i="12"/>
  <c r="EU21" i="13"/>
  <c r="EX21" i="13" s="1"/>
  <c r="FA21" i="13" s="1"/>
  <c r="ET21" i="13"/>
  <c r="EW21" i="13" s="1"/>
  <c r="EZ21" i="13" s="1"/>
  <c r="EV21" i="13"/>
  <c r="EY21" i="13" s="1"/>
  <c r="FB21" i="13" s="1"/>
  <c r="FF21" i="13" s="1"/>
  <c r="BC21" i="13"/>
  <c r="ER61" i="13"/>
  <c r="EG61" i="13"/>
  <c r="EM61" i="13" s="1"/>
  <c r="EK60" i="13"/>
  <c r="EJ61" i="13"/>
  <c r="CG61" i="13"/>
  <c r="AP61" i="13"/>
  <c r="AS61" i="13" s="1"/>
  <c r="DV61" i="13" s="1"/>
  <c r="DZ61" i="13" s="1"/>
  <c r="ED61" i="13" s="1"/>
  <c r="M62" i="13"/>
  <c r="AM61" i="13"/>
  <c r="BT61" i="13" s="1"/>
  <c r="Q61" i="13"/>
  <c r="L62" i="13"/>
  <c r="AN62" i="13" s="1"/>
  <c r="AQ62" i="13" s="1"/>
  <c r="BU62" i="13" s="1"/>
  <c r="K62" i="13"/>
  <c r="V61" i="13"/>
  <c r="U61" i="13"/>
  <c r="DI61" i="13" s="1"/>
  <c r="Z61" i="13"/>
  <c r="CJ61" i="13"/>
  <c r="Y61" i="13"/>
  <c r="AH61" i="13"/>
  <c r="AL61" i="13" s="1"/>
  <c r="BS61" i="13" s="1"/>
  <c r="AG61" i="13"/>
  <c r="AK61" i="13" s="1"/>
  <c r="DK61" i="13" s="1"/>
  <c r="AF61" i="13"/>
  <c r="AJ61" i="13" s="1"/>
  <c r="DA61" i="13" s="1"/>
  <c r="AE61" i="13"/>
  <c r="AI61" i="13" s="1"/>
  <c r="CQ61" i="13" s="1"/>
  <c r="DZ60" i="12"/>
  <c r="CJ61" i="12"/>
  <c r="CG61" i="12"/>
  <c r="X61" i="12"/>
  <c r="Y61" i="12"/>
  <c r="W61" i="12"/>
  <c r="AD142" i="3"/>
  <c r="AR61" i="12"/>
  <c r="AZ61" i="12" s="1"/>
  <c r="AM61" i="12"/>
  <c r="BT61" i="12" s="1"/>
  <c r="M62" i="12"/>
  <c r="L62" i="12"/>
  <c r="AN62" i="12" s="1"/>
  <c r="AP61" i="12"/>
  <c r="AE61" i="12"/>
  <c r="AF61" i="12"/>
  <c r="AG61" i="12"/>
  <c r="AH61" i="12"/>
  <c r="Q61" i="12"/>
  <c r="AY61" i="12" s="1"/>
  <c r="T61" i="12"/>
  <c r="CY61" i="12" s="1"/>
  <c r="U61" i="12"/>
  <c r="DI61" i="12" s="1"/>
  <c r="K62" i="12"/>
  <c r="V61" i="12"/>
  <c r="R61" i="12"/>
  <c r="BQ61" i="12" s="1"/>
  <c r="S61" i="12"/>
  <c r="CO61" i="12" s="1"/>
  <c r="T147" i="3"/>
  <c r="N552" i="3"/>
  <c r="T552" i="3" s="1"/>
  <c r="N349" i="3"/>
  <c r="T349" i="3" s="1"/>
  <c r="J550" i="3"/>
  <c r="J347" i="3"/>
  <c r="R145" i="3"/>
  <c r="Y144" i="3"/>
  <c r="R41" i="13" s="1"/>
  <c r="BQ41" i="13" s="1"/>
  <c r="H550" i="3"/>
  <c r="H347" i="3"/>
  <c r="R347" i="3" s="1"/>
  <c r="Y347" i="3" s="1"/>
  <c r="W548" i="3"/>
  <c r="Y548" i="3"/>
  <c r="Y345" i="3"/>
  <c r="AD345" i="3" s="1"/>
  <c r="Y346" i="3"/>
  <c r="AD346" i="3" s="1"/>
  <c r="AA549" i="3"/>
  <c r="AA548" i="3"/>
  <c r="Z550" i="3"/>
  <c r="W143" i="3"/>
  <c r="D347" i="3"/>
  <c r="D550" i="3"/>
  <c r="G550" i="3" s="1"/>
  <c r="C348" i="3"/>
  <c r="C551" i="3"/>
  <c r="M349" i="3"/>
  <c r="S349" i="3" s="1"/>
  <c r="M552" i="3"/>
  <c r="S552" i="3" s="1"/>
  <c r="W346" i="3"/>
  <c r="Z347" i="3"/>
  <c r="G347" i="3"/>
  <c r="AA347" i="3"/>
  <c r="Z348" i="3"/>
  <c r="Z144" i="3"/>
  <c r="AA143" i="3"/>
  <c r="AD143" i="3" s="1"/>
  <c r="G144" i="3"/>
  <c r="D145" i="3"/>
  <c r="D140" i="10" s="1"/>
  <c r="H140" i="10" s="1"/>
  <c r="C146" i="3"/>
  <c r="S147" i="3"/>
  <c r="C141" i="10" l="1"/>
  <c r="G141" i="10" s="1"/>
  <c r="W39" i="13"/>
  <c r="R550" i="3"/>
  <c r="Y549" i="3"/>
  <c r="AD549" i="3" s="1"/>
  <c r="W549" i="3"/>
  <c r="BL20" i="12"/>
  <c r="BW20" i="12" s="1"/>
  <c r="BX20" i="12" s="1"/>
  <c r="BN20" i="12"/>
  <c r="DB20" i="12" s="1"/>
  <c r="DC20" i="12" s="1"/>
  <c r="BM20" i="12"/>
  <c r="CR20" i="12" s="1"/>
  <c r="BO20" i="12"/>
  <c r="DL20" i="12" s="1"/>
  <c r="DM20" i="12" s="1"/>
  <c r="BF21" i="13"/>
  <c r="BG21" i="13"/>
  <c r="BH21" i="13"/>
  <c r="BK21" i="13"/>
  <c r="BI21" i="13"/>
  <c r="AY61" i="13"/>
  <c r="N62" i="13"/>
  <c r="EF62" i="13"/>
  <c r="EL62" i="13" s="1"/>
  <c r="FE62" i="13" s="1"/>
  <c r="AO62" i="13"/>
  <c r="AR62" i="13" s="1"/>
  <c r="AZ62" i="13" s="1"/>
  <c r="AD61" i="13"/>
  <c r="BR61" i="13" s="1"/>
  <c r="AC61" i="13"/>
  <c r="DJ61" i="13" s="1"/>
  <c r="ED60" i="12"/>
  <c r="AD347" i="3"/>
  <c r="AC61" i="12"/>
  <c r="DJ61" i="12" s="1"/>
  <c r="AA61" i="12"/>
  <c r="CP61" i="12" s="1"/>
  <c r="AB61" i="12"/>
  <c r="CZ61" i="12" s="1"/>
  <c r="AD61" i="12"/>
  <c r="BR61" i="12" s="1"/>
  <c r="AQ62" i="12"/>
  <c r="BU62" i="12" s="1"/>
  <c r="AS61" i="12"/>
  <c r="DV61" i="12" s="1"/>
  <c r="AO62" i="12"/>
  <c r="AI61" i="12"/>
  <c r="CQ61" i="12" s="1"/>
  <c r="AJ61" i="12"/>
  <c r="DA61" i="12" s="1"/>
  <c r="AK61" i="12"/>
  <c r="DK61" i="12" s="1"/>
  <c r="AL61" i="12"/>
  <c r="BS61" i="12" s="1"/>
  <c r="N62" i="12"/>
  <c r="Z62" i="12" s="1"/>
  <c r="T148" i="3"/>
  <c r="N553" i="3"/>
  <c r="T553" i="3" s="1"/>
  <c r="N350" i="3"/>
  <c r="T350" i="3" s="1"/>
  <c r="J551" i="3"/>
  <c r="J348" i="3"/>
  <c r="R146" i="3"/>
  <c r="H551" i="3"/>
  <c r="H348" i="3"/>
  <c r="AA550" i="3"/>
  <c r="Z551" i="3"/>
  <c r="AD548" i="3"/>
  <c r="D348" i="3"/>
  <c r="G348" i="3" s="1"/>
  <c r="D551" i="3"/>
  <c r="C349" i="3"/>
  <c r="C552" i="3"/>
  <c r="M350" i="3"/>
  <c r="S350" i="3" s="1"/>
  <c r="M553" i="3"/>
  <c r="S553" i="3" s="1"/>
  <c r="W347" i="3"/>
  <c r="AA348" i="3"/>
  <c r="AA144" i="3"/>
  <c r="AD144" i="3" s="1"/>
  <c r="W144" i="3"/>
  <c r="Z145" i="3"/>
  <c r="W145" i="3"/>
  <c r="G145" i="3"/>
  <c r="D146" i="3"/>
  <c r="C147" i="3"/>
  <c r="C142" i="10" s="1"/>
  <c r="G142" i="10" s="1"/>
  <c r="S148" i="3"/>
  <c r="AA39" i="13" l="1"/>
  <c r="CP39" i="13" s="1"/>
  <c r="D141" i="10"/>
  <c r="H141" i="10" s="1"/>
  <c r="X39" i="13"/>
  <c r="R551" i="3"/>
  <c r="R348" i="3"/>
  <c r="W348" i="3" s="1"/>
  <c r="Y550" i="3"/>
  <c r="AD550" i="3" s="1"/>
  <c r="W550" i="3"/>
  <c r="CI20" i="12"/>
  <c r="CK20" i="12" s="1"/>
  <c r="CH20" i="12"/>
  <c r="CC20" i="12"/>
  <c r="BY20" i="12"/>
  <c r="CA20" i="12"/>
  <c r="CD20" i="12"/>
  <c r="CB20" i="12"/>
  <c r="BZ20" i="12"/>
  <c r="CE20" i="12"/>
  <c r="DT20" i="12"/>
  <c r="DX20" i="12" s="1"/>
  <c r="EB20" i="12" s="1"/>
  <c r="DF20" i="12"/>
  <c r="DD20" i="12"/>
  <c r="DE20" i="12"/>
  <c r="DG20" i="12"/>
  <c r="CS20" i="12"/>
  <c r="CW20" i="12" s="1"/>
  <c r="DP20" i="12"/>
  <c r="DN20" i="12"/>
  <c r="DU20" i="12"/>
  <c r="DY20" i="12" s="1"/>
  <c r="EC20" i="12" s="1"/>
  <c r="DO20" i="12"/>
  <c r="DQ20" i="12"/>
  <c r="BL21" i="13"/>
  <c r="BW21" i="13" s="1"/>
  <c r="BN21" i="13"/>
  <c r="DB21" i="13" s="1"/>
  <c r="DC21" i="13" s="1"/>
  <c r="BO21" i="13"/>
  <c r="DL21" i="13" s="1"/>
  <c r="DM21" i="13" s="1"/>
  <c r="BM21" i="13"/>
  <c r="CR21" i="13" s="1"/>
  <c r="CS21" i="13" s="1"/>
  <c r="ER62" i="13"/>
  <c r="EG62" i="13"/>
  <c r="EM62" i="13" s="1"/>
  <c r="EK61" i="13"/>
  <c r="EJ62" i="13"/>
  <c r="AP62" i="13"/>
  <c r="AS62" i="13" s="1"/>
  <c r="DV62" i="13" s="1"/>
  <c r="DZ62" i="13" s="1"/>
  <c r="ED62" i="13" s="1"/>
  <c r="K63" i="13"/>
  <c r="M63" i="13"/>
  <c r="CG62" i="13"/>
  <c r="AM62" i="13"/>
  <c r="BT62" i="13" s="1"/>
  <c r="CJ62" i="13"/>
  <c r="V62" i="13"/>
  <c r="Y62" i="13"/>
  <c r="L63" i="13"/>
  <c r="AN63" i="13" s="1"/>
  <c r="AQ63" i="13" s="1"/>
  <c r="BU63" i="13" s="1"/>
  <c r="U62" i="13"/>
  <c r="DI62" i="13" s="1"/>
  <c r="Z62" i="13"/>
  <c r="Q62" i="13"/>
  <c r="AH62" i="13"/>
  <c r="AL62" i="13" s="1"/>
  <c r="BS62" i="13" s="1"/>
  <c r="AG62" i="13"/>
  <c r="AK62" i="13" s="1"/>
  <c r="DK62" i="13" s="1"/>
  <c r="AF62" i="13"/>
  <c r="AJ62" i="13" s="1"/>
  <c r="DA62" i="13" s="1"/>
  <c r="AE62" i="13"/>
  <c r="AI62" i="13" s="1"/>
  <c r="CQ62" i="13" s="1"/>
  <c r="DZ61" i="12"/>
  <c r="CJ62" i="12"/>
  <c r="CG62" i="12"/>
  <c r="X62" i="12"/>
  <c r="W62" i="12"/>
  <c r="Y62" i="12"/>
  <c r="AR62" i="12"/>
  <c r="AZ62" i="12" s="1"/>
  <c r="AM62" i="12"/>
  <c r="BT62" i="12" s="1"/>
  <c r="M63" i="12"/>
  <c r="L63" i="12"/>
  <c r="AN63" i="12" s="1"/>
  <c r="AP62" i="12"/>
  <c r="AE62" i="12"/>
  <c r="AF62" i="12"/>
  <c r="AG62" i="12"/>
  <c r="AH62" i="12"/>
  <c r="R62" i="12"/>
  <c r="BQ62" i="12" s="1"/>
  <c r="S62" i="12"/>
  <c r="CO62" i="12" s="1"/>
  <c r="T62" i="12"/>
  <c r="CY62" i="12" s="1"/>
  <c r="U62" i="12"/>
  <c r="DI62" i="12" s="1"/>
  <c r="K63" i="12"/>
  <c r="V62" i="12"/>
  <c r="Q62" i="12"/>
  <c r="AY62" i="12" s="1"/>
  <c r="T149" i="3"/>
  <c r="N554" i="3"/>
  <c r="T554" i="3" s="1"/>
  <c r="N351" i="3"/>
  <c r="T351" i="3" s="1"/>
  <c r="J552" i="3"/>
  <c r="J349" i="3"/>
  <c r="R147" i="3"/>
  <c r="H552" i="3"/>
  <c r="R552" i="3" s="1"/>
  <c r="H349" i="3"/>
  <c r="R349" i="3" s="1"/>
  <c r="Z552" i="3"/>
  <c r="Y145" i="3"/>
  <c r="Y146" i="3"/>
  <c r="AA551" i="3"/>
  <c r="G551" i="3"/>
  <c r="D349" i="3"/>
  <c r="G349" i="3" s="1"/>
  <c r="D552" i="3"/>
  <c r="C350" i="3"/>
  <c r="C553" i="3"/>
  <c r="M351" i="3"/>
  <c r="S351" i="3" s="1"/>
  <c r="M554" i="3"/>
  <c r="S554" i="3" s="1"/>
  <c r="Z349" i="3"/>
  <c r="AA349" i="3"/>
  <c r="Z146" i="3"/>
  <c r="S39" i="13" s="1"/>
  <c r="CO39" i="13" s="1"/>
  <c r="AA145" i="3"/>
  <c r="G146" i="3"/>
  <c r="D147" i="3"/>
  <c r="D142" i="10" s="1"/>
  <c r="H142" i="10" s="1"/>
  <c r="C148" i="3"/>
  <c r="C143" i="10" s="1"/>
  <c r="G143" i="10" s="1"/>
  <c r="S149" i="3"/>
  <c r="FD20" i="12" l="1"/>
  <c r="FG20" i="12" s="1"/>
  <c r="AB39" i="13"/>
  <c r="CZ39" i="13" s="1"/>
  <c r="CL20" i="12"/>
  <c r="BB21" i="12" s="1"/>
  <c r="CM20" i="12"/>
  <c r="CT20" i="12"/>
  <c r="DS20" i="12"/>
  <c r="DW20" i="12" s="1"/>
  <c r="EA20" i="12" s="1"/>
  <c r="CU20" i="12"/>
  <c r="CV20" i="12"/>
  <c r="BX21" i="13"/>
  <c r="CE21" i="13" s="1"/>
  <c r="DF21" i="13"/>
  <c r="DE21" i="13"/>
  <c r="DD21" i="13"/>
  <c r="DT21" i="13"/>
  <c r="DX21" i="13" s="1"/>
  <c r="EB21" i="13" s="1"/>
  <c r="DG21" i="13"/>
  <c r="DN21" i="13"/>
  <c r="DU21" i="13"/>
  <c r="DY21" i="13" s="1"/>
  <c r="EC21" i="13" s="1"/>
  <c r="FD21" i="13" s="1"/>
  <c r="FG21" i="13" s="1"/>
  <c r="DO21" i="13"/>
  <c r="DP21" i="13"/>
  <c r="DQ21" i="13"/>
  <c r="CV21" i="13"/>
  <c r="CT21" i="13"/>
  <c r="DS21" i="13"/>
  <c r="DW21" i="13" s="1"/>
  <c r="EA21" i="13" s="1"/>
  <c r="CU21" i="13"/>
  <c r="CW21" i="13"/>
  <c r="AY62" i="13"/>
  <c r="N63" i="13"/>
  <c r="EF63" i="13"/>
  <c r="EL63" i="13" s="1"/>
  <c r="FE63" i="13" s="1"/>
  <c r="AO63" i="13"/>
  <c r="AR63" i="13" s="1"/>
  <c r="AZ63" i="13" s="1"/>
  <c r="AC62" i="13"/>
  <c r="DJ62" i="13" s="1"/>
  <c r="AD62" i="13"/>
  <c r="BR62" i="13" s="1"/>
  <c r="ED61" i="12"/>
  <c r="AD145" i="3"/>
  <c r="AB62" i="12"/>
  <c r="CZ62" i="12" s="1"/>
  <c r="AD62" i="12"/>
  <c r="BR62" i="12" s="1"/>
  <c r="AA62" i="12"/>
  <c r="CP62" i="12" s="1"/>
  <c r="AC62" i="12"/>
  <c r="DJ62" i="12" s="1"/>
  <c r="AQ63" i="12"/>
  <c r="BU63" i="12" s="1"/>
  <c r="AS62" i="12"/>
  <c r="DV62" i="12" s="1"/>
  <c r="AO63" i="12"/>
  <c r="AI62" i="12"/>
  <c r="CQ62" i="12" s="1"/>
  <c r="AJ62" i="12"/>
  <c r="DA62" i="12" s="1"/>
  <c r="AK62" i="12"/>
  <c r="DK62" i="12" s="1"/>
  <c r="AL62" i="12"/>
  <c r="BS62" i="12" s="1"/>
  <c r="N63" i="12"/>
  <c r="Z63" i="12" s="1"/>
  <c r="T150" i="3"/>
  <c r="N555" i="3"/>
  <c r="T555" i="3" s="1"/>
  <c r="N352" i="3"/>
  <c r="T352" i="3" s="1"/>
  <c r="J553" i="3"/>
  <c r="J350" i="3"/>
  <c r="R148" i="3"/>
  <c r="H553" i="3"/>
  <c r="H350" i="3"/>
  <c r="R350" i="3" s="1"/>
  <c r="W551" i="3"/>
  <c r="Y551" i="3"/>
  <c r="AD551" i="3" s="1"/>
  <c r="Y348" i="3"/>
  <c r="AD348" i="3" s="1"/>
  <c r="Z553" i="3"/>
  <c r="Y552" i="3"/>
  <c r="G552" i="3"/>
  <c r="D350" i="3"/>
  <c r="G350" i="3" s="1"/>
  <c r="D553" i="3"/>
  <c r="C351" i="3"/>
  <c r="C554" i="3"/>
  <c r="M352" i="3"/>
  <c r="S352" i="3" s="1"/>
  <c r="M555" i="3"/>
  <c r="S555" i="3" s="1"/>
  <c r="Z350" i="3"/>
  <c r="AA146" i="3"/>
  <c r="W146" i="3"/>
  <c r="Z147" i="3"/>
  <c r="G147" i="3"/>
  <c r="Z148" i="3"/>
  <c r="D148" i="3"/>
  <c r="D143" i="10" s="1"/>
  <c r="H143" i="10" s="1"/>
  <c r="C149" i="3"/>
  <c r="C144" i="10" s="1"/>
  <c r="G144" i="10" s="1"/>
  <c r="S150" i="3"/>
  <c r="AD146" i="3" l="1"/>
  <c r="T39" i="13"/>
  <c r="CY39" i="13" s="1"/>
  <c r="BE21" i="12"/>
  <c r="R553" i="3"/>
  <c r="CB21" i="13"/>
  <c r="CC21" i="13"/>
  <c r="BY21" i="13"/>
  <c r="CD21" i="13"/>
  <c r="BZ21" i="13"/>
  <c r="CA21" i="13"/>
  <c r="CI21" i="13"/>
  <c r="CK21" i="13" s="1"/>
  <c r="CH21" i="13"/>
  <c r="EG63" i="13"/>
  <c r="EM63" i="13" s="1"/>
  <c r="ER63" i="13"/>
  <c r="EK62" i="13"/>
  <c r="EJ63" i="13"/>
  <c r="AE63" i="13"/>
  <c r="AI63" i="13" s="1"/>
  <c r="CQ63" i="13" s="1"/>
  <c r="CG63" i="13"/>
  <c r="M64" i="13"/>
  <c r="AP63" i="13"/>
  <c r="AS63" i="13" s="1"/>
  <c r="DV63" i="13" s="1"/>
  <c r="DZ63" i="13" s="1"/>
  <c r="ED63" i="13" s="1"/>
  <c r="L64" i="13"/>
  <c r="AN64" i="13" s="1"/>
  <c r="AQ64" i="13" s="1"/>
  <c r="BU64" i="13" s="1"/>
  <c r="K64" i="13"/>
  <c r="AM63" i="13"/>
  <c r="BT63" i="13" s="1"/>
  <c r="V63" i="13"/>
  <c r="Z63" i="13"/>
  <c r="CJ63" i="13"/>
  <c r="Q63" i="13"/>
  <c r="Y63" i="13"/>
  <c r="U63" i="13"/>
  <c r="DI63" i="13" s="1"/>
  <c r="AH63" i="13"/>
  <c r="AL63" i="13" s="1"/>
  <c r="BS63" i="13" s="1"/>
  <c r="AG63" i="13"/>
  <c r="AK63" i="13" s="1"/>
  <c r="DK63" i="13" s="1"/>
  <c r="AF63" i="13"/>
  <c r="AJ63" i="13" s="1"/>
  <c r="DA63" i="13" s="1"/>
  <c r="DZ62" i="12"/>
  <c r="CJ63" i="12"/>
  <c r="CG63" i="12"/>
  <c r="Y63" i="12"/>
  <c r="W63" i="12"/>
  <c r="X63" i="12"/>
  <c r="AR63" i="12"/>
  <c r="AZ63" i="12" s="1"/>
  <c r="AM63" i="12"/>
  <c r="BT63" i="12" s="1"/>
  <c r="M64" i="12"/>
  <c r="L64" i="12"/>
  <c r="AN64" i="12" s="1"/>
  <c r="AP63" i="12"/>
  <c r="AE63" i="12"/>
  <c r="AF63" i="12"/>
  <c r="AG63" i="12"/>
  <c r="AH63" i="12"/>
  <c r="V63" i="12"/>
  <c r="R63" i="12"/>
  <c r="BQ63" i="12" s="1"/>
  <c r="S63" i="12"/>
  <c r="CO63" i="12" s="1"/>
  <c r="T63" i="12"/>
  <c r="CY63" i="12" s="1"/>
  <c r="U63" i="12"/>
  <c r="DI63" i="12" s="1"/>
  <c r="Q63" i="12"/>
  <c r="AY63" i="12" s="1"/>
  <c r="K64" i="12"/>
  <c r="T151" i="3"/>
  <c r="N556" i="3"/>
  <c r="T556" i="3" s="1"/>
  <c r="N353" i="3"/>
  <c r="T353" i="3" s="1"/>
  <c r="J554" i="3"/>
  <c r="J351" i="3"/>
  <c r="R149" i="3"/>
  <c r="H554" i="3"/>
  <c r="R554" i="3" s="1"/>
  <c r="H351" i="3"/>
  <c r="W553" i="3"/>
  <c r="Y553" i="3"/>
  <c r="W552" i="3"/>
  <c r="Y350" i="3"/>
  <c r="AA553" i="3"/>
  <c r="AA552" i="3"/>
  <c r="AD552" i="3" s="1"/>
  <c r="Z554" i="3"/>
  <c r="W147" i="3"/>
  <c r="Y147" i="3"/>
  <c r="Y148" i="3"/>
  <c r="R42" i="13" s="1"/>
  <c r="BQ42" i="13" s="1"/>
  <c r="W349" i="3"/>
  <c r="Y349" i="3"/>
  <c r="AD349" i="3" s="1"/>
  <c r="G553" i="3"/>
  <c r="D351" i="3"/>
  <c r="D554" i="3"/>
  <c r="C352" i="3"/>
  <c r="C555" i="3"/>
  <c r="M353" i="3"/>
  <c r="S353" i="3" s="1"/>
  <c r="M556" i="3"/>
  <c r="S556" i="3" s="1"/>
  <c r="Z352" i="3"/>
  <c r="Z351" i="3"/>
  <c r="W350" i="3"/>
  <c r="AA350" i="3"/>
  <c r="G351" i="3"/>
  <c r="AA147" i="3"/>
  <c r="AA148" i="3"/>
  <c r="W148" i="3"/>
  <c r="G148" i="3"/>
  <c r="D149" i="3"/>
  <c r="D144" i="10" s="1"/>
  <c r="H144" i="10" s="1"/>
  <c r="C150" i="3"/>
  <c r="C145" i="10" s="1"/>
  <c r="G145" i="10" s="1"/>
  <c r="S151" i="3"/>
  <c r="R351" i="3" l="1"/>
  <c r="W351" i="3" s="1"/>
  <c r="BC21" i="12"/>
  <c r="CM21" i="13"/>
  <c r="CL21" i="13"/>
  <c r="BB22" i="13" s="1"/>
  <c r="AY63" i="13"/>
  <c r="EF64" i="13"/>
  <c r="EL64" i="13" s="1"/>
  <c r="FE64" i="13" s="1"/>
  <c r="N64" i="13"/>
  <c r="AO64" i="13"/>
  <c r="AR64" i="13" s="1"/>
  <c r="AZ64" i="13" s="1"/>
  <c r="AD63" i="13"/>
  <c r="BR63" i="13" s="1"/>
  <c r="AC63" i="13"/>
  <c r="DJ63" i="13" s="1"/>
  <c r="ED62" i="12"/>
  <c r="AD553" i="3"/>
  <c r="AD350" i="3"/>
  <c r="AD147" i="3"/>
  <c r="AA63" i="12"/>
  <c r="CP63" i="12" s="1"/>
  <c r="AB63" i="12"/>
  <c r="CZ63" i="12" s="1"/>
  <c r="AD63" i="12"/>
  <c r="BR63" i="12" s="1"/>
  <c r="AC63" i="12"/>
  <c r="DJ63" i="12" s="1"/>
  <c r="AQ64" i="12"/>
  <c r="BU64" i="12" s="1"/>
  <c r="AS63" i="12"/>
  <c r="DV63" i="12" s="1"/>
  <c r="AO64" i="12"/>
  <c r="AI63" i="12"/>
  <c r="CQ63" i="12" s="1"/>
  <c r="AJ63" i="12"/>
  <c r="DA63" i="12" s="1"/>
  <c r="AK63" i="12"/>
  <c r="DK63" i="12" s="1"/>
  <c r="AL63" i="12"/>
  <c r="BS63" i="12" s="1"/>
  <c r="N64" i="12"/>
  <c r="Z64" i="12" s="1"/>
  <c r="T152" i="3"/>
  <c r="N557" i="3"/>
  <c r="T557" i="3" s="1"/>
  <c r="N354" i="3"/>
  <c r="T354" i="3" s="1"/>
  <c r="J555" i="3"/>
  <c r="J352" i="3"/>
  <c r="R150" i="3"/>
  <c r="H555" i="3"/>
  <c r="H352" i="3"/>
  <c r="Z555" i="3"/>
  <c r="AD148" i="3"/>
  <c r="G554" i="3"/>
  <c r="D352" i="3"/>
  <c r="D555" i="3"/>
  <c r="C353" i="3"/>
  <c r="C556" i="3"/>
  <c r="M354" i="3"/>
  <c r="S354" i="3" s="1"/>
  <c r="M557" i="3"/>
  <c r="S557" i="3" s="1"/>
  <c r="AA351" i="3"/>
  <c r="AA352" i="3"/>
  <c r="G352" i="3"/>
  <c r="Z149" i="3"/>
  <c r="G149" i="3"/>
  <c r="D150" i="3"/>
  <c r="D145" i="10" s="1"/>
  <c r="H145" i="10" s="1"/>
  <c r="C151" i="3"/>
  <c r="S152" i="3"/>
  <c r="C146" i="10" l="1"/>
  <c r="G146" i="10" s="1"/>
  <c r="W40" i="13"/>
  <c r="R555" i="3"/>
  <c r="R352" i="3"/>
  <c r="BI21" i="12"/>
  <c r="BH21" i="12"/>
  <c r="BK21" i="12"/>
  <c r="BM21" i="12" s="1"/>
  <c r="CR21" i="12" s="1"/>
  <c r="BG21" i="12"/>
  <c r="BF21" i="12"/>
  <c r="BE22" i="13"/>
  <c r="BD22" i="13"/>
  <c r="EQ22" i="13" s="1"/>
  <c r="ES22" i="13" s="1"/>
  <c r="ER64" i="13"/>
  <c r="EG64" i="13"/>
  <c r="EM64" i="13" s="1"/>
  <c r="EK63" i="13"/>
  <c r="EJ64" i="13"/>
  <c r="L65" i="13"/>
  <c r="AN65" i="13" s="1"/>
  <c r="AQ65" i="13" s="1"/>
  <c r="BU65" i="13" s="1"/>
  <c r="CG64" i="13"/>
  <c r="AM64" i="13"/>
  <c r="BT64" i="13" s="1"/>
  <c r="CJ64" i="13"/>
  <c r="Y64" i="13"/>
  <c r="AC64" i="13" s="1"/>
  <c r="DJ64" i="13" s="1"/>
  <c r="U64" i="13"/>
  <c r="DI64" i="13" s="1"/>
  <c r="V64" i="13"/>
  <c r="Z64" i="13"/>
  <c r="AD64" i="13" s="1"/>
  <c r="BR64" i="13" s="1"/>
  <c r="Q64" i="13"/>
  <c r="M65" i="13"/>
  <c r="AP64" i="13"/>
  <c r="AS64" i="13" s="1"/>
  <c r="DV64" i="13" s="1"/>
  <c r="DZ64" i="13" s="1"/>
  <c r="ED64" i="13" s="1"/>
  <c r="K65" i="13"/>
  <c r="AH64" i="13"/>
  <c r="AL64" i="13" s="1"/>
  <c r="BS64" i="13" s="1"/>
  <c r="AG64" i="13"/>
  <c r="AK64" i="13" s="1"/>
  <c r="DK64" i="13" s="1"/>
  <c r="AF64" i="13"/>
  <c r="AJ64" i="13" s="1"/>
  <c r="DA64" i="13" s="1"/>
  <c r="AE64" i="13"/>
  <c r="AI64" i="13" s="1"/>
  <c r="CQ64" i="13" s="1"/>
  <c r="DZ63" i="12"/>
  <c r="CJ64" i="12"/>
  <c r="CG64" i="12"/>
  <c r="Y64" i="12"/>
  <c r="X64" i="12"/>
  <c r="W64" i="12"/>
  <c r="AR64" i="12"/>
  <c r="AZ64" i="12" s="1"/>
  <c r="AM64" i="12"/>
  <c r="BT64" i="12" s="1"/>
  <c r="M65" i="12"/>
  <c r="L65" i="12"/>
  <c r="AN65" i="12" s="1"/>
  <c r="AP64" i="12"/>
  <c r="AE64" i="12"/>
  <c r="AF64" i="12"/>
  <c r="AG64" i="12"/>
  <c r="AH64" i="12"/>
  <c r="S64" i="12"/>
  <c r="CO64" i="12" s="1"/>
  <c r="T64" i="12"/>
  <c r="CY64" i="12" s="1"/>
  <c r="U64" i="12"/>
  <c r="DI64" i="12" s="1"/>
  <c r="Q64" i="12"/>
  <c r="AY64" i="12" s="1"/>
  <c r="V64" i="12"/>
  <c r="R64" i="12"/>
  <c r="BQ64" i="12" s="1"/>
  <c r="K65" i="12"/>
  <c r="T153" i="3"/>
  <c r="N558" i="3"/>
  <c r="T558" i="3" s="1"/>
  <c r="N355" i="3"/>
  <c r="T355" i="3" s="1"/>
  <c r="J556" i="3"/>
  <c r="J353" i="3"/>
  <c r="R151" i="3"/>
  <c r="H556" i="3"/>
  <c r="R556" i="3" s="1"/>
  <c r="H353" i="3"/>
  <c r="R353" i="3" s="1"/>
  <c r="Y353" i="3" s="1"/>
  <c r="Y555" i="3"/>
  <c r="W554" i="3"/>
  <c r="Y554" i="3"/>
  <c r="Y351" i="3"/>
  <c r="AD351" i="3" s="1"/>
  <c r="AA555" i="3"/>
  <c r="AA554" i="3"/>
  <c r="Z556" i="3"/>
  <c r="W149" i="3"/>
  <c r="Y149" i="3"/>
  <c r="Y150" i="3"/>
  <c r="G555" i="3"/>
  <c r="D353" i="3"/>
  <c r="G353" i="3" s="1"/>
  <c r="D556" i="3"/>
  <c r="G556" i="3" s="1"/>
  <c r="C354" i="3"/>
  <c r="C557" i="3"/>
  <c r="M355" i="3"/>
  <c r="S355" i="3" s="1"/>
  <c r="M558" i="3"/>
  <c r="S558" i="3" s="1"/>
  <c r="Z353" i="3"/>
  <c r="AA353" i="3"/>
  <c r="Z150" i="3"/>
  <c r="AA149" i="3"/>
  <c r="G150" i="3"/>
  <c r="D151" i="3"/>
  <c r="C152" i="3"/>
  <c r="C147" i="10" s="1"/>
  <c r="G147" i="10" s="1"/>
  <c r="S153" i="3"/>
  <c r="AA40" i="13" l="1"/>
  <c r="CP40" i="13" s="1"/>
  <c r="D146" i="10"/>
  <c r="H146" i="10" s="1"/>
  <c r="X40" i="13"/>
  <c r="AO65" i="13"/>
  <c r="AR65" i="13" s="1"/>
  <c r="AZ65" i="13" s="1"/>
  <c r="Y352" i="3"/>
  <c r="AD352" i="3" s="1"/>
  <c r="W352" i="3"/>
  <c r="BN21" i="12"/>
  <c r="DB21" i="12" s="1"/>
  <c r="DC21" i="12" s="1"/>
  <c r="DG21" i="12" s="1"/>
  <c r="BO21" i="12"/>
  <c r="DL21" i="12" s="1"/>
  <c r="BL21" i="12"/>
  <c r="BW21" i="12" s="1"/>
  <c r="BX21" i="12" s="1"/>
  <c r="CE21" i="12" s="1"/>
  <c r="CS21" i="12"/>
  <c r="CW21" i="12" s="1"/>
  <c r="EV22" i="13"/>
  <c r="EY22" i="13" s="1"/>
  <c r="FB22" i="13" s="1"/>
  <c r="FF22" i="13" s="1"/>
  <c r="EU22" i="13"/>
  <c r="EX22" i="13" s="1"/>
  <c r="FA22" i="13" s="1"/>
  <c r="ET22" i="13"/>
  <c r="EW22" i="13" s="1"/>
  <c r="EZ22" i="13" s="1"/>
  <c r="BC22" i="13"/>
  <c r="AY64" i="13"/>
  <c r="N65" i="13"/>
  <c r="EF65" i="13"/>
  <c r="EL65" i="13" s="1"/>
  <c r="FE65" i="13" s="1"/>
  <c r="ED63" i="12"/>
  <c r="AD149" i="3"/>
  <c r="AB64" i="12"/>
  <c r="CZ64" i="12" s="1"/>
  <c r="AD64" i="12"/>
  <c r="BR64" i="12" s="1"/>
  <c r="AA64" i="12"/>
  <c r="CP64" i="12" s="1"/>
  <c r="AC64" i="12"/>
  <c r="DJ64" i="12" s="1"/>
  <c r="AQ65" i="12"/>
  <c r="BU65" i="12" s="1"/>
  <c r="AS64" i="12"/>
  <c r="DV64" i="12" s="1"/>
  <c r="AO65" i="12"/>
  <c r="AI64" i="12"/>
  <c r="CQ64" i="12" s="1"/>
  <c r="AJ64" i="12"/>
  <c r="DA64" i="12" s="1"/>
  <c r="AK64" i="12"/>
  <c r="DK64" i="12" s="1"/>
  <c r="AL64" i="12"/>
  <c r="BS64" i="12" s="1"/>
  <c r="N65" i="12"/>
  <c r="Z65" i="12" s="1"/>
  <c r="T154" i="3"/>
  <c r="N559" i="3"/>
  <c r="T559" i="3" s="1"/>
  <c r="N356" i="3"/>
  <c r="T356" i="3" s="1"/>
  <c r="J557" i="3"/>
  <c r="J354" i="3"/>
  <c r="R152" i="3"/>
  <c r="Y151" i="3"/>
  <c r="H557" i="3"/>
  <c r="H354" i="3"/>
  <c r="W556" i="3"/>
  <c r="Y556" i="3"/>
  <c r="W555" i="3"/>
  <c r="AA556" i="3"/>
  <c r="AA557" i="3"/>
  <c r="Z557" i="3"/>
  <c r="AD555" i="3"/>
  <c r="AD554" i="3"/>
  <c r="D354" i="3"/>
  <c r="D557" i="3"/>
  <c r="G557" i="3" s="1"/>
  <c r="C355" i="3"/>
  <c r="C558" i="3"/>
  <c r="M356" i="3"/>
  <c r="S356" i="3" s="1"/>
  <c r="M559" i="3"/>
  <c r="S559" i="3" s="1"/>
  <c r="W353" i="3"/>
  <c r="AD353" i="3"/>
  <c r="Z354" i="3"/>
  <c r="G354" i="3"/>
  <c r="AA150" i="3"/>
  <c r="AD150" i="3" s="1"/>
  <c r="W150" i="3"/>
  <c r="Z151" i="3"/>
  <c r="S40" i="13" s="1"/>
  <c r="CO40" i="13" s="1"/>
  <c r="W151" i="3"/>
  <c r="G151" i="3"/>
  <c r="Z152" i="3"/>
  <c r="D152" i="3"/>
  <c r="D147" i="10" s="1"/>
  <c r="H147" i="10" s="1"/>
  <c r="C153" i="3"/>
  <c r="C148" i="10" s="1"/>
  <c r="G148" i="10" s="1"/>
  <c r="S154" i="3"/>
  <c r="AB40" i="13" l="1"/>
  <c r="CZ40" i="13" s="1"/>
  <c r="R557" i="3"/>
  <c r="R354" i="3"/>
  <c r="W354" i="3" s="1"/>
  <c r="DM21" i="12"/>
  <c r="DQ21" i="12" s="1"/>
  <c r="DF21" i="12"/>
  <c r="DD21" i="12"/>
  <c r="DT21" i="12"/>
  <c r="DX21" i="12" s="1"/>
  <c r="EB21" i="12" s="1"/>
  <c r="DE21" i="12"/>
  <c r="CI21" i="12"/>
  <c r="CK21" i="12" s="1"/>
  <c r="BY21" i="12"/>
  <c r="CD21" i="12"/>
  <c r="CB21" i="12"/>
  <c r="BZ21" i="12"/>
  <c r="CH21" i="12"/>
  <c r="CA21" i="12"/>
  <c r="CC21" i="12"/>
  <c r="DS21" i="12"/>
  <c r="DW21" i="12" s="1"/>
  <c r="EA21" i="12" s="1"/>
  <c r="CT21" i="12"/>
  <c r="CU21" i="12"/>
  <c r="CV21" i="12"/>
  <c r="BK22" i="13"/>
  <c r="BF22" i="13"/>
  <c r="BH22" i="13"/>
  <c r="BG22" i="13"/>
  <c r="BI22" i="13"/>
  <c r="EG65" i="13"/>
  <c r="EM65" i="13" s="1"/>
  <c r="ER65" i="13"/>
  <c r="EK64" i="13"/>
  <c r="EJ65" i="13"/>
  <c r="M66" i="13"/>
  <c r="U65" i="13"/>
  <c r="DI65" i="13" s="1"/>
  <c r="Y65" i="13"/>
  <c r="AC65" i="13" s="1"/>
  <c r="DJ65" i="13" s="1"/>
  <c r="AP65" i="13"/>
  <c r="AS65" i="13" s="1"/>
  <c r="DV65" i="13" s="1"/>
  <c r="DZ65" i="13" s="1"/>
  <c r="ED65" i="13" s="1"/>
  <c r="K66" i="13"/>
  <c r="AM65" i="13"/>
  <c r="BT65" i="13" s="1"/>
  <c r="Z65" i="13"/>
  <c r="AD65" i="13" s="1"/>
  <c r="BR65" i="13" s="1"/>
  <c r="V65" i="13"/>
  <c r="Q65" i="13"/>
  <c r="CJ65" i="13"/>
  <c r="AH65" i="13"/>
  <c r="AL65" i="13" s="1"/>
  <c r="BS65" i="13" s="1"/>
  <c r="AG65" i="13"/>
  <c r="AK65" i="13" s="1"/>
  <c r="DK65" i="13" s="1"/>
  <c r="AF65" i="13"/>
  <c r="AJ65" i="13" s="1"/>
  <c r="DA65" i="13" s="1"/>
  <c r="AE65" i="13"/>
  <c r="AI65" i="13" s="1"/>
  <c r="CQ65" i="13" s="1"/>
  <c r="L66" i="13"/>
  <c r="AN66" i="13" s="1"/>
  <c r="AQ66" i="13" s="1"/>
  <c r="BU66" i="13" s="1"/>
  <c r="CG65" i="13"/>
  <c r="DZ64" i="12"/>
  <c r="CJ65" i="12"/>
  <c r="CG65" i="12"/>
  <c r="Y65" i="12"/>
  <c r="W65" i="12"/>
  <c r="X65" i="12"/>
  <c r="AR65" i="12"/>
  <c r="AZ65" i="12" s="1"/>
  <c r="AM65" i="12"/>
  <c r="BT65" i="12" s="1"/>
  <c r="M66" i="12"/>
  <c r="L66" i="12"/>
  <c r="AN66" i="12" s="1"/>
  <c r="AP65" i="12"/>
  <c r="AE65" i="12"/>
  <c r="AF65" i="12"/>
  <c r="AG65" i="12"/>
  <c r="AH65" i="12"/>
  <c r="Q65" i="12"/>
  <c r="AY65" i="12" s="1"/>
  <c r="R65" i="12"/>
  <c r="BQ65" i="12" s="1"/>
  <c r="T65" i="12"/>
  <c r="CY65" i="12" s="1"/>
  <c r="U65" i="12"/>
  <c r="DI65" i="12" s="1"/>
  <c r="K66" i="12"/>
  <c r="S65" i="12"/>
  <c r="CO65" i="12" s="1"/>
  <c r="V65" i="12"/>
  <c r="T155" i="3"/>
  <c r="N560" i="3"/>
  <c r="T560" i="3" s="1"/>
  <c r="N357" i="3"/>
  <c r="T357" i="3" s="1"/>
  <c r="J558" i="3"/>
  <c r="J355" i="3"/>
  <c r="R153" i="3"/>
  <c r="Y152" i="3"/>
  <c r="H558" i="3"/>
  <c r="R558" i="3" s="1"/>
  <c r="H355" i="3"/>
  <c r="R355" i="3" s="1"/>
  <c r="Z558" i="3"/>
  <c r="AD556" i="3"/>
  <c r="D355" i="3"/>
  <c r="G355" i="3" s="1"/>
  <c r="D558" i="3"/>
  <c r="C356" i="3"/>
  <c r="C559" i="3"/>
  <c r="M357" i="3"/>
  <c r="S357" i="3" s="1"/>
  <c r="M560" i="3"/>
  <c r="S560" i="3" s="1"/>
  <c r="Z355" i="3"/>
  <c r="AA354" i="3"/>
  <c r="Z356" i="3"/>
  <c r="AA151" i="3"/>
  <c r="G152" i="3"/>
  <c r="D153" i="3"/>
  <c r="D148" i="10" s="1"/>
  <c r="H148" i="10" s="1"/>
  <c r="C154" i="3"/>
  <c r="C149" i="10" s="1"/>
  <c r="G149" i="10" s="1"/>
  <c r="S155" i="3"/>
  <c r="AD151" i="3" l="1"/>
  <c r="T40" i="13"/>
  <c r="CY40" i="13" s="1"/>
  <c r="DP21" i="12"/>
  <c r="DU21" i="12"/>
  <c r="DY21" i="12" s="1"/>
  <c r="EC21" i="12" s="1"/>
  <c r="DN21" i="12"/>
  <c r="DO21" i="12"/>
  <c r="CM21" i="12"/>
  <c r="CL21" i="12"/>
  <c r="BB22" i="12" s="1"/>
  <c r="BN22" i="13"/>
  <c r="DB22" i="13" s="1"/>
  <c r="DC22" i="13" s="1"/>
  <c r="BM22" i="13"/>
  <c r="CR22" i="13" s="1"/>
  <c r="CS22" i="13" s="1"/>
  <c r="BL22" i="13"/>
  <c r="BW22" i="13" s="1"/>
  <c r="BO22" i="13"/>
  <c r="DL22" i="13" s="1"/>
  <c r="DM22" i="13" s="1"/>
  <c r="AY65" i="13"/>
  <c r="N66" i="13"/>
  <c r="EF66" i="13"/>
  <c r="EL66" i="13" s="1"/>
  <c r="FE66" i="13" s="1"/>
  <c r="AO66" i="13"/>
  <c r="AR66" i="13" s="1"/>
  <c r="AZ66" i="13" s="1"/>
  <c r="ED64" i="12"/>
  <c r="AB65" i="12"/>
  <c r="CZ65" i="12" s="1"/>
  <c r="AD65" i="12"/>
  <c r="BR65" i="12" s="1"/>
  <c r="AA65" i="12"/>
  <c r="CP65" i="12" s="1"/>
  <c r="AC65" i="12"/>
  <c r="DJ65" i="12" s="1"/>
  <c r="AQ66" i="12"/>
  <c r="BU66" i="12" s="1"/>
  <c r="AS65" i="12"/>
  <c r="DV65" i="12" s="1"/>
  <c r="AO66" i="12"/>
  <c r="AI65" i="12"/>
  <c r="CQ65" i="12" s="1"/>
  <c r="AJ65" i="12"/>
  <c r="DA65" i="12" s="1"/>
  <c r="AK65" i="12"/>
  <c r="DK65" i="12" s="1"/>
  <c r="AL65" i="12"/>
  <c r="BS65" i="12" s="1"/>
  <c r="N66" i="12"/>
  <c r="Z66" i="12" s="1"/>
  <c r="T156" i="3"/>
  <c r="N561" i="3"/>
  <c r="T561" i="3" s="1"/>
  <c r="N358" i="3"/>
  <c r="T358" i="3" s="1"/>
  <c r="J559" i="3"/>
  <c r="J356" i="3"/>
  <c r="R154" i="3"/>
  <c r="Y153" i="3"/>
  <c r="R43" i="13" s="1"/>
  <c r="BQ43" i="13" s="1"/>
  <c r="H559" i="3"/>
  <c r="R559" i="3" s="1"/>
  <c r="Y559" i="3" s="1"/>
  <c r="H356" i="3"/>
  <c r="R356" i="3" s="1"/>
  <c r="Y356" i="3" s="1"/>
  <c r="W558" i="3"/>
  <c r="Y558" i="3"/>
  <c r="W557" i="3"/>
  <c r="Y557" i="3"/>
  <c r="AD557" i="3" s="1"/>
  <c r="Y354" i="3"/>
  <c r="AD354" i="3" s="1"/>
  <c r="Y355" i="3"/>
  <c r="Z559" i="3"/>
  <c r="G558" i="3"/>
  <c r="D356" i="3"/>
  <c r="D559" i="3"/>
  <c r="G559" i="3" s="1"/>
  <c r="C357" i="3"/>
  <c r="C560" i="3"/>
  <c r="M358" i="3"/>
  <c r="S358" i="3" s="1"/>
  <c r="M561" i="3"/>
  <c r="S561" i="3" s="1"/>
  <c r="AA355" i="3"/>
  <c r="W355" i="3"/>
  <c r="AA356" i="3"/>
  <c r="G356" i="3"/>
  <c r="AA152" i="3"/>
  <c r="AD152" i="3" s="1"/>
  <c r="W152" i="3"/>
  <c r="Z153" i="3"/>
  <c r="W153" i="3"/>
  <c r="G153" i="3"/>
  <c r="D154" i="3"/>
  <c r="D149" i="10" s="1"/>
  <c r="H149" i="10" s="1"/>
  <c r="C155" i="3"/>
  <c r="S156" i="3"/>
  <c r="FD21" i="12" l="1"/>
  <c r="FG21" i="12" s="1"/>
  <c r="C150" i="10"/>
  <c r="G150" i="10" s="1"/>
  <c r="W41" i="13"/>
  <c r="BE22" i="12"/>
  <c r="DT22" i="13"/>
  <c r="DX22" i="13" s="1"/>
  <c r="EB22" i="13" s="1"/>
  <c r="DE22" i="13"/>
  <c r="DF22" i="13"/>
  <c r="DD22" i="13"/>
  <c r="DG22" i="13"/>
  <c r="CV22" i="13"/>
  <c r="CU22" i="13"/>
  <c r="CT22" i="13"/>
  <c r="DS22" i="13"/>
  <c r="DW22" i="13" s="1"/>
  <c r="EA22" i="13" s="1"/>
  <c r="CW22" i="13"/>
  <c r="BX22" i="13"/>
  <c r="CE22" i="13" s="1"/>
  <c r="DO22" i="13"/>
  <c r="DN22" i="13"/>
  <c r="DP22" i="13"/>
  <c r="DU22" i="13"/>
  <c r="DY22" i="13" s="1"/>
  <c r="EC22" i="13" s="1"/>
  <c r="FD22" i="13" s="1"/>
  <c r="FG22" i="13" s="1"/>
  <c r="DQ22" i="13"/>
  <c r="EG66" i="13"/>
  <c r="EM66" i="13" s="1"/>
  <c r="ER66" i="13"/>
  <c r="EK65" i="13"/>
  <c r="EJ66" i="13"/>
  <c r="AP66" i="13"/>
  <c r="AS66" i="13" s="1"/>
  <c r="DV66" i="13" s="1"/>
  <c r="DZ66" i="13" s="1"/>
  <c r="ED66" i="13" s="1"/>
  <c r="K67" i="13"/>
  <c r="L67" i="13"/>
  <c r="AN67" i="13" s="1"/>
  <c r="AQ67" i="13" s="1"/>
  <c r="BU67" i="13" s="1"/>
  <c r="M67" i="13"/>
  <c r="CG66" i="13"/>
  <c r="AM66" i="13"/>
  <c r="BT66" i="13" s="1"/>
  <c r="U66" i="13"/>
  <c r="DI66" i="13" s="1"/>
  <c r="V66" i="13"/>
  <c r="Z66" i="13"/>
  <c r="AD66" i="13" s="1"/>
  <c r="BR66" i="13" s="1"/>
  <c r="CJ66" i="13"/>
  <c r="Q66" i="13"/>
  <c r="Y66" i="13"/>
  <c r="AH66" i="13"/>
  <c r="AL66" i="13" s="1"/>
  <c r="BS66" i="13" s="1"/>
  <c r="AG66" i="13"/>
  <c r="AK66" i="13" s="1"/>
  <c r="DK66" i="13" s="1"/>
  <c r="AF66" i="13"/>
  <c r="AJ66" i="13" s="1"/>
  <c r="DA66" i="13" s="1"/>
  <c r="AE66" i="13"/>
  <c r="AI66" i="13" s="1"/>
  <c r="CQ66" i="13" s="1"/>
  <c r="DZ65" i="12"/>
  <c r="CJ66" i="12"/>
  <c r="CG66" i="12"/>
  <c r="W66" i="12"/>
  <c r="Y66" i="12"/>
  <c r="X66" i="12"/>
  <c r="AD356" i="3"/>
  <c r="AR66" i="12"/>
  <c r="AZ66" i="12" s="1"/>
  <c r="AM66" i="12"/>
  <c r="BT66" i="12" s="1"/>
  <c r="M67" i="12"/>
  <c r="L67" i="12"/>
  <c r="AN67" i="12" s="1"/>
  <c r="AP66" i="12"/>
  <c r="AE66" i="12"/>
  <c r="AF66" i="12"/>
  <c r="AG66" i="12"/>
  <c r="AH66" i="12"/>
  <c r="U66" i="12"/>
  <c r="DI66" i="12" s="1"/>
  <c r="Q66" i="12"/>
  <c r="AY66" i="12" s="1"/>
  <c r="K67" i="12"/>
  <c r="V66" i="12"/>
  <c r="R66" i="12"/>
  <c r="BQ66" i="12" s="1"/>
  <c r="S66" i="12"/>
  <c r="CO66" i="12" s="1"/>
  <c r="T66" i="12"/>
  <c r="CY66" i="12" s="1"/>
  <c r="T157" i="3"/>
  <c r="N562" i="3"/>
  <c r="T562" i="3" s="1"/>
  <c r="N359" i="3"/>
  <c r="T359" i="3" s="1"/>
  <c r="J560" i="3"/>
  <c r="J357" i="3"/>
  <c r="R155" i="3"/>
  <c r="Y154" i="3"/>
  <c r="H560" i="3"/>
  <c r="H357" i="3"/>
  <c r="W559" i="3"/>
  <c r="AA559" i="3"/>
  <c r="AD559" i="3" s="1"/>
  <c r="AA558" i="3"/>
  <c r="AD558" i="3" s="1"/>
  <c r="Z560" i="3"/>
  <c r="AD355" i="3"/>
  <c r="D357" i="3"/>
  <c r="G357" i="3" s="1"/>
  <c r="D560" i="3"/>
  <c r="C358" i="3"/>
  <c r="C561" i="3"/>
  <c r="M359" i="3"/>
  <c r="S359" i="3" s="1"/>
  <c r="M562" i="3"/>
  <c r="S562" i="3" s="1"/>
  <c r="W356" i="3"/>
  <c r="Z357" i="3"/>
  <c r="AA357" i="3"/>
  <c r="Z358" i="3"/>
  <c r="Z154" i="3"/>
  <c r="AA153" i="3"/>
  <c r="AD153" i="3" s="1"/>
  <c r="G154" i="3"/>
  <c r="D155" i="3"/>
  <c r="C156" i="3"/>
  <c r="C151" i="10" s="1"/>
  <c r="G151" i="10" s="1"/>
  <c r="S157" i="3"/>
  <c r="AA41" i="13" l="1"/>
  <c r="CP41" i="13" s="1"/>
  <c r="D150" i="10"/>
  <c r="H150" i="10" s="1"/>
  <c r="X41" i="13"/>
  <c r="R560" i="3"/>
  <c r="R357" i="3"/>
  <c r="BC22" i="12"/>
  <c r="CD22" i="13"/>
  <c r="CA22" i="13"/>
  <c r="CB22" i="13"/>
  <c r="CH22" i="13"/>
  <c r="CC22" i="13"/>
  <c r="BZ22" i="13"/>
  <c r="BY22" i="13"/>
  <c r="CI22" i="13"/>
  <c r="CK22" i="13" s="1"/>
  <c r="AO67" i="13"/>
  <c r="AR67" i="13" s="1"/>
  <c r="AZ67" i="13" s="1"/>
  <c r="AY66" i="13"/>
  <c r="N67" i="13"/>
  <c r="EF67" i="13"/>
  <c r="EL67" i="13" s="1"/>
  <c r="FE67" i="13" s="1"/>
  <c r="AC66" i="13"/>
  <c r="DJ66" i="13" s="1"/>
  <c r="ED65" i="12"/>
  <c r="AA66" i="12"/>
  <c r="CP66" i="12" s="1"/>
  <c r="AC66" i="12"/>
  <c r="DJ66" i="12" s="1"/>
  <c r="AB66" i="12"/>
  <c r="CZ66" i="12" s="1"/>
  <c r="AD66" i="12"/>
  <c r="BR66" i="12" s="1"/>
  <c r="AQ67" i="12"/>
  <c r="BU67" i="12" s="1"/>
  <c r="AS66" i="12"/>
  <c r="DV66" i="12" s="1"/>
  <c r="AO67" i="12"/>
  <c r="AI66" i="12"/>
  <c r="CQ66" i="12" s="1"/>
  <c r="AJ66" i="12"/>
  <c r="DA66" i="12" s="1"/>
  <c r="AK66" i="12"/>
  <c r="DK66" i="12" s="1"/>
  <c r="AL66" i="12"/>
  <c r="BS66" i="12" s="1"/>
  <c r="N67" i="12"/>
  <c r="Z67" i="12" s="1"/>
  <c r="T158" i="3"/>
  <c r="N563" i="3"/>
  <c r="T563" i="3" s="1"/>
  <c r="N360" i="3"/>
  <c r="T360" i="3" s="1"/>
  <c r="J561" i="3"/>
  <c r="J358" i="3"/>
  <c r="R156" i="3"/>
  <c r="Y155" i="3"/>
  <c r="H561" i="3"/>
  <c r="H358" i="3"/>
  <c r="Z561" i="3"/>
  <c r="G560" i="3"/>
  <c r="D358" i="3"/>
  <c r="D561" i="3"/>
  <c r="C359" i="3"/>
  <c r="C562" i="3"/>
  <c r="M360" i="3"/>
  <c r="S360" i="3" s="1"/>
  <c r="M563" i="3"/>
  <c r="S563" i="3" s="1"/>
  <c r="G358" i="3"/>
  <c r="AA358" i="3"/>
  <c r="W154" i="3"/>
  <c r="AA154" i="3"/>
  <c r="AD154" i="3" s="1"/>
  <c r="Z155" i="3"/>
  <c r="S41" i="13" s="1"/>
  <c r="CO41" i="13" s="1"/>
  <c r="W155" i="3"/>
  <c r="G155" i="3"/>
  <c r="Z156" i="3"/>
  <c r="D156" i="3"/>
  <c r="D151" i="10" s="1"/>
  <c r="H151" i="10" s="1"/>
  <c r="C157" i="3"/>
  <c r="C152" i="10" s="1"/>
  <c r="G152" i="10" s="1"/>
  <c r="S158" i="3"/>
  <c r="AB41" i="13" l="1"/>
  <c r="CZ41" i="13" s="1"/>
  <c r="R561" i="3"/>
  <c r="R358" i="3"/>
  <c r="W358" i="3" s="1"/>
  <c r="Y560" i="3"/>
  <c r="W560" i="3"/>
  <c r="Y357" i="3"/>
  <c r="AD357" i="3" s="1"/>
  <c r="W357" i="3"/>
  <c r="BI22" i="12"/>
  <c r="BF22" i="12"/>
  <c r="BK22" i="12"/>
  <c r="BG22" i="12"/>
  <c r="BH22" i="12"/>
  <c r="CM22" i="13"/>
  <c r="CL22" i="13"/>
  <c r="BB23" i="13" s="1"/>
  <c r="ER67" i="13"/>
  <c r="EG67" i="13"/>
  <c r="EM67" i="13" s="1"/>
  <c r="EK66" i="13"/>
  <c r="EJ67" i="13"/>
  <c r="L68" i="13"/>
  <c r="AN68" i="13" s="1"/>
  <c r="AQ68" i="13" s="1"/>
  <c r="BU68" i="13" s="1"/>
  <c r="AP67" i="13"/>
  <c r="AS67" i="13" s="1"/>
  <c r="DV67" i="13" s="1"/>
  <c r="DZ67" i="13" s="1"/>
  <c r="ED67" i="13" s="1"/>
  <c r="M68" i="13"/>
  <c r="CG67" i="13"/>
  <c r="K68" i="13"/>
  <c r="AM67" i="13"/>
  <c r="BT67" i="13" s="1"/>
  <c r="V67" i="13"/>
  <c r="Z67" i="13"/>
  <c r="AD67" i="13" s="1"/>
  <c r="BR67" i="13" s="1"/>
  <c r="CJ67" i="13"/>
  <c r="U67" i="13"/>
  <c r="DI67" i="13" s="1"/>
  <c r="Y67" i="13"/>
  <c r="AC67" i="13" s="1"/>
  <c r="DJ67" i="13" s="1"/>
  <c r="Q67" i="13"/>
  <c r="AH67" i="13"/>
  <c r="AL67" i="13" s="1"/>
  <c r="BS67" i="13" s="1"/>
  <c r="AG67" i="13"/>
  <c r="AK67" i="13" s="1"/>
  <c r="DK67" i="13" s="1"/>
  <c r="AF67" i="13"/>
  <c r="AJ67" i="13" s="1"/>
  <c r="DA67" i="13" s="1"/>
  <c r="AE67" i="13"/>
  <c r="AI67" i="13" s="1"/>
  <c r="CQ67" i="13" s="1"/>
  <c r="DZ66" i="12"/>
  <c r="CJ67" i="12"/>
  <c r="CG67" i="12"/>
  <c r="Y67" i="12"/>
  <c r="X67" i="12"/>
  <c r="W67" i="12"/>
  <c r="AR67" i="12"/>
  <c r="AZ67" i="12" s="1"/>
  <c r="AM67" i="12"/>
  <c r="BT67" i="12" s="1"/>
  <c r="M68" i="12"/>
  <c r="L68" i="12"/>
  <c r="AN68" i="12" s="1"/>
  <c r="AP67" i="12"/>
  <c r="AE67" i="12"/>
  <c r="AF67" i="12"/>
  <c r="AG67" i="12"/>
  <c r="AH67" i="12"/>
  <c r="U67" i="12"/>
  <c r="DI67" i="12" s="1"/>
  <c r="S67" i="12"/>
  <c r="CO67" i="12" s="1"/>
  <c r="T67" i="12"/>
  <c r="CY67" i="12" s="1"/>
  <c r="Q67" i="12"/>
  <c r="AY67" i="12" s="1"/>
  <c r="R67" i="12"/>
  <c r="BQ67" i="12" s="1"/>
  <c r="K68" i="12"/>
  <c r="V67" i="12"/>
  <c r="T159" i="3"/>
  <c r="N564" i="3"/>
  <c r="T564" i="3" s="1"/>
  <c r="N361" i="3"/>
  <c r="T361" i="3" s="1"/>
  <c r="J562" i="3"/>
  <c r="J359" i="3"/>
  <c r="R157" i="3"/>
  <c r="H562" i="3"/>
  <c r="R562" i="3" s="1"/>
  <c r="H359" i="3"/>
  <c r="AA561" i="3"/>
  <c r="AA560" i="3"/>
  <c r="AD560" i="3" s="1"/>
  <c r="Z562" i="3"/>
  <c r="G561" i="3"/>
  <c r="D359" i="3"/>
  <c r="G359" i="3" s="1"/>
  <c r="D562" i="3"/>
  <c r="G562" i="3" s="1"/>
  <c r="C360" i="3"/>
  <c r="C563" i="3"/>
  <c r="M361" i="3"/>
  <c r="S361" i="3" s="1"/>
  <c r="M564" i="3"/>
  <c r="S564" i="3" s="1"/>
  <c r="Z359" i="3"/>
  <c r="AA359" i="3"/>
  <c r="AA155" i="3"/>
  <c r="G156" i="3"/>
  <c r="D157" i="3"/>
  <c r="D152" i="10" s="1"/>
  <c r="H152" i="10" s="1"/>
  <c r="C158" i="3"/>
  <c r="C153" i="10" s="1"/>
  <c r="G153" i="10" s="1"/>
  <c r="S159" i="3"/>
  <c r="AD155" i="3" l="1"/>
  <c r="T41" i="13"/>
  <c r="CY41" i="13" s="1"/>
  <c r="R359" i="3"/>
  <c r="BO22" i="12"/>
  <c r="DL22" i="12" s="1"/>
  <c r="DM22" i="12" s="1"/>
  <c r="BN22" i="12"/>
  <c r="DB22" i="12" s="1"/>
  <c r="DC22" i="12" s="1"/>
  <c r="BM22" i="12"/>
  <c r="CR22" i="12" s="1"/>
  <c r="CS22" i="12" s="1"/>
  <c r="BL22" i="12"/>
  <c r="BW22" i="12" s="1"/>
  <c r="BX22" i="12" s="1"/>
  <c r="BE23" i="13"/>
  <c r="BD23" i="13"/>
  <c r="EQ23" i="13" s="1"/>
  <c r="ES23" i="13" s="1"/>
  <c r="AO68" i="13"/>
  <c r="AR68" i="13" s="1"/>
  <c r="AZ68" i="13" s="1"/>
  <c r="AY67" i="13"/>
  <c r="EF68" i="13"/>
  <c r="EL68" i="13" s="1"/>
  <c r="FE68" i="13" s="1"/>
  <c r="N68" i="13"/>
  <c r="ED66" i="12"/>
  <c r="AC67" i="12"/>
  <c r="DJ67" i="12" s="1"/>
  <c r="AA67" i="12"/>
  <c r="CP67" i="12" s="1"/>
  <c r="AB67" i="12"/>
  <c r="CZ67" i="12" s="1"/>
  <c r="AD67" i="12"/>
  <c r="BR67" i="12" s="1"/>
  <c r="AQ68" i="12"/>
  <c r="BU68" i="12" s="1"/>
  <c r="AS67" i="12"/>
  <c r="DV67" i="12" s="1"/>
  <c r="AO68" i="12"/>
  <c r="AI67" i="12"/>
  <c r="CQ67" i="12" s="1"/>
  <c r="AJ67" i="12"/>
  <c r="DA67" i="12" s="1"/>
  <c r="AK67" i="12"/>
  <c r="DK67" i="12" s="1"/>
  <c r="AL67" i="12"/>
  <c r="BS67" i="12" s="1"/>
  <c r="N68" i="12"/>
  <c r="Z68" i="12" s="1"/>
  <c r="T160" i="3"/>
  <c r="N565" i="3"/>
  <c r="T565" i="3" s="1"/>
  <c r="N362" i="3"/>
  <c r="T362" i="3" s="1"/>
  <c r="J563" i="3"/>
  <c r="J360" i="3"/>
  <c r="R158" i="3"/>
  <c r="H563" i="3"/>
  <c r="R563" i="3" s="1"/>
  <c r="H360" i="3"/>
  <c r="W562" i="3"/>
  <c r="Y562" i="3"/>
  <c r="W561" i="3"/>
  <c r="Y561" i="3"/>
  <c r="AD561" i="3" s="1"/>
  <c r="Y359" i="3"/>
  <c r="AD359" i="3" s="1"/>
  <c r="Y358" i="3"/>
  <c r="AD358" i="3" s="1"/>
  <c r="AA562" i="3"/>
  <c r="Z563" i="3"/>
  <c r="Y156" i="3"/>
  <c r="D360" i="3"/>
  <c r="G360" i="3" s="1"/>
  <c r="D563" i="3"/>
  <c r="C361" i="3"/>
  <c r="C564" i="3"/>
  <c r="M362" i="3"/>
  <c r="S362" i="3" s="1"/>
  <c r="M565" i="3"/>
  <c r="S565" i="3" s="1"/>
  <c r="W359" i="3"/>
  <c r="Z360" i="3"/>
  <c r="AA156" i="3"/>
  <c r="W156" i="3"/>
  <c r="Z157" i="3"/>
  <c r="G157" i="3"/>
  <c r="D158" i="3"/>
  <c r="D153" i="10" s="1"/>
  <c r="H153" i="10" s="1"/>
  <c r="C159" i="3"/>
  <c r="S160" i="3"/>
  <c r="C154" i="10" l="1"/>
  <c r="G154" i="10" s="1"/>
  <c r="W42" i="13"/>
  <c r="R360" i="3"/>
  <c r="DN22" i="12"/>
  <c r="DU22" i="12"/>
  <c r="DY22" i="12" s="1"/>
  <c r="EC22" i="12" s="1"/>
  <c r="DP22" i="12"/>
  <c r="DO22" i="12"/>
  <c r="DQ22" i="12"/>
  <c r="DT22" i="12"/>
  <c r="DX22" i="12" s="1"/>
  <c r="EB22" i="12" s="1"/>
  <c r="DF22" i="12"/>
  <c r="DD22" i="12"/>
  <c r="DE22" i="12"/>
  <c r="DG22" i="12"/>
  <c r="CV22" i="12"/>
  <c r="CU22" i="12"/>
  <c r="CT22" i="12"/>
  <c r="DS22" i="12"/>
  <c r="DW22" i="12" s="1"/>
  <c r="EA22" i="12" s="1"/>
  <c r="CW22" i="12"/>
  <c r="CC22" i="12"/>
  <c r="CD22" i="12"/>
  <c r="CH22" i="12"/>
  <c r="BZ22" i="12"/>
  <c r="CB22" i="12"/>
  <c r="CI22" i="12"/>
  <c r="CK22" i="12" s="1"/>
  <c r="CA22" i="12"/>
  <c r="BY22" i="12"/>
  <c r="CE22" i="12"/>
  <c r="EV23" i="13"/>
  <c r="EY23" i="13" s="1"/>
  <c r="FB23" i="13" s="1"/>
  <c r="FF23" i="13" s="1"/>
  <c r="ET23" i="13"/>
  <c r="EW23" i="13" s="1"/>
  <c r="EZ23" i="13" s="1"/>
  <c r="EU23" i="13"/>
  <c r="EX23" i="13" s="1"/>
  <c r="FA23" i="13" s="1"/>
  <c r="BC23" i="13"/>
  <c r="EG68" i="13"/>
  <c r="EM68" i="13" s="1"/>
  <c r="ER68" i="13"/>
  <c r="EK67" i="13"/>
  <c r="EJ68" i="13"/>
  <c r="AP68" i="13"/>
  <c r="AS68" i="13" s="1"/>
  <c r="DV68" i="13" s="1"/>
  <c r="DZ68" i="13" s="1"/>
  <c r="ED68" i="13" s="1"/>
  <c r="M69" i="13"/>
  <c r="CG68" i="13"/>
  <c r="K69" i="13"/>
  <c r="L69" i="13"/>
  <c r="AN69" i="13" s="1"/>
  <c r="AQ69" i="13" s="1"/>
  <c r="BU69" i="13" s="1"/>
  <c r="AM68" i="13"/>
  <c r="BT68" i="13" s="1"/>
  <c r="Y68" i="13"/>
  <c r="U68" i="13"/>
  <c r="DI68" i="13" s="1"/>
  <c r="V68" i="13"/>
  <c r="Z68" i="13"/>
  <c r="Q68" i="13"/>
  <c r="CJ68" i="13"/>
  <c r="AH68" i="13"/>
  <c r="AL68" i="13" s="1"/>
  <c r="BS68" i="13" s="1"/>
  <c r="AG68" i="13"/>
  <c r="AK68" i="13" s="1"/>
  <c r="DK68" i="13" s="1"/>
  <c r="AF68" i="13"/>
  <c r="AJ68" i="13" s="1"/>
  <c r="DA68" i="13" s="1"/>
  <c r="AE68" i="13"/>
  <c r="AI68" i="13" s="1"/>
  <c r="CQ68" i="13" s="1"/>
  <c r="DZ67" i="12"/>
  <c r="CJ68" i="12"/>
  <c r="CG68" i="12"/>
  <c r="X68" i="12"/>
  <c r="W68" i="12"/>
  <c r="Y68" i="12"/>
  <c r="AD562" i="3"/>
  <c r="AD156" i="3"/>
  <c r="AR68" i="12"/>
  <c r="AZ68" i="12" s="1"/>
  <c r="AM68" i="12"/>
  <c r="BT68" i="12" s="1"/>
  <c r="M69" i="12"/>
  <c r="L69" i="12"/>
  <c r="AN69" i="12" s="1"/>
  <c r="AP68" i="12"/>
  <c r="AE68" i="12"/>
  <c r="AF68" i="12"/>
  <c r="AG68" i="12"/>
  <c r="AH68" i="12"/>
  <c r="Q68" i="12"/>
  <c r="AY68" i="12" s="1"/>
  <c r="V68" i="12"/>
  <c r="R68" i="12"/>
  <c r="BQ68" i="12" s="1"/>
  <c r="T68" i="12"/>
  <c r="CY68" i="12" s="1"/>
  <c r="U68" i="12"/>
  <c r="DI68" i="12" s="1"/>
  <c r="K69" i="12"/>
  <c r="S68" i="12"/>
  <c r="CO68" i="12" s="1"/>
  <c r="T161" i="3"/>
  <c r="N566" i="3"/>
  <c r="T566" i="3" s="1"/>
  <c r="N363" i="3"/>
  <c r="T363" i="3" s="1"/>
  <c r="J564" i="3"/>
  <c r="J361" i="3"/>
  <c r="R159" i="3"/>
  <c r="H564" i="3"/>
  <c r="R564" i="3" s="1"/>
  <c r="H361" i="3"/>
  <c r="R361" i="3" s="1"/>
  <c r="Z564" i="3"/>
  <c r="W157" i="3"/>
  <c r="Y157" i="3"/>
  <c r="R44" i="13" s="1"/>
  <c r="BQ44" i="13" s="1"/>
  <c r="AA563" i="3"/>
  <c r="G563" i="3"/>
  <c r="D361" i="3"/>
  <c r="G361" i="3" s="1"/>
  <c r="D564" i="3"/>
  <c r="G564" i="3" s="1"/>
  <c r="C362" i="3"/>
  <c r="C565" i="3"/>
  <c r="M363" i="3"/>
  <c r="S363" i="3" s="1"/>
  <c r="M566" i="3"/>
  <c r="S566" i="3" s="1"/>
  <c r="Z361" i="3"/>
  <c r="AA360" i="3"/>
  <c r="Z158" i="3"/>
  <c r="AA157" i="3"/>
  <c r="G158" i="3"/>
  <c r="D159" i="3"/>
  <c r="C160" i="3"/>
  <c r="C155" i="10" s="1"/>
  <c r="G155" i="10" s="1"/>
  <c r="S161" i="3"/>
  <c r="FD22" i="12" l="1"/>
  <c r="FG22" i="12" s="1"/>
  <c r="AA42" i="13"/>
  <c r="CP42" i="13" s="1"/>
  <c r="D154" i="10"/>
  <c r="H154" i="10" s="1"/>
  <c r="X42" i="13"/>
  <c r="W360" i="3"/>
  <c r="Y360" i="3"/>
  <c r="CL22" i="12"/>
  <c r="BB23" i="12" s="1"/>
  <c r="CM22" i="12"/>
  <c r="BH23" i="13"/>
  <c r="BK23" i="13"/>
  <c r="BG23" i="13"/>
  <c r="BF23" i="13"/>
  <c r="BI23" i="13"/>
  <c r="AY68" i="13"/>
  <c r="EF69" i="13"/>
  <c r="EL69" i="13" s="1"/>
  <c r="FE69" i="13" s="1"/>
  <c r="N69" i="13"/>
  <c r="AO69" i="13"/>
  <c r="AR69" i="13" s="1"/>
  <c r="AZ69" i="13" s="1"/>
  <c r="AC68" i="13"/>
  <c r="DJ68" i="13" s="1"/>
  <c r="AD68" i="13"/>
  <c r="BR68" i="13" s="1"/>
  <c r="ED67" i="12"/>
  <c r="AD360" i="3"/>
  <c r="AD157" i="3"/>
  <c r="AA68" i="12"/>
  <c r="CP68" i="12" s="1"/>
  <c r="AD68" i="12"/>
  <c r="BR68" i="12" s="1"/>
  <c r="AB68" i="12"/>
  <c r="CZ68" i="12" s="1"/>
  <c r="AC68" i="12"/>
  <c r="DJ68" i="12" s="1"/>
  <c r="AQ69" i="12"/>
  <c r="BU69" i="12" s="1"/>
  <c r="AS68" i="12"/>
  <c r="DV68" i="12" s="1"/>
  <c r="AO69" i="12"/>
  <c r="AI68" i="12"/>
  <c r="CQ68" i="12" s="1"/>
  <c r="AJ68" i="12"/>
  <c r="DA68" i="12" s="1"/>
  <c r="AK68" i="12"/>
  <c r="DK68" i="12" s="1"/>
  <c r="AL68" i="12"/>
  <c r="BS68" i="12" s="1"/>
  <c r="N69" i="12"/>
  <c r="Z69" i="12" s="1"/>
  <c r="T162" i="3"/>
  <c r="N567" i="3"/>
  <c r="T567" i="3" s="1"/>
  <c r="N364" i="3"/>
  <c r="T364" i="3" s="1"/>
  <c r="J565" i="3"/>
  <c r="J362" i="3"/>
  <c r="R160" i="3"/>
  <c r="H565" i="3"/>
  <c r="R565" i="3" s="1"/>
  <c r="H362" i="3"/>
  <c r="R362" i="3" s="1"/>
  <c r="Y564" i="3"/>
  <c r="W563" i="3"/>
  <c r="Y563" i="3"/>
  <c r="AD563" i="3" s="1"/>
  <c r="AA564" i="3"/>
  <c r="Z565" i="3"/>
  <c r="Y158" i="3"/>
  <c r="Y361" i="3"/>
  <c r="D362" i="3"/>
  <c r="D565" i="3"/>
  <c r="C363" i="3"/>
  <c r="C566" i="3"/>
  <c r="M364" i="3"/>
  <c r="S364" i="3" s="1"/>
  <c r="M567" i="3"/>
  <c r="S567" i="3" s="1"/>
  <c r="W361" i="3"/>
  <c r="AA361" i="3"/>
  <c r="Z362" i="3"/>
  <c r="G362" i="3"/>
  <c r="AA158" i="3"/>
  <c r="W158" i="3"/>
  <c r="Z159" i="3"/>
  <c r="S42" i="13" s="1"/>
  <c r="CO42" i="13" s="1"/>
  <c r="G159" i="3"/>
  <c r="D160" i="3"/>
  <c r="D155" i="10" s="1"/>
  <c r="H155" i="10" s="1"/>
  <c r="C161" i="3"/>
  <c r="C156" i="10" s="1"/>
  <c r="G156" i="10" s="1"/>
  <c r="S162" i="3"/>
  <c r="AB42" i="13" l="1"/>
  <c r="CZ42" i="13" s="1"/>
  <c r="BE23" i="12"/>
  <c r="AD361" i="3"/>
  <c r="BL23" i="13"/>
  <c r="BW23" i="13" s="1"/>
  <c r="BX23" i="13" s="1"/>
  <c r="BN23" i="13"/>
  <c r="DB23" i="13" s="1"/>
  <c r="DC23" i="13" s="1"/>
  <c r="BM23" i="13"/>
  <c r="CR23" i="13" s="1"/>
  <c r="CS23" i="13" s="1"/>
  <c r="BO23" i="13"/>
  <c r="DL23" i="13" s="1"/>
  <c r="DM23" i="13" s="1"/>
  <c r="EG69" i="13"/>
  <c r="EM69" i="13" s="1"/>
  <c r="ER69" i="13"/>
  <c r="EK68" i="13"/>
  <c r="EJ69" i="13"/>
  <c r="AM69" i="13"/>
  <c r="BT69" i="13" s="1"/>
  <c r="K70" i="13"/>
  <c r="AP69" i="13"/>
  <c r="AS69" i="13" s="1"/>
  <c r="DV69" i="13" s="1"/>
  <c r="DZ69" i="13" s="1"/>
  <c r="ED69" i="13" s="1"/>
  <c r="CG69" i="13"/>
  <c r="L70" i="13"/>
  <c r="AN70" i="13" s="1"/>
  <c r="AQ70" i="13" s="1"/>
  <c r="BU70" i="13" s="1"/>
  <c r="M70" i="13"/>
  <c r="CJ69" i="13"/>
  <c r="U69" i="13"/>
  <c r="DI69" i="13" s="1"/>
  <c r="V69" i="13"/>
  <c r="Z69" i="13"/>
  <c r="Q69" i="13"/>
  <c r="Y69" i="13"/>
  <c r="AC69" i="13" s="1"/>
  <c r="DJ69" i="13" s="1"/>
  <c r="AH69" i="13"/>
  <c r="AL69" i="13" s="1"/>
  <c r="BS69" i="13" s="1"/>
  <c r="AG69" i="13"/>
  <c r="AK69" i="13" s="1"/>
  <c r="DK69" i="13" s="1"/>
  <c r="AF69" i="13"/>
  <c r="AJ69" i="13" s="1"/>
  <c r="DA69" i="13" s="1"/>
  <c r="AE69" i="13"/>
  <c r="AI69" i="13" s="1"/>
  <c r="CQ69" i="13" s="1"/>
  <c r="DZ68" i="12"/>
  <c r="CJ69" i="12"/>
  <c r="CG69" i="12"/>
  <c r="W69" i="12"/>
  <c r="Y69" i="12"/>
  <c r="X69" i="12"/>
  <c r="AD564" i="3"/>
  <c r="AR69" i="12"/>
  <c r="AZ69" i="12" s="1"/>
  <c r="AM69" i="12"/>
  <c r="BT69" i="12" s="1"/>
  <c r="M70" i="12"/>
  <c r="L70" i="12"/>
  <c r="AN70" i="12" s="1"/>
  <c r="AP69" i="12"/>
  <c r="AE69" i="12"/>
  <c r="AF69" i="12"/>
  <c r="AG69" i="12"/>
  <c r="AH69" i="12"/>
  <c r="R69" i="12"/>
  <c r="BQ69" i="12" s="1"/>
  <c r="U69" i="12"/>
  <c r="DI69" i="12" s="1"/>
  <c r="S69" i="12"/>
  <c r="CO69" i="12" s="1"/>
  <c r="T69" i="12"/>
  <c r="CY69" i="12" s="1"/>
  <c r="Q69" i="12"/>
  <c r="AY69" i="12" s="1"/>
  <c r="K70" i="12"/>
  <c r="V69" i="12"/>
  <c r="T163" i="3"/>
  <c r="N568" i="3"/>
  <c r="T568" i="3" s="1"/>
  <c r="N365" i="3"/>
  <c r="T365" i="3" s="1"/>
  <c r="J566" i="3"/>
  <c r="J363" i="3"/>
  <c r="R161" i="3"/>
  <c r="Y160" i="3"/>
  <c r="H566" i="3"/>
  <c r="R566" i="3" s="1"/>
  <c r="Y566" i="3" s="1"/>
  <c r="H363" i="3"/>
  <c r="W565" i="3"/>
  <c r="Y565" i="3"/>
  <c r="W564" i="3"/>
  <c r="Z566" i="3"/>
  <c r="AD158" i="3"/>
  <c r="W159" i="3"/>
  <c r="Y159" i="3"/>
  <c r="Y362" i="3"/>
  <c r="AA565" i="3"/>
  <c r="G565" i="3"/>
  <c r="D363" i="3"/>
  <c r="G363" i="3" s="1"/>
  <c r="D566" i="3"/>
  <c r="G566" i="3" s="1"/>
  <c r="C364" i="3"/>
  <c r="C567" i="3"/>
  <c r="M365" i="3"/>
  <c r="S365" i="3" s="1"/>
  <c r="M568" i="3"/>
  <c r="S568" i="3" s="1"/>
  <c r="Z364" i="3"/>
  <c r="Z363" i="3"/>
  <c r="AA362" i="3"/>
  <c r="W362" i="3"/>
  <c r="Z160" i="3"/>
  <c r="AA159" i="3"/>
  <c r="T42" i="13" s="1"/>
  <c r="CY42" i="13" s="1"/>
  <c r="G160" i="3"/>
  <c r="D161" i="3"/>
  <c r="D156" i="10" s="1"/>
  <c r="H156" i="10" s="1"/>
  <c r="C162" i="3"/>
  <c r="C157" i="10" s="1"/>
  <c r="G157" i="10" s="1"/>
  <c r="S163" i="3"/>
  <c r="R363" i="3" l="1"/>
  <c r="Y363" i="3" s="1"/>
  <c r="BC23" i="12"/>
  <c r="CI23" i="13"/>
  <c r="CK23" i="13" s="1"/>
  <c r="BZ23" i="13"/>
  <c r="CB23" i="13"/>
  <c r="BY23" i="13"/>
  <c r="CD23" i="13"/>
  <c r="CA23" i="13"/>
  <c r="CC23" i="13"/>
  <c r="CH23" i="13"/>
  <c r="CE23" i="13"/>
  <c r="DD23" i="13"/>
  <c r="DE23" i="13"/>
  <c r="DF23" i="13"/>
  <c r="DT23" i="13"/>
  <c r="DX23" i="13" s="1"/>
  <c r="EB23" i="13" s="1"/>
  <c r="DG23" i="13"/>
  <c r="DS23" i="13"/>
  <c r="DW23" i="13" s="1"/>
  <c r="EA23" i="13" s="1"/>
  <c r="CT23" i="13"/>
  <c r="CV23" i="13"/>
  <c r="CU23" i="13"/>
  <c r="CW23" i="13"/>
  <c r="DP23" i="13"/>
  <c r="DO23" i="13"/>
  <c r="DU23" i="13"/>
  <c r="DY23" i="13" s="1"/>
  <c r="EC23" i="13" s="1"/>
  <c r="FD23" i="13" s="1"/>
  <c r="FG23" i="13" s="1"/>
  <c r="DN23" i="13"/>
  <c r="DQ23" i="13"/>
  <c r="AY69" i="13"/>
  <c r="EF70" i="13"/>
  <c r="EL70" i="13" s="1"/>
  <c r="FE70" i="13" s="1"/>
  <c r="N70" i="13"/>
  <c r="AM70" i="13" s="1"/>
  <c r="BT70" i="13" s="1"/>
  <c r="AO70" i="13"/>
  <c r="AR70" i="13" s="1"/>
  <c r="AZ70" i="13" s="1"/>
  <c r="AD69" i="13"/>
  <c r="BR69" i="13" s="1"/>
  <c r="ED68" i="12"/>
  <c r="AD362" i="3"/>
  <c r="AD565" i="3"/>
  <c r="AD159" i="3"/>
  <c r="AB69" i="12"/>
  <c r="CZ69" i="12" s="1"/>
  <c r="AD69" i="12"/>
  <c r="BR69" i="12" s="1"/>
  <c r="AA69" i="12"/>
  <c r="CP69" i="12" s="1"/>
  <c r="AC69" i="12"/>
  <c r="DJ69" i="12" s="1"/>
  <c r="AQ70" i="12"/>
  <c r="BU70" i="12" s="1"/>
  <c r="AS69" i="12"/>
  <c r="DV69" i="12" s="1"/>
  <c r="AO70" i="12"/>
  <c r="AI69" i="12"/>
  <c r="CQ69" i="12" s="1"/>
  <c r="AJ69" i="12"/>
  <c r="DA69" i="12" s="1"/>
  <c r="AK69" i="12"/>
  <c r="DK69" i="12" s="1"/>
  <c r="AL69" i="12"/>
  <c r="BS69" i="12" s="1"/>
  <c r="N70" i="12"/>
  <c r="Z70" i="12" s="1"/>
  <c r="T164" i="3"/>
  <c r="N569" i="3"/>
  <c r="T569" i="3" s="1"/>
  <c r="N366" i="3"/>
  <c r="T366" i="3" s="1"/>
  <c r="J567" i="3"/>
  <c r="J364" i="3"/>
  <c r="R162" i="3"/>
  <c r="Y161" i="3"/>
  <c r="R45" i="13" s="1"/>
  <c r="BQ45" i="13" s="1"/>
  <c r="H567" i="3"/>
  <c r="H364" i="3"/>
  <c r="R364" i="3" s="1"/>
  <c r="W566" i="3"/>
  <c r="AA566" i="3"/>
  <c r="AD566" i="3" s="1"/>
  <c r="Z567" i="3"/>
  <c r="D364" i="3"/>
  <c r="D567" i="3"/>
  <c r="C365" i="3"/>
  <c r="C568" i="3"/>
  <c r="M366" i="3"/>
  <c r="S366" i="3" s="1"/>
  <c r="M569" i="3"/>
  <c r="S569" i="3" s="1"/>
  <c r="AA363" i="3"/>
  <c r="W363" i="3"/>
  <c r="AA364" i="3"/>
  <c r="G364" i="3"/>
  <c r="W160" i="3"/>
  <c r="AA160" i="3"/>
  <c r="AD160" i="3" s="1"/>
  <c r="Z161" i="3"/>
  <c r="W161" i="3"/>
  <c r="G161" i="3"/>
  <c r="D162" i="3"/>
  <c r="D157" i="10" s="1"/>
  <c r="H157" i="10" s="1"/>
  <c r="C163" i="3"/>
  <c r="C158" i="10" s="1"/>
  <c r="G158" i="10" s="1"/>
  <c r="S164" i="3"/>
  <c r="R567" i="3" l="1"/>
  <c r="AD363" i="3"/>
  <c r="BK23" i="12"/>
  <c r="BF23" i="12"/>
  <c r="BH23" i="12"/>
  <c r="BG23" i="12"/>
  <c r="BI23" i="12"/>
  <c r="CL23" i="13"/>
  <c r="BB24" i="13" s="1"/>
  <c r="CM23" i="13"/>
  <c r="ER70" i="13"/>
  <c r="EG70" i="13"/>
  <c r="EM70" i="13" s="1"/>
  <c r="EK69" i="13"/>
  <c r="EJ70" i="13"/>
  <c r="Z70" i="13"/>
  <c r="AD70" i="13" s="1"/>
  <c r="BR70" i="13" s="1"/>
  <c r="AP70" i="13"/>
  <c r="AS70" i="13" s="1"/>
  <c r="DV70" i="13" s="1"/>
  <c r="DZ70" i="13" s="1"/>
  <c r="ED70" i="13" s="1"/>
  <c r="L71" i="13"/>
  <c r="AN71" i="13" s="1"/>
  <c r="AQ71" i="13" s="1"/>
  <c r="BU71" i="13" s="1"/>
  <c r="K71" i="13"/>
  <c r="CG70" i="13"/>
  <c r="M71" i="13"/>
  <c r="Y70" i="13"/>
  <c r="Q70" i="13"/>
  <c r="V70" i="13"/>
  <c r="U70" i="13"/>
  <c r="DI70" i="13" s="1"/>
  <c r="AH70" i="13"/>
  <c r="AL70" i="13" s="1"/>
  <c r="BS70" i="13" s="1"/>
  <c r="AE70" i="13"/>
  <c r="AI70" i="13" s="1"/>
  <c r="CQ70" i="13" s="1"/>
  <c r="CJ70" i="13"/>
  <c r="AG70" i="13"/>
  <c r="AK70" i="13" s="1"/>
  <c r="DK70" i="13" s="1"/>
  <c r="AF70" i="13"/>
  <c r="AJ70" i="13" s="1"/>
  <c r="DA70" i="13" s="1"/>
  <c r="DZ69" i="12"/>
  <c r="CJ70" i="12"/>
  <c r="CG70" i="12"/>
  <c r="W70" i="12"/>
  <c r="Y70" i="12"/>
  <c r="X70" i="12"/>
  <c r="AR70" i="12"/>
  <c r="AZ70" i="12" s="1"/>
  <c r="AM70" i="12"/>
  <c r="BT70" i="12" s="1"/>
  <c r="M71" i="12"/>
  <c r="L71" i="12"/>
  <c r="AN71" i="12" s="1"/>
  <c r="AP70" i="12"/>
  <c r="AE70" i="12"/>
  <c r="AF70" i="12"/>
  <c r="AG70" i="12"/>
  <c r="AH70" i="12"/>
  <c r="R70" i="12"/>
  <c r="BQ70" i="12" s="1"/>
  <c r="K71" i="12"/>
  <c r="V70" i="12"/>
  <c r="S70" i="12"/>
  <c r="CO70" i="12" s="1"/>
  <c r="T70" i="12"/>
  <c r="CY70" i="12" s="1"/>
  <c r="U70" i="12"/>
  <c r="DI70" i="12" s="1"/>
  <c r="Q70" i="12"/>
  <c r="AY70" i="12" s="1"/>
  <c r="T165" i="3"/>
  <c r="N570" i="3"/>
  <c r="T570" i="3" s="1"/>
  <c r="N367" i="3"/>
  <c r="T367" i="3" s="1"/>
  <c r="J568" i="3"/>
  <c r="J365" i="3"/>
  <c r="R163" i="3"/>
  <c r="H568" i="3"/>
  <c r="R568" i="3" s="1"/>
  <c r="H365" i="3"/>
  <c r="Z568" i="3"/>
  <c r="AA567" i="3"/>
  <c r="G567" i="3"/>
  <c r="D365" i="3"/>
  <c r="G365" i="3" s="1"/>
  <c r="D568" i="3"/>
  <c r="C366" i="3"/>
  <c r="C569" i="3"/>
  <c r="M367" i="3"/>
  <c r="S367" i="3" s="1"/>
  <c r="M570" i="3"/>
  <c r="S570" i="3" s="1"/>
  <c r="AA365" i="3"/>
  <c r="W364" i="3"/>
  <c r="Z365" i="3"/>
  <c r="Z162" i="3"/>
  <c r="AA161" i="3"/>
  <c r="AD161" i="3" s="1"/>
  <c r="G162" i="3"/>
  <c r="D163" i="3"/>
  <c r="D158" i="10" s="1"/>
  <c r="H158" i="10" s="1"/>
  <c r="C164" i="3"/>
  <c r="S165" i="3"/>
  <c r="C159" i="10" l="1"/>
  <c r="G159" i="10" s="1"/>
  <c r="W43" i="13"/>
  <c r="R365" i="3"/>
  <c r="BL23" i="12"/>
  <c r="BW23" i="12" s="1"/>
  <c r="BX23" i="12" s="1"/>
  <c r="BM23" i="12"/>
  <c r="CR23" i="12" s="1"/>
  <c r="CS23" i="12" s="1"/>
  <c r="BO23" i="12"/>
  <c r="DL23" i="12" s="1"/>
  <c r="DM23" i="12" s="1"/>
  <c r="BN23" i="12"/>
  <c r="DB23" i="12" s="1"/>
  <c r="DC23" i="12" s="1"/>
  <c r="BE24" i="13"/>
  <c r="BD24" i="13"/>
  <c r="EQ24" i="13" s="1"/>
  <c r="ES24" i="13" s="1"/>
  <c r="AY70" i="13"/>
  <c r="N71" i="13"/>
  <c r="AM71" i="13" s="1"/>
  <c r="BT71" i="13" s="1"/>
  <c r="EF71" i="13"/>
  <c r="EL71" i="13" s="1"/>
  <c r="FE71" i="13" s="1"/>
  <c r="AO71" i="13"/>
  <c r="AR71" i="13" s="1"/>
  <c r="AZ71" i="13" s="1"/>
  <c r="AC70" i="13"/>
  <c r="DJ70" i="13" s="1"/>
  <c r="ED69" i="12"/>
  <c r="AB70" i="12"/>
  <c r="CZ70" i="12" s="1"/>
  <c r="AD70" i="12"/>
  <c r="BR70" i="12" s="1"/>
  <c r="AA70" i="12"/>
  <c r="CP70" i="12" s="1"/>
  <c r="AC70" i="12"/>
  <c r="DJ70" i="12" s="1"/>
  <c r="AQ71" i="12"/>
  <c r="BU71" i="12" s="1"/>
  <c r="AS70" i="12"/>
  <c r="DV70" i="12" s="1"/>
  <c r="AO71" i="12"/>
  <c r="AI70" i="12"/>
  <c r="CQ70" i="12" s="1"/>
  <c r="AJ70" i="12"/>
  <c r="DA70" i="12" s="1"/>
  <c r="AK70" i="12"/>
  <c r="DK70" i="12" s="1"/>
  <c r="AL70" i="12"/>
  <c r="BS70" i="12" s="1"/>
  <c r="N71" i="12"/>
  <c r="Z71" i="12" s="1"/>
  <c r="T166" i="3"/>
  <c r="N571" i="3"/>
  <c r="T571" i="3" s="1"/>
  <c r="N368" i="3"/>
  <c r="T368" i="3" s="1"/>
  <c r="J569" i="3"/>
  <c r="J366" i="3"/>
  <c r="R164" i="3"/>
  <c r="H569" i="3"/>
  <c r="H366" i="3"/>
  <c r="Y568" i="3"/>
  <c r="W567" i="3"/>
  <c r="Y567" i="3"/>
  <c r="AD567" i="3" s="1"/>
  <c r="Y364" i="3"/>
  <c r="AD364" i="3" s="1"/>
  <c r="Y365" i="3"/>
  <c r="AD365" i="3" s="1"/>
  <c r="Z569" i="3"/>
  <c r="W365" i="3"/>
  <c r="Y162" i="3"/>
  <c r="G568" i="3"/>
  <c r="D366" i="3"/>
  <c r="G366" i="3" s="1"/>
  <c r="D569" i="3"/>
  <c r="C367" i="3"/>
  <c r="C570" i="3"/>
  <c r="M368" i="3"/>
  <c r="S368" i="3" s="1"/>
  <c r="M571" i="3"/>
  <c r="S571" i="3" s="1"/>
  <c r="Z366" i="3"/>
  <c r="W162" i="3"/>
  <c r="AA162" i="3"/>
  <c r="Z163" i="3"/>
  <c r="G163" i="3"/>
  <c r="D164" i="3"/>
  <c r="C165" i="3"/>
  <c r="C160" i="10" s="1"/>
  <c r="G160" i="10" s="1"/>
  <c r="S166" i="3"/>
  <c r="AA43" i="13" l="1"/>
  <c r="CP43" i="13" s="1"/>
  <c r="D159" i="10"/>
  <c r="H159" i="10" s="1"/>
  <c r="X43" i="13"/>
  <c r="R569" i="3"/>
  <c r="Y569" i="3" s="1"/>
  <c r="R366" i="3"/>
  <c r="CD23" i="12"/>
  <c r="BZ23" i="12"/>
  <c r="CI23" i="12"/>
  <c r="CK23" i="12" s="1"/>
  <c r="CH23" i="12"/>
  <c r="CA23" i="12"/>
  <c r="CC23" i="12"/>
  <c r="BY23" i="12"/>
  <c r="CB23" i="12"/>
  <c r="CE23" i="12"/>
  <c r="DS23" i="12"/>
  <c r="DW23" i="12" s="1"/>
  <c r="EA23" i="12" s="1"/>
  <c r="CV23" i="12"/>
  <c r="CU23" i="12"/>
  <c r="CT23" i="12"/>
  <c r="CW23" i="12"/>
  <c r="DN23" i="12"/>
  <c r="DP23" i="12"/>
  <c r="DU23" i="12"/>
  <c r="DY23" i="12" s="1"/>
  <c r="EC23" i="12" s="1"/>
  <c r="DO23" i="12"/>
  <c r="DQ23" i="12"/>
  <c r="DT23" i="12"/>
  <c r="DX23" i="12" s="1"/>
  <c r="EB23" i="12" s="1"/>
  <c r="DD23" i="12"/>
  <c r="DE23" i="12"/>
  <c r="DF23" i="12"/>
  <c r="DG23" i="12"/>
  <c r="EU24" i="13"/>
  <c r="EX24" i="13" s="1"/>
  <c r="FA24" i="13" s="1"/>
  <c r="EV24" i="13"/>
  <c r="EY24" i="13" s="1"/>
  <c r="FB24" i="13" s="1"/>
  <c r="FF24" i="13" s="1"/>
  <c r="ET24" i="13"/>
  <c r="EW24" i="13" s="1"/>
  <c r="EZ24" i="13" s="1"/>
  <c r="BC24" i="13"/>
  <c r="EG71" i="13"/>
  <c r="EM71" i="13" s="1"/>
  <c r="ER71" i="13"/>
  <c r="EK70" i="13"/>
  <c r="EJ71" i="13"/>
  <c r="Y71" i="13"/>
  <c r="U71" i="13"/>
  <c r="DI71" i="13" s="1"/>
  <c r="AH71" i="13"/>
  <c r="AL71" i="13" s="1"/>
  <c r="BS71" i="13" s="1"/>
  <c r="AG71" i="13"/>
  <c r="AK71" i="13" s="1"/>
  <c r="DK71" i="13" s="1"/>
  <c r="AE71" i="13"/>
  <c r="AI71" i="13" s="1"/>
  <c r="CQ71" i="13" s="1"/>
  <c r="V71" i="13"/>
  <c r="Z71" i="13"/>
  <c r="AF71" i="13"/>
  <c r="AJ71" i="13" s="1"/>
  <c r="DA71" i="13" s="1"/>
  <c r="L72" i="13"/>
  <c r="AN72" i="13" s="1"/>
  <c r="AQ72" i="13" s="1"/>
  <c r="BU72" i="13" s="1"/>
  <c r="M72" i="13"/>
  <c r="K72" i="13"/>
  <c r="AP71" i="13"/>
  <c r="AS71" i="13" s="1"/>
  <c r="DV71" i="13" s="1"/>
  <c r="DZ71" i="13" s="1"/>
  <c r="ED71" i="13" s="1"/>
  <c r="CG71" i="13"/>
  <c r="CJ71" i="13"/>
  <c r="Q71" i="13"/>
  <c r="DZ70" i="12"/>
  <c r="CJ71" i="12"/>
  <c r="CG71" i="12"/>
  <c r="X71" i="12"/>
  <c r="W71" i="12"/>
  <c r="Y71" i="12"/>
  <c r="AD162" i="3"/>
  <c r="AR71" i="12"/>
  <c r="AZ71" i="12" s="1"/>
  <c r="AM71" i="12"/>
  <c r="BT71" i="12" s="1"/>
  <c r="M72" i="12"/>
  <c r="L72" i="12"/>
  <c r="AN72" i="12" s="1"/>
  <c r="AP71" i="12"/>
  <c r="AE71" i="12"/>
  <c r="AF71" i="12"/>
  <c r="AG71" i="12"/>
  <c r="AH71" i="12"/>
  <c r="U71" i="12"/>
  <c r="DI71" i="12" s="1"/>
  <c r="Q71" i="12"/>
  <c r="AY71" i="12" s="1"/>
  <c r="K72" i="12"/>
  <c r="V71" i="12"/>
  <c r="R71" i="12"/>
  <c r="BQ71" i="12" s="1"/>
  <c r="S71" i="12"/>
  <c r="CO71" i="12" s="1"/>
  <c r="T71" i="12"/>
  <c r="CY71" i="12" s="1"/>
  <c r="T167" i="3"/>
  <c r="N572" i="3"/>
  <c r="T572" i="3" s="1"/>
  <c r="N369" i="3"/>
  <c r="T369" i="3" s="1"/>
  <c r="J570" i="3"/>
  <c r="J367" i="3"/>
  <c r="R165" i="3"/>
  <c r="H570" i="3"/>
  <c r="R570" i="3" s="1"/>
  <c r="Y570" i="3" s="1"/>
  <c r="H367" i="3"/>
  <c r="R367" i="3" s="1"/>
  <c r="W569" i="3"/>
  <c r="W568" i="3"/>
  <c r="AA569" i="3"/>
  <c r="AA568" i="3"/>
  <c r="AD568" i="3" s="1"/>
  <c r="Z570" i="3"/>
  <c r="W163" i="3"/>
  <c r="Y163" i="3"/>
  <c r="G569" i="3"/>
  <c r="D367" i="3"/>
  <c r="G367" i="3" s="1"/>
  <c r="D570" i="3"/>
  <c r="C368" i="3"/>
  <c r="C571" i="3"/>
  <c r="M369" i="3"/>
  <c r="S369" i="3" s="1"/>
  <c r="M572" i="3"/>
  <c r="S572" i="3" s="1"/>
  <c r="Z367" i="3"/>
  <c r="AA366" i="3"/>
  <c r="Z164" i="3"/>
  <c r="S43" i="13" s="1"/>
  <c r="CO43" i="13" s="1"/>
  <c r="AA163" i="3"/>
  <c r="G164" i="3"/>
  <c r="D165" i="3"/>
  <c r="D160" i="10" s="1"/>
  <c r="H160" i="10" s="1"/>
  <c r="C166" i="3"/>
  <c r="C161" i="10" s="1"/>
  <c r="G161" i="10" s="1"/>
  <c r="S167" i="3"/>
  <c r="FD23" i="12" l="1"/>
  <c r="FG23" i="12" s="1"/>
  <c r="AB43" i="13"/>
  <c r="CZ43" i="13" s="1"/>
  <c r="Y366" i="3"/>
  <c r="AD366" i="3" s="1"/>
  <c r="W366" i="3"/>
  <c r="CL23" i="12"/>
  <c r="BB24" i="12" s="1"/>
  <c r="CM23" i="12"/>
  <c r="BF24" i="13"/>
  <c r="BH24" i="13"/>
  <c r="BG24" i="13"/>
  <c r="BK24" i="13"/>
  <c r="BI24" i="13"/>
  <c r="AY71" i="13"/>
  <c r="N72" i="13"/>
  <c r="EF72" i="13"/>
  <c r="EL72" i="13" s="1"/>
  <c r="FE72" i="13" s="1"/>
  <c r="AO72" i="13"/>
  <c r="AR72" i="13" s="1"/>
  <c r="AZ72" i="13" s="1"/>
  <c r="AC71" i="13"/>
  <c r="DJ71" i="13" s="1"/>
  <c r="AD71" i="13"/>
  <c r="BR71" i="13" s="1"/>
  <c r="ED70" i="12"/>
  <c r="AB71" i="12"/>
  <c r="CZ71" i="12" s="1"/>
  <c r="AD71" i="12"/>
  <c r="BR71" i="12" s="1"/>
  <c r="AA71" i="12"/>
  <c r="CP71" i="12" s="1"/>
  <c r="AC71" i="12"/>
  <c r="DJ71" i="12" s="1"/>
  <c r="AQ72" i="12"/>
  <c r="BU72" i="12" s="1"/>
  <c r="AS71" i="12"/>
  <c r="DV71" i="12" s="1"/>
  <c r="AO72" i="12"/>
  <c r="AI71" i="12"/>
  <c r="CQ71" i="12" s="1"/>
  <c r="AJ71" i="12"/>
  <c r="DA71" i="12" s="1"/>
  <c r="AK71" i="12"/>
  <c r="DK71" i="12" s="1"/>
  <c r="AL71" i="12"/>
  <c r="BS71" i="12" s="1"/>
  <c r="N72" i="12"/>
  <c r="Z72" i="12" s="1"/>
  <c r="T168" i="3"/>
  <c r="N573" i="3"/>
  <c r="T573" i="3" s="1"/>
  <c r="N370" i="3"/>
  <c r="T370" i="3" s="1"/>
  <c r="J571" i="3"/>
  <c r="J368" i="3"/>
  <c r="R166" i="3"/>
  <c r="H571" i="3"/>
  <c r="H368" i="3"/>
  <c r="W570" i="3"/>
  <c r="Z571" i="3"/>
  <c r="AD569" i="3"/>
  <c r="AD163" i="3"/>
  <c r="Y164" i="3"/>
  <c r="Y165" i="3"/>
  <c r="G570" i="3"/>
  <c r="D368" i="3"/>
  <c r="G368" i="3" s="1"/>
  <c r="D571" i="3"/>
  <c r="G571" i="3" s="1"/>
  <c r="C369" i="3"/>
  <c r="C572" i="3"/>
  <c r="M370" i="3"/>
  <c r="S370" i="3" s="1"/>
  <c r="M573" i="3"/>
  <c r="S573" i="3" s="1"/>
  <c r="AA367" i="3"/>
  <c r="Z368" i="3"/>
  <c r="W164" i="3"/>
  <c r="AA164" i="3"/>
  <c r="T43" i="13" s="1"/>
  <c r="CY43" i="13" s="1"/>
  <c r="Z165" i="3"/>
  <c r="G165" i="3"/>
  <c r="Z166" i="3"/>
  <c r="D166" i="3"/>
  <c r="D161" i="10" s="1"/>
  <c r="H161" i="10" s="1"/>
  <c r="C167" i="3"/>
  <c r="C162" i="10" s="1"/>
  <c r="G162" i="10" s="1"/>
  <c r="S168" i="3"/>
  <c r="BE24" i="12" l="1"/>
  <c r="R571" i="3"/>
  <c r="R368" i="3"/>
  <c r="W368" i="3" s="1"/>
  <c r="BM24" i="13"/>
  <c r="CR24" i="13" s="1"/>
  <c r="CS24" i="13" s="1"/>
  <c r="BL24" i="13"/>
  <c r="BW24" i="13" s="1"/>
  <c r="BX24" i="13" s="1"/>
  <c r="BN24" i="13"/>
  <c r="DB24" i="13" s="1"/>
  <c r="DC24" i="13" s="1"/>
  <c r="BO24" i="13"/>
  <c r="DL24" i="13" s="1"/>
  <c r="DM24" i="13" s="1"/>
  <c r="ER72" i="13"/>
  <c r="EG72" i="13"/>
  <c r="EM72" i="13" s="1"/>
  <c r="EK71" i="13"/>
  <c r="EJ72" i="13"/>
  <c r="AM72" i="13"/>
  <c r="BT72" i="13" s="1"/>
  <c r="K73" i="13"/>
  <c r="M73" i="13"/>
  <c r="AP72" i="13"/>
  <c r="AS72" i="13" s="1"/>
  <c r="DV72" i="13" s="1"/>
  <c r="DZ72" i="13" s="1"/>
  <c r="ED72" i="13" s="1"/>
  <c r="CG72" i="13"/>
  <c r="L73" i="13"/>
  <c r="AN73" i="13" s="1"/>
  <c r="AQ73" i="13" s="1"/>
  <c r="BU73" i="13" s="1"/>
  <c r="Q72" i="13"/>
  <c r="V72" i="13"/>
  <c r="U72" i="13"/>
  <c r="DI72" i="13" s="1"/>
  <c r="Y72" i="13"/>
  <c r="CJ72" i="13"/>
  <c r="Z72" i="13"/>
  <c r="AH72" i="13"/>
  <c r="AL72" i="13" s="1"/>
  <c r="BS72" i="13" s="1"/>
  <c r="AG72" i="13"/>
  <c r="AK72" i="13" s="1"/>
  <c r="DK72" i="13" s="1"/>
  <c r="AF72" i="13"/>
  <c r="AJ72" i="13" s="1"/>
  <c r="DA72" i="13" s="1"/>
  <c r="AE72" i="13"/>
  <c r="AI72" i="13" s="1"/>
  <c r="CQ72" i="13" s="1"/>
  <c r="DZ71" i="12"/>
  <c r="CJ72" i="12"/>
  <c r="CG72" i="12"/>
  <c r="W72" i="12"/>
  <c r="Y72" i="12"/>
  <c r="X72" i="12"/>
  <c r="AR72" i="12"/>
  <c r="AZ72" i="12" s="1"/>
  <c r="AM72" i="12"/>
  <c r="BT72" i="12" s="1"/>
  <c r="M73" i="12"/>
  <c r="L73" i="12"/>
  <c r="AN73" i="12" s="1"/>
  <c r="AP72" i="12"/>
  <c r="AE72" i="12"/>
  <c r="AF72" i="12"/>
  <c r="AG72" i="12"/>
  <c r="AH72" i="12"/>
  <c r="S72" i="12"/>
  <c r="CO72" i="12" s="1"/>
  <c r="V72" i="12"/>
  <c r="R72" i="12"/>
  <c r="BQ72" i="12" s="1"/>
  <c r="T72" i="12"/>
  <c r="CY72" i="12" s="1"/>
  <c r="U72" i="12"/>
  <c r="DI72" i="12" s="1"/>
  <c r="Q72" i="12"/>
  <c r="AY72" i="12" s="1"/>
  <c r="K73" i="12"/>
  <c r="T169" i="3"/>
  <c r="N574" i="3"/>
  <c r="T574" i="3" s="1"/>
  <c r="N371" i="3"/>
  <c r="T371" i="3" s="1"/>
  <c r="J572" i="3"/>
  <c r="J369" i="3"/>
  <c r="R167" i="3"/>
  <c r="H572" i="3"/>
  <c r="R572" i="3" s="1"/>
  <c r="H369" i="3"/>
  <c r="R369" i="3" s="1"/>
  <c r="Y368" i="3"/>
  <c r="Y367" i="3"/>
  <c r="AD367" i="3" s="1"/>
  <c r="AA571" i="3"/>
  <c r="AA570" i="3"/>
  <c r="AD570" i="3" s="1"/>
  <c r="Z572" i="3"/>
  <c r="AD164" i="3"/>
  <c r="W165" i="3"/>
  <c r="W367" i="3"/>
  <c r="D369" i="3"/>
  <c r="D572" i="3"/>
  <c r="C370" i="3"/>
  <c r="C573" i="3"/>
  <c r="M371" i="3"/>
  <c r="S371" i="3" s="1"/>
  <c r="M574" i="3"/>
  <c r="S574" i="3" s="1"/>
  <c r="Z369" i="3"/>
  <c r="AA368" i="3"/>
  <c r="G369" i="3"/>
  <c r="Z370" i="3"/>
  <c r="AA165" i="3"/>
  <c r="AD165" i="3" s="1"/>
  <c r="G166" i="3"/>
  <c r="D167" i="3"/>
  <c r="D162" i="10" s="1"/>
  <c r="H162" i="10" s="1"/>
  <c r="C168" i="3"/>
  <c r="S169" i="3"/>
  <c r="C163" i="10" l="1"/>
  <c r="G163" i="10" s="1"/>
  <c r="W44" i="13"/>
  <c r="BC24" i="12"/>
  <c r="CU24" i="13"/>
  <c r="DS24" i="13"/>
  <c r="DW24" i="13" s="1"/>
  <c r="EA24" i="13" s="1"/>
  <c r="CV24" i="13"/>
  <c r="CT24" i="13"/>
  <c r="CW24" i="13"/>
  <c r="BZ24" i="13"/>
  <c r="CD24" i="13"/>
  <c r="CC24" i="13"/>
  <c r="CB24" i="13"/>
  <c r="BY24" i="13"/>
  <c r="CH24" i="13"/>
  <c r="CA24" i="13"/>
  <c r="CI24" i="13"/>
  <c r="CK24" i="13" s="1"/>
  <c r="CE24" i="13"/>
  <c r="DE24" i="13"/>
  <c r="DD24" i="13"/>
  <c r="DT24" i="13"/>
  <c r="DX24" i="13" s="1"/>
  <c r="EB24" i="13" s="1"/>
  <c r="DF24" i="13"/>
  <c r="DG24" i="13"/>
  <c r="DP24" i="13"/>
  <c r="DN24" i="13"/>
  <c r="DU24" i="13"/>
  <c r="DY24" i="13" s="1"/>
  <c r="EC24" i="13" s="1"/>
  <c r="FD24" i="13" s="1"/>
  <c r="FG24" i="13" s="1"/>
  <c r="DO24" i="13"/>
  <c r="DQ24" i="13"/>
  <c r="AY72" i="13"/>
  <c r="N73" i="13"/>
  <c r="EF73" i="13"/>
  <c r="EL73" i="13" s="1"/>
  <c r="FE73" i="13" s="1"/>
  <c r="AO73" i="13"/>
  <c r="AR73" i="13" s="1"/>
  <c r="AZ73" i="13" s="1"/>
  <c r="AC72" i="13"/>
  <c r="DJ72" i="13" s="1"/>
  <c r="AD72" i="13"/>
  <c r="BR72" i="13" s="1"/>
  <c r="ED71" i="12"/>
  <c r="AD368" i="3"/>
  <c r="AC72" i="12"/>
  <c r="DJ72" i="12" s="1"/>
  <c r="AB72" i="12"/>
  <c r="CZ72" i="12" s="1"/>
  <c r="AA72" i="12"/>
  <c r="CP72" i="12" s="1"/>
  <c r="AD72" i="12"/>
  <c r="BR72" i="12" s="1"/>
  <c r="AQ73" i="12"/>
  <c r="BU73" i="12" s="1"/>
  <c r="AS72" i="12"/>
  <c r="DV72" i="12" s="1"/>
  <c r="AO73" i="12"/>
  <c r="AI72" i="12"/>
  <c r="CQ72" i="12" s="1"/>
  <c r="AJ72" i="12"/>
  <c r="DA72" i="12" s="1"/>
  <c r="AK72" i="12"/>
  <c r="DK72" i="12" s="1"/>
  <c r="AL72" i="12"/>
  <c r="BS72" i="12" s="1"/>
  <c r="N73" i="12"/>
  <c r="Z73" i="12" s="1"/>
  <c r="T170" i="3"/>
  <c r="N575" i="3"/>
  <c r="T575" i="3" s="1"/>
  <c r="N372" i="3"/>
  <c r="T372" i="3" s="1"/>
  <c r="J573" i="3"/>
  <c r="J370" i="3"/>
  <c r="R168" i="3"/>
  <c r="Y167" i="3"/>
  <c r="H573" i="3"/>
  <c r="H370" i="3"/>
  <c r="W572" i="3"/>
  <c r="Y572" i="3"/>
  <c r="W571" i="3"/>
  <c r="Y571" i="3"/>
  <c r="AD571" i="3" s="1"/>
  <c r="Z573" i="3"/>
  <c r="Y166" i="3"/>
  <c r="R46" i="13" s="1"/>
  <c r="BQ46" i="13" s="1"/>
  <c r="G572" i="3"/>
  <c r="D370" i="3"/>
  <c r="G370" i="3" s="1"/>
  <c r="D573" i="3"/>
  <c r="C371" i="3"/>
  <c r="C574" i="3"/>
  <c r="M372" i="3"/>
  <c r="S372" i="3" s="1"/>
  <c r="M575" i="3"/>
  <c r="S575" i="3" s="1"/>
  <c r="AA369" i="3"/>
  <c r="W369" i="3"/>
  <c r="AA370" i="3"/>
  <c r="AA166" i="3"/>
  <c r="W166" i="3"/>
  <c r="Z167" i="3"/>
  <c r="G167" i="3"/>
  <c r="D168" i="3"/>
  <c r="C169" i="3"/>
  <c r="C164" i="10" s="1"/>
  <c r="G164" i="10" s="1"/>
  <c r="S170" i="3"/>
  <c r="AA44" i="13" l="1"/>
  <c r="CP44" i="13" s="1"/>
  <c r="D163" i="10"/>
  <c r="H163" i="10" s="1"/>
  <c r="X44" i="13"/>
  <c r="R573" i="3"/>
  <c r="Y573" i="3" s="1"/>
  <c r="R370" i="3"/>
  <c r="W370" i="3" s="1"/>
  <c r="BF24" i="12"/>
  <c r="BG24" i="12"/>
  <c r="BI24" i="12"/>
  <c r="BK24" i="12"/>
  <c r="BH24" i="12"/>
  <c r="CM24" i="13"/>
  <c r="CL24" i="13"/>
  <c r="BB25" i="13" s="1"/>
  <c r="ER73" i="13"/>
  <c r="EG73" i="13"/>
  <c r="EM73" i="13" s="1"/>
  <c r="EK72" i="13"/>
  <c r="EJ73" i="13"/>
  <c r="AM73" i="13"/>
  <c r="BT73" i="13" s="1"/>
  <c r="K74" i="13"/>
  <c r="L74" i="13"/>
  <c r="AN74" i="13" s="1"/>
  <c r="AQ74" i="13" s="1"/>
  <c r="BU74" i="13" s="1"/>
  <c r="M74" i="13"/>
  <c r="CG73" i="13"/>
  <c r="AP73" i="13"/>
  <c r="AS73" i="13" s="1"/>
  <c r="DV73" i="13" s="1"/>
  <c r="DZ73" i="13" s="1"/>
  <c r="ED73" i="13" s="1"/>
  <c r="U73" i="13"/>
  <c r="DI73" i="13" s="1"/>
  <c r="V73" i="13"/>
  <c r="CJ73" i="13"/>
  <c r="Q73" i="13"/>
  <c r="Z73" i="13"/>
  <c r="Y73" i="13"/>
  <c r="AH73" i="13"/>
  <c r="AL73" i="13" s="1"/>
  <c r="BS73" i="13" s="1"/>
  <c r="AG73" i="13"/>
  <c r="AK73" i="13" s="1"/>
  <c r="DK73" i="13" s="1"/>
  <c r="AF73" i="13"/>
  <c r="AJ73" i="13" s="1"/>
  <c r="DA73" i="13" s="1"/>
  <c r="AE73" i="13"/>
  <c r="AI73" i="13" s="1"/>
  <c r="CQ73" i="13" s="1"/>
  <c r="DZ72" i="12"/>
  <c r="CJ73" i="12"/>
  <c r="CG73" i="12"/>
  <c r="Y73" i="12"/>
  <c r="X73" i="12"/>
  <c r="W73" i="12"/>
  <c r="AD166" i="3"/>
  <c r="AR73" i="12"/>
  <c r="AZ73" i="12" s="1"/>
  <c r="AM73" i="12"/>
  <c r="BT73" i="12" s="1"/>
  <c r="M74" i="12"/>
  <c r="L74" i="12"/>
  <c r="AN74" i="12" s="1"/>
  <c r="AP73" i="12"/>
  <c r="AE73" i="12"/>
  <c r="AF73" i="12"/>
  <c r="AG73" i="12"/>
  <c r="AH73" i="12"/>
  <c r="U73" i="12"/>
  <c r="DI73" i="12" s="1"/>
  <c r="T73" i="12"/>
  <c r="CY73" i="12" s="1"/>
  <c r="R73" i="12"/>
  <c r="BQ73" i="12" s="1"/>
  <c r="Q73" i="12"/>
  <c r="AY73" i="12" s="1"/>
  <c r="S73" i="12"/>
  <c r="CO73" i="12" s="1"/>
  <c r="K74" i="12"/>
  <c r="V73" i="12"/>
  <c r="T171" i="3"/>
  <c r="N576" i="3"/>
  <c r="T576" i="3" s="1"/>
  <c r="N373" i="3"/>
  <c r="T373" i="3" s="1"/>
  <c r="J574" i="3"/>
  <c r="J371" i="3"/>
  <c r="R169" i="3"/>
  <c r="Y168" i="3"/>
  <c r="H574" i="3"/>
  <c r="R574" i="3" s="1"/>
  <c r="Y574" i="3" s="1"/>
  <c r="H371" i="3"/>
  <c r="W573" i="3"/>
  <c r="Y369" i="3"/>
  <c r="AD369" i="3" s="1"/>
  <c r="Y370" i="3"/>
  <c r="AD370" i="3" s="1"/>
  <c r="AA573" i="3"/>
  <c r="AA572" i="3"/>
  <c r="AD572" i="3" s="1"/>
  <c r="Z574" i="3"/>
  <c r="W167" i="3"/>
  <c r="G573" i="3"/>
  <c r="D371" i="3"/>
  <c r="G371" i="3" s="1"/>
  <c r="D574" i="3"/>
  <c r="G574" i="3" s="1"/>
  <c r="C372" i="3"/>
  <c r="C575" i="3"/>
  <c r="M373" i="3"/>
  <c r="S373" i="3" s="1"/>
  <c r="M576" i="3"/>
  <c r="S576" i="3" s="1"/>
  <c r="Z371" i="3"/>
  <c r="Z372" i="3"/>
  <c r="AA371" i="3"/>
  <c r="Z168" i="3"/>
  <c r="S44" i="13" s="1"/>
  <c r="CO44" i="13" s="1"/>
  <c r="AA167" i="3"/>
  <c r="AD167" i="3" s="1"/>
  <c r="G168" i="3"/>
  <c r="D169" i="3"/>
  <c r="D164" i="10" s="1"/>
  <c r="H164" i="10" s="1"/>
  <c r="C170" i="3"/>
  <c r="C165" i="10" s="1"/>
  <c r="G165" i="10" s="1"/>
  <c r="S171" i="3"/>
  <c r="AB44" i="13" l="1"/>
  <c r="CZ44" i="13" s="1"/>
  <c r="R371" i="3"/>
  <c r="AD573" i="3"/>
  <c r="BN24" i="12"/>
  <c r="DB24" i="12" s="1"/>
  <c r="BM24" i="12"/>
  <c r="CR24" i="12" s="1"/>
  <c r="BL24" i="12"/>
  <c r="BW24" i="12" s="1"/>
  <c r="BX24" i="12" s="1"/>
  <c r="BO24" i="12"/>
  <c r="DL24" i="12" s="1"/>
  <c r="BE25" i="13"/>
  <c r="BD25" i="13"/>
  <c r="EQ25" i="13" s="1"/>
  <c r="ES25" i="13" s="1"/>
  <c r="AO74" i="13"/>
  <c r="AR74" i="13" s="1"/>
  <c r="AZ74" i="13" s="1"/>
  <c r="AY73" i="13"/>
  <c r="N74" i="13"/>
  <c r="EF74" i="13"/>
  <c r="EL74" i="13" s="1"/>
  <c r="FE74" i="13" s="1"/>
  <c r="AD73" i="13"/>
  <c r="BR73" i="13" s="1"/>
  <c r="AC73" i="13"/>
  <c r="DJ73" i="13" s="1"/>
  <c r="ED72" i="12"/>
  <c r="AB73" i="12"/>
  <c r="CZ73" i="12" s="1"/>
  <c r="AA73" i="12"/>
  <c r="CP73" i="12" s="1"/>
  <c r="AD73" i="12"/>
  <c r="BR73" i="12" s="1"/>
  <c r="AC73" i="12"/>
  <c r="DJ73" i="12" s="1"/>
  <c r="AQ74" i="12"/>
  <c r="BU74" i="12" s="1"/>
  <c r="AS73" i="12"/>
  <c r="DV73" i="12" s="1"/>
  <c r="AO74" i="12"/>
  <c r="AI73" i="12"/>
  <c r="CQ73" i="12" s="1"/>
  <c r="AJ73" i="12"/>
  <c r="DA73" i="12" s="1"/>
  <c r="AK73" i="12"/>
  <c r="DK73" i="12" s="1"/>
  <c r="AL73" i="12"/>
  <c r="BS73" i="12" s="1"/>
  <c r="N74" i="12"/>
  <c r="Z74" i="12" s="1"/>
  <c r="T172" i="3"/>
  <c r="N577" i="3"/>
  <c r="T577" i="3" s="1"/>
  <c r="N374" i="3"/>
  <c r="T374" i="3" s="1"/>
  <c r="J575" i="3"/>
  <c r="J372" i="3"/>
  <c r="Y169" i="3"/>
  <c r="R170" i="3"/>
  <c r="H575" i="3"/>
  <c r="R575" i="3" s="1"/>
  <c r="Y575" i="3" s="1"/>
  <c r="H372" i="3"/>
  <c r="R372" i="3" s="1"/>
  <c r="W574" i="3"/>
  <c r="AA574" i="3"/>
  <c r="AD574" i="3" s="1"/>
  <c r="Z575" i="3"/>
  <c r="D372" i="3"/>
  <c r="D575" i="3"/>
  <c r="C373" i="3"/>
  <c r="C576" i="3"/>
  <c r="M374" i="3"/>
  <c r="S374" i="3" s="1"/>
  <c r="M577" i="3"/>
  <c r="S577" i="3" s="1"/>
  <c r="G372" i="3"/>
  <c r="AA372" i="3"/>
  <c r="AA168" i="3"/>
  <c r="W168" i="3"/>
  <c r="Z169" i="3"/>
  <c r="G169" i="3"/>
  <c r="D170" i="3"/>
  <c r="D165" i="10" s="1"/>
  <c r="H165" i="10" s="1"/>
  <c r="C171" i="3"/>
  <c r="C166" i="10" s="1"/>
  <c r="G166" i="10" s="1"/>
  <c r="S172" i="3"/>
  <c r="AD168" i="3" l="1"/>
  <c r="T44" i="13"/>
  <c r="CY44" i="13" s="1"/>
  <c r="Y371" i="3"/>
  <c r="AD371" i="3" s="1"/>
  <c r="W371" i="3"/>
  <c r="DC24" i="12"/>
  <c r="DG24" i="12" s="1"/>
  <c r="CS24" i="12"/>
  <c r="CW24" i="12" s="1"/>
  <c r="CI24" i="12"/>
  <c r="CK24" i="12" s="1"/>
  <c r="CB24" i="12"/>
  <c r="BY24" i="12"/>
  <c r="CH24" i="12"/>
  <c r="CA24" i="12"/>
  <c r="CC24" i="12"/>
  <c r="BZ24" i="12"/>
  <c r="CD24" i="12"/>
  <c r="CE24" i="12"/>
  <c r="DM24" i="12"/>
  <c r="DQ24" i="12" s="1"/>
  <c r="EU25" i="13"/>
  <c r="EX25" i="13" s="1"/>
  <c r="FA25" i="13" s="1"/>
  <c r="ET25" i="13"/>
  <c r="EW25" i="13" s="1"/>
  <c r="EZ25" i="13" s="1"/>
  <c r="EV25" i="13"/>
  <c r="EY25" i="13" s="1"/>
  <c r="FB25" i="13" s="1"/>
  <c r="FF25" i="13" s="1"/>
  <c r="BC25" i="13"/>
  <c r="ER74" i="13"/>
  <c r="EG74" i="13"/>
  <c r="EM74" i="13" s="1"/>
  <c r="EK73" i="13"/>
  <c r="EJ74" i="13"/>
  <c r="Q74" i="13"/>
  <c r="M75" i="13"/>
  <c r="L75" i="13"/>
  <c r="AN75" i="13" s="1"/>
  <c r="AQ75" i="13" s="1"/>
  <c r="BU75" i="13" s="1"/>
  <c r="CG74" i="13"/>
  <c r="AP74" i="13"/>
  <c r="AS74" i="13" s="1"/>
  <c r="DV74" i="13" s="1"/>
  <c r="DZ74" i="13" s="1"/>
  <c r="ED74" i="13" s="1"/>
  <c r="K75" i="13"/>
  <c r="AM74" i="13"/>
  <c r="BT74" i="13" s="1"/>
  <c r="CJ74" i="13"/>
  <c r="U74" i="13"/>
  <c r="DI74" i="13" s="1"/>
  <c r="V74" i="13"/>
  <c r="AF74" i="13"/>
  <c r="AJ74" i="13" s="1"/>
  <c r="DA74" i="13" s="1"/>
  <c r="Y74" i="13"/>
  <c r="Z74" i="13"/>
  <c r="AH74" i="13"/>
  <c r="AL74" i="13" s="1"/>
  <c r="BS74" i="13" s="1"/>
  <c r="AG74" i="13"/>
  <c r="AK74" i="13" s="1"/>
  <c r="DK74" i="13" s="1"/>
  <c r="AE74" i="13"/>
  <c r="AI74" i="13" s="1"/>
  <c r="CQ74" i="13" s="1"/>
  <c r="DZ73" i="12"/>
  <c r="CJ74" i="12"/>
  <c r="CG74" i="12"/>
  <c r="W74" i="12"/>
  <c r="X74" i="12"/>
  <c r="Y74" i="12"/>
  <c r="AR74" i="12"/>
  <c r="AZ74" i="12" s="1"/>
  <c r="AM74" i="12"/>
  <c r="BT74" i="12" s="1"/>
  <c r="M75" i="12"/>
  <c r="L75" i="12"/>
  <c r="AN75" i="12" s="1"/>
  <c r="AP74" i="12"/>
  <c r="AE74" i="12"/>
  <c r="AF74" i="12"/>
  <c r="AG74" i="12"/>
  <c r="AH74" i="12"/>
  <c r="Q74" i="12"/>
  <c r="AY74" i="12" s="1"/>
  <c r="K75" i="12"/>
  <c r="V74" i="12"/>
  <c r="R74" i="12"/>
  <c r="BQ74" i="12" s="1"/>
  <c r="S74" i="12"/>
  <c r="CO74" i="12" s="1"/>
  <c r="T74" i="12"/>
  <c r="CY74" i="12" s="1"/>
  <c r="U74" i="12"/>
  <c r="DI74" i="12" s="1"/>
  <c r="T173" i="3"/>
  <c r="N578" i="3"/>
  <c r="T578" i="3" s="1"/>
  <c r="N375" i="3"/>
  <c r="T375" i="3" s="1"/>
  <c r="J576" i="3"/>
  <c r="J373" i="3"/>
  <c r="R171" i="3"/>
  <c r="H576" i="3"/>
  <c r="R576" i="3" s="1"/>
  <c r="Y576" i="3" s="1"/>
  <c r="H373" i="3"/>
  <c r="R373" i="3" s="1"/>
  <c r="W575" i="3"/>
  <c r="Z576" i="3"/>
  <c r="W169" i="3"/>
  <c r="AA575" i="3"/>
  <c r="AD575" i="3" s="1"/>
  <c r="G575" i="3"/>
  <c r="D373" i="3"/>
  <c r="D576" i="3"/>
  <c r="C374" i="3"/>
  <c r="C577" i="3"/>
  <c r="M375" i="3"/>
  <c r="S375" i="3" s="1"/>
  <c r="M578" i="3"/>
  <c r="S578" i="3" s="1"/>
  <c r="Z373" i="3"/>
  <c r="AA373" i="3"/>
  <c r="G373" i="3"/>
  <c r="Z170" i="3"/>
  <c r="AA169" i="3"/>
  <c r="AD169" i="3" s="1"/>
  <c r="G170" i="3"/>
  <c r="D171" i="3"/>
  <c r="D166" i="10" s="1"/>
  <c r="H166" i="10" s="1"/>
  <c r="C172" i="3"/>
  <c r="C167" i="10" s="1"/>
  <c r="G167" i="10" s="1"/>
  <c r="S173" i="3"/>
  <c r="DE24" i="12" l="1"/>
  <c r="DT24" i="12"/>
  <c r="DX24" i="12" s="1"/>
  <c r="EB24" i="12" s="1"/>
  <c r="DD24" i="12"/>
  <c r="DF24" i="12"/>
  <c r="CV24" i="12"/>
  <c r="CU24" i="12"/>
  <c r="DS24" i="12"/>
  <c r="DW24" i="12" s="1"/>
  <c r="EA24" i="12" s="1"/>
  <c r="CT24" i="12"/>
  <c r="CM24" i="12"/>
  <c r="CL24" i="12"/>
  <c r="BB25" i="12" s="1"/>
  <c r="DU24" i="12"/>
  <c r="DY24" i="12" s="1"/>
  <c r="EC24" i="12" s="1"/>
  <c r="DN24" i="12"/>
  <c r="DP24" i="12"/>
  <c r="DO24" i="12"/>
  <c r="BF25" i="13"/>
  <c r="BH25" i="13"/>
  <c r="BG25" i="13"/>
  <c r="BK25" i="13"/>
  <c r="BI25" i="13"/>
  <c r="AY74" i="13"/>
  <c r="EF75" i="13"/>
  <c r="EL75" i="13" s="1"/>
  <c r="FE75" i="13" s="1"/>
  <c r="N75" i="13"/>
  <c r="AO75" i="13"/>
  <c r="AR75" i="13" s="1"/>
  <c r="AZ75" i="13" s="1"/>
  <c r="AC74" i="13"/>
  <c r="DJ74" i="13" s="1"/>
  <c r="AD74" i="13"/>
  <c r="BR74" i="13" s="1"/>
  <c r="ED73" i="12"/>
  <c r="AA74" i="12"/>
  <c r="CP74" i="12" s="1"/>
  <c r="AD74" i="12"/>
  <c r="BR74" i="12" s="1"/>
  <c r="AB74" i="12"/>
  <c r="CZ74" i="12" s="1"/>
  <c r="AC74" i="12"/>
  <c r="DJ74" i="12" s="1"/>
  <c r="AQ75" i="12"/>
  <c r="BU75" i="12" s="1"/>
  <c r="AS74" i="12"/>
  <c r="DV74" i="12" s="1"/>
  <c r="AO75" i="12"/>
  <c r="AI74" i="12"/>
  <c r="CQ74" i="12" s="1"/>
  <c r="AJ74" i="12"/>
  <c r="DA74" i="12" s="1"/>
  <c r="AK74" i="12"/>
  <c r="DK74" i="12" s="1"/>
  <c r="AL74" i="12"/>
  <c r="BS74" i="12" s="1"/>
  <c r="N75" i="12"/>
  <c r="Z75" i="12" s="1"/>
  <c r="T174" i="3"/>
  <c r="N579" i="3"/>
  <c r="T579" i="3" s="1"/>
  <c r="N376" i="3"/>
  <c r="T376" i="3" s="1"/>
  <c r="J577" i="3"/>
  <c r="J374" i="3"/>
  <c r="R172" i="3"/>
  <c r="H577" i="3"/>
  <c r="H374" i="3"/>
  <c r="R374" i="3" s="1"/>
  <c r="W576" i="3"/>
  <c r="Y372" i="3"/>
  <c r="AD372" i="3" s="1"/>
  <c r="Y373" i="3"/>
  <c r="AD373" i="3" s="1"/>
  <c r="Z577" i="3"/>
  <c r="W373" i="3"/>
  <c r="Y170" i="3"/>
  <c r="R47" i="13" s="1"/>
  <c r="BQ47" i="13" s="1"/>
  <c r="W372" i="3"/>
  <c r="G576" i="3"/>
  <c r="D374" i="3"/>
  <c r="D577" i="3"/>
  <c r="C375" i="3"/>
  <c r="C578" i="3"/>
  <c r="M376" i="3"/>
  <c r="S376" i="3" s="1"/>
  <c r="M579" i="3"/>
  <c r="S579" i="3" s="1"/>
  <c r="AA374" i="3"/>
  <c r="Z374" i="3"/>
  <c r="W170" i="3"/>
  <c r="AA170" i="3"/>
  <c r="G374" i="3"/>
  <c r="Z171" i="3"/>
  <c r="G171" i="3"/>
  <c r="D172" i="3"/>
  <c r="D167" i="10" s="1"/>
  <c r="H167" i="10" s="1"/>
  <c r="C173" i="3"/>
  <c r="S174" i="3"/>
  <c r="FD24" i="12" l="1"/>
  <c r="FG24" i="12" s="1"/>
  <c r="C168" i="10"/>
  <c r="G168" i="10" s="1"/>
  <c r="W45" i="13"/>
  <c r="BE25" i="12"/>
  <c r="R577" i="3"/>
  <c r="Y577" i="3" s="1"/>
  <c r="AD170" i="3"/>
  <c r="BL25" i="13"/>
  <c r="BW25" i="13" s="1"/>
  <c r="BN25" i="13"/>
  <c r="DB25" i="13" s="1"/>
  <c r="DC25" i="13" s="1"/>
  <c r="BM25" i="13"/>
  <c r="CR25" i="13" s="1"/>
  <c r="CS25" i="13" s="1"/>
  <c r="BO25" i="13"/>
  <c r="DL25" i="13" s="1"/>
  <c r="DM25" i="13" s="1"/>
  <c r="ER75" i="13"/>
  <c r="EG75" i="13"/>
  <c r="EM75" i="13" s="1"/>
  <c r="EK74" i="13"/>
  <c r="EJ75" i="13"/>
  <c r="AM75" i="13"/>
  <c r="BT75" i="13" s="1"/>
  <c r="K76" i="13"/>
  <c r="M76" i="13"/>
  <c r="AP75" i="13"/>
  <c r="AS75" i="13" s="1"/>
  <c r="DV75" i="13" s="1"/>
  <c r="DZ75" i="13" s="1"/>
  <c r="ED75" i="13" s="1"/>
  <c r="CG75" i="13"/>
  <c r="L76" i="13"/>
  <c r="AN76" i="13" s="1"/>
  <c r="AQ76" i="13" s="1"/>
  <c r="BU76" i="13" s="1"/>
  <c r="U75" i="13"/>
  <c r="DI75" i="13" s="1"/>
  <c r="CJ75" i="13"/>
  <c r="Q75" i="13"/>
  <c r="Z75" i="13"/>
  <c r="Y75" i="13"/>
  <c r="AC75" i="13" s="1"/>
  <c r="DJ75" i="13" s="1"/>
  <c r="V75" i="13"/>
  <c r="AH75" i="13"/>
  <c r="AL75" i="13" s="1"/>
  <c r="BS75" i="13" s="1"/>
  <c r="AG75" i="13"/>
  <c r="AK75" i="13" s="1"/>
  <c r="DK75" i="13" s="1"/>
  <c r="AF75" i="13"/>
  <c r="AJ75" i="13" s="1"/>
  <c r="DA75" i="13" s="1"/>
  <c r="AE75" i="13"/>
  <c r="AI75" i="13" s="1"/>
  <c r="CQ75" i="13" s="1"/>
  <c r="DZ74" i="12"/>
  <c r="W374" i="3"/>
  <c r="Y374" i="3"/>
  <c r="AD374" i="3" s="1"/>
  <c r="CJ75" i="12"/>
  <c r="CG75" i="12"/>
  <c r="X75" i="12"/>
  <c r="Y75" i="12"/>
  <c r="W75" i="12"/>
  <c r="AR75" i="12"/>
  <c r="AZ75" i="12" s="1"/>
  <c r="AM75" i="12"/>
  <c r="BT75" i="12" s="1"/>
  <c r="M76" i="12"/>
  <c r="L76" i="12"/>
  <c r="AN76" i="12" s="1"/>
  <c r="AP75" i="12"/>
  <c r="AE75" i="12"/>
  <c r="AF75" i="12"/>
  <c r="AG75" i="12"/>
  <c r="AH75" i="12"/>
  <c r="T75" i="12"/>
  <c r="CY75" i="12" s="1"/>
  <c r="Q75" i="12"/>
  <c r="AY75" i="12" s="1"/>
  <c r="K76" i="12"/>
  <c r="V75" i="12"/>
  <c r="R75" i="12"/>
  <c r="BQ75" i="12" s="1"/>
  <c r="U75" i="12"/>
  <c r="DI75" i="12" s="1"/>
  <c r="S75" i="12"/>
  <c r="CO75" i="12" s="1"/>
  <c r="T175" i="3"/>
  <c r="N580" i="3"/>
  <c r="T580" i="3" s="1"/>
  <c r="N377" i="3"/>
  <c r="T377" i="3" s="1"/>
  <c r="J578" i="3"/>
  <c r="J375" i="3"/>
  <c r="R173" i="3"/>
  <c r="H578" i="3"/>
  <c r="H375" i="3"/>
  <c r="W577" i="3"/>
  <c r="AA577" i="3"/>
  <c r="AD577" i="3" s="1"/>
  <c r="AA576" i="3"/>
  <c r="AD576" i="3" s="1"/>
  <c r="Z578" i="3"/>
  <c r="W171" i="3"/>
  <c r="Y171" i="3"/>
  <c r="Y172" i="3"/>
  <c r="G577" i="3"/>
  <c r="D375" i="3"/>
  <c r="G375" i="3" s="1"/>
  <c r="D578" i="3"/>
  <c r="G578" i="3" s="1"/>
  <c r="C376" i="3"/>
  <c r="C579" i="3"/>
  <c r="M377" i="3"/>
  <c r="S377" i="3" s="1"/>
  <c r="M580" i="3"/>
  <c r="S580" i="3" s="1"/>
  <c r="Z375" i="3"/>
  <c r="Z172" i="3"/>
  <c r="AA171" i="3"/>
  <c r="G172" i="3"/>
  <c r="D173" i="3"/>
  <c r="C174" i="3"/>
  <c r="C169" i="10" s="1"/>
  <c r="G169" i="10" s="1"/>
  <c r="S175" i="3"/>
  <c r="AA45" i="13" l="1"/>
  <c r="CP45" i="13" s="1"/>
  <c r="D168" i="10"/>
  <c r="H168" i="10" s="1"/>
  <c r="X45" i="13"/>
  <c r="R578" i="3"/>
  <c r="Y578" i="3" s="1"/>
  <c r="R375" i="3"/>
  <c r="BC25" i="12"/>
  <c r="BX25" i="13"/>
  <c r="CE25" i="13" s="1"/>
  <c r="DT25" i="13"/>
  <c r="DX25" i="13" s="1"/>
  <c r="EB25" i="13" s="1"/>
  <c r="DD25" i="13"/>
  <c r="DE25" i="13"/>
  <c r="DF25" i="13"/>
  <c r="DG25" i="13"/>
  <c r="CV25" i="13"/>
  <c r="DS25" i="13"/>
  <c r="DW25" i="13" s="1"/>
  <c r="EA25" i="13" s="1"/>
  <c r="CU25" i="13"/>
  <c r="CT25" i="13"/>
  <c r="CW25" i="13"/>
  <c r="DO25" i="13"/>
  <c r="DU25" i="13"/>
  <c r="DY25" i="13" s="1"/>
  <c r="EC25" i="13" s="1"/>
  <c r="FD25" i="13" s="1"/>
  <c r="FG25" i="13" s="1"/>
  <c r="DN25" i="13"/>
  <c r="DP25" i="13"/>
  <c r="DQ25" i="13"/>
  <c r="AY75" i="13"/>
  <c r="EF76" i="13"/>
  <c r="EL76" i="13" s="1"/>
  <c r="FE76" i="13" s="1"/>
  <c r="N76" i="13"/>
  <c r="AO76" i="13"/>
  <c r="AR76" i="13" s="1"/>
  <c r="AZ76" i="13" s="1"/>
  <c r="AD75" i="13"/>
  <c r="BR75" i="13" s="1"/>
  <c r="ED74" i="12"/>
  <c r="AD171" i="3"/>
  <c r="AD75" i="12"/>
  <c r="BR75" i="12" s="1"/>
  <c r="AB75" i="12"/>
  <c r="CZ75" i="12" s="1"/>
  <c r="AC75" i="12"/>
  <c r="DJ75" i="12" s="1"/>
  <c r="AA75" i="12"/>
  <c r="CP75" i="12" s="1"/>
  <c r="AQ76" i="12"/>
  <c r="BU76" i="12" s="1"/>
  <c r="AS75" i="12"/>
  <c r="DV75" i="12" s="1"/>
  <c r="AO76" i="12"/>
  <c r="AI75" i="12"/>
  <c r="CQ75" i="12" s="1"/>
  <c r="AJ75" i="12"/>
  <c r="DA75" i="12" s="1"/>
  <c r="AK75" i="12"/>
  <c r="DK75" i="12" s="1"/>
  <c r="AL75" i="12"/>
  <c r="BS75" i="12" s="1"/>
  <c r="N76" i="12"/>
  <c r="T176" i="3"/>
  <c r="N581" i="3"/>
  <c r="T581" i="3" s="1"/>
  <c r="N378" i="3"/>
  <c r="T378" i="3" s="1"/>
  <c r="J579" i="3"/>
  <c r="J376" i="3"/>
  <c r="R174" i="3"/>
  <c r="H579" i="3"/>
  <c r="H376" i="3"/>
  <c r="W578" i="3"/>
  <c r="AA578" i="3"/>
  <c r="Z579" i="3"/>
  <c r="D376" i="3"/>
  <c r="G376" i="3" s="1"/>
  <c r="D579" i="3"/>
  <c r="C377" i="3"/>
  <c r="C580" i="3"/>
  <c r="M378" i="3"/>
  <c r="S378" i="3" s="1"/>
  <c r="M581" i="3"/>
  <c r="S581" i="3" s="1"/>
  <c r="AA375" i="3"/>
  <c r="Z376" i="3"/>
  <c r="AA172" i="3"/>
  <c r="AD172" i="3" s="1"/>
  <c r="W172" i="3"/>
  <c r="Z173" i="3"/>
  <c r="S45" i="13" s="1"/>
  <c r="CO45" i="13" s="1"/>
  <c r="G173" i="3"/>
  <c r="D174" i="3"/>
  <c r="D169" i="10" s="1"/>
  <c r="H169" i="10" s="1"/>
  <c r="C175" i="3"/>
  <c r="C170" i="10" s="1"/>
  <c r="G170" i="10" s="1"/>
  <c r="S176" i="3"/>
  <c r="AB45" i="13" l="1"/>
  <c r="CZ45" i="13" s="1"/>
  <c r="R376" i="3"/>
  <c r="AD578" i="3"/>
  <c r="R579" i="3"/>
  <c r="Y375" i="3"/>
  <c r="AD375" i="3" s="1"/>
  <c r="W375" i="3"/>
  <c r="BK25" i="12"/>
  <c r="BF25" i="12"/>
  <c r="BG25" i="12"/>
  <c r="BH25" i="12"/>
  <c r="BI25" i="12"/>
  <c r="CI25" i="13"/>
  <c r="CK25" i="13" s="1"/>
  <c r="CA25" i="13"/>
  <c r="CC25" i="13"/>
  <c r="BZ25" i="13"/>
  <c r="CB25" i="13"/>
  <c r="BY25" i="13"/>
  <c r="CH25" i="13"/>
  <c r="CD25" i="13"/>
  <c r="Z76" i="12"/>
  <c r="CJ76" i="12"/>
  <c r="ER76" i="13"/>
  <c r="EG76" i="13"/>
  <c r="EM76" i="13" s="1"/>
  <c r="EK75" i="13"/>
  <c r="EJ76" i="13"/>
  <c r="AM76" i="13"/>
  <c r="BT76" i="13" s="1"/>
  <c r="L77" i="13"/>
  <c r="AN77" i="13" s="1"/>
  <c r="AQ77" i="13" s="1"/>
  <c r="BU77" i="13" s="1"/>
  <c r="CG76" i="13"/>
  <c r="M77" i="13"/>
  <c r="AP76" i="13"/>
  <c r="AS76" i="13" s="1"/>
  <c r="DV76" i="13" s="1"/>
  <c r="DZ76" i="13" s="1"/>
  <c r="ED76" i="13" s="1"/>
  <c r="K77" i="13"/>
  <c r="U76" i="13"/>
  <c r="DI76" i="13" s="1"/>
  <c r="Z76" i="13"/>
  <c r="AD76" i="13" s="1"/>
  <c r="BR76" i="13" s="1"/>
  <c r="Q76" i="13"/>
  <c r="V76" i="13"/>
  <c r="CJ76" i="13"/>
  <c r="Y76" i="13"/>
  <c r="AH76" i="13"/>
  <c r="AL76" i="13" s="1"/>
  <c r="BS76" i="13" s="1"/>
  <c r="AG76" i="13"/>
  <c r="AK76" i="13" s="1"/>
  <c r="DK76" i="13" s="1"/>
  <c r="AF76" i="13"/>
  <c r="AJ76" i="13" s="1"/>
  <c r="DA76" i="13" s="1"/>
  <c r="AE76" i="13"/>
  <c r="AI76" i="13" s="1"/>
  <c r="CQ76" i="13" s="1"/>
  <c r="DZ75" i="12"/>
  <c r="CG76" i="12"/>
  <c r="W76" i="12"/>
  <c r="Y76" i="12"/>
  <c r="X76" i="12"/>
  <c r="AR76" i="12"/>
  <c r="AZ76" i="12" s="1"/>
  <c r="AM76" i="12"/>
  <c r="BT76" i="12" s="1"/>
  <c r="M77" i="12"/>
  <c r="L77" i="12"/>
  <c r="AN77" i="12" s="1"/>
  <c r="AP76" i="12"/>
  <c r="AE76" i="12"/>
  <c r="AF76" i="12"/>
  <c r="AG76" i="12"/>
  <c r="AH76" i="12"/>
  <c r="V76" i="12"/>
  <c r="R76" i="12"/>
  <c r="BQ76" i="12" s="1"/>
  <c r="T76" i="12"/>
  <c r="CY76" i="12" s="1"/>
  <c r="Q76" i="12"/>
  <c r="AY76" i="12" s="1"/>
  <c r="K77" i="12"/>
  <c r="S76" i="12"/>
  <c r="CO76" i="12" s="1"/>
  <c r="U76" i="12"/>
  <c r="DI76" i="12" s="1"/>
  <c r="T177" i="3"/>
  <c r="N582" i="3"/>
  <c r="T582" i="3" s="1"/>
  <c r="N379" i="3"/>
  <c r="T379" i="3" s="1"/>
  <c r="J580" i="3"/>
  <c r="J377" i="3"/>
  <c r="R175" i="3"/>
  <c r="H580" i="3"/>
  <c r="H377" i="3"/>
  <c r="R377" i="3" s="1"/>
  <c r="Z580" i="3"/>
  <c r="W173" i="3"/>
  <c r="Y173" i="3"/>
  <c r="AA579" i="3"/>
  <c r="G579" i="3"/>
  <c r="D377" i="3"/>
  <c r="D580" i="3"/>
  <c r="C378" i="3"/>
  <c r="C581" i="3"/>
  <c r="M379" i="3"/>
  <c r="S379" i="3" s="1"/>
  <c r="M582" i="3"/>
  <c r="S582" i="3" s="1"/>
  <c r="Z377" i="3"/>
  <c r="AA376" i="3"/>
  <c r="G377" i="3"/>
  <c r="Z174" i="3"/>
  <c r="AA173" i="3"/>
  <c r="T45" i="13" s="1"/>
  <c r="CY45" i="13" s="1"/>
  <c r="G174" i="3"/>
  <c r="D175" i="3"/>
  <c r="D170" i="10" s="1"/>
  <c r="H170" i="10" s="1"/>
  <c r="C176" i="3"/>
  <c r="C171" i="10" s="1"/>
  <c r="G171" i="10" s="1"/>
  <c r="S177" i="3"/>
  <c r="R580" i="3" l="1"/>
  <c r="Y376" i="3"/>
  <c r="W376" i="3"/>
  <c r="Y579" i="3"/>
  <c r="AD579" i="3" s="1"/>
  <c r="W579" i="3"/>
  <c r="BO25" i="12"/>
  <c r="DL25" i="12" s="1"/>
  <c r="BM25" i="12"/>
  <c r="CR25" i="12" s="1"/>
  <c r="BL25" i="12"/>
  <c r="BW25" i="12" s="1"/>
  <c r="BN25" i="12"/>
  <c r="DB25" i="12" s="1"/>
  <c r="CM25" i="13"/>
  <c r="CL25" i="13"/>
  <c r="BB26" i="13" s="1"/>
  <c r="AY76" i="13"/>
  <c r="EF77" i="13"/>
  <c r="EL77" i="13" s="1"/>
  <c r="FE77" i="13" s="1"/>
  <c r="N77" i="13"/>
  <c r="AO77" i="13"/>
  <c r="AR77" i="13" s="1"/>
  <c r="AZ77" i="13" s="1"/>
  <c r="AC76" i="13"/>
  <c r="DJ76" i="13" s="1"/>
  <c r="ED75" i="12"/>
  <c r="AD376" i="3"/>
  <c r="AD173" i="3"/>
  <c r="AB76" i="12"/>
  <c r="CZ76" i="12" s="1"/>
  <c r="AD76" i="12"/>
  <c r="BR76" i="12" s="1"/>
  <c r="AA76" i="12"/>
  <c r="CP76" i="12" s="1"/>
  <c r="AC76" i="12"/>
  <c r="DJ76" i="12" s="1"/>
  <c r="AQ77" i="12"/>
  <c r="BU77" i="12" s="1"/>
  <c r="AS76" i="12"/>
  <c r="DV76" i="12" s="1"/>
  <c r="AO77" i="12"/>
  <c r="AI76" i="12"/>
  <c r="CQ76" i="12" s="1"/>
  <c r="AJ76" i="12"/>
  <c r="DA76" i="12" s="1"/>
  <c r="AK76" i="12"/>
  <c r="DK76" i="12" s="1"/>
  <c r="AL76" i="12"/>
  <c r="BS76" i="12" s="1"/>
  <c r="N77" i="12"/>
  <c r="Z77" i="12" s="1"/>
  <c r="T178" i="3"/>
  <c r="N583" i="3"/>
  <c r="T583" i="3" s="1"/>
  <c r="N380" i="3"/>
  <c r="T380" i="3" s="1"/>
  <c r="J581" i="3"/>
  <c r="J378" i="3"/>
  <c r="R176" i="3"/>
  <c r="H581" i="3"/>
  <c r="R581" i="3" s="1"/>
  <c r="Y581" i="3" s="1"/>
  <c r="H378" i="3"/>
  <c r="Z581" i="3"/>
  <c r="Y174" i="3"/>
  <c r="G580" i="3"/>
  <c r="D378" i="3"/>
  <c r="G378" i="3" s="1"/>
  <c r="D581" i="3"/>
  <c r="G581" i="3" s="1"/>
  <c r="C379" i="3"/>
  <c r="C582" i="3"/>
  <c r="M380" i="3"/>
  <c r="S380" i="3" s="1"/>
  <c r="M583" i="3"/>
  <c r="S583" i="3" s="1"/>
  <c r="AA377" i="3"/>
  <c r="W377" i="3"/>
  <c r="AA378" i="3"/>
  <c r="Z378" i="3"/>
  <c r="AA174" i="3"/>
  <c r="W174" i="3"/>
  <c r="Z175" i="3"/>
  <c r="G175" i="3"/>
  <c r="Z176" i="3"/>
  <c r="D176" i="3"/>
  <c r="D171" i="10" s="1"/>
  <c r="H171" i="10" s="1"/>
  <c r="C177" i="3"/>
  <c r="S178" i="3"/>
  <c r="C172" i="10" l="1"/>
  <c r="G172" i="10" s="1"/>
  <c r="W46" i="13"/>
  <c r="R378" i="3"/>
  <c r="Y580" i="3"/>
  <c r="W580" i="3"/>
  <c r="DM25" i="12"/>
  <c r="DQ25" i="12" s="1"/>
  <c r="CS25" i="12"/>
  <c r="CW25" i="12" s="1"/>
  <c r="BX25" i="12"/>
  <c r="CE25" i="12" s="1"/>
  <c r="DC25" i="12"/>
  <c r="DG25" i="12" s="1"/>
  <c r="BE26" i="13"/>
  <c r="BD26" i="13"/>
  <c r="EQ26" i="13" s="1"/>
  <c r="ES26" i="13" s="1"/>
  <c r="ER77" i="13"/>
  <c r="EG77" i="13"/>
  <c r="EM77" i="13" s="1"/>
  <c r="EK76" i="13"/>
  <c r="EJ77" i="13"/>
  <c r="AM77" i="13"/>
  <c r="BT77" i="13" s="1"/>
  <c r="AP77" i="13"/>
  <c r="AS77" i="13" s="1"/>
  <c r="DV77" i="13" s="1"/>
  <c r="DZ77" i="13" s="1"/>
  <c r="ED77" i="13" s="1"/>
  <c r="K78" i="13"/>
  <c r="M78" i="13"/>
  <c r="L78" i="13"/>
  <c r="AN78" i="13" s="1"/>
  <c r="AQ78" i="13" s="1"/>
  <c r="BU78" i="13" s="1"/>
  <c r="CG77" i="13"/>
  <c r="U77" i="13"/>
  <c r="DI77" i="13" s="1"/>
  <c r="Z77" i="13"/>
  <c r="CJ77" i="13"/>
  <c r="V77" i="13"/>
  <c r="Y77" i="13"/>
  <c r="Q77" i="13"/>
  <c r="AH77" i="13"/>
  <c r="AL77" i="13" s="1"/>
  <c r="BS77" i="13" s="1"/>
  <c r="AG77" i="13"/>
  <c r="AK77" i="13" s="1"/>
  <c r="DK77" i="13" s="1"/>
  <c r="AF77" i="13"/>
  <c r="AJ77" i="13" s="1"/>
  <c r="DA77" i="13" s="1"/>
  <c r="AE77" i="13"/>
  <c r="AI77" i="13" s="1"/>
  <c r="CQ77" i="13" s="1"/>
  <c r="DZ76" i="12"/>
  <c r="CJ77" i="12"/>
  <c r="CG77" i="12"/>
  <c r="Y77" i="12"/>
  <c r="W77" i="12"/>
  <c r="X77" i="12"/>
  <c r="AR77" i="12"/>
  <c r="AZ77" i="12" s="1"/>
  <c r="AM77" i="12"/>
  <c r="BT77" i="12" s="1"/>
  <c r="M78" i="12"/>
  <c r="L78" i="12"/>
  <c r="AN78" i="12" s="1"/>
  <c r="AP77" i="12"/>
  <c r="AE77" i="12"/>
  <c r="AF77" i="12"/>
  <c r="AG77" i="12"/>
  <c r="AH77" i="12"/>
  <c r="U77" i="12"/>
  <c r="DI77" i="12" s="1"/>
  <c r="S77" i="12"/>
  <c r="CO77" i="12" s="1"/>
  <c r="T77" i="12"/>
  <c r="CY77" i="12" s="1"/>
  <c r="Q77" i="12"/>
  <c r="AY77" i="12" s="1"/>
  <c r="V77" i="12"/>
  <c r="R77" i="12"/>
  <c r="BQ77" i="12" s="1"/>
  <c r="K78" i="12"/>
  <c r="T179" i="3"/>
  <c r="N584" i="3"/>
  <c r="T584" i="3" s="1"/>
  <c r="N381" i="3"/>
  <c r="T381" i="3" s="1"/>
  <c r="J582" i="3"/>
  <c r="J379" i="3"/>
  <c r="R177" i="3"/>
  <c r="Y176" i="3"/>
  <c r="H582" i="3"/>
  <c r="R582" i="3" s="1"/>
  <c r="Y582" i="3" s="1"/>
  <c r="H379" i="3"/>
  <c r="W581" i="3"/>
  <c r="Y377" i="3"/>
  <c r="AD377" i="3" s="1"/>
  <c r="AA581" i="3"/>
  <c r="AD581" i="3" s="1"/>
  <c r="AA580" i="3"/>
  <c r="AD580" i="3" s="1"/>
  <c r="Z582" i="3"/>
  <c r="AD174" i="3"/>
  <c r="W175" i="3"/>
  <c r="Y175" i="3"/>
  <c r="R48" i="13" s="1"/>
  <c r="BQ48" i="13" s="1"/>
  <c r="D379" i="3"/>
  <c r="D582" i="3"/>
  <c r="C380" i="3"/>
  <c r="C583" i="3"/>
  <c r="M381" i="3"/>
  <c r="S381" i="3" s="1"/>
  <c r="M584" i="3"/>
  <c r="S584" i="3" s="1"/>
  <c r="Z379" i="3"/>
  <c r="G379" i="3"/>
  <c r="Z380" i="3"/>
  <c r="AA175" i="3"/>
  <c r="G176" i="3"/>
  <c r="D177" i="3"/>
  <c r="C178" i="3"/>
  <c r="C173" i="10" s="1"/>
  <c r="G173" i="10" s="1"/>
  <c r="S179" i="3"/>
  <c r="AA46" i="13" l="1"/>
  <c r="CP46" i="13" s="1"/>
  <c r="D172" i="10"/>
  <c r="H172" i="10" s="1"/>
  <c r="X46" i="13"/>
  <c r="R379" i="3"/>
  <c r="Y378" i="3"/>
  <c r="AD378" i="3" s="1"/>
  <c r="W378" i="3"/>
  <c r="AD175" i="3"/>
  <c r="DU25" i="12"/>
  <c r="DY25" i="12" s="1"/>
  <c r="EC25" i="12" s="1"/>
  <c r="DO25" i="12"/>
  <c r="DP25" i="12"/>
  <c r="DN25" i="12"/>
  <c r="DS25" i="12"/>
  <c r="DW25" i="12" s="1"/>
  <c r="EA25" i="12" s="1"/>
  <c r="CV25" i="12"/>
  <c r="CU25" i="12"/>
  <c r="CT25" i="12"/>
  <c r="CD25" i="12"/>
  <c r="CA25" i="12"/>
  <c r="CC25" i="12"/>
  <c r="BY25" i="12"/>
  <c r="CH25" i="12"/>
  <c r="BZ25" i="12"/>
  <c r="CI25" i="12"/>
  <c r="CK25" i="12" s="1"/>
  <c r="CB25" i="12"/>
  <c r="DT25" i="12"/>
  <c r="DX25" i="12" s="1"/>
  <c r="EB25" i="12" s="1"/>
  <c r="DD25" i="12"/>
  <c r="DE25" i="12"/>
  <c r="DF25" i="12"/>
  <c r="EV26" i="13"/>
  <c r="EY26" i="13" s="1"/>
  <c r="FB26" i="13" s="1"/>
  <c r="FF26" i="13" s="1"/>
  <c r="EU26" i="13"/>
  <c r="EX26" i="13" s="1"/>
  <c r="FA26" i="13" s="1"/>
  <c r="ET26" i="13"/>
  <c r="EW26" i="13" s="1"/>
  <c r="EZ26" i="13" s="1"/>
  <c r="BC26" i="13"/>
  <c r="AY77" i="13"/>
  <c r="EF78" i="13"/>
  <c r="EL78" i="13" s="1"/>
  <c r="FE78" i="13" s="1"/>
  <c r="N78" i="13"/>
  <c r="AO78" i="13"/>
  <c r="AR78" i="13" s="1"/>
  <c r="AZ78" i="13" s="1"/>
  <c r="AD77" i="13"/>
  <c r="BR77" i="13" s="1"/>
  <c r="AC77" i="13"/>
  <c r="DJ77" i="13" s="1"/>
  <c r="ED76" i="12"/>
  <c r="AC77" i="12"/>
  <c r="DJ77" i="12" s="1"/>
  <c r="AD77" i="12"/>
  <c r="BR77" i="12" s="1"/>
  <c r="AA77" i="12"/>
  <c r="CP77" i="12" s="1"/>
  <c r="AB77" i="12"/>
  <c r="CZ77" i="12" s="1"/>
  <c r="AQ78" i="12"/>
  <c r="BU78" i="12" s="1"/>
  <c r="AS77" i="12"/>
  <c r="DV77" i="12" s="1"/>
  <c r="AO78" i="12"/>
  <c r="AI77" i="12"/>
  <c r="CQ77" i="12" s="1"/>
  <c r="AJ77" i="12"/>
  <c r="DA77" i="12" s="1"/>
  <c r="AK77" i="12"/>
  <c r="DK77" i="12" s="1"/>
  <c r="AL77" i="12"/>
  <c r="BS77" i="12" s="1"/>
  <c r="N78" i="12"/>
  <c r="Z78" i="12" s="1"/>
  <c r="T180" i="3"/>
  <c r="N585" i="3"/>
  <c r="T585" i="3" s="1"/>
  <c r="N382" i="3"/>
  <c r="T382" i="3" s="1"/>
  <c r="J583" i="3"/>
  <c r="J380" i="3"/>
  <c r="R178" i="3"/>
  <c r="H583" i="3"/>
  <c r="H380" i="3"/>
  <c r="W582" i="3"/>
  <c r="Z583" i="3"/>
  <c r="Y379" i="3"/>
  <c r="G582" i="3"/>
  <c r="D380" i="3"/>
  <c r="G380" i="3" s="1"/>
  <c r="D583" i="3"/>
  <c r="C381" i="3"/>
  <c r="C584" i="3"/>
  <c r="M382" i="3"/>
  <c r="S382" i="3" s="1"/>
  <c r="M585" i="3"/>
  <c r="S585" i="3" s="1"/>
  <c r="W379" i="3"/>
  <c r="AA379" i="3"/>
  <c r="AA380" i="3"/>
  <c r="W176" i="3"/>
  <c r="AA176" i="3"/>
  <c r="AD176" i="3" s="1"/>
  <c r="Z177" i="3"/>
  <c r="S46" i="13" s="1"/>
  <c r="CO46" i="13" s="1"/>
  <c r="G177" i="3"/>
  <c r="D178" i="3"/>
  <c r="D173" i="10" s="1"/>
  <c r="H173" i="10" s="1"/>
  <c r="C179" i="3"/>
  <c r="C174" i="10" s="1"/>
  <c r="G174" i="10" s="1"/>
  <c r="S180" i="3"/>
  <c r="FD25" i="12" l="1"/>
  <c r="FG25" i="12" s="1"/>
  <c r="AB46" i="13"/>
  <c r="CZ46" i="13" s="1"/>
  <c r="R583" i="3"/>
  <c r="R380" i="3"/>
  <c r="CL25" i="12"/>
  <c r="BB26" i="12" s="1"/>
  <c r="CM25" i="12"/>
  <c r="BF26" i="13"/>
  <c r="BK26" i="13"/>
  <c r="BH26" i="13"/>
  <c r="BG26" i="13"/>
  <c r="BI26" i="13"/>
  <c r="ER78" i="13"/>
  <c r="EG78" i="13"/>
  <c r="EM78" i="13" s="1"/>
  <c r="EK77" i="13"/>
  <c r="EJ78" i="13"/>
  <c r="AP78" i="13"/>
  <c r="AS78" i="13" s="1"/>
  <c r="DV78" i="13" s="1"/>
  <c r="DZ78" i="13" s="1"/>
  <c r="ED78" i="13" s="1"/>
  <c r="M79" i="13"/>
  <c r="K79" i="13"/>
  <c r="CG78" i="13"/>
  <c r="L79" i="13"/>
  <c r="AN79" i="13" s="1"/>
  <c r="AQ79" i="13" s="1"/>
  <c r="BU79" i="13" s="1"/>
  <c r="AM78" i="13"/>
  <c r="BT78" i="13" s="1"/>
  <c r="Q78" i="13"/>
  <c r="CJ78" i="13"/>
  <c r="V78" i="13"/>
  <c r="Y78" i="13"/>
  <c r="AC78" i="13" s="1"/>
  <c r="DJ78" i="13" s="1"/>
  <c r="U78" i="13"/>
  <c r="DI78" i="13" s="1"/>
  <c r="Z78" i="13"/>
  <c r="AH78" i="13"/>
  <c r="AL78" i="13" s="1"/>
  <c r="BS78" i="13" s="1"/>
  <c r="AG78" i="13"/>
  <c r="AK78" i="13" s="1"/>
  <c r="DK78" i="13" s="1"/>
  <c r="AF78" i="13"/>
  <c r="AJ78" i="13" s="1"/>
  <c r="DA78" i="13" s="1"/>
  <c r="AE78" i="13"/>
  <c r="AI78" i="13" s="1"/>
  <c r="CQ78" i="13" s="1"/>
  <c r="DZ77" i="12"/>
  <c r="CJ78" i="12"/>
  <c r="CG78" i="12"/>
  <c r="Y78" i="12"/>
  <c r="W78" i="12"/>
  <c r="X78" i="12"/>
  <c r="AR78" i="12"/>
  <c r="AZ78" i="12" s="1"/>
  <c r="AM78" i="12"/>
  <c r="BT78" i="12" s="1"/>
  <c r="M79" i="12"/>
  <c r="L79" i="12"/>
  <c r="AN79" i="12" s="1"/>
  <c r="AP78" i="12"/>
  <c r="AE78" i="12"/>
  <c r="AF78" i="12"/>
  <c r="AG78" i="12"/>
  <c r="AH78" i="12"/>
  <c r="R78" i="12"/>
  <c r="BQ78" i="12" s="1"/>
  <c r="T78" i="12"/>
  <c r="CY78" i="12" s="1"/>
  <c r="U78" i="12"/>
  <c r="DI78" i="12" s="1"/>
  <c r="Q78" i="12"/>
  <c r="AY78" i="12" s="1"/>
  <c r="V78" i="12"/>
  <c r="S78" i="12"/>
  <c r="CO78" i="12" s="1"/>
  <c r="K79" i="12"/>
  <c r="T181" i="3"/>
  <c r="N586" i="3"/>
  <c r="T586" i="3" s="1"/>
  <c r="N383" i="3"/>
  <c r="T383" i="3" s="1"/>
  <c r="J584" i="3"/>
  <c r="J381" i="3"/>
  <c r="R179" i="3"/>
  <c r="H584" i="3"/>
  <c r="H381" i="3"/>
  <c r="AA583" i="3"/>
  <c r="AA582" i="3"/>
  <c r="AD582" i="3" s="1"/>
  <c r="Z584" i="3"/>
  <c r="AD379" i="3"/>
  <c r="W177" i="3"/>
  <c r="Y177" i="3"/>
  <c r="G583" i="3"/>
  <c r="D381" i="3"/>
  <c r="D584" i="3"/>
  <c r="C382" i="3"/>
  <c r="C585" i="3"/>
  <c r="M383" i="3"/>
  <c r="S383" i="3" s="1"/>
  <c r="M586" i="3"/>
  <c r="S586" i="3" s="1"/>
  <c r="Z381" i="3"/>
  <c r="G381" i="3"/>
  <c r="AA381" i="3"/>
  <c r="Z382" i="3"/>
  <c r="Z178" i="3"/>
  <c r="AA177" i="3"/>
  <c r="T46" i="13" s="1"/>
  <c r="CY46" i="13" s="1"/>
  <c r="G178" i="3"/>
  <c r="D179" i="3"/>
  <c r="D174" i="10" s="1"/>
  <c r="H174" i="10" s="1"/>
  <c r="C180" i="3"/>
  <c r="C175" i="10" s="1"/>
  <c r="G175" i="10" s="1"/>
  <c r="S181" i="3"/>
  <c r="BE26" i="12" l="1"/>
  <c r="R584" i="3"/>
  <c r="R381" i="3"/>
  <c r="W381" i="3" s="1"/>
  <c r="Y583" i="3"/>
  <c r="AD583" i="3" s="1"/>
  <c r="W583" i="3"/>
  <c r="Y380" i="3"/>
  <c r="AD380" i="3" s="1"/>
  <c r="W380" i="3"/>
  <c r="BO26" i="13"/>
  <c r="DL26" i="13" s="1"/>
  <c r="BL26" i="13"/>
  <c r="BW26" i="13" s="1"/>
  <c r="BN26" i="13"/>
  <c r="DB26" i="13" s="1"/>
  <c r="DC26" i="13" s="1"/>
  <c r="BM26" i="13"/>
  <c r="CR26" i="13" s="1"/>
  <c r="AY78" i="13"/>
  <c r="N79" i="13"/>
  <c r="EF79" i="13"/>
  <c r="EL79" i="13" s="1"/>
  <c r="FE79" i="13" s="1"/>
  <c r="AO79" i="13"/>
  <c r="AR79" i="13" s="1"/>
  <c r="AZ79" i="13" s="1"/>
  <c r="AD78" i="13"/>
  <c r="BR78" i="13" s="1"/>
  <c r="ED77" i="12"/>
  <c r="AD177" i="3"/>
  <c r="AD78" i="12"/>
  <c r="BR78" i="12" s="1"/>
  <c r="AB78" i="12"/>
  <c r="CZ78" i="12" s="1"/>
  <c r="AC78" i="12"/>
  <c r="DJ78" i="12" s="1"/>
  <c r="AA78" i="12"/>
  <c r="CP78" i="12" s="1"/>
  <c r="AQ79" i="12"/>
  <c r="BU79" i="12" s="1"/>
  <c r="AS78" i="12"/>
  <c r="DV78" i="12" s="1"/>
  <c r="AO79" i="12"/>
  <c r="AI78" i="12"/>
  <c r="CQ78" i="12" s="1"/>
  <c r="AJ78" i="12"/>
  <c r="DA78" i="12" s="1"/>
  <c r="AK78" i="12"/>
  <c r="DK78" i="12" s="1"/>
  <c r="AL78" i="12"/>
  <c r="BS78" i="12" s="1"/>
  <c r="N79" i="12"/>
  <c r="Z79" i="12" s="1"/>
  <c r="T182" i="3"/>
  <c r="N587" i="3"/>
  <c r="T587" i="3" s="1"/>
  <c r="N384" i="3"/>
  <c r="T384" i="3" s="1"/>
  <c r="J585" i="3"/>
  <c r="J382" i="3"/>
  <c r="R180" i="3"/>
  <c r="H585" i="3"/>
  <c r="H382" i="3"/>
  <c r="Z585" i="3"/>
  <c r="Y178" i="3"/>
  <c r="Y179" i="3"/>
  <c r="R49" i="13" s="1"/>
  <c r="BQ49" i="13" s="1"/>
  <c r="G584" i="3"/>
  <c r="D382" i="3"/>
  <c r="G382" i="3" s="1"/>
  <c r="D585" i="3"/>
  <c r="C383" i="3"/>
  <c r="C586" i="3"/>
  <c r="M384" i="3"/>
  <c r="S384" i="3" s="1"/>
  <c r="M587" i="3"/>
  <c r="S587" i="3" s="1"/>
  <c r="AA382" i="3"/>
  <c r="W178" i="3"/>
  <c r="AA178" i="3"/>
  <c r="Z179" i="3"/>
  <c r="W179" i="3"/>
  <c r="G179" i="3"/>
  <c r="D180" i="3"/>
  <c r="D175" i="10" s="1"/>
  <c r="H175" i="10" s="1"/>
  <c r="C181" i="3"/>
  <c r="S182" i="3"/>
  <c r="C176" i="10" l="1"/>
  <c r="G176" i="10" s="1"/>
  <c r="W47" i="13"/>
  <c r="R585" i="3"/>
  <c r="R382" i="3"/>
  <c r="W382" i="3" s="1"/>
  <c r="BC26" i="12"/>
  <c r="DM26" i="13"/>
  <c r="DQ26" i="13" s="1"/>
  <c r="BX26" i="13"/>
  <c r="CE26" i="13" s="1"/>
  <c r="DT26" i="13"/>
  <c r="DX26" i="13" s="1"/>
  <c r="EB26" i="13" s="1"/>
  <c r="DF26" i="13"/>
  <c r="DD26" i="13"/>
  <c r="DE26" i="13"/>
  <c r="DG26" i="13"/>
  <c r="CS26" i="13"/>
  <c r="CW26" i="13" s="1"/>
  <c r="ER79" i="13"/>
  <c r="EG79" i="13"/>
  <c r="EM79" i="13" s="1"/>
  <c r="EK78" i="13"/>
  <c r="EJ79" i="13"/>
  <c r="AP79" i="13"/>
  <c r="AS79" i="13" s="1"/>
  <c r="DV79" i="13" s="1"/>
  <c r="DZ79" i="13" s="1"/>
  <c r="ED79" i="13" s="1"/>
  <c r="CG79" i="13"/>
  <c r="M80" i="13"/>
  <c r="Y79" i="13"/>
  <c r="AC79" i="13" s="1"/>
  <c r="DJ79" i="13" s="1"/>
  <c r="CJ79" i="13"/>
  <c r="AH79" i="13"/>
  <c r="AL79" i="13" s="1"/>
  <c r="BS79" i="13" s="1"/>
  <c r="L80" i="13"/>
  <c r="AN80" i="13" s="1"/>
  <c r="AQ80" i="13" s="1"/>
  <c r="BU80" i="13" s="1"/>
  <c r="K80" i="13"/>
  <c r="AM79" i="13"/>
  <c r="BT79" i="13" s="1"/>
  <c r="V79" i="13"/>
  <c r="U79" i="13"/>
  <c r="DI79" i="13" s="1"/>
  <c r="Z79" i="13"/>
  <c r="Q79" i="13"/>
  <c r="AG79" i="13"/>
  <c r="AK79" i="13" s="1"/>
  <c r="DK79" i="13" s="1"/>
  <c r="AF79" i="13"/>
  <c r="AJ79" i="13" s="1"/>
  <c r="DA79" i="13" s="1"/>
  <c r="AE79" i="13"/>
  <c r="AI79" i="13" s="1"/>
  <c r="CQ79" i="13" s="1"/>
  <c r="DZ78" i="12"/>
  <c r="CJ79" i="12"/>
  <c r="CG79" i="12"/>
  <c r="X79" i="12"/>
  <c r="W79" i="12"/>
  <c r="Y79" i="12"/>
  <c r="AR79" i="12"/>
  <c r="AZ79" i="12" s="1"/>
  <c r="AM79" i="12"/>
  <c r="BT79" i="12" s="1"/>
  <c r="M80" i="12"/>
  <c r="L80" i="12"/>
  <c r="AN80" i="12" s="1"/>
  <c r="AP79" i="12"/>
  <c r="AE79" i="12"/>
  <c r="AF79" i="12"/>
  <c r="AG79" i="12"/>
  <c r="AH79" i="12"/>
  <c r="K80" i="12"/>
  <c r="R79" i="12"/>
  <c r="BQ79" i="12" s="1"/>
  <c r="Q79" i="12"/>
  <c r="AY79" i="12" s="1"/>
  <c r="U79" i="12"/>
  <c r="DI79" i="12" s="1"/>
  <c r="V79" i="12"/>
  <c r="S79" i="12"/>
  <c r="CO79" i="12" s="1"/>
  <c r="T79" i="12"/>
  <c r="CY79" i="12" s="1"/>
  <c r="T183" i="3"/>
  <c r="N588" i="3"/>
  <c r="T588" i="3" s="1"/>
  <c r="N385" i="3"/>
  <c r="T385" i="3" s="1"/>
  <c r="J586" i="3"/>
  <c r="J383" i="3"/>
  <c r="R181" i="3"/>
  <c r="H586" i="3"/>
  <c r="R586" i="3" s="1"/>
  <c r="Y586" i="3" s="1"/>
  <c r="H383" i="3"/>
  <c r="W585" i="3"/>
  <c r="Y585" i="3"/>
  <c r="W584" i="3"/>
  <c r="Y584" i="3"/>
  <c r="Y382" i="3"/>
  <c r="AD382" i="3" s="1"/>
  <c r="Y381" i="3"/>
  <c r="AD381" i="3" s="1"/>
  <c r="AA585" i="3"/>
  <c r="AA584" i="3"/>
  <c r="Z586" i="3"/>
  <c r="AD178" i="3"/>
  <c r="G585" i="3"/>
  <c r="D383" i="3"/>
  <c r="G383" i="3" s="1"/>
  <c r="D586" i="3"/>
  <c r="G586" i="3" s="1"/>
  <c r="C384" i="3"/>
  <c r="C587" i="3"/>
  <c r="M385" i="3"/>
  <c r="S385" i="3" s="1"/>
  <c r="M588" i="3"/>
  <c r="S588" i="3" s="1"/>
  <c r="Z383" i="3"/>
  <c r="AA383" i="3"/>
  <c r="Z180" i="3"/>
  <c r="AA179" i="3"/>
  <c r="AD179" i="3" s="1"/>
  <c r="G180" i="3"/>
  <c r="D181" i="3"/>
  <c r="C182" i="3"/>
  <c r="C177" i="10" s="1"/>
  <c r="G177" i="10" s="1"/>
  <c r="S183" i="3"/>
  <c r="AA47" i="13" l="1"/>
  <c r="CP47" i="13" s="1"/>
  <c r="D176" i="10"/>
  <c r="H176" i="10" s="1"/>
  <c r="X47" i="13"/>
  <c r="R383" i="3"/>
  <c r="Y383" i="3" s="1"/>
  <c r="BH26" i="12"/>
  <c r="BK26" i="12"/>
  <c r="BF26" i="12"/>
  <c r="BG26" i="12"/>
  <c r="BI26" i="12"/>
  <c r="DN26" i="13"/>
  <c r="DO26" i="13"/>
  <c r="DU26" i="13"/>
  <c r="DY26" i="13" s="1"/>
  <c r="EC26" i="13" s="1"/>
  <c r="FD26" i="13" s="1"/>
  <c r="FG26" i="13" s="1"/>
  <c r="DP26" i="13"/>
  <c r="CD26" i="13"/>
  <c r="CA26" i="13"/>
  <c r="CC26" i="13"/>
  <c r="CH26" i="13"/>
  <c r="CI26" i="13"/>
  <c r="CK26" i="13" s="1"/>
  <c r="BZ26" i="13"/>
  <c r="CB26" i="13"/>
  <c r="BY26" i="13"/>
  <c r="CU26" i="13"/>
  <c r="CV26" i="13"/>
  <c r="CT26" i="13"/>
  <c r="DS26" i="13"/>
  <c r="DW26" i="13" s="1"/>
  <c r="EA26" i="13" s="1"/>
  <c r="AY79" i="13"/>
  <c r="EF80" i="13"/>
  <c r="EL80" i="13" s="1"/>
  <c r="FE80" i="13" s="1"/>
  <c r="N80" i="13"/>
  <c r="AO80" i="13"/>
  <c r="AR80" i="13" s="1"/>
  <c r="AZ80" i="13" s="1"/>
  <c r="AD79" i="13"/>
  <c r="BR79" i="13" s="1"/>
  <c r="ED78" i="12"/>
  <c r="AD383" i="3"/>
  <c r="AA79" i="12"/>
  <c r="CP79" i="12" s="1"/>
  <c r="AC79" i="12"/>
  <c r="DJ79" i="12" s="1"/>
  <c r="AD79" i="12"/>
  <c r="BR79" i="12" s="1"/>
  <c r="AB79" i="12"/>
  <c r="CZ79" i="12" s="1"/>
  <c r="AQ80" i="12"/>
  <c r="BU80" i="12" s="1"/>
  <c r="AS79" i="12"/>
  <c r="DV79" i="12" s="1"/>
  <c r="AO80" i="12"/>
  <c r="AI79" i="12"/>
  <c r="CQ79" i="12" s="1"/>
  <c r="AJ79" i="12"/>
  <c r="DA79" i="12" s="1"/>
  <c r="AK79" i="12"/>
  <c r="DK79" i="12" s="1"/>
  <c r="AL79" i="12"/>
  <c r="BS79" i="12" s="1"/>
  <c r="N80" i="12"/>
  <c r="Z80" i="12" s="1"/>
  <c r="T184" i="3"/>
  <c r="N589" i="3"/>
  <c r="T589" i="3" s="1"/>
  <c r="N386" i="3"/>
  <c r="T386" i="3" s="1"/>
  <c r="J587" i="3"/>
  <c r="J384" i="3"/>
  <c r="R182" i="3"/>
  <c r="H587" i="3"/>
  <c r="R587" i="3" s="1"/>
  <c r="Y587" i="3" s="1"/>
  <c r="H384" i="3"/>
  <c r="W586" i="3"/>
  <c r="AA586" i="3"/>
  <c r="AD586" i="3" s="1"/>
  <c r="Z587" i="3"/>
  <c r="AD585" i="3"/>
  <c r="AD584" i="3"/>
  <c r="Y180" i="3"/>
  <c r="D384" i="3"/>
  <c r="G384" i="3" s="1"/>
  <c r="D587" i="3"/>
  <c r="C385" i="3"/>
  <c r="C588" i="3"/>
  <c r="M386" i="3"/>
  <c r="S386" i="3" s="1"/>
  <c r="M589" i="3"/>
  <c r="S589" i="3" s="1"/>
  <c r="W383" i="3"/>
  <c r="Z384" i="3"/>
  <c r="AA384" i="3"/>
  <c r="AA180" i="3"/>
  <c r="W180" i="3"/>
  <c r="Z181" i="3"/>
  <c r="S47" i="13" s="1"/>
  <c r="CO47" i="13" s="1"/>
  <c r="G181" i="3"/>
  <c r="D182" i="3"/>
  <c r="D177" i="10" s="1"/>
  <c r="H177" i="10" s="1"/>
  <c r="C183" i="3"/>
  <c r="C178" i="10" s="1"/>
  <c r="G178" i="10" s="1"/>
  <c r="S184" i="3"/>
  <c r="AB47" i="13" l="1"/>
  <c r="CZ47" i="13" s="1"/>
  <c r="R384" i="3"/>
  <c r="BL26" i="12"/>
  <c r="BW26" i="12" s="1"/>
  <c r="BX26" i="12" s="1"/>
  <c r="BN26" i="12"/>
  <c r="DB26" i="12" s="1"/>
  <c r="DC26" i="12" s="1"/>
  <c r="BM26" i="12"/>
  <c r="CR26" i="12" s="1"/>
  <c r="CS26" i="12" s="1"/>
  <c r="BO26" i="12"/>
  <c r="DL26" i="12" s="1"/>
  <c r="DM26" i="12" s="1"/>
  <c r="CM26" i="13"/>
  <c r="CL26" i="13"/>
  <c r="BB27" i="13" s="1"/>
  <c r="ER80" i="13"/>
  <c r="EG80" i="13"/>
  <c r="EM80" i="13" s="1"/>
  <c r="EK79" i="13"/>
  <c r="EJ80" i="13"/>
  <c r="U80" i="13"/>
  <c r="DI80" i="13" s="1"/>
  <c r="CJ80" i="13"/>
  <c r="Z80" i="13"/>
  <c r="AG80" i="13"/>
  <c r="AK80" i="13" s="1"/>
  <c r="DK80" i="13" s="1"/>
  <c r="AP80" i="13"/>
  <c r="AS80" i="13" s="1"/>
  <c r="DV80" i="13" s="1"/>
  <c r="DZ80" i="13" s="1"/>
  <c r="ED80" i="13" s="1"/>
  <c r="L81" i="13"/>
  <c r="AN81" i="13" s="1"/>
  <c r="AQ81" i="13" s="1"/>
  <c r="BU81" i="13" s="1"/>
  <c r="CG80" i="13"/>
  <c r="K81" i="13"/>
  <c r="M81" i="13"/>
  <c r="AM80" i="13"/>
  <c r="BT80" i="13" s="1"/>
  <c r="Q80" i="13"/>
  <c r="V80" i="13"/>
  <c r="Y80" i="13"/>
  <c r="AC80" i="13" s="1"/>
  <c r="DJ80" i="13" s="1"/>
  <c r="AH80" i="13"/>
  <c r="AL80" i="13" s="1"/>
  <c r="BS80" i="13" s="1"/>
  <c r="AF80" i="13"/>
  <c r="AJ80" i="13" s="1"/>
  <c r="DA80" i="13" s="1"/>
  <c r="AE80" i="13"/>
  <c r="AI80" i="13" s="1"/>
  <c r="CQ80" i="13" s="1"/>
  <c r="DZ79" i="12"/>
  <c r="AD180" i="3"/>
  <c r="CJ80" i="12"/>
  <c r="CG80" i="12"/>
  <c r="W80" i="12"/>
  <c r="Y80" i="12"/>
  <c r="X80" i="12"/>
  <c r="AR80" i="12"/>
  <c r="AZ80" i="12" s="1"/>
  <c r="AM80" i="12"/>
  <c r="BT80" i="12" s="1"/>
  <c r="M81" i="12"/>
  <c r="L81" i="12"/>
  <c r="AN81" i="12" s="1"/>
  <c r="AP80" i="12"/>
  <c r="AE80" i="12"/>
  <c r="AF80" i="12"/>
  <c r="AG80" i="12"/>
  <c r="AH80" i="12"/>
  <c r="Q80" i="12"/>
  <c r="AY80" i="12" s="1"/>
  <c r="K81" i="12"/>
  <c r="V80" i="12"/>
  <c r="R80" i="12"/>
  <c r="BQ80" i="12" s="1"/>
  <c r="S80" i="12"/>
  <c r="CO80" i="12" s="1"/>
  <c r="T80" i="12"/>
  <c r="CY80" i="12" s="1"/>
  <c r="U80" i="12"/>
  <c r="DI80" i="12" s="1"/>
  <c r="T185" i="3"/>
  <c r="N590" i="3"/>
  <c r="T590" i="3" s="1"/>
  <c r="N387" i="3"/>
  <c r="T387" i="3" s="1"/>
  <c r="J588" i="3"/>
  <c r="J385" i="3"/>
  <c r="Y182" i="3"/>
  <c r="R183" i="3"/>
  <c r="H588" i="3"/>
  <c r="R588" i="3" s="1"/>
  <c r="Y588" i="3" s="1"/>
  <c r="H385" i="3"/>
  <c r="R385" i="3" s="1"/>
  <c r="W587" i="3"/>
  <c r="Z588" i="3"/>
  <c r="W181" i="3"/>
  <c r="Y181" i="3"/>
  <c r="AA587" i="3"/>
  <c r="AD587" i="3" s="1"/>
  <c r="G587" i="3"/>
  <c r="D385" i="3"/>
  <c r="D588" i="3"/>
  <c r="C386" i="3"/>
  <c r="C589" i="3"/>
  <c r="M387" i="3"/>
  <c r="S387" i="3" s="1"/>
  <c r="M590" i="3"/>
  <c r="S590" i="3" s="1"/>
  <c r="Z385" i="3"/>
  <c r="G385" i="3"/>
  <c r="Z386" i="3"/>
  <c r="Z182" i="3"/>
  <c r="AA181" i="3"/>
  <c r="T47" i="13" s="1"/>
  <c r="CY47" i="13" s="1"/>
  <c r="G182" i="3"/>
  <c r="D183" i="3"/>
  <c r="D178" i="10" s="1"/>
  <c r="H178" i="10" s="1"/>
  <c r="C184" i="3"/>
  <c r="C179" i="10" s="1"/>
  <c r="G179" i="10" s="1"/>
  <c r="S185" i="3"/>
  <c r="CD26" i="12" l="1"/>
  <c r="CB26" i="12"/>
  <c r="CI26" i="12"/>
  <c r="CK26" i="12" s="1"/>
  <c r="BY26" i="12"/>
  <c r="CA26" i="12"/>
  <c r="BZ26" i="12"/>
  <c r="CC26" i="12"/>
  <c r="CH26" i="12"/>
  <c r="CE26" i="12"/>
  <c r="DF26" i="12"/>
  <c r="DE26" i="12"/>
  <c r="DD26" i="12"/>
  <c r="DT26" i="12"/>
  <c r="DX26" i="12" s="1"/>
  <c r="EB26" i="12" s="1"/>
  <c r="DG26" i="12"/>
  <c r="DS26" i="12"/>
  <c r="DW26" i="12" s="1"/>
  <c r="EA26" i="12" s="1"/>
  <c r="CT26" i="12"/>
  <c r="CV26" i="12"/>
  <c r="CU26" i="12"/>
  <c r="CW26" i="12"/>
  <c r="DN26" i="12"/>
  <c r="DO26" i="12"/>
  <c r="DU26" i="12"/>
  <c r="DY26" i="12" s="1"/>
  <c r="EC26" i="12" s="1"/>
  <c r="DP26" i="12"/>
  <c r="DQ26" i="12"/>
  <c r="BE27" i="13"/>
  <c r="BD27" i="13"/>
  <c r="EQ27" i="13" s="1"/>
  <c r="ES27" i="13" s="1"/>
  <c r="AO81" i="13"/>
  <c r="AR81" i="13" s="1"/>
  <c r="AZ81" i="13" s="1"/>
  <c r="AY80" i="13"/>
  <c r="N81" i="13"/>
  <c r="EF81" i="13"/>
  <c r="EL81" i="13" s="1"/>
  <c r="FE81" i="13" s="1"/>
  <c r="AD80" i="13"/>
  <c r="BR80" i="13" s="1"/>
  <c r="ED79" i="12"/>
  <c r="AD181" i="3"/>
  <c r="AC80" i="12"/>
  <c r="DJ80" i="12" s="1"/>
  <c r="AB80" i="12"/>
  <c r="CZ80" i="12" s="1"/>
  <c r="AD80" i="12"/>
  <c r="BR80" i="12" s="1"/>
  <c r="AA80" i="12"/>
  <c r="CP80" i="12" s="1"/>
  <c r="AQ81" i="12"/>
  <c r="BU81" i="12" s="1"/>
  <c r="AS80" i="12"/>
  <c r="DV80" i="12" s="1"/>
  <c r="AO81" i="12"/>
  <c r="AI80" i="12"/>
  <c r="CQ80" i="12" s="1"/>
  <c r="AJ80" i="12"/>
  <c r="DA80" i="12" s="1"/>
  <c r="AK80" i="12"/>
  <c r="DK80" i="12" s="1"/>
  <c r="AL80" i="12"/>
  <c r="BS80" i="12" s="1"/>
  <c r="N81" i="12"/>
  <c r="Z81" i="12" s="1"/>
  <c r="T186" i="3"/>
  <c r="N591" i="3"/>
  <c r="T591" i="3" s="1"/>
  <c r="N388" i="3"/>
  <c r="T388" i="3" s="1"/>
  <c r="J589" i="3"/>
  <c r="J386" i="3"/>
  <c r="R184" i="3"/>
  <c r="H589" i="3"/>
  <c r="R589" i="3" s="1"/>
  <c r="Y589" i="3" s="1"/>
  <c r="H386" i="3"/>
  <c r="W588" i="3"/>
  <c r="Y385" i="3"/>
  <c r="Y384" i="3"/>
  <c r="AD384" i="3" s="1"/>
  <c r="W384" i="3"/>
  <c r="Z589" i="3"/>
  <c r="G588" i="3"/>
  <c r="D386" i="3"/>
  <c r="D589" i="3"/>
  <c r="C387" i="3"/>
  <c r="C590" i="3"/>
  <c r="M388" i="3"/>
  <c r="S388" i="3" s="1"/>
  <c r="M591" i="3"/>
  <c r="S591" i="3" s="1"/>
  <c r="AA385" i="3"/>
  <c r="W385" i="3"/>
  <c r="AA386" i="3"/>
  <c r="G386" i="3"/>
  <c r="AA182" i="3"/>
  <c r="AD182" i="3" s="1"/>
  <c r="W182" i="3"/>
  <c r="Z183" i="3"/>
  <c r="G183" i="3"/>
  <c r="D184" i="3"/>
  <c r="D179" i="10" s="1"/>
  <c r="H179" i="10" s="1"/>
  <c r="C185" i="3"/>
  <c r="S186" i="3"/>
  <c r="FD26" i="12" l="1"/>
  <c r="FG26" i="12" s="1"/>
  <c r="C180" i="10"/>
  <c r="G180" i="10" s="1"/>
  <c r="W48" i="13"/>
  <c r="R386" i="3"/>
  <c r="W386" i="3" s="1"/>
  <c r="CM26" i="12"/>
  <c r="CL26" i="12"/>
  <c r="BB27" i="12" s="1"/>
  <c r="BC27" i="13"/>
  <c r="EU27" i="13"/>
  <c r="EX27" i="13" s="1"/>
  <c r="FA27" i="13" s="1"/>
  <c r="EV27" i="13"/>
  <c r="EY27" i="13" s="1"/>
  <c r="FB27" i="13" s="1"/>
  <c r="FF27" i="13" s="1"/>
  <c r="ET27" i="13"/>
  <c r="EW27" i="13" s="1"/>
  <c r="EZ27" i="13" s="1"/>
  <c r="EG81" i="13"/>
  <c r="EM81" i="13" s="1"/>
  <c r="ER81" i="13"/>
  <c r="EK80" i="13"/>
  <c r="EJ81" i="13"/>
  <c r="AH81" i="13"/>
  <c r="AL81" i="13" s="1"/>
  <c r="BS81" i="13" s="1"/>
  <c r="AF81" i="13"/>
  <c r="AJ81" i="13" s="1"/>
  <c r="DA81" i="13" s="1"/>
  <c r="AE81" i="13"/>
  <c r="AI81" i="13" s="1"/>
  <c r="CQ81" i="13" s="1"/>
  <c r="AP81" i="13"/>
  <c r="AS81" i="13" s="1"/>
  <c r="DV81" i="13" s="1"/>
  <c r="DZ81" i="13" s="1"/>
  <c r="ED81" i="13" s="1"/>
  <c r="CG81" i="13"/>
  <c r="K82" i="13"/>
  <c r="L82" i="13"/>
  <c r="AN82" i="13" s="1"/>
  <c r="AQ82" i="13" s="1"/>
  <c r="BU82" i="13" s="1"/>
  <c r="M82" i="13"/>
  <c r="AM81" i="13"/>
  <c r="BT81" i="13" s="1"/>
  <c r="U81" i="13"/>
  <c r="DI81" i="13" s="1"/>
  <c r="Y81" i="13"/>
  <c r="Q81" i="13"/>
  <c r="Z81" i="13"/>
  <c r="V81" i="13"/>
  <c r="CJ81" i="13"/>
  <c r="AG81" i="13"/>
  <c r="AK81" i="13" s="1"/>
  <c r="DK81" i="13" s="1"/>
  <c r="DZ80" i="12"/>
  <c r="CJ81" i="12"/>
  <c r="CG81" i="12"/>
  <c r="Y81" i="12"/>
  <c r="W81" i="12"/>
  <c r="X81" i="12"/>
  <c r="AR81" i="12"/>
  <c r="AZ81" i="12" s="1"/>
  <c r="AM81" i="12"/>
  <c r="BT81" i="12" s="1"/>
  <c r="M82" i="12"/>
  <c r="L82" i="12"/>
  <c r="AN82" i="12" s="1"/>
  <c r="AP81" i="12"/>
  <c r="AE81" i="12"/>
  <c r="AF81" i="12"/>
  <c r="AG81" i="12"/>
  <c r="AH81" i="12"/>
  <c r="Q81" i="12"/>
  <c r="AY81" i="12" s="1"/>
  <c r="K82" i="12"/>
  <c r="S81" i="12"/>
  <c r="CO81" i="12" s="1"/>
  <c r="T81" i="12"/>
  <c r="CY81" i="12" s="1"/>
  <c r="V81" i="12"/>
  <c r="R81" i="12"/>
  <c r="BQ81" i="12" s="1"/>
  <c r="U81" i="12"/>
  <c r="DI81" i="12" s="1"/>
  <c r="T187" i="3"/>
  <c r="N592" i="3"/>
  <c r="T592" i="3" s="1"/>
  <c r="N389" i="3"/>
  <c r="T389" i="3" s="1"/>
  <c r="J590" i="3"/>
  <c r="J387" i="3"/>
  <c r="R185" i="3"/>
  <c r="H590" i="3"/>
  <c r="R590" i="3" s="1"/>
  <c r="Y590" i="3" s="1"/>
  <c r="H387" i="3"/>
  <c r="W589" i="3"/>
  <c r="AA589" i="3"/>
  <c r="AD589" i="3" s="1"/>
  <c r="AA588" i="3"/>
  <c r="AD588" i="3" s="1"/>
  <c r="Z590" i="3"/>
  <c r="AD385" i="3"/>
  <c r="W183" i="3"/>
  <c r="Y183" i="3"/>
  <c r="R50" i="13" s="1"/>
  <c r="BQ50" i="13" s="1"/>
  <c r="Y184" i="3"/>
  <c r="Y386" i="3"/>
  <c r="AD386" i="3" s="1"/>
  <c r="G589" i="3"/>
  <c r="D387" i="3"/>
  <c r="D590" i="3"/>
  <c r="G590" i="3" s="1"/>
  <c r="C388" i="3"/>
  <c r="C591" i="3"/>
  <c r="M389" i="3"/>
  <c r="S389" i="3" s="1"/>
  <c r="M592" i="3"/>
  <c r="S592" i="3" s="1"/>
  <c r="Z387" i="3"/>
  <c r="AA387" i="3"/>
  <c r="G387" i="3"/>
  <c r="Z184" i="3"/>
  <c r="AA183" i="3"/>
  <c r="G184" i="3"/>
  <c r="D185" i="3"/>
  <c r="C186" i="3"/>
  <c r="C181" i="10" s="1"/>
  <c r="G181" i="10" s="1"/>
  <c r="S187" i="3"/>
  <c r="AA48" i="13" l="1"/>
  <c r="CP48" i="13" s="1"/>
  <c r="D180" i="10"/>
  <c r="H180" i="10" s="1"/>
  <c r="X48" i="13"/>
  <c r="BE27" i="12"/>
  <c r="R387" i="3"/>
  <c r="W387" i="3" s="1"/>
  <c r="BH27" i="13"/>
  <c r="BG27" i="13"/>
  <c r="BI27" i="13"/>
  <c r="BF27" i="13"/>
  <c r="BK27" i="13"/>
  <c r="AY81" i="13"/>
  <c r="EF82" i="13"/>
  <c r="EL82" i="13" s="1"/>
  <c r="FE82" i="13" s="1"/>
  <c r="N82" i="13"/>
  <c r="AM82" i="13" s="1"/>
  <c r="BT82" i="13" s="1"/>
  <c r="AO82" i="13"/>
  <c r="AR82" i="13" s="1"/>
  <c r="AZ82" i="13" s="1"/>
  <c r="AC81" i="13"/>
  <c r="DJ81" i="13" s="1"/>
  <c r="AD81" i="13"/>
  <c r="BR81" i="13" s="1"/>
  <c r="ED80" i="12"/>
  <c r="AD183" i="3"/>
  <c r="AB81" i="12"/>
  <c r="CZ81" i="12" s="1"/>
  <c r="AC81" i="12"/>
  <c r="DJ81" i="12" s="1"/>
  <c r="AA81" i="12"/>
  <c r="CP81" i="12" s="1"/>
  <c r="AD81" i="12"/>
  <c r="BR81" i="12" s="1"/>
  <c r="AQ82" i="12"/>
  <c r="BU82" i="12" s="1"/>
  <c r="AS81" i="12"/>
  <c r="DV81" i="12" s="1"/>
  <c r="AO82" i="12"/>
  <c r="AI81" i="12"/>
  <c r="CQ81" i="12" s="1"/>
  <c r="AJ81" i="12"/>
  <c r="DA81" i="12" s="1"/>
  <c r="AK81" i="12"/>
  <c r="DK81" i="12" s="1"/>
  <c r="AL81" i="12"/>
  <c r="BS81" i="12" s="1"/>
  <c r="N82" i="12"/>
  <c r="Z82" i="12" s="1"/>
  <c r="T188" i="3"/>
  <c r="N593" i="3"/>
  <c r="T593" i="3" s="1"/>
  <c r="N390" i="3"/>
  <c r="T390" i="3" s="1"/>
  <c r="J591" i="3"/>
  <c r="J388" i="3"/>
  <c r="R186" i="3"/>
  <c r="H591" i="3"/>
  <c r="R591" i="3" s="1"/>
  <c r="Y591" i="3" s="1"/>
  <c r="H388" i="3"/>
  <c r="R388" i="3" s="1"/>
  <c r="W590" i="3"/>
  <c r="AA590" i="3"/>
  <c r="AD590" i="3" s="1"/>
  <c r="AA591" i="3"/>
  <c r="Z591" i="3"/>
  <c r="Y387" i="3"/>
  <c r="AD387" i="3" s="1"/>
  <c r="D388" i="3"/>
  <c r="G388" i="3" s="1"/>
  <c r="D591" i="3"/>
  <c r="G591" i="3" s="1"/>
  <c r="C389" i="3"/>
  <c r="C592" i="3"/>
  <c r="M390" i="3"/>
  <c r="S390" i="3" s="1"/>
  <c r="M593" i="3"/>
  <c r="S593" i="3" s="1"/>
  <c r="Z388" i="3"/>
  <c r="AA184" i="3"/>
  <c r="AD184" i="3" s="1"/>
  <c r="W184" i="3"/>
  <c r="Z185" i="3"/>
  <c r="S48" i="13" s="1"/>
  <c r="CO48" i="13" s="1"/>
  <c r="G185" i="3"/>
  <c r="D186" i="3"/>
  <c r="D181" i="10" s="1"/>
  <c r="H181" i="10" s="1"/>
  <c r="C187" i="3"/>
  <c r="C182" i="10" s="1"/>
  <c r="G182" i="10" s="1"/>
  <c r="S188" i="3"/>
  <c r="AB48" i="13" l="1"/>
  <c r="CZ48" i="13" s="1"/>
  <c r="BC27" i="12"/>
  <c r="BN27" i="13"/>
  <c r="DB27" i="13" s="1"/>
  <c r="BM27" i="13"/>
  <c r="CR27" i="13" s="1"/>
  <c r="BO27" i="13"/>
  <c r="DL27" i="13" s="1"/>
  <c r="BL27" i="13"/>
  <c r="BW27" i="13" s="1"/>
  <c r="BX27" i="13" s="1"/>
  <c r="CE27" i="13" s="1"/>
  <c r="EG82" i="13"/>
  <c r="EM82" i="13" s="1"/>
  <c r="ER82" i="13"/>
  <c r="EK81" i="13"/>
  <c r="EJ82" i="13"/>
  <c r="AP82" i="13"/>
  <c r="AS82" i="13" s="1"/>
  <c r="DV82" i="13" s="1"/>
  <c r="DZ82" i="13" s="1"/>
  <c r="ED82" i="13" s="1"/>
  <c r="CG82" i="13"/>
  <c r="K83" i="13"/>
  <c r="L83" i="13"/>
  <c r="AN83" i="13" s="1"/>
  <c r="AQ83" i="13" s="1"/>
  <c r="BU83" i="13" s="1"/>
  <c r="M83" i="13"/>
  <c r="Q82" i="13"/>
  <c r="Y82" i="13"/>
  <c r="CJ82" i="13"/>
  <c r="V82" i="13"/>
  <c r="Z82" i="13"/>
  <c r="U82" i="13"/>
  <c r="DI82" i="13" s="1"/>
  <c r="AH82" i="13"/>
  <c r="AL82" i="13" s="1"/>
  <c r="BS82" i="13" s="1"/>
  <c r="AG82" i="13"/>
  <c r="AK82" i="13" s="1"/>
  <c r="DK82" i="13" s="1"/>
  <c r="AF82" i="13"/>
  <c r="AJ82" i="13" s="1"/>
  <c r="DA82" i="13" s="1"/>
  <c r="AE82" i="13"/>
  <c r="AI82" i="13" s="1"/>
  <c r="CQ82" i="13" s="1"/>
  <c r="DZ81" i="12"/>
  <c r="CJ82" i="12"/>
  <c r="CG82" i="12"/>
  <c r="X82" i="12"/>
  <c r="W82" i="12"/>
  <c r="Y82" i="12"/>
  <c r="AD591" i="3"/>
  <c r="AR82" i="12"/>
  <c r="AZ82" i="12" s="1"/>
  <c r="AM82" i="12"/>
  <c r="BT82" i="12" s="1"/>
  <c r="M83" i="12"/>
  <c r="L83" i="12"/>
  <c r="AN83" i="12" s="1"/>
  <c r="AP82" i="12"/>
  <c r="AE82" i="12"/>
  <c r="AF82" i="12"/>
  <c r="AG82" i="12"/>
  <c r="AH82" i="12"/>
  <c r="T82" i="12"/>
  <c r="CY82" i="12" s="1"/>
  <c r="U82" i="12"/>
  <c r="DI82" i="12" s="1"/>
  <c r="Q82" i="12"/>
  <c r="AY82" i="12" s="1"/>
  <c r="K83" i="12"/>
  <c r="V82" i="12"/>
  <c r="R82" i="12"/>
  <c r="BQ82" i="12" s="1"/>
  <c r="S82" i="12"/>
  <c r="CO82" i="12" s="1"/>
  <c r="T189" i="3"/>
  <c r="N594" i="3"/>
  <c r="T594" i="3" s="1"/>
  <c r="N391" i="3"/>
  <c r="T391" i="3" s="1"/>
  <c r="J592" i="3"/>
  <c r="J389" i="3"/>
  <c r="R187" i="3"/>
  <c r="H592" i="3"/>
  <c r="H389" i="3"/>
  <c r="W591" i="3"/>
  <c r="Z592" i="3"/>
  <c r="W185" i="3"/>
  <c r="Y185" i="3"/>
  <c r="Y388" i="3"/>
  <c r="D389" i="3"/>
  <c r="G389" i="3" s="1"/>
  <c r="D592" i="3"/>
  <c r="G592" i="3" s="1"/>
  <c r="C390" i="3"/>
  <c r="C593" i="3"/>
  <c r="M391" i="3"/>
  <c r="S391" i="3" s="1"/>
  <c r="M594" i="3"/>
  <c r="S594" i="3" s="1"/>
  <c r="Z389" i="3"/>
  <c r="AA388" i="3"/>
  <c r="W388" i="3"/>
  <c r="Z390" i="3"/>
  <c r="Z186" i="3"/>
  <c r="AA185" i="3"/>
  <c r="T48" i="13" s="1"/>
  <c r="CY48" i="13" s="1"/>
  <c r="G186" i="3"/>
  <c r="D187" i="3"/>
  <c r="D182" i="10" s="1"/>
  <c r="H182" i="10" s="1"/>
  <c r="C188" i="3"/>
  <c r="C183" i="10" s="1"/>
  <c r="G183" i="10" s="1"/>
  <c r="S189" i="3"/>
  <c r="R592" i="3" l="1"/>
  <c r="Y592" i="3" s="1"/>
  <c r="R389" i="3"/>
  <c r="BH27" i="12"/>
  <c r="BG27" i="12"/>
  <c r="BK27" i="12"/>
  <c r="BI27" i="12"/>
  <c r="BF27" i="12"/>
  <c r="DC27" i="13"/>
  <c r="DG27" i="13" s="1"/>
  <c r="CS27" i="13"/>
  <c r="CW27" i="13" s="1"/>
  <c r="DM27" i="13"/>
  <c r="DQ27" i="13" s="1"/>
  <c r="CI27" i="13"/>
  <c r="CK27" i="13" s="1"/>
  <c r="CD27" i="13"/>
  <c r="CB27" i="13"/>
  <c r="CC27" i="13"/>
  <c r="BY27" i="13"/>
  <c r="CA27" i="13"/>
  <c r="CH27" i="13"/>
  <c r="BZ27" i="13"/>
  <c r="AY82" i="13"/>
  <c r="EF83" i="13"/>
  <c r="EL83" i="13" s="1"/>
  <c r="FE83" i="13" s="1"/>
  <c r="N83" i="13"/>
  <c r="AM83" i="13" s="1"/>
  <c r="BT83" i="13" s="1"/>
  <c r="AO83" i="13"/>
  <c r="AR83" i="13" s="1"/>
  <c r="AZ83" i="13" s="1"/>
  <c r="AC82" i="13"/>
  <c r="DJ82" i="13" s="1"/>
  <c r="AD82" i="13"/>
  <c r="BR82" i="13" s="1"/>
  <c r="ED81" i="12"/>
  <c r="AD185" i="3"/>
  <c r="AA82" i="12"/>
  <c r="CP82" i="12" s="1"/>
  <c r="AB82" i="12"/>
  <c r="CZ82" i="12" s="1"/>
  <c r="AD82" i="12"/>
  <c r="BR82" i="12" s="1"/>
  <c r="AC82" i="12"/>
  <c r="DJ82" i="12" s="1"/>
  <c r="AQ83" i="12"/>
  <c r="BU83" i="12" s="1"/>
  <c r="AS82" i="12"/>
  <c r="DV82" i="12" s="1"/>
  <c r="AO83" i="12"/>
  <c r="AI82" i="12"/>
  <c r="CQ82" i="12" s="1"/>
  <c r="AJ82" i="12"/>
  <c r="DA82" i="12" s="1"/>
  <c r="AK82" i="12"/>
  <c r="DK82" i="12" s="1"/>
  <c r="AL82" i="12"/>
  <c r="BS82" i="12" s="1"/>
  <c r="N83" i="12"/>
  <c r="Z83" i="12" s="1"/>
  <c r="T190" i="3"/>
  <c r="N595" i="3"/>
  <c r="T595" i="3" s="1"/>
  <c r="N392" i="3"/>
  <c r="T392" i="3" s="1"/>
  <c r="J593" i="3"/>
  <c r="J390" i="3"/>
  <c r="R188" i="3"/>
  <c r="H593" i="3"/>
  <c r="R593" i="3" s="1"/>
  <c r="H390" i="3"/>
  <c r="W592" i="3"/>
  <c r="AA592" i="3"/>
  <c r="AD592" i="3" s="1"/>
  <c r="AA593" i="3"/>
  <c r="Z593" i="3"/>
  <c r="AD388" i="3"/>
  <c r="Y186" i="3"/>
  <c r="D390" i="3"/>
  <c r="G390" i="3" s="1"/>
  <c r="D593" i="3"/>
  <c r="G593" i="3" s="1"/>
  <c r="C391" i="3"/>
  <c r="C594" i="3"/>
  <c r="M392" i="3"/>
  <c r="S392" i="3" s="1"/>
  <c r="M595" i="3"/>
  <c r="S595" i="3" s="1"/>
  <c r="W389" i="3"/>
  <c r="AA389" i="3"/>
  <c r="AA390" i="3"/>
  <c r="AA186" i="3"/>
  <c r="W186" i="3"/>
  <c r="Z187" i="3"/>
  <c r="G187" i="3"/>
  <c r="Z188" i="3"/>
  <c r="D188" i="3"/>
  <c r="D183" i="10" s="1"/>
  <c r="H183" i="10" s="1"/>
  <c r="C189" i="3"/>
  <c r="C184" i="10" s="1"/>
  <c r="G184" i="10" s="1"/>
  <c r="S190" i="3"/>
  <c r="R390" i="3" l="1"/>
  <c r="Y390" i="3" s="1"/>
  <c r="AD390" i="3" s="1"/>
  <c r="BL27" i="12"/>
  <c r="BW27" i="12" s="1"/>
  <c r="BX27" i="12" s="1"/>
  <c r="BN27" i="12"/>
  <c r="DB27" i="12" s="1"/>
  <c r="DC27" i="12" s="1"/>
  <c r="BO27" i="12"/>
  <c r="DL27" i="12" s="1"/>
  <c r="DM27" i="12" s="1"/>
  <c r="BM27" i="12"/>
  <c r="CR27" i="12" s="1"/>
  <c r="CS27" i="12" s="1"/>
  <c r="DF27" i="13"/>
  <c r="DT27" i="13"/>
  <c r="DX27" i="13" s="1"/>
  <c r="EB27" i="13" s="1"/>
  <c r="DD27" i="13"/>
  <c r="DE27" i="13"/>
  <c r="CV27" i="13"/>
  <c r="CU27" i="13"/>
  <c r="CT27" i="13"/>
  <c r="DS27" i="13"/>
  <c r="DW27" i="13" s="1"/>
  <c r="EA27" i="13" s="1"/>
  <c r="DP27" i="13"/>
  <c r="DO27" i="13"/>
  <c r="DN27" i="13"/>
  <c r="DU27" i="13"/>
  <c r="DY27" i="13" s="1"/>
  <c r="EC27" i="13" s="1"/>
  <c r="FD27" i="13" s="1"/>
  <c r="FG27" i="13" s="1"/>
  <c r="CL27" i="13"/>
  <c r="BB28" i="13" s="1"/>
  <c r="CM27" i="13"/>
  <c r="ER83" i="13"/>
  <c r="EG83" i="13"/>
  <c r="EM83" i="13" s="1"/>
  <c r="EK82" i="13"/>
  <c r="EJ83" i="13"/>
  <c r="AH83" i="13"/>
  <c r="AL83" i="13" s="1"/>
  <c r="BS83" i="13" s="1"/>
  <c r="AG83" i="13"/>
  <c r="AK83" i="13" s="1"/>
  <c r="DK83" i="13" s="1"/>
  <c r="AE83" i="13"/>
  <c r="AI83" i="13" s="1"/>
  <c r="CQ83" i="13" s="1"/>
  <c r="AP83" i="13"/>
  <c r="AS83" i="13" s="1"/>
  <c r="DV83" i="13" s="1"/>
  <c r="DZ83" i="13" s="1"/>
  <c r="ED83" i="13" s="1"/>
  <c r="CG83" i="13"/>
  <c r="K84" i="13"/>
  <c r="L84" i="13"/>
  <c r="AN84" i="13" s="1"/>
  <c r="AQ84" i="13" s="1"/>
  <c r="BU84" i="13" s="1"/>
  <c r="M84" i="13"/>
  <c r="U83" i="13"/>
  <c r="DI83" i="13" s="1"/>
  <c r="CJ83" i="13"/>
  <c r="V83" i="13"/>
  <c r="Y83" i="13"/>
  <c r="AC83" i="13" s="1"/>
  <c r="DJ83" i="13" s="1"/>
  <c r="Q83" i="13"/>
  <c r="Z83" i="13"/>
  <c r="AD83" i="13" s="1"/>
  <c r="BR83" i="13" s="1"/>
  <c r="AF83" i="13"/>
  <c r="AJ83" i="13" s="1"/>
  <c r="DA83" i="13" s="1"/>
  <c r="DZ82" i="12"/>
  <c r="CJ83" i="12"/>
  <c r="CG83" i="12"/>
  <c r="W83" i="12"/>
  <c r="X83" i="12"/>
  <c r="Y83" i="12"/>
  <c r="AD186" i="3"/>
  <c r="AR83" i="12"/>
  <c r="AZ83" i="12" s="1"/>
  <c r="AM83" i="12"/>
  <c r="BT83" i="12" s="1"/>
  <c r="M84" i="12"/>
  <c r="L84" i="12"/>
  <c r="AN84" i="12" s="1"/>
  <c r="AP83" i="12"/>
  <c r="AE83" i="12"/>
  <c r="AF83" i="12"/>
  <c r="AG83" i="12"/>
  <c r="AH83" i="12"/>
  <c r="T83" i="12"/>
  <c r="CY83" i="12" s="1"/>
  <c r="V83" i="12"/>
  <c r="R83" i="12"/>
  <c r="BQ83" i="12" s="1"/>
  <c r="S83" i="12"/>
  <c r="CO83" i="12" s="1"/>
  <c r="U83" i="12"/>
  <c r="DI83" i="12" s="1"/>
  <c r="Q83" i="12"/>
  <c r="AY83" i="12" s="1"/>
  <c r="K84" i="12"/>
  <c r="T191" i="3"/>
  <c r="N596" i="3"/>
  <c r="T596" i="3" s="1"/>
  <c r="N393" i="3"/>
  <c r="T393" i="3" s="1"/>
  <c r="J594" i="3"/>
  <c r="J391" i="3"/>
  <c r="R189" i="3"/>
  <c r="H594" i="3"/>
  <c r="H391" i="3"/>
  <c r="R391" i="3" s="1"/>
  <c r="Y389" i="3"/>
  <c r="AD389" i="3" s="1"/>
  <c r="Z594" i="3"/>
  <c r="W187" i="3"/>
  <c r="Y187" i="3"/>
  <c r="R51" i="13" s="1"/>
  <c r="BQ51" i="13" s="1"/>
  <c r="D391" i="3"/>
  <c r="G391" i="3" s="1"/>
  <c r="D594" i="3"/>
  <c r="C392" i="3"/>
  <c r="C595" i="3"/>
  <c r="M393" i="3"/>
  <c r="S393" i="3" s="1"/>
  <c r="M596" i="3"/>
  <c r="S596" i="3" s="1"/>
  <c r="W390" i="3"/>
  <c r="Z391" i="3"/>
  <c r="AA391" i="3"/>
  <c r="AA187" i="3"/>
  <c r="G188" i="3"/>
  <c r="D189" i="3"/>
  <c r="D184" i="10" s="1"/>
  <c r="H184" i="10" s="1"/>
  <c r="C190" i="3"/>
  <c r="S191" i="3"/>
  <c r="C185" i="10" l="1"/>
  <c r="G185" i="10" s="1"/>
  <c r="W49" i="13"/>
  <c r="Y391" i="3"/>
  <c r="R594" i="3"/>
  <c r="CI27" i="12"/>
  <c r="CK27" i="12" s="1"/>
  <c r="CC27" i="12"/>
  <c r="BY27" i="12"/>
  <c r="BZ27" i="12"/>
  <c r="CH27" i="12"/>
  <c r="CA27" i="12"/>
  <c r="CD27" i="12"/>
  <c r="CB27" i="12"/>
  <c r="CE27" i="12"/>
  <c r="DD27" i="12"/>
  <c r="DE27" i="12"/>
  <c r="DT27" i="12"/>
  <c r="DX27" i="12" s="1"/>
  <c r="EB27" i="12" s="1"/>
  <c r="DF27" i="12"/>
  <c r="DG27" i="12"/>
  <c r="DU27" i="12"/>
  <c r="DY27" i="12" s="1"/>
  <c r="EC27" i="12" s="1"/>
  <c r="DP27" i="12"/>
  <c r="DN27" i="12"/>
  <c r="DO27" i="12"/>
  <c r="DQ27" i="12"/>
  <c r="CT27" i="12"/>
  <c r="CV27" i="12"/>
  <c r="DS27" i="12"/>
  <c r="DW27" i="12" s="1"/>
  <c r="EA27" i="12" s="1"/>
  <c r="CU27" i="12"/>
  <c r="CW27" i="12"/>
  <c r="BE28" i="13"/>
  <c r="BD28" i="13"/>
  <c r="EQ28" i="13" s="1"/>
  <c r="ES28" i="13" s="1"/>
  <c r="AY83" i="13"/>
  <c r="N84" i="13"/>
  <c r="AM84" i="13" s="1"/>
  <c r="BT84" i="13" s="1"/>
  <c r="EF84" i="13"/>
  <c r="EL84" i="13" s="1"/>
  <c r="FE84" i="13" s="1"/>
  <c r="AO84" i="13"/>
  <c r="AR84" i="13" s="1"/>
  <c r="AZ84" i="13" s="1"/>
  <c r="ED82" i="12"/>
  <c r="AD391" i="3"/>
  <c r="AD83" i="12"/>
  <c r="BR83" i="12" s="1"/>
  <c r="AA83" i="12"/>
  <c r="CP83" i="12" s="1"/>
  <c r="AC83" i="12"/>
  <c r="DJ83" i="12" s="1"/>
  <c r="AB83" i="12"/>
  <c r="CZ83" i="12" s="1"/>
  <c r="AQ84" i="12"/>
  <c r="BU84" i="12" s="1"/>
  <c r="AS83" i="12"/>
  <c r="DV83" i="12" s="1"/>
  <c r="AO84" i="12"/>
  <c r="AI83" i="12"/>
  <c r="CQ83" i="12" s="1"/>
  <c r="AJ83" i="12"/>
  <c r="DA83" i="12" s="1"/>
  <c r="AK83" i="12"/>
  <c r="DK83" i="12" s="1"/>
  <c r="AL83" i="12"/>
  <c r="BS83" i="12" s="1"/>
  <c r="N84" i="12"/>
  <c r="Z84" i="12" s="1"/>
  <c r="T192" i="3"/>
  <c r="N597" i="3"/>
  <c r="T597" i="3" s="1"/>
  <c r="N394" i="3"/>
  <c r="T394" i="3" s="1"/>
  <c r="J595" i="3"/>
  <c r="J392" i="3"/>
  <c r="R190" i="3"/>
  <c r="H595" i="3"/>
  <c r="H392" i="3"/>
  <c r="W594" i="3"/>
  <c r="Y594" i="3"/>
  <c r="W593" i="3"/>
  <c r="Y593" i="3"/>
  <c r="AD593" i="3" s="1"/>
  <c r="Z595" i="3"/>
  <c r="AD187" i="3"/>
  <c r="Y188" i="3"/>
  <c r="Y189" i="3"/>
  <c r="G594" i="3"/>
  <c r="D392" i="3"/>
  <c r="G392" i="3" s="1"/>
  <c r="D595" i="3"/>
  <c r="C393" i="3"/>
  <c r="C596" i="3"/>
  <c r="M394" i="3"/>
  <c r="S394" i="3" s="1"/>
  <c r="M597" i="3"/>
  <c r="S597" i="3" s="1"/>
  <c r="W391" i="3"/>
  <c r="Z392" i="3"/>
  <c r="AA188" i="3"/>
  <c r="W188" i="3"/>
  <c r="Z189" i="3"/>
  <c r="G189" i="3"/>
  <c r="D190" i="3"/>
  <c r="C191" i="3"/>
  <c r="C186" i="10" s="1"/>
  <c r="G186" i="10" s="1"/>
  <c r="S192" i="3"/>
  <c r="FD27" i="12" l="1"/>
  <c r="FG27" i="12" s="1"/>
  <c r="AA49" i="13"/>
  <c r="CP49" i="13" s="1"/>
  <c r="D185" i="10"/>
  <c r="H185" i="10" s="1"/>
  <c r="X49" i="13"/>
  <c r="R595" i="3"/>
  <c r="Y595" i="3" s="1"/>
  <c r="R392" i="3"/>
  <c r="W392" i="3" s="1"/>
  <c r="CM27" i="12"/>
  <c r="CL27" i="12"/>
  <c r="BB28" i="12" s="1"/>
  <c r="EV28" i="13"/>
  <c r="EY28" i="13" s="1"/>
  <c r="FB28" i="13" s="1"/>
  <c r="FF28" i="13" s="1"/>
  <c r="EU28" i="13"/>
  <c r="EX28" i="13" s="1"/>
  <c r="FA28" i="13" s="1"/>
  <c r="ET28" i="13"/>
  <c r="EW28" i="13" s="1"/>
  <c r="EZ28" i="13" s="1"/>
  <c r="BC28" i="13"/>
  <c r="EG84" i="13"/>
  <c r="EM84" i="13" s="1"/>
  <c r="ER84" i="13"/>
  <c r="EK83" i="13"/>
  <c r="EJ84" i="13"/>
  <c r="L85" i="13"/>
  <c r="AN85" i="13" s="1"/>
  <c r="AQ85" i="13" s="1"/>
  <c r="BU85" i="13" s="1"/>
  <c r="Q84" i="13"/>
  <c r="AP84" i="13"/>
  <c r="AS84" i="13" s="1"/>
  <c r="DV84" i="13" s="1"/>
  <c r="DZ84" i="13" s="1"/>
  <c r="ED84" i="13" s="1"/>
  <c r="CG84" i="13"/>
  <c r="K85" i="13"/>
  <c r="M85" i="13"/>
  <c r="Z84" i="13"/>
  <c r="V84" i="13"/>
  <c r="Y84" i="13"/>
  <c r="U84" i="13"/>
  <c r="DI84" i="13" s="1"/>
  <c r="CJ84" i="13"/>
  <c r="AH84" i="13"/>
  <c r="AL84" i="13" s="1"/>
  <c r="BS84" i="13" s="1"/>
  <c r="AG84" i="13"/>
  <c r="AK84" i="13" s="1"/>
  <c r="DK84" i="13" s="1"/>
  <c r="AF84" i="13"/>
  <c r="AJ84" i="13" s="1"/>
  <c r="DA84" i="13" s="1"/>
  <c r="AE84" i="13"/>
  <c r="AI84" i="13" s="1"/>
  <c r="CQ84" i="13" s="1"/>
  <c r="DZ83" i="12"/>
  <c r="CJ84" i="12"/>
  <c r="CG84" i="12"/>
  <c r="X84" i="12"/>
  <c r="W84" i="12"/>
  <c r="Y84" i="12"/>
  <c r="AR84" i="12"/>
  <c r="AZ84" i="12" s="1"/>
  <c r="AM84" i="12"/>
  <c r="BT84" i="12" s="1"/>
  <c r="M85" i="12"/>
  <c r="L85" i="12"/>
  <c r="AN85" i="12" s="1"/>
  <c r="AP84" i="12"/>
  <c r="AE84" i="12"/>
  <c r="AF84" i="12"/>
  <c r="AG84" i="12"/>
  <c r="AH84" i="12"/>
  <c r="V84" i="12"/>
  <c r="R84" i="12"/>
  <c r="BQ84" i="12" s="1"/>
  <c r="S84" i="12"/>
  <c r="CO84" i="12" s="1"/>
  <c r="T84" i="12"/>
  <c r="CY84" i="12" s="1"/>
  <c r="U84" i="12"/>
  <c r="DI84" i="12" s="1"/>
  <c r="Q84" i="12"/>
  <c r="AY84" i="12" s="1"/>
  <c r="K85" i="12"/>
  <c r="T193" i="3"/>
  <c r="N598" i="3"/>
  <c r="T598" i="3" s="1"/>
  <c r="N395" i="3"/>
  <c r="T395" i="3" s="1"/>
  <c r="J596" i="3"/>
  <c r="J393" i="3"/>
  <c r="R191" i="3"/>
  <c r="H596" i="3"/>
  <c r="R596" i="3" s="1"/>
  <c r="H393" i="3"/>
  <c r="W595" i="3"/>
  <c r="AA595" i="3"/>
  <c r="AD595" i="3" s="1"/>
  <c r="AA594" i="3"/>
  <c r="AD594" i="3" s="1"/>
  <c r="Z596" i="3"/>
  <c r="AD188" i="3"/>
  <c r="W189" i="3"/>
  <c r="Y392" i="3"/>
  <c r="G595" i="3"/>
  <c r="D393" i="3"/>
  <c r="D596" i="3"/>
  <c r="C394" i="3"/>
  <c r="C597" i="3"/>
  <c r="M395" i="3"/>
  <c r="S395" i="3" s="1"/>
  <c r="M598" i="3"/>
  <c r="S598" i="3" s="1"/>
  <c r="Z393" i="3"/>
  <c r="AA392" i="3"/>
  <c r="G393" i="3"/>
  <c r="Z394" i="3"/>
  <c r="Z190" i="3"/>
  <c r="S49" i="13" s="1"/>
  <c r="CO49" i="13" s="1"/>
  <c r="AA189" i="3"/>
  <c r="AD189" i="3" s="1"/>
  <c r="G190" i="3"/>
  <c r="D191" i="3"/>
  <c r="D186" i="10" s="1"/>
  <c r="H186" i="10" s="1"/>
  <c r="C192" i="3"/>
  <c r="C187" i="10" s="1"/>
  <c r="G187" i="10" s="1"/>
  <c r="S193" i="3"/>
  <c r="AB49" i="13" l="1"/>
  <c r="CZ49" i="13" s="1"/>
  <c r="BE28" i="12"/>
  <c r="R393" i="3"/>
  <c r="AD392" i="3"/>
  <c r="BG28" i="13"/>
  <c r="BH28" i="13"/>
  <c r="BK28" i="13"/>
  <c r="BF28" i="13"/>
  <c r="BI28" i="13"/>
  <c r="AY84" i="13"/>
  <c r="EF85" i="13"/>
  <c r="EL85" i="13" s="1"/>
  <c r="FE85" i="13" s="1"/>
  <c r="N85" i="13"/>
  <c r="AM85" i="13" s="1"/>
  <c r="BT85" i="13" s="1"/>
  <c r="AO85" i="13"/>
  <c r="AR85" i="13" s="1"/>
  <c r="AZ85" i="13" s="1"/>
  <c r="AD84" i="13"/>
  <c r="BR84" i="13" s="1"/>
  <c r="AC84" i="13"/>
  <c r="DJ84" i="13" s="1"/>
  <c r="ED83" i="12"/>
  <c r="AA84" i="12"/>
  <c r="CP84" i="12" s="1"/>
  <c r="AC84" i="12"/>
  <c r="DJ84" i="12" s="1"/>
  <c r="AB84" i="12"/>
  <c r="CZ84" i="12" s="1"/>
  <c r="AD84" i="12"/>
  <c r="BR84" i="12" s="1"/>
  <c r="AQ85" i="12"/>
  <c r="BU85" i="12" s="1"/>
  <c r="AS84" i="12"/>
  <c r="DV84" i="12" s="1"/>
  <c r="AO85" i="12"/>
  <c r="AI84" i="12"/>
  <c r="CQ84" i="12" s="1"/>
  <c r="AJ84" i="12"/>
  <c r="DA84" i="12" s="1"/>
  <c r="AK84" i="12"/>
  <c r="DK84" i="12" s="1"/>
  <c r="AL84" i="12"/>
  <c r="BS84" i="12" s="1"/>
  <c r="N85" i="12"/>
  <c r="Z85" i="12" s="1"/>
  <c r="T194" i="3"/>
  <c r="N599" i="3"/>
  <c r="T599" i="3" s="1"/>
  <c r="N396" i="3"/>
  <c r="T396" i="3" s="1"/>
  <c r="J597" i="3"/>
  <c r="J394" i="3"/>
  <c r="Y191" i="3"/>
  <c r="R192" i="3"/>
  <c r="H597" i="3"/>
  <c r="R597" i="3" s="1"/>
  <c r="H394" i="3"/>
  <c r="Z597" i="3"/>
  <c r="W393" i="3"/>
  <c r="Y190" i="3"/>
  <c r="G596" i="3"/>
  <c r="D394" i="3"/>
  <c r="G394" i="3" s="1"/>
  <c r="D597" i="3"/>
  <c r="G597" i="3" s="1"/>
  <c r="C395" i="3"/>
  <c r="C598" i="3"/>
  <c r="M396" i="3"/>
  <c r="S396" i="3" s="1"/>
  <c r="M599" i="3"/>
  <c r="S599" i="3" s="1"/>
  <c r="AA393" i="3"/>
  <c r="AA394" i="3"/>
  <c r="AA190" i="3"/>
  <c r="T49" i="13" s="1"/>
  <c r="CY49" i="13" s="1"/>
  <c r="W190" i="3"/>
  <c r="Z191" i="3"/>
  <c r="G191" i="3"/>
  <c r="D192" i="3"/>
  <c r="D187" i="10" s="1"/>
  <c r="H187" i="10" s="1"/>
  <c r="C193" i="3"/>
  <c r="C188" i="10" s="1"/>
  <c r="G188" i="10" s="1"/>
  <c r="S194" i="3"/>
  <c r="R394" i="3" l="1"/>
  <c r="BC28" i="12"/>
  <c r="BN28" i="13"/>
  <c r="DB28" i="13" s="1"/>
  <c r="DC28" i="13" s="1"/>
  <c r="BM28" i="13"/>
  <c r="CR28" i="13" s="1"/>
  <c r="CS28" i="13" s="1"/>
  <c r="BO28" i="13"/>
  <c r="DL28" i="13" s="1"/>
  <c r="DM28" i="13" s="1"/>
  <c r="BL28" i="13"/>
  <c r="BW28" i="13" s="1"/>
  <c r="ER85" i="13"/>
  <c r="EG85" i="13"/>
  <c r="EM85" i="13" s="1"/>
  <c r="EK84" i="13"/>
  <c r="EJ85" i="13"/>
  <c r="Y85" i="13"/>
  <c r="AC85" i="13" s="1"/>
  <c r="DJ85" i="13" s="1"/>
  <c r="Z85" i="13"/>
  <c r="AD85" i="13" s="1"/>
  <c r="BR85" i="13" s="1"/>
  <c r="AG85" i="13"/>
  <c r="AK85" i="13" s="1"/>
  <c r="DK85" i="13" s="1"/>
  <c r="AF85" i="13"/>
  <c r="AJ85" i="13" s="1"/>
  <c r="DA85" i="13" s="1"/>
  <c r="L86" i="13"/>
  <c r="AN86" i="13" s="1"/>
  <c r="AQ86" i="13" s="1"/>
  <c r="BU86" i="13" s="1"/>
  <c r="AE85" i="13"/>
  <c r="AI85" i="13" s="1"/>
  <c r="CQ85" i="13" s="1"/>
  <c r="U85" i="13"/>
  <c r="DI85" i="13" s="1"/>
  <c r="AP85" i="13"/>
  <c r="AS85" i="13" s="1"/>
  <c r="DV85" i="13" s="1"/>
  <c r="DZ85" i="13" s="1"/>
  <c r="ED85" i="13" s="1"/>
  <c r="CG85" i="13"/>
  <c r="K86" i="13"/>
  <c r="M86" i="13"/>
  <c r="V85" i="13"/>
  <c r="CJ85" i="13"/>
  <c r="Q85" i="13"/>
  <c r="AH85" i="13"/>
  <c r="AL85" i="13" s="1"/>
  <c r="BS85" i="13" s="1"/>
  <c r="DZ84" i="12"/>
  <c r="CJ85" i="12"/>
  <c r="CG85" i="12"/>
  <c r="X85" i="12"/>
  <c r="W85" i="12"/>
  <c r="Y85" i="12"/>
  <c r="AD190" i="3"/>
  <c r="AR85" i="12"/>
  <c r="AZ85" i="12" s="1"/>
  <c r="AM85" i="12"/>
  <c r="BT85" i="12" s="1"/>
  <c r="M86" i="12"/>
  <c r="L86" i="12"/>
  <c r="AN86" i="12" s="1"/>
  <c r="AP85" i="12"/>
  <c r="AE85" i="12"/>
  <c r="AF85" i="12"/>
  <c r="AG85" i="12"/>
  <c r="AH85" i="12"/>
  <c r="V85" i="12"/>
  <c r="R85" i="12"/>
  <c r="BQ85" i="12" s="1"/>
  <c r="T85" i="12"/>
  <c r="CY85" i="12" s="1"/>
  <c r="U85" i="12"/>
  <c r="DI85" i="12" s="1"/>
  <c r="Q85" i="12"/>
  <c r="AY85" i="12" s="1"/>
  <c r="S85" i="12"/>
  <c r="CO85" i="12" s="1"/>
  <c r="K86" i="12"/>
  <c r="T195" i="3"/>
  <c r="N600" i="3"/>
  <c r="T600" i="3" s="1"/>
  <c r="N397" i="3"/>
  <c r="T397" i="3" s="1"/>
  <c r="J598" i="3"/>
  <c r="J395" i="3"/>
  <c r="R193" i="3"/>
  <c r="Y192" i="3"/>
  <c r="R52" i="13" s="1"/>
  <c r="BQ52" i="13" s="1"/>
  <c r="H598" i="3"/>
  <c r="R598" i="3" s="1"/>
  <c r="H395" i="3"/>
  <c r="R395" i="3" s="1"/>
  <c r="Y597" i="3"/>
  <c r="W596" i="3"/>
  <c r="Y596" i="3"/>
  <c r="Y394" i="3"/>
  <c r="AD394" i="3" s="1"/>
  <c r="Y393" i="3"/>
  <c r="AD393" i="3" s="1"/>
  <c r="AA597" i="3"/>
  <c r="AA596" i="3"/>
  <c r="Z598" i="3"/>
  <c r="W191" i="3"/>
  <c r="D395" i="3"/>
  <c r="G395" i="3" s="1"/>
  <c r="D598" i="3"/>
  <c r="C396" i="3"/>
  <c r="C599" i="3"/>
  <c r="M397" i="3"/>
  <c r="S397" i="3" s="1"/>
  <c r="M600" i="3"/>
  <c r="S600" i="3" s="1"/>
  <c r="W394" i="3"/>
  <c r="Z395" i="3"/>
  <c r="AA395" i="3"/>
  <c r="Z396" i="3"/>
  <c r="Z192" i="3"/>
  <c r="AA191" i="3"/>
  <c r="AD191" i="3" s="1"/>
  <c r="G192" i="3"/>
  <c r="D193" i="3"/>
  <c r="D188" i="10" s="1"/>
  <c r="H188" i="10" s="1"/>
  <c r="C194" i="3"/>
  <c r="S195" i="3"/>
  <c r="C189" i="10" l="1"/>
  <c r="G189" i="10" s="1"/>
  <c r="W50" i="13"/>
  <c r="BH28" i="12"/>
  <c r="BK28" i="12"/>
  <c r="BF28" i="12"/>
  <c r="BI28" i="12"/>
  <c r="BG28" i="12"/>
  <c r="DE28" i="13"/>
  <c r="DD28" i="13"/>
  <c r="DF28" i="13"/>
  <c r="DT28" i="13"/>
  <c r="DX28" i="13" s="1"/>
  <c r="EB28" i="13" s="1"/>
  <c r="DG28" i="13"/>
  <c r="CV28" i="13"/>
  <c r="CT28" i="13"/>
  <c r="CU28" i="13"/>
  <c r="DS28" i="13"/>
  <c r="DW28" i="13" s="1"/>
  <c r="EA28" i="13" s="1"/>
  <c r="CW28" i="13"/>
  <c r="DU28" i="13"/>
  <c r="DY28" i="13" s="1"/>
  <c r="EC28" i="13" s="1"/>
  <c r="FD28" i="13" s="1"/>
  <c r="FG28" i="13" s="1"/>
  <c r="DO28" i="13"/>
  <c r="DP28" i="13"/>
  <c r="DN28" i="13"/>
  <c r="DQ28" i="13"/>
  <c r="BX28" i="13"/>
  <c r="CE28" i="13" s="1"/>
  <c r="AO86" i="13"/>
  <c r="AR86" i="13" s="1"/>
  <c r="AZ86" i="13" s="1"/>
  <c r="AY85" i="13"/>
  <c r="EF86" i="13"/>
  <c r="EL86" i="13" s="1"/>
  <c r="FE86" i="13" s="1"/>
  <c r="N86" i="13"/>
  <c r="ED84" i="12"/>
  <c r="AD597" i="3"/>
  <c r="AD596" i="3"/>
  <c r="AB85" i="12"/>
  <c r="CZ85" i="12" s="1"/>
  <c r="AC85" i="12"/>
  <c r="DJ85" i="12" s="1"/>
  <c r="AA85" i="12"/>
  <c r="CP85" i="12" s="1"/>
  <c r="AD85" i="12"/>
  <c r="BR85" i="12" s="1"/>
  <c r="AQ86" i="12"/>
  <c r="BU86" i="12" s="1"/>
  <c r="AS85" i="12"/>
  <c r="DV85" i="12" s="1"/>
  <c r="AO86" i="12"/>
  <c r="AI85" i="12"/>
  <c r="CQ85" i="12" s="1"/>
  <c r="AJ85" i="12"/>
  <c r="DA85" i="12" s="1"/>
  <c r="AK85" i="12"/>
  <c r="DK85" i="12" s="1"/>
  <c r="AL85" i="12"/>
  <c r="BS85" i="12" s="1"/>
  <c r="N86" i="12"/>
  <c r="Z86" i="12" s="1"/>
  <c r="T196" i="3"/>
  <c r="N601" i="3"/>
  <c r="T601" i="3" s="1"/>
  <c r="N398" i="3"/>
  <c r="T398" i="3" s="1"/>
  <c r="J599" i="3"/>
  <c r="J396" i="3"/>
  <c r="Y193" i="3"/>
  <c r="R194" i="3"/>
  <c r="H599" i="3"/>
  <c r="H396" i="3"/>
  <c r="Y598" i="3"/>
  <c r="W597" i="3"/>
  <c r="Z599" i="3"/>
  <c r="G598" i="3"/>
  <c r="D396" i="3"/>
  <c r="G396" i="3" s="1"/>
  <c r="D599" i="3"/>
  <c r="G599" i="3" s="1"/>
  <c r="C397" i="3"/>
  <c r="C600" i="3"/>
  <c r="M398" i="3"/>
  <c r="S398" i="3" s="1"/>
  <c r="M601" i="3"/>
  <c r="S601" i="3" s="1"/>
  <c r="W395" i="3"/>
  <c r="AA396" i="3"/>
  <c r="AA192" i="3"/>
  <c r="AD192" i="3" s="1"/>
  <c r="W192" i="3"/>
  <c r="Z193" i="3"/>
  <c r="G193" i="3"/>
  <c r="Z194" i="3"/>
  <c r="S50" i="13" s="1"/>
  <c r="CO50" i="13" s="1"/>
  <c r="D194" i="3"/>
  <c r="C195" i="3"/>
  <c r="C190" i="10" s="1"/>
  <c r="G190" i="10" s="1"/>
  <c r="S196" i="3"/>
  <c r="AA50" i="13" l="1"/>
  <c r="CP50" i="13" s="1"/>
  <c r="D189" i="10"/>
  <c r="H189" i="10" s="1"/>
  <c r="X50" i="13"/>
  <c r="R599" i="3"/>
  <c r="R396" i="3"/>
  <c r="BO28" i="12"/>
  <c r="DL28" i="12" s="1"/>
  <c r="BL28" i="12"/>
  <c r="BW28" i="12" s="1"/>
  <c r="BN28" i="12"/>
  <c r="DB28" i="12" s="1"/>
  <c r="BM28" i="12"/>
  <c r="CR28" i="12" s="1"/>
  <c r="BZ28" i="13"/>
  <c r="CC28" i="13"/>
  <c r="BY28" i="13"/>
  <c r="CA28" i="13"/>
  <c r="CB28" i="13"/>
  <c r="CH28" i="13"/>
  <c r="CI28" i="13"/>
  <c r="CK28" i="13" s="1"/>
  <c r="CD28" i="13"/>
  <c r="EG86" i="13"/>
  <c r="EM86" i="13" s="1"/>
  <c r="ER86" i="13"/>
  <c r="EK85" i="13"/>
  <c r="EJ86" i="13"/>
  <c r="AE86" i="13"/>
  <c r="AI86" i="13" s="1"/>
  <c r="CQ86" i="13" s="1"/>
  <c r="AP86" i="13"/>
  <c r="AS86" i="13" s="1"/>
  <c r="DV86" i="13" s="1"/>
  <c r="DZ86" i="13" s="1"/>
  <c r="ED86" i="13" s="1"/>
  <c r="CG86" i="13"/>
  <c r="L87" i="13"/>
  <c r="AN87" i="13" s="1"/>
  <c r="AQ87" i="13" s="1"/>
  <c r="BU87" i="13" s="1"/>
  <c r="M87" i="13"/>
  <c r="K87" i="13"/>
  <c r="AM86" i="13"/>
  <c r="BT86" i="13" s="1"/>
  <c r="U86" i="13"/>
  <c r="DI86" i="13" s="1"/>
  <c r="CJ86" i="13"/>
  <c r="Q86" i="13"/>
  <c r="Y86" i="13"/>
  <c r="AC86" i="13" s="1"/>
  <c r="DJ86" i="13" s="1"/>
  <c r="V86" i="13"/>
  <c r="Z86" i="13"/>
  <c r="AH86" i="13"/>
  <c r="AL86" i="13" s="1"/>
  <c r="BS86" i="13" s="1"/>
  <c r="AG86" i="13"/>
  <c r="AK86" i="13" s="1"/>
  <c r="DK86" i="13" s="1"/>
  <c r="AF86" i="13"/>
  <c r="AJ86" i="13" s="1"/>
  <c r="DA86" i="13" s="1"/>
  <c r="DZ85" i="12"/>
  <c r="CJ86" i="12"/>
  <c r="CG86" i="12"/>
  <c r="W86" i="12"/>
  <c r="X86" i="12"/>
  <c r="Y86" i="12"/>
  <c r="AR86" i="12"/>
  <c r="AZ86" i="12" s="1"/>
  <c r="AM86" i="12"/>
  <c r="BT86" i="12" s="1"/>
  <c r="M87" i="12"/>
  <c r="L87" i="12"/>
  <c r="AN87" i="12" s="1"/>
  <c r="AP86" i="12"/>
  <c r="AE86" i="12"/>
  <c r="AF86" i="12"/>
  <c r="AG86" i="12"/>
  <c r="AH86" i="12"/>
  <c r="U86" i="12"/>
  <c r="DI86" i="12" s="1"/>
  <c r="Q86" i="12"/>
  <c r="AY86" i="12" s="1"/>
  <c r="K87" i="12"/>
  <c r="V86" i="12"/>
  <c r="R86" i="12"/>
  <c r="BQ86" i="12" s="1"/>
  <c r="S86" i="12"/>
  <c r="CO86" i="12" s="1"/>
  <c r="T86" i="12"/>
  <c r="CY86" i="12" s="1"/>
  <c r="T197" i="3"/>
  <c r="N602" i="3"/>
  <c r="T602" i="3" s="1"/>
  <c r="N399" i="3"/>
  <c r="T399" i="3" s="1"/>
  <c r="J600" i="3"/>
  <c r="J397" i="3"/>
  <c r="R195" i="3"/>
  <c r="H600" i="3"/>
  <c r="R600" i="3" s="1"/>
  <c r="Y600" i="3" s="1"/>
  <c r="H397" i="3"/>
  <c r="W599" i="3"/>
  <c r="Y599" i="3"/>
  <c r="W598" i="3"/>
  <c r="Y395" i="3"/>
  <c r="AD395" i="3" s="1"/>
  <c r="Y396" i="3"/>
  <c r="AD396" i="3" s="1"/>
  <c r="AA599" i="3"/>
  <c r="AA598" i="3"/>
  <c r="AD598" i="3" s="1"/>
  <c r="Z600" i="3"/>
  <c r="W193" i="3"/>
  <c r="D397" i="3"/>
  <c r="D600" i="3"/>
  <c r="C398" i="3"/>
  <c r="C601" i="3"/>
  <c r="M399" i="3"/>
  <c r="S399" i="3" s="1"/>
  <c r="M602" i="3"/>
  <c r="S602" i="3" s="1"/>
  <c r="W396" i="3"/>
  <c r="Z397" i="3"/>
  <c r="AA397" i="3"/>
  <c r="G397" i="3"/>
  <c r="Z398" i="3"/>
  <c r="AA193" i="3"/>
  <c r="AD193" i="3" s="1"/>
  <c r="G194" i="3"/>
  <c r="D195" i="3"/>
  <c r="D190" i="10" s="1"/>
  <c r="H190" i="10" s="1"/>
  <c r="C196" i="3"/>
  <c r="C191" i="10" s="1"/>
  <c r="G191" i="10" s="1"/>
  <c r="S197" i="3"/>
  <c r="AB50" i="13" l="1"/>
  <c r="CZ50" i="13" s="1"/>
  <c r="R397" i="3"/>
  <c r="DM28" i="12"/>
  <c r="DQ28" i="12" s="1"/>
  <c r="BX28" i="12"/>
  <c r="CE28" i="12" s="1"/>
  <c r="DC28" i="12"/>
  <c r="DG28" i="12" s="1"/>
  <c r="CS28" i="12"/>
  <c r="CW28" i="12" s="1"/>
  <c r="CM28" i="13"/>
  <c r="CL28" i="13"/>
  <c r="BB29" i="13" s="1"/>
  <c r="AY86" i="13"/>
  <c r="EF87" i="13"/>
  <c r="EL87" i="13" s="1"/>
  <c r="FE87" i="13" s="1"/>
  <c r="N87" i="13"/>
  <c r="AM87" i="13" s="1"/>
  <c r="BT87" i="13" s="1"/>
  <c r="AO87" i="13"/>
  <c r="AR87" i="13" s="1"/>
  <c r="AZ87" i="13" s="1"/>
  <c r="AD86" i="13"/>
  <c r="BR86" i="13" s="1"/>
  <c r="ED85" i="12"/>
  <c r="AD599" i="3"/>
  <c r="AB86" i="12"/>
  <c r="CZ86" i="12" s="1"/>
  <c r="AA86" i="12"/>
  <c r="CP86" i="12" s="1"/>
  <c r="AD86" i="12"/>
  <c r="BR86" i="12" s="1"/>
  <c r="AC86" i="12"/>
  <c r="DJ86" i="12" s="1"/>
  <c r="AQ87" i="12"/>
  <c r="BU87" i="12" s="1"/>
  <c r="AS86" i="12"/>
  <c r="DV86" i="12" s="1"/>
  <c r="AO87" i="12"/>
  <c r="AI86" i="12"/>
  <c r="CQ86" i="12" s="1"/>
  <c r="AJ86" i="12"/>
  <c r="DA86" i="12" s="1"/>
  <c r="AK86" i="12"/>
  <c r="DK86" i="12" s="1"/>
  <c r="AL86" i="12"/>
  <c r="BS86" i="12" s="1"/>
  <c r="N87" i="12"/>
  <c r="Z87" i="12" s="1"/>
  <c r="T198" i="3"/>
  <c r="N603" i="3"/>
  <c r="T603" i="3" s="1"/>
  <c r="N400" i="3"/>
  <c r="T400" i="3" s="1"/>
  <c r="J601" i="3"/>
  <c r="J398" i="3"/>
  <c r="R196" i="3"/>
  <c r="Y195" i="3"/>
  <c r="H601" i="3"/>
  <c r="R601" i="3" s="1"/>
  <c r="H398" i="3"/>
  <c r="R398" i="3" s="1"/>
  <c r="W600" i="3"/>
  <c r="Z601" i="3"/>
  <c r="Y194" i="3"/>
  <c r="G600" i="3"/>
  <c r="D398" i="3"/>
  <c r="G398" i="3" s="1"/>
  <c r="D601" i="3"/>
  <c r="G601" i="3" s="1"/>
  <c r="C399" i="3"/>
  <c r="C602" i="3"/>
  <c r="M400" i="3"/>
  <c r="S400" i="3" s="1"/>
  <c r="M603" i="3"/>
  <c r="S603" i="3" s="1"/>
  <c r="AA398" i="3"/>
  <c r="AA194" i="3"/>
  <c r="T50" i="13" s="1"/>
  <c r="CY50" i="13" s="1"/>
  <c r="W194" i="3"/>
  <c r="Z195" i="3"/>
  <c r="G195" i="3"/>
  <c r="Z196" i="3"/>
  <c r="D196" i="3"/>
  <c r="D191" i="10" s="1"/>
  <c r="H191" i="10" s="1"/>
  <c r="C197" i="3"/>
  <c r="C192" i="10" s="1"/>
  <c r="G192" i="10" s="1"/>
  <c r="S198" i="3"/>
  <c r="Y397" i="3" l="1"/>
  <c r="AD397" i="3" s="1"/>
  <c r="W397" i="3"/>
  <c r="DP28" i="12"/>
  <c r="DN28" i="12"/>
  <c r="DU28" i="12"/>
  <c r="DY28" i="12" s="1"/>
  <c r="EC28" i="12" s="1"/>
  <c r="DO28" i="12"/>
  <c r="CI28" i="12"/>
  <c r="CK28" i="12" s="1"/>
  <c r="BZ28" i="12"/>
  <c r="CC28" i="12"/>
  <c r="CH28" i="12"/>
  <c r="CB28" i="12"/>
  <c r="CD28" i="12"/>
  <c r="CA28" i="12"/>
  <c r="BY28" i="12"/>
  <c r="DF28" i="12"/>
  <c r="DE28" i="12"/>
  <c r="DT28" i="12"/>
  <c r="DX28" i="12" s="1"/>
  <c r="EB28" i="12" s="1"/>
  <c r="DD28" i="12"/>
  <c r="DS28" i="12"/>
  <c r="DW28" i="12" s="1"/>
  <c r="EA28" i="12" s="1"/>
  <c r="CT28" i="12"/>
  <c r="CU28" i="12"/>
  <c r="CV28" i="12"/>
  <c r="BE29" i="13"/>
  <c r="BD29" i="13"/>
  <c r="EQ29" i="13" s="1"/>
  <c r="ES29" i="13" s="1"/>
  <c r="EG87" i="13"/>
  <c r="EM87" i="13" s="1"/>
  <c r="ER87" i="13"/>
  <c r="EK86" i="13"/>
  <c r="EJ87" i="13"/>
  <c r="Q87" i="13"/>
  <c r="AF87" i="13"/>
  <c r="AJ87" i="13" s="1"/>
  <c r="DA87" i="13" s="1"/>
  <c r="AH87" i="13"/>
  <c r="AL87" i="13" s="1"/>
  <c r="BS87" i="13" s="1"/>
  <c r="K88" i="13"/>
  <c r="M88" i="13"/>
  <c r="CG87" i="13"/>
  <c r="AP87" i="13"/>
  <c r="AS87" i="13" s="1"/>
  <c r="DV87" i="13" s="1"/>
  <c r="DZ87" i="13" s="1"/>
  <c r="ED87" i="13" s="1"/>
  <c r="L88" i="13"/>
  <c r="AN88" i="13" s="1"/>
  <c r="AQ88" i="13" s="1"/>
  <c r="BU88" i="13" s="1"/>
  <c r="U87" i="13"/>
  <c r="DI87" i="13" s="1"/>
  <c r="Y87" i="13"/>
  <c r="CJ87" i="13"/>
  <c r="V87" i="13"/>
  <c r="Z87" i="13"/>
  <c r="AG87" i="13"/>
  <c r="AK87" i="13" s="1"/>
  <c r="DK87" i="13" s="1"/>
  <c r="AE87" i="13"/>
  <c r="AI87" i="13" s="1"/>
  <c r="CQ87" i="13" s="1"/>
  <c r="DZ86" i="12"/>
  <c r="CJ87" i="12"/>
  <c r="CG87" i="12"/>
  <c r="W87" i="12"/>
  <c r="X87" i="12"/>
  <c r="Y87" i="12"/>
  <c r="AD194" i="3"/>
  <c r="AR87" i="12"/>
  <c r="AZ87" i="12" s="1"/>
  <c r="AM87" i="12"/>
  <c r="BT87" i="12" s="1"/>
  <c r="M88" i="12"/>
  <c r="L88" i="12"/>
  <c r="AN88" i="12" s="1"/>
  <c r="AP87" i="12"/>
  <c r="AE87" i="12"/>
  <c r="AF87" i="12"/>
  <c r="AG87" i="12"/>
  <c r="AH87" i="12"/>
  <c r="S87" i="12"/>
  <c r="CO87" i="12" s="1"/>
  <c r="T87" i="12"/>
  <c r="CY87" i="12" s="1"/>
  <c r="U87" i="12"/>
  <c r="DI87" i="12" s="1"/>
  <c r="Q87" i="12"/>
  <c r="AY87" i="12" s="1"/>
  <c r="K88" i="12"/>
  <c r="V87" i="12"/>
  <c r="R87" i="12"/>
  <c r="BQ87" i="12" s="1"/>
  <c r="T199" i="3"/>
  <c r="N604" i="3"/>
  <c r="T604" i="3" s="1"/>
  <c r="N401" i="3"/>
  <c r="T401" i="3" s="1"/>
  <c r="J602" i="3"/>
  <c r="J399" i="3"/>
  <c r="R197" i="3"/>
  <c r="H602" i="3"/>
  <c r="R602" i="3" s="1"/>
  <c r="H399" i="3"/>
  <c r="AA601" i="3"/>
  <c r="AA600" i="3"/>
  <c r="AD600" i="3" s="1"/>
  <c r="Z602" i="3"/>
  <c r="W195" i="3"/>
  <c r="Y398" i="3"/>
  <c r="AD398" i="3" s="1"/>
  <c r="D399" i="3"/>
  <c r="G399" i="3" s="1"/>
  <c r="D602" i="3"/>
  <c r="C400" i="3"/>
  <c r="C603" i="3"/>
  <c r="M401" i="3"/>
  <c r="S401" i="3" s="1"/>
  <c r="M604" i="3"/>
  <c r="S604" i="3" s="1"/>
  <c r="W398" i="3"/>
  <c r="Z399" i="3"/>
  <c r="AA399" i="3"/>
  <c r="AA195" i="3"/>
  <c r="AD195" i="3" s="1"/>
  <c r="G196" i="3"/>
  <c r="D197" i="3"/>
  <c r="D192" i="10" s="1"/>
  <c r="H192" i="10" s="1"/>
  <c r="C198" i="3"/>
  <c r="C193" i="10" s="1"/>
  <c r="G193" i="10" s="1"/>
  <c r="S199" i="3"/>
  <c r="FD28" i="12" l="1"/>
  <c r="FG28" i="12" s="1"/>
  <c r="R399" i="3"/>
  <c r="W399" i="3" s="1"/>
  <c r="CL28" i="12"/>
  <c r="BB29" i="12" s="1"/>
  <c r="CM28" i="12"/>
  <c r="ET29" i="13"/>
  <c r="EW29" i="13" s="1"/>
  <c r="EZ29" i="13" s="1"/>
  <c r="EU29" i="13"/>
  <c r="EX29" i="13" s="1"/>
  <c r="FA29" i="13" s="1"/>
  <c r="EV29" i="13"/>
  <c r="EY29" i="13" s="1"/>
  <c r="FB29" i="13" s="1"/>
  <c r="FF29" i="13" s="1"/>
  <c r="BC29" i="13"/>
  <c r="AY87" i="13"/>
  <c r="EF88" i="13"/>
  <c r="EL88" i="13" s="1"/>
  <c r="FE88" i="13" s="1"/>
  <c r="N88" i="13"/>
  <c r="AM88" i="13" s="1"/>
  <c r="BT88" i="13" s="1"/>
  <c r="AO88" i="13"/>
  <c r="AR88" i="13" s="1"/>
  <c r="AZ88" i="13" s="1"/>
  <c r="AC87" i="13"/>
  <c r="DJ87" i="13" s="1"/>
  <c r="AD87" i="13"/>
  <c r="BR87" i="13" s="1"/>
  <c r="ED86" i="12"/>
  <c r="AB87" i="12"/>
  <c r="CZ87" i="12" s="1"/>
  <c r="AC87" i="12"/>
  <c r="DJ87" i="12" s="1"/>
  <c r="AD87" i="12"/>
  <c r="BR87" i="12" s="1"/>
  <c r="AA87" i="12"/>
  <c r="CP87" i="12" s="1"/>
  <c r="AQ88" i="12"/>
  <c r="BU88" i="12" s="1"/>
  <c r="AS87" i="12"/>
  <c r="DV87" i="12" s="1"/>
  <c r="AO88" i="12"/>
  <c r="AI87" i="12"/>
  <c r="CQ87" i="12" s="1"/>
  <c r="AJ87" i="12"/>
  <c r="DA87" i="12" s="1"/>
  <c r="AK87" i="12"/>
  <c r="DK87" i="12" s="1"/>
  <c r="AL87" i="12"/>
  <c r="BS87" i="12" s="1"/>
  <c r="N88" i="12"/>
  <c r="Z88" i="12" s="1"/>
  <c r="T200" i="3"/>
  <c r="N605" i="3"/>
  <c r="T605" i="3" s="1"/>
  <c r="N402" i="3"/>
  <c r="T402" i="3" s="1"/>
  <c r="J603" i="3"/>
  <c r="J400" i="3"/>
  <c r="R198" i="3"/>
  <c r="H603" i="3"/>
  <c r="R603" i="3" s="1"/>
  <c r="Y603" i="3" s="1"/>
  <c r="H400" i="3"/>
  <c r="R400" i="3" s="1"/>
  <c r="W602" i="3"/>
  <c r="Y602" i="3"/>
  <c r="W601" i="3"/>
  <c r="Y601" i="3"/>
  <c r="AD601" i="3" s="1"/>
  <c r="Z603" i="3"/>
  <c r="Y196" i="3"/>
  <c r="R53" i="13" s="1"/>
  <c r="BQ53" i="13" s="1"/>
  <c r="G602" i="3"/>
  <c r="D400" i="3"/>
  <c r="G400" i="3" s="1"/>
  <c r="D603" i="3"/>
  <c r="G603" i="3" s="1"/>
  <c r="C401" i="3"/>
  <c r="C604" i="3"/>
  <c r="M402" i="3"/>
  <c r="S402" i="3" s="1"/>
  <c r="M605" i="3"/>
  <c r="S605" i="3" s="1"/>
  <c r="Z400" i="3"/>
  <c r="AA400" i="3"/>
  <c r="AA196" i="3"/>
  <c r="W196" i="3"/>
  <c r="Z197" i="3"/>
  <c r="G197" i="3"/>
  <c r="D198" i="3"/>
  <c r="D193" i="10" s="1"/>
  <c r="H193" i="10" s="1"/>
  <c r="C199" i="3"/>
  <c r="S200" i="3"/>
  <c r="C194" i="10" l="1"/>
  <c r="G194" i="10" s="1"/>
  <c r="W51" i="13"/>
  <c r="BE29" i="12"/>
  <c r="BK29" i="13"/>
  <c r="BF29" i="13"/>
  <c r="BH29" i="13"/>
  <c r="BG29" i="13"/>
  <c r="BI29" i="13"/>
  <c r="EG88" i="13"/>
  <c r="EM88" i="13" s="1"/>
  <c r="ER88" i="13"/>
  <c r="EK87" i="13"/>
  <c r="EJ88" i="13"/>
  <c r="U88" i="13"/>
  <c r="DI88" i="13" s="1"/>
  <c r="AH88" i="13"/>
  <c r="AL88" i="13" s="1"/>
  <c r="BS88" i="13" s="1"/>
  <c r="AG88" i="13"/>
  <c r="AK88" i="13" s="1"/>
  <c r="DK88" i="13" s="1"/>
  <c r="AF88" i="13"/>
  <c r="AJ88" i="13" s="1"/>
  <c r="DA88" i="13" s="1"/>
  <c r="AE88" i="13"/>
  <c r="AI88" i="13" s="1"/>
  <c r="CQ88" i="13" s="1"/>
  <c r="L89" i="13"/>
  <c r="AN89" i="13" s="1"/>
  <c r="AQ89" i="13" s="1"/>
  <c r="BU89" i="13" s="1"/>
  <c r="M89" i="13"/>
  <c r="K89" i="13"/>
  <c r="AP88" i="13"/>
  <c r="AS88" i="13" s="1"/>
  <c r="DV88" i="13" s="1"/>
  <c r="DZ88" i="13" s="1"/>
  <c r="ED88" i="13" s="1"/>
  <c r="CG88" i="13"/>
  <c r="Z88" i="13"/>
  <c r="Q88" i="13"/>
  <c r="V88" i="13"/>
  <c r="Y88" i="13"/>
  <c r="AC88" i="13" s="1"/>
  <c r="DJ88" i="13" s="1"/>
  <c r="CJ88" i="13"/>
  <c r="DZ87" i="12"/>
  <c r="CJ88" i="12"/>
  <c r="CG88" i="12"/>
  <c r="W88" i="12"/>
  <c r="X88" i="12"/>
  <c r="Y88" i="12"/>
  <c r="AD196" i="3"/>
  <c r="AR88" i="12"/>
  <c r="AZ88" i="12" s="1"/>
  <c r="AM88" i="12"/>
  <c r="BT88" i="12" s="1"/>
  <c r="M89" i="12"/>
  <c r="L89" i="12"/>
  <c r="AN89" i="12" s="1"/>
  <c r="AP88" i="12"/>
  <c r="AE88" i="12"/>
  <c r="AF88" i="12"/>
  <c r="AG88" i="12"/>
  <c r="AH88" i="12"/>
  <c r="U88" i="12"/>
  <c r="DI88" i="12" s="1"/>
  <c r="Q88" i="12"/>
  <c r="AY88" i="12" s="1"/>
  <c r="K89" i="12"/>
  <c r="V88" i="12"/>
  <c r="R88" i="12"/>
  <c r="BQ88" i="12" s="1"/>
  <c r="S88" i="12"/>
  <c r="CO88" i="12" s="1"/>
  <c r="T88" i="12"/>
  <c r="CY88" i="12" s="1"/>
  <c r="T201" i="3"/>
  <c r="N606" i="3"/>
  <c r="T606" i="3" s="1"/>
  <c r="N403" i="3"/>
  <c r="T403" i="3" s="1"/>
  <c r="J604" i="3"/>
  <c r="J401" i="3"/>
  <c r="R199" i="3"/>
  <c r="H604" i="3"/>
  <c r="H401" i="3"/>
  <c r="W603" i="3"/>
  <c r="Y400" i="3"/>
  <c r="AD400" i="3" s="1"/>
  <c r="Y399" i="3"/>
  <c r="AD399" i="3" s="1"/>
  <c r="AA603" i="3"/>
  <c r="AD603" i="3" s="1"/>
  <c r="AA602" i="3"/>
  <c r="AD602" i="3" s="1"/>
  <c r="Z604" i="3"/>
  <c r="W400" i="3"/>
  <c r="W197" i="3"/>
  <c r="Y197" i="3"/>
  <c r="Y198" i="3"/>
  <c r="D401" i="3"/>
  <c r="D604" i="3"/>
  <c r="C402" i="3"/>
  <c r="C605" i="3"/>
  <c r="M403" i="3"/>
  <c r="S403" i="3" s="1"/>
  <c r="M606" i="3"/>
  <c r="S606" i="3" s="1"/>
  <c r="Z401" i="3"/>
  <c r="G401" i="3"/>
  <c r="Z402" i="3"/>
  <c r="Z198" i="3"/>
  <c r="AA197" i="3"/>
  <c r="G198" i="3"/>
  <c r="D199" i="3"/>
  <c r="C200" i="3"/>
  <c r="C195" i="10" s="1"/>
  <c r="G195" i="10" s="1"/>
  <c r="S201" i="3"/>
  <c r="AA51" i="13" l="1"/>
  <c r="CP51" i="13" s="1"/>
  <c r="D194" i="10"/>
  <c r="H194" i="10" s="1"/>
  <c r="X51" i="13"/>
  <c r="R604" i="3"/>
  <c r="R401" i="3"/>
  <c r="AD197" i="3"/>
  <c r="BC29" i="12"/>
  <c r="BO29" i="13"/>
  <c r="DL29" i="13" s="1"/>
  <c r="DM29" i="13" s="1"/>
  <c r="BM29" i="13"/>
  <c r="CR29" i="13" s="1"/>
  <c r="CS29" i="13" s="1"/>
  <c r="BN29" i="13"/>
  <c r="DB29" i="13" s="1"/>
  <c r="DC29" i="13" s="1"/>
  <c r="BL29" i="13"/>
  <c r="BW29" i="13" s="1"/>
  <c r="AY88" i="13"/>
  <c r="EF89" i="13"/>
  <c r="EL89" i="13" s="1"/>
  <c r="FE89" i="13" s="1"/>
  <c r="N89" i="13"/>
  <c r="AM89" i="13" s="1"/>
  <c r="BT89" i="13" s="1"/>
  <c r="AO89" i="13"/>
  <c r="AR89" i="13" s="1"/>
  <c r="AZ89" i="13" s="1"/>
  <c r="AD88" i="13"/>
  <c r="BR88" i="13" s="1"/>
  <c r="ED87" i="12"/>
  <c r="AC88" i="12"/>
  <c r="DJ88" i="12" s="1"/>
  <c r="AB88" i="12"/>
  <c r="CZ88" i="12" s="1"/>
  <c r="AD88" i="12"/>
  <c r="BR88" i="12" s="1"/>
  <c r="AA88" i="12"/>
  <c r="CP88" i="12" s="1"/>
  <c r="AQ89" i="12"/>
  <c r="BU89" i="12" s="1"/>
  <c r="AS88" i="12"/>
  <c r="DV88" i="12" s="1"/>
  <c r="AO89" i="12"/>
  <c r="AI88" i="12"/>
  <c r="CQ88" i="12" s="1"/>
  <c r="AJ88" i="12"/>
  <c r="DA88" i="12" s="1"/>
  <c r="AK88" i="12"/>
  <c r="DK88" i="12" s="1"/>
  <c r="AL88" i="12"/>
  <c r="BS88" i="12" s="1"/>
  <c r="N89" i="12"/>
  <c r="Z89" i="12" s="1"/>
  <c r="T202" i="3"/>
  <c r="N607" i="3"/>
  <c r="T607" i="3" s="1"/>
  <c r="N404" i="3"/>
  <c r="T404" i="3" s="1"/>
  <c r="J605" i="3"/>
  <c r="J402" i="3"/>
  <c r="R200" i="3"/>
  <c r="Y199" i="3"/>
  <c r="H605" i="3"/>
  <c r="R605" i="3" s="1"/>
  <c r="H402" i="3"/>
  <c r="R402" i="3" s="1"/>
  <c r="Z605" i="3"/>
  <c r="G604" i="3"/>
  <c r="D402" i="3"/>
  <c r="G402" i="3" s="1"/>
  <c r="D605" i="3"/>
  <c r="C403" i="3"/>
  <c r="C606" i="3"/>
  <c r="M404" i="3"/>
  <c r="S404" i="3" s="1"/>
  <c r="M607" i="3"/>
  <c r="S607" i="3" s="1"/>
  <c r="AA401" i="3"/>
  <c r="AA198" i="3"/>
  <c r="AD198" i="3" s="1"/>
  <c r="W198" i="3"/>
  <c r="AA402" i="3"/>
  <c r="Z199" i="3"/>
  <c r="S51" i="13" s="1"/>
  <c r="CO51" i="13" s="1"/>
  <c r="W199" i="3"/>
  <c r="G199" i="3"/>
  <c r="D200" i="3"/>
  <c r="D195" i="10" s="1"/>
  <c r="H195" i="10" s="1"/>
  <c r="C201" i="3"/>
  <c r="C196" i="10" s="1"/>
  <c r="G196" i="10" s="1"/>
  <c r="S202" i="3"/>
  <c r="AB51" i="13" l="1"/>
  <c r="CZ51" i="13" s="1"/>
  <c r="Y605" i="3"/>
  <c r="Y604" i="3"/>
  <c r="W604" i="3"/>
  <c r="Y401" i="3"/>
  <c r="AD401" i="3" s="1"/>
  <c r="W401" i="3"/>
  <c r="BI29" i="12"/>
  <c r="BH29" i="12"/>
  <c r="BK29" i="12"/>
  <c r="BF29" i="12"/>
  <c r="BG29" i="12"/>
  <c r="DU29" i="13"/>
  <c r="DY29" i="13" s="1"/>
  <c r="EC29" i="13" s="1"/>
  <c r="FD29" i="13" s="1"/>
  <c r="FG29" i="13" s="1"/>
  <c r="DP29" i="13"/>
  <c r="DO29" i="13"/>
  <c r="DN29" i="13"/>
  <c r="DQ29" i="13"/>
  <c r="DS29" i="13"/>
  <c r="DW29" i="13" s="1"/>
  <c r="EA29" i="13" s="1"/>
  <c r="CT29" i="13"/>
  <c r="CU29" i="13"/>
  <c r="CV29" i="13"/>
  <c r="CW29" i="13"/>
  <c r="DD29" i="13"/>
  <c r="DT29" i="13"/>
  <c r="DX29" i="13" s="1"/>
  <c r="EB29" i="13" s="1"/>
  <c r="DF29" i="13"/>
  <c r="DE29" i="13"/>
  <c r="DG29" i="13"/>
  <c r="BX29" i="13"/>
  <c r="CE29" i="13" s="1"/>
  <c r="ER89" i="13"/>
  <c r="EG89" i="13"/>
  <c r="EM89" i="13" s="1"/>
  <c r="EK88" i="13"/>
  <c r="EJ89" i="13"/>
  <c r="K90" i="13"/>
  <c r="AP89" i="13"/>
  <c r="AS89" i="13" s="1"/>
  <c r="DV89" i="13" s="1"/>
  <c r="DZ89" i="13" s="1"/>
  <c r="ED89" i="13" s="1"/>
  <c r="CG89" i="13"/>
  <c r="M90" i="13"/>
  <c r="L90" i="13"/>
  <c r="AN90" i="13" s="1"/>
  <c r="AQ90" i="13" s="1"/>
  <c r="BU90" i="13" s="1"/>
  <c r="Q89" i="13"/>
  <c r="V89" i="13"/>
  <c r="Y89" i="13"/>
  <c r="AC89" i="13" s="1"/>
  <c r="DJ89" i="13" s="1"/>
  <c r="U89" i="13"/>
  <c r="DI89" i="13" s="1"/>
  <c r="CJ89" i="13"/>
  <c r="Z89" i="13"/>
  <c r="AD89" i="13" s="1"/>
  <c r="BR89" i="13" s="1"/>
  <c r="AH89" i="13"/>
  <c r="AL89" i="13" s="1"/>
  <c r="BS89" i="13" s="1"/>
  <c r="AG89" i="13"/>
  <c r="AK89" i="13" s="1"/>
  <c r="DK89" i="13" s="1"/>
  <c r="AF89" i="13"/>
  <c r="AJ89" i="13" s="1"/>
  <c r="DA89" i="13" s="1"/>
  <c r="AE89" i="13"/>
  <c r="AI89" i="13" s="1"/>
  <c r="CQ89" i="13" s="1"/>
  <c r="DZ88" i="12"/>
  <c r="CJ89" i="12"/>
  <c r="CG89" i="12"/>
  <c r="X89" i="12"/>
  <c r="Y89" i="12"/>
  <c r="W89" i="12"/>
  <c r="AR89" i="12"/>
  <c r="AZ89" i="12" s="1"/>
  <c r="AM89" i="12"/>
  <c r="BT89" i="12" s="1"/>
  <c r="M90" i="12"/>
  <c r="L90" i="12"/>
  <c r="AN90" i="12" s="1"/>
  <c r="AP89" i="12"/>
  <c r="AE89" i="12"/>
  <c r="AF89" i="12"/>
  <c r="AG89" i="12"/>
  <c r="AH89" i="12"/>
  <c r="K90" i="12"/>
  <c r="V89" i="12"/>
  <c r="R89" i="12"/>
  <c r="BQ89" i="12" s="1"/>
  <c r="S89" i="12"/>
  <c r="CO89" i="12" s="1"/>
  <c r="T89" i="12"/>
  <c r="CY89" i="12" s="1"/>
  <c r="U89" i="12"/>
  <c r="DI89" i="12" s="1"/>
  <c r="Q89" i="12"/>
  <c r="AY89" i="12" s="1"/>
  <c r="T203" i="3"/>
  <c r="N608" i="3"/>
  <c r="T608" i="3" s="1"/>
  <c r="N405" i="3"/>
  <c r="T405" i="3" s="1"/>
  <c r="J606" i="3"/>
  <c r="J403" i="3"/>
  <c r="R201" i="3"/>
  <c r="Y200" i="3"/>
  <c r="H606" i="3"/>
  <c r="H403" i="3"/>
  <c r="R403" i="3" s="1"/>
  <c r="Y403" i="3" s="1"/>
  <c r="W605" i="3"/>
  <c r="Y402" i="3"/>
  <c r="AD402" i="3" s="1"/>
  <c r="AA605" i="3"/>
  <c r="AA604" i="3"/>
  <c r="AD604" i="3" s="1"/>
  <c r="Z606" i="3"/>
  <c r="G605" i="3"/>
  <c r="D403" i="3"/>
  <c r="D606" i="3"/>
  <c r="G606" i="3" s="1"/>
  <c r="C404" i="3"/>
  <c r="C607" i="3"/>
  <c r="M405" i="3"/>
  <c r="S405" i="3" s="1"/>
  <c r="M608" i="3"/>
  <c r="S608" i="3" s="1"/>
  <c r="W402" i="3"/>
  <c r="Z403" i="3"/>
  <c r="AA403" i="3"/>
  <c r="G403" i="3"/>
  <c r="Z200" i="3"/>
  <c r="AA199" i="3"/>
  <c r="G200" i="3"/>
  <c r="D201" i="3"/>
  <c r="D196" i="10" s="1"/>
  <c r="H196" i="10" s="1"/>
  <c r="C202" i="3"/>
  <c r="C197" i="10" s="1"/>
  <c r="G197" i="10" s="1"/>
  <c r="S203" i="3"/>
  <c r="AD199" i="3" l="1"/>
  <c r="T51" i="13"/>
  <c r="CY51" i="13" s="1"/>
  <c r="R606" i="3"/>
  <c r="Y606" i="3" s="1"/>
  <c r="AD605" i="3"/>
  <c r="BL29" i="12"/>
  <c r="BW29" i="12" s="1"/>
  <c r="BM29" i="12"/>
  <c r="CR29" i="12" s="1"/>
  <c r="BN29" i="12"/>
  <c r="DB29" i="12" s="1"/>
  <c r="BO29" i="12"/>
  <c r="DL29" i="12" s="1"/>
  <c r="BZ29" i="13"/>
  <c r="CD29" i="13"/>
  <c r="CH29" i="13"/>
  <c r="CB29" i="13"/>
  <c r="BY29" i="13"/>
  <c r="CI29" i="13"/>
  <c r="CK29" i="13" s="1"/>
  <c r="CC29" i="13"/>
  <c r="CA29" i="13"/>
  <c r="AY89" i="13"/>
  <c r="EF90" i="13"/>
  <c r="EL90" i="13" s="1"/>
  <c r="FE90" i="13" s="1"/>
  <c r="N90" i="13"/>
  <c r="AO90" i="13"/>
  <c r="AR90" i="13" s="1"/>
  <c r="AZ90" i="13" s="1"/>
  <c r="ED88" i="12"/>
  <c r="AA89" i="12"/>
  <c r="CP89" i="12" s="1"/>
  <c r="AD89" i="12"/>
  <c r="BR89" i="12" s="1"/>
  <c r="AC89" i="12"/>
  <c r="DJ89" i="12" s="1"/>
  <c r="AB89" i="12"/>
  <c r="CZ89" i="12" s="1"/>
  <c r="AQ90" i="12"/>
  <c r="BU90" i="12" s="1"/>
  <c r="AS89" i="12"/>
  <c r="DV89" i="12" s="1"/>
  <c r="AO90" i="12"/>
  <c r="AI89" i="12"/>
  <c r="CQ89" i="12" s="1"/>
  <c r="AJ89" i="12"/>
  <c r="DA89" i="12" s="1"/>
  <c r="AK89" i="12"/>
  <c r="DK89" i="12" s="1"/>
  <c r="AL89" i="12"/>
  <c r="BS89" i="12" s="1"/>
  <c r="N90" i="12"/>
  <c r="Z90" i="12" s="1"/>
  <c r="T204" i="3"/>
  <c r="N609" i="3"/>
  <c r="T609" i="3" s="1"/>
  <c r="N406" i="3"/>
  <c r="T406" i="3" s="1"/>
  <c r="J607" i="3"/>
  <c r="J404" i="3"/>
  <c r="Y201" i="3"/>
  <c r="R54" i="13" s="1"/>
  <c r="BQ54" i="13" s="1"/>
  <c r="R202" i="3"/>
  <c r="H607" i="3"/>
  <c r="H404" i="3"/>
  <c r="W606" i="3"/>
  <c r="AA606" i="3"/>
  <c r="AD606" i="3" s="1"/>
  <c r="Z607" i="3"/>
  <c r="AD403" i="3"/>
  <c r="D404" i="3"/>
  <c r="G404" i="3" s="1"/>
  <c r="D607" i="3"/>
  <c r="C405" i="3"/>
  <c r="C608" i="3"/>
  <c r="M406" i="3"/>
  <c r="S406" i="3" s="1"/>
  <c r="M609" i="3"/>
  <c r="S609" i="3" s="1"/>
  <c r="W403" i="3"/>
  <c r="Z404" i="3"/>
  <c r="AA200" i="3"/>
  <c r="AD200" i="3" s="1"/>
  <c r="W200" i="3"/>
  <c r="Z201" i="3"/>
  <c r="W201" i="3"/>
  <c r="G201" i="3"/>
  <c r="D202" i="3"/>
  <c r="D197" i="10" s="1"/>
  <c r="H197" i="10" s="1"/>
  <c r="C203" i="3"/>
  <c r="S204" i="3"/>
  <c r="C198" i="10" l="1"/>
  <c r="G198" i="10" s="1"/>
  <c r="W52" i="13"/>
  <c r="R607" i="3"/>
  <c r="Y607" i="3" s="1"/>
  <c r="R404" i="3"/>
  <c r="Y404" i="3" s="1"/>
  <c r="BX29" i="12"/>
  <c r="CE29" i="12" s="1"/>
  <c r="DM29" i="12"/>
  <c r="DO29" i="12" s="1"/>
  <c r="CS29" i="12"/>
  <c r="CW29" i="12" s="1"/>
  <c r="DC29" i="12"/>
  <c r="DG29" i="12" s="1"/>
  <c r="CL29" i="13"/>
  <c r="BB30" i="13" s="1"/>
  <c r="CM29" i="13"/>
  <c r="ER90" i="13"/>
  <c r="EG90" i="13"/>
  <c r="EM90" i="13" s="1"/>
  <c r="EK89" i="13"/>
  <c r="EJ90" i="13"/>
  <c r="AM90" i="13"/>
  <c r="BT90" i="13" s="1"/>
  <c r="AP90" i="13"/>
  <c r="AS90" i="13" s="1"/>
  <c r="DV90" i="13" s="1"/>
  <c r="DZ90" i="13" s="1"/>
  <c r="ED90" i="13" s="1"/>
  <c r="CG90" i="13"/>
  <c r="K91" i="13"/>
  <c r="L91" i="13"/>
  <c r="AN91" i="13" s="1"/>
  <c r="AQ91" i="13" s="1"/>
  <c r="BU91" i="13" s="1"/>
  <c r="M91" i="13"/>
  <c r="U90" i="13"/>
  <c r="DI90" i="13" s="1"/>
  <c r="Y90" i="13"/>
  <c r="AC90" i="13" s="1"/>
  <c r="DJ90" i="13" s="1"/>
  <c r="CJ90" i="13"/>
  <c r="Q90" i="13"/>
  <c r="Z90" i="13"/>
  <c r="AD90" i="13" s="1"/>
  <c r="BR90" i="13" s="1"/>
  <c r="V90" i="13"/>
  <c r="AH90" i="13"/>
  <c r="AL90" i="13" s="1"/>
  <c r="BS90" i="13" s="1"/>
  <c r="AG90" i="13"/>
  <c r="AK90" i="13" s="1"/>
  <c r="DK90" i="13" s="1"/>
  <c r="AF90" i="13"/>
  <c r="AJ90" i="13" s="1"/>
  <c r="DA90" i="13" s="1"/>
  <c r="AE90" i="13"/>
  <c r="AI90" i="13" s="1"/>
  <c r="CQ90" i="13" s="1"/>
  <c r="DZ89" i="12"/>
  <c r="CJ90" i="12"/>
  <c r="CG90" i="12"/>
  <c r="W90" i="12"/>
  <c r="Y90" i="12"/>
  <c r="X90" i="12"/>
  <c r="AR90" i="12"/>
  <c r="AZ90" i="12" s="1"/>
  <c r="AM90" i="12"/>
  <c r="BT90" i="12" s="1"/>
  <c r="M91" i="12"/>
  <c r="L91" i="12"/>
  <c r="AN91" i="12" s="1"/>
  <c r="AP90" i="12"/>
  <c r="AE90" i="12"/>
  <c r="AF90" i="12"/>
  <c r="AG90" i="12"/>
  <c r="AH90" i="12"/>
  <c r="U90" i="12"/>
  <c r="DI90" i="12" s="1"/>
  <c r="K91" i="12"/>
  <c r="S90" i="12"/>
  <c r="CO90" i="12" s="1"/>
  <c r="T90" i="12"/>
  <c r="CY90" i="12" s="1"/>
  <c r="Q90" i="12"/>
  <c r="AY90" i="12" s="1"/>
  <c r="V90" i="12"/>
  <c r="R90" i="12"/>
  <c r="BQ90" i="12" s="1"/>
  <c r="T205" i="3"/>
  <c r="N610" i="3"/>
  <c r="T610" i="3" s="1"/>
  <c r="N407" i="3"/>
  <c r="T407" i="3" s="1"/>
  <c r="J608" i="3"/>
  <c r="J405" i="3"/>
  <c r="R203" i="3"/>
  <c r="Y202" i="3"/>
  <c r="H608" i="3"/>
  <c r="R608" i="3" s="1"/>
  <c r="Y608" i="3" s="1"/>
  <c r="H405" i="3"/>
  <c r="R405" i="3" s="1"/>
  <c r="Y405" i="3" s="1"/>
  <c r="W607" i="3"/>
  <c r="Z608" i="3"/>
  <c r="AA607" i="3"/>
  <c r="AD607" i="3" s="1"/>
  <c r="G607" i="3"/>
  <c r="D405" i="3"/>
  <c r="D608" i="3"/>
  <c r="C406" i="3"/>
  <c r="C609" i="3"/>
  <c r="M407" i="3"/>
  <c r="S407" i="3" s="1"/>
  <c r="M610" i="3"/>
  <c r="S610" i="3" s="1"/>
  <c r="Z405" i="3"/>
  <c r="AA404" i="3"/>
  <c r="AD404" i="3" s="1"/>
  <c r="W404" i="3"/>
  <c r="G405" i="3"/>
  <c r="Z202" i="3"/>
  <c r="AA201" i="3"/>
  <c r="AD201" i="3" s="1"/>
  <c r="G202" i="3"/>
  <c r="D203" i="3"/>
  <c r="C204" i="3"/>
  <c r="C199" i="10" s="1"/>
  <c r="G199" i="10" s="1"/>
  <c r="S205" i="3"/>
  <c r="AA52" i="13" l="1"/>
  <c r="CP52" i="13" s="1"/>
  <c r="D198" i="10"/>
  <c r="H198" i="10" s="1"/>
  <c r="X52" i="13"/>
  <c r="DU29" i="12"/>
  <c r="DY29" i="12" s="1"/>
  <c r="EC29" i="12" s="1"/>
  <c r="FD29" i="12" s="1"/>
  <c r="FG29" i="12" s="1"/>
  <c r="DP29" i="12"/>
  <c r="DN29" i="12"/>
  <c r="DQ29" i="12"/>
  <c r="CB29" i="12"/>
  <c r="CC29" i="12"/>
  <c r="CA29" i="12"/>
  <c r="CD29" i="12"/>
  <c r="BZ29" i="12"/>
  <c r="BY29" i="12"/>
  <c r="CI29" i="12"/>
  <c r="CK29" i="12" s="1"/>
  <c r="CH29" i="12"/>
  <c r="CU29" i="12"/>
  <c r="CT29" i="12"/>
  <c r="CV29" i="12"/>
  <c r="DS29" i="12"/>
  <c r="DW29" i="12" s="1"/>
  <c r="EA29" i="12" s="1"/>
  <c r="DE29" i="12"/>
  <c r="DF29" i="12"/>
  <c r="DT29" i="12"/>
  <c r="DX29" i="12" s="1"/>
  <c r="EB29" i="12" s="1"/>
  <c r="DD29" i="12"/>
  <c r="BE30" i="13"/>
  <c r="BD30" i="13"/>
  <c r="EQ30" i="13" s="1"/>
  <c r="ES30" i="13" s="1"/>
  <c r="AY90" i="13"/>
  <c r="EF91" i="13"/>
  <c r="EL91" i="13" s="1"/>
  <c r="FE91" i="13" s="1"/>
  <c r="N91" i="13"/>
  <c r="AM91" i="13" s="1"/>
  <c r="BT91" i="13" s="1"/>
  <c r="AO91" i="13"/>
  <c r="AR91" i="13" s="1"/>
  <c r="AZ91" i="13" s="1"/>
  <c r="ED89" i="12"/>
  <c r="AB90" i="12"/>
  <c r="CZ90" i="12" s="1"/>
  <c r="AC90" i="12"/>
  <c r="DJ90" i="12" s="1"/>
  <c r="AA90" i="12"/>
  <c r="CP90" i="12" s="1"/>
  <c r="AD90" i="12"/>
  <c r="BR90" i="12" s="1"/>
  <c r="AQ91" i="12"/>
  <c r="BU91" i="12" s="1"/>
  <c r="AS90" i="12"/>
  <c r="DV90" i="12" s="1"/>
  <c r="AO91" i="12"/>
  <c r="AI90" i="12"/>
  <c r="CQ90" i="12" s="1"/>
  <c r="AJ90" i="12"/>
  <c r="DA90" i="12" s="1"/>
  <c r="AK90" i="12"/>
  <c r="DK90" i="12" s="1"/>
  <c r="AL90" i="12"/>
  <c r="BS90" i="12" s="1"/>
  <c r="N91" i="12"/>
  <c r="Z91" i="12" s="1"/>
  <c r="T206" i="3"/>
  <c r="N611" i="3"/>
  <c r="T611" i="3" s="1"/>
  <c r="N408" i="3"/>
  <c r="T408" i="3" s="1"/>
  <c r="J609" i="3"/>
  <c r="J406" i="3"/>
  <c r="R204" i="3"/>
  <c r="H609" i="3"/>
  <c r="H406" i="3"/>
  <c r="W608" i="3"/>
  <c r="Z609" i="3"/>
  <c r="G608" i="3"/>
  <c r="D406" i="3"/>
  <c r="D609" i="3"/>
  <c r="G609" i="3" s="1"/>
  <c r="C407" i="3"/>
  <c r="C610" i="3"/>
  <c r="M408" i="3"/>
  <c r="S408" i="3" s="1"/>
  <c r="M611" i="3"/>
  <c r="S611" i="3" s="1"/>
  <c r="AA405" i="3"/>
  <c r="AD405" i="3" s="1"/>
  <c r="W405" i="3"/>
  <c r="Z406" i="3"/>
  <c r="G406" i="3"/>
  <c r="AA202" i="3"/>
  <c r="AD202" i="3" s="1"/>
  <c r="W202" i="3"/>
  <c r="Z203" i="3"/>
  <c r="S52" i="13" s="1"/>
  <c r="CO52" i="13" s="1"/>
  <c r="G203" i="3"/>
  <c r="D204" i="3"/>
  <c r="D199" i="10" s="1"/>
  <c r="H199" i="10" s="1"/>
  <c r="C205" i="3"/>
  <c r="C200" i="10" s="1"/>
  <c r="G200" i="10" s="1"/>
  <c r="S206" i="3"/>
  <c r="AB52" i="13" l="1"/>
  <c r="CZ52" i="13" s="1"/>
  <c r="R609" i="3"/>
  <c r="R406" i="3"/>
  <c r="W406" i="3" s="1"/>
  <c r="CL29" i="12"/>
  <c r="BB30" i="12" s="1"/>
  <c r="CM29" i="12"/>
  <c r="ET30" i="13"/>
  <c r="EW30" i="13" s="1"/>
  <c r="EZ30" i="13" s="1"/>
  <c r="EV30" i="13"/>
  <c r="EY30" i="13" s="1"/>
  <c r="FB30" i="13" s="1"/>
  <c r="FF30" i="13" s="1"/>
  <c r="EU30" i="13"/>
  <c r="EX30" i="13" s="1"/>
  <c r="FA30" i="13" s="1"/>
  <c r="BC30" i="13"/>
  <c r="ER91" i="13"/>
  <c r="EG91" i="13"/>
  <c r="EM91" i="13" s="1"/>
  <c r="EK90" i="13"/>
  <c r="EJ91" i="13"/>
  <c r="CG91" i="13"/>
  <c r="L92" i="13"/>
  <c r="AN92" i="13" s="1"/>
  <c r="AQ92" i="13" s="1"/>
  <c r="BU92" i="13" s="1"/>
  <c r="V91" i="13"/>
  <c r="AP91" i="13"/>
  <c r="AS91" i="13" s="1"/>
  <c r="DV91" i="13" s="1"/>
  <c r="DZ91" i="13" s="1"/>
  <c r="ED91" i="13" s="1"/>
  <c r="K92" i="13"/>
  <c r="M92" i="13"/>
  <c r="Z91" i="13"/>
  <c r="CJ91" i="13"/>
  <c r="Y91" i="13"/>
  <c r="Q91" i="13"/>
  <c r="U91" i="13"/>
  <c r="DI91" i="13" s="1"/>
  <c r="AH91" i="13"/>
  <c r="AL91" i="13" s="1"/>
  <c r="BS91" i="13" s="1"/>
  <c r="AG91" i="13"/>
  <c r="AK91" i="13" s="1"/>
  <c r="DK91" i="13" s="1"/>
  <c r="AF91" i="13"/>
  <c r="AJ91" i="13" s="1"/>
  <c r="DA91" i="13" s="1"/>
  <c r="AE91" i="13"/>
  <c r="AI91" i="13" s="1"/>
  <c r="CQ91" i="13" s="1"/>
  <c r="DZ90" i="12"/>
  <c r="CJ91" i="12"/>
  <c r="CG91" i="12"/>
  <c r="X91" i="12"/>
  <c r="W91" i="12"/>
  <c r="Y91" i="12"/>
  <c r="AR91" i="12"/>
  <c r="AZ91" i="12" s="1"/>
  <c r="AM91" i="12"/>
  <c r="BT91" i="12" s="1"/>
  <c r="M92" i="12"/>
  <c r="L92" i="12"/>
  <c r="AN92" i="12" s="1"/>
  <c r="AP91" i="12"/>
  <c r="AE91" i="12"/>
  <c r="AF91" i="12"/>
  <c r="AG91" i="12"/>
  <c r="AH91" i="12"/>
  <c r="R91" i="12"/>
  <c r="BQ91" i="12" s="1"/>
  <c r="T91" i="12"/>
  <c r="CY91" i="12" s="1"/>
  <c r="Q91" i="12"/>
  <c r="AY91" i="12" s="1"/>
  <c r="V91" i="12"/>
  <c r="S91" i="12"/>
  <c r="CO91" i="12" s="1"/>
  <c r="U91" i="12"/>
  <c r="DI91" i="12" s="1"/>
  <c r="K92" i="12"/>
  <c r="T207" i="3"/>
  <c r="N612" i="3"/>
  <c r="T612" i="3" s="1"/>
  <c r="N409" i="3"/>
  <c r="T409" i="3" s="1"/>
  <c r="J610" i="3"/>
  <c r="J407" i="3"/>
  <c r="R205" i="3"/>
  <c r="H610" i="3"/>
  <c r="R610" i="3" s="1"/>
  <c r="H407" i="3"/>
  <c r="R407" i="3" s="1"/>
  <c r="AA609" i="3"/>
  <c r="AA608" i="3"/>
  <c r="AD608" i="3" s="1"/>
  <c r="Z610" i="3"/>
  <c r="W203" i="3"/>
  <c r="Y203" i="3"/>
  <c r="Y406" i="3"/>
  <c r="D407" i="3"/>
  <c r="D610" i="3"/>
  <c r="G610" i="3" s="1"/>
  <c r="C408" i="3"/>
  <c r="C611" i="3"/>
  <c r="M409" i="3"/>
  <c r="S409" i="3" s="1"/>
  <c r="M612" i="3"/>
  <c r="S612" i="3" s="1"/>
  <c r="Z407" i="3"/>
  <c r="AA406" i="3"/>
  <c r="G407" i="3"/>
  <c r="Z408" i="3"/>
  <c r="Z204" i="3"/>
  <c r="AA203" i="3"/>
  <c r="T52" i="13" s="1"/>
  <c r="CY52" i="13" s="1"/>
  <c r="AA204" i="3"/>
  <c r="G204" i="3"/>
  <c r="D205" i="3"/>
  <c r="D200" i="10" s="1"/>
  <c r="H200" i="10" s="1"/>
  <c r="C206" i="3"/>
  <c r="C201" i="10" s="1"/>
  <c r="G201" i="10" s="1"/>
  <c r="S207" i="3"/>
  <c r="BE30" i="12" l="1"/>
  <c r="Y610" i="3"/>
  <c r="Y609" i="3"/>
  <c r="AD609" i="3" s="1"/>
  <c r="W609" i="3"/>
  <c r="AD406" i="3"/>
  <c r="BH30" i="13"/>
  <c r="BK30" i="13"/>
  <c r="BG30" i="13"/>
  <c r="BF30" i="13"/>
  <c r="BI30" i="13"/>
  <c r="AY91" i="13"/>
  <c r="EF92" i="13"/>
  <c r="EL92" i="13" s="1"/>
  <c r="FE92" i="13" s="1"/>
  <c r="N92" i="13"/>
  <c r="AM92" i="13" s="1"/>
  <c r="BT92" i="13" s="1"/>
  <c r="AO92" i="13"/>
  <c r="AR92" i="13" s="1"/>
  <c r="AZ92" i="13" s="1"/>
  <c r="AD91" i="13"/>
  <c r="BR91" i="13" s="1"/>
  <c r="AC91" i="13"/>
  <c r="DJ91" i="13" s="1"/>
  <c r="ED90" i="12"/>
  <c r="AD203" i="3"/>
  <c r="AA91" i="12"/>
  <c r="CP91" i="12" s="1"/>
  <c r="AC91" i="12"/>
  <c r="DJ91" i="12" s="1"/>
  <c r="AB91" i="12"/>
  <c r="CZ91" i="12" s="1"/>
  <c r="AD91" i="12"/>
  <c r="BR91" i="12" s="1"/>
  <c r="AQ92" i="12"/>
  <c r="BU92" i="12" s="1"/>
  <c r="AS91" i="12"/>
  <c r="DV91" i="12" s="1"/>
  <c r="AO92" i="12"/>
  <c r="AI91" i="12"/>
  <c r="CQ91" i="12" s="1"/>
  <c r="AJ91" i="12"/>
  <c r="DA91" i="12" s="1"/>
  <c r="AK91" i="12"/>
  <c r="DK91" i="12" s="1"/>
  <c r="AL91" i="12"/>
  <c r="BS91" i="12" s="1"/>
  <c r="N92" i="12"/>
  <c r="Z92" i="12" s="1"/>
  <c r="N613" i="3"/>
  <c r="T613" i="3" s="1"/>
  <c r="N410" i="3"/>
  <c r="T410" i="3" s="1"/>
  <c r="J611" i="3"/>
  <c r="J408" i="3"/>
  <c r="R206" i="3"/>
  <c r="H611" i="3"/>
  <c r="H408" i="3"/>
  <c r="W610" i="3"/>
  <c r="AA610" i="3"/>
  <c r="AA611" i="3"/>
  <c r="Z611" i="3"/>
  <c r="W204" i="3"/>
  <c r="Y204" i="3"/>
  <c r="AD204" i="3" s="1"/>
  <c r="Y407" i="3"/>
  <c r="D408" i="3"/>
  <c r="D611" i="3"/>
  <c r="G611" i="3" s="1"/>
  <c r="C409" i="3"/>
  <c r="C612" i="3"/>
  <c r="M410" i="3"/>
  <c r="S410" i="3" s="1"/>
  <c r="M613" i="3"/>
  <c r="S613" i="3" s="1"/>
  <c r="AA407" i="3"/>
  <c r="W407" i="3"/>
  <c r="G408" i="3"/>
  <c r="AA408" i="3"/>
  <c r="C207" i="3"/>
  <c r="Z205" i="3"/>
  <c r="G205" i="3"/>
  <c r="D206" i="3"/>
  <c r="D201" i="10" s="1"/>
  <c r="H201" i="10" s="1"/>
  <c r="W53" i="13" l="1"/>
  <c r="W54" i="13"/>
  <c r="W55" i="13"/>
  <c r="W56" i="13"/>
  <c r="W57" i="13"/>
  <c r="W58" i="13"/>
  <c r="W59" i="13"/>
  <c r="W60" i="13"/>
  <c r="W61" i="13"/>
  <c r="W62" i="13"/>
  <c r="W63" i="13"/>
  <c r="W64" i="13"/>
  <c r="W65" i="13"/>
  <c r="W66" i="13"/>
  <c r="W67" i="13"/>
  <c r="W68" i="13"/>
  <c r="W69" i="13"/>
  <c r="W70" i="13"/>
  <c r="W71" i="13"/>
  <c r="W72" i="13"/>
  <c r="W73" i="13"/>
  <c r="W74" i="13"/>
  <c r="W75" i="13"/>
  <c r="W76" i="13"/>
  <c r="W77" i="13"/>
  <c r="W78" i="13"/>
  <c r="W79" i="13"/>
  <c r="W80" i="13"/>
  <c r="W81" i="13"/>
  <c r="W82" i="13"/>
  <c r="W83" i="13"/>
  <c r="W84" i="13"/>
  <c r="W85" i="13"/>
  <c r="W86" i="13"/>
  <c r="W87" i="13"/>
  <c r="W88" i="13"/>
  <c r="W89" i="13"/>
  <c r="W90" i="13"/>
  <c r="W91" i="13"/>
  <c r="R611" i="3"/>
  <c r="R408" i="3"/>
  <c r="W408" i="3" s="1"/>
  <c r="AD610" i="3"/>
  <c r="BC30" i="12"/>
  <c r="BM30" i="13"/>
  <c r="CR30" i="13" s="1"/>
  <c r="CS30" i="13" s="1"/>
  <c r="BN30" i="13"/>
  <c r="DB30" i="13" s="1"/>
  <c r="BL30" i="13"/>
  <c r="BW30" i="13" s="1"/>
  <c r="BO30" i="13"/>
  <c r="DL30" i="13" s="1"/>
  <c r="DM30" i="13" s="1"/>
  <c r="EG92" i="13"/>
  <c r="EM92" i="13" s="1"/>
  <c r="ER92" i="13"/>
  <c r="EK91" i="13"/>
  <c r="EJ92" i="13"/>
  <c r="AP92" i="13"/>
  <c r="AS92" i="13" s="1"/>
  <c r="DV92" i="13" s="1"/>
  <c r="DZ92" i="13" s="1"/>
  <c r="ED92" i="13" s="1"/>
  <c r="CG92" i="13"/>
  <c r="K93" i="13"/>
  <c r="L93" i="13"/>
  <c r="AN93" i="13" s="1"/>
  <c r="AQ93" i="13" s="1"/>
  <c r="BU93" i="13" s="1"/>
  <c r="M93" i="13"/>
  <c r="U92" i="13"/>
  <c r="DI92" i="13" s="1"/>
  <c r="X92" i="13"/>
  <c r="CJ92" i="13"/>
  <c r="Q92" i="13"/>
  <c r="W92" i="13"/>
  <c r="Z92" i="13"/>
  <c r="S92" i="13"/>
  <c r="CO92" i="13" s="1"/>
  <c r="V92" i="13"/>
  <c r="Y92" i="13"/>
  <c r="AH92" i="13"/>
  <c r="AL92" i="13" s="1"/>
  <c r="BS92" i="13" s="1"/>
  <c r="AG92" i="13"/>
  <c r="AK92" i="13" s="1"/>
  <c r="DK92" i="13" s="1"/>
  <c r="AF92" i="13"/>
  <c r="AJ92" i="13" s="1"/>
  <c r="DA92" i="13" s="1"/>
  <c r="AE92" i="13"/>
  <c r="AI92" i="13" s="1"/>
  <c r="CQ92" i="13" s="1"/>
  <c r="DZ91" i="12"/>
  <c r="C613" i="3"/>
  <c r="C202" i="10"/>
  <c r="G202" i="10" s="1"/>
  <c r="CJ92" i="12"/>
  <c r="CG92" i="12"/>
  <c r="W92" i="12"/>
  <c r="X92" i="12"/>
  <c r="Y92" i="12"/>
  <c r="AD407" i="3"/>
  <c r="AR92" i="12"/>
  <c r="AZ92" i="12" s="1"/>
  <c r="AM92" i="12"/>
  <c r="BT92" i="12" s="1"/>
  <c r="M93" i="12"/>
  <c r="L93" i="12"/>
  <c r="AN93" i="12" s="1"/>
  <c r="AP92" i="12"/>
  <c r="AE92" i="12"/>
  <c r="AF92" i="12"/>
  <c r="AG92" i="12"/>
  <c r="AH92" i="12"/>
  <c r="T92" i="12"/>
  <c r="CY92" i="12" s="1"/>
  <c r="U92" i="12"/>
  <c r="DI92" i="12" s="1"/>
  <c r="Q92" i="12"/>
  <c r="AY92" i="12" s="1"/>
  <c r="K93" i="12"/>
  <c r="V92" i="12"/>
  <c r="R92" i="12"/>
  <c r="BQ92" i="12" s="1"/>
  <c r="S92" i="12"/>
  <c r="CO92" i="12" s="1"/>
  <c r="J612" i="3"/>
  <c r="J409" i="3"/>
  <c r="R207" i="3"/>
  <c r="Y206" i="3"/>
  <c r="H612" i="3"/>
  <c r="R612" i="3" s="1"/>
  <c r="H409" i="3"/>
  <c r="R409" i="3" s="1"/>
  <c r="Z612" i="3"/>
  <c r="W205" i="3"/>
  <c r="Y205" i="3"/>
  <c r="R55" i="13" s="1"/>
  <c r="BQ55" i="13" s="1"/>
  <c r="Z613" i="3"/>
  <c r="D409" i="3"/>
  <c r="D612" i="3"/>
  <c r="G612" i="3" s="1"/>
  <c r="Z409" i="3"/>
  <c r="Z207" i="3"/>
  <c r="C410" i="3"/>
  <c r="G409" i="3"/>
  <c r="AA409" i="3"/>
  <c r="D207" i="3"/>
  <c r="Z206" i="3"/>
  <c r="AA205" i="3"/>
  <c r="W206" i="3"/>
  <c r="G206" i="3"/>
  <c r="AA54" i="13" l="1"/>
  <c r="CP54" i="13" s="1"/>
  <c r="AA90" i="13"/>
  <c r="CP90" i="13" s="1"/>
  <c r="AA59" i="13"/>
  <c r="CP59" i="13" s="1"/>
  <c r="AA82" i="13"/>
  <c r="CP82" i="13" s="1"/>
  <c r="AA79" i="13"/>
  <c r="CP79" i="13" s="1"/>
  <c r="AA83" i="13"/>
  <c r="CP83" i="13" s="1"/>
  <c r="AA89" i="13"/>
  <c r="CP89" i="13" s="1"/>
  <c r="AA85" i="13"/>
  <c r="CP85" i="13" s="1"/>
  <c r="AA87" i="13"/>
  <c r="CP87" i="13" s="1"/>
  <c r="AA91" i="13"/>
  <c r="CP91" i="13" s="1"/>
  <c r="AA84" i="13"/>
  <c r="CP84" i="13" s="1"/>
  <c r="AA53" i="13"/>
  <c r="CP53" i="13" s="1"/>
  <c r="AA86" i="13"/>
  <c r="CP86" i="13" s="1"/>
  <c r="AA88" i="13"/>
  <c r="CP88" i="13" s="1"/>
  <c r="AA56" i="13"/>
  <c r="CP56" i="13" s="1"/>
  <c r="AA55" i="13"/>
  <c r="CP55" i="13" s="1"/>
  <c r="AA58" i="13"/>
  <c r="CP58" i="13" s="1"/>
  <c r="AA57" i="13"/>
  <c r="CP57" i="13" s="1"/>
  <c r="AA61" i="13"/>
  <c r="CP61" i="13" s="1"/>
  <c r="AA60" i="13"/>
  <c r="CP60" i="13" s="1"/>
  <c r="AA67" i="13"/>
  <c r="CP67" i="13" s="1"/>
  <c r="AA66" i="13"/>
  <c r="CP66" i="13" s="1"/>
  <c r="AA70" i="13"/>
  <c r="CP70" i="13" s="1"/>
  <c r="AA69" i="13"/>
  <c r="CP69" i="13" s="1"/>
  <c r="AA74" i="13"/>
  <c r="CP74" i="13" s="1"/>
  <c r="AA73" i="13"/>
  <c r="CP73" i="13" s="1"/>
  <c r="AA76" i="13"/>
  <c r="CP76" i="13" s="1"/>
  <c r="AA75" i="13"/>
  <c r="CP75" i="13" s="1"/>
  <c r="AA81" i="13"/>
  <c r="CP81" i="13" s="1"/>
  <c r="AA62" i="13"/>
  <c r="CP62" i="13" s="1"/>
  <c r="AA63" i="13"/>
  <c r="CP63" i="13" s="1"/>
  <c r="AA64" i="13"/>
  <c r="CP64" i="13" s="1"/>
  <c r="AA65" i="13"/>
  <c r="CP65" i="13" s="1"/>
  <c r="AA68" i="13"/>
  <c r="CP68" i="13" s="1"/>
  <c r="AA71" i="13"/>
  <c r="CP71" i="13" s="1"/>
  <c r="AA72" i="13"/>
  <c r="CP72" i="13" s="1"/>
  <c r="AA78" i="13"/>
  <c r="CP78" i="13" s="1"/>
  <c r="AA80" i="13"/>
  <c r="CP80" i="13" s="1"/>
  <c r="AA77" i="13"/>
  <c r="CP77" i="13" s="1"/>
  <c r="D202" i="10"/>
  <c r="H202" i="10" s="1"/>
  <c r="X53" i="13"/>
  <c r="X54" i="13"/>
  <c r="X55" i="13"/>
  <c r="X56" i="13"/>
  <c r="X57" i="13"/>
  <c r="X58" i="13"/>
  <c r="X59" i="13"/>
  <c r="X60" i="13"/>
  <c r="X61" i="13"/>
  <c r="X62" i="13"/>
  <c r="X63" i="13"/>
  <c r="X64" i="13"/>
  <c r="X65" i="13"/>
  <c r="X66" i="13"/>
  <c r="X67" i="13"/>
  <c r="X68" i="13"/>
  <c r="X69" i="13"/>
  <c r="X70" i="13"/>
  <c r="X71" i="13"/>
  <c r="X72" i="13"/>
  <c r="X73" i="13"/>
  <c r="X74" i="13"/>
  <c r="X75" i="13"/>
  <c r="X76" i="13"/>
  <c r="X77" i="13"/>
  <c r="X78" i="13"/>
  <c r="X79" i="13"/>
  <c r="X80" i="13"/>
  <c r="X81" i="13"/>
  <c r="X82" i="13"/>
  <c r="X83" i="13"/>
  <c r="X84" i="13"/>
  <c r="X85" i="13"/>
  <c r="X86" i="13"/>
  <c r="X87" i="13"/>
  <c r="X88" i="13"/>
  <c r="X89" i="13"/>
  <c r="X90" i="13"/>
  <c r="X91" i="13"/>
  <c r="S53" i="13"/>
  <c r="CO53" i="13" s="1"/>
  <c r="S54" i="13"/>
  <c r="CO54" i="13" s="1"/>
  <c r="S55" i="13"/>
  <c r="CO55" i="13" s="1"/>
  <c r="S56" i="13"/>
  <c r="CO56" i="13" s="1"/>
  <c r="S57" i="13"/>
  <c r="CO57" i="13" s="1"/>
  <c r="S58" i="13"/>
  <c r="CO58" i="13" s="1"/>
  <c r="S59" i="13"/>
  <c r="CO59" i="13" s="1"/>
  <c r="S60" i="13"/>
  <c r="CO60" i="13" s="1"/>
  <c r="S61" i="13"/>
  <c r="CO61" i="13" s="1"/>
  <c r="S62" i="13"/>
  <c r="CO62" i="13" s="1"/>
  <c r="S63" i="13"/>
  <c r="CO63" i="13" s="1"/>
  <c r="S64" i="13"/>
  <c r="CO64" i="13" s="1"/>
  <c r="S65" i="13"/>
  <c r="CO65" i="13" s="1"/>
  <c r="S66" i="13"/>
  <c r="CO66" i="13" s="1"/>
  <c r="S67" i="13"/>
  <c r="CO67" i="13" s="1"/>
  <c r="S68" i="13"/>
  <c r="CO68" i="13" s="1"/>
  <c r="S69" i="13"/>
  <c r="CO69" i="13" s="1"/>
  <c r="S70" i="13"/>
  <c r="CO70" i="13" s="1"/>
  <c r="S71" i="13"/>
  <c r="CO71" i="13" s="1"/>
  <c r="S72" i="13"/>
  <c r="CO72" i="13" s="1"/>
  <c r="S73" i="13"/>
  <c r="CO73" i="13" s="1"/>
  <c r="S74" i="13"/>
  <c r="CO74" i="13" s="1"/>
  <c r="S75" i="13"/>
  <c r="CO75" i="13" s="1"/>
  <c r="S76" i="13"/>
  <c r="CO76" i="13" s="1"/>
  <c r="S77" i="13"/>
  <c r="CO77" i="13" s="1"/>
  <c r="S78" i="13"/>
  <c r="CO78" i="13" s="1"/>
  <c r="S79" i="13"/>
  <c r="CO79" i="13" s="1"/>
  <c r="S80" i="13"/>
  <c r="CO80" i="13" s="1"/>
  <c r="S81" i="13"/>
  <c r="CO81" i="13" s="1"/>
  <c r="S82" i="13"/>
  <c r="CO82" i="13" s="1"/>
  <c r="S83" i="13"/>
  <c r="CO83" i="13" s="1"/>
  <c r="S84" i="13"/>
  <c r="CO84" i="13" s="1"/>
  <c r="S85" i="13"/>
  <c r="CO85" i="13" s="1"/>
  <c r="S86" i="13"/>
  <c r="CO86" i="13" s="1"/>
  <c r="S87" i="13"/>
  <c r="CO87" i="13" s="1"/>
  <c r="S88" i="13"/>
  <c r="CO88" i="13" s="1"/>
  <c r="S89" i="13"/>
  <c r="CO89" i="13" s="1"/>
  <c r="S90" i="13"/>
  <c r="CO90" i="13" s="1"/>
  <c r="S91" i="13"/>
  <c r="CO91" i="13" s="1"/>
  <c r="BG30" i="12"/>
  <c r="BH30" i="12"/>
  <c r="BK30" i="12"/>
  <c r="BF30" i="12"/>
  <c r="BI30" i="12"/>
  <c r="DS30" i="13"/>
  <c r="DW30" i="13" s="1"/>
  <c r="EA30" i="13" s="1"/>
  <c r="CV30" i="13"/>
  <c r="CU30" i="13"/>
  <c r="CT30" i="13"/>
  <c r="CW30" i="13"/>
  <c r="DC30" i="13"/>
  <c r="DG30" i="13" s="1"/>
  <c r="BX30" i="13"/>
  <c r="CE30" i="13" s="1"/>
  <c r="DO30" i="13"/>
  <c r="DP30" i="13"/>
  <c r="DU30" i="13"/>
  <c r="DY30" i="13" s="1"/>
  <c r="EC30" i="13" s="1"/>
  <c r="FD30" i="13" s="1"/>
  <c r="FG30" i="13" s="1"/>
  <c r="DN30" i="13"/>
  <c r="DQ30" i="13"/>
  <c r="AY92" i="13"/>
  <c r="N93" i="13"/>
  <c r="AM93" i="13" s="1"/>
  <c r="BT93" i="13" s="1"/>
  <c r="EF93" i="13"/>
  <c r="EL93" i="13" s="1"/>
  <c r="FE93" i="13" s="1"/>
  <c r="AO93" i="13"/>
  <c r="AR93" i="13" s="1"/>
  <c r="AZ93" i="13" s="1"/>
  <c r="AA92" i="13"/>
  <c r="CP92" i="13" s="1"/>
  <c r="AD92" i="13"/>
  <c r="BR92" i="13" s="1"/>
  <c r="AC92" i="13"/>
  <c r="DJ92" i="13" s="1"/>
  <c r="ED91" i="12"/>
  <c r="AD205" i="3"/>
  <c r="AA92" i="12"/>
  <c r="CP92" i="12" s="1"/>
  <c r="AB92" i="12"/>
  <c r="CZ92" i="12" s="1"/>
  <c r="AD92" i="12"/>
  <c r="BR92" i="12" s="1"/>
  <c r="AC92" i="12"/>
  <c r="DJ92" i="12" s="1"/>
  <c r="AQ93" i="12"/>
  <c r="BU93" i="12" s="1"/>
  <c r="AS92" i="12"/>
  <c r="DV92" i="12" s="1"/>
  <c r="AO93" i="12"/>
  <c r="AI92" i="12"/>
  <c r="CQ92" i="12" s="1"/>
  <c r="AJ92" i="12"/>
  <c r="DA92" i="12" s="1"/>
  <c r="AK92" i="12"/>
  <c r="DK92" i="12" s="1"/>
  <c r="AL92" i="12"/>
  <c r="BS92" i="12" s="1"/>
  <c r="N93" i="12"/>
  <c r="Z93" i="12" s="1"/>
  <c r="J613" i="3"/>
  <c r="J410" i="3"/>
  <c r="Y207" i="3"/>
  <c r="H613" i="3"/>
  <c r="R613" i="3" s="1"/>
  <c r="Y613" i="3" s="1"/>
  <c r="H410" i="3"/>
  <c r="W612" i="3"/>
  <c r="Y612" i="3"/>
  <c r="W611" i="3"/>
  <c r="Y611" i="3"/>
  <c r="AD611" i="3" s="1"/>
  <c r="Y409" i="3"/>
  <c r="AD409" i="3" s="1"/>
  <c r="Y408" i="3"/>
  <c r="AD408" i="3" s="1"/>
  <c r="AA612" i="3"/>
  <c r="D410" i="3"/>
  <c r="G410" i="3" s="1"/>
  <c r="D613" i="3"/>
  <c r="W409" i="3"/>
  <c r="Z410" i="3"/>
  <c r="AA410" i="3"/>
  <c r="G207" i="3"/>
  <c r="AA207" i="3"/>
  <c r="AA206" i="3"/>
  <c r="AD206" i="3" s="1"/>
  <c r="AB54" i="13" l="1"/>
  <c r="CZ54" i="13" s="1"/>
  <c r="AB55" i="13"/>
  <c r="CZ55" i="13" s="1"/>
  <c r="AB65" i="13"/>
  <c r="CZ65" i="13" s="1"/>
  <c r="AB68" i="13"/>
  <c r="CZ68" i="13" s="1"/>
  <c r="AB88" i="13"/>
  <c r="CZ88" i="13" s="1"/>
  <c r="AB62" i="13"/>
  <c r="CZ62" i="13" s="1"/>
  <c r="AB92" i="13"/>
  <c r="CZ92" i="13" s="1"/>
  <c r="AB91" i="13"/>
  <c r="CZ91" i="13" s="1"/>
  <c r="AB53" i="13"/>
  <c r="CZ53" i="13" s="1"/>
  <c r="AB84" i="13"/>
  <c r="CZ84" i="13" s="1"/>
  <c r="AB85" i="13"/>
  <c r="CZ85" i="13" s="1"/>
  <c r="AB86" i="13"/>
  <c r="CZ86" i="13" s="1"/>
  <c r="AB87" i="13"/>
  <c r="CZ87" i="13" s="1"/>
  <c r="AB89" i="13"/>
  <c r="CZ89" i="13" s="1"/>
  <c r="AB59" i="13"/>
  <c r="CZ59" i="13" s="1"/>
  <c r="AB58" i="13"/>
  <c r="CZ58" i="13" s="1"/>
  <c r="AB67" i="13"/>
  <c r="CZ67" i="13" s="1"/>
  <c r="AB66" i="13"/>
  <c r="CZ66" i="13" s="1"/>
  <c r="AB70" i="13"/>
  <c r="CZ70" i="13" s="1"/>
  <c r="AB69" i="13"/>
  <c r="CZ69" i="13" s="1"/>
  <c r="AB74" i="13"/>
  <c r="CZ74" i="13" s="1"/>
  <c r="AB73" i="13"/>
  <c r="CZ73" i="13" s="1"/>
  <c r="AB77" i="13"/>
  <c r="CZ77" i="13" s="1"/>
  <c r="AB76" i="13"/>
  <c r="CZ76" i="13" s="1"/>
  <c r="AB80" i="13"/>
  <c r="CZ80" i="13" s="1"/>
  <c r="AB79" i="13"/>
  <c r="CZ79" i="13" s="1"/>
  <c r="AB63" i="13"/>
  <c r="CZ63" i="13" s="1"/>
  <c r="AB56" i="13"/>
  <c r="CZ56" i="13" s="1"/>
  <c r="AB57" i="13"/>
  <c r="CZ57" i="13" s="1"/>
  <c r="AB60" i="13"/>
  <c r="CZ60" i="13" s="1"/>
  <c r="AB72" i="13"/>
  <c r="CZ72" i="13" s="1"/>
  <c r="AB75" i="13"/>
  <c r="CZ75" i="13" s="1"/>
  <c r="AB78" i="13"/>
  <c r="CZ78" i="13" s="1"/>
  <c r="AB81" i="13"/>
  <c r="CZ81" i="13" s="1"/>
  <c r="AB64" i="13"/>
  <c r="CZ64" i="13" s="1"/>
  <c r="AB82" i="13"/>
  <c r="CZ82" i="13" s="1"/>
  <c r="AB61" i="13"/>
  <c r="CZ61" i="13" s="1"/>
  <c r="AB71" i="13"/>
  <c r="CZ71" i="13" s="1"/>
  <c r="AB83" i="13"/>
  <c r="CZ83" i="13" s="1"/>
  <c r="AB90" i="13"/>
  <c r="CZ90" i="13" s="1"/>
  <c r="T53" i="13"/>
  <c r="CY53" i="13" s="1"/>
  <c r="T54" i="13"/>
  <c r="CY54" i="13" s="1"/>
  <c r="T55" i="13"/>
  <c r="CY55" i="13" s="1"/>
  <c r="T56" i="13"/>
  <c r="CY56" i="13" s="1"/>
  <c r="T57" i="13"/>
  <c r="CY57" i="13" s="1"/>
  <c r="T58" i="13"/>
  <c r="CY58" i="13" s="1"/>
  <c r="T59" i="13"/>
  <c r="CY59" i="13" s="1"/>
  <c r="T60" i="13"/>
  <c r="CY60" i="13" s="1"/>
  <c r="T61" i="13"/>
  <c r="CY61" i="13" s="1"/>
  <c r="T62" i="13"/>
  <c r="CY62" i="13" s="1"/>
  <c r="T63" i="13"/>
  <c r="CY63" i="13" s="1"/>
  <c r="T64" i="13"/>
  <c r="CY64" i="13" s="1"/>
  <c r="T65" i="13"/>
  <c r="CY65" i="13" s="1"/>
  <c r="T66" i="13"/>
  <c r="CY66" i="13" s="1"/>
  <c r="T67" i="13"/>
  <c r="CY67" i="13" s="1"/>
  <c r="T68" i="13"/>
  <c r="CY68" i="13" s="1"/>
  <c r="T69" i="13"/>
  <c r="CY69" i="13" s="1"/>
  <c r="T70" i="13"/>
  <c r="CY70" i="13" s="1"/>
  <c r="T71" i="13"/>
  <c r="CY71" i="13" s="1"/>
  <c r="T72" i="13"/>
  <c r="CY72" i="13" s="1"/>
  <c r="T73" i="13"/>
  <c r="CY73" i="13" s="1"/>
  <c r="T74" i="13"/>
  <c r="CY74" i="13" s="1"/>
  <c r="T75" i="13"/>
  <c r="CY75" i="13" s="1"/>
  <c r="T76" i="13"/>
  <c r="CY76" i="13" s="1"/>
  <c r="T77" i="13"/>
  <c r="CY77" i="13" s="1"/>
  <c r="T78" i="13"/>
  <c r="CY78" i="13" s="1"/>
  <c r="T79" i="13"/>
  <c r="CY79" i="13" s="1"/>
  <c r="T80" i="13"/>
  <c r="CY80" i="13" s="1"/>
  <c r="T81" i="13"/>
  <c r="CY81" i="13" s="1"/>
  <c r="T82" i="13"/>
  <c r="CY82" i="13" s="1"/>
  <c r="T83" i="13"/>
  <c r="CY83" i="13" s="1"/>
  <c r="T84" i="13"/>
  <c r="CY84" i="13" s="1"/>
  <c r="T85" i="13"/>
  <c r="CY85" i="13" s="1"/>
  <c r="T86" i="13"/>
  <c r="CY86" i="13" s="1"/>
  <c r="T87" i="13"/>
  <c r="CY87" i="13" s="1"/>
  <c r="T88" i="13"/>
  <c r="CY88" i="13" s="1"/>
  <c r="T89" i="13"/>
  <c r="CY89" i="13" s="1"/>
  <c r="T90" i="13"/>
  <c r="CY90" i="13" s="1"/>
  <c r="T91" i="13"/>
  <c r="CY91" i="13" s="1"/>
  <c r="T92" i="13"/>
  <c r="CY92" i="13" s="1"/>
  <c r="R410" i="3"/>
  <c r="R56" i="13"/>
  <c r="BQ56" i="13" s="1"/>
  <c r="R57" i="13"/>
  <c r="BQ57" i="13" s="1"/>
  <c r="R58" i="13"/>
  <c r="BQ58" i="13" s="1"/>
  <c r="R59" i="13"/>
  <c r="BQ59" i="13" s="1"/>
  <c r="R60" i="13"/>
  <c r="BQ60" i="13" s="1"/>
  <c r="R61" i="13"/>
  <c r="BQ61" i="13" s="1"/>
  <c r="R62" i="13"/>
  <c r="BQ62" i="13" s="1"/>
  <c r="R63" i="13"/>
  <c r="BQ63" i="13" s="1"/>
  <c r="R64" i="13"/>
  <c r="BQ64" i="13" s="1"/>
  <c r="R65" i="13"/>
  <c r="BQ65" i="13" s="1"/>
  <c r="R66" i="13"/>
  <c r="BQ66" i="13" s="1"/>
  <c r="R67" i="13"/>
  <c r="BQ67" i="13" s="1"/>
  <c r="R68" i="13"/>
  <c r="BQ68" i="13" s="1"/>
  <c r="R69" i="13"/>
  <c r="BQ69" i="13" s="1"/>
  <c r="R70" i="13"/>
  <c r="BQ70" i="13" s="1"/>
  <c r="R71" i="13"/>
  <c r="BQ71" i="13" s="1"/>
  <c r="R72" i="13"/>
  <c r="BQ72" i="13" s="1"/>
  <c r="R73" i="13"/>
  <c r="BQ73" i="13" s="1"/>
  <c r="R74" i="13"/>
  <c r="BQ74" i="13" s="1"/>
  <c r="R75" i="13"/>
  <c r="BQ75" i="13" s="1"/>
  <c r="R76" i="13"/>
  <c r="BQ76" i="13" s="1"/>
  <c r="R77" i="13"/>
  <c r="BQ77" i="13" s="1"/>
  <c r="R78" i="13"/>
  <c r="BQ78" i="13" s="1"/>
  <c r="R79" i="13"/>
  <c r="BQ79" i="13" s="1"/>
  <c r="R80" i="13"/>
  <c r="BQ80" i="13" s="1"/>
  <c r="R81" i="13"/>
  <c r="BQ81" i="13" s="1"/>
  <c r="R82" i="13"/>
  <c r="BQ82" i="13" s="1"/>
  <c r="R83" i="13"/>
  <c r="BQ83" i="13" s="1"/>
  <c r="R84" i="13"/>
  <c r="BQ84" i="13" s="1"/>
  <c r="R85" i="13"/>
  <c r="BQ85" i="13" s="1"/>
  <c r="R86" i="13"/>
  <c r="BQ86" i="13" s="1"/>
  <c r="R87" i="13"/>
  <c r="BQ87" i="13" s="1"/>
  <c r="R88" i="13"/>
  <c r="BQ88" i="13" s="1"/>
  <c r="R89" i="13"/>
  <c r="BQ89" i="13" s="1"/>
  <c r="R90" i="13"/>
  <c r="BQ90" i="13" s="1"/>
  <c r="R91" i="13"/>
  <c r="BQ91" i="13" s="1"/>
  <c r="R92" i="13"/>
  <c r="BQ92" i="13" s="1"/>
  <c r="BO30" i="12"/>
  <c r="DL30" i="12" s="1"/>
  <c r="DM30" i="12" s="1"/>
  <c r="BN30" i="12"/>
  <c r="DB30" i="12" s="1"/>
  <c r="DC30" i="12" s="1"/>
  <c r="BM30" i="12"/>
  <c r="CR30" i="12" s="1"/>
  <c r="CS30" i="12" s="1"/>
  <c r="BL30" i="12"/>
  <c r="BW30" i="12" s="1"/>
  <c r="DE30" i="13"/>
  <c r="DT30" i="13"/>
  <c r="DX30" i="13" s="1"/>
  <c r="EB30" i="13" s="1"/>
  <c r="DF30" i="13"/>
  <c r="DD30" i="13"/>
  <c r="BZ30" i="13"/>
  <c r="CH30" i="13"/>
  <c r="CC30" i="13"/>
  <c r="CD30" i="13"/>
  <c r="CA30" i="13"/>
  <c r="CB30" i="13"/>
  <c r="BY30" i="13"/>
  <c r="CI30" i="13"/>
  <c r="CK30" i="13" s="1"/>
  <c r="EG93" i="13"/>
  <c r="EM93" i="13" s="1"/>
  <c r="ER93" i="13"/>
  <c r="EK92" i="13"/>
  <c r="EJ93" i="13"/>
  <c r="CJ93" i="13"/>
  <c r="AE93" i="13"/>
  <c r="AI93" i="13" s="1"/>
  <c r="CQ93" i="13" s="1"/>
  <c r="U93" i="13"/>
  <c r="DI93" i="13" s="1"/>
  <c r="AH93" i="13"/>
  <c r="AL93" i="13" s="1"/>
  <c r="BS93" i="13" s="1"/>
  <c r="AF93" i="13"/>
  <c r="AJ93" i="13" s="1"/>
  <c r="DA93" i="13" s="1"/>
  <c r="Y93" i="13"/>
  <c r="AC93" i="13" s="1"/>
  <c r="DJ93" i="13" s="1"/>
  <c r="AG93" i="13"/>
  <c r="AK93" i="13" s="1"/>
  <c r="DK93" i="13" s="1"/>
  <c r="AP93" i="13"/>
  <c r="AS93" i="13" s="1"/>
  <c r="DV93" i="13" s="1"/>
  <c r="DZ93" i="13" s="1"/>
  <c r="ED93" i="13" s="1"/>
  <c r="CG93" i="13"/>
  <c r="K94" i="13"/>
  <c r="L94" i="13"/>
  <c r="AN94" i="13" s="1"/>
  <c r="AQ94" i="13" s="1"/>
  <c r="BU94" i="13" s="1"/>
  <c r="M94" i="13"/>
  <c r="R93" i="13"/>
  <c r="BQ93" i="13" s="1"/>
  <c r="T93" i="13"/>
  <c r="CY93" i="13" s="1"/>
  <c r="W93" i="13"/>
  <c r="AA93" i="13" s="1"/>
  <c r="CP93" i="13" s="1"/>
  <c r="Z93" i="13"/>
  <c r="AD93" i="13" s="1"/>
  <c r="BR93" i="13" s="1"/>
  <c r="S93" i="13"/>
  <c r="CO93" i="13" s="1"/>
  <c r="V93" i="13"/>
  <c r="X93" i="13"/>
  <c r="AB93" i="13" s="1"/>
  <c r="CZ93" i="13" s="1"/>
  <c r="Q93" i="13"/>
  <c r="DZ92" i="12"/>
  <c r="CJ93" i="12"/>
  <c r="CG93" i="12"/>
  <c r="Y93" i="12"/>
  <c r="X93" i="12"/>
  <c r="W93" i="12"/>
  <c r="AD207" i="3"/>
  <c r="AR93" i="12"/>
  <c r="AZ93" i="12" s="1"/>
  <c r="AM93" i="12"/>
  <c r="BT93" i="12" s="1"/>
  <c r="M94" i="12"/>
  <c r="L94" i="12"/>
  <c r="AN94" i="12" s="1"/>
  <c r="AP93" i="12"/>
  <c r="AE93" i="12"/>
  <c r="AF93" i="12"/>
  <c r="AG93" i="12"/>
  <c r="AH93" i="12"/>
  <c r="S93" i="12"/>
  <c r="CO93" i="12" s="1"/>
  <c r="Q93" i="12"/>
  <c r="AY93" i="12" s="1"/>
  <c r="V93" i="12"/>
  <c r="R93" i="12"/>
  <c r="BQ93" i="12" s="1"/>
  <c r="T93" i="12"/>
  <c r="CY93" i="12" s="1"/>
  <c r="U93" i="12"/>
  <c r="DI93" i="12" s="1"/>
  <c r="K94" i="12"/>
  <c r="G613" i="3"/>
  <c r="AD612" i="3"/>
  <c r="W207" i="3"/>
  <c r="Y410" i="3" l="1"/>
  <c r="AD410" i="3" s="1"/>
  <c r="W410" i="3"/>
  <c r="DG30" i="12"/>
  <c r="DE30" i="12"/>
  <c r="DD30" i="12"/>
  <c r="DT30" i="12"/>
  <c r="DX30" i="12" s="1"/>
  <c r="EB30" i="12" s="1"/>
  <c r="DF30" i="12"/>
  <c r="DQ30" i="12"/>
  <c r="DU30" i="12"/>
  <c r="DY30" i="12" s="1"/>
  <c r="EC30" i="12" s="1"/>
  <c r="DP30" i="12"/>
  <c r="DN30" i="12"/>
  <c r="DO30" i="12"/>
  <c r="CW30" i="12"/>
  <c r="CV30" i="12"/>
  <c r="CU30" i="12"/>
  <c r="CT30" i="12"/>
  <c r="DS30" i="12"/>
  <c r="DW30" i="12" s="1"/>
  <c r="EA30" i="12" s="1"/>
  <c r="BX30" i="12"/>
  <c r="CE30" i="12" s="1"/>
  <c r="CL30" i="13"/>
  <c r="BB31" i="13" s="1"/>
  <c r="CM30" i="13"/>
  <c r="AY93" i="13"/>
  <c r="N94" i="13"/>
  <c r="AM94" i="13" s="1"/>
  <c r="BT94" i="13" s="1"/>
  <c r="EF94" i="13"/>
  <c r="EL94" i="13" s="1"/>
  <c r="FE94" i="13" s="1"/>
  <c r="AO94" i="13"/>
  <c r="AR94" i="13" s="1"/>
  <c r="AZ94" i="13" s="1"/>
  <c r="ED92" i="12"/>
  <c r="AA93" i="12"/>
  <c r="CP93" i="12" s="1"/>
  <c r="AC93" i="12"/>
  <c r="DJ93" i="12" s="1"/>
  <c r="AB93" i="12"/>
  <c r="CZ93" i="12" s="1"/>
  <c r="AD93" i="12"/>
  <c r="BR93" i="12" s="1"/>
  <c r="AQ94" i="12"/>
  <c r="BU94" i="12" s="1"/>
  <c r="AS93" i="12"/>
  <c r="DV93" i="12" s="1"/>
  <c r="AO94" i="12"/>
  <c r="AI93" i="12"/>
  <c r="CQ93" i="12" s="1"/>
  <c r="AJ93" i="12"/>
  <c r="DA93" i="12" s="1"/>
  <c r="AK93" i="12"/>
  <c r="DK93" i="12" s="1"/>
  <c r="AL93" i="12"/>
  <c r="BS93" i="12" s="1"/>
  <c r="N94" i="12"/>
  <c r="Z94" i="12" s="1"/>
  <c r="AA613" i="3"/>
  <c r="AD613" i="3" s="1"/>
  <c r="W613" i="3"/>
  <c r="FD30" i="12" l="1"/>
  <c r="FG30" i="12" s="1"/>
  <c r="CB30" i="12"/>
  <c r="CA30" i="12"/>
  <c r="CC30" i="12"/>
  <c r="BY30" i="12"/>
  <c r="CI30" i="12"/>
  <c r="CK30" i="12" s="1"/>
  <c r="CD30" i="12"/>
  <c r="BZ30" i="12"/>
  <c r="CH30" i="12"/>
  <c r="BE31" i="13"/>
  <c r="BD31" i="13"/>
  <c r="EQ31" i="13" s="1"/>
  <c r="ES31" i="13" s="1"/>
  <c r="ER94" i="13"/>
  <c r="EG94" i="13"/>
  <c r="EM94" i="13" s="1"/>
  <c r="EK93" i="13"/>
  <c r="EJ94" i="13"/>
  <c r="AP94" i="13"/>
  <c r="AS94" i="13" s="1"/>
  <c r="DV94" i="13" s="1"/>
  <c r="DZ94" i="13" s="1"/>
  <c r="ED94" i="13" s="1"/>
  <c r="CG94" i="13"/>
  <c r="L95" i="13"/>
  <c r="AN95" i="13" s="1"/>
  <c r="AQ95" i="13" s="1"/>
  <c r="BU95" i="13" s="1"/>
  <c r="M95" i="13"/>
  <c r="K95" i="13"/>
  <c r="S94" i="13"/>
  <c r="CO94" i="13" s="1"/>
  <c r="V94" i="13"/>
  <c r="Y94" i="13"/>
  <c r="AC94" i="13" s="1"/>
  <c r="DJ94" i="13" s="1"/>
  <c r="Q94" i="13"/>
  <c r="T94" i="13"/>
  <c r="CY94" i="13" s="1"/>
  <c r="W94" i="13"/>
  <c r="AA94" i="13" s="1"/>
  <c r="CP94" i="13" s="1"/>
  <c r="X94" i="13"/>
  <c r="AB94" i="13" s="1"/>
  <c r="CZ94" i="13" s="1"/>
  <c r="R94" i="13"/>
  <c r="BQ94" i="13" s="1"/>
  <c r="U94" i="13"/>
  <c r="DI94" i="13" s="1"/>
  <c r="Z94" i="13"/>
  <c r="CJ94" i="13"/>
  <c r="AH94" i="13"/>
  <c r="AL94" i="13" s="1"/>
  <c r="BS94" i="13" s="1"/>
  <c r="AG94" i="13"/>
  <c r="AK94" i="13" s="1"/>
  <c r="DK94" i="13" s="1"/>
  <c r="AF94" i="13"/>
  <c r="AJ94" i="13" s="1"/>
  <c r="DA94" i="13" s="1"/>
  <c r="AE94" i="13"/>
  <c r="AI94" i="13" s="1"/>
  <c r="CQ94" i="13" s="1"/>
  <c r="DZ93" i="12"/>
  <c r="CJ94" i="12"/>
  <c r="CG94" i="12"/>
  <c r="X94" i="12"/>
  <c r="Y94" i="12"/>
  <c r="W94" i="12"/>
  <c r="AR94" i="12"/>
  <c r="AZ94" i="12" s="1"/>
  <c r="AM94" i="12"/>
  <c r="BT94" i="12" s="1"/>
  <c r="M95" i="12"/>
  <c r="L95" i="12"/>
  <c r="AN95" i="12" s="1"/>
  <c r="AP94" i="12"/>
  <c r="AE94" i="12"/>
  <c r="AF94" i="12"/>
  <c r="AG94" i="12"/>
  <c r="AH94" i="12"/>
  <c r="R94" i="12"/>
  <c r="BQ94" i="12" s="1"/>
  <c r="S94" i="12"/>
  <c r="CO94" i="12" s="1"/>
  <c r="T94" i="12"/>
  <c r="CY94" i="12" s="1"/>
  <c r="Q94" i="12"/>
  <c r="AY94" i="12" s="1"/>
  <c r="K95" i="12"/>
  <c r="V94" i="12"/>
  <c r="U94" i="12"/>
  <c r="DI94" i="12" s="1"/>
  <c r="CL30" i="12" l="1"/>
  <c r="BB31" i="12" s="1"/>
  <c r="CM30" i="12"/>
  <c r="EU31" i="13"/>
  <c r="EX31" i="13" s="1"/>
  <c r="FA31" i="13" s="1"/>
  <c r="ET31" i="13"/>
  <c r="EW31" i="13" s="1"/>
  <c r="EZ31" i="13" s="1"/>
  <c r="EV31" i="13"/>
  <c r="EY31" i="13" s="1"/>
  <c r="FB31" i="13" s="1"/>
  <c r="FF31" i="13" s="1"/>
  <c r="BC31" i="13"/>
  <c r="AY94" i="13"/>
  <c r="N95" i="13"/>
  <c r="AM95" i="13" s="1"/>
  <c r="BT95" i="13" s="1"/>
  <c r="EF95" i="13"/>
  <c r="EL95" i="13" s="1"/>
  <c r="FE95" i="13" s="1"/>
  <c r="AO95" i="13"/>
  <c r="AR95" i="13" s="1"/>
  <c r="AZ95" i="13" s="1"/>
  <c r="AD94" i="13"/>
  <c r="BR94" i="13" s="1"/>
  <c r="ED93" i="12"/>
  <c r="AC94" i="12"/>
  <c r="DJ94" i="12" s="1"/>
  <c r="AA94" i="12"/>
  <c r="CP94" i="12" s="1"/>
  <c r="AD94" i="12"/>
  <c r="BR94" i="12" s="1"/>
  <c r="AB94" i="12"/>
  <c r="CZ94" i="12" s="1"/>
  <c r="AQ95" i="12"/>
  <c r="BU95" i="12" s="1"/>
  <c r="AS94" i="12"/>
  <c r="DV94" i="12" s="1"/>
  <c r="AO95" i="12"/>
  <c r="AI94" i="12"/>
  <c r="CQ94" i="12" s="1"/>
  <c r="AJ94" i="12"/>
  <c r="DA94" i="12" s="1"/>
  <c r="AK94" i="12"/>
  <c r="DK94" i="12" s="1"/>
  <c r="AL94" i="12"/>
  <c r="BS94" i="12" s="1"/>
  <c r="N95" i="12"/>
  <c r="Z95" i="12" s="1"/>
  <c r="BE31" i="12" l="1"/>
  <c r="BK31" i="13"/>
  <c r="BG31" i="13"/>
  <c r="BH31" i="13"/>
  <c r="BF31" i="13"/>
  <c r="BI31" i="13"/>
  <c r="ER95" i="13"/>
  <c r="EG95" i="13"/>
  <c r="EM95" i="13" s="1"/>
  <c r="EK94" i="13"/>
  <c r="EJ95" i="13"/>
  <c r="AP95" i="13"/>
  <c r="AS95" i="13" s="1"/>
  <c r="DV95" i="13" s="1"/>
  <c r="DZ95" i="13" s="1"/>
  <c r="ED95" i="13" s="1"/>
  <c r="K96" i="13"/>
  <c r="M96" i="13"/>
  <c r="L96" i="13"/>
  <c r="AN96" i="13" s="1"/>
  <c r="AQ96" i="13" s="1"/>
  <c r="BU96" i="13" s="1"/>
  <c r="S95" i="13"/>
  <c r="CO95" i="13" s="1"/>
  <c r="V95" i="13"/>
  <c r="CG95" i="13"/>
  <c r="X95" i="13"/>
  <c r="AB95" i="13" s="1"/>
  <c r="CZ95" i="13" s="1"/>
  <c r="CJ95" i="13"/>
  <c r="Q95" i="13"/>
  <c r="U95" i="13"/>
  <c r="DI95" i="13" s="1"/>
  <c r="Y95" i="13"/>
  <c r="AC95" i="13" s="1"/>
  <c r="DJ95" i="13" s="1"/>
  <c r="R95" i="13"/>
  <c r="BQ95" i="13" s="1"/>
  <c r="T95" i="13"/>
  <c r="CY95" i="13" s="1"/>
  <c r="W95" i="13"/>
  <c r="Z95" i="13"/>
  <c r="AH95" i="13"/>
  <c r="AL95" i="13" s="1"/>
  <c r="BS95" i="13" s="1"/>
  <c r="AG95" i="13"/>
  <c r="AK95" i="13" s="1"/>
  <c r="DK95" i="13" s="1"/>
  <c r="AF95" i="13"/>
  <c r="AJ95" i="13" s="1"/>
  <c r="DA95" i="13" s="1"/>
  <c r="AE95" i="13"/>
  <c r="AI95" i="13" s="1"/>
  <c r="CQ95" i="13" s="1"/>
  <c r="DZ94" i="12"/>
  <c r="CJ95" i="12"/>
  <c r="CG95" i="12"/>
  <c r="Y95" i="12"/>
  <c r="W95" i="12"/>
  <c r="X95" i="12"/>
  <c r="AR95" i="12"/>
  <c r="AZ95" i="12" s="1"/>
  <c r="AM95" i="12"/>
  <c r="BT95" i="12" s="1"/>
  <c r="M96" i="12"/>
  <c r="L96" i="12"/>
  <c r="AN96" i="12" s="1"/>
  <c r="AP95" i="12"/>
  <c r="AE95" i="12"/>
  <c r="AF95" i="12"/>
  <c r="AG95" i="12"/>
  <c r="AH95" i="12"/>
  <c r="R95" i="12"/>
  <c r="BQ95" i="12" s="1"/>
  <c r="S95" i="12"/>
  <c r="CO95" i="12" s="1"/>
  <c r="T95" i="12"/>
  <c r="CY95" i="12" s="1"/>
  <c r="U95" i="12"/>
  <c r="DI95" i="12" s="1"/>
  <c r="V95" i="12"/>
  <c r="K96" i="12"/>
  <c r="Q95" i="12"/>
  <c r="AY95" i="12" s="1"/>
  <c r="BC31" i="12" l="1"/>
  <c r="BM31" i="13"/>
  <c r="CR31" i="13" s="1"/>
  <c r="CS31" i="13" s="1"/>
  <c r="BN31" i="13"/>
  <c r="DB31" i="13" s="1"/>
  <c r="DC31" i="13" s="1"/>
  <c r="BL31" i="13"/>
  <c r="BW31" i="13" s="1"/>
  <c r="BO31" i="13"/>
  <c r="DL31" i="13" s="1"/>
  <c r="DM31" i="13" s="1"/>
  <c r="AY95" i="13"/>
  <c r="N96" i="13"/>
  <c r="AM96" i="13" s="1"/>
  <c r="BT96" i="13" s="1"/>
  <c r="EF96" i="13"/>
  <c r="EL96" i="13" s="1"/>
  <c r="FE96" i="13" s="1"/>
  <c r="AO96" i="13"/>
  <c r="AR96" i="13" s="1"/>
  <c r="AZ96" i="13" s="1"/>
  <c r="AA95" i="13"/>
  <c r="CP95" i="13" s="1"/>
  <c r="AD95" i="13"/>
  <c r="BR95" i="13" s="1"/>
  <c r="ED94" i="12"/>
  <c r="AD95" i="12"/>
  <c r="BR95" i="12" s="1"/>
  <c r="AB95" i="12"/>
  <c r="CZ95" i="12" s="1"/>
  <c r="AA95" i="12"/>
  <c r="CP95" i="12" s="1"/>
  <c r="AC95" i="12"/>
  <c r="DJ95" i="12" s="1"/>
  <c r="AQ96" i="12"/>
  <c r="BU96" i="12" s="1"/>
  <c r="AS95" i="12"/>
  <c r="DV95" i="12" s="1"/>
  <c r="AO96" i="12"/>
  <c r="AI95" i="12"/>
  <c r="CQ95" i="12" s="1"/>
  <c r="AJ95" i="12"/>
  <c r="DA95" i="12" s="1"/>
  <c r="AK95" i="12"/>
  <c r="DK95" i="12" s="1"/>
  <c r="AL95" i="12"/>
  <c r="BS95" i="12" s="1"/>
  <c r="N96" i="12"/>
  <c r="Z96" i="12" s="1"/>
  <c r="BK31" i="12" l="1"/>
  <c r="BF31" i="12"/>
  <c r="BG31" i="12"/>
  <c r="BH31" i="12"/>
  <c r="BI31" i="12"/>
  <c r="CT31" i="13"/>
  <c r="CU31" i="13"/>
  <c r="DS31" i="13"/>
  <c r="DW31" i="13" s="1"/>
  <c r="EA31" i="13" s="1"/>
  <c r="CV31" i="13"/>
  <c r="CW31" i="13"/>
  <c r="DE31" i="13"/>
  <c r="DT31" i="13"/>
  <c r="DX31" i="13" s="1"/>
  <c r="EB31" i="13" s="1"/>
  <c r="DF31" i="13"/>
  <c r="DD31" i="13"/>
  <c r="DG31" i="13"/>
  <c r="BX31" i="13"/>
  <c r="CE31" i="13" s="1"/>
  <c r="DO31" i="13"/>
  <c r="DU31" i="13"/>
  <c r="DY31" i="13" s="1"/>
  <c r="EC31" i="13" s="1"/>
  <c r="FD31" i="13" s="1"/>
  <c r="FG31" i="13" s="1"/>
  <c r="DN31" i="13"/>
  <c r="DP31" i="13"/>
  <c r="DQ31" i="13"/>
  <c r="EG96" i="13"/>
  <c r="EM96" i="13" s="1"/>
  <c r="ER96" i="13"/>
  <c r="EK95" i="13"/>
  <c r="EJ96" i="13"/>
  <c r="L97" i="13"/>
  <c r="AN97" i="13" s="1"/>
  <c r="AQ97" i="13" s="1"/>
  <c r="BU97" i="13" s="1"/>
  <c r="K97" i="13"/>
  <c r="CG96" i="13"/>
  <c r="AP96" i="13"/>
  <c r="AS96" i="13" s="1"/>
  <c r="DV96" i="13" s="1"/>
  <c r="DZ96" i="13" s="1"/>
  <c r="ED96" i="13" s="1"/>
  <c r="M97" i="13"/>
  <c r="R96" i="13"/>
  <c r="BQ96" i="13" s="1"/>
  <c r="U96" i="13"/>
  <c r="DI96" i="13" s="1"/>
  <c r="X96" i="13"/>
  <c r="AB96" i="13" s="1"/>
  <c r="CZ96" i="13" s="1"/>
  <c r="CJ96" i="13"/>
  <c r="Q96" i="13"/>
  <c r="T96" i="13"/>
  <c r="CY96" i="13" s="1"/>
  <c r="W96" i="13"/>
  <c r="AA96" i="13" s="1"/>
  <c r="CP96" i="13" s="1"/>
  <c r="Z96" i="13"/>
  <c r="AD96" i="13" s="1"/>
  <c r="BR96" i="13" s="1"/>
  <c r="S96" i="13"/>
  <c r="CO96" i="13" s="1"/>
  <c r="V96" i="13"/>
  <c r="Y96" i="13"/>
  <c r="AH96" i="13"/>
  <c r="AL96" i="13" s="1"/>
  <c r="BS96" i="13" s="1"/>
  <c r="AG96" i="13"/>
  <c r="AK96" i="13" s="1"/>
  <c r="DK96" i="13" s="1"/>
  <c r="AF96" i="13"/>
  <c r="AJ96" i="13" s="1"/>
  <c r="DA96" i="13" s="1"/>
  <c r="AE96" i="13"/>
  <c r="AI96" i="13" s="1"/>
  <c r="CQ96" i="13" s="1"/>
  <c r="DZ95" i="12"/>
  <c r="CJ96" i="12"/>
  <c r="CG96" i="12"/>
  <c r="W96" i="12"/>
  <c r="Y96" i="12"/>
  <c r="X96" i="12"/>
  <c r="AM96" i="12"/>
  <c r="BT96" i="12" s="1"/>
  <c r="AR96" i="12"/>
  <c r="AZ96" i="12" s="1"/>
  <c r="M97" i="12"/>
  <c r="L97" i="12"/>
  <c r="AN97" i="12" s="1"/>
  <c r="AP96" i="12"/>
  <c r="AE96" i="12"/>
  <c r="AF96" i="12"/>
  <c r="AG96" i="12"/>
  <c r="AH96" i="12"/>
  <c r="K97" i="12"/>
  <c r="V96" i="12"/>
  <c r="R96" i="12"/>
  <c r="BQ96" i="12" s="1"/>
  <c r="S96" i="12"/>
  <c r="CO96" i="12" s="1"/>
  <c r="U96" i="12"/>
  <c r="DI96" i="12" s="1"/>
  <c r="Q96" i="12"/>
  <c r="AY96" i="12" s="1"/>
  <c r="T96" i="12"/>
  <c r="CY96" i="12" s="1"/>
  <c r="BO31" i="12" l="1"/>
  <c r="DL31" i="12" s="1"/>
  <c r="DM31" i="12" s="1"/>
  <c r="BL31" i="12"/>
  <c r="BW31" i="12" s="1"/>
  <c r="BX31" i="12" s="1"/>
  <c r="BN31" i="12"/>
  <c r="DB31" i="12" s="1"/>
  <c r="DC31" i="12" s="1"/>
  <c r="BM31" i="12"/>
  <c r="CR31" i="12" s="1"/>
  <c r="CS31" i="12" s="1"/>
  <c r="CA31" i="13"/>
  <c r="BZ31" i="13"/>
  <c r="CC31" i="13"/>
  <c r="CB31" i="13"/>
  <c r="BY31" i="13"/>
  <c r="CD31" i="13"/>
  <c r="CI31" i="13"/>
  <c r="CK31" i="13" s="1"/>
  <c r="CH31" i="13"/>
  <c r="AY96" i="13"/>
  <c r="EF97" i="13"/>
  <c r="EL97" i="13" s="1"/>
  <c r="FE97" i="13" s="1"/>
  <c r="N97" i="13"/>
  <c r="AO97" i="13"/>
  <c r="AR97" i="13" s="1"/>
  <c r="AZ97" i="13" s="1"/>
  <c r="AC96" i="13"/>
  <c r="DJ96" i="13" s="1"/>
  <c r="ED95" i="12"/>
  <c r="AB96" i="12"/>
  <c r="CZ96" i="12" s="1"/>
  <c r="AD96" i="12"/>
  <c r="BR96" i="12" s="1"/>
  <c r="AA96" i="12"/>
  <c r="CP96" i="12" s="1"/>
  <c r="AC96" i="12"/>
  <c r="DJ96" i="12" s="1"/>
  <c r="AQ97" i="12"/>
  <c r="BU97" i="12" s="1"/>
  <c r="AS96" i="12"/>
  <c r="DV96" i="12" s="1"/>
  <c r="AO97" i="12"/>
  <c r="AI96" i="12"/>
  <c r="CQ96" i="12" s="1"/>
  <c r="AJ96" i="12"/>
  <c r="DA96" i="12" s="1"/>
  <c r="AK96" i="12"/>
  <c r="DK96" i="12" s="1"/>
  <c r="AL96" i="12"/>
  <c r="BS96" i="12" s="1"/>
  <c r="N97" i="12"/>
  <c r="Z97" i="12" s="1"/>
  <c r="DP31" i="12" l="1"/>
  <c r="DO31" i="12"/>
  <c r="DU31" i="12"/>
  <c r="DY31" i="12" s="1"/>
  <c r="EC31" i="12" s="1"/>
  <c r="DN31" i="12"/>
  <c r="DQ31" i="12"/>
  <c r="CI31" i="12"/>
  <c r="CK31" i="12" s="1"/>
  <c r="BY31" i="12"/>
  <c r="CD31" i="12"/>
  <c r="CB31" i="12"/>
  <c r="CA31" i="12"/>
  <c r="CH31" i="12"/>
  <c r="CC31" i="12"/>
  <c r="BZ31" i="12"/>
  <c r="CE31" i="12"/>
  <c r="DF31" i="12"/>
  <c r="DT31" i="12"/>
  <c r="DX31" i="12" s="1"/>
  <c r="EB31" i="12" s="1"/>
  <c r="DE31" i="12"/>
  <c r="DD31" i="12"/>
  <c r="DG31" i="12"/>
  <c r="CU31" i="12"/>
  <c r="DS31" i="12"/>
  <c r="DW31" i="12" s="1"/>
  <c r="EA31" i="12" s="1"/>
  <c r="CT31" i="12"/>
  <c r="CV31" i="12"/>
  <c r="CW31" i="12"/>
  <c r="CM31" i="13"/>
  <c r="CL31" i="13"/>
  <c r="BB32" i="13" s="1"/>
  <c r="ER97" i="13"/>
  <c r="EG97" i="13"/>
  <c r="EM97" i="13" s="1"/>
  <c r="EK96" i="13"/>
  <c r="EJ97" i="13"/>
  <c r="T97" i="13"/>
  <c r="CY97" i="13" s="1"/>
  <c r="S97" i="13"/>
  <c r="CO97" i="13" s="1"/>
  <c r="AH97" i="13"/>
  <c r="AL97" i="13" s="1"/>
  <c r="BS97" i="13" s="1"/>
  <c r="Q97" i="13"/>
  <c r="X97" i="13"/>
  <c r="AB97" i="13" s="1"/>
  <c r="CZ97" i="13" s="1"/>
  <c r="V97" i="13"/>
  <c r="Y97" i="13"/>
  <c r="AC97" i="13" s="1"/>
  <c r="DJ97" i="13" s="1"/>
  <c r="AG97" i="13"/>
  <c r="AK97" i="13" s="1"/>
  <c r="DK97" i="13" s="1"/>
  <c r="AF97" i="13"/>
  <c r="AJ97" i="13" s="1"/>
  <c r="DA97" i="13" s="1"/>
  <c r="AE97" i="13"/>
  <c r="AI97" i="13" s="1"/>
  <c r="CQ97" i="13" s="1"/>
  <c r="L98" i="13"/>
  <c r="AN98" i="13" s="1"/>
  <c r="AQ98" i="13" s="1"/>
  <c r="BU98" i="13" s="1"/>
  <c r="AP97" i="13"/>
  <c r="AS97" i="13" s="1"/>
  <c r="DV97" i="13" s="1"/>
  <c r="DZ97" i="13" s="1"/>
  <c r="ED97" i="13" s="1"/>
  <c r="CG97" i="13"/>
  <c r="M98" i="13"/>
  <c r="K98" i="13"/>
  <c r="AM97" i="13"/>
  <c r="BT97" i="13" s="1"/>
  <c r="R97" i="13"/>
  <c r="BQ97" i="13" s="1"/>
  <c r="U97" i="13"/>
  <c r="DI97" i="13" s="1"/>
  <c r="W97" i="13"/>
  <c r="AA97" i="13" s="1"/>
  <c r="CP97" i="13" s="1"/>
  <c r="Z97" i="13"/>
  <c r="AD97" i="13" s="1"/>
  <c r="BR97" i="13" s="1"/>
  <c r="CJ97" i="13"/>
  <c r="DZ96" i="12"/>
  <c r="CJ97" i="12"/>
  <c r="CG97" i="12"/>
  <c r="X97" i="12"/>
  <c r="Y97" i="12"/>
  <c r="W97" i="12"/>
  <c r="AR97" i="12"/>
  <c r="AZ97" i="12" s="1"/>
  <c r="AM97" i="12"/>
  <c r="BT97" i="12" s="1"/>
  <c r="M98" i="12"/>
  <c r="L98" i="12"/>
  <c r="AN98" i="12" s="1"/>
  <c r="AP97" i="12"/>
  <c r="AE97" i="12"/>
  <c r="AF97" i="12"/>
  <c r="AG97" i="12"/>
  <c r="AH97" i="12"/>
  <c r="T97" i="12"/>
  <c r="CY97" i="12" s="1"/>
  <c r="U97" i="12"/>
  <c r="DI97" i="12" s="1"/>
  <c r="Q97" i="12"/>
  <c r="AY97" i="12" s="1"/>
  <c r="K98" i="12"/>
  <c r="V97" i="12"/>
  <c r="R97" i="12"/>
  <c r="BQ97" i="12" s="1"/>
  <c r="S97" i="12"/>
  <c r="CO97" i="12" s="1"/>
  <c r="FD31" i="12" l="1"/>
  <c r="FG31" i="12" s="1"/>
  <c r="CL31" i="12"/>
  <c r="BB32" i="12" s="1"/>
  <c r="CM31" i="12"/>
  <c r="BE32" i="13"/>
  <c r="BD32" i="13"/>
  <c r="EQ32" i="13" s="1"/>
  <c r="ES32" i="13" s="1"/>
  <c r="AY97" i="13"/>
  <c r="EF98" i="13"/>
  <c r="EL98" i="13" s="1"/>
  <c r="FE98" i="13" s="1"/>
  <c r="N98" i="13"/>
  <c r="AM98" i="13" s="1"/>
  <c r="BT98" i="13" s="1"/>
  <c r="AO98" i="13"/>
  <c r="AR98" i="13" s="1"/>
  <c r="AZ98" i="13" s="1"/>
  <c r="ED96" i="12"/>
  <c r="AC97" i="12"/>
  <c r="DJ97" i="12" s="1"/>
  <c r="AA97" i="12"/>
  <c r="CP97" i="12" s="1"/>
  <c r="AD97" i="12"/>
  <c r="BR97" i="12" s="1"/>
  <c r="AB97" i="12"/>
  <c r="CZ97" i="12" s="1"/>
  <c r="AQ98" i="12"/>
  <c r="BU98" i="12" s="1"/>
  <c r="AS97" i="12"/>
  <c r="DV97" i="12" s="1"/>
  <c r="AO98" i="12"/>
  <c r="AI97" i="12"/>
  <c r="CQ97" i="12" s="1"/>
  <c r="AJ97" i="12"/>
  <c r="DA97" i="12" s="1"/>
  <c r="AK97" i="12"/>
  <c r="DK97" i="12" s="1"/>
  <c r="AL97" i="12"/>
  <c r="BS97" i="12" s="1"/>
  <c r="N98" i="12"/>
  <c r="Z98" i="12" s="1"/>
  <c r="BE32" i="12" l="1"/>
  <c r="EU32" i="13"/>
  <c r="EX32" i="13" s="1"/>
  <c r="FA32" i="13" s="1"/>
  <c r="ET32" i="13"/>
  <c r="EW32" i="13" s="1"/>
  <c r="EZ32" i="13" s="1"/>
  <c r="EV32" i="13"/>
  <c r="EY32" i="13" s="1"/>
  <c r="FB32" i="13" s="1"/>
  <c r="FF32" i="13" s="1"/>
  <c r="BC32" i="13"/>
  <c r="EG98" i="13"/>
  <c r="EM98" i="13" s="1"/>
  <c r="ER98" i="13"/>
  <c r="EK97" i="13"/>
  <c r="EJ98" i="13"/>
  <c r="K99" i="13"/>
  <c r="CG98" i="13"/>
  <c r="L99" i="13"/>
  <c r="AN99" i="13" s="1"/>
  <c r="AQ99" i="13" s="1"/>
  <c r="BU99" i="13" s="1"/>
  <c r="M99" i="13"/>
  <c r="AP98" i="13"/>
  <c r="AS98" i="13" s="1"/>
  <c r="DV98" i="13" s="1"/>
  <c r="DZ98" i="13" s="1"/>
  <c r="ED98" i="13" s="1"/>
  <c r="R98" i="13"/>
  <c r="BQ98" i="13" s="1"/>
  <c r="U98" i="13"/>
  <c r="DI98" i="13" s="1"/>
  <c r="X98" i="13"/>
  <c r="Q98" i="13"/>
  <c r="T98" i="13"/>
  <c r="CY98" i="13" s="1"/>
  <c r="W98" i="13"/>
  <c r="AA98" i="13" s="1"/>
  <c r="CP98" i="13" s="1"/>
  <c r="Y98" i="13"/>
  <c r="S98" i="13"/>
  <c r="CO98" i="13" s="1"/>
  <c r="V98" i="13"/>
  <c r="Z98" i="13"/>
  <c r="AD98" i="13" s="1"/>
  <c r="BR98" i="13" s="1"/>
  <c r="CJ98" i="13"/>
  <c r="AH98" i="13"/>
  <c r="AL98" i="13" s="1"/>
  <c r="BS98" i="13" s="1"/>
  <c r="AG98" i="13"/>
  <c r="AK98" i="13" s="1"/>
  <c r="DK98" i="13" s="1"/>
  <c r="AF98" i="13"/>
  <c r="AJ98" i="13" s="1"/>
  <c r="DA98" i="13" s="1"/>
  <c r="AE98" i="13"/>
  <c r="AI98" i="13" s="1"/>
  <c r="CQ98" i="13" s="1"/>
  <c r="DZ97" i="12"/>
  <c r="CJ98" i="12"/>
  <c r="CG98" i="12"/>
  <c r="X98" i="12"/>
  <c r="W98" i="12"/>
  <c r="Y98" i="12"/>
  <c r="AM98" i="12"/>
  <c r="BT98" i="12" s="1"/>
  <c r="AR98" i="12"/>
  <c r="AZ98" i="12" s="1"/>
  <c r="M99" i="12"/>
  <c r="L99" i="12"/>
  <c r="AN99" i="12" s="1"/>
  <c r="AP98" i="12"/>
  <c r="AE98" i="12"/>
  <c r="AF98" i="12"/>
  <c r="AG98" i="12"/>
  <c r="AH98" i="12"/>
  <c r="R98" i="12"/>
  <c r="BQ98" i="12" s="1"/>
  <c r="S98" i="12"/>
  <c r="CO98" i="12" s="1"/>
  <c r="T98" i="12"/>
  <c r="CY98" i="12" s="1"/>
  <c r="U98" i="12"/>
  <c r="DI98" i="12" s="1"/>
  <c r="Q98" i="12"/>
  <c r="AY98" i="12" s="1"/>
  <c r="K99" i="12"/>
  <c r="V98" i="12"/>
  <c r="BC32" i="12" l="1"/>
  <c r="BH32" i="13"/>
  <c r="BF32" i="13"/>
  <c r="BK32" i="13"/>
  <c r="BG32" i="13"/>
  <c r="BI32" i="13"/>
  <c r="AY98" i="13"/>
  <c r="EF99" i="13"/>
  <c r="EL99" i="13" s="1"/>
  <c r="FE99" i="13" s="1"/>
  <c r="N99" i="13"/>
  <c r="AO99" i="13"/>
  <c r="AR99" i="13" s="1"/>
  <c r="AZ99" i="13" s="1"/>
  <c r="AB98" i="13"/>
  <c r="CZ98" i="13" s="1"/>
  <c r="AC98" i="13"/>
  <c r="DJ98" i="13" s="1"/>
  <c r="ED97" i="12"/>
  <c r="AA98" i="12"/>
  <c r="CP98" i="12" s="1"/>
  <c r="AC98" i="12"/>
  <c r="DJ98" i="12" s="1"/>
  <c r="AD98" i="12"/>
  <c r="BR98" i="12" s="1"/>
  <c r="AB98" i="12"/>
  <c r="CZ98" i="12" s="1"/>
  <c r="AQ99" i="12"/>
  <c r="BU99" i="12" s="1"/>
  <c r="AS98" i="12"/>
  <c r="DV98" i="12" s="1"/>
  <c r="AO99" i="12"/>
  <c r="AI98" i="12"/>
  <c r="CQ98" i="12" s="1"/>
  <c r="AJ98" i="12"/>
  <c r="DA98" i="12" s="1"/>
  <c r="AK98" i="12"/>
  <c r="DK98" i="12" s="1"/>
  <c r="AL98" i="12"/>
  <c r="BS98" i="12" s="1"/>
  <c r="N99" i="12"/>
  <c r="Z99" i="12" s="1"/>
  <c r="BF32" i="12" l="1"/>
  <c r="BK32" i="12"/>
  <c r="BG32" i="12"/>
  <c r="BH32" i="12"/>
  <c r="BI32" i="12"/>
  <c r="BM32" i="13"/>
  <c r="CR32" i="13" s="1"/>
  <c r="CS32" i="13" s="1"/>
  <c r="BL32" i="13"/>
  <c r="BW32" i="13" s="1"/>
  <c r="BN32" i="13"/>
  <c r="DB32" i="13" s="1"/>
  <c r="DC32" i="13" s="1"/>
  <c r="BO32" i="13"/>
  <c r="DL32" i="13" s="1"/>
  <c r="DM32" i="13" s="1"/>
  <c r="ER99" i="13"/>
  <c r="EG99" i="13"/>
  <c r="EM99" i="13" s="1"/>
  <c r="EK98" i="13"/>
  <c r="EJ99" i="13"/>
  <c r="AM99" i="13"/>
  <c r="BT99" i="13" s="1"/>
  <c r="AP99" i="13"/>
  <c r="AS99" i="13" s="1"/>
  <c r="DV99" i="13" s="1"/>
  <c r="DZ99" i="13" s="1"/>
  <c r="ED99" i="13" s="1"/>
  <c r="K100" i="13"/>
  <c r="M100" i="13"/>
  <c r="CG99" i="13"/>
  <c r="L100" i="13"/>
  <c r="AN100" i="13" s="1"/>
  <c r="AQ100" i="13" s="1"/>
  <c r="BU100" i="13" s="1"/>
  <c r="T99" i="13"/>
  <c r="CY99" i="13" s="1"/>
  <c r="W99" i="13"/>
  <c r="AA99" i="13" s="1"/>
  <c r="CP99" i="13" s="1"/>
  <c r="Z99" i="13"/>
  <c r="AD99" i="13" s="1"/>
  <c r="BR99" i="13" s="1"/>
  <c r="CJ99" i="13"/>
  <c r="Q99" i="13"/>
  <c r="S99" i="13"/>
  <c r="CO99" i="13" s="1"/>
  <c r="V99" i="13"/>
  <c r="Y99" i="13"/>
  <c r="AC99" i="13" s="1"/>
  <c r="DJ99" i="13" s="1"/>
  <c r="R99" i="13"/>
  <c r="BQ99" i="13" s="1"/>
  <c r="U99" i="13"/>
  <c r="DI99" i="13" s="1"/>
  <c r="X99" i="13"/>
  <c r="AB99" i="13" s="1"/>
  <c r="CZ99" i="13" s="1"/>
  <c r="AH99" i="13"/>
  <c r="AL99" i="13" s="1"/>
  <c r="BS99" i="13" s="1"/>
  <c r="AG99" i="13"/>
  <c r="AK99" i="13" s="1"/>
  <c r="DK99" i="13" s="1"/>
  <c r="AF99" i="13"/>
  <c r="AJ99" i="13" s="1"/>
  <c r="DA99" i="13" s="1"/>
  <c r="AE99" i="13"/>
  <c r="AI99" i="13" s="1"/>
  <c r="CQ99" i="13" s="1"/>
  <c r="DZ98" i="12"/>
  <c r="CJ99" i="12"/>
  <c r="CG99" i="12"/>
  <c r="W99" i="12"/>
  <c r="Y99" i="12"/>
  <c r="X99" i="12"/>
  <c r="AR99" i="12"/>
  <c r="AZ99" i="12" s="1"/>
  <c r="AM99" i="12"/>
  <c r="BT99" i="12" s="1"/>
  <c r="M100" i="12"/>
  <c r="L100" i="12"/>
  <c r="AN100" i="12" s="1"/>
  <c r="AP99" i="12"/>
  <c r="AE99" i="12"/>
  <c r="AF99" i="12"/>
  <c r="AG99" i="12"/>
  <c r="AH99" i="12"/>
  <c r="V99" i="12"/>
  <c r="U99" i="12"/>
  <c r="DI99" i="12" s="1"/>
  <c r="K100" i="12"/>
  <c r="R99" i="12"/>
  <c r="BQ99" i="12" s="1"/>
  <c r="S99" i="12"/>
  <c r="CO99" i="12" s="1"/>
  <c r="T99" i="12"/>
  <c r="CY99" i="12" s="1"/>
  <c r="Q99" i="12"/>
  <c r="AY99" i="12" s="1"/>
  <c r="BN32" i="12" l="1"/>
  <c r="DB32" i="12" s="1"/>
  <c r="BL32" i="12"/>
  <c r="BW32" i="12" s="1"/>
  <c r="BM32" i="12"/>
  <c r="CR32" i="12" s="1"/>
  <c r="BO32" i="12"/>
  <c r="DL32" i="12" s="1"/>
  <c r="CU32" i="13"/>
  <c r="DS32" i="13"/>
  <c r="DW32" i="13" s="1"/>
  <c r="EA32" i="13" s="1"/>
  <c r="CT32" i="13"/>
  <c r="CV32" i="13"/>
  <c r="CW32" i="13"/>
  <c r="BX32" i="13"/>
  <c r="CE32" i="13" s="1"/>
  <c r="DD32" i="13"/>
  <c r="DF32" i="13"/>
  <c r="DT32" i="13"/>
  <c r="DX32" i="13" s="1"/>
  <c r="EB32" i="13" s="1"/>
  <c r="DE32" i="13"/>
  <c r="DG32" i="13"/>
  <c r="DO32" i="13"/>
  <c r="DP32" i="13"/>
  <c r="DU32" i="13"/>
  <c r="DY32" i="13" s="1"/>
  <c r="EC32" i="13" s="1"/>
  <c r="FD32" i="13" s="1"/>
  <c r="FG32" i="13" s="1"/>
  <c r="DN32" i="13"/>
  <c r="DQ32" i="13"/>
  <c r="AY99" i="13"/>
  <c r="EF100" i="13"/>
  <c r="EL100" i="13" s="1"/>
  <c r="FE100" i="13" s="1"/>
  <c r="N100" i="13"/>
  <c r="AO100" i="13"/>
  <c r="AR100" i="13" s="1"/>
  <c r="AZ100" i="13" s="1"/>
  <c r="ED98" i="12"/>
  <c r="AC99" i="12"/>
  <c r="DJ99" i="12" s="1"/>
  <c r="AB99" i="12"/>
  <c r="CZ99" i="12" s="1"/>
  <c r="AA99" i="12"/>
  <c r="CP99" i="12" s="1"/>
  <c r="AD99" i="12"/>
  <c r="BR99" i="12" s="1"/>
  <c r="AQ100" i="12"/>
  <c r="BU100" i="12" s="1"/>
  <c r="AS99" i="12"/>
  <c r="DV99" i="12" s="1"/>
  <c r="AO100" i="12"/>
  <c r="AI99" i="12"/>
  <c r="CQ99" i="12" s="1"/>
  <c r="AJ99" i="12"/>
  <c r="DA99" i="12" s="1"/>
  <c r="AK99" i="12"/>
  <c r="DK99" i="12" s="1"/>
  <c r="AL99" i="12"/>
  <c r="BS99" i="12" s="1"/>
  <c r="N100" i="12"/>
  <c r="Z100" i="12" s="1"/>
  <c r="DC32" i="12" l="1"/>
  <c r="DG32" i="12" s="1"/>
  <c r="BX32" i="12"/>
  <c r="CE32" i="12" s="1"/>
  <c r="CS32" i="12"/>
  <c r="CW32" i="12" s="1"/>
  <c r="DM32" i="12"/>
  <c r="DQ32" i="12" s="1"/>
  <c r="CB32" i="13"/>
  <c r="CD32" i="13"/>
  <c r="CA32" i="13"/>
  <c r="CI32" i="13"/>
  <c r="CK32" i="13" s="1"/>
  <c r="BY32" i="13"/>
  <c r="BZ32" i="13"/>
  <c r="CH32" i="13"/>
  <c r="CC32" i="13"/>
  <c r="ER100" i="13"/>
  <c r="EG100" i="13"/>
  <c r="EM100" i="13" s="1"/>
  <c r="EK99" i="13"/>
  <c r="EJ100" i="13"/>
  <c r="AM100" i="13"/>
  <c r="BT100" i="13" s="1"/>
  <c r="AP100" i="13"/>
  <c r="AS100" i="13" s="1"/>
  <c r="DV100" i="13" s="1"/>
  <c r="DZ100" i="13" s="1"/>
  <c r="ED100" i="13" s="1"/>
  <c r="L101" i="13"/>
  <c r="AN101" i="13" s="1"/>
  <c r="AQ101" i="13" s="1"/>
  <c r="BU101" i="13" s="1"/>
  <c r="CG100" i="13"/>
  <c r="K101" i="13"/>
  <c r="M101" i="13"/>
  <c r="R100" i="13"/>
  <c r="BQ100" i="13" s="1"/>
  <c r="S100" i="13"/>
  <c r="CO100" i="13" s="1"/>
  <c r="T100" i="13"/>
  <c r="CY100" i="13" s="1"/>
  <c r="U100" i="13"/>
  <c r="DI100" i="13" s="1"/>
  <c r="V100" i="13"/>
  <c r="W100" i="13"/>
  <c r="X100" i="13"/>
  <c r="AB100" i="13" s="1"/>
  <c r="CZ100" i="13" s="1"/>
  <c r="Y100" i="13"/>
  <c r="Z100" i="13"/>
  <c r="CJ100" i="13"/>
  <c r="Q100" i="13"/>
  <c r="AH100" i="13"/>
  <c r="AL100" i="13" s="1"/>
  <c r="BS100" i="13" s="1"/>
  <c r="AG100" i="13"/>
  <c r="AK100" i="13" s="1"/>
  <c r="DK100" i="13" s="1"/>
  <c r="AF100" i="13"/>
  <c r="AJ100" i="13" s="1"/>
  <c r="DA100" i="13" s="1"/>
  <c r="AE100" i="13"/>
  <c r="AI100" i="13" s="1"/>
  <c r="CQ100" i="13" s="1"/>
  <c r="DZ99" i="12"/>
  <c r="CJ100" i="12"/>
  <c r="CG100" i="12"/>
  <c r="W100" i="12"/>
  <c r="Y100" i="12"/>
  <c r="X100" i="12"/>
  <c r="AR100" i="12"/>
  <c r="AZ100" i="12" s="1"/>
  <c r="AM100" i="12"/>
  <c r="BT100" i="12" s="1"/>
  <c r="M101" i="12"/>
  <c r="L101" i="12"/>
  <c r="AN101" i="12" s="1"/>
  <c r="AP100" i="12"/>
  <c r="AE100" i="12"/>
  <c r="AF100" i="12"/>
  <c r="AG100" i="12"/>
  <c r="AH100" i="12"/>
  <c r="R100" i="12"/>
  <c r="BQ100" i="12" s="1"/>
  <c r="K101" i="12"/>
  <c r="S100" i="12"/>
  <c r="CO100" i="12" s="1"/>
  <c r="T100" i="12"/>
  <c r="CY100" i="12" s="1"/>
  <c r="V100" i="12"/>
  <c r="U100" i="12"/>
  <c r="DI100" i="12" s="1"/>
  <c r="Q100" i="12"/>
  <c r="AY100" i="12" s="1"/>
  <c r="DF32" i="12" l="1"/>
  <c r="DE32" i="12"/>
  <c r="DD32" i="12"/>
  <c r="DT32" i="12"/>
  <c r="DX32" i="12" s="1"/>
  <c r="EB32" i="12" s="1"/>
  <c r="CH32" i="12"/>
  <c r="CC32" i="12"/>
  <c r="CA32" i="12"/>
  <c r="CD32" i="12"/>
  <c r="BZ32" i="12"/>
  <c r="BY32" i="12"/>
  <c r="CB32" i="12"/>
  <c r="CI32" i="12"/>
  <c r="CK32" i="12" s="1"/>
  <c r="CT32" i="12"/>
  <c r="CV32" i="12"/>
  <c r="DS32" i="12"/>
  <c r="DW32" i="12" s="1"/>
  <c r="EA32" i="12" s="1"/>
  <c r="CU32" i="12"/>
  <c r="DO32" i="12"/>
  <c r="DN32" i="12"/>
  <c r="DU32" i="12"/>
  <c r="DY32" i="12" s="1"/>
  <c r="EC32" i="12" s="1"/>
  <c r="DP32" i="12"/>
  <c r="CM32" i="13"/>
  <c r="CL32" i="13"/>
  <c r="BB33" i="13" s="1"/>
  <c r="AY100" i="13"/>
  <c r="N101" i="13"/>
  <c r="EF101" i="13"/>
  <c r="EL101" i="13" s="1"/>
  <c r="FE101" i="13" s="1"/>
  <c r="AO101" i="13"/>
  <c r="AR101" i="13" s="1"/>
  <c r="AZ101" i="13" s="1"/>
  <c r="AA100" i="13"/>
  <c r="CP100" i="13" s="1"/>
  <c r="AC100" i="13"/>
  <c r="DJ100" i="13" s="1"/>
  <c r="AD100" i="13"/>
  <c r="BR100" i="13" s="1"/>
  <c r="ED99" i="12"/>
  <c r="AA100" i="12"/>
  <c r="CP100" i="12" s="1"/>
  <c r="AD100" i="12"/>
  <c r="BR100" i="12" s="1"/>
  <c r="AB100" i="12"/>
  <c r="CZ100" i="12" s="1"/>
  <c r="AC100" i="12"/>
  <c r="DJ100" i="12" s="1"/>
  <c r="AQ101" i="12"/>
  <c r="BU101" i="12" s="1"/>
  <c r="AS100" i="12"/>
  <c r="DV100" i="12" s="1"/>
  <c r="AO101" i="12"/>
  <c r="AI100" i="12"/>
  <c r="CQ100" i="12" s="1"/>
  <c r="AJ100" i="12"/>
  <c r="DA100" i="12" s="1"/>
  <c r="AK100" i="12"/>
  <c r="DK100" i="12" s="1"/>
  <c r="AL100" i="12"/>
  <c r="BS100" i="12" s="1"/>
  <c r="N101" i="12"/>
  <c r="Z101" i="12" s="1"/>
  <c r="FD32" i="12" l="1"/>
  <c r="FG32" i="12" s="1"/>
  <c r="CL32" i="12"/>
  <c r="BB33" i="12" s="1"/>
  <c r="CM32" i="12"/>
  <c r="BE33" i="13"/>
  <c r="BD33" i="13"/>
  <c r="EQ33" i="13" s="1"/>
  <c r="ES33" i="13" s="1"/>
  <c r="EG101" i="13"/>
  <c r="EM101" i="13" s="1"/>
  <c r="ER101" i="13"/>
  <c r="EK100" i="13"/>
  <c r="EJ101" i="13"/>
  <c r="AM101" i="13"/>
  <c r="BT101" i="13" s="1"/>
  <c r="AP101" i="13"/>
  <c r="AS101" i="13" s="1"/>
  <c r="DV101" i="13" s="1"/>
  <c r="DZ101" i="13" s="1"/>
  <c r="ED101" i="13" s="1"/>
  <c r="CG101" i="13"/>
  <c r="K102" i="13"/>
  <c r="L102" i="13"/>
  <c r="AN102" i="13" s="1"/>
  <c r="AQ102" i="13" s="1"/>
  <c r="BU102" i="13" s="1"/>
  <c r="M102" i="13"/>
  <c r="Q101" i="13"/>
  <c r="R101" i="13"/>
  <c r="BQ101" i="13" s="1"/>
  <c r="S101" i="13"/>
  <c r="CO101" i="13" s="1"/>
  <c r="T101" i="13"/>
  <c r="CY101" i="13" s="1"/>
  <c r="U101" i="13"/>
  <c r="DI101" i="13" s="1"/>
  <c r="V101" i="13"/>
  <c r="W101" i="13"/>
  <c r="AA101" i="13" s="1"/>
  <c r="CP101" i="13" s="1"/>
  <c r="X101" i="13"/>
  <c r="AB101" i="13" s="1"/>
  <c r="CZ101" i="13" s="1"/>
  <c r="Y101" i="13"/>
  <c r="AC101" i="13" s="1"/>
  <c r="DJ101" i="13" s="1"/>
  <c r="Z101" i="13"/>
  <c r="AD101" i="13" s="1"/>
  <c r="BR101" i="13" s="1"/>
  <c r="CJ101" i="13"/>
  <c r="AH101" i="13"/>
  <c r="AL101" i="13" s="1"/>
  <c r="BS101" i="13" s="1"/>
  <c r="AG101" i="13"/>
  <c r="AK101" i="13" s="1"/>
  <c r="DK101" i="13" s="1"/>
  <c r="AF101" i="13"/>
  <c r="AJ101" i="13" s="1"/>
  <c r="DA101" i="13" s="1"/>
  <c r="AE101" i="13"/>
  <c r="AI101" i="13" s="1"/>
  <c r="CQ101" i="13" s="1"/>
  <c r="DZ100" i="12"/>
  <c r="CJ101" i="12"/>
  <c r="CG101" i="12"/>
  <c r="X101" i="12"/>
  <c r="Y101" i="12"/>
  <c r="W101" i="12"/>
  <c r="AR101" i="12"/>
  <c r="AZ101" i="12" s="1"/>
  <c r="AM101" i="12"/>
  <c r="BT101" i="12" s="1"/>
  <c r="M102" i="12"/>
  <c r="L102" i="12"/>
  <c r="AN102" i="12" s="1"/>
  <c r="AP101" i="12"/>
  <c r="AE101" i="12"/>
  <c r="AF101" i="12"/>
  <c r="AG101" i="12"/>
  <c r="AH101" i="12"/>
  <c r="Q101" i="12"/>
  <c r="AY101" i="12" s="1"/>
  <c r="R101" i="12"/>
  <c r="BQ101" i="12" s="1"/>
  <c r="V101" i="12"/>
  <c r="T101" i="12"/>
  <c r="CY101" i="12" s="1"/>
  <c r="K102" i="12"/>
  <c r="S101" i="12"/>
  <c r="CO101" i="12" s="1"/>
  <c r="U101" i="12"/>
  <c r="DI101" i="12" s="1"/>
  <c r="BE33" i="12" l="1"/>
  <c r="EV33" i="13"/>
  <c r="EY33" i="13" s="1"/>
  <c r="FB33" i="13" s="1"/>
  <c r="FF33" i="13" s="1"/>
  <c r="EU33" i="13"/>
  <c r="EX33" i="13" s="1"/>
  <c r="FA33" i="13" s="1"/>
  <c r="ET33" i="13"/>
  <c r="EW33" i="13" s="1"/>
  <c r="EZ33" i="13" s="1"/>
  <c r="BC33" i="13"/>
  <c r="AY101" i="13"/>
  <c r="N102" i="13"/>
  <c r="EF102" i="13"/>
  <c r="EL102" i="13" s="1"/>
  <c r="FE102" i="13" s="1"/>
  <c r="AO102" i="13"/>
  <c r="AR102" i="13" s="1"/>
  <c r="AZ102" i="13" s="1"/>
  <c r="ED100" i="12"/>
  <c r="AA101" i="12"/>
  <c r="CP101" i="12" s="1"/>
  <c r="AC101" i="12"/>
  <c r="DJ101" i="12" s="1"/>
  <c r="AB101" i="12"/>
  <c r="CZ101" i="12" s="1"/>
  <c r="AD101" i="12"/>
  <c r="BR101" i="12" s="1"/>
  <c r="AQ102" i="12"/>
  <c r="BU102" i="12" s="1"/>
  <c r="AS101" i="12"/>
  <c r="DV101" i="12" s="1"/>
  <c r="AO102" i="12"/>
  <c r="AI101" i="12"/>
  <c r="CQ101" i="12" s="1"/>
  <c r="AJ101" i="12"/>
  <c r="DA101" i="12" s="1"/>
  <c r="AK101" i="12"/>
  <c r="DK101" i="12" s="1"/>
  <c r="AL101" i="12"/>
  <c r="BS101" i="12" s="1"/>
  <c r="N102" i="12"/>
  <c r="Z102" i="12" s="1"/>
  <c r="BC33" i="12" l="1"/>
  <c r="BF33" i="13"/>
  <c r="BH33" i="13"/>
  <c r="BK33" i="13"/>
  <c r="BG33" i="13"/>
  <c r="BI33" i="13"/>
  <c r="EG102" i="13"/>
  <c r="EM102" i="13" s="1"/>
  <c r="ER102" i="13"/>
  <c r="EK101" i="13"/>
  <c r="EJ102" i="13"/>
  <c r="AM102" i="13"/>
  <c r="BT102" i="13" s="1"/>
  <c r="CG102" i="13"/>
  <c r="K103" i="13"/>
  <c r="M103" i="13"/>
  <c r="AP102" i="13"/>
  <c r="AS102" i="13" s="1"/>
  <c r="DV102" i="13" s="1"/>
  <c r="DZ102" i="13" s="1"/>
  <c r="ED102" i="13" s="1"/>
  <c r="L103" i="13"/>
  <c r="AN103" i="13" s="1"/>
  <c r="AQ103" i="13" s="1"/>
  <c r="BU103" i="13" s="1"/>
  <c r="Q102" i="13"/>
  <c r="R102" i="13"/>
  <c r="BQ102" i="13" s="1"/>
  <c r="S102" i="13"/>
  <c r="CO102" i="13" s="1"/>
  <c r="T102" i="13"/>
  <c r="CY102" i="13" s="1"/>
  <c r="U102" i="13"/>
  <c r="DI102" i="13" s="1"/>
  <c r="V102" i="13"/>
  <c r="W102" i="13"/>
  <c r="AA102" i="13" s="1"/>
  <c r="CP102" i="13" s="1"/>
  <c r="X102" i="13"/>
  <c r="AB102" i="13" s="1"/>
  <c r="CZ102" i="13" s="1"/>
  <c r="Y102" i="13"/>
  <c r="AC102" i="13" s="1"/>
  <c r="DJ102" i="13" s="1"/>
  <c r="Z102" i="13"/>
  <c r="AD102" i="13" s="1"/>
  <c r="BR102" i="13" s="1"/>
  <c r="CJ102" i="13"/>
  <c r="AH102" i="13"/>
  <c r="AL102" i="13" s="1"/>
  <c r="BS102" i="13" s="1"/>
  <c r="AG102" i="13"/>
  <c r="AK102" i="13" s="1"/>
  <c r="DK102" i="13" s="1"/>
  <c r="AF102" i="13"/>
  <c r="AJ102" i="13" s="1"/>
  <c r="DA102" i="13" s="1"/>
  <c r="AE102" i="13"/>
  <c r="AI102" i="13" s="1"/>
  <c r="CQ102" i="13" s="1"/>
  <c r="DZ101" i="12"/>
  <c r="CJ102" i="12"/>
  <c r="CG102" i="12"/>
  <c r="X102" i="12"/>
  <c r="W102" i="12"/>
  <c r="Y102" i="12"/>
  <c r="AR102" i="12"/>
  <c r="AZ102" i="12" s="1"/>
  <c r="AM102" i="12"/>
  <c r="BT102" i="12" s="1"/>
  <c r="M103" i="12"/>
  <c r="L103" i="12"/>
  <c r="AN103" i="12" s="1"/>
  <c r="AP102" i="12"/>
  <c r="AE102" i="12"/>
  <c r="AF102" i="12"/>
  <c r="AG102" i="12"/>
  <c r="AH102" i="12"/>
  <c r="V102" i="12"/>
  <c r="R102" i="12"/>
  <c r="BQ102" i="12" s="1"/>
  <c r="S102" i="12"/>
  <c r="CO102" i="12" s="1"/>
  <c r="T102" i="12"/>
  <c r="CY102" i="12" s="1"/>
  <c r="U102" i="12"/>
  <c r="DI102" i="12" s="1"/>
  <c r="Q102" i="12"/>
  <c r="AY102" i="12" s="1"/>
  <c r="K103" i="12"/>
  <c r="BG33" i="12" l="1"/>
  <c r="BF33" i="12"/>
  <c r="BH33" i="12"/>
  <c r="BK33" i="12"/>
  <c r="BI33" i="12"/>
  <c r="BO33" i="13"/>
  <c r="DL33" i="13" s="1"/>
  <c r="DM33" i="13" s="1"/>
  <c r="BN33" i="13"/>
  <c r="DB33" i="13" s="1"/>
  <c r="BL33" i="13"/>
  <c r="BW33" i="13" s="1"/>
  <c r="BX33" i="13" s="1"/>
  <c r="BM33" i="13"/>
  <c r="CR33" i="13" s="1"/>
  <c r="CS33" i="13" s="1"/>
  <c r="AO103" i="13"/>
  <c r="AR103" i="13" s="1"/>
  <c r="AZ103" i="13" s="1"/>
  <c r="AY102" i="13"/>
  <c r="N103" i="13"/>
  <c r="EF103" i="13"/>
  <c r="EL103" i="13" s="1"/>
  <c r="FE103" i="13" s="1"/>
  <c r="ED101" i="12"/>
  <c r="AD102" i="12"/>
  <c r="BR102" i="12" s="1"/>
  <c r="AC102" i="12"/>
  <c r="DJ102" i="12" s="1"/>
  <c r="AA102" i="12"/>
  <c r="CP102" i="12" s="1"/>
  <c r="AB102" i="12"/>
  <c r="CZ102" i="12" s="1"/>
  <c r="AQ103" i="12"/>
  <c r="BU103" i="12" s="1"/>
  <c r="AS102" i="12"/>
  <c r="DV102" i="12" s="1"/>
  <c r="AO103" i="12"/>
  <c r="AI102" i="12"/>
  <c r="CQ102" i="12" s="1"/>
  <c r="AJ102" i="12"/>
  <c r="DA102" i="12" s="1"/>
  <c r="AK102" i="12"/>
  <c r="DK102" i="12" s="1"/>
  <c r="AL102" i="12"/>
  <c r="BS102" i="12" s="1"/>
  <c r="N103" i="12"/>
  <c r="Z103" i="12" s="1"/>
  <c r="AD103" i="12" s="1"/>
  <c r="BO33" i="12" l="1"/>
  <c r="DL33" i="12" s="1"/>
  <c r="DM33" i="12" s="1"/>
  <c r="BL33" i="12"/>
  <c r="BW33" i="12" s="1"/>
  <c r="BX33" i="12" s="1"/>
  <c r="BM33" i="12"/>
  <c r="CR33" i="12" s="1"/>
  <c r="CS33" i="12" s="1"/>
  <c r="BN33" i="12"/>
  <c r="DB33" i="12" s="1"/>
  <c r="DC33" i="12" s="1"/>
  <c r="DP33" i="13"/>
  <c r="DU33" i="13"/>
  <c r="DY33" i="13" s="1"/>
  <c r="EC33" i="13" s="1"/>
  <c r="FD33" i="13" s="1"/>
  <c r="FG33" i="13" s="1"/>
  <c r="DN33" i="13"/>
  <c r="DO33" i="13"/>
  <c r="DQ33" i="13"/>
  <c r="DC33" i="13"/>
  <c r="DG33" i="13" s="1"/>
  <c r="CI33" i="13"/>
  <c r="CK33" i="13" s="1"/>
  <c r="CB33" i="13"/>
  <c r="BZ33" i="13"/>
  <c r="CA33" i="13"/>
  <c r="CC33" i="13"/>
  <c r="BY33" i="13"/>
  <c r="CD33" i="13"/>
  <c r="CH33" i="13"/>
  <c r="CE33" i="13"/>
  <c r="CU33" i="13"/>
  <c r="CT33" i="13"/>
  <c r="DS33" i="13"/>
  <c r="DW33" i="13" s="1"/>
  <c r="EA33" i="13" s="1"/>
  <c r="CV33" i="13"/>
  <c r="CW33" i="13"/>
  <c r="ER103" i="13"/>
  <c r="EG103" i="13"/>
  <c r="EM103" i="13" s="1"/>
  <c r="EK102" i="13"/>
  <c r="EJ103" i="13"/>
  <c r="AP103" i="13"/>
  <c r="AS103" i="13" s="1"/>
  <c r="DV103" i="13" s="1"/>
  <c r="DZ103" i="13" s="1"/>
  <c r="ED103" i="13" s="1"/>
  <c r="CG103" i="13"/>
  <c r="K104" i="13"/>
  <c r="L104" i="13"/>
  <c r="AN104" i="13" s="1"/>
  <c r="AQ104" i="13" s="1"/>
  <c r="BU104" i="13" s="1"/>
  <c r="M104" i="13"/>
  <c r="AM103" i="13"/>
  <c r="BT103" i="13" s="1"/>
  <c r="R103" i="13"/>
  <c r="BQ103" i="13" s="1"/>
  <c r="T103" i="13"/>
  <c r="CY103" i="13" s="1"/>
  <c r="V103" i="13"/>
  <c r="W103" i="13"/>
  <c r="AA103" i="13" s="1"/>
  <c r="CP103" i="13" s="1"/>
  <c r="Y103" i="13"/>
  <c r="AC103" i="13" s="1"/>
  <c r="DJ103" i="13" s="1"/>
  <c r="CJ103" i="13"/>
  <c r="AG103" i="13"/>
  <c r="AK103" i="13" s="1"/>
  <c r="DK103" i="13" s="1"/>
  <c r="AE103" i="13"/>
  <c r="AI103" i="13" s="1"/>
  <c r="CQ103" i="13" s="1"/>
  <c r="Q103" i="13"/>
  <c r="S103" i="13"/>
  <c r="CO103" i="13" s="1"/>
  <c r="U103" i="13"/>
  <c r="DI103" i="13" s="1"/>
  <c r="X103" i="13"/>
  <c r="AB103" i="13" s="1"/>
  <c r="CZ103" i="13" s="1"/>
  <c r="Z103" i="13"/>
  <c r="AD103" i="13" s="1"/>
  <c r="BR103" i="13" s="1"/>
  <c r="AH103" i="13"/>
  <c r="AL103" i="13" s="1"/>
  <c r="BS103" i="13" s="1"/>
  <c r="AF103" i="13"/>
  <c r="AJ103" i="13" s="1"/>
  <c r="DA103" i="13" s="1"/>
  <c r="DZ102" i="12"/>
  <c r="CJ103" i="12"/>
  <c r="CG103" i="12"/>
  <c r="W103" i="12"/>
  <c r="Y103" i="12"/>
  <c r="X103" i="12"/>
  <c r="AM103" i="12"/>
  <c r="BT103" i="12" s="1"/>
  <c r="AR103" i="12"/>
  <c r="AZ103" i="12" s="1"/>
  <c r="M104" i="12"/>
  <c r="L104" i="12"/>
  <c r="AN104" i="12" s="1"/>
  <c r="AP103" i="12"/>
  <c r="AE103" i="12"/>
  <c r="AF103" i="12"/>
  <c r="AG103" i="12"/>
  <c r="AH103" i="12"/>
  <c r="Q103" i="12"/>
  <c r="AY103" i="12" s="1"/>
  <c r="V103" i="12"/>
  <c r="S103" i="12"/>
  <c r="CO103" i="12" s="1"/>
  <c r="U103" i="12"/>
  <c r="DI103" i="12" s="1"/>
  <c r="K104" i="12"/>
  <c r="T103" i="12"/>
  <c r="CY103" i="12" s="1"/>
  <c r="R103" i="12"/>
  <c r="BQ103" i="12" s="1"/>
  <c r="DO33" i="12" l="1"/>
  <c r="DN33" i="12"/>
  <c r="DU33" i="12"/>
  <c r="DY33" i="12" s="1"/>
  <c r="EC33" i="12" s="1"/>
  <c r="FD33" i="12" s="1"/>
  <c r="FG33" i="12" s="1"/>
  <c r="DP33" i="12"/>
  <c r="DQ33" i="12"/>
  <c r="CB33" i="12"/>
  <c r="CC33" i="12"/>
  <c r="CI33" i="12"/>
  <c r="CK33" i="12" s="1"/>
  <c r="BZ33" i="12"/>
  <c r="CH33" i="12"/>
  <c r="CD33" i="12"/>
  <c r="BY33" i="12"/>
  <c r="CA33" i="12"/>
  <c r="CE33" i="12"/>
  <c r="CV33" i="12"/>
  <c r="DS33" i="12"/>
  <c r="DW33" i="12" s="1"/>
  <c r="EA33" i="12" s="1"/>
  <c r="CT33" i="12"/>
  <c r="CU33" i="12"/>
  <c r="CW33" i="12"/>
  <c r="DF33" i="12"/>
  <c r="DT33" i="12"/>
  <c r="DX33" i="12" s="1"/>
  <c r="EB33" i="12" s="1"/>
  <c r="DD33" i="12"/>
  <c r="DE33" i="12"/>
  <c r="DG33" i="12"/>
  <c r="DD33" i="13"/>
  <c r="DF33" i="13"/>
  <c r="DT33" i="13"/>
  <c r="DX33" i="13" s="1"/>
  <c r="EB33" i="13" s="1"/>
  <c r="DE33" i="13"/>
  <c r="CL33" i="13"/>
  <c r="BB34" i="13" s="1"/>
  <c r="CM33" i="13"/>
  <c r="AY103" i="13"/>
  <c r="N104" i="13"/>
  <c r="AM104" i="13" s="1"/>
  <c r="BT104" i="13" s="1"/>
  <c r="EF104" i="13"/>
  <c r="EL104" i="13" s="1"/>
  <c r="FE104" i="13" s="1"/>
  <c r="AO104" i="13"/>
  <c r="AR104" i="13" s="1"/>
  <c r="AZ104" i="13" s="1"/>
  <c r="ED102" i="12"/>
  <c r="AA103" i="12"/>
  <c r="CP103" i="12" s="1"/>
  <c r="AC103" i="12"/>
  <c r="DJ103" i="12" s="1"/>
  <c r="AB103" i="12"/>
  <c r="CZ103" i="12" s="1"/>
  <c r="BR103" i="12"/>
  <c r="AQ104" i="12"/>
  <c r="BU104" i="12" s="1"/>
  <c r="AS103" i="12"/>
  <c r="DV103" i="12" s="1"/>
  <c r="AO104" i="12"/>
  <c r="AI103" i="12"/>
  <c r="CQ103" i="12" s="1"/>
  <c r="AJ103" i="12"/>
  <c r="DA103" i="12" s="1"/>
  <c r="AK103" i="12"/>
  <c r="DK103" i="12" s="1"/>
  <c r="AL103" i="12"/>
  <c r="BS103" i="12" s="1"/>
  <c r="N104" i="12"/>
  <c r="Z104" i="12" s="1"/>
  <c r="CL33" i="12" l="1"/>
  <c r="BB34" i="12" s="1"/>
  <c r="CM33" i="12"/>
  <c r="BE34" i="13"/>
  <c r="BD34" i="13"/>
  <c r="EQ34" i="13" s="1"/>
  <c r="ES34" i="13" s="1"/>
  <c r="EG104" i="13"/>
  <c r="EM104" i="13" s="1"/>
  <c r="ER104" i="13"/>
  <c r="EK103" i="13"/>
  <c r="EJ104" i="13"/>
  <c r="AP104" i="13"/>
  <c r="AS104" i="13" s="1"/>
  <c r="DV104" i="13" s="1"/>
  <c r="DZ104" i="13" s="1"/>
  <c r="ED104" i="13" s="1"/>
  <c r="CG104" i="13"/>
  <c r="K105" i="13"/>
  <c r="L105" i="13"/>
  <c r="AN105" i="13" s="1"/>
  <c r="AQ105" i="13" s="1"/>
  <c r="BU105" i="13" s="1"/>
  <c r="M105" i="13"/>
  <c r="Q104" i="13"/>
  <c r="R104" i="13"/>
  <c r="BQ104" i="13" s="1"/>
  <c r="S104" i="13"/>
  <c r="CO104" i="13" s="1"/>
  <c r="T104" i="13"/>
  <c r="CY104" i="13" s="1"/>
  <c r="U104" i="13"/>
  <c r="DI104" i="13" s="1"/>
  <c r="V104" i="13"/>
  <c r="W104" i="13"/>
  <c r="X104" i="13"/>
  <c r="AB104" i="13" s="1"/>
  <c r="CZ104" i="13" s="1"/>
  <c r="Y104" i="13"/>
  <c r="AC104" i="13" s="1"/>
  <c r="DJ104" i="13" s="1"/>
  <c r="Z104" i="13"/>
  <c r="AD104" i="13" s="1"/>
  <c r="BR104" i="13" s="1"/>
  <c r="CJ104" i="13"/>
  <c r="AH104" i="13"/>
  <c r="AL104" i="13" s="1"/>
  <c r="BS104" i="13" s="1"/>
  <c r="AG104" i="13"/>
  <c r="AK104" i="13" s="1"/>
  <c r="DK104" i="13" s="1"/>
  <c r="AF104" i="13"/>
  <c r="AJ104" i="13" s="1"/>
  <c r="DA104" i="13" s="1"/>
  <c r="AE104" i="13"/>
  <c r="AI104" i="13" s="1"/>
  <c r="CQ104" i="13" s="1"/>
  <c r="DZ103" i="12"/>
  <c r="CJ104" i="12"/>
  <c r="CG104" i="12"/>
  <c r="W104" i="12"/>
  <c r="Y104" i="12"/>
  <c r="X104" i="12"/>
  <c r="AR104" i="12"/>
  <c r="AZ104" i="12" s="1"/>
  <c r="AM104" i="12"/>
  <c r="BT104" i="12" s="1"/>
  <c r="M105" i="12"/>
  <c r="L105" i="12"/>
  <c r="AN105" i="12" s="1"/>
  <c r="AP104" i="12"/>
  <c r="AE104" i="12"/>
  <c r="AF104" i="12"/>
  <c r="AG104" i="12"/>
  <c r="AH104" i="12"/>
  <c r="V104" i="12"/>
  <c r="U104" i="12"/>
  <c r="DI104" i="12" s="1"/>
  <c r="Q104" i="12"/>
  <c r="AY104" i="12" s="1"/>
  <c r="S104" i="12"/>
  <c r="CO104" i="12" s="1"/>
  <c r="T104" i="12"/>
  <c r="CY104" i="12" s="1"/>
  <c r="R104" i="12"/>
  <c r="BQ104" i="12" s="1"/>
  <c r="K105" i="12"/>
  <c r="BE34" i="12" l="1"/>
  <c r="BC34" i="13"/>
  <c r="ET34" i="13"/>
  <c r="EW34" i="13" s="1"/>
  <c r="EZ34" i="13" s="1"/>
  <c r="EV34" i="13"/>
  <c r="EY34" i="13" s="1"/>
  <c r="FB34" i="13" s="1"/>
  <c r="FF34" i="13" s="1"/>
  <c r="EU34" i="13"/>
  <c r="EX34" i="13" s="1"/>
  <c r="FA34" i="13" s="1"/>
  <c r="AY104" i="13"/>
  <c r="N105" i="13"/>
  <c r="AM105" i="13" s="1"/>
  <c r="BT105" i="13" s="1"/>
  <c r="EF105" i="13"/>
  <c r="EL105" i="13" s="1"/>
  <c r="FE105" i="13" s="1"/>
  <c r="AO105" i="13"/>
  <c r="AR105" i="13" s="1"/>
  <c r="AZ105" i="13" s="1"/>
  <c r="AA104" i="13"/>
  <c r="CP104" i="13" s="1"/>
  <c r="ED103" i="12"/>
  <c r="AB104" i="12"/>
  <c r="CZ104" i="12" s="1"/>
  <c r="AA104" i="12"/>
  <c r="CP104" i="12" s="1"/>
  <c r="AC104" i="12"/>
  <c r="DJ104" i="12" s="1"/>
  <c r="AD104" i="12"/>
  <c r="BR104" i="12" s="1"/>
  <c r="AQ105" i="12"/>
  <c r="BU105" i="12" s="1"/>
  <c r="AS104" i="12"/>
  <c r="DV104" i="12" s="1"/>
  <c r="AO105" i="12"/>
  <c r="AI104" i="12"/>
  <c r="CQ104" i="12" s="1"/>
  <c r="AJ104" i="12"/>
  <c r="DA104" i="12" s="1"/>
  <c r="AK104" i="12"/>
  <c r="DK104" i="12" s="1"/>
  <c r="AL104" i="12"/>
  <c r="BS104" i="12" s="1"/>
  <c r="N105" i="12"/>
  <c r="Z105" i="12" s="1"/>
  <c r="BC34" i="12" l="1"/>
  <c r="BG34" i="13"/>
  <c r="BH34" i="13"/>
  <c r="BI34" i="13"/>
  <c r="BF34" i="13"/>
  <c r="BK34" i="13"/>
  <c r="EG105" i="13"/>
  <c r="EM105" i="13" s="1"/>
  <c r="ER105" i="13"/>
  <c r="EK104" i="13"/>
  <c r="EJ105" i="13"/>
  <c r="AP105" i="13"/>
  <c r="AS105" i="13" s="1"/>
  <c r="DV105" i="13" s="1"/>
  <c r="DZ105" i="13" s="1"/>
  <c r="ED105" i="13" s="1"/>
  <c r="K106" i="13"/>
  <c r="M106" i="13"/>
  <c r="CG105" i="13"/>
  <c r="L106" i="13"/>
  <c r="AN106" i="13" s="1"/>
  <c r="AQ106" i="13" s="1"/>
  <c r="BU106" i="13" s="1"/>
  <c r="Q105" i="13"/>
  <c r="R105" i="13"/>
  <c r="BQ105" i="13" s="1"/>
  <c r="S105" i="13"/>
  <c r="CO105" i="13" s="1"/>
  <c r="T105" i="13"/>
  <c r="CY105" i="13" s="1"/>
  <c r="U105" i="13"/>
  <c r="DI105" i="13" s="1"/>
  <c r="V105" i="13"/>
  <c r="W105" i="13"/>
  <c r="AA105" i="13" s="1"/>
  <c r="CP105" i="13" s="1"/>
  <c r="X105" i="13"/>
  <c r="Y105" i="13"/>
  <c r="AC105" i="13" s="1"/>
  <c r="DJ105" i="13" s="1"/>
  <c r="Z105" i="13"/>
  <c r="AD105" i="13" s="1"/>
  <c r="BR105" i="13" s="1"/>
  <c r="CJ105" i="13"/>
  <c r="AH105" i="13"/>
  <c r="AL105" i="13" s="1"/>
  <c r="BS105" i="13" s="1"/>
  <c r="AG105" i="13"/>
  <c r="AK105" i="13" s="1"/>
  <c r="DK105" i="13" s="1"/>
  <c r="AF105" i="13"/>
  <c r="AJ105" i="13" s="1"/>
  <c r="DA105" i="13" s="1"/>
  <c r="AE105" i="13"/>
  <c r="AI105" i="13" s="1"/>
  <c r="CQ105" i="13" s="1"/>
  <c r="DZ104" i="12"/>
  <c r="CJ105" i="12"/>
  <c r="CG105" i="12"/>
  <c r="Y105" i="12"/>
  <c r="X105" i="12"/>
  <c r="W105" i="12"/>
  <c r="AM105" i="12"/>
  <c r="BT105" i="12" s="1"/>
  <c r="AR105" i="12"/>
  <c r="AZ105" i="12" s="1"/>
  <c r="M106" i="12"/>
  <c r="L106" i="12"/>
  <c r="AN106" i="12" s="1"/>
  <c r="AP105" i="12"/>
  <c r="AE105" i="12"/>
  <c r="AF105" i="12"/>
  <c r="AG105" i="12"/>
  <c r="AH105" i="12"/>
  <c r="V105" i="12"/>
  <c r="R105" i="12"/>
  <c r="BQ105" i="12" s="1"/>
  <c r="S105" i="12"/>
  <c r="CO105" i="12" s="1"/>
  <c r="T105" i="12"/>
  <c r="CY105" i="12" s="1"/>
  <c r="U105" i="12"/>
  <c r="DI105" i="12" s="1"/>
  <c r="Q105" i="12"/>
  <c r="AY105" i="12" s="1"/>
  <c r="K106" i="12"/>
  <c r="BK34" i="12" l="1"/>
  <c r="BG34" i="12"/>
  <c r="BH34" i="12"/>
  <c r="BF34" i="12"/>
  <c r="BI34" i="12"/>
  <c r="BO34" i="13"/>
  <c r="DL34" i="13" s="1"/>
  <c r="DM34" i="13" s="1"/>
  <c r="DQ34" i="13" s="1"/>
  <c r="BM34" i="13"/>
  <c r="CR34" i="13" s="1"/>
  <c r="CS34" i="13" s="1"/>
  <c r="CW34" i="13" s="1"/>
  <c r="BN34" i="13"/>
  <c r="DB34" i="13" s="1"/>
  <c r="DC34" i="13" s="1"/>
  <c r="DG34" i="13" s="1"/>
  <c r="BL34" i="13"/>
  <c r="BW34" i="13" s="1"/>
  <c r="BX34" i="13" s="1"/>
  <c r="CE34" i="13" s="1"/>
  <c r="AY105" i="13"/>
  <c r="EF106" i="13"/>
  <c r="EL106" i="13" s="1"/>
  <c r="FE106" i="13" s="1"/>
  <c r="N106" i="13"/>
  <c r="AM106" i="13" s="1"/>
  <c r="BT106" i="13" s="1"/>
  <c r="AO106" i="13"/>
  <c r="AR106" i="13" s="1"/>
  <c r="AZ106" i="13" s="1"/>
  <c r="AB105" i="13"/>
  <c r="CZ105" i="13" s="1"/>
  <c r="ED104" i="12"/>
  <c r="AA105" i="12"/>
  <c r="CP105" i="12" s="1"/>
  <c r="AC105" i="12"/>
  <c r="DJ105" i="12" s="1"/>
  <c r="AB105" i="12"/>
  <c r="CZ105" i="12" s="1"/>
  <c r="AD105" i="12"/>
  <c r="BR105" i="12" s="1"/>
  <c r="AQ106" i="12"/>
  <c r="BU106" i="12" s="1"/>
  <c r="AS105" i="12"/>
  <c r="DV105" i="12" s="1"/>
  <c r="AO106" i="12"/>
  <c r="AI105" i="12"/>
  <c r="CQ105" i="12" s="1"/>
  <c r="AJ105" i="12"/>
  <c r="DA105" i="12" s="1"/>
  <c r="AK105" i="12"/>
  <c r="DK105" i="12" s="1"/>
  <c r="AL105" i="12"/>
  <c r="BS105" i="12" s="1"/>
  <c r="N106" i="12"/>
  <c r="Z106" i="12" s="1"/>
  <c r="BO34" i="12" l="1"/>
  <c r="DL34" i="12" s="1"/>
  <c r="DM34" i="12" s="1"/>
  <c r="BL34" i="12"/>
  <c r="BW34" i="12" s="1"/>
  <c r="BX34" i="12" s="1"/>
  <c r="BM34" i="12"/>
  <c r="CR34" i="12" s="1"/>
  <c r="CS34" i="12" s="1"/>
  <c r="BN34" i="12"/>
  <c r="DB34" i="12" s="1"/>
  <c r="DD34" i="13"/>
  <c r="DT34" i="13"/>
  <c r="DX34" i="13" s="1"/>
  <c r="EB34" i="13" s="1"/>
  <c r="DF34" i="13"/>
  <c r="DE34" i="13"/>
  <c r="DS34" i="13"/>
  <c r="DW34" i="13" s="1"/>
  <c r="EA34" i="13" s="1"/>
  <c r="CT34" i="13"/>
  <c r="CU34" i="13"/>
  <c r="CV34" i="13"/>
  <c r="DO34" i="13"/>
  <c r="DU34" i="13"/>
  <c r="DY34" i="13" s="1"/>
  <c r="EC34" i="13" s="1"/>
  <c r="FD34" i="13" s="1"/>
  <c r="FG34" i="13" s="1"/>
  <c r="DN34" i="13"/>
  <c r="DP34" i="13"/>
  <c r="BY34" i="13"/>
  <c r="CH34" i="13"/>
  <c r="CI34" i="13"/>
  <c r="CK34" i="13" s="1"/>
  <c r="CD34" i="13"/>
  <c r="CC34" i="13"/>
  <c r="CA34" i="13"/>
  <c r="BZ34" i="13"/>
  <c r="CB34" i="13"/>
  <c r="ER106" i="13"/>
  <c r="EG106" i="13"/>
  <c r="EM106" i="13" s="1"/>
  <c r="EK105" i="13"/>
  <c r="EJ106" i="13"/>
  <c r="AP106" i="13"/>
  <c r="AS106" i="13" s="1"/>
  <c r="DV106" i="13" s="1"/>
  <c r="DZ106" i="13" s="1"/>
  <c r="ED106" i="13" s="1"/>
  <c r="K107" i="13"/>
  <c r="M107" i="13"/>
  <c r="L107" i="13"/>
  <c r="AN107" i="13" s="1"/>
  <c r="AQ107" i="13" s="1"/>
  <c r="BU107" i="13" s="1"/>
  <c r="CG106" i="13"/>
  <c r="Q106" i="13"/>
  <c r="R106" i="13"/>
  <c r="BQ106" i="13" s="1"/>
  <c r="S106" i="13"/>
  <c r="CO106" i="13" s="1"/>
  <c r="T106" i="13"/>
  <c r="CY106" i="13" s="1"/>
  <c r="U106" i="13"/>
  <c r="DI106" i="13" s="1"/>
  <c r="V106" i="13"/>
  <c r="W106" i="13"/>
  <c r="AA106" i="13" s="1"/>
  <c r="CP106" i="13" s="1"/>
  <c r="X106" i="13"/>
  <c r="AB106" i="13" s="1"/>
  <c r="CZ106" i="13" s="1"/>
  <c r="Y106" i="13"/>
  <c r="AC106" i="13" s="1"/>
  <c r="DJ106" i="13" s="1"/>
  <c r="Z106" i="13"/>
  <c r="AD106" i="13" s="1"/>
  <c r="BR106" i="13" s="1"/>
  <c r="CJ106" i="13"/>
  <c r="AH106" i="13"/>
  <c r="AL106" i="13" s="1"/>
  <c r="BS106" i="13" s="1"/>
  <c r="AG106" i="13"/>
  <c r="AK106" i="13" s="1"/>
  <c r="DK106" i="13" s="1"/>
  <c r="AF106" i="13"/>
  <c r="AJ106" i="13" s="1"/>
  <c r="DA106" i="13" s="1"/>
  <c r="AE106" i="13"/>
  <c r="AI106" i="13" s="1"/>
  <c r="CQ106" i="13" s="1"/>
  <c r="DZ105" i="12"/>
  <c r="CJ106" i="12"/>
  <c r="CG106" i="12"/>
  <c r="W106" i="12"/>
  <c r="Y106" i="12"/>
  <c r="X106" i="12"/>
  <c r="AR106" i="12"/>
  <c r="AZ106" i="12" s="1"/>
  <c r="AM106" i="12"/>
  <c r="BT106" i="12" s="1"/>
  <c r="M107" i="12"/>
  <c r="L107" i="12"/>
  <c r="AN107" i="12" s="1"/>
  <c r="AP106" i="12"/>
  <c r="AE106" i="12"/>
  <c r="AF106" i="12"/>
  <c r="AG106" i="12"/>
  <c r="AH106" i="12"/>
  <c r="K107" i="12"/>
  <c r="R106" i="12"/>
  <c r="BQ106" i="12" s="1"/>
  <c r="V106" i="12"/>
  <c r="S106" i="12"/>
  <c r="CO106" i="12" s="1"/>
  <c r="T106" i="12"/>
  <c r="CY106" i="12" s="1"/>
  <c r="U106" i="12"/>
  <c r="DI106" i="12" s="1"/>
  <c r="Q106" i="12"/>
  <c r="AY106" i="12" s="1"/>
  <c r="DO34" i="12" l="1"/>
  <c r="DP34" i="12"/>
  <c r="DU34" i="12"/>
  <c r="DY34" i="12" s="1"/>
  <c r="EC34" i="12" s="1"/>
  <c r="DN34" i="12"/>
  <c r="DQ34" i="12"/>
  <c r="CA34" i="12"/>
  <c r="BY34" i="12"/>
  <c r="CI34" i="12"/>
  <c r="CK34" i="12" s="1"/>
  <c r="CH34" i="12"/>
  <c r="CD34" i="12"/>
  <c r="CC34" i="12"/>
  <c r="CB34" i="12"/>
  <c r="BZ34" i="12"/>
  <c r="CE34" i="12"/>
  <c r="CT34" i="12"/>
  <c r="CV34" i="12"/>
  <c r="CU34" i="12"/>
  <c r="DS34" i="12"/>
  <c r="DW34" i="12" s="1"/>
  <c r="EA34" i="12" s="1"/>
  <c r="CW34" i="12"/>
  <c r="DC34" i="12"/>
  <c r="DG34" i="12" s="1"/>
  <c r="CL34" i="13"/>
  <c r="BB35" i="13" s="1"/>
  <c r="CM34" i="13"/>
  <c r="AY106" i="13"/>
  <c r="N107" i="13"/>
  <c r="AO107" i="13"/>
  <c r="AR107" i="13" s="1"/>
  <c r="AZ107" i="13" s="1"/>
  <c r="ED105" i="12"/>
  <c r="AC106" i="12"/>
  <c r="DJ106" i="12" s="1"/>
  <c r="AD106" i="12"/>
  <c r="BR106" i="12" s="1"/>
  <c r="AB106" i="12"/>
  <c r="CZ106" i="12" s="1"/>
  <c r="AA106" i="12"/>
  <c r="CP106" i="12" s="1"/>
  <c r="AQ107" i="12"/>
  <c r="BU107" i="12" s="1"/>
  <c r="AS106" i="12"/>
  <c r="DV106" i="12" s="1"/>
  <c r="AO107" i="12"/>
  <c r="AI106" i="12"/>
  <c r="CQ106" i="12" s="1"/>
  <c r="AJ106" i="12"/>
  <c r="DA106" i="12" s="1"/>
  <c r="AK106" i="12"/>
  <c r="DK106" i="12" s="1"/>
  <c r="AL106" i="12"/>
  <c r="BS106" i="12" s="1"/>
  <c r="N107" i="12"/>
  <c r="Z107" i="12" s="1"/>
  <c r="FD34" i="12" l="1"/>
  <c r="FG34" i="12" s="1"/>
  <c r="CM34" i="12"/>
  <c r="CL34" i="12"/>
  <c r="BB35" i="12" s="1"/>
  <c r="DT34" i="12"/>
  <c r="DX34" i="12" s="1"/>
  <c r="EB34" i="12" s="1"/>
  <c r="DD34" i="12"/>
  <c r="DE34" i="12"/>
  <c r="DF34" i="12"/>
  <c r="BE35" i="13"/>
  <c r="BD35" i="13"/>
  <c r="EQ35" i="13" s="1"/>
  <c r="ES35" i="13" s="1"/>
  <c r="EK106" i="13"/>
  <c r="AP107" i="13"/>
  <c r="AS107" i="13" s="1"/>
  <c r="DV107" i="13" s="1"/>
  <c r="DZ107" i="13" s="1"/>
  <c r="ED107" i="13" s="1"/>
  <c r="CG107" i="13"/>
  <c r="K108" i="13"/>
  <c r="L108" i="13"/>
  <c r="AN108" i="13" s="1"/>
  <c r="AQ108" i="13" s="1"/>
  <c r="BU108" i="13" s="1"/>
  <c r="M108" i="13"/>
  <c r="Q107" i="13"/>
  <c r="AY107" i="13" s="1"/>
  <c r="AM107" i="13"/>
  <c r="BT107" i="13" s="1"/>
  <c r="R107" i="13"/>
  <c r="BQ107" i="13" s="1"/>
  <c r="S107" i="13"/>
  <c r="CO107" i="13" s="1"/>
  <c r="T107" i="13"/>
  <c r="CY107" i="13" s="1"/>
  <c r="U107" i="13"/>
  <c r="DI107" i="13" s="1"/>
  <c r="V107" i="13"/>
  <c r="W107" i="13"/>
  <c r="X107" i="13"/>
  <c r="Y107" i="13"/>
  <c r="Z107" i="13"/>
  <c r="AD107" i="13" s="1"/>
  <c r="BR107" i="13" s="1"/>
  <c r="CJ107" i="13"/>
  <c r="AH107" i="13"/>
  <c r="AL107" i="13" s="1"/>
  <c r="BS107" i="13" s="1"/>
  <c r="AG107" i="13"/>
  <c r="AK107" i="13" s="1"/>
  <c r="DK107" i="13" s="1"/>
  <c r="AF107" i="13"/>
  <c r="AJ107" i="13" s="1"/>
  <c r="DA107" i="13" s="1"/>
  <c r="AE107" i="13"/>
  <c r="AI107" i="13" s="1"/>
  <c r="CQ107" i="13" s="1"/>
  <c r="DZ106" i="12"/>
  <c r="CJ107" i="12"/>
  <c r="CG107" i="12"/>
  <c r="Y107" i="12"/>
  <c r="X107" i="12"/>
  <c r="W107" i="12"/>
  <c r="AM107" i="12"/>
  <c r="BT107" i="12" s="1"/>
  <c r="AR107" i="12"/>
  <c r="AZ107" i="12" s="1"/>
  <c r="M108" i="12"/>
  <c r="L108" i="12"/>
  <c r="AN108" i="12" s="1"/>
  <c r="AP107" i="12"/>
  <c r="AE107" i="12"/>
  <c r="AF107" i="12"/>
  <c r="AG107" i="12"/>
  <c r="AH107" i="12"/>
  <c r="T107" i="12"/>
  <c r="CY107" i="12" s="1"/>
  <c r="S107" i="12"/>
  <c r="CO107" i="12" s="1"/>
  <c r="R107" i="12"/>
  <c r="BQ107" i="12" s="1"/>
  <c r="Q107" i="12"/>
  <c r="AY107" i="12" s="1"/>
  <c r="K108" i="12"/>
  <c r="V107" i="12"/>
  <c r="U107" i="12"/>
  <c r="DI107" i="12" s="1"/>
  <c r="BE35" i="12" l="1"/>
  <c r="EV35" i="13"/>
  <c r="EY35" i="13" s="1"/>
  <c r="FB35" i="13" s="1"/>
  <c r="FF35" i="13" s="1"/>
  <c r="ET35" i="13"/>
  <c r="EW35" i="13" s="1"/>
  <c r="EZ35" i="13" s="1"/>
  <c r="EU35" i="13"/>
  <c r="EX35" i="13" s="1"/>
  <c r="FA35" i="13" s="1"/>
  <c r="BC35" i="13"/>
  <c r="N108" i="13"/>
  <c r="AO108" i="13"/>
  <c r="AR108" i="13" s="1"/>
  <c r="AZ108" i="13" s="1"/>
  <c r="AA107" i="13"/>
  <c r="CP107" i="13" s="1"/>
  <c r="AB107" i="13"/>
  <c r="CZ107" i="13" s="1"/>
  <c r="AC107" i="13"/>
  <c r="DJ107" i="13" s="1"/>
  <c r="ED106" i="12"/>
  <c r="AA107" i="12"/>
  <c r="CP107" i="12" s="1"/>
  <c r="AB107" i="12"/>
  <c r="CZ107" i="12" s="1"/>
  <c r="AC107" i="12"/>
  <c r="DJ107" i="12" s="1"/>
  <c r="AD107" i="12"/>
  <c r="BR107" i="12" s="1"/>
  <c r="AQ108" i="12"/>
  <c r="BU108" i="12" s="1"/>
  <c r="AS107" i="12"/>
  <c r="DV107" i="12" s="1"/>
  <c r="AO108" i="12"/>
  <c r="AI107" i="12"/>
  <c r="CQ107" i="12" s="1"/>
  <c r="AJ107" i="12"/>
  <c r="DA107" i="12" s="1"/>
  <c r="AK107" i="12"/>
  <c r="DK107" i="12" s="1"/>
  <c r="AL107" i="12"/>
  <c r="BS107" i="12" s="1"/>
  <c r="N108" i="12"/>
  <c r="Z108" i="12" s="1"/>
  <c r="BC35" i="12" l="1"/>
  <c r="BF35" i="13"/>
  <c r="BH35" i="13"/>
  <c r="BK35" i="13"/>
  <c r="BG35" i="13"/>
  <c r="BI35" i="13"/>
  <c r="AM108" i="13"/>
  <c r="BT108" i="13" s="1"/>
  <c r="AP108" i="13"/>
  <c r="AS108" i="13" s="1"/>
  <c r="DV108" i="13" s="1"/>
  <c r="DZ108" i="13" s="1"/>
  <c r="ED108" i="13" s="1"/>
  <c r="CG108" i="13"/>
  <c r="K109" i="13"/>
  <c r="L109" i="13"/>
  <c r="AN109" i="13" s="1"/>
  <c r="AQ109" i="13" s="1"/>
  <c r="BU109" i="13" s="1"/>
  <c r="M109" i="13"/>
  <c r="Q108" i="13"/>
  <c r="AY108" i="13" s="1"/>
  <c r="R108" i="13"/>
  <c r="BQ108" i="13" s="1"/>
  <c r="S108" i="13"/>
  <c r="CO108" i="13" s="1"/>
  <c r="T108" i="13"/>
  <c r="CY108" i="13" s="1"/>
  <c r="U108" i="13"/>
  <c r="DI108" i="13" s="1"/>
  <c r="V108" i="13"/>
  <c r="W108" i="13"/>
  <c r="X108" i="13"/>
  <c r="Z108" i="13"/>
  <c r="AD108" i="13" s="1"/>
  <c r="BR108" i="13" s="1"/>
  <c r="CJ108" i="13"/>
  <c r="AH108" i="13"/>
  <c r="AL108" i="13" s="1"/>
  <c r="BS108" i="13" s="1"/>
  <c r="AG108" i="13"/>
  <c r="AK108" i="13" s="1"/>
  <c r="DK108" i="13" s="1"/>
  <c r="AF108" i="13"/>
  <c r="AJ108" i="13" s="1"/>
  <c r="DA108" i="13" s="1"/>
  <c r="AE108" i="13"/>
  <c r="AI108" i="13" s="1"/>
  <c r="CQ108" i="13" s="1"/>
  <c r="Y108" i="13"/>
  <c r="AC108" i="13" s="1"/>
  <c r="DJ108" i="13" s="1"/>
  <c r="DZ107" i="12"/>
  <c r="CJ108" i="12"/>
  <c r="CG108" i="12"/>
  <c r="X108" i="12"/>
  <c r="W108" i="12"/>
  <c r="Y108" i="12"/>
  <c r="AR108" i="12"/>
  <c r="AZ108" i="12" s="1"/>
  <c r="AM108" i="12"/>
  <c r="BT108" i="12" s="1"/>
  <c r="M109" i="12"/>
  <c r="L109" i="12"/>
  <c r="AN109" i="12" s="1"/>
  <c r="AP108" i="12"/>
  <c r="AE108" i="12"/>
  <c r="AF108" i="12"/>
  <c r="AG108" i="12"/>
  <c r="AH108" i="12"/>
  <c r="S108" i="12"/>
  <c r="CO108" i="12" s="1"/>
  <c r="Q108" i="12"/>
  <c r="AY108" i="12" s="1"/>
  <c r="U108" i="12"/>
  <c r="DI108" i="12" s="1"/>
  <c r="R108" i="12"/>
  <c r="BQ108" i="12" s="1"/>
  <c r="K109" i="12"/>
  <c r="V108" i="12"/>
  <c r="T108" i="12"/>
  <c r="CY108" i="12" s="1"/>
  <c r="BK35" i="12" l="1"/>
  <c r="BH35" i="12"/>
  <c r="BG35" i="12"/>
  <c r="BF35" i="12"/>
  <c r="BI35" i="12"/>
  <c r="BL35" i="13"/>
  <c r="BW35" i="13" s="1"/>
  <c r="BX35" i="13" s="1"/>
  <c r="BO35" i="13"/>
  <c r="DL35" i="13" s="1"/>
  <c r="BN35" i="13"/>
  <c r="DB35" i="13" s="1"/>
  <c r="BM35" i="13"/>
  <c r="CR35" i="13" s="1"/>
  <c r="N109" i="13"/>
  <c r="AM109" i="13" s="1"/>
  <c r="BT109" i="13" s="1"/>
  <c r="AO109" i="13"/>
  <c r="AR109" i="13" s="1"/>
  <c r="AZ109" i="13" s="1"/>
  <c r="AA108" i="13"/>
  <c r="CP108" i="13" s="1"/>
  <c r="AB108" i="13"/>
  <c r="CZ108" i="13" s="1"/>
  <c r="ED107" i="12"/>
  <c r="AA108" i="12"/>
  <c r="CP108" i="12" s="1"/>
  <c r="AB108" i="12"/>
  <c r="CZ108" i="12" s="1"/>
  <c r="AC108" i="12"/>
  <c r="DJ108" i="12" s="1"/>
  <c r="AD108" i="12"/>
  <c r="BR108" i="12" s="1"/>
  <c r="AQ109" i="12"/>
  <c r="BU109" i="12" s="1"/>
  <c r="AS108" i="12"/>
  <c r="DV108" i="12" s="1"/>
  <c r="AO109" i="12"/>
  <c r="AI108" i="12"/>
  <c r="CQ108" i="12" s="1"/>
  <c r="AJ108" i="12"/>
  <c r="DA108" i="12" s="1"/>
  <c r="AK108" i="12"/>
  <c r="DK108" i="12" s="1"/>
  <c r="AL108" i="12"/>
  <c r="BS108" i="12" s="1"/>
  <c r="N109" i="12"/>
  <c r="Z109" i="12" s="1"/>
  <c r="BO35" i="12" l="1"/>
  <c r="DL35" i="12" s="1"/>
  <c r="BM35" i="12"/>
  <c r="CR35" i="12" s="1"/>
  <c r="BN35" i="12"/>
  <c r="DB35" i="12" s="1"/>
  <c r="BL35" i="12"/>
  <c r="BW35" i="12" s="1"/>
  <c r="CI35" i="13"/>
  <c r="CK35" i="13" s="1"/>
  <c r="CD35" i="13"/>
  <c r="CH35" i="13"/>
  <c r="BY35" i="13"/>
  <c r="CC35" i="13"/>
  <c r="CA35" i="13"/>
  <c r="CB35" i="13"/>
  <c r="BZ35" i="13"/>
  <c r="CE35" i="13"/>
  <c r="DM35" i="13"/>
  <c r="DQ35" i="13" s="1"/>
  <c r="DC35" i="13"/>
  <c r="DG35" i="13" s="1"/>
  <c r="CS35" i="13"/>
  <c r="CW35" i="13" s="1"/>
  <c r="CG109" i="13"/>
  <c r="R109" i="13"/>
  <c r="BQ109" i="13" s="1"/>
  <c r="T109" i="13"/>
  <c r="CY109" i="13" s="1"/>
  <c r="V109" i="13"/>
  <c r="X109" i="13"/>
  <c r="Z109" i="13"/>
  <c r="AD109" i="13" s="1"/>
  <c r="BR109" i="13" s="1"/>
  <c r="AH109" i="13"/>
  <c r="AL109" i="13" s="1"/>
  <c r="BS109" i="13" s="1"/>
  <c r="AG109" i="13"/>
  <c r="AK109" i="13" s="1"/>
  <c r="DK109" i="13" s="1"/>
  <c r="AE109" i="13"/>
  <c r="AI109" i="13" s="1"/>
  <c r="CQ109" i="13" s="1"/>
  <c r="AP109" i="13"/>
  <c r="AS109" i="13" s="1"/>
  <c r="DV109" i="13" s="1"/>
  <c r="DZ109" i="13" s="1"/>
  <c r="ED109" i="13" s="1"/>
  <c r="K110" i="13"/>
  <c r="L110" i="13"/>
  <c r="AN110" i="13" s="1"/>
  <c r="AQ110" i="13" s="1"/>
  <c r="BU110" i="13" s="1"/>
  <c r="M110" i="13"/>
  <c r="Q109" i="13"/>
  <c r="AY109" i="13" s="1"/>
  <c r="S109" i="13"/>
  <c r="CO109" i="13" s="1"/>
  <c r="U109" i="13"/>
  <c r="DI109" i="13" s="1"/>
  <c r="W109" i="13"/>
  <c r="AA109" i="13" s="1"/>
  <c r="CP109" i="13" s="1"/>
  <c r="Y109" i="13"/>
  <c r="AC109" i="13" s="1"/>
  <c r="DJ109" i="13" s="1"/>
  <c r="CJ109" i="13"/>
  <c r="AF109" i="13"/>
  <c r="AJ109" i="13" s="1"/>
  <c r="DA109" i="13" s="1"/>
  <c r="DZ108" i="12"/>
  <c r="CJ109" i="12"/>
  <c r="CG109" i="12"/>
  <c r="X109" i="12"/>
  <c r="W109" i="12"/>
  <c r="Y109" i="12"/>
  <c r="AR109" i="12"/>
  <c r="AZ109" i="12" s="1"/>
  <c r="AM109" i="12"/>
  <c r="BT109" i="12" s="1"/>
  <c r="M110" i="12"/>
  <c r="L110" i="12"/>
  <c r="AN110" i="12" s="1"/>
  <c r="AP109" i="12"/>
  <c r="AE109" i="12"/>
  <c r="AF109" i="12"/>
  <c r="AG109" i="12"/>
  <c r="AH109" i="12"/>
  <c r="R109" i="12"/>
  <c r="BQ109" i="12" s="1"/>
  <c r="S109" i="12"/>
  <c r="CO109" i="12" s="1"/>
  <c r="Q109" i="12"/>
  <c r="AY109" i="12" s="1"/>
  <c r="T109" i="12"/>
  <c r="CY109" i="12" s="1"/>
  <c r="K110" i="12"/>
  <c r="U109" i="12"/>
  <c r="DI109" i="12" s="1"/>
  <c r="V109" i="12"/>
  <c r="DM35" i="12" l="1"/>
  <c r="DQ35" i="12" s="1"/>
  <c r="CS35" i="12"/>
  <c r="CW35" i="12" s="1"/>
  <c r="DC35" i="12"/>
  <c r="DG35" i="12" s="1"/>
  <c r="BX35" i="12"/>
  <c r="CE35" i="12" s="1"/>
  <c r="CL35" i="13"/>
  <c r="BB36" i="13" s="1"/>
  <c r="CM35" i="13"/>
  <c r="DO35" i="13"/>
  <c r="DN35" i="13"/>
  <c r="DP35" i="13"/>
  <c r="DU35" i="13"/>
  <c r="DY35" i="13" s="1"/>
  <c r="EC35" i="13" s="1"/>
  <c r="FD35" i="13" s="1"/>
  <c r="FG35" i="13" s="1"/>
  <c r="DT35" i="13"/>
  <c r="DX35" i="13" s="1"/>
  <c r="EB35" i="13" s="1"/>
  <c r="DE35" i="13"/>
  <c r="DD35" i="13"/>
  <c r="DF35" i="13"/>
  <c r="CU35" i="13"/>
  <c r="CT35" i="13"/>
  <c r="CV35" i="13"/>
  <c r="DS35" i="13"/>
  <c r="DW35" i="13" s="1"/>
  <c r="EA35" i="13" s="1"/>
  <c r="N110" i="13"/>
  <c r="AM110" i="13" s="1"/>
  <c r="BT110" i="13" s="1"/>
  <c r="AB109" i="13"/>
  <c r="CZ109" i="13" s="1"/>
  <c r="AO110" i="13"/>
  <c r="AR110" i="13" s="1"/>
  <c r="AZ110" i="13" s="1"/>
  <c r="ED108" i="12"/>
  <c r="AA109" i="12"/>
  <c r="CP109" i="12" s="1"/>
  <c r="AB109" i="12"/>
  <c r="CZ109" i="12" s="1"/>
  <c r="AC109" i="12"/>
  <c r="DJ109" i="12" s="1"/>
  <c r="AD109" i="12"/>
  <c r="BR109" i="12" s="1"/>
  <c r="AQ110" i="12"/>
  <c r="BU110" i="12" s="1"/>
  <c r="AS109" i="12"/>
  <c r="DV109" i="12" s="1"/>
  <c r="AO110" i="12"/>
  <c r="AI109" i="12"/>
  <c r="CQ109" i="12" s="1"/>
  <c r="AJ109" i="12"/>
  <c r="DA109" i="12" s="1"/>
  <c r="AK109" i="12"/>
  <c r="DK109" i="12" s="1"/>
  <c r="AL109" i="12"/>
  <c r="BS109" i="12" s="1"/>
  <c r="N110" i="12"/>
  <c r="Z110" i="12" s="1"/>
  <c r="DO35" i="12" l="1"/>
  <c r="DP35" i="12"/>
  <c r="DU35" i="12"/>
  <c r="DY35" i="12" s="1"/>
  <c r="EC35" i="12" s="1"/>
  <c r="FD35" i="12" s="1"/>
  <c r="FG35" i="12" s="1"/>
  <c r="DN35" i="12"/>
  <c r="CV35" i="12"/>
  <c r="CU35" i="12"/>
  <c r="CT35" i="12"/>
  <c r="DS35" i="12"/>
  <c r="DW35" i="12" s="1"/>
  <c r="EA35" i="12" s="1"/>
  <c r="DT35" i="12"/>
  <c r="DX35" i="12" s="1"/>
  <c r="EB35" i="12" s="1"/>
  <c r="DE35" i="12"/>
  <c r="DF35" i="12"/>
  <c r="DD35" i="12"/>
  <c r="CH35" i="12"/>
  <c r="BZ35" i="12"/>
  <c r="CA35" i="12"/>
  <c r="CI35" i="12"/>
  <c r="CK35" i="12" s="1"/>
  <c r="CC35" i="12"/>
  <c r="CD35" i="12"/>
  <c r="CB35" i="12"/>
  <c r="BY35" i="12"/>
  <c r="BE36" i="13"/>
  <c r="BD36" i="13"/>
  <c r="EQ36" i="13" s="1"/>
  <c r="ES36" i="13" s="1"/>
  <c r="AP110" i="13"/>
  <c r="AS110" i="13" s="1"/>
  <c r="DV110" i="13" s="1"/>
  <c r="DZ110" i="13" s="1"/>
  <c r="ED110" i="13" s="1"/>
  <c r="CG110" i="13"/>
  <c r="K111" i="13"/>
  <c r="L111" i="13"/>
  <c r="AN111" i="13" s="1"/>
  <c r="AQ111" i="13" s="1"/>
  <c r="BU111" i="13" s="1"/>
  <c r="M111" i="13"/>
  <c r="AF110" i="13"/>
  <c r="AJ110" i="13" s="1"/>
  <c r="DA110" i="13" s="1"/>
  <c r="Q110" i="13"/>
  <c r="AY110" i="13" s="1"/>
  <c r="R110" i="13"/>
  <c r="BQ110" i="13" s="1"/>
  <c r="S110" i="13"/>
  <c r="CO110" i="13" s="1"/>
  <c r="T110" i="13"/>
  <c r="CY110" i="13" s="1"/>
  <c r="U110" i="13"/>
  <c r="DI110" i="13" s="1"/>
  <c r="V110" i="13"/>
  <c r="W110" i="13"/>
  <c r="X110" i="13"/>
  <c r="Y110" i="13"/>
  <c r="Z110" i="13"/>
  <c r="CJ110" i="13"/>
  <c r="AH110" i="13"/>
  <c r="AL110" i="13" s="1"/>
  <c r="BS110" i="13" s="1"/>
  <c r="AG110" i="13"/>
  <c r="AK110" i="13" s="1"/>
  <c r="DK110" i="13" s="1"/>
  <c r="AE110" i="13"/>
  <c r="AI110" i="13" s="1"/>
  <c r="CQ110" i="13" s="1"/>
  <c r="DZ109" i="12"/>
  <c r="CJ110" i="12"/>
  <c r="CG110" i="12"/>
  <c r="W110" i="12"/>
  <c r="X110" i="12"/>
  <c r="Y110" i="12"/>
  <c r="AR110" i="12"/>
  <c r="AZ110" i="12" s="1"/>
  <c r="AM110" i="12"/>
  <c r="BT110" i="12" s="1"/>
  <c r="M111" i="12"/>
  <c r="L111" i="12"/>
  <c r="AN111" i="12" s="1"/>
  <c r="AP110" i="12"/>
  <c r="AE110" i="12"/>
  <c r="AF110" i="12"/>
  <c r="AG110" i="12"/>
  <c r="AH110" i="12"/>
  <c r="V110" i="12"/>
  <c r="T110" i="12"/>
  <c r="CY110" i="12" s="1"/>
  <c r="Q110" i="12"/>
  <c r="AY110" i="12" s="1"/>
  <c r="S110" i="12"/>
  <c r="CO110" i="12" s="1"/>
  <c r="R110" i="12"/>
  <c r="BQ110" i="12" s="1"/>
  <c r="K111" i="12"/>
  <c r="U110" i="12"/>
  <c r="DI110" i="12" s="1"/>
  <c r="CL35" i="12" l="1"/>
  <c r="BB36" i="12" s="1"/>
  <c r="CM35" i="12"/>
  <c r="EU36" i="13"/>
  <c r="EX36" i="13" s="1"/>
  <c r="FA36" i="13" s="1"/>
  <c r="EV36" i="13"/>
  <c r="EY36" i="13" s="1"/>
  <c r="FB36" i="13" s="1"/>
  <c r="FF36" i="13" s="1"/>
  <c r="ET36" i="13"/>
  <c r="EW36" i="13" s="1"/>
  <c r="EZ36" i="13" s="1"/>
  <c r="BC36" i="13"/>
  <c r="AO111" i="13"/>
  <c r="AR111" i="13" s="1"/>
  <c r="AZ111" i="13" s="1"/>
  <c r="N111" i="13"/>
  <c r="AA110" i="13"/>
  <c r="CP110" i="13" s="1"/>
  <c r="AB110" i="13"/>
  <c r="CZ110" i="13" s="1"/>
  <c r="AC110" i="13"/>
  <c r="DJ110" i="13" s="1"/>
  <c r="AD110" i="13"/>
  <c r="BR110" i="13" s="1"/>
  <c r="ED109" i="12"/>
  <c r="AA110" i="12"/>
  <c r="CP110" i="12" s="1"/>
  <c r="AB110" i="12"/>
  <c r="CZ110" i="12" s="1"/>
  <c r="AC110" i="12"/>
  <c r="DJ110" i="12" s="1"/>
  <c r="AD110" i="12"/>
  <c r="BR110" i="12" s="1"/>
  <c r="AQ111" i="12"/>
  <c r="BU111" i="12" s="1"/>
  <c r="AS110" i="12"/>
  <c r="DV110" i="12" s="1"/>
  <c r="AO111" i="12"/>
  <c r="AI110" i="12"/>
  <c r="CQ110" i="12" s="1"/>
  <c r="AJ110" i="12"/>
  <c r="DA110" i="12" s="1"/>
  <c r="AK110" i="12"/>
  <c r="DK110" i="12" s="1"/>
  <c r="AL110" i="12"/>
  <c r="BS110" i="12" s="1"/>
  <c r="N111" i="12"/>
  <c r="Z111" i="12" s="1"/>
  <c r="BE36" i="12" l="1"/>
  <c r="BF36" i="13"/>
  <c r="BG36" i="13"/>
  <c r="BH36" i="13"/>
  <c r="BK36" i="13"/>
  <c r="BI36" i="13"/>
  <c r="AP111" i="13"/>
  <c r="AS111" i="13" s="1"/>
  <c r="DV111" i="13" s="1"/>
  <c r="DZ111" i="13" s="1"/>
  <c r="ED111" i="13" s="1"/>
  <c r="CG111" i="13"/>
  <c r="K112" i="13"/>
  <c r="AM111" i="13"/>
  <c r="BT111" i="13" s="1"/>
  <c r="AH111" i="13"/>
  <c r="AL111" i="13" s="1"/>
  <c r="BS111" i="13" s="1"/>
  <c r="AF111" i="13"/>
  <c r="AJ111" i="13" s="1"/>
  <c r="DA111" i="13" s="1"/>
  <c r="Q111" i="13"/>
  <c r="AY111" i="13" s="1"/>
  <c r="R111" i="13"/>
  <c r="BQ111" i="13" s="1"/>
  <c r="S111" i="13"/>
  <c r="CO111" i="13" s="1"/>
  <c r="T111" i="13"/>
  <c r="CY111" i="13" s="1"/>
  <c r="U111" i="13"/>
  <c r="DI111" i="13" s="1"/>
  <c r="V111" i="13"/>
  <c r="W111" i="13"/>
  <c r="AA111" i="13" s="1"/>
  <c r="CP111" i="13" s="1"/>
  <c r="X111" i="13"/>
  <c r="AB111" i="13" s="1"/>
  <c r="CZ111" i="13" s="1"/>
  <c r="Y111" i="13"/>
  <c r="AC111" i="13" s="1"/>
  <c r="DJ111" i="13" s="1"/>
  <c r="Z111" i="13"/>
  <c r="AD111" i="13" s="1"/>
  <c r="BR111" i="13" s="1"/>
  <c r="CJ111" i="13"/>
  <c r="AG111" i="13"/>
  <c r="AK111" i="13" s="1"/>
  <c r="DK111" i="13" s="1"/>
  <c r="AE111" i="13"/>
  <c r="AI111" i="13" s="1"/>
  <c r="CQ111" i="13" s="1"/>
  <c r="L112" i="13"/>
  <c r="AN112" i="13" s="1"/>
  <c r="AQ112" i="13" s="1"/>
  <c r="BU112" i="13" s="1"/>
  <c r="M112" i="13"/>
  <c r="DZ110" i="12"/>
  <c r="CJ111" i="12"/>
  <c r="CG111" i="12"/>
  <c r="W111" i="12"/>
  <c r="X111" i="12"/>
  <c r="Y111" i="12"/>
  <c r="AR111" i="12"/>
  <c r="AZ111" i="12" s="1"/>
  <c r="AM111" i="12"/>
  <c r="BT111" i="12" s="1"/>
  <c r="M112" i="12"/>
  <c r="L112" i="12"/>
  <c r="AN112" i="12" s="1"/>
  <c r="AP111" i="12"/>
  <c r="AE111" i="12"/>
  <c r="AF111" i="12"/>
  <c r="AG111" i="12"/>
  <c r="AH111" i="12"/>
  <c r="K112" i="12"/>
  <c r="U111" i="12"/>
  <c r="DI111" i="12" s="1"/>
  <c r="R111" i="12"/>
  <c r="BQ111" i="12" s="1"/>
  <c r="S111" i="12"/>
  <c r="CO111" i="12" s="1"/>
  <c r="T111" i="12"/>
  <c r="CY111" i="12" s="1"/>
  <c r="V111" i="12"/>
  <c r="Q111" i="12"/>
  <c r="AY111" i="12" s="1"/>
  <c r="BC36" i="12" l="1"/>
  <c r="BO36" i="13"/>
  <c r="DL36" i="13" s="1"/>
  <c r="BM36" i="13"/>
  <c r="CR36" i="13" s="1"/>
  <c r="BL36" i="13"/>
  <c r="BW36" i="13" s="1"/>
  <c r="BX36" i="13" s="1"/>
  <c r="BN36" i="13"/>
  <c r="DB36" i="13" s="1"/>
  <c r="N112" i="13"/>
  <c r="AM112" i="13" s="1"/>
  <c r="BT112" i="13" s="1"/>
  <c r="AO112" i="13"/>
  <c r="AR112" i="13" s="1"/>
  <c r="AZ112" i="13" s="1"/>
  <c r="ED110" i="12"/>
  <c r="AA111" i="12"/>
  <c r="CP111" i="12" s="1"/>
  <c r="AB111" i="12"/>
  <c r="CZ111" i="12" s="1"/>
  <c r="AC111" i="12"/>
  <c r="DJ111" i="12" s="1"/>
  <c r="AD111" i="12"/>
  <c r="BR111" i="12" s="1"/>
  <c r="AQ112" i="12"/>
  <c r="BU112" i="12" s="1"/>
  <c r="AS111" i="12"/>
  <c r="DV111" i="12" s="1"/>
  <c r="AO112" i="12"/>
  <c r="AI111" i="12"/>
  <c r="CQ111" i="12" s="1"/>
  <c r="AJ111" i="12"/>
  <c r="DA111" i="12" s="1"/>
  <c r="AK111" i="12"/>
  <c r="DK111" i="12" s="1"/>
  <c r="AL111" i="12"/>
  <c r="BS111" i="12" s="1"/>
  <c r="N112" i="12"/>
  <c r="Z112" i="12" s="1"/>
  <c r="BH36" i="12" l="1"/>
  <c r="BK36" i="12"/>
  <c r="BL36" i="12" s="1"/>
  <c r="BW36" i="12" s="1"/>
  <c r="BI36" i="12"/>
  <c r="BF36" i="12"/>
  <c r="BG36" i="12"/>
  <c r="DM36" i="13"/>
  <c r="DQ36" i="13" s="1"/>
  <c r="CS36" i="13"/>
  <c r="CW36" i="13" s="1"/>
  <c r="CH36" i="13"/>
  <c r="CI36" i="13"/>
  <c r="CK36" i="13" s="1"/>
  <c r="BY36" i="13"/>
  <c r="CB36" i="13"/>
  <c r="CC36" i="13"/>
  <c r="BZ36" i="13"/>
  <c r="CA36" i="13"/>
  <c r="CD36" i="13"/>
  <c r="CE36" i="13"/>
  <c r="DC36" i="13"/>
  <c r="DG36" i="13" s="1"/>
  <c r="AE112" i="13"/>
  <c r="AI112" i="13" s="1"/>
  <c r="CQ112" i="13" s="1"/>
  <c r="AP112" i="13"/>
  <c r="AS112" i="13" s="1"/>
  <c r="DV112" i="13" s="1"/>
  <c r="DZ112" i="13" s="1"/>
  <c r="ED112" i="13" s="1"/>
  <c r="CG112" i="13"/>
  <c r="K113" i="13"/>
  <c r="L113" i="13"/>
  <c r="AN113" i="13" s="1"/>
  <c r="AQ113" i="13" s="1"/>
  <c r="BU113" i="13" s="1"/>
  <c r="M113" i="13"/>
  <c r="AF112" i="13"/>
  <c r="AJ112" i="13" s="1"/>
  <c r="DA112" i="13" s="1"/>
  <c r="Q112" i="13"/>
  <c r="AY112" i="13" s="1"/>
  <c r="R112" i="13"/>
  <c r="BQ112" i="13" s="1"/>
  <c r="S112" i="13"/>
  <c r="CO112" i="13" s="1"/>
  <c r="T112" i="13"/>
  <c r="CY112" i="13" s="1"/>
  <c r="U112" i="13"/>
  <c r="DI112" i="13" s="1"/>
  <c r="V112" i="13"/>
  <c r="W112" i="13"/>
  <c r="AA112" i="13" s="1"/>
  <c r="CP112" i="13" s="1"/>
  <c r="X112" i="13"/>
  <c r="Y112" i="13"/>
  <c r="AC112" i="13" s="1"/>
  <c r="DJ112" i="13" s="1"/>
  <c r="Z112" i="13"/>
  <c r="CJ112" i="13"/>
  <c r="AH112" i="13"/>
  <c r="AL112" i="13" s="1"/>
  <c r="BS112" i="13" s="1"/>
  <c r="AG112" i="13"/>
  <c r="AK112" i="13" s="1"/>
  <c r="DK112" i="13" s="1"/>
  <c r="DZ111" i="12"/>
  <c r="CJ112" i="12"/>
  <c r="CG112" i="12"/>
  <c r="W112" i="12"/>
  <c r="Y112" i="12"/>
  <c r="X112" i="12"/>
  <c r="AM112" i="12"/>
  <c r="BT112" i="12" s="1"/>
  <c r="AR112" i="12"/>
  <c r="AZ112" i="12" s="1"/>
  <c r="M113" i="12"/>
  <c r="L113" i="12"/>
  <c r="AN113" i="12" s="1"/>
  <c r="AP112" i="12"/>
  <c r="AE112" i="12"/>
  <c r="AF112" i="12"/>
  <c r="AG112" i="12"/>
  <c r="AH112" i="12"/>
  <c r="Q112" i="12"/>
  <c r="AY112" i="12" s="1"/>
  <c r="U112" i="12"/>
  <c r="DI112" i="12" s="1"/>
  <c r="K113" i="12"/>
  <c r="R112" i="12"/>
  <c r="BQ112" i="12" s="1"/>
  <c r="S112" i="12"/>
  <c r="CO112" i="12" s="1"/>
  <c r="T112" i="12"/>
  <c r="CY112" i="12" s="1"/>
  <c r="V112" i="12"/>
  <c r="BN36" i="12" l="1"/>
  <c r="DB36" i="12" s="1"/>
  <c r="DC36" i="12" s="1"/>
  <c r="DG36" i="12" s="1"/>
  <c r="BO36" i="12"/>
  <c r="DL36" i="12" s="1"/>
  <c r="DM36" i="12" s="1"/>
  <c r="DQ36" i="12" s="1"/>
  <c r="BM36" i="12"/>
  <c r="CR36" i="12" s="1"/>
  <c r="CS36" i="12" s="1"/>
  <c r="CW36" i="12" s="1"/>
  <c r="BX36" i="12"/>
  <c r="CE36" i="12" s="1"/>
  <c r="DP36" i="13"/>
  <c r="DU36" i="13"/>
  <c r="DY36" i="13" s="1"/>
  <c r="EC36" i="13" s="1"/>
  <c r="FD36" i="13" s="1"/>
  <c r="FG36" i="13" s="1"/>
  <c r="DN36" i="13"/>
  <c r="DO36" i="13"/>
  <c r="CT36" i="13"/>
  <c r="CU36" i="13"/>
  <c r="DS36" i="13"/>
  <c r="DW36" i="13" s="1"/>
  <c r="EA36" i="13" s="1"/>
  <c r="CV36" i="13"/>
  <c r="CM36" i="13"/>
  <c r="CL36" i="13"/>
  <c r="BB37" i="13" s="1"/>
  <c r="DT36" i="13"/>
  <c r="DX36" i="13" s="1"/>
  <c r="EB36" i="13" s="1"/>
  <c r="DD36" i="13"/>
  <c r="DE36" i="13"/>
  <c r="DF36" i="13"/>
  <c r="N113" i="13"/>
  <c r="AM113" i="13" s="1"/>
  <c r="BT113" i="13" s="1"/>
  <c r="AO113" i="13"/>
  <c r="AR113" i="13" s="1"/>
  <c r="AZ113" i="13" s="1"/>
  <c r="AB112" i="13"/>
  <c r="CZ112" i="13" s="1"/>
  <c r="AD112" i="13"/>
  <c r="BR112" i="13" s="1"/>
  <c r="ED111" i="12"/>
  <c r="AA112" i="12"/>
  <c r="CP112" i="12" s="1"/>
  <c r="AB112" i="12"/>
  <c r="CZ112" i="12" s="1"/>
  <c r="AC112" i="12"/>
  <c r="DJ112" i="12" s="1"/>
  <c r="AD112" i="12"/>
  <c r="BR112" i="12" s="1"/>
  <c r="AQ113" i="12"/>
  <c r="BU113" i="12" s="1"/>
  <c r="AS112" i="12"/>
  <c r="DV112" i="12" s="1"/>
  <c r="AO113" i="12"/>
  <c r="AI112" i="12"/>
  <c r="CQ112" i="12" s="1"/>
  <c r="AJ112" i="12"/>
  <c r="DA112" i="12" s="1"/>
  <c r="AK112" i="12"/>
  <c r="DK112" i="12" s="1"/>
  <c r="AL112" i="12"/>
  <c r="BS112" i="12" s="1"/>
  <c r="N113" i="12"/>
  <c r="Z113" i="12" s="1"/>
  <c r="BZ36" i="12" l="1"/>
  <c r="CD36" i="12"/>
  <c r="CI36" i="12"/>
  <c r="CK36" i="12" s="1"/>
  <c r="CH36" i="12"/>
  <c r="CC36" i="12"/>
  <c r="BY36" i="12"/>
  <c r="CA36" i="12"/>
  <c r="CB36" i="12"/>
  <c r="DE36" i="12"/>
  <c r="DF36" i="12"/>
  <c r="DT36" i="12"/>
  <c r="DX36" i="12" s="1"/>
  <c r="EB36" i="12" s="1"/>
  <c r="DD36" i="12"/>
  <c r="DN36" i="12"/>
  <c r="DO36" i="12"/>
  <c r="DU36" i="12"/>
  <c r="DY36" i="12" s="1"/>
  <c r="EC36" i="12" s="1"/>
  <c r="DP36" i="12"/>
  <c r="CU36" i="12"/>
  <c r="DS36" i="12"/>
  <c r="DW36" i="12" s="1"/>
  <c r="EA36" i="12" s="1"/>
  <c r="CT36" i="12"/>
  <c r="CV36" i="12"/>
  <c r="BE37" i="13"/>
  <c r="BD37" i="13"/>
  <c r="EQ37" i="13" s="1"/>
  <c r="ES37" i="13" s="1"/>
  <c r="AP113" i="13"/>
  <c r="AS113" i="13" s="1"/>
  <c r="DV113" i="13" s="1"/>
  <c r="DZ113" i="13" s="1"/>
  <c r="ED113" i="13" s="1"/>
  <c r="CG113" i="13"/>
  <c r="M114" i="13"/>
  <c r="L114" i="13"/>
  <c r="AN114" i="13" s="1"/>
  <c r="AQ114" i="13" s="1"/>
  <c r="BU114" i="13" s="1"/>
  <c r="K114" i="13"/>
  <c r="AH113" i="13"/>
  <c r="AL113" i="13" s="1"/>
  <c r="BS113" i="13" s="1"/>
  <c r="AE113" i="13"/>
  <c r="AI113" i="13" s="1"/>
  <c r="CQ113" i="13" s="1"/>
  <c r="Q113" i="13"/>
  <c r="AY113" i="13" s="1"/>
  <c r="R113" i="13"/>
  <c r="BQ113" i="13" s="1"/>
  <c r="S113" i="13"/>
  <c r="CO113" i="13" s="1"/>
  <c r="T113" i="13"/>
  <c r="CY113" i="13" s="1"/>
  <c r="U113" i="13"/>
  <c r="DI113" i="13" s="1"/>
  <c r="V113" i="13"/>
  <c r="W113" i="13"/>
  <c r="AA113" i="13" s="1"/>
  <c r="CP113" i="13" s="1"/>
  <c r="X113" i="13"/>
  <c r="AB113" i="13" s="1"/>
  <c r="CZ113" i="13" s="1"/>
  <c r="Y113" i="13"/>
  <c r="AC113" i="13" s="1"/>
  <c r="DJ113" i="13" s="1"/>
  <c r="Z113" i="13"/>
  <c r="CJ113" i="13"/>
  <c r="AG113" i="13"/>
  <c r="AK113" i="13" s="1"/>
  <c r="DK113" i="13" s="1"/>
  <c r="AF113" i="13"/>
  <c r="AJ113" i="13" s="1"/>
  <c r="DA113" i="13" s="1"/>
  <c r="DZ112" i="12"/>
  <c r="CJ113" i="12"/>
  <c r="CG113" i="12"/>
  <c r="Y113" i="12"/>
  <c r="X113" i="12"/>
  <c r="W113" i="12"/>
  <c r="AR113" i="12"/>
  <c r="AZ113" i="12" s="1"/>
  <c r="AM113" i="12"/>
  <c r="BT113" i="12" s="1"/>
  <c r="M114" i="12"/>
  <c r="L114" i="12"/>
  <c r="AN114" i="12" s="1"/>
  <c r="AP113" i="12"/>
  <c r="AE113" i="12"/>
  <c r="AF113" i="12"/>
  <c r="AG113" i="12"/>
  <c r="AH113" i="12"/>
  <c r="U113" i="12"/>
  <c r="DI113" i="12" s="1"/>
  <c r="R113" i="12"/>
  <c r="BQ113" i="12" s="1"/>
  <c r="T113" i="12"/>
  <c r="CY113" i="12" s="1"/>
  <c r="S113" i="12"/>
  <c r="CO113" i="12" s="1"/>
  <c r="V113" i="12"/>
  <c r="K114" i="12"/>
  <c r="Q113" i="12"/>
  <c r="AY113" i="12" s="1"/>
  <c r="FD36" i="12" l="1"/>
  <c r="FG36" i="12" s="1"/>
  <c r="CL36" i="12"/>
  <c r="BB37" i="12" s="1"/>
  <c r="CM36" i="12"/>
  <c r="ET37" i="13"/>
  <c r="EW37" i="13" s="1"/>
  <c r="EZ37" i="13" s="1"/>
  <c r="EU37" i="13"/>
  <c r="EX37" i="13" s="1"/>
  <c r="FA37" i="13" s="1"/>
  <c r="EV37" i="13"/>
  <c r="EY37" i="13" s="1"/>
  <c r="FB37" i="13" s="1"/>
  <c r="FF37" i="13" s="1"/>
  <c r="BC37" i="13"/>
  <c r="N114" i="13"/>
  <c r="AO114" i="13"/>
  <c r="AR114" i="13" s="1"/>
  <c r="AZ114" i="13" s="1"/>
  <c r="AD113" i="13"/>
  <c r="BR113" i="13" s="1"/>
  <c r="ED112" i="12"/>
  <c r="AA113" i="12"/>
  <c r="CP113" i="12" s="1"/>
  <c r="AB113" i="12"/>
  <c r="CZ113" i="12" s="1"/>
  <c r="AC113" i="12"/>
  <c r="DJ113" i="12" s="1"/>
  <c r="AD113" i="12"/>
  <c r="BR113" i="12" s="1"/>
  <c r="AQ114" i="12"/>
  <c r="BU114" i="12" s="1"/>
  <c r="AS113" i="12"/>
  <c r="DV113" i="12" s="1"/>
  <c r="AO114" i="12"/>
  <c r="AI113" i="12"/>
  <c r="CQ113" i="12" s="1"/>
  <c r="AJ113" i="12"/>
  <c r="DA113" i="12" s="1"/>
  <c r="AK113" i="12"/>
  <c r="DK113" i="12" s="1"/>
  <c r="AL113" i="12"/>
  <c r="BS113" i="12" s="1"/>
  <c r="N114" i="12"/>
  <c r="Z114" i="12" s="1"/>
  <c r="BE37" i="12" l="1"/>
  <c r="BG37" i="13"/>
  <c r="BH37" i="13"/>
  <c r="BF37" i="13"/>
  <c r="BK37" i="13"/>
  <c r="BI37" i="13"/>
  <c r="AM114" i="13"/>
  <c r="BT114" i="13" s="1"/>
  <c r="AH114" i="13"/>
  <c r="AL114" i="13" s="1"/>
  <c r="BS114" i="13" s="1"/>
  <c r="AF114" i="13"/>
  <c r="AJ114" i="13" s="1"/>
  <c r="DA114" i="13" s="1"/>
  <c r="Q114" i="13"/>
  <c r="AY114" i="13" s="1"/>
  <c r="R114" i="13"/>
  <c r="BQ114" i="13" s="1"/>
  <c r="S114" i="13"/>
  <c r="CO114" i="13" s="1"/>
  <c r="T114" i="13"/>
  <c r="CY114" i="13" s="1"/>
  <c r="U114" i="13"/>
  <c r="DI114" i="13" s="1"/>
  <c r="V114" i="13"/>
  <c r="W114" i="13"/>
  <c r="AA114" i="13" s="1"/>
  <c r="CP114" i="13" s="1"/>
  <c r="X114" i="13"/>
  <c r="Y114" i="13"/>
  <c r="K115" i="13"/>
  <c r="L115" i="13"/>
  <c r="AN115" i="13" s="1"/>
  <c r="AQ115" i="13" s="1"/>
  <c r="BU115" i="13" s="1"/>
  <c r="CG114" i="13"/>
  <c r="M115" i="13"/>
  <c r="AP114" i="13"/>
  <c r="AS114" i="13" s="1"/>
  <c r="DV114" i="13" s="1"/>
  <c r="DZ114" i="13" s="1"/>
  <c r="ED114" i="13" s="1"/>
  <c r="Z114" i="13"/>
  <c r="AD114" i="13" s="1"/>
  <c r="BR114" i="13" s="1"/>
  <c r="CJ114" i="13"/>
  <c r="AG114" i="13"/>
  <c r="AK114" i="13" s="1"/>
  <c r="DK114" i="13" s="1"/>
  <c r="AE114" i="13"/>
  <c r="AI114" i="13" s="1"/>
  <c r="CQ114" i="13" s="1"/>
  <c r="DZ113" i="12"/>
  <c r="CJ114" i="12"/>
  <c r="CG114" i="12"/>
  <c r="X114" i="12"/>
  <c r="W114" i="12"/>
  <c r="Y114" i="12"/>
  <c r="AM114" i="12"/>
  <c r="BT114" i="12" s="1"/>
  <c r="AR114" i="12"/>
  <c r="AZ114" i="12" s="1"/>
  <c r="M115" i="12"/>
  <c r="L115" i="12"/>
  <c r="AN115" i="12" s="1"/>
  <c r="AP114" i="12"/>
  <c r="AG114" i="12"/>
  <c r="AF114" i="12"/>
  <c r="AH114" i="12"/>
  <c r="AE114" i="12"/>
  <c r="V114" i="12"/>
  <c r="T114" i="12"/>
  <c r="CY114" i="12" s="1"/>
  <c r="S114" i="12"/>
  <c r="CO114" i="12" s="1"/>
  <c r="Q114" i="12"/>
  <c r="AY114" i="12" s="1"/>
  <c r="K115" i="12"/>
  <c r="R114" i="12"/>
  <c r="BQ114" i="12" s="1"/>
  <c r="U114" i="12"/>
  <c r="DI114" i="12" s="1"/>
  <c r="BC37" i="12" l="1"/>
  <c r="BM37" i="13"/>
  <c r="CR37" i="13" s="1"/>
  <c r="BL37" i="13"/>
  <c r="BW37" i="13" s="1"/>
  <c r="BX37" i="13" s="1"/>
  <c r="BO37" i="13"/>
  <c r="DL37" i="13" s="1"/>
  <c r="BN37" i="13"/>
  <c r="DB37" i="13" s="1"/>
  <c r="N115" i="13"/>
  <c r="AM115" i="13" s="1"/>
  <c r="BT115" i="13" s="1"/>
  <c r="AB114" i="13"/>
  <c r="CZ114" i="13" s="1"/>
  <c r="AC114" i="13"/>
  <c r="DJ114" i="13" s="1"/>
  <c r="AO115" i="13"/>
  <c r="AR115" i="13" s="1"/>
  <c r="AZ115" i="13" s="1"/>
  <c r="ED113" i="12"/>
  <c r="AA114" i="12"/>
  <c r="CP114" i="12" s="1"/>
  <c r="AB114" i="12"/>
  <c r="CZ114" i="12" s="1"/>
  <c r="AC114" i="12"/>
  <c r="DJ114" i="12" s="1"/>
  <c r="AD114" i="12"/>
  <c r="BR114" i="12" s="1"/>
  <c r="AQ115" i="12"/>
  <c r="BU115" i="12" s="1"/>
  <c r="AS114" i="12"/>
  <c r="DV114" i="12" s="1"/>
  <c r="AO115" i="12"/>
  <c r="AK114" i="12"/>
  <c r="DK114" i="12" s="1"/>
  <c r="AJ114" i="12"/>
  <c r="DA114" i="12" s="1"/>
  <c r="AI114" i="12"/>
  <c r="CQ114" i="12" s="1"/>
  <c r="AL114" i="12"/>
  <c r="BS114" i="12" s="1"/>
  <c r="N115" i="12"/>
  <c r="Z115" i="12" s="1"/>
  <c r="BH37" i="12" l="1"/>
  <c r="BF37" i="12"/>
  <c r="BG37" i="12"/>
  <c r="BK37" i="12"/>
  <c r="BI37" i="12"/>
  <c r="CS37" i="13"/>
  <c r="CW37" i="13" s="1"/>
  <c r="BY37" i="13"/>
  <c r="CI37" i="13"/>
  <c r="CK37" i="13" s="1"/>
  <c r="CD37" i="13"/>
  <c r="CC37" i="13"/>
  <c r="CB37" i="13"/>
  <c r="BZ37" i="13"/>
  <c r="CH37" i="13"/>
  <c r="CA37" i="13"/>
  <c r="CE37" i="13"/>
  <c r="DM37" i="13"/>
  <c r="DQ37" i="13" s="1"/>
  <c r="DC37" i="13"/>
  <c r="DG37" i="13" s="1"/>
  <c r="AP115" i="13"/>
  <c r="AS115" i="13" s="1"/>
  <c r="DV115" i="13" s="1"/>
  <c r="DZ115" i="13" s="1"/>
  <c r="ED115" i="13" s="1"/>
  <c r="CG115" i="13"/>
  <c r="K116" i="13"/>
  <c r="AH115" i="13"/>
  <c r="AL115" i="13" s="1"/>
  <c r="BS115" i="13" s="1"/>
  <c r="AF115" i="13"/>
  <c r="AJ115" i="13" s="1"/>
  <c r="DA115" i="13" s="1"/>
  <c r="L116" i="13"/>
  <c r="AN116" i="13" s="1"/>
  <c r="AQ116" i="13" s="1"/>
  <c r="BU116" i="13" s="1"/>
  <c r="M116" i="13"/>
  <c r="Q115" i="13"/>
  <c r="AY115" i="13" s="1"/>
  <c r="R115" i="13"/>
  <c r="BQ115" i="13" s="1"/>
  <c r="S115" i="13"/>
  <c r="CO115" i="13" s="1"/>
  <c r="T115" i="13"/>
  <c r="CY115" i="13" s="1"/>
  <c r="U115" i="13"/>
  <c r="DI115" i="13" s="1"/>
  <c r="V115" i="13"/>
  <c r="W115" i="13"/>
  <c r="X115" i="13"/>
  <c r="Y115" i="13"/>
  <c r="AC115" i="13" s="1"/>
  <c r="DJ115" i="13" s="1"/>
  <c r="Z115" i="13"/>
  <c r="CJ115" i="13"/>
  <c r="AG115" i="13"/>
  <c r="AK115" i="13" s="1"/>
  <c r="DK115" i="13" s="1"/>
  <c r="AE115" i="13"/>
  <c r="AI115" i="13" s="1"/>
  <c r="CQ115" i="13" s="1"/>
  <c r="DZ114" i="12"/>
  <c r="CJ115" i="12"/>
  <c r="CG115" i="12"/>
  <c r="X115" i="12"/>
  <c r="W115" i="12"/>
  <c r="Y115" i="12"/>
  <c r="AR115" i="12"/>
  <c r="AZ115" i="12" s="1"/>
  <c r="AM115" i="12"/>
  <c r="BT115" i="12" s="1"/>
  <c r="M116" i="12"/>
  <c r="L116" i="12"/>
  <c r="AN116" i="12" s="1"/>
  <c r="AP115" i="12"/>
  <c r="AE115" i="12"/>
  <c r="AF115" i="12"/>
  <c r="AG115" i="12"/>
  <c r="AH115" i="12"/>
  <c r="S115" i="12"/>
  <c r="CO115" i="12" s="1"/>
  <c r="Q115" i="12"/>
  <c r="AY115" i="12" s="1"/>
  <c r="R115" i="12"/>
  <c r="BQ115" i="12" s="1"/>
  <c r="T115" i="12"/>
  <c r="CY115" i="12" s="1"/>
  <c r="K116" i="12"/>
  <c r="U115" i="12"/>
  <c r="DI115" i="12" s="1"/>
  <c r="V115" i="12"/>
  <c r="BO37" i="12" l="1"/>
  <c r="DL37" i="12" s="1"/>
  <c r="DM37" i="12" s="1"/>
  <c r="BN37" i="12"/>
  <c r="DB37" i="12" s="1"/>
  <c r="DC37" i="12" s="1"/>
  <c r="BL37" i="12"/>
  <c r="BW37" i="12" s="1"/>
  <c r="BX37" i="12" s="1"/>
  <c r="BM37" i="12"/>
  <c r="CR37" i="12" s="1"/>
  <c r="CS37" i="12" s="1"/>
  <c r="DS37" i="13"/>
  <c r="DW37" i="13" s="1"/>
  <c r="EA37" i="13" s="1"/>
  <c r="CT37" i="13"/>
  <c r="CU37" i="13"/>
  <c r="CV37" i="13"/>
  <c r="CL37" i="13"/>
  <c r="BB38" i="13" s="1"/>
  <c r="CM37" i="13"/>
  <c r="DN37" i="13"/>
  <c r="DO37" i="13"/>
  <c r="DP37" i="13"/>
  <c r="DU37" i="13"/>
  <c r="DY37" i="13" s="1"/>
  <c r="EC37" i="13" s="1"/>
  <c r="FD37" i="13" s="1"/>
  <c r="FG37" i="13" s="1"/>
  <c r="DE37" i="13"/>
  <c r="DT37" i="13"/>
  <c r="DX37" i="13" s="1"/>
  <c r="EB37" i="13" s="1"/>
  <c r="DF37" i="13"/>
  <c r="DD37" i="13"/>
  <c r="N116" i="13"/>
  <c r="AM116" i="13" s="1"/>
  <c r="BT116" i="13" s="1"/>
  <c r="AO116" i="13"/>
  <c r="AR116" i="13" s="1"/>
  <c r="AZ116" i="13" s="1"/>
  <c r="AA115" i="13"/>
  <c r="CP115" i="13" s="1"/>
  <c r="AB115" i="13"/>
  <c r="CZ115" i="13" s="1"/>
  <c r="AD115" i="13"/>
  <c r="BR115" i="13" s="1"/>
  <c r="ED114" i="12"/>
  <c r="AA115" i="12"/>
  <c r="CP115" i="12" s="1"/>
  <c r="AB115" i="12"/>
  <c r="CZ115" i="12" s="1"/>
  <c r="AC115" i="12"/>
  <c r="DJ115" i="12" s="1"/>
  <c r="AD115" i="12"/>
  <c r="BR115" i="12" s="1"/>
  <c r="AQ116" i="12"/>
  <c r="BU116" i="12" s="1"/>
  <c r="AS115" i="12"/>
  <c r="DV115" i="12" s="1"/>
  <c r="AO116" i="12"/>
  <c r="AI115" i="12"/>
  <c r="CQ115" i="12" s="1"/>
  <c r="AJ115" i="12"/>
  <c r="DA115" i="12" s="1"/>
  <c r="AK115" i="12"/>
  <c r="DK115" i="12" s="1"/>
  <c r="AL115" i="12"/>
  <c r="BS115" i="12" s="1"/>
  <c r="N116" i="12"/>
  <c r="Z116" i="12" s="1"/>
  <c r="DN37" i="12" l="1"/>
  <c r="DP37" i="12"/>
  <c r="DU37" i="12"/>
  <c r="DY37" i="12" s="1"/>
  <c r="EC37" i="12" s="1"/>
  <c r="DO37" i="12"/>
  <c r="DQ37" i="12"/>
  <c r="DF37" i="12"/>
  <c r="DT37" i="12"/>
  <c r="DX37" i="12" s="1"/>
  <c r="EB37" i="12" s="1"/>
  <c r="DE37" i="12"/>
  <c r="DD37" i="12"/>
  <c r="DG37" i="12"/>
  <c r="CD37" i="12"/>
  <c r="CH37" i="12"/>
  <c r="CC37" i="12"/>
  <c r="BZ37" i="12"/>
  <c r="CB37" i="12"/>
  <c r="CI37" i="12"/>
  <c r="CK37" i="12" s="1"/>
  <c r="BY37" i="12"/>
  <c r="CA37" i="12"/>
  <c r="CE37" i="12"/>
  <c r="CT37" i="12"/>
  <c r="CV37" i="12"/>
  <c r="DS37" i="12"/>
  <c r="DW37" i="12" s="1"/>
  <c r="EA37" i="12" s="1"/>
  <c r="CU37" i="12"/>
  <c r="CW37" i="12"/>
  <c r="BE38" i="13"/>
  <c r="BD38" i="13"/>
  <c r="EQ38" i="13" s="1"/>
  <c r="ES38" i="13" s="1"/>
  <c r="AP116" i="13"/>
  <c r="AS116" i="13" s="1"/>
  <c r="DV116" i="13" s="1"/>
  <c r="DZ116" i="13" s="1"/>
  <c r="ED116" i="13" s="1"/>
  <c r="CG116" i="13"/>
  <c r="K117" i="13"/>
  <c r="L117" i="13"/>
  <c r="AN117" i="13" s="1"/>
  <c r="AQ117" i="13" s="1"/>
  <c r="BU117" i="13" s="1"/>
  <c r="M117" i="13"/>
  <c r="AF116" i="13"/>
  <c r="AJ116" i="13" s="1"/>
  <c r="DA116" i="13" s="1"/>
  <c r="Q116" i="13"/>
  <c r="AY116" i="13" s="1"/>
  <c r="R116" i="13"/>
  <c r="BQ116" i="13" s="1"/>
  <c r="S116" i="13"/>
  <c r="CO116" i="13" s="1"/>
  <c r="T116" i="13"/>
  <c r="CY116" i="13" s="1"/>
  <c r="U116" i="13"/>
  <c r="DI116" i="13" s="1"/>
  <c r="V116" i="13"/>
  <c r="W116" i="13"/>
  <c r="AA116" i="13" s="1"/>
  <c r="CP116" i="13" s="1"/>
  <c r="X116" i="13"/>
  <c r="AB116" i="13" s="1"/>
  <c r="CZ116" i="13" s="1"/>
  <c r="Y116" i="13"/>
  <c r="Z116" i="13"/>
  <c r="CJ116" i="13"/>
  <c r="AH116" i="13"/>
  <c r="AL116" i="13" s="1"/>
  <c r="BS116" i="13" s="1"/>
  <c r="AG116" i="13"/>
  <c r="AK116" i="13" s="1"/>
  <c r="DK116" i="13" s="1"/>
  <c r="AE116" i="13"/>
  <c r="AI116" i="13" s="1"/>
  <c r="CQ116" i="13" s="1"/>
  <c r="DZ115" i="12"/>
  <c r="CJ116" i="12"/>
  <c r="CG116" i="12"/>
  <c r="Y116" i="12"/>
  <c r="W116" i="12"/>
  <c r="X116" i="12"/>
  <c r="AR116" i="12"/>
  <c r="AZ116" i="12" s="1"/>
  <c r="AM116" i="12"/>
  <c r="BT116" i="12" s="1"/>
  <c r="M117" i="12"/>
  <c r="L117" i="12"/>
  <c r="AN117" i="12" s="1"/>
  <c r="AP116" i="12"/>
  <c r="AE116" i="12"/>
  <c r="AF116" i="12"/>
  <c r="AG116" i="12"/>
  <c r="AH116" i="12"/>
  <c r="Q116" i="12"/>
  <c r="AY116" i="12" s="1"/>
  <c r="R116" i="12"/>
  <c r="BQ116" i="12" s="1"/>
  <c r="V116" i="12"/>
  <c r="T116" i="12"/>
  <c r="CY116" i="12" s="1"/>
  <c r="K117" i="12"/>
  <c r="S116" i="12"/>
  <c r="CO116" i="12" s="1"/>
  <c r="U116" i="12"/>
  <c r="DI116" i="12" s="1"/>
  <c r="FD37" i="12" l="1"/>
  <c r="FG37" i="12" s="1"/>
  <c r="CL37" i="12"/>
  <c r="BB38" i="12" s="1"/>
  <c r="CM37" i="12"/>
  <c r="BC38" i="13"/>
  <c r="EV38" i="13"/>
  <c r="EY38" i="13" s="1"/>
  <c r="FB38" i="13" s="1"/>
  <c r="FF38" i="13" s="1"/>
  <c r="EU38" i="13"/>
  <c r="EX38" i="13" s="1"/>
  <c r="FA38" i="13" s="1"/>
  <c r="ET38" i="13"/>
  <c r="EW38" i="13" s="1"/>
  <c r="EZ38" i="13" s="1"/>
  <c r="N117" i="13"/>
  <c r="AM117" i="13" s="1"/>
  <c r="BT117" i="13" s="1"/>
  <c r="AO117" i="13"/>
  <c r="AR117" i="13" s="1"/>
  <c r="AZ117" i="13" s="1"/>
  <c r="AC116" i="13"/>
  <c r="DJ116" i="13" s="1"/>
  <c r="AD116" i="13"/>
  <c r="BR116" i="13" s="1"/>
  <c r="ED115" i="12"/>
  <c r="AA116" i="12"/>
  <c r="CP116" i="12" s="1"/>
  <c r="AB116" i="12"/>
  <c r="CZ116" i="12" s="1"/>
  <c r="AC116" i="12"/>
  <c r="DJ116" i="12" s="1"/>
  <c r="AD116" i="12"/>
  <c r="BR116" i="12" s="1"/>
  <c r="AQ117" i="12"/>
  <c r="BU117" i="12" s="1"/>
  <c r="AS116" i="12"/>
  <c r="DV116" i="12" s="1"/>
  <c r="AO117" i="12"/>
  <c r="AI116" i="12"/>
  <c r="CQ116" i="12" s="1"/>
  <c r="AJ116" i="12"/>
  <c r="DA116" i="12" s="1"/>
  <c r="AK116" i="12"/>
  <c r="DK116" i="12" s="1"/>
  <c r="AL116" i="12"/>
  <c r="BS116" i="12" s="1"/>
  <c r="N117" i="12"/>
  <c r="Z117" i="12" s="1"/>
  <c r="BE38" i="12" l="1"/>
  <c r="BH38" i="13"/>
  <c r="BK38" i="13"/>
  <c r="BI38" i="13"/>
  <c r="BF38" i="13"/>
  <c r="BG38" i="13"/>
  <c r="AP117" i="13"/>
  <c r="AS117" i="13" s="1"/>
  <c r="DV117" i="13" s="1"/>
  <c r="DZ117" i="13" s="1"/>
  <c r="ED117" i="13" s="1"/>
  <c r="CG117" i="13"/>
  <c r="K118" i="13"/>
  <c r="L118" i="13"/>
  <c r="AN118" i="13" s="1"/>
  <c r="AQ118" i="13" s="1"/>
  <c r="BU118" i="13" s="1"/>
  <c r="M118" i="13"/>
  <c r="AH117" i="13"/>
  <c r="AL117" i="13" s="1"/>
  <c r="BS117" i="13" s="1"/>
  <c r="AE117" i="13"/>
  <c r="AI117" i="13" s="1"/>
  <c r="CQ117" i="13" s="1"/>
  <c r="Q117" i="13"/>
  <c r="AY117" i="13" s="1"/>
  <c r="R117" i="13"/>
  <c r="BQ117" i="13" s="1"/>
  <c r="S117" i="13"/>
  <c r="CO117" i="13" s="1"/>
  <c r="T117" i="13"/>
  <c r="CY117" i="13" s="1"/>
  <c r="U117" i="13"/>
  <c r="DI117" i="13" s="1"/>
  <c r="V117" i="13"/>
  <c r="W117" i="13"/>
  <c r="X117" i="13"/>
  <c r="AB117" i="13" s="1"/>
  <c r="CZ117" i="13" s="1"/>
  <c r="Y117" i="13"/>
  <c r="Z117" i="13"/>
  <c r="CJ117" i="13"/>
  <c r="AG117" i="13"/>
  <c r="AK117" i="13" s="1"/>
  <c r="DK117" i="13" s="1"/>
  <c r="AF117" i="13"/>
  <c r="AJ117" i="13" s="1"/>
  <c r="DA117" i="13" s="1"/>
  <c r="DZ116" i="12"/>
  <c r="CJ117" i="12"/>
  <c r="CG117" i="12"/>
  <c r="Y117" i="12"/>
  <c r="X117" i="12"/>
  <c r="W117" i="12"/>
  <c r="AR117" i="12"/>
  <c r="AZ117" i="12" s="1"/>
  <c r="AM117" i="12"/>
  <c r="BT117" i="12" s="1"/>
  <c r="M118" i="12"/>
  <c r="L118" i="12"/>
  <c r="AN118" i="12" s="1"/>
  <c r="AP117" i="12"/>
  <c r="AE117" i="12"/>
  <c r="AF117" i="12"/>
  <c r="AG117" i="12"/>
  <c r="AH117" i="12"/>
  <c r="S117" i="12"/>
  <c r="CO117" i="12" s="1"/>
  <c r="V117" i="12"/>
  <c r="T117" i="12"/>
  <c r="CY117" i="12" s="1"/>
  <c r="K118" i="12"/>
  <c r="U117" i="12"/>
  <c r="DI117" i="12" s="1"/>
  <c r="Q117" i="12"/>
  <c r="AY117" i="12" s="1"/>
  <c r="R117" i="12"/>
  <c r="BQ117" i="12" s="1"/>
  <c r="BC38" i="12" l="1"/>
  <c r="BG38" i="12" s="1"/>
  <c r="BL38" i="13"/>
  <c r="BW38" i="13" s="1"/>
  <c r="BM38" i="13"/>
  <c r="CR38" i="13" s="1"/>
  <c r="BN38" i="13"/>
  <c r="DB38" i="13" s="1"/>
  <c r="DC38" i="13" s="1"/>
  <c r="BO38" i="13"/>
  <c r="DL38" i="13" s="1"/>
  <c r="N118" i="13"/>
  <c r="AM118" i="13" s="1"/>
  <c r="BT118" i="13" s="1"/>
  <c r="AO118" i="13"/>
  <c r="AR118" i="13" s="1"/>
  <c r="AZ118" i="13" s="1"/>
  <c r="AA117" i="13"/>
  <c r="CP117" i="13" s="1"/>
  <c r="AC117" i="13"/>
  <c r="DJ117" i="13" s="1"/>
  <c r="AD117" i="13"/>
  <c r="BR117" i="13" s="1"/>
  <c r="ED116" i="12"/>
  <c r="AA117" i="12"/>
  <c r="CP117" i="12" s="1"/>
  <c r="AB117" i="12"/>
  <c r="CZ117" i="12" s="1"/>
  <c r="AC117" i="12"/>
  <c r="DJ117" i="12" s="1"/>
  <c r="AD117" i="12"/>
  <c r="BR117" i="12" s="1"/>
  <c r="AQ118" i="12"/>
  <c r="BU118" i="12" s="1"/>
  <c r="AS117" i="12"/>
  <c r="DV117" i="12" s="1"/>
  <c r="AO118" i="12"/>
  <c r="AI117" i="12"/>
  <c r="CQ117" i="12" s="1"/>
  <c r="AJ117" i="12"/>
  <c r="DA117" i="12" s="1"/>
  <c r="AK117" i="12"/>
  <c r="DK117" i="12" s="1"/>
  <c r="AL117" i="12"/>
  <c r="BS117" i="12" s="1"/>
  <c r="N118" i="12"/>
  <c r="Z118" i="12" s="1"/>
  <c r="BF38" i="12" l="1"/>
  <c r="BK38" i="12"/>
  <c r="BM38" i="12" s="1"/>
  <c r="CR38" i="12" s="1"/>
  <c r="CS38" i="12" s="1"/>
  <c r="BI38" i="12"/>
  <c r="BH38" i="12"/>
  <c r="BX38" i="13"/>
  <c r="CS38" i="13"/>
  <c r="CW38" i="13" s="1"/>
  <c r="DE38" i="13"/>
  <c r="DD38" i="13"/>
  <c r="DF38" i="13"/>
  <c r="DT38" i="13"/>
  <c r="DX38" i="13" s="1"/>
  <c r="EB38" i="13" s="1"/>
  <c r="DG38" i="13"/>
  <c r="DM38" i="13"/>
  <c r="DQ38" i="13" s="1"/>
  <c r="AP118" i="13"/>
  <c r="AS118" i="13" s="1"/>
  <c r="DV118" i="13" s="1"/>
  <c r="DZ118" i="13" s="1"/>
  <c r="ED118" i="13" s="1"/>
  <c r="CG118" i="13"/>
  <c r="K119" i="13"/>
  <c r="L119" i="13"/>
  <c r="AN119" i="13" s="1"/>
  <c r="AQ119" i="13" s="1"/>
  <c r="BU119" i="13" s="1"/>
  <c r="M119" i="13"/>
  <c r="AF118" i="13"/>
  <c r="AJ118" i="13" s="1"/>
  <c r="DA118" i="13" s="1"/>
  <c r="Q118" i="13"/>
  <c r="AY118" i="13" s="1"/>
  <c r="R118" i="13"/>
  <c r="BQ118" i="13" s="1"/>
  <c r="S118" i="13"/>
  <c r="CO118" i="13" s="1"/>
  <c r="T118" i="13"/>
  <c r="CY118" i="13" s="1"/>
  <c r="U118" i="13"/>
  <c r="DI118" i="13" s="1"/>
  <c r="V118" i="13"/>
  <c r="W118" i="13"/>
  <c r="X118" i="13"/>
  <c r="Y118" i="13"/>
  <c r="Z118" i="13"/>
  <c r="AD118" i="13" s="1"/>
  <c r="BR118" i="13" s="1"/>
  <c r="CJ118" i="13"/>
  <c r="AH118" i="13"/>
  <c r="AL118" i="13" s="1"/>
  <c r="BS118" i="13" s="1"/>
  <c r="AG118" i="13"/>
  <c r="AK118" i="13" s="1"/>
  <c r="DK118" i="13" s="1"/>
  <c r="AE118" i="13"/>
  <c r="AI118" i="13" s="1"/>
  <c r="CQ118" i="13" s="1"/>
  <c r="DZ117" i="12"/>
  <c r="CJ118" i="12"/>
  <c r="CG118" i="12"/>
  <c r="Y118" i="12"/>
  <c r="W118" i="12"/>
  <c r="X118" i="12"/>
  <c r="AM118" i="12"/>
  <c r="BT118" i="12" s="1"/>
  <c r="AR118" i="12"/>
  <c r="AZ118" i="12" s="1"/>
  <c r="M119" i="12"/>
  <c r="L119" i="12"/>
  <c r="AN119" i="12" s="1"/>
  <c r="AP118" i="12"/>
  <c r="AE118" i="12"/>
  <c r="AG118" i="12"/>
  <c r="AH118" i="12"/>
  <c r="AF118" i="12"/>
  <c r="S118" i="12"/>
  <c r="CO118" i="12" s="1"/>
  <c r="R118" i="12"/>
  <c r="BQ118" i="12" s="1"/>
  <c r="Q118" i="12"/>
  <c r="AY118" i="12" s="1"/>
  <c r="T118" i="12"/>
  <c r="CY118" i="12" s="1"/>
  <c r="V118" i="12"/>
  <c r="K119" i="12"/>
  <c r="U118" i="12"/>
  <c r="DI118" i="12" s="1"/>
  <c r="BL38" i="12" l="1"/>
  <c r="BW38" i="12" s="1"/>
  <c r="BO38" i="12"/>
  <c r="DL38" i="12" s="1"/>
  <c r="BN38" i="12"/>
  <c r="DB38" i="12" s="1"/>
  <c r="CU38" i="12"/>
  <c r="DS38" i="12"/>
  <c r="DW38" i="12" s="1"/>
  <c r="EA38" i="12" s="1"/>
  <c r="CT38" i="12"/>
  <c r="CV38" i="12"/>
  <c r="CW38" i="12"/>
  <c r="CE38" i="13"/>
  <c r="CI38" i="13"/>
  <c r="CK38" i="13" s="1"/>
  <c r="BZ38" i="13"/>
  <c r="CA38" i="13"/>
  <c r="CC38" i="13"/>
  <c r="CD38" i="13"/>
  <c r="CH38" i="13"/>
  <c r="CB38" i="13"/>
  <c r="BY38" i="13"/>
  <c r="CT38" i="13"/>
  <c r="CU38" i="13"/>
  <c r="DS38" i="13"/>
  <c r="DW38" i="13" s="1"/>
  <c r="EA38" i="13" s="1"/>
  <c r="CV38" i="13"/>
  <c r="DN38" i="13"/>
  <c r="DU38" i="13"/>
  <c r="DY38" i="13" s="1"/>
  <c r="EC38" i="13" s="1"/>
  <c r="FD38" i="13" s="1"/>
  <c r="FG38" i="13" s="1"/>
  <c r="DP38" i="13"/>
  <c r="DO38" i="13"/>
  <c r="N119" i="13"/>
  <c r="AM119" i="13" s="1"/>
  <c r="BT119" i="13" s="1"/>
  <c r="AO119" i="13"/>
  <c r="AR119" i="13" s="1"/>
  <c r="AZ119" i="13" s="1"/>
  <c r="AA118" i="13"/>
  <c r="CP118" i="13" s="1"/>
  <c r="AB118" i="13"/>
  <c r="CZ118" i="13" s="1"/>
  <c r="AC118" i="13"/>
  <c r="DJ118" i="13" s="1"/>
  <c r="ED117" i="12"/>
  <c r="AA118" i="12"/>
  <c r="CP118" i="12" s="1"/>
  <c r="AB118" i="12"/>
  <c r="CZ118" i="12" s="1"/>
  <c r="AC118" i="12"/>
  <c r="DJ118" i="12" s="1"/>
  <c r="AD118" i="12"/>
  <c r="BR118" i="12" s="1"/>
  <c r="AQ119" i="12"/>
  <c r="BU119" i="12" s="1"/>
  <c r="AS118" i="12"/>
  <c r="DV118" i="12" s="1"/>
  <c r="AO119" i="12"/>
  <c r="AI118" i="12"/>
  <c r="CQ118" i="12" s="1"/>
  <c r="AK118" i="12"/>
  <c r="DK118" i="12" s="1"/>
  <c r="AJ118" i="12"/>
  <c r="DA118" i="12" s="1"/>
  <c r="AL118" i="12"/>
  <c r="BS118" i="12" s="1"/>
  <c r="N119" i="12"/>
  <c r="Z119" i="12" s="1"/>
  <c r="BX38" i="12" l="1"/>
  <c r="DM38" i="12"/>
  <c r="DQ38" i="12" s="1"/>
  <c r="DC38" i="12"/>
  <c r="DG38" i="12" s="1"/>
  <c r="CL38" i="13"/>
  <c r="BB39" i="13" s="1"/>
  <c r="CM38" i="13"/>
  <c r="AP119" i="13"/>
  <c r="AS119" i="13" s="1"/>
  <c r="DV119" i="13" s="1"/>
  <c r="DZ119" i="13" s="1"/>
  <c r="ED119" i="13" s="1"/>
  <c r="CG119" i="13"/>
  <c r="K120" i="13"/>
  <c r="L120" i="13"/>
  <c r="AN120" i="13" s="1"/>
  <c r="AQ120" i="13" s="1"/>
  <c r="BU120" i="13" s="1"/>
  <c r="M120" i="13"/>
  <c r="AG119" i="13"/>
  <c r="AK119" i="13" s="1"/>
  <c r="DK119" i="13" s="1"/>
  <c r="AE119" i="13"/>
  <c r="AI119" i="13" s="1"/>
  <c r="CQ119" i="13" s="1"/>
  <c r="Q119" i="13"/>
  <c r="AY119" i="13" s="1"/>
  <c r="R119" i="13"/>
  <c r="BQ119" i="13" s="1"/>
  <c r="S119" i="13"/>
  <c r="CO119" i="13" s="1"/>
  <c r="T119" i="13"/>
  <c r="CY119" i="13" s="1"/>
  <c r="U119" i="13"/>
  <c r="DI119" i="13" s="1"/>
  <c r="V119" i="13"/>
  <c r="W119" i="13"/>
  <c r="CJ119" i="13"/>
  <c r="X119" i="13"/>
  <c r="Y119" i="13"/>
  <c r="AC119" i="13" s="1"/>
  <c r="DJ119" i="13" s="1"/>
  <c r="Z119" i="13"/>
  <c r="AD119" i="13" s="1"/>
  <c r="BR119" i="13" s="1"/>
  <c r="AH119" i="13"/>
  <c r="AL119" i="13" s="1"/>
  <c r="BS119" i="13" s="1"/>
  <c r="AF119" i="13"/>
  <c r="AJ119" i="13" s="1"/>
  <c r="DA119" i="13" s="1"/>
  <c r="DZ118" i="12"/>
  <c r="CJ119" i="12"/>
  <c r="CG119" i="12"/>
  <c r="X119" i="12"/>
  <c r="Y119" i="12"/>
  <c r="W119" i="12"/>
  <c r="AR119" i="12"/>
  <c r="AZ119" i="12" s="1"/>
  <c r="AM119" i="12"/>
  <c r="BT119" i="12" s="1"/>
  <c r="M120" i="12"/>
  <c r="L120" i="12"/>
  <c r="AN120" i="12" s="1"/>
  <c r="AP119" i="12"/>
  <c r="AE119" i="12"/>
  <c r="AH119" i="12"/>
  <c r="AG119" i="12"/>
  <c r="AF119" i="12"/>
  <c r="U119" i="12"/>
  <c r="DI119" i="12" s="1"/>
  <c r="Q119" i="12"/>
  <c r="AY119" i="12" s="1"/>
  <c r="V119" i="12"/>
  <c r="T119" i="12"/>
  <c r="CY119" i="12" s="1"/>
  <c r="K120" i="12"/>
  <c r="R119" i="12"/>
  <c r="BQ119" i="12" s="1"/>
  <c r="S119" i="12"/>
  <c r="CO119" i="12" s="1"/>
  <c r="CE38" i="12" l="1"/>
  <c r="CB38" i="12"/>
  <c r="CC38" i="12"/>
  <c r="BZ38" i="12"/>
  <c r="CA38" i="12"/>
  <c r="BY38" i="12"/>
  <c r="CD38" i="12"/>
  <c r="CH38" i="12"/>
  <c r="CI38" i="12"/>
  <c r="CK38" i="12" s="1"/>
  <c r="DP38" i="12"/>
  <c r="DU38" i="12"/>
  <c r="DY38" i="12" s="1"/>
  <c r="EC38" i="12" s="1"/>
  <c r="DO38" i="12"/>
  <c r="DN38" i="12"/>
  <c r="DE38" i="12"/>
  <c r="DT38" i="12"/>
  <c r="DX38" i="12" s="1"/>
  <c r="EB38" i="12" s="1"/>
  <c r="DF38" i="12"/>
  <c r="DD38" i="12"/>
  <c r="BD39" i="13"/>
  <c r="EQ39" i="13" s="1"/>
  <c r="ES39" i="13" s="1"/>
  <c r="BE39" i="13"/>
  <c r="N120" i="13"/>
  <c r="AM120" i="13" s="1"/>
  <c r="BT120" i="13" s="1"/>
  <c r="AO120" i="13"/>
  <c r="AR120" i="13" s="1"/>
  <c r="AZ120" i="13" s="1"/>
  <c r="AA119" i="13"/>
  <c r="CP119" i="13" s="1"/>
  <c r="AB119" i="13"/>
  <c r="CZ119" i="13" s="1"/>
  <c r="ED118" i="12"/>
  <c r="AA119" i="12"/>
  <c r="CP119" i="12" s="1"/>
  <c r="AB119" i="12"/>
  <c r="CZ119" i="12" s="1"/>
  <c r="AC119" i="12"/>
  <c r="DJ119" i="12" s="1"/>
  <c r="AD119" i="12"/>
  <c r="BR119" i="12" s="1"/>
  <c r="AQ120" i="12"/>
  <c r="BU120" i="12" s="1"/>
  <c r="AS119" i="12"/>
  <c r="DV119" i="12" s="1"/>
  <c r="AO120" i="12"/>
  <c r="AI119" i="12"/>
  <c r="CQ119" i="12" s="1"/>
  <c r="AK119" i="12"/>
  <c r="DK119" i="12" s="1"/>
  <c r="AJ119" i="12"/>
  <c r="DA119" i="12" s="1"/>
  <c r="AL119" i="12"/>
  <c r="BS119" i="12" s="1"/>
  <c r="N120" i="12"/>
  <c r="Z120" i="12" s="1"/>
  <c r="FD38" i="12" l="1"/>
  <c r="FG38" i="12" s="1"/>
  <c r="CL38" i="12"/>
  <c r="BB39" i="12" s="1"/>
  <c r="CM38" i="12"/>
  <c r="BC39" i="13"/>
  <c r="EV39" i="13"/>
  <c r="EY39" i="13" s="1"/>
  <c r="FB39" i="13" s="1"/>
  <c r="FF39" i="13" s="1"/>
  <c r="ET39" i="13"/>
  <c r="EW39" i="13" s="1"/>
  <c r="EZ39" i="13" s="1"/>
  <c r="EU39" i="13"/>
  <c r="EX39" i="13" s="1"/>
  <c r="FA39" i="13" s="1"/>
  <c r="AP120" i="13"/>
  <c r="AS120" i="13" s="1"/>
  <c r="DV120" i="13" s="1"/>
  <c r="DZ120" i="13" s="1"/>
  <c r="ED120" i="13" s="1"/>
  <c r="CG120" i="13"/>
  <c r="K121" i="13"/>
  <c r="L121" i="13"/>
  <c r="AN121" i="13" s="1"/>
  <c r="AQ121" i="13" s="1"/>
  <c r="BU121" i="13" s="1"/>
  <c r="M121" i="13"/>
  <c r="AG120" i="13"/>
  <c r="AK120" i="13" s="1"/>
  <c r="DK120" i="13" s="1"/>
  <c r="AE120" i="13"/>
  <c r="AI120" i="13" s="1"/>
  <c r="CQ120" i="13" s="1"/>
  <c r="Q120" i="13"/>
  <c r="AY120" i="13" s="1"/>
  <c r="R120" i="13"/>
  <c r="BQ120" i="13" s="1"/>
  <c r="S120" i="13"/>
  <c r="CO120" i="13" s="1"/>
  <c r="T120" i="13"/>
  <c r="CY120" i="13" s="1"/>
  <c r="U120" i="13"/>
  <c r="DI120" i="13" s="1"/>
  <c r="V120" i="13"/>
  <c r="W120" i="13"/>
  <c r="X120" i="13"/>
  <c r="Y120" i="13"/>
  <c r="Z120" i="13"/>
  <c r="CJ120" i="13"/>
  <c r="AH120" i="13"/>
  <c r="AL120" i="13" s="1"/>
  <c r="BS120" i="13" s="1"/>
  <c r="AF120" i="13"/>
  <c r="AJ120" i="13" s="1"/>
  <c r="DA120" i="13" s="1"/>
  <c r="DZ119" i="12"/>
  <c r="CJ120" i="12"/>
  <c r="CG120" i="12"/>
  <c r="W120" i="12"/>
  <c r="X120" i="12"/>
  <c r="Y120" i="12"/>
  <c r="AM120" i="12"/>
  <c r="BT120" i="12" s="1"/>
  <c r="AR120" i="12"/>
  <c r="AZ120" i="12" s="1"/>
  <c r="M121" i="12"/>
  <c r="L121" i="12"/>
  <c r="AN121" i="12" s="1"/>
  <c r="AP120" i="12"/>
  <c r="AF120" i="12"/>
  <c r="AH120" i="12"/>
  <c r="AG120" i="12"/>
  <c r="AE120" i="12"/>
  <c r="S120" i="12"/>
  <c r="CO120" i="12" s="1"/>
  <c r="K121" i="12"/>
  <c r="V120" i="12"/>
  <c r="Q120" i="12"/>
  <c r="AY120" i="12" s="1"/>
  <c r="U120" i="12"/>
  <c r="DI120" i="12" s="1"/>
  <c r="T120" i="12"/>
  <c r="CY120" i="12" s="1"/>
  <c r="R120" i="12"/>
  <c r="BQ120" i="12" s="1"/>
  <c r="BE39" i="12" l="1"/>
  <c r="BG39" i="13"/>
  <c r="BF39" i="13"/>
  <c r="BH39" i="13"/>
  <c r="BI39" i="13"/>
  <c r="BK39" i="13"/>
  <c r="N121" i="13"/>
  <c r="AO121" i="13"/>
  <c r="AR121" i="13" s="1"/>
  <c r="AZ121" i="13" s="1"/>
  <c r="AA120" i="13"/>
  <c r="CP120" i="13" s="1"/>
  <c r="AB120" i="13"/>
  <c r="CZ120" i="13" s="1"/>
  <c r="AC120" i="13"/>
  <c r="DJ120" i="13" s="1"/>
  <c r="AD120" i="13"/>
  <c r="BR120" i="13" s="1"/>
  <c r="ED119" i="12"/>
  <c r="AA120" i="12"/>
  <c r="CP120" i="12" s="1"/>
  <c r="AB120" i="12"/>
  <c r="CZ120" i="12" s="1"/>
  <c r="AC120" i="12"/>
  <c r="DJ120" i="12" s="1"/>
  <c r="AD120" i="12"/>
  <c r="BR120" i="12" s="1"/>
  <c r="AQ121" i="12"/>
  <c r="BU121" i="12" s="1"/>
  <c r="AS120" i="12"/>
  <c r="DV120" i="12" s="1"/>
  <c r="AO121" i="12"/>
  <c r="AJ120" i="12"/>
  <c r="DA120" i="12" s="1"/>
  <c r="AK120" i="12"/>
  <c r="DK120" i="12" s="1"/>
  <c r="AI120" i="12"/>
  <c r="CQ120" i="12" s="1"/>
  <c r="AL120" i="12"/>
  <c r="BS120" i="12" s="1"/>
  <c r="N121" i="12"/>
  <c r="Z121" i="12" s="1"/>
  <c r="BC39" i="12" l="1"/>
  <c r="BN39" i="13"/>
  <c r="DB39" i="13" s="1"/>
  <c r="DC39" i="13" s="1"/>
  <c r="BO39" i="13"/>
  <c r="DL39" i="13" s="1"/>
  <c r="DM39" i="13" s="1"/>
  <c r="BM39" i="13"/>
  <c r="CR39" i="13" s="1"/>
  <c r="CS39" i="13" s="1"/>
  <c r="BL39" i="13"/>
  <c r="BW39" i="13" s="1"/>
  <c r="BX39" i="13" s="1"/>
  <c r="CE39" i="13" s="1"/>
  <c r="AM121" i="13"/>
  <c r="BT121" i="13" s="1"/>
  <c r="AP121" i="13"/>
  <c r="AS121" i="13" s="1"/>
  <c r="DV121" i="13" s="1"/>
  <c r="DZ121" i="13" s="1"/>
  <c r="ED121" i="13" s="1"/>
  <c r="K122" i="13"/>
  <c r="AE121" i="13"/>
  <c r="AI121" i="13" s="1"/>
  <c r="CQ121" i="13" s="1"/>
  <c r="R121" i="13"/>
  <c r="BQ121" i="13" s="1"/>
  <c r="S121" i="13"/>
  <c r="CO121" i="13" s="1"/>
  <c r="T121" i="13"/>
  <c r="CY121" i="13" s="1"/>
  <c r="U121" i="13"/>
  <c r="DI121" i="13" s="1"/>
  <c r="CG121" i="13"/>
  <c r="L122" i="13"/>
  <c r="AN122" i="13" s="1"/>
  <c r="AQ122" i="13" s="1"/>
  <c r="BU122" i="13" s="1"/>
  <c r="M122" i="13"/>
  <c r="AH121" i="13"/>
  <c r="AL121" i="13" s="1"/>
  <c r="BS121" i="13" s="1"/>
  <c r="Q121" i="13"/>
  <c r="AY121" i="13" s="1"/>
  <c r="V121" i="13"/>
  <c r="W121" i="13"/>
  <c r="X121" i="13"/>
  <c r="Y121" i="13"/>
  <c r="Z121" i="13"/>
  <c r="CJ121" i="13"/>
  <c r="AG121" i="13"/>
  <c r="AK121" i="13" s="1"/>
  <c r="DK121" i="13" s="1"/>
  <c r="AF121" i="13"/>
  <c r="AJ121" i="13" s="1"/>
  <c r="DA121" i="13" s="1"/>
  <c r="DZ120" i="12"/>
  <c r="CJ121" i="12"/>
  <c r="CG121" i="12"/>
  <c r="Y121" i="12"/>
  <c r="W121" i="12"/>
  <c r="X121" i="12"/>
  <c r="AR121" i="12"/>
  <c r="AZ121" i="12" s="1"/>
  <c r="AM121" i="12"/>
  <c r="BT121" i="12" s="1"/>
  <c r="M122" i="12"/>
  <c r="L122" i="12"/>
  <c r="AN122" i="12" s="1"/>
  <c r="AP121" i="12"/>
  <c r="AE121" i="12"/>
  <c r="AF121" i="12"/>
  <c r="AG121" i="12"/>
  <c r="AH121" i="12"/>
  <c r="T121" i="12"/>
  <c r="CY121" i="12" s="1"/>
  <c r="K122" i="12"/>
  <c r="U121" i="12"/>
  <c r="DI121" i="12" s="1"/>
  <c r="Q121" i="12"/>
  <c r="AY121" i="12" s="1"/>
  <c r="S121" i="12"/>
  <c r="CO121" i="12" s="1"/>
  <c r="V121" i="12"/>
  <c r="R121" i="12"/>
  <c r="BQ121" i="12" s="1"/>
  <c r="BH39" i="12" l="1"/>
  <c r="BK39" i="12"/>
  <c r="BF39" i="12"/>
  <c r="BG39" i="12"/>
  <c r="BI39" i="12"/>
  <c r="DQ39" i="13"/>
  <c r="DO39" i="13"/>
  <c r="DP39" i="13"/>
  <c r="DN39" i="13"/>
  <c r="DU39" i="13"/>
  <c r="DY39" i="13" s="1"/>
  <c r="EC39" i="13" s="1"/>
  <c r="FD39" i="13" s="1"/>
  <c r="FG39" i="13" s="1"/>
  <c r="DG39" i="13"/>
  <c r="DT39" i="13"/>
  <c r="DX39" i="13" s="1"/>
  <c r="EB39" i="13" s="1"/>
  <c r="DF39" i="13"/>
  <c r="DD39" i="13"/>
  <c r="DE39" i="13"/>
  <c r="CU39" i="13"/>
  <c r="CT39" i="13"/>
  <c r="CW39" i="13"/>
  <c r="DS39" i="13"/>
  <c r="DW39" i="13" s="1"/>
  <c r="EA39" i="13" s="1"/>
  <c r="CV39" i="13"/>
  <c r="BZ39" i="13"/>
  <c r="CA39" i="13"/>
  <c r="CH39" i="13"/>
  <c r="CD39" i="13"/>
  <c r="CC39" i="13"/>
  <c r="CB39" i="13"/>
  <c r="BY39" i="13"/>
  <c r="CI39" i="13"/>
  <c r="CK39" i="13" s="1"/>
  <c r="N122" i="13"/>
  <c r="AO122" i="13"/>
  <c r="AR122" i="13" s="1"/>
  <c r="AZ122" i="13" s="1"/>
  <c r="AA121" i="13"/>
  <c r="CP121" i="13" s="1"/>
  <c r="AB121" i="13"/>
  <c r="CZ121" i="13" s="1"/>
  <c r="AC121" i="13"/>
  <c r="DJ121" i="13" s="1"/>
  <c r="AD121" i="13"/>
  <c r="BR121" i="13" s="1"/>
  <c r="ED120" i="12"/>
  <c r="AA121" i="12"/>
  <c r="CP121" i="12" s="1"/>
  <c r="AB121" i="12"/>
  <c r="CZ121" i="12" s="1"/>
  <c r="AC121" i="12"/>
  <c r="DJ121" i="12" s="1"/>
  <c r="AD121" i="12"/>
  <c r="BR121" i="12" s="1"/>
  <c r="AQ122" i="12"/>
  <c r="BU122" i="12" s="1"/>
  <c r="AS121" i="12"/>
  <c r="DV121" i="12" s="1"/>
  <c r="AO122" i="12"/>
  <c r="AI121" i="12"/>
  <c r="CQ121" i="12" s="1"/>
  <c r="AJ121" i="12"/>
  <c r="DA121" i="12" s="1"/>
  <c r="AK121" i="12"/>
  <c r="DK121" i="12" s="1"/>
  <c r="AL121" i="12"/>
  <c r="BS121" i="12" s="1"/>
  <c r="N122" i="12"/>
  <c r="Z122" i="12" s="1"/>
  <c r="BM39" i="12" l="1"/>
  <c r="CR39" i="12" s="1"/>
  <c r="BN39" i="12"/>
  <c r="DB39" i="12" s="1"/>
  <c r="BO39" i="12"/>
  <c r="DL39" i="12" s="1"/>
  <c r="BL39" i="12"/>
  <c r="BW39" i="12" s="1"/>
  <c r="CL39" i="13"/>
  <c r="BB40" i="13" s="1"/>
  <c r="CM39" i="13"/>
  <c r="AM122" i="13"/>
  <c r="BT122" i="13" s="1"/>
  <c r="AP122" i="13"/>
  <c r="AS122" i="13" s="1"/>
  <c r="DV122" i="13" s="1"/>
  <c r="DZ122" i="13" s="1"/>
  <c r="ED122" i="13" s="1"/>
  <c r="CG122" i="13"/>
  <c r="K123" i="13"/>
  <c r="L123" i="13"/>
  <c r="AN123" i="13" s="1"/>
  <c r="AQ123" i="13" s="1"/>
  <c r="BU123" i="13" s="1"/>
  <c r="M123" i="13"/>
  <c r="AF122" i="13"/>
  <c r="AJ122" i="13" s="1"/>
  <c r="DA122" i="13" s="1"/>
  <c r="Q122" i="13"/>
  <c r="AY122" i="13" s="1"/>
  <c r="R122" i="13"/>
  <c r="BQ122" i="13" s="1"/>
  <c r="S122" i="13"/>
  <c r="CO122" i="13" s="1"/>
  <c r="T122" i="13"/>
  <c r="CY122" i="13" s="1"/>
  <c r="U122" i="13"/>
  <c r="DI122" i="13" s="1"/>
  <c r="V122" i="13"/>
  <c r="W122" i="13"/>
  <c r="X122" i="13"/>
  <c r="Y122" i="13"/>
  <c r="Z122" i="13"/>
  <c r="CJ122" i="13"/>
  <c r="AH122" i="13"/>
  <c r="AL122" i="13" s="1"/>
  <c r="BS122" i="13" s="1"/>
  <c r="AG122" i="13"/>
  <c r="AK122" i="13" s="1"/>
  <c r="DK122" i="13" s="1"/>
  <c r="AE122" i="13"/>
  <c r="AI122" i="13" s="1"/>
  <c r="CQ122" i="13" s="1"/>
  <c r="DZ121" i="12"/>
  <c r="CJ122" i="12"/>
  <c r="CG122" i="12"/>
  <c r="Y122" i="12"/>
  <c r="X122" i="12"/>
  <c r="W122" i="12"/>
  <c r="AM122" i="12"/>
  <c r="BT122" i="12" s="1"/>
  <c r="AR122" i="12"/>
  <c r="AZ122" i="12" s="1"/>
  <c r="M123" i="12"/>
  <c r="L123" i="12"/>
  <c r="AN123" i="12" s="1"/>
  <c r="AP122" i="12"/>
  <c r="AE122" i="12"/>
  <c r="AF122" i="12"/>
  <c r="AG122" i="12"/>
  <c r="AH122" i="12"/>
  <c r="S122" i="12"/>
  <c r="CO122" i="12" s="1"/>
  <c r="T122" i="12"/>
  <c r="CY122" i="12" s="1"/>
  <c r="Q122" i="12"/>
  <c r="AY122" i="12" s="1"/>
  <c r="U122" i="12"/>
  <c r="DI122" i="12" s="1"/>
  <c r="K123" i="12"/>
  <c r="R122" i="12"/>
  <c r="BQ122" i="12" s="1"/>
  <c r="V122" i="12"/>
  <c r="CS39" i="12" l="1"/>
  <c r="CW39" i="12" s="1"/>
  <c r="DC39" i="12"/>
  <c r="DM39" i="12"/>
  <c r="DQ39" i="12" s="1"/>
  <c r="BX39" i="12"/>
  <c r="CE39" i="12" s="1"/>
  <c r="BE40" i="13"/>
  <c r="BD40" i="13"/>
  <c r="EQ40" i="13" s="1"/>
  <c r="ES40" i="13" s="1"/>
  <c r="N123" i="13"/>
  <c r="AM123" i="13" s="1"/>
  <c r="BT123" i="13" s="1"/>
  <c r="AO123" i="13"/>
  <c r="AR123" i="13" s="1"/>
  <c r="AZ123" i="13" s="1"/>
  <c r="AA122" i="13"/>
  <c r="CP122" i="13" s="1"/>
  <c r="AB122" i="13"/>
  <c r="CZ122" i="13" s="1"/>
  <c r="AC122" i="13"/>
  <c r="DJ122" i="13" s="1"/>
  <c r="AD122" i="13"/>
  <c r="BR122" i="13" s="1"/>
  <c r="ED121" i="12"/>
  <c r="AA122" i="12"/>
  <c r="CP122" i="12" s="1"/>
  <c r="AB122" i="12"/>
  <c r="CZ122" i="12" s="1"/>
  <c r="AC122" i="12"/>
  <c r="DJ122" i="12" s="1"/>
  <c r="AD122" i="12"/>
  <c r="BR122" i="12" s="1"/>
  <c r="AQ123" i="12"/>
  <c r="BU123" i="12" s="1"/>
  <c r="AS122" i="12"/>
  <c r="DV122" i="12" s="1"/>
  <c r="AO123" i="12"/>
  <c r="AI122" i="12"/>
  <c r="CQ122" i="12" s="1"/>
  <c r="AJ122" i="12"/>
  <c r="DA122" i="12" s="1"/>
  <c r="AK122" i="12"/>
  <c r="DK122" i="12" s="1"/>
  <c r="AL122" i="12"/>
  <c r="BS122" i="12" s="1"/>
  <c r="N123" i="12"/>
  <c r="Z123" i="12" s="1"/>
  <c r="DG39" i="12" l="1"/>
  <c r="DT39" i="12"/>
  <c r="DX39" i="12" s="1"/>
  <c r="EB39" i="12" s="1"/>
  <c r="DS39" i="12"/>
  <c r="DW39" i="12" s="1"/>
  <c r="EA39" i="12" s="1"/>
  <c r="CU39" i="12"/>
  <c r="CT39" i="12"/>
  <c r="CV39" i="12"/>
  <c r="DF39" i="12"/>
  <c r="DD39" i="12"/>
  <c r="DE39" i="12"/>
  <c r="DU39" i="12"/>
  <c r="DY39" i="12" s="1"/>
  <c r="EC39" i="12" s="1"/>
  <c r="DN39" i="12"/>
  <c r="DO39" i="12"/>
  <c r="DP39" i="12"/>
  <c r="CD39" i="12"/>
  <c r="BY39" i="12"/>
  <c r="CB39" i="12"/>
  <c r="CH39" i="12"/>
  <c r="CA39" i="12"/>
  <c r="BZ39" i="12"/>
  <c r="CC39" i="12"/>
  <c r="CI39" i="12"/>
  <c r="CK39" i="12" s="1"/>
  <c r="EU40" i="13"/>
  <c r="EX40" i="13" s="1"/>
  <c r="FA40" i="13" s="1"/>
  <c r="EV40" i="13"/>
  <c r="EY40" i="13" s="1"/>
  <c r="FB40" i="13" s="1"/>
  <c r="FF40" i="13" s="1"/>
  <c r="ET40" i="13"/>
  <c r="EW40" i="13" s="1"/>
  <c r="EZ40" i="13" s="1"/>
  <c r="BC40" i="13"/>
  <c r="CG123" i="13"/>
  <c r="K124" i="13"/>
  <c r="L124" i="13"/>
  <c r="AN124" i="13" s="1"/>
  <c r="AQ124" i="13" s="1"/>
  <c r="BU124" i="13" s="1"/>
  <c r="M124" i="13"/>
  <c r="AP123" i="13"/>
  <c r="AS123" i="13" s="1"/>
  <c r="DV123" i="13" s="1"/>
  <c r="DZ123" i="13" s="1"/>
  <c r="ED123" i="13" s="1"/>
  <c r="T123" i="13"/>
  <c r="CY123" i="13" s="1"/>
  <c r="AG123" i="13"/>
  <c r="AK123" i="13" s="1"/>
  <c r="DK123" i="13" s="1"/>
  <c r="AE123" i="13"/>
  <c r="AI123" i="13" s="1"/>
  <c r="CQ123" i="13" s="1"/>
  <c r="Q123" i="13"/>
  <c r="AY123" i="13" s="1"/>
  <c r="R123" i="13"/>
  <c r="BQ123" i="13" s="1"/>
  <c r="S123" i="13"/>
  <c r="CO123" i="13" s="1"/>
  <c r="U123" i="13"/>
  <c r="DI123" i="13" s="1"/>
  <c r="V123" i="13"/>
  <c r="W123" i="13"/>
  <c r="X123" i="13"/>
  <c r="Y123" i="13"/>
  <c r="AC123" i="13" s="1"/>
  <c r="DJ123" i="13" s="1"/>
  <c r="Z123" i="13"/>
  <c r="AD123" i="13" s="1"/>
  <c r="BR123" i="13" s="1"/>
  <c r="CJ123" i="13"/>
  <c r="AH123" i="13"/>
  <c r="AL123" i="13" s="1"/>
  <c r="BS123" i="13" s="1"/>
  <c r="AF123" i="13"/>
  <c r="AJ123" i="13" s="1"/>
  <c r="DA123" i="13" s="1"/>
  <c r="DZ122" i="12"/>
  <c r="CJ123" i="12"/>
  <c r="CG123" i="12"/>
  <c r="Y123" i="12"/>
  <c r="W123" i="12"/>
  <c r="X123" i="12"/>
  <c r="AR123" i="12"/>
  <c r="AZ123" i="12" s="1"/>
  <c r="AM123" i="12"/>
  <c r="BT123" i="12" s="1"/>
  <c r="M124" i="12"/>
  <c r="L124" i="12"/>
  <c r="AN124" i="12" s="1"/>
  <c r="AP123" i="12"/>
  <c r="AE123" i="12"/>
  <c r="AF123" i="12"/>
  <c r="AG123" i="12"/>
  <c r="AH123" i="12"/>
  <c r="Q123" i="12"/>
  <c r="AY123" i="12" s="1"/>
  <c r="T123" i="12"/>
  <c r="CY123" i="12" s="1"/>
  <c r="R123" i="12"/>
  <c r="BQ123" i="12" s="1"/>
  <c r="S123" i="12"/>
  <c r="CO123" i="12" s="1"/>
  <c r="U123" i="12"/>
  <c r="DI123" i="12" s="1"/>
  <c r="V123" i="12"/>
  <c r="K124" i="12"/>
  <c r="FD39" i="12" l="1"/>
  <c r="FG39" i="12" s="1"/>
  <c r="CM39" i="12"/>
  <c r="CL39" i="12"/>
  <c r="BB40" i="12" s="1"/>
  <c r="BI40" i="13"/>
  <c r="BK40" i="13"/>
  <c r="BH40" i="13"/>
  <c r="BF40" i="13"/>
  <c r="BG40" i="13"/>
  <c r="N124" i="13"/>
  <c r="AM124" i="13" s="1"/>
  <c r="BT124" i="13" s="1"/>
  <c r="AO124" i="13"/>
  <c r="AR124" i="13" s="1"/>
  <c r="AZ124" i="13" s="1"/>
  <c r="AA123" i="13"/>
  <c r="CP123" i="13" s="1"/>
  <c r="AB123" i="13"/>
  <c r="CZ123" i="13" s="1"/>
  <c r="ED122" i="12"/>
  <c r="AA123" i="12"/>
  <c r="CP123" i="12" s="1"/>
  <c r="AB123" i="12"/>
  <c r="CZ123" i="12" s="1"/>
  <c r="AC123" i="12"/>
  <c r="DJ123" i="12" s="1"/>
  <c r="AD123" i="12"/>
  <c r="BR123" i="12" s="1"/>
  <c r="AQ124" i="12"/>
  <c r="BU124" i="12" s="1"/>
  <c r="AS123" i="12"/>
  <c r="DV123" i="12" s="1"/>
  <c r="AO124" i="12"/>
  <c r="AI123" i="12"/>
  <c r="CQ123" i="12" s="1"/>
  <c r="AJ123" i="12"/>
  <c r="DA123" i="12" s="1"/>
  <c r="AK123" i="12"/>
  <c r="DK123" i="12" s="1"/>
  <c r="AL123" i="12"/>
  <c r="BS123" i="12" s="1"/>
  <c r="N124" i="12"/>
  <c r="Z124" i="12" s="1"/>
  <c r="BE40" i="12" l="1"/>
  <c r="BM40" i="13"/>
  <c r="CR40" i="13" s="1"/>
  <c r="CS40" i="13" s="1"/>
  <c r="BO40" i="13"/>
  <c r="DL40" i="13" s="1"/>
  <c r="DM40" i="13" s="1"/>
  <c r="BL40" i="13"/>
  <c r="BW40" i="13" s="1"/>
  <c r="BN40" i="13"/>
  <c r="DB40" i="13" s="1"/>
  <c r="DC40" i="13" s="1"/>
  <c r="L125" i="13"/>
  <c r="AN125" i="13" s="1"/>
  <c r="AQ125" i="13" s="1"/>
  <c r="BU125" i="13" s="1"/>
  <c r="K125" i="13"/>
  <c r="AP124" i="13"/>
  <c r="AS124" i="13" s="1"/>
  <c r="DV124" i="13" s="1"/>
  <c r="DZ124" i="13" s="1"/>
  <c r="ED124" i="13" s="1"/>
  <c r="M125" i="13"/>
  <c r="CG124" i="13"/>
  <c r="AH124" i="13"/>
  <c r="AL124" i="13" s="1"/>
  <c r="BS124" i="13" s="1"/>
  <c r="AG124" i="13"/>
  <c r="AK124" i="13" s="1"/>
  <c r="DK124" i="13" s="1"/>
  <c r="AE124" i="13"/>
  <c r="AI124" i="13" s="1"/>
  <c r="CQ124" i="13" s="1"/>
  <c r="Q124" i="13"/>
  <c r="AY124" i="13" s="1"/>
  <c r="R124" i="13"/>
  <c r="BQ124" i="13" s="1"/>
  <c r="S124" i="13"/>
  <c r="CO124" i="13" s="1"/>
  <c r="T124" i="13"/>
  <c r="CY124" i="13" s="1"/>
  <c r="U124" i="13"/>
  <c r="DI124" i="13" s="1"/>
  <c r="V124" i="13"/>
  <c r="W124" i="13"/>
  <c r="AA124" i="13" s="1"/>
  <c r="CP124" i="13" s="1"/>
  <c r="X124" i="13"/>
  <c r="AB124" i="13" s="1"/>
  <c r="CZ124" i="13" s="1"/>
  <c r="Y124" i="13"/>
  <c r="AC124" i="13" s="1"/>
  <c r="DJ124" i="13" s="1"/>
  <c r="Z124" i="13"/>
  <c r="AD124" i="13" s="1"/>
  <c r="BR124" i="13" s="1"/>
  <c r="CJ124" i="13"/>
  <c r="AF124" i="13"/>
  <c r="AJ124" i="13" s="1"/>
  <c r="DA124" i="13" s="1"/>
  <c r="DZ123" i="12"/>
  <c r="CJ124" i="12"/>
  <c r="CG124" i="12"/>
  <c r="Y124" i="12"/>
  <c r="X124" i="12"/>
  <c r="W124" i="12"/>
  <c r="AR124" i="12"/>
  <c r="AZ124" i="12" s="1"/>
  <c r="AM124" i="12"/>
  <c r="BT124" i="12" s="1"/>
  <c r="M125" i="12"/>
  <c r="L125" i="12"/>
  <c r="AN125" i="12" s="1"/>
  <c r="AP124" i="12"/>
  <c r="AE124" i="12"/>
  <c r="AF124" i="12"/>
  <c r="AG124" i="12"/>
  <c r="AH124" i="12"/>
  <c r="T124" i="12"/>
  <c r="CY124" i="12" s="1"/>
  <c r="R124" i="12"/>
  <c r="BQ124" i="12" s="1"/>
  <c r="K125" i="12"/>
  <c r="Q124" i="12"/>
  <c r="AY124" i="12" s="1"/>
  <c r="V124" i="12"/>
  <c r="U124" i="12"/>
  <c r="DI124" i="12" s="1"/>
  <c r="S124" i="12"/>
  <c r="CO124" i="12" s="1"/>
  <c r="BC40" i="12" l="1"/>
  <c r="BX40" i="13"/>
  <c r="CE40" i="13" s="1"/>
  <c r="CW40" i="13"/>
  <c r="CV40" i="13"/>
  <c r="CU40" i="13"/>
  <c r="DS40" i="13"/>
  <c r="DW40" i="13" s="1"/>
  <c r="EA40" i="13" s="1"/>
  <c r="CT40" i="13"/>
  <c r="DQ40" i="13"/>
  <c r="DU40" i="13"/>
  <c r="DY40" i="13" s="1"/>
  <c r="EC40" i="13" s="1"/>
  <c r="FD40" i="13" s="1"/>
  <c r="FG40" i="13" s="1"/>
  <c r="DN40" i="13"/>
  <c r="DO40" i="13"/>
  <c r="DP40" i="13"/>
  <c r="DG40" i="13"/>
  <c r="DF40" i="13"/>
  <c r="DT40" i="13"/>
  <c r="DX40" i="13" s="1"/>
  <c r="EB40" i="13" s="1"/>
  <c r="DD40" i="13"/>
  <c r="DE40" i="13"/>
  <c r="N125" i="13"/>
  <c r="AM125" i="13" s="1"/>
  <c r="BT125" i="13" s="1"/>
  <c r="AO125" i="13"/>
  <c r="AR125" i="13" s="1"/>
  <c r="AZ125" i="13" s="1"/>
  <c r="ED123" i="12"/>
  <c r="AA124" i="12"/>
  <c r="CP124" i="12" s="1"/>
  <c r="AB124" i="12"/>
  <c r="CZ124" i="12" s="1"/>
  <c r="AC124" i="12"/>
  <c r="DJ124" i="12" s="1"/>
  <c r="AD124" i="12"/>
  <c r="BR124" i="12" s="1"/>
  <c r="AQ125" i="12"/>
  <c r="BU125" i="12" s="1"/>
  <c r="AS124" i="12"/>
  <c r="DV124" i="12" s="1"/>
  <c r="AO125" i="12"/>
  <c r="AI124" i="12"/>
  <c r="CQ124" i="12" s="1"/>
  <c r="AJ124" i="12"/>
  <c r="DA124" i="12" s="1"/>
  <c r="AK124" i="12"/>
  <c r="DK124" i="12" s="1"/>
  <c r="AL124" i="12"/>
  <c r="BS124" i="12" s="1"/>
  <c r="N125" i="12"/>
  <c r="Z125" i="12" s="1"/>
  <c r="BK40" i="12" l="1"/>
  <c r="BH40" i="12"/>
  <c r="BF40" i="12"/>
  <c r="BG40" i="12"/>
  <c r="BI40" i="12"/>
  <c r="CA40" i="13"/>
  <c r="BY40" i="13"/>
  <c r="BZ40" i="13"/>
  <c r="CB40" i="13"/>
  <c r="CD40" i="13"/>
  <c r="CC40" i="13"/>
  <c r="CI40" i="13"/>
  <c r="CK40" i="13" s="1"/>
  <c r="CH40" i="13"/>
  <c r="AH125" i="13"/>
  <c r="AL125" i="13" s="1"/>
  <c r="BS125" i="13" s="1"/>
  <c r="AF125" i="13"/>
  <c r="AJ125" i="13" s="1"/>
  <c r="DA125" i="13" s="1"/>
  <c r="Q125" i="13"/>
  <c r="AY125" i="13" s="1"/>
  <c r="CG125" i="13"/>
  <c r="AP125" i="13"/>
  <c r="AS125" i="13" s="1"/>
  <c r="DV125" i="13" s="1"/>
  <c r="DZ125" i="13" s="1"/>
  <c r="ED125" i="13" s="1"/>
  <c r="K126" i="13"/>
  <c r="L126" i="13"/>
  <c r="AN126" i="13" s="1"/>
  <c r="AQ126" i="13" s="1"/>
  <c r="BU126" i="13" s="1"/>
  <c r="M126" i="13"/>
  <c r="R125" i="13"/>
  <c r="BQ125" i="13" s="1"/>
  <c r="S125" i="13"/>
  <c r="CO125" i="13" s="1"/>
  <c r="T125" i="13"/>
  <c r="CY125" i="13" s="1"/>
  <c r="U125" i="13"/>
  <c r="DI125" i="13" s="1"/>
  <c r="V125" i="13"/>
  <c r="W125" i="13"/>
  <c r="X125" i="13"/>
  <c r="AB125" i="13" s="1"/>
  <c r="CZ125" i="13" s="1"/>
  <c r="Y125" i="13"/>
  <c r="Z125" i="13"/>
  <c r="CJ125" i="13"/>
  <c r="AG125" i="13"/>
  <c r="AK125" i="13" s="1"/>
  <c r="DK125" i="13" s="1"/>
  <c r="AE125" i="13"/>
  <c r="AI125" i="13" s="1"/>
  <c r="CQ125" i="13" s="1"/>
  <c r="DZ124" i="12"/>
  <c r="CJ125" i="12"/>
  <c r="CG125" i="12"/>
  <c r="X125" i="12"/>
  <c r="Y125" i="12"/>
  <c r="W125" i="12"/>
  <c r="AM125" i="12"/>
  <c r="BT125" i="12" s="1"/>
  <c r="AR125" i="12"/>
  <c r="AZ125" i="12" s="1"/>
  <c r="M126" i="12"/>
  <c r="L126" i="12"/>
  <c r="AN126" i="12" s="1"/>
  <c r="AP125" i="12"/>
  <c r="AE125" i="12"/>
  <c r="AF125" i="12"/>
  <c r="AG125" i="12"/>
  <c r="AH125" i="12"/>
  <c r="S125" i="12"/>
  <c r="CO125" i="12" s="1"/>
  <c r="U125" i="12"/>
  <c r="DI125" i="12" s="1"/>
  <c r="V125" i="12"/>
  <c r="R125" i="12"/>
  <c r="BQ125" i="12" s="1"/>
  <c r="T125" i="12"/>
  <c r="CY125" i="12" s="1"/>
  <c r="Q125" i="12"/>
  <c r="AY125" i="12" s="1"/>
  <c r="K126" i="12"/>
  <c r="BL40" i="12" l="1"/>
  <c r="BW40" i="12" s="1"/>
  <c r="BX40" i="12" s="1"/>
  <c r="BN40" i="12"/>
  <c r="DB40" i="12" s="1"/>
  <c r="DC40" i="12" s="1"/>
  <c r="BO40" i="12"/>
  <c r="DL40" i="12" s="1"/>
  <c r="DM40" i="12" s="1"/>
  <c r="BM40" i="12"/>
  <c r="CR40" i="12" s="1"/>
  <c r="CS40" i="12" s="1"/>
  <c r="CL40" i="13"/>
  <c r="BB41" i="13" s="1"/>
  <c r="CM40" i="13"/>
  <c r="N126" i="13"/>
  <c r="AM126" i="13" s="1"/>
  <c r="BT126" i="13" s="1"/>
  <c r="AO126" i="13"/>
  <c r="AR126" i="13" s="1"/>
  <c r="AZ126" i="13" s="1"/>
  <c r="AA125" i="13"/>
  <c r="CP125" i="13" s="1"/>
  <c r="AC125" i="13"/>
  <c r="DJ125" i="13" s="1"/>
  <c r="AD125" i="13"/>
  <c r="BR125" i="13" s="1"/>
  <c r="ED124" i="12"/>
  <c r="AA125" i="12"/>
  <c r="CP125" i="12" s="1"/>
  <c r="AB125" i="12"/>
  <c r="CZ125" i="12" s="1"/>
  <c r="AC125" i="12"/>
  <c r="DJ125" i="12" s="1"/>
  <c r="AD125" i="12"/>
  <c r="BR125" i="12" s="1"/>
  <c r="AQ126" i="12"/>
  <c r="BU126" i="12" s="1"/>
  <c r="AS125" i="12"/>
  <c r="DV125" i="12" s="1"/>
  <c r="AO126" i="12"/>
  <c r="AI125" i="12"/>
  <c r="CQ125" i="12" s="1"/>
  <c r="AJ125" i="12"/>
  <c r="DA125" i="12" s="1"/>
  <c r="AK125" i="12"/>
  <c r="DK125" i="12" s="1"/>
  <c r="AL125" i="12"/>
  <c r="BS125" i="12" s="1"/>
  <c r="N126" i="12"/>
  <c r="Z126" i="12" s="1"/>
  <c r="CI40" i="12" l="1"/>
  <c r="CK40" i="12" s="1"/>
  <c r="BY40" i="12"/>
  <c r="CB40" i="12"/>
  <c r="CD40" i="12"/>
  <c r="CH40" i="12"/>
  <c r="CC40" i="12"/>
  <c r="CA40" i="12"/>
  <c r="BZ40" i="12"/>
  <c r="CE40" i="12"/>
  <c r="DT40" i="12"/>
  <c r="DX40" i="12" s="1"/>
  <c r="EB40" i="12" s="1"/>
  <c r="DD40" i="12"/>
  <c r="DE40" i="12"/>
  <c r="DF40" i="12"/>
  <c r="DG40" i="12"/>
  <c r="DU40" i="12"/>
  <c r="DY40" i="12" s="1"/>
  <c r="EC40" i="12" s="1"/>
  <c r="DN40" i="12"/>
  <c r="DP40" i="12"/>
  <c r="DO40" i="12"/>
  <c r="DQ40" i="12"/>
  <c r="DS40" i="12"/>
  <c r="DW40" i="12" s="1"/>
  <c r="EA40" i="12" s="1"/>
  <c r="CU40" i="12"/>
  <c r="CV40" i="12"/>
  <c r="CT40" i="12"/>
  <c r="CW40" i="12"/>
  <c r="BD41" i="13"/>
  <c r="EQ41" i="13" s="1"/>
  <c r="ES41" i="13" s="1"/>
  <c r="BE41" i="13"/>
  <c r="K127" i="13"/>
  <c r="AP126" i="13"/>
  <c r="AS126" i="13" s="1"/>
  <c r="DV126" i="13" s="1"/>
  <c r="DZ126" i="13" s="1"/>
  <c r="ED126" i="13" s="1"/>
  <c r="M127" i="13"/>
  <c r="L127" i="13"/>
  <c r="AN127" i="13" s="1"/>
  <c r="AQ127" i="13" s="1"/>
  <c r="BU127" i="13" s="1"/>
  <c r="AH126" i="13"/>
  <c r="AL126" i="13" s="1"/>
  <c r="BS126" i="13" s="1"/>
  <c r="AF126" i="13"/>
  <c r="AJ126" i="13" s="1"/>
  <c r="DA126" i="13" s="1"/>
  <c r="Q126" i="13"/>
  <c r="AY126" i="13" s="1"/>
  <c r="R126" i="13"/>
  <c r="BQ126" i="13" s="1"/>
  <c r="S126" i="13"/>
  <c r="CO126" i="13" s="1"/>
  <c r="T126" i="13"/>
  <c r="CY126" i="13" s="1"/>
  <c r="U126" i="13"/>
  <c r="DI126" i="13" s="1"/>
  <c r="V126" i="13"/>
  <c r="W126" i="13"/>
  <c r="AA126" i="13" s="1"/>
  <c r="CP126" i="13" s="1"/>
  <c r="CG126" i="13"/>
  <c r="X126" i="13"/>
  <c r="AB126" i="13" s="1"/>
  <c r="CZ126" i="13" s="1"/>
  <c r="Y126" i="13"/>
  <c r="AC126" i="13" s="1"/>
  <c r="DJ126" i="13" s="1"/>
  <c r="Z126" i="13"/>
  <c r="AD126" i="13" s="1"/>
  <c r="BR126" i="13" s="1"/>
  <c r="CJ126" i="13"/>
  <c r="AG126" i="13"/>
  <c r="AK126" i="13" s="1"/>
  <c r="DK126" i="13" s="1"/>
  <c r="AE126" i="13"/>
  <c r="AI126" i="13" s="1"/>
  <c r="CQ126" i="13" s="1"/>
  <c r="DZ125" i="12"/>
  <c r="CJ126" i="12"/>
  <c r="CG126" i="12"/>
  <c r="Y126" i="12"/>
  <c r="W126" i="12"/>
  <c r="X126" i="12"/>
  <c r="AM126" i="12"/>
  <c r="BT126" i="12" s="1"/>
  <c r="AR126" i="12"/>
  <c r="AZ126" i="12" s="1"/>
  <c r="M127" i="12"/>
  <c r="L127" i="12"/>
  <c r="AN127" i="12" s="1"/>
  <c r="AP126" i="12"/>
  <c r="AE126" i="12"/>
  <c r="AF126" i="12"/>
  <c r="AG126" i="12"/>
  <c r="AH126" i="12"/>
  <c r="U126" i="12"/>
  <c r="DI126" i="12" s="1"/>
  <c r="V126" i="12"/>
  <c r="R126" i="12"/>
  <c r="BQ126" i="12" s="1"/>
  <c r="K127" i="12"/>
  <c r="Q126" i="12"/>
  <c r="AY126" i="12" s="1"/>
  <c r="T126" i="12"/>
  <c r="CY126" i="12" s="1"/>
  <c r="S126" i="12"/>
  <c r="CO126" i="12" s="1"/>
  <c r="FD40" i="12" l="1"/>
  <c r="FG40" i="12" s="1"/>
  <c r="CL40" i="12"/>
  <c r="BB41" i="12" s="1"/>
  <c r="CM40" i="12"/>
  <c r="BC41" i="13"/>
  <c r="ET41" i="13"/>
  <c r="EW41" i="13" s="1"/>
  <c r="EZ41" i="13" s="1"/>
  <c r="EU41" i="13"/>
  <c r="EX41" i="13" s="1"/>
  <c r="FA41" i="13" s="1"/>
  <c r="EV41" i="13"/>
  <c r="EY41" i="13" s="1"/>
  <c r="FB41" i="13" s="1"/>
  <c r="FF41" i="13" s="1"/>
  <c r="N127" i="13"/>
  <c r="AO127" i="13"/>
  <c r="AR127" i="13" s="1"/>
  <c r="AZ127" i="13" s="1"/>
  <c r="ED125" i="12"/>
  <c r="AA126" i="12"/>
  <c r="CP126" i="12" s="1"/>
  <c r="AB126" i="12"/>
  <c r="CZ126" i="12" s="1"/>
  <c r="AC126" i="12"/>
  <c r="DJ126" i="12" s="1"/>
  <c r="AD126" i="12"/>
  <c r="BR126" i="12" s="1"/>
  <c r="AQ127" i="12"/>
  <c r="BU127" i="12" s="1"/>
  <c r="AS126" i="12"/>
  <c r="DV126" i="12" s="1"/>
  <c r="AO127" i="12"/>
  <c r="AI126" i="12"/>
  <c r="CQ126" i="12" s="1"/>
  <c r="AJ126" i="12"/>
  <c r="DA126" i="12" s="1"/>
  <c r="AK126" i="12"/>
  <c r="DK126" i="12" s="1"/>
  <c r="AL126" i="12"/>
  <c r="BS126" i="12" s="1"/>
  <c r="N127" i="12"/>
  <c r="Z127" i="12" s="1"/>
  <c r="BE41" i="12" l="1"/>
  <c r="BF41" i="13"/>
  <c r="BH41" i="13"/>
  <c r="BI41" i="13"/>
  <c r="BG41" i="13"/>
  <c r="BK41" i="13"/>
  <c r="AM127" i="13"/>
  <c r="BT127" i="13" s="1"/>
  <c r="L128" i="13"/>
  <c r="AN128" i="13" s="1"/>
  <c r="AQ128" i="13" s="1"/>
  <c r="BU128" i="13" s="1"/>
  <c r="CG127" i="13"/>
  <c r="K128" i="13"/>
  <c r="AF127" i="13"/>
  <c r="AJ127" i="13" s="1"/>
  <c r="DA127" i="13" s="1"/>
  <c r="Q127" i="13"/>
  <c r="AY127" i="13" s="1"/>
  <c r="R127" i="13"/>
  <c r="BQ127" i="13" s="1"/>
  <c r="M128" i="13"/>
  <c r="AP127" i="13"/>
  <c r="AS127" i="13" s="1"/>
  <c r="DV127" i="13" s="1"/>
  <c r="DZ127" i="13" s="1"/>
  <c r="ED127" i="13" s="1"/>
  <c r="S127" i="13"/>
  <c r="CO127" i="13" s="1"/>
  <c r="T127" i="13"/>
  <c r="CY127" i="13" s="1"/>
  <c r="U127" i="13"/>
  <c r="DI127" i="13" s="1"/>
  <c r="V127" i="13"/>
  <c r="W127" i="13"/>
  <c r="AA127" i="13" s="1"/>
  <c r="CP127" i="13" s="1"/>
  <c r="X127" i="13"/>
  <c r="AB127" i="13" s="1"/>
  <c r="CZ127" i="13" s="1"/>
  <c r="Y127" i="13"/>
  <c r="AC127" i="13" s="1"/>
  <c r="DJ127" i="13" s="1"/>
  <c r="Z127" i="13"/>
  <c r="AD127" i="13" s="1"/>
  <c r="BR127" i="13" s="1"/>
  <c r="CJ127" i="13"/>
  <c r="AH127" i="13"/>
  <c r="AL127" i="13" s="1"/>
  <c r="BS127" i="13" s="1"/>
  <c r="AG127" i="13"/>
  <c r="AK127" i="13" s="1"/>
  <c r="DK127" i="13" s="1"/>
  <c r="AE127" i="13"/>
  <c r="AI127" i="13" s="1"/>
  <c r="CQ127" i="13" s="1"/>
  <c r="DZ126" i="12"/>
  <c r="CJ127" i="12"/>
  <c r="CG127" i="12"/>
  <c r="Y127" i="12"/>
  <c r="X127" i="12"/>
  <c r="W127" i="12"/>
  <c r="AM127" i="12"/>
  <c r="BT127" i="12" s="1"/>
  <c r="AR127" i="12"/>
  <c r="AZ127" i="12" s="1"/>
  <c r="M128" i="12"/>
  <c r="L128" i="12"/>
  <c r="AN128" i="12" s="1"/>
  <c r="AP127" i="12"/>
  <c r="AE127" i="12"/>
  <c r="AF127" i="12"/>
  <c r="AG127" i="12"/>
  <c r="AH127" i="12"/>
  <c r="Q127" i="12"/>
  <c r="AY127" i="12" s="1"/>
  <c r="S127" i="12"/>
  <c r="CO127" i="12" s="1"/>
  <c r="R127" i="12"/>
  <c r="BQ127" i="12" s="1"/>
  <c r="U127" i="12"/>
  <c r="DI127" i="12" s="1"/>
  <c r="K128" i="12"/>
  <c r="V127" i="12"/>
  <c r="T127" i="12"/>
  <c r="CY127" i="12" s="1"/>
  <c r="BC41" i="12" l="1"/>
  <c r="BM41" i="13"/>
  <c r="CR41" i="13" s="1"/>
  <c r="BN41" i="13"/>
  <c r="DB41" i="13" s="1"/>
  <c r="BL41" i="13"/>
  <c r="BW41" i="13" s="1"/>
  <c r="BO41" i="13"/>
  <c r="DL41" i="13" s="1"/>
  <c r="N128" i="13"/>
  <c r="AO128" i="13"/>
  <c r="AR128" i="13" s="1"/>
  <c r="AZ128" i="13" s="1"/>
  <c r="ED126" i="12"/>
  <c r="AA127" i="12"/>
  <c r="CP127" i="12" s="1"/>
  <c r="AB127" i="12"/>
  <c r="CZ127" i="12" s="1"/>
  <c r="AC127" i="12"/>
  <c r="DJ127" i="12" s="1"/>
  <c r="AD127" i="12"/>
  <c r="BR127" i="12" s="1"/>
  <c r="AQ128" i="12"/>
  <c r="BU128" i="12" s="1"/>
  <c r="AS127" i="12"/>
  <c r="DV127" i="12" s="1"/>
  <c r="AO128" i="12"/>
  <c r="AI127" i="12"/>
  <c r="CQ127" i="12" s="1"/>
  <c r="AJ127" i="12"/>
  <c r="DA127" i="12" s="1"/>
  <c r="AK127" i="12"/>
  <c r="DK127" i="12" s="1"/>
  <c r="AL127" i="12"/>
  <c r="BS127" i="12" s="1"/>
  <c r="N128" i="12"/>
  <c r="G16" i="11" s="1"/>
  <c r="G8" i="11" l="1"/>
  <c r="G9" i="11"/>
  <c r="G10" i="11"/>
  <c r="G11" i="11"/>
  <c r="G12" i="11"/>
  <c r="G13" i="11"/>
  <c r="G7" i="11"/>
  <c r="G14" i="11"/>
  <c r="G15" i="11"/>
  <c r="G17" i="11"/>
  <c r="G19" i="11"/>
  <c r="G18" i="11"/>
  <c r="G20" i="11"/>
  <c r="G21" i="11"/>
  <c r="G22" i="11"/>
  <c r="G23" i="11"/>
  <c r="G24" i="11"/>
  <c r="G25" i="11"/>
  <c r="G26" i="11"/>
  <c r="G27" i="11"/>
  <c r="G28" i="11"/>
  <c r="G29" i="11"/>
  <c r="G31" i="11"/>
  <c r="G30" i="11"/>
  <c r="G32" i="11"/>
  <c r="G33" i="11"/>
  <c r="G34" i="11"/>
  <c r="G35" i="11"/>
  <c r="G36" i="11"/>
  <c r="G37" i="11"/>
  <c r="G38" i="11"/>
  <c r="G39" i="11"/>
  <c r="BG41" i="12"/>
  <c r="BH41" i="12"/>
  <c r="BK41" i="12"/>
  <c r="BF41" i="12"/>
  <c r="BI41" i="12"/>
  <c r="CS41" i="13"/>
  <c r="CW41" i="13" s="1"/>
  <c r="DC41" i="13"/>
  <c r="DG41" i="13" s="1"/>
  <c r="BX41" i="13"/>
  <c r="CE41" i="13" s="1"/>
  <c r="DM41" i="13"/>
  <c r="AM128" i="13"/>
  <c r="BT128" i="13" s="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7" i="11"/>
  <c r="H39" i="11"/>
  <c r="H45" i="11"/>
  <c r="H46" i="11"/>
  <c r="H44" i="11"/>
  <c r="H47" i="11"/>
  <c r="H50" i="11"/>
  <c r="H51" i="11"/>
  <c r="H49" i="11"/>
  <c r="H48" i="11"/>
  <c r="H54" i="11"/>
  <c r="H52" i="11"/>
  <c r="H55" i="11"/>
  <c r="H53" i="11"/>
  <c r="H57" i="11"/>
  <c r="H59" i="11"/>
  <c r="H56" i="11"/>
  <c r="H58" i="11"/>
  <c r="H60" i="11"/>
  <c r="H70" i="11"/>
  <c r="H61" i="11"/>
  <c r="H62" i="11"/>
  <c r="H63" i="11"/>
  <c r="H64" i="11"/>
  <c r="H66" i="11"/>
  <c r="H65" i="11"/>
  <c r="H68" i="11"/>
  <c r="H69" i="11"/>
  <c r="H67" i="11"/>
  <c r="H72" i="11"/>
  <c r="H71" i="11"/>
  <c r="H73" i="11"/>
  <c r="H74" i="11"/>
  <c r="H75" i="11"/>
  <c r="H77" i="11"/>
  <c r="H76" i="11"/>
  <c r="H78" i="11"/>
  <c r="H80" i="11"/>
  <c r="H79" i="11"/>
  <c r="H81" i="11"/>
  <c r="H82" i="11"/>
  <c r="H83" i="11"/>
  <c r="H84" i="11"/>
  <c r="H85" i="11"/>
  <c r="H87" i="11"/>
  <c r="H86" i="11"/>
  <c r="H88" i="11"/>
  <c r="H90" i="11"/>
  <c r="H91" i="11"/>
  <c r="H89" i="11"/>
  <c r="H92" i="11"/>
  <c r="H93" i="11"/>
  <c r="H94" i="11"/>
  <c r="H95" i="11"/>
  <c r="H97" i="11"/>
  <c r="H96" i="11"/>
  <c r="H100" i="11"/>
  <c r="H101" i="11"/>
  <c r="H99" i="11"/>
  <c r="H98" i="11"/>
  <c r="H105" i="11"/>
  <c r="H102" i="11"/>
  <c r="H103" i="11"/>
  <c r="H104" i="11"/>
  <c r="H107" i="11"/>
  <c r="H109" i="11"/>
  <c r="H106" i="11"/>
  <c r="H108" i="11"/>
  <c r="H110" i="11"/>
  <c r="H112" i="11"/>
  <c r="H111" i="11"/>
  <c r="H116" i="11"/>
  <c r="H114" i="11"/>
  <c r="H115" i="11"/>
  <c r="H113" i="11"/>
  <c r="H120" i="11"/>
  <c r="H118" i="11"/>
  <c r="H119" i="11"/>
  <c r="H117" i="11"/>
  <c r="H121" i="11"/>
  <c r="H123" i="11"/>
  <c r="H122" i="11"/>
  <c r="H124" i="11"/>
  <c r="H125" i="11"/>
  <c r="H128" i="11"/>
  <c r="H126" i="11"/>
  <c r="H129" i="11"/>
  <c r="H127" i="11"/>
  <c r="H132" i="11"/>
  <c r="H131" i="11"/>
  <c r="H130" i="11"/>
  <c r="H41" i="11"/>
  <c r="H133" i="11"/>
  <c r="H135" i="11"/>
  <c r="H137" i="11"/>
  <c r="H136" i="11"/>
  <c r="H134" i="11"/>
  <c r="H141" i="11"/>
  <c r="H142" i="11"/>
  <c r="H138" i="11"/>
  <c r="H140" i="11"/>
  <c r="H139" i="11"/>
  <c r="H22" i="11"/>
  <c r="H23" i="11"/>
  <c r="H24" i="11"/>
  <c r="H25" i="11"/>
  <c r="H26" i="11"/>
  <c r="H27" i="11"/>
  <c r="H28" i="11"/>
  <c r="H29" i="11"/>
  <c r="H30" i="11"/>
  <c r="H34" i="11"/>
  <c r="H32" i="11"/>
  <c r="H33" i="11"/>
  <c r="H31" i="11"/>
  <c r="H35" i="11"/>
  <c r="H37" i="11"/>
  <c r="H38" i="11"/>
  <c r="H36" i="11"/>
  <c r="H42" i="11"/>
  <c r="H43" i="11"/>
  <c r="H40" i="11"/>
  <c r="Z128" i="12"/>
  <c r="K129" i="13"/>
  <c r="L129" i="13"/>
  <c r="AN129" i="13" s="1"/>
  <c r="AQ129" i="13" s="1"/>
  <c r="BU129" i="13" s="1"/>
  <c r="M129" i="13"/>
  <c r="AP128" i="13"/>
  <c r="AS128" i="13" s="1"/>
  <c r="DV128" i="13" s="1"/>
  <c r="DZ128" i="13" s="1"/>
  <c r="ED128" i="13" s="1"/>
  <c r="CG128" i="13"/>
  <c r="AH128" i="13"/>
  <c r="AL128" i="13" s="1"/>
  <c r="BS128" i="13" s="1"/>
  <c r="AE128" i="13"/>
  <c r="AI128" i="13" s="1"/>
  <c r="CQ128" i="13" s="1"/>
  <c r="Q128" i="13"/>
  <c r="AY128" i="13" s="1"/>
  <c r="R128" i="13"/>
  <c r="BQ128" i="13" s="1"/>
  <c r="S128" i="13"/>
  <c r="CO128" i="13" s="1"/>
  <c r="T128" i="13"/>
  <c r="CY128" i="13" s="1"/>
  <c r="U128" i="13"/>
  <c r="DI128" i="13" s="1"/>
  <c r="V128" i="13"/>
  <c r="W128" i="13"/>
  <c r="X128" i="13"/>
  <c r="AB128" i="13" s="1"/>
  <c r="CZ128" i="13" s="1"/>
  <c r="Y128" i="13"/>
  <c r="AC128" i="13" s="1"/>
  <c r="DJ128" i="13" s="1"/>
  <c r="Z128" i="13"/>
  <c r="AD128" i="13" s="1"/>
  <c r="BR128" i="13" s="1"/>
  <c r="CJ128" i="13"/>
  <c r="AG128" i="13"/>
  <c r="AK128" i="13" s="1"/>
  <c r="DK128" i="13" s="1"/>
  <c r="AF128" i="13"/>
  <c r="AJ128" i="13" s="1"/>
  <c r="DA128" i="13" s="1"/>
  <c r="DZ127" i="12"/>
  <c r="CJ128" i="12"/>
  <c r="CG128" i="12"/>
  <c r="X128" i="12"/>
  <c r="W128" i="12"/>
  <c r="Y128" i="12"/>
  <c r="AR128" i="12"/>
  <c r="AZ128" i="12" s="1"/>
  <c r="AM128" i="12"/>
  <c r="BT128" i="12" s="1"/>
  <c r="M129" i="12"/>
  <c r="L129" i="12"/>
  <c r="AN129" i="12" s="1"/>
  <c r="AP128" i="12"/>
  <c r="AE128" i="12"/>
  <c r="AF128" i="12"/>
  <c r="AG128" i="12"/>
  <c r="AH128" i="12"/>
  <c r="V128" i="12"/>
  <c r="S128" i="12"/>
  <c r="CO128" i="12" s="1"/>
  <c r="T128" i="12"/>
  <c r="CY128" i="12" s="1"/>
  <c r="K129" i="12"/>
  <c r="R128" i="12"/>
  <c r="BQ128" i="12" s="1"/>
  <c r="U128" i="12"/>
  <c r="DI128" i="12" s="1"/>
  <c r="Q128" i="12"/>
  <c r="AY128" i="12" s="1"/>
  <c r="BM41" i="12" l="1"/>
  <c r="CR41" i="12" s="1"/>
  <c r="CS41" i="12" s="1"/>
  <c r="BL41" i="12"/>
  <c r="BW41" i="12" s="1"/>
  <c r="BX41" i="12" s="1"/>
  <c r="BN41" i="12"/>
  <c r="DB41" i="12" s="1"/>
  <c r="DC41" i="12" s="1"/>
  <c r="BO41" i="12"/>
  <c r="DL41" i="12" s="1"/>
  <c r="DM41" i="12" s="1"/>
  <c r="CT41" i="13"/>
  <c r="DS41" i="13"/>
  <c r="DW41" i="13" s="1"/>
  <c r="EA41" i="13" s="1"/>
  <c r="CU41" i="13"/>
  <c r="CV41" i="13"/>
  <c r="DU41" i="13"/>
  <c r="DY41" i="13" s="1"/>
  <c r="EC41" i="13" s="1"/>
  <c r="FD41" i="13" s="1"/>
  <c r="FG41" i="13" s="1"/>
  <c r="DQ41" i="13"/>
  <c r="DP41" i="13"/>
  <c r="DO41" i="13"/>
  <c r="DN41" i="13"/>
  <c r="DT41" i="13"/>
  <c r="DX41" i="13" s="1"/>
  <c r="EB41" i="13" s="1"/>
  <c r="DD41" i="13"/>
  <c r="DF41" i="13"/>
  <c r="DE41" i="13"/>
  <c r="CA41" i="13"/>
  <c r="BZ41" i="13"/>
  <c r="CB41" i="13"/>
  <c r="CC41" i="13"/>
  <c r="CI41" i="13"/>
  <c r="CK41" i="13" s="1"/>
  <c r="BY41" i="13"/>
  <c r="CD41" i="13"/>
  <c r="CH41" i="13"/>
  <c r="N129" i="13"/>
  <c r="AO129" i="13"/>
  <c r="AR129" i="13" s="1"/>
  <c r="AZ129" i="13" s="1"/>
  <c r="AA128" i="13"/>
  <c r="CP128" i="13" s="1"/>
  <c r="ED127" i="12"/>
  <c r="AA128" i="12"/>
  <c r="CP128" i="12" s="1"/>
  <c r="AB128" i="12"/>
  <c r="CZ128" i="12" s="1"/>
  <c r="AC128" i="12"/>
  <c r="DJ128" i="12" s="1"/>
  <c r="AD128" i="12"/>
  <c r="BR128" i="12" s="1"/>
  <c r="AQ129" i="12"/>
  <c r="BU129" i="12" s="1"/>
  <c r="AS128" i="12"/>
  <c r="DV128" i="12" s="1"/>
  <c r="AO129" i="12"/>
  <c r="AI128" i="12"/>
  <c r="CQ128" i="12" s="1"/>
  <c r="AJ128" i="12"/>
  <c r="DA128" i="12" s="1"/>
  <c r="AK128" i="12"/>
  <c r="DK128" i="12" s="1"/>
  <c r="AL128" i="12"/>
  <c r="BS128" i="12" s="1"/>
  <c r="N129" i="12"/>
  <c r="CU41" i="12" l="1"/>
  <c r="DS41" i="12"/>
  <c r="DW41" i="12" s="1"/>
  <c r="EA41" i="12" s="1"/>
  <c r="CT41" i="12"/>
  <c r="CV41" i="12"/>
  <c r="CW41" i="12"/>
  <c r="CH41" i="12"/>
  <c r="CI41" i="12"/>
  <c r="CK41" i="12" s="1"/>
  <c r="CB41" i="12"/>
  <c r="CC41" i="12"/>
  <c r="BZ41" i="12"/>
  <c r="CD41" i="12"/>
  <c r="CA41" i="12"/>
  <c r="BY41" i="12"/>
  <c r="CE41" i="12"/>
  <c r="DT41" i="12"/>
  <c r="DX41" i="12" s="1"/>
  <c r="EB41" i="12" s="1"/>
  <c r="DF41" i="12"/>
  <c r="DE41" i="12"/>
  <c r="DD41" i="12"/>
  <c r="DG41" i="12"/>
  <c r="DO41" i="12"/>
  <c r="DU41" i="12"/>
  <c r="DY41" i="12" s="1"/>
  <c r="EC41" i="12" s="1"/>
  <c r="G40" i="11" s="1"/>
  <c r="DP41" i="12"/>
  <c r="DN41" i="12"/>
  <c r="DQ41" i="12"/>
  <c r="H146" i="11"/>
  <c r="H145" i="11"/>
  <c r="H144" i="11"/>
  <c r="H143" i="11"/>
  <c r="CM41" i="13"/>
  <c r="CL41" i="13"/>
  <c r="BB42" i="13" s="1"/>
  <c r="Z129" i="12"/>
  <c r="M130" i="13"/>
  <c r="AP129" i="13"/>
  <c r="AS129" i="13" s="1"/>
  <c r="DV129" i="13" s="1"/>
  <c r="DZ129" i="13" s="1"/>
  <c r="ED129" i="13" s="1"/>
  <c r="CG129" i="13"/>
  <c r="K130" i="13"/>
  <c r="L130" i="13"/>
  <c r="AN130" i="13" s="1"/>
  <c r="AQ130" i="13" s="1"/>
  <c r="BU130" i="13" s="1"/>
  <c r="AM129" i="13"/>
  <c r="BT129" i="13" s="1"/>
  <c r="AH129" i="13"/>
  <c r="AL129" i="13" s="1"/>
  <c r="BS129" i="13" s="1"/>
  <c r="AF129" i="13"/>
  <c r="AJ129" i="13" s="1"/>
  <c r="DA129" i="13" s="1"/>
  <c r="Q129" i="13"/>
  <c r="AY129" i="13" s="1"/>
  <c r="R129" i="13"/>
  <c r="BQ129" i="13" s="1"/>
  <c r="S129" i="13"/>
  <c r="CO129" i="13" s="1"/>
  <c r="T129" i="13"/>
  <c r="CY129" i="13" s="1"/>
  <c r="U129" i="13"/>
  <c r="DI129" i="13" s="1"/>
  <c r="V129" i="13"/>
  <c r="W129" i="13"/>
  <c r="X129" i="13"/>
  <c r="Y129" i="13"/>
  <c r="Z129" i="13"/>
  <c r="CJ129" i="13"/>
  <c r="AG129" i="13"/>
  <c r="AK129" i="13" s="1"/>
  <c r="DK129" i="13" s="1"/>
  <c r="AE129" i="13"/>
  <c r="AI129" i="13" s="1"/>
  <c r="CQ129" i="13" s="1"/>
  <c r="DZ128" i="12"/>
  <c r="CJ129" i="12"/>
  <c r="CG129" i="12"/>
  <c r="W129" i="12"/>
  <c r="Y129" i="12"/>
  <c r="X129" i="12"/>
  <c r="AR129" i="12"/>
  <c r="AZ129" i="12" s="1"/>
  <c r="AM129" i="12"/>
  <c r="BT129" i="12" s="1"/>
  <c r="M130" i="12"/>
  <c r="L130" i="12"/>
  <c r="AN130" i="12" s="1"/>
  <c r="AP129" i="12"/>
  <c r="AF129" i="12"/>
  <c r="AG129" i="12"/>
  <c r="AE129" i="12"/>
  <c r="AH129" i="12"/>
  <c r="U129" i="12"/>
  <c r="DI129" i="12" s="1"/>
  <c r="S129" i="12"/>
  <c r="CO129" i="12" s="1"/>
  <c r="V129" i="12"/>
  <c r="R129" i="12"/>
  <c r="BQ129" i="12" s="1"/>
  <c r="T129" i="12"/>
  <c r="CY129" i="12" s="1"/>
  <c r="K130" i="12"/>
  <c r="Q129" i="12"/>
  <c r="AY129" i="12" s="1"/>
  <c r="FD41" i="12" l="1"/>
  <c r="FG41" i="12" s="1"/>
  <c r="CL41" i="12"/>
  <c r="BB42" i="12" s="1"/>
  <c r="CM41" i="12"/>
  <c r="BD42" i="13"/>
  <c r="EQ42" i="13" s="1"/>
  <c r="ES42" i="13" s="1"/>
  <c r="BE42" i="13"/>
  <c r="N130" i="13"/>
  <c r="AO130" i="13"/>
  <c r="AR130" i="13" s="1"/>
  <c r="AZ130" i="13" s="1"/>
  <c r="AA129" i="13"/>
  <c r="CP129" i="13" s="1"/>
  <c r="AB129" i="13"/>
  <c r="CZ129" i="13" s="1"/>
  <c r="AC129" i="13"/>
  <c r="DJ129" i="13" s="1"/>
  <c r="AD129" i="13"/>
  <c r="BR129" i="13" s="1"/>
  <c r="ED128" i="12"/>
  <c r="AA129" i="12"/>
  <c r="CP129" i="12" s="1"/>
  <c r="AB129" i="12"/>
  <c r="CZ129" i="12" s="1"/>
  <c r="AC129" i="12"/>
  <c r="DJ129" i="12" s="1"/>
  <c r="AD129" i="12"/>
  <c r="BR129" i="12" s="1"/>
  <c r="AQ130" i="12"/>
  <c r="BU130" i="12" s="1"/>
  <c r="AS129" i="12"/>
  <c r="DV129" i="12" s="1"/>
  <c r="AO130" i="12"/>
  <c r="AJ129" i="12"/>
  <c r="DA129" i="12" s="1"/>
  <c r="AK129" i="12"/>
  <c r="DK129" i="12" s="1"/>
  <c r="AI129" i="12"/>
  <c r="CQ129" i="12" s="1"/>
  <c r="AL129" i="12"/>
  <c r="BS129" i="12" s="1"/>
  <c r="N130" i="12"/>
  <c r="Z130" i="12" s="1"/>
  <c r="BE42" i="12" l="1"/>
  <c r="EU42" i="13"/>
  <c r="EX42" i="13" s="1"/>
  <c r="FA42" i="13" s="1"/>
  <c r="ET42" i="13"/>
  <c r="EW42" i="13" s="1"/>
  <c r="EZ42" i="13" s="1"/>
  <c r="EV42" i="13"/>
  <c r="EY42" i="13" s="1"/>
  <c r="FB42" i="13" s="1"/>
  <c r="FF42" i="13" s="1"/>
  <c r="BC42" i="13"/>
  <c r="AM130" i="13"/>
  <c r="BT130" i="13" s="1"/>
  <c r="AP130" i="13"/>
  <c r="AS130" i="13" s="1"/>
  <c r="DV130" i="13" s="1"/>
  <c r="DZ130" i="13" s="1"/>
  <c r="ED130" i="13" s="1"/>
  <c r="CG130" i="13"/>
  <c r="K131" i="13"/>
  <c r="L131" i="13"/>
  <c r="AN131" i="13" s="1"/>
  <c r="AQ131" i="13" s="1"/>
  <c r="BU131" i="13" s="1"/>
  <c r="M131" i="13"/>
  <c r="AF130" i="13"/>
  <c r="AJ130" i="13" s="1"/>
  <c r="DA130" i="13" s="1"/>
  <c r="Q130" i="13"/>
  <c r="AY130" i="13" s="1"/>
  <c r="R130" i="13"/>
  <c r="BQ130" i="13" s="1"/>
  <c r="S130" i="13"/>
  <c r="CO130" i="13" s="1"/>
  <c r="T130" i="13"/>
  <c r="CY130" i="13" s="1"/>
  <c r="V130" i="13"/>
  <c r="X130" i="13"/>
  <c r="Z130" i="13"/>
  <c r="U130" i="13"/>
  <c r="DI130" i="13" s="1"/>
  <c r="W130" i="13"/>
  <c r="AA130" i="13" s="1"/>
  <c r="CP130" i="13" s="1"/>
  <c r="Y130" i="13"/>
  <c r="AH130" i="13"/>
  <c r="AL130" i="13" s="1"/>
  <c r="BS130" i="13" s="1"/>
  <c r="AG130" i="13"/>
  <c r="AK130" i="13" s="1"/>
  <c r="DK130" i="13" s="1"/>
  <c r="CJ130" i="13"/>
  <c r="AE130" i="13"/>
  <c r="AI130" i="13" s="1"/>
  <c r="CQ130" i="13" s="1"/>
  <c r="DZ129" i="12"/>
  <c r="CJ130" i="12"/>
  <c r="CG130" i="12"/>
  <c r="W130" i="12"/>
  <c r="Y130" i="12"/>
  <c r="X130" i="12"/>
  <c r="AM130" i="12"/>
  <c r="BT130" i="12" s="1"/>
  <c r="AR130" i="12"/>
  <c r="AZ130" i="12" s="1"/>
  <c r="M131" i="12"/>
  <c r="L131" i="12"/>
  <c r="AN131" i="12" s="1"/>
  <c r="AP130" i="12"/>
  <c r="AF130" i="12"/>
  <c r="AG130" i="12"/>
  <c r="AE130" i="12"/>
  <c r="AH130" i="12"/>
  <c r="Q130" i="12"/>
  <c r="AY130" i="12" s="1"/>
  <c r="V130" i="12"/>
  <c r="T130" i="12"/>
  <c r="CY130" i="12" s="1"/>
  <c r="K131" i="12"/>
  <c r="U130" i="12"/>
  <c r="DI130" i="12" s="1"/>
  <c r="S130" i="12"/>
  <c r="CO130" i="12" s="1"/>
  <c r="R130" i="12"/>
  <c r="BQ130" i="12" s="1"/>
  <c r="BC42" i="12" l="1"/>
  <c r="BK42" i="12" s="1"/>
  <c r="BH42" i="13"/>
  <c r="BK42" i="13"/>
  <c r="BF42" i="13"/>
  <c r="BG42" i="13"/>
  <c r="BI42" i="13"/>
  <c r="N131" i="13"/>
  <c r="AO131" i="13"/>
  <c r="AR131" i="13" s="1"/>
  <c r="AZ131" i="13" s="1"/>
  <c r="AB130" i="13"/>
  <c r="CZ130" i="13" s="1"/>
  <c r="AD130" i="13"/>
  <c r="BR130" i="13" s="1"/>
  <c r="AC130" i="13"/>
  <c r="DJ130" i="13" s="1"/>
  <c r="ED129" i="12"/>
  <c r="AA130" i="12"/>
  <c r="CP130" i="12" s="1"/>
  <c r="AB130" i="12"/>
  <c r="CZ130" i="12" s="1"/>
  <c r="AC130" i="12"/>
  <c r="DJ130" i="12" s="1"/>
  <c r="AD130" i="12"/>
  <c r="BR130" i="12" s="1"/>
  <c r="AQ131" i="12"/>
  <c r="BU131" i="12" s="1"/>
  <c r="AS130" i="12"/>
  <c r="DV130" i="12" s="1"/>
  <c r="AO131" i="12"/>
  <c r="AJ130" i="12"/>
  <c r="DA130" i="12" s="1"/>
  <c r="AK130" i="12"/>
  <c r="DK130" i="12" s="1"/>
  <c r="AI130" i="12"/>
  <c r="CQ130" i="12" s="1"/>
  <c r="AL130" i="12"/>
  <c r="BS130" i="12" s="1"/>
  <c r="N131" i="12"/>
  <c r="Z131" i="12" s="1"/>
  <c r="BH42" i="12" l="1"/>
  <c r="BF42" i="12"/>
  <c r="BI42" i="12"/>
  <c r="BG42" i="12"/>
  <c r="BM42" i="12"/>
  <c r="CR42" i="12" s="1"/>
  <c r="CS42" i="12" s="1"/>
  <c r="BL42" i="12"/>
  <c r="BW42" i="12" s="1"/>
  <c r="BN42" i="12"/>
  <c r="DB42" i="12" s="1"/>
  <c r="BO42" i="12"/>
  <c r="DL42" i="12" s="1"/>
  <c r="BM42" i="13"/>
  <c r="CR42" i="13" s="1"/>
  <c r="CS42" i="13" s="1"/>
  <c r="BN42" i="13"/>
  <c r="DB42" i="13" s="1"/>
  <c r="DC42" i="13" s="1"/>
  <c r="BL42" i="13"/>
  <c r="BW42" i="13" s="1"/>
  <c r="BO42" i="13"/>
  <c r="DL42" i="13" s="1"/>
  <c r="DM42" i="13" s="1"/>
  <c r="AM131" i="13"/>
  <c r="BT131" i="13" s="1"/>
  <c r="AP131" i="13"/>
  <c r="AS131" i="13" s="1"/>
  <c r="DV131" i="13" s="1"/>
  <c r="DZ131" i="13" s="1"/>
  <c r="ED131" i="13" s="1"/>
  <c r="CG131" i="13"/>
  <c r="K132" i="13"/>
  <c r="L132" i="13"/>
  <c r="AN132" i="13" s="1"/>
  <c r="AQ132" i="13" s="1"/>
  <c r="BU132" i="13" s="1"/>
  <c r="M132" i="13"/>
  <c r="AG131" i="13"/>
  <c r="AK131" i="13" s="1"/>
  <c r="DK131" i="13" s="1"/>
  <c r="AE131" i="13"/>
  <c r="AI131" i="13" s="1"/>
  <c r="CQ131" i="13" s="1"/>
  <c r="R131" i="13"/>
  <c r="BQ131" i="13" s="1"/>
  <c r="T131" i="13"/>
  <c r="CY131" i="13" s="1"/>
  <c r="U131" i="13"/>
  <c r="DI131" i="13" s="1"/>
  <c r="V131" i="13"/>
  <c r="W131" i="13"/>
  <c r="X131" i="13"/>
  <c r="Y131" i="13"/>
  <c r="Z131" i="13"/>
  <c r="CJ131" i="13"/>
  <c r="Q131" i="13"/>
  <c r="AY131" i="13" s="1"/>
  <c r="S131" i="13"/>
  <c r="CO131" i="13" s="1"/>
  <c r="AH131" i="13"/>
  <c r="AL131" i="13" s="1"/>
  <c r="BS131" i="13" s="1"/>
  <c r="AF131" i="13"/>
  <c r="AJ131" i="13" s="1"/>
  <c r="DA131" i="13" s="1"/>
  <c r="DZ130" i="12"/>
  <c r="CJ131" i="12"/>
  <c r="CG131" i="12"/>
  <c r="W131" i="12"/>
  <c r="Y131" i="12"/>
  <c r="X131" i="12"/>
  <c r="AR131" i="12"/>
  <c r="AZ131" i="12" s="1"/>
  <c r="AM131" i="12"/>
  <c r="BT131" i="12" s="1"/>
  <c r="M132" i="12"/>
  <c r="L132" i="12"/>
  <c r="AN132" i="12" s="1"/>
  <c r="AP131" i="12"/>
  <c r="AE131" i="12"/>
  <c r="AH131" i="12"/>
  <c r="AF131" i="12"/>
  <c r="AG131" i="12"/>
  <c r="T131" i="12"/>
  <c r="CY131" i="12" s="1"/>
  <c r="V131" i="12"/>
  <c r="S131" i="12"/>
  <c r="CO131" i="12" s="1"/>
  <c r="U131" i="12"/>
  <c r="DI131" i="12" s="1"/>
  <c r="Q131" i="12"/>
  <c r="AY131" i="12" s="1"/>
  <c r="K132" i="12"/>
  <c r="R131" i="12"/>
  <c r="BQ131" i="12" s="1"/>
  <c r="CW42" i="12" l="1"/>
  <c r="CT42" i="12"/>
  <c r="CU42" i="12"/>
  <c r="DS42" i="12"/>
  <c r="DW42" i="12" s="1"/>
  <c r="EA42" i="12" s="1"/>
  <c r="CV42" i="12"/>
  <c r="BX42" i="12"/>
  <c r="CE42" i="12" s="1"/>
  <c r="DC42" i="12"/>
  <c r="DG42" i="12" s="1"/>
  <c r="DM42" i="12"/>
  <c r="DQ42" i="12" s="1"/>
  <c r="CV42" i="13"/>
  <c r="CU42" i="13"/>
  <c r="CT42" i="13"/>
  <c r="DS42" i="13"/>
  <c r="DW42" i="13" s="1"/>
  <c r="EA42" i="13" s="1"/>
  <c r="CW42" i="13"/>
  <c r="DT42" i="13"/>
  <c r="DX42" i="13" s="1"/>
  <c r="EB42" i="13" s="1"/>
  <c r="DF42" i="13"/>
  <c r="DE42" i="13"/>
  <c r="DD42" i="13"/>
  <c r="DG42" i="13"/>
  <c r="BX42" i="13"/>
  <c r="CE42" i="13" s="1"/>
  <c r="DN42" i="13"/>
  <c r="DP42" i="13"/>
  <c r="DO42" i="13"/>
  <c r="DU42" i="13"/>
  <c r="DY42" i="13" s="1"/>
  <c r="EC42" i="13" s="1"/>
  <c r="FD42" i="13" s="1"/>
  <c r="FG42" i="13" s="1"/>
  <c r="DQ42" i="13"/>
  <c r="N132" i="13"/>
  <c r="AM132" i="13" s="1"/>
  <c r="BT132" i="13" s="1"/>
  <c r="AO132" i="13"/>
  <c r="AR132" i="13" s="1"/>
  <c r="AZ132" i="13" s="1"/>
  <c r="AA131" i="13"/>
  <c r="CP131" i="13" s="1"/>
  <c r="AB131" i="13"/>
  <c r="CZ131" i="13" s="1"/>
  <c r="AC131" i="13"/>
  <c r="DJ131" i="13" s="1"/>
  <c r="AD131" i="13"/>
  <c r="BR131" i="13" s="1"/>
  <c r="ED130" i="12"/>
  <c r="AA131" i="12"/>
  <c r="CP131" i="12" s="1"/>
  <c r="AB131" i="12"/>
  <c r="CZ131" i="12" s="1"/>
  <c r="AC131" i="12"/>
  <c r="DJ131" i="12" s="1"/>
  <c r="AD131" i="12"/>
  <c r="BR131" i="12" s="1"/>
  <c r="AQ132" i="12"/>
  <c r="BU132" i="12" s="1"/>
  <c r="AS131" i="12"/>
  <c r="DV131" i="12" s="1"/>
  <c r="AO132" i="12"/>
  <c r="AI131" i="12"/>
  <c r="CQ131" i="12" s="1"/>
  <c r="AJ131" i="12"/>
  <c r="DA131" i="12" s="1"/>
  <c r="AK131" i="12"/>
  <c r="DK131" i="12" s="1"/>
  <c r="AL131" i="12"/>
  <c r="BS131" i="12" s="1"/>
  <c r="N132" i="12"/>
  <c r="Z132" i="12" s="1"/>
  <c r="CI42" i="12" l="1"/>
  <c r="CK42" i="12" s="1"/>
  <c r="CD42" i="12"/>
  <c r="CB42" i="12"/>
  <c r="CA42" i="12"/>
  <c r="BY42" i="12"/>
  <c r="CH42" i="12"/>
  <c r="BZ42" i="12"/>
  <c r="CC42" i="12"/>
  <c r="DF42" i="12"/>
  <c r="DE42" i="12"/>
  <c r="DD42" i="12"/>
  <c r="DT42" i="12"/>
  <c r="DX42" i="12" s="1"/>
  <c r="EB42" i="12" s="1"/>
  <c r="DP42" i="12"/>
  <c r="DU42" i="12"/>
  <c r="DY42" i="12" s="1"/>
  <c r="EC42" i="12" s="1"/>
  <c r="DN42" i="12"/>
  <c r="DO42" i="12"/>
  <c r="BY42" i="13"/>
  <c r="CI42" i="13"/>
  <c r="CK42" i="13" s="1"/>
  <c r="CA42" i="13"/>
  <c r="CH42" i="13"/>
  <c r="CB42" i="13"/>
  <c r="CD42" i="13"/>
  <c r="CC42" i="13"/>
  <c r="BZ42" i="13"/>
  <c r="H149" i="11"/>
  <c r="H147" i="11"/>
  <c r="H150" i="11"/>
  <c r="H148" i="11"/>
  <c r="H151" i="11"/>
  <c r="AP132" i="13"/>
  <c r="AS132" i="13" s="1"/>
  <c r="DV132" i="13" s="1"/>
  <c r="DZ132" i="13" s="1"/>
  <c r="ED132" i="13" s="1"/>
  <c r="K133" i="13"/>
  <c r="M133" i="13"/>
  <c r="CG132" i="13"/>
  <c r="L133" i="13"/>
  <c r="AN133" i="13" s="1"/>
  <c r="AQ133" i="13" s="1"/>
  <c r="BU133" i="13" s="1"/>
  <c r="AG132" i="13"/>
  <c r="AK132" i="13" s="1"/>
  <c r="DK132" i="13" s="1"/>
  <c r="AE132" i="13"/>
  <c r="AI132" i="13" s="1"/>
  <c r="CQ132" i="13" s="1"/>
  <c r="Q132" i="13"/>
  <c r="AY132" i="13" s="1"/>
  <c r="R132" i="13"/>
  <c r="BQ132" i="13" s="1"/>
  <c r="S132" i="13"/>
  <c r="CO132" i="13" s="1"/>
  <c r="T132" i="13"/>
  <c r="CY132" i="13" s="1"/>
  <c r="U132" i="13"/>
  <c r="DI132" i="13" s="1"/>
  <c r="V132" i="13"/>
  <c r="W132" i="13"/>
  <c r="AA132" i="13" s="1"/>
  <c r="CP132" i="13" s="1"/>
  <c r="X132" i="13"/>
  <c r="AB132" i="13" s="1"/>
  <c r="CZ132" i="13" s="1"/>
  <c r="Y132" i="13"/>
  <c r="AC132" i="13" s="1"/>
  <c r="DJ132" i="13" s="1"/>
  <c r="Z132" i="13"/>
  <c r="AD132" i="13" s="1"/>
  <c r="BR132" i="13" s="1"/>
  <c r="CJ132" i="13"/>
  <c r="AH132" i="13"/>
  <c r="AL132" i="13" s="1"/>
  <c r="BS132" i="13" s="1"/>
  <c r="AF132" i="13"/>
  <c r="AJ132" i="13" s="1"/>
  <c r="DA132" i="13" s="1"/>
  <c r="DZ131" i="12"/>
  <c r="CJ132" i="12"/>
  <c r="CG132" i="12"/>
  <c r="X132" i="12"/>
  <c r="W132" i="12"/>
  <c r="Y132" i="12"/>
  <c r="AR132" i="12"/>
  <c r="AZ132" i="12" s="1"/>
  <c r="AM132" i="12"/>
  <c r="BT132" i="12" s="1"/>
  <c r="M133" i="12"/>
  <c r="L133" i="12"/>
  <c r="AN133" i="12" s="1"/>
  <c r="AP132" i="12"/>
  <c r="AF132" i="12"/>
  <c r="AH132" i="12"/>
  <c r="AE132" i="12"/>
  <c r="AG132" i="12"/>
  <c r="S132" i="12"/>
  <c r="CO132" i="12" s="1"/>
  <c r="T132" i="12"/>
  <c r="CY132" i="12" s="1"/>
  <c r="U132" i="12"/>
  <c r="DI132" i="12" s="1"/>
  <c r="Q132" i="12"/>
  <c r="AY132" i="12" s="1"/>
  <c r="R132" i="12"/>
  <c r="BQ132" i="12" s="1"/>
  <c r="K133" i="12"/>
  <c r="V132" i="12"/>
  <c r="FD42" i="12" l="1"/>
  <c r="FG42" i="12" s="1"/>
  <c r="CM42" i="12"/>
  <c r="CL42" i="12"/>
  <c r="BB43" i="12" s="1"/>
  <c r="CL42" i="13"/>
  <c r="BB43" i="13" s="1"/>
  <c r="CM42" i="13"/>
  <c r="N133" i="13"/>
  <c r="AM133" i="13" s="1"/>
  <c r="BT133" i="13" s="1"/>
  <c r="AO133" i="13"/>
  <c r="AR133" i="13" s="1"/>
  <c r="AZ133" i="13" s="1"/>
  <c r="ED131" i="12"/>
  <c r="AA132" i="12"/>
  <c r="CP132" i="12" s="1"/>
  <c r="AB132" i="12"/>
  <c r="CZ132" i="12" s="1"/>
  <c r="AC132" i="12"/>
  <c r="DJ132" i="12" s="1"/>
  <c r="AD132" i="12"/>
  <c r="BR132" i="12" s="1"/>
  <c r="AQ133" i="12"/>
  <c r="BU133" i="12" s="1"/>
  <c r="AS132" i="12"/>
  <c r="DV132" i="12" s="1"/>
  <c r="AO133" i="12"/>
  <c r="AJ132" i="12"/>
  <c r="DA132" i="12" s="1"/>
  <c r="AI132" i="12"/>
  <c r="CQ132" i="12" s="1"/>
  <c r="AK132" i="12"/>
  <c r="DK132" i="12" s="1"/>
  <c r="AL132" i="12"/>
  <c r="BS132" i="12" s="1"/>
  <c r="N133" i="12"/>
  <c r="Z133" i="12" s="1"/>
  <c r="BE43" i="12" l="1"/>
  <c r="BD43" i="13"/>
  <c r="EQ43" i="13" s="1"/>
  <c r="ES43" i="13" s="1"/>
  <c r="BE43" i="13"/>
  <c r="K134" i="13"/>
  <c r="L134" i="13"/>
  <c r="AN134" i="13" s="1"/>
  <c r="AQ134" i="13" s="1"/>
  <c r="BU134" i="13" s="1"/>
  <c r="M134" i="13"/>
  <c r="AP133" i="13"/>
  <c r="AS133" i="13" s="1"/>
  <c r="DV133" i="13" s="1"/>
  <c r="DZ133" i="13" s="1"/>
  <c r="ED133" i="13" s="1"/>
  <c r="CG133" i="13"/>
  <c r="AG133" i="13"/>
  <c r="AK133" i="13" s="1"/>
  <c r="DK133" i="13" s="1"/>
  <c r="AE133" i="13"/>
  <c r="AI133" i="13" s="1"/>
  <c r="CQ133" i="13" s="1"/>
  <c r="Q133" i="13"/>
  <c r="AY133" i="13" s="1"/>
  <c r="R133" i="13"/>
  <c r="BQ133" i="13" s="1"/>
  <c r="S133" i="13"/>
  <c r="CO133" i="13" s="1"/>
  <c r="T133" i="13"/>
  <c r="CY133" i="13" s="1"/>
  <c r="U133" i="13"/>
  <c r="DI133" i="13" s="1"/>
  <c r="V133" i="13"/>
  <c r="W133" i="13"/>
  <c r="AA133" i="13" s="1"/>
  <c r="CP133" i="13" s="1"/>
  <c r="X133" i="13"/>
  <c r="AB133" i="13" s="1"/>
  <c r="CZ133" i="13" s="1"/>
  <c r="Y133" i="13"/>
  <c r="AC133" i="13" s="1"/>
  <c r="DJ133" i="13" s="1"/>
  <c r="Z133" i="13"/>
  <c r="AD133" i="13" s="1"/>
  <c r="BR133" i="13" s="1"/>
  <c r="CJ133" i="13"/>
  <c r="AH133" i="13"/>
  <c r="AL133" i="13" s="1"/>
  <c r="BS133" i="13" s="1"/>
  <c r="AF133" i="13"/>
  <c r="AJ133" i="13" s="1"/>
  <c r="DA133" i="13" s="1"/>
  <c r="DZ132" i="12"/>
  <c r="CJ133" i="12"/>
  <c r="CG133" i="12"/>
  <c r="X133" i="12"/>
  <c r="W133" i="12"/>
  <c r="Y133" i="12"/>
  <c r="AR133" i="12"/>
  <c r="AZ133" i="12" s="1"/>
  <c r="AM133" i="12"/>
  <c r="BT133" i="12" s="1"/>
  <c r="M134" i="12"/>
  <c r="L134" i="12"/>
  <c r="AN134" i="12" s="1"/>
  <c r="AP133" i="12"/>
  <c r="AG133" i="12"/>
  <c r="AF133" i="12"/>
  <c r="AH133" i="12"/>
  <c r="AE133" i="12"/>
  <c r="S133" i="12"/>
  <c r="CO133" i="12" s="1"/>
  <c r="V133" i="12"/>
  <c r="Q133" i="12"/>
  <c r="AY133" i="12" s="1"/>
  <c r="U133" i="12"/>
  <c r="DI133" i="12" s="1"/>
  <c r="R133" i="12"/>
  <c r="BQ133" i="12" s="1"/>
  <c r="T133" i="12"/>
  <c r="CY133" i="12" s="1"/>
  <c r="K134" i="12"/>
  <c r="BC43" i="12" l="1"/>
  <c r="BC43" i="13"/>
  <c r="ET43" i="13"/>
  <c r="EW43" i="13" s="1"/>
  <c r="EZ43" i="13" s="1"/>
  <c r="EU43" i="13"/>
  <c r="EX43" i="13" s="1"/>
  <c r="FA43" i="13" s="1"/>
  <c r="EV43" i="13"/>
  <c r="EY43" i="13" s="1"/>
  <c r="FB43" i="13" s="1"/>
  <c r="FF43" i="13" s="1"/>
  <c r="N134" i="13"/>
  <c r="AO134" i="13"/>
  <c r="AR134" i="13" s="1"/>
  <c r="AZ134" i="13" s="1"/>
  <c r="ED132" i="12"/>
  <c r="AA133" i="12"/>
  <c r="CP133" i="12" s="1"/>
  <c r="AB133" i="12"/>
  <c r="CZ133" i="12" s="1"/>
  <c r="AC133" i="12"/>
  <c r="DJ133" i="12" s="1"/>
  <c r="AD133" i="12"/>
  <c r="BR133" i="12" s="1"/>
  <c r="AQ134" i="12"/>
  <c r="BU134" i="12" s="1"/>
  <c r="AS133" i="12"/>
  <c r="DV133" i="12" s="1"/>
  <c r="AO134" i="12"/>
  <c r="AK133" i="12"/>
  <c r="DK133" i="12" s="1"/>
  <c r="AJ133" i="12"/>
  <c r="DA133" i="12" s="1"/>
  <c r="AI133" i="12"/>
  <c r="CQ133" i="12" s="1"/>
  <c r="AL133" i="12"/>
  <c r="BS133" i="12" s="1"/>
  <c r="N134" i="12"/>
  <c r="Z134" i="12" s="1"/>
  <c r="BF43" i="12" l="1"/>
  <c r="BG43" i="12"/>
  <c r="BH43" i="12"/>
  <c r="BK43" i="12"/>
  <c r="BI43" i="12"/>
  <c r="BI43" i="13"/>
  <c r="BG43" i="13"/>
  <c r="BH43" i="13"/>
  <c r="BK43" i="13"/>
  <c r="BF43" i="13"/>
  <c r="AM134" i="13"/>
  <c r="BT134" i="13" s="1"/>
  <c r="CG134" i="13"/>
  <c r="AP134" i="13"/>
  <c r="AS134" i="13" s="1"/>
  <c r="DV134" i="13" s="1"/>
  <c r="DZ134" i="13" s="1"/>
  <c r="ED134" i="13" s="1"/>
  <c r="K135" i="13"/>
  <c r="L135" i="13"/>
  <c r="AN135" i="13" s="1"/>
  <c r="AQ135" i="13" s="1"/>
  <c r="BU135" i="13" s="1"/>
  <c r="M135" i="13"/>
  <c r="AH134" i="13"/>
  <c r="AL134" i="13" s="1"/>
  <c r="BS134" i="13" s="1"/>
  <c r="AE134" i="13"/>
  <c r="AI134" i="13" s="1"/>
  <c r="CQ134" i="13" s="1"/>
  <c r="Q134" i="13"/>
  <c r="AY134" i="13" s="1"/>
  <c r="R134" i="13"/>
  <c r="BQ134" i="13" s="1"/>
  <c r="S134" i="13"/>
  <c r="CO134" i="13" s="1"/>
  <c r="T134" i="13"/>
  <c r="CY134" i="13" s="1"/>
  <c r="U134" i="13"/>
  <c r="DI134" i="13" s="1"/>
  <c r="V134" i="13"/>
  <c r="W134" i="13"/>
  <c r="X134" i="13"/>
  <c r="Y134" i="13"/>
  <c r="Z134" i="13"/>
  <c r="CJ134" i="13"/>
  <c r="AG134" i="13"/>
  <c r="AK134" i="13" s="1"/>
  <c r="DK134" i="13" s="1"/>
  <c r="AF134" i="13"/>
  <c r="AJ134" i="13" s="1"/>
  <c r="DA134" i="13" s="1"/>
  <c r="DZ133" i="12"/>
  <c r="CJ134" i="12"/>
  <c r="CG134" i="12"/>
  <c r="X134" i="12"/>
  <c r="W134" i="12"/>
  <c r="Y134" i="12"/>
  <c r="AM134" i="12"/>
  <c r="BT134" i="12" s="1"/>
  <c r="AR134" i="12"/>
  <c r="AZ134" i="12" s="1"/>
  <c r="M135" i="12"/>
  <c r="L135" i="12"/>
  <c r="AN135" i="12" s="1"/>
  <c r="AP134" i="12"/>
  <c r="AH134" i="12"/>
  <c r="AE134" i="12"/>
  <c r="AG134" i="12"/>
  <c r="AF134" i="12"/>
  <c r="R134" i="12"/>
  <c r="BQ134" i="12" s="1"/>
  <c r="U134" i="12"/>
  <c r="DI134" i="12" s="1"/>
  <c r="T134" i="12"/>
  <c r="CY134" i="12" s="1"/>
  <c r="V134" i="12"/>
  <c r="Q134" i="12"/>
  <c r="AY134" i="12" s="1"/>
  <c r="S134" i="12"/>
  <c r="CO134" i="12" s="1"/>
  <c r="K135" i="12"/>
  <c r="BO43" i="12" l="1"/>
  <c r="DL43" i="12" s="1"/>
  <c r="DM43" i="12" s="1"/>
  <c r="BN43" i="12"/>
  <c r="DB43" i="12" s="1"/>
  <c r="DC43" i="12" s="1"/>
  <c r="BL43" i="12"/>
  <c r="BW43" i="12" s="1"/>
  <c r="BX43" i="12" s="1"/>
  <c r="BM43" i="12"/>
  <c r="CR43" i="12" s="1"/>
  <c r="CS43" i="12" s="1"/>
  <c r="BL43" i="13"/>
  <c r="BW43" i="13" s="1"/>
  <c r="BX43" i="13" s="1"/>
  <c r="CE43" i="13" s="1"/>
  <c r="BO43" i="13"/>
  <c r="DL43" i="13" s="1"/>
  <c r="BN43" i="13"/>
  <c r="DB43" i="13" s="1"/>
  <c r="DC43" i="13" s="1"/>
  <c r="DG43" i="13" s="1"/>
  <c r="BM43" i="13"/>
  <c r="CR43" i="13" s="1"/>
  <c r="CS43" i="13" s="1"/>
  <c r="CW43" i="13" s="1"/>
  <c r="N135" i="13"/>
  <c r="AM135" i="13" s="1"/>
  <c r="BT135" i="13" s="1"/>
  <c r="AO135" i="13"/>
  <c r="AR135" i="13" s="1"/>
  <c r="AZ135" i="13" s="1"/>
  <c r="AA134" i="13"/>
  <c r="CP134" i="13" s="1"/>
  <c r="AB134" i="13"/>
  <c r="CZ134" i="13" s="1"/>
  <c r="AC134" i="13"/>
  <c r="DJ134" i="13" s="1"/>
  <c r="AD134" i="13"/>
  <c r="BR134" i="13" s="1"/>
  <c r="ED133" i="12"/>
  <c r="AA134" i="12"/>
  <c r="CP134" i="12" s="1"/>
  <c r="AB134" i="12"/>
  <c r="CZ134" i="12" s="1"/>
  <c r="AC134" i="12"/>
  <c r="DJ134" i="12" s="1"/>
  <c r="AD134" i="12"/>
  <c r="BR134" i="12" s="1"/>
  <c r="AQ135" i="12"/>
  <c r="BU135" i="12" s="1"/>
  <c r="AS134" i="12"/>
  <c r="DV134" i="12" s="1"/>
  <c r="AO135" i="12"/>
  <c r="AI134" i="12"/>
  <c r="CQ134" i="12" s="1"/>
  <c r="AK134" i="12"/>
  <c r="DK134" i="12" s="1"/>
  <c r="AJ134" i="12"/>
  <c r="DA134" i="12" s="1"/>
  <c r="AL134" i="12"/>
  <c r="BS134" i="12" s="1"/>
  <c r="N135" i="12"/>
  <c r="Z135" i="12" s="1"/>
  <c r="DP43" i="12" l="1"/>
  <c r="DU43" i="12"/>
  <c r="DY43" i="12" s="1"/>
  <c r="EC43" i="12" s="1"/>
  <c r="G41" i="11" s="1"/>
  <c r="DN43" i="12"/>
  <c r="DO43" i="12"/>
  <c r="DQ43" i="12"/>
  <c r="DE43" i="12"/>
  <c r="DT43" i="12"/>
  <c r="DX43" i="12" s="1"/>
  <c r="EB43" i="12" s="1"/>
  <c r="DD43" i="12"/>
  <c r="DF43" i="12"/>
  <c r="DG43" i="12"/>
  <c r="CB43" i="12"/>
  <c r="CI43" i="12"/>
  <c r="CK43" i="12" s="1"/>
  <c r="CC43" i="12"/>
  <c r="CA43" i="12"/>
  <c r="CD43" i="12"/>
  <c r="BY43" i="12"/>
  <c r="BZ43" i="12"/>
  <c r="CH43" i="12"/>
  <c r="CE43" i="12"/>
  <c r="CU43" i="12"/>
  <c r="DS43" i="12"/>
  <c r="DW43" i="12" s="1"/>
  <c r="EA43" i="12" s="1"/>
  <c r="CT43" i="12"/>
  <c r="CV43" i="12"/>
  <c r="CW43" i="12"/>
  <c r="DM43" i="13"/>
  <c r="DQ43" i="13" s="1"/>
  <c r="CH43" i="13"/>
  <c r="CA43" i="13"/>
  <c r="BZ43" i="13"/>
  <c r="BY43" i="13"/>
  <c r="CD43" i="13"/>
  <c r="CB43" i="13"/>
  <c r="CI43" i="13"/>
  <c r="CK43" i="13" s="1"/>
  <c r="CC43" i="13"/>
  <c r="DE43" i="13"/>
  <c r="DT43" i="13"/>
  <c r="DX43" i="13" s="1"/>
  <c r="EB43" i="13" s="1"/>
  <c r="DF43" i="13"/>
  <c r="DD43" i="13"/>
  <c r="DS43" i="13"/>
  <c r="DW43" i="13" s="1"/>
  <c r="EA43" i="13" s="1"/>
  <c r="CU43" i="13"/>
  <c r="CV43" i="13"/>
  <c r="CT43" i="13"/>
  <c r="AP135" i="13"/>
  <c r="AS135" i="13" s="1"/>
  <c r="DV135" i="13" s="1"/>
  <c r="DZ135" i="13" s="1"/>
  <c r="ED135" i="13" s="1"/>
  <c r="CG135" i="13"/>
  <c r="K136" i="13"/>
  <c r="L136" i="13"/>
  <c r="AN136" i="13" s="1"/>
  <c r="AQ136" i="13" s="1"/>
  <c r="BU136" i="13" s="1"/>
  <c r="M136" i="13"/>
  <c r="AF135" i="13"/>
  <c r="AJ135" i="13" s="1"/>
  <c r="DA135" i="13" s="1"/>
  <c r="Q135" i="13"/>
  <c r="AY135" i="13" s="1"/>
  <c r="R135" i="13"/>
  <c r="BQ135" i="13" s="1"/>
  <c r="S135" i="13"/>
  <c r="CO135" i="13" s="1"/>
  <c r="T135" i="13"/>
  <c r="CY135" i="13" s="1"/>
  <c r="U135" i="13"/>
  <c r="DI135" i="13" s="1"/>
  <c r="V135" i="13"/>
  <c r="W135" i="13"/>
  <c r="X135" i="13"/>
  <c r="Y135" i="13"/>
  <c r="Z135" i="13"/>
  <c r="CJ135" i="13"/>
  <c r="AH135" i="13"/>
  <c r="AL135" i="13" s="1"/>
  <c r="BS135" i="13" s="1"/>
  <c r="AG135" i="13"/>
  <c r="AK135" i="13" s="1"/>
  <c r="DK135" i="13" s="1"/>
  <c r="AE135" i="13"/>
  <c r="AI135" i="13" s="1"/>
  <c r="CQ135" i="13" s="1"/>
  <c r="DZ134" i="12"/>
  <c r="CJ135" i="12"/>
  <c r="CG135" i="12"/>
  <c r="W135" i="12"/>
  <c r="Y135" i="12"/>
  <c r="X135" i="12"/>
  <c r="AM135" i="12"/>
  <c r="BT135" i="12" s="1"/>
  <c r="AR135" i="12"/>
  <c r="AZ135" i="12" s="1"/>
  <c r="M136" i="12"/>
  <c r="L136" i="12"/>
  <c r="AN136" i="12" s="1"/>
  <c r="AP135" i="12"/>
  <c r="AH135" i="12"/>
  <c r="AG135" i="12"/>
  <c r="AF135" i="12"/>
  <c r="AE135" i="12"/>
  <c r="V135" i="12"/>
  <c r="R135" i="12"/>
  <c r="BQ135" i="12" s="1"/>
  <c r="U135" i="12"/>
  <c r="DI135" i="12" s="1"/>
  <c r="Q135" i="12"/>
  <c r="AY135" i="12" s="1"/>
  <c r="S135" i="12"/>
  <c r="CO135" i="12" s="1"/>
  <c r="T135" i="12"/>
  <c r="CY135" i="12" s="1"/>
  <c r="K136" i="12"/>
  <c r="FD43" i="12" l="1"/>
  <c r="FG43" i="12" s="1"/>
  <c r="CM43" i="12"/>
  <c r="CL43" i="12"/>
  <c r="BB44" i="12" s="1"/>
  <c r="DO43" i="13"/>
  <c r="DN43" i="13"/>
  <c r="DP43" i="13"/>
  <c r="DU43" i="13"/>
  <c r="DY43" i="13" s="1"/>
  <c r="EC43" i="13" s="1"/>
  <c r="FD43" i="13" s="1"/>
  <c r="FG43" i="13" s="1"/>
  <c r="CM43" i="13"/>
  <c r="CL43" i="13"/>
  <c r="BB44" i="13" s="1"/>
  <c r="N136" i="13"/>
  <c r="AM136" i="13" s="1"/>
  <c r="BT136" i="13" s="1"/>
  <c r="AO136" i="13"/>
  <c r="AR136" i="13" s="1"/>
  <c r="AZ136" i="13" s="1"/>
  <c r="AA135" i="13"/>
  <c r="CP135" i="13" s="1"/>
  <c r="AB135" i="13"/>
  <c r="CZ135" i="13" s="1"/>
  <c r="AC135" i="13"/>
  <c r="DJ135" i="13" s="1"/>
  <c r="AD135" i="13"/>
  <c r="BR135" i="13" s="1"/>
  <c r="ED134" i="12"/>
  <c r="AA135" i="12"/>
  <c r="CP135" i="12" s="1"/>
  <c r="AB135" i="12"/>
  <c r="CZ135" i="12" s="1"/>
  <c r="AC135" i="12"/>
  <c r="DJ135" i="12" s="1"/>
  <c r="AD135" i="12"/>
  <c r="BR135" i="12" s="1"/>
  <c r="AQ136" i="12"/>
  <c r="BU136" i="12" s="1"/>
  <c r="AS135" i="12"/>
  <c r="DV135" i="12" s="1"/>
  <c r="AO136" i="12"/>
  <c r="AK135" i="12"/>
  <c r="DK135" i="12" s="1"/>
  <c r="AJ135" i="12"/>
  <c r="DA135" i="12" s="1"/>
  <c r="AI135" i="12"/>
  <c r="CQ135" i="12" s="1"/>
  <c r="AL135" i="12"/>
  <c r="BS135" i="12" s="1"/>
  <c r="N136" i="12"/>
  <c r="Z136" i="12" s="1"/>
  <c r="BE44" i="12" l="1"/>
  <c r="H153" i="11"/>
  <c r="H154" i="11"/>
  <c r="H155" i="11"/>
  <c r="H152" i="11"/>
  <c r="BE44" i="13"/>
  <c r="BD44" i="13"/>
  <c r="EQ44" i="13" s="1"/>
  <c r="ES44" i="13" s="1"/>
  <c r="AP136" i="13"/>
  <c r="AS136" i="13" s="1"/>
  <c r="DV136" i="13" s="1"/>
  <c r="DZ136" i="13" s="1"/>
  <c r="ED136" i="13" s="1"/>
  <c r="CG136" i="13"/>
  <c r="K137" i="13"/>
  <c r="L137" i="13"/>
  <c r="AN137" i="13" s="1"/>
  <c r="AQ137" i="13" s="1"/>
  <c r="BU137" i="13" s="1"/>
  <c r="M137" i="13"/>
  <c r="R136" i="13"/>
  <c r="BQ136" i="13" s="1"/>
  <c r="Q136" i="13"/>
  <c r="AY136" i="13" s="1"/>
  <c r="S136" i="13"/>
  <c r="CO136" i="13" s="1"/>
  <c r="T136" i="13"/>
  <c r="CY136" i="13" s="1"/>
  <c r="U136" i="13"/>
  <c r="DI136" i="13" s="1"/>
  <c r="V136" i="13"/>
  <c r="W136" i="13"/>
  <c r="X136" i="13"/>
  <c r="Y136" i="13"/>
  <c r="Z136" i="13"/>
  <c r="CJ136" i="13"/>
  <c r="AH136" i="13"/>
  <c r="AL136" i="13" s="1"/>
  <c r="BS136" i="13" s="1"/>
  <c r="AG136" i="13"/>
  <c r="AK136" i="13" s="1"/>
  <c r="DK136" i="13" s="1"/>
  <c r="AE136" i="13"/>
  <c r="AI136" i="13" s="1"/>
  <c r="CQ136" i="13" s="1"/>
  <c r="AF136" i="13"/>
  <c r="AJ136" i="13" s="1"/>
  <c r="DA136" i="13" s="1"/>
  <c r="DZ135" i="12"/>
  <c r="CJ136" i="12"/>
  <c r="CG136" i="12"/>
  <c r="X136" i="12"/>
  <c r="Y136" i="12"/>
  <c r="W136" i="12"/>
  <c r="AR136" i="12"/>
  <c r="AZ136" i="12" s="1"/>
  <c r="AM136" i="12"/>
  <c r="BT136" i="12" s="1"/>
  <c r="M137" i="12"/>
  <c r="L137" i="12"/>
  <c r="AN137" i="12" s="1"/>
  <c r="AP136" i="12"/>
  <c r="AF136" i="12"/>
  <c r="AE136" i="12"/>
  <c r="AG136" i="12"/>
  <c r="AH136" i="12"/>
  <c r="K137" i="12"/>
  <c r="V136" i="12"/>
  <c r="U136" i="12"/>
  <c r="DI136" i="12" s="1"/>
  <c r="T136" i="12"/>
  <c r="CY136" i="12" s="1"/>
  <c r="S136" i="12"/>
  <c r="CO136" i="12" s="1"/>
  <c r="R136" i="12"/>
  <c r="BQ136" i="12" s="1"/>
  <c r="Q136" i="12"/>
  <c r="AY136" i="12" s="1"/>
  <c r="BC44" i="12" l="1"/>
  <c r="EU44" i="13"/>
  <c r="EX44" i="13" s="1"/>
  <c r="FA44" i="13" s="1"/>
  <c r="EV44" i="13"/>
  <c r="EY44" i="13" s="1"/>
  <c r="FB44" i="13" s="1"/>
  <c r="FF44" i="13" s="1"/>
  <c r="ET44" i="13"/>
  <c r="EW44" i="13" s="1"/>
  <c r="EZ44" i="13" s="1"/>
  <c r="BC44" i="13"/>
  <c r="AO137" i="13"/>
  <c r="AR137" i="13" s="1"/>
  <c r="AZ137" i="13" s="1"/>
  <c r="N137" i="13"/>
  <c r="AA136" i="13"/>
  <c r="CP136" i="13" s="1"/>
  <c r="AB136" i="13"/>
  <c r="CZ136" i="13" s="1"/>
  <c r="AC136" i="13"/>
  <c r="DJ136" i="13" s="1"/>
  <c r="AD136" i="13"/>
  <c r="BR136" i="13" s="1"/>
  <c r="ED135" i="12"/>
  <c r="AA136" i="12"/>
  <c r="CP136" i="12" s="1"/>
  <c r="AB136" i="12"/>
  <c r="CZ136" i="12" s="1"/>
  <c r="AC136" i="12"/>
  <c r="DJ136" i="12" s="1"/>
  <c r="AD136" i="12"/>
  <c r="BR136" i="12" s="1"/>
  <c r="AQ137" i="12"/>
  <c r="BU137" i="12" s="1"/>
  <c r="AS136" i="12"/>
  <c r="DV136" i="12" s="1"/>
  <c r="AO137" i="12"/>
  <c r="AJ136" i="12"/>
  <c r="DA136" i="12" s="1"/>
  <c r="AI136" i="12"/>
  <c r="CQ136" i="12" s="1"/>
  <c r="AK136" i="12"/>
  <c r="DK136" i="12" s="1"/>
  <c r="AL136" i="12"/>
  <c r="BS136" i="12" s="1"/>
  <c r="N137" i="12"/>
  <c r="Z137" i="12" s="1"/>
  <c r="BH44" i="12" l="1"/>
  <c r="BF44" i="12"/>
  <c r="BG44" i="12"/>
  <c r="BK44" i="12"/>
  <c r="BI44" i="12"/>
  <c r="BK44" i="13"/>
  <c r="BG44" i="13"/>
  <c r="BH44" i="13"/>
  <c r="BF44" i="13"/>
  <c r="BI44" i="13"/>
  <c r="AP137" i="13"/>
  <c r="AS137" i="13" s="1"/>
  <c r="DV137" i="13" s="1"/>
  <c r="DZ137" i="13" s="1"/>
  <c r="ED137" i="13" s="1"/>
  <c r="CG137" i="13"/>
  <c r="K138" i="13"/>
  <c r="L138" i="13"/>
  <c r="AN138" i="13" s="1"/>
  <c r="AQ138" i="13" s="1"/>
  <c r="BU138" i="13" s="1"/>
  <c r="M138" i="13"/>
  <c r="AE137" i="13"/>
  <c r="AI137" i="13" s="1"/>
  <c r="CQ137" i="13" s="1"/>
  <c r="AM137" i="13"/>
  <c r="BT137" i="13" s="1"/>
  <c r="AG137" i="13"/>
  <c r="AK137" i="13" s="1"/>
  <c r="DK137" i="13" s="1"/>
  <c r="AF137" i="13"/>
  <c r="AJ137" i="13" s="1"/>
  <c r="DA137" i="13" s="1"/>
  <c r="Q137" i="13"/>
  <c r="AY137" i="13" s="1"/>
  <c r="R137" i="13"/>
  <c r="BQ137" i="13" s="1"/>
  <c r="S137" i="13"/>
  <c r="CO137" i="13" s="1"/>
  <c r="T137" i="13"/>
  <c r="CY137" i="13" s="1"/>
  <c r="U137" i="13"/>
  <c r="DI137" i="13" s="1"/>
  <c r="V137" i="13"/>
  <c r="W137" i="13"/>
  <c r="AA137" i="13" s="1"/>
  <c r="CP137" i="13" s="1"/>
  <c r="X137" i="13"/>
  <c r="Y137" i="13"/>
  <c r="AC137" i="13" s="1"/>
  <c r="DJ137" i="13" s="1"/>
  <c r="Z137" i="13"/>
  <c r="AD137" i="13" s="1"/>
  <c r="BR137" i="13" s="1"/>
  <c r="CJ137" i="13"/>
  <c r="AH137" i="13"/>
  <c r="AL137" i="13" s="1"/>
  <c r="BS137" i="13" s="1"/>
  <c r="DZ136" i="12"/>
  <c r="CJ137" i="12"/>
  <c r="CG137" i="12"/>
  <c r="Y137" i="12"/>
  <c r="X137" i="12"/>
  <c r="W137" i="12"/>
  <c r="AR137" i="12"/>
  <c r="AZ137" i="12" s="1"/>
  <c r="AM137" i="12"/>
  <c r="BT137" i="12" s="1"/>
  <c r="M138" i="12"/>
  <c r="L138" i="12"/>
  <c r="AN138" i="12" s="1"/>
  <c r="AP137" i="12"/>
  <c r="AH137" i="12"/>
  <c r="AG137" i="12"/>
  <c r="AF137" i="12"/>
  <c r="AE137" i="12"/>
  <c r="S137" i="12"/>
  <c r="CO137" i="12" s="1"/>
  <c r="Q137" i="12"/>
  <c r="AY137" i="12" s="1"/>
  <c r="V137" i="12"/>
  <c r="R137" i="12"/>
  <c r="BQ137" i="12" s="1"/>
  <c r="K138" i="12"/>
  <c r="U137" i="12"/>
  <c r="DI137" i="12" s="1"/>
  <c r="T137" i="12"/>
  <c r="CY137" i="12" s="1"/>
  <c r="BO44" i="12" l="1"/>
  <c r="DL44" i="12" s="1"/>
  <c r="DM44" i="12" s="1"/>
  <c r="BL44" i="12"/>
  <c r="BW44" i="12" s="1"/>
  <c r="BX44" i="12" s="1"/>
  <c r="BM44" i="12"/>
  <c r="CR44" i="12" s="1"/>
  <c r="BN44" i="12"/>
  <c r="DB44" i="12" s="1"/>
  <c r="DC44" i="12" s="1"/>
  <c r="BM44" i="13"/>
  <c r="CR44" i="13" s="1"/>
  <c r="CS44" i="13" s="1"/>
  <c r="BO44" i="13"/>
  <c r="DL44" i="13" s="1"/>
  <c r="DM44" i="13" s="1"/>
  <c r="BN44" i="13"/>
  <c r="DB44" i="13" s="1"/>
  <c r="DC44" i="13" s="1"/>
  <c r="BL44" i="13"/>
  <c r="BW44" i="13" s="1"/>
  <c r="N138" i="13"/>
  <c r="AM138" i="13" s="1"/>
  <c r="BT138" i="13" s="1"/>
  <c r="AO138" i="13"/>
  <c r="AR138" i="13" s="1"/>
  <c r="AZ138" i="13" s="1"/>
  <c r="AB137" i="13"/>
  <c r="CZ137" i="13" s="1"/>
  <c r="ED136" i="12"/>
  <c r="AA137" i="12"/>
  <c r="CP137" i="12" s="1"/>
  <c r="AB137" i="12"/>
  <c r="CZ137" i="12" s="1"/>
  <c r="AC137" i="12"/>
  <c r="DJ137" i="12" s="1"/>
  <c r="AD137" i="12"/>
  <c r="BR137" i="12" s="1"/>
  <c r="AQ138" i="12"/>
  <c r="BU138" i="12" s="1"/>
  <c r="AS137" i="12"/>
  <c r="DV137" i="12" s="1"/>
  <c r="AO138" i="12"/>
  <c r="AK137" i="12"/>
  <c r="DK137" i="12" s="1"/>
  <c r="AJ137" i="12"/>
  <c r="DA137" i="12" s="1"/>
  <c r="AI137" i="12"/>
  <c r="CQ137" i="12" s="1"/>
  <c r="AL137" i="12"/>
  <c r="BS137" i="12" s="1"/>
  <c r="N138" i="12"/>
  <c r="Z138" i="12" s="1"/>
  <c r="DP44" i="12" l="1"/>
  <c r="DO44" i="12"/>
  <c r="DU44" i="12"/>
  <c r="DY44" i="12" s="1"/>
  <c r="EC44" i="12" s="1"/>
  <c r="G42" i="11" s="1"/>
  <c r="DN44" i="12"/>
  <c r="DQ44" i="12"/>
  <c r="CD44" i="12"/>
  <c r="CI44" i="12"/>
  <c r="CK44" i="12" s="1"/>
  <c r="CB44" i="12"/>
  <c r="CA44" i="12"/>
  <c r="CH44" i="12"/>
  <c r="CC44" i="12"/>
  <c r="BZ44" i="12"/>
  <c r="BY44" i="12"/>
  <c r="CE44" i="12"/>
  <c r="CS44" i="12"/>
  <c r="CW44" i="12" s="1"/>
  <c r="DT44" i="12"/>
  <c r="DX44" i="12" s="1"/>
  <c r="EB44" i="12" s="1"/>
  <c r="DE44" i="12"/>
  <c r="DF44" i="12"/>
  <c r="DD44" i="12"/>
  <c r="DG44" i="12"/>
  <c r="CT44" i="13"/>
  <c r="DS44" i="13"/>
  <c r="DW44" i="13" s="1"/>
  <c r="EA44" i="13" s="1"/>
  <c r="CV44" i="13"/>
  <c r="CU44" i="13"/>
  <c r="CW44" i="13"/>
  <c r="DO44" i="13"/>
  <c r="DN44" i="13"/>
  <c r="DP44" i="13"/>
  <c r="DU44" i="13"/>
  <c r="DY44" i="13" s="1"/>
  <c r="EC44" i="13" s="1"/>
  <c r="FD44" i="13" s="1"/>
  <c r="FG44" i="13" s="1"/>
  <c r="DQ44" i="13"/>
  <c r="DT44" i="13"/>
  <c r="DX44" i="13" s="1"/>
  <c r="EB44" i="13" s="1"/>
  <c r="DF44" i="13"/>
  <c r="DE44" i="13"/>
  <c r="DD44" i="13"/>
  <c r="DG44" i="13"/>
  <c r="BX44" i="13"/>
  <c r="CE44" i="13" s="1"/>
  <c r="AP138" i="13"/>
  <c r="AS138" i="13" s="1"/>
  <c r="DV138" i="13" s="1"/>
  <c r="DZ138" i="13" s="1"/>
  <c r="ED138" i="13" s="1"/>
  <c r="CG138" i="13"/>
  <c r="K139" i="13"/>
  <c r="L139" i="13"/>
  <c r="AN139" i="13" s="1"/>
  <c r="AQ139" i="13" s="1"/>
  <c r="BU139" i="13" s="1"/>
  <c r="M139" i="13"/>
  <c r="AG138" i="13"/>
  <c r="AK138" i="13" s="1"/>
  <c r="DK138" i="13" s="1"/>
  <c r="AE138" i="13"/>
  <c r="AI138" i="13" s="1"/>
  <c r="CQ138" i="13" s="1"/>
  <c r="Q138" i="13"/>
  <c r="AY138" i="13" s="1"/>
  <c r="R138" i="13"/>
  <c r="BQ138" i="13" s="1"/>
  <c r="S138" i="13"/>
  <c r="CO138" i="13" s="1"/>
  <c r="T138" i="13"/>
  <c r="CY138" i="13" s="1"/>
  <c r="U138" i="13"/>
  <c r="DI138" i="13" s="1"/>
  <c r="V138" i="13"/>
  <c r="W138" i="13"/>
  <c r="AA138" i="13" s="1"/>
  <c r="CP138" i="13" s="1"/>
  <c r="X138" i="13"/>
  <c r="AB138" i="13" s="1"/>
  <c r="CZ138" i="13" s="1"/>
  <c r="Y138" i="13"/>
  <c r="AC138" i="13" s="1"/>
  <c r="DJ138" i="13" s="1"/>
  <c r="Z138" i="13"/>
  <c r="CJ138" i="13"/>
  <c r="AH138" i="13"/>
  <c r="AL138" i="13" s="1"/>
  <c r="BS138" i="13" s="1"/>
  <c r="AF138" i="13"/>
  <c r="AJ138" i="13" s="1"/>
  <c r="DA138" i="13" s="1"/>
  <c r="DZ137" i="12"/>
  <c r="CJ138" i="12"/>
  <c r="CG138" i="12"/>
  <c r="W138" i="12"/>
  <c r="Y138" i="12"/>
  <c r="X138" i="12"/>
  <c r="AR138" i="12"/>
  <c r="AZ138" i="12" s="1"/>
  <c r="AM138" i="12"/>
  <c r="BT138" i="12" s="1"/>
  <c r="M139" i="12"/>
  <c r="L139" i="12"/>
  <c r="AN139" i="12" s="1"/>
  <c r="AP138" i="12"/>
  <c r="AE138" i="12"/>
  <c r="AF138" i="12"/>
  <c r="AH138" i="12"/>
  <c r="AG138" i="12"/>
  <c r="T138" i="12"/>
  <c r="CY138" i="12" s="1"/>
  <c r="R138" i="12"/>
  <c r="BQ138" i="12" s="1"/>
  <c r="S138" i="12"/>
  <c r="CO138" i="12" s="1"/>
  <c r="U138" i="12"/>
  <c r="DI138" i="12" s="1"/>
  <c r="Q138" i="12"/>
  <c r="AY138" i="12" s="1"/>
  <c r="K139" i="12"/>
  <c r="V138" i="12"/>
  <c r="FD44" i="12" l="1"/>
  <c r="FG44" i="12" s="1"/>
  <c r="CM44" i="12"/>
  <c r="CL44" i="12"/>
  <c r="BB45" i="12" s="1"/>
  <c r="CV44" i="12"/>
  <c r="CT44" i="12"/>
  <c r="DS44" i="12"/>
  <c r="DW44" i="12" s="1"/>
  <c r="EA44" i="12" s="1"/>
  <c r="CU44" i="12"/>
  <c r="H156" i="11"/>
  <c r="H159" i="11"/>
  <c r="H158" i="11"/>
  <c r="H157" i="11"/>
  <c r="BZ44" i="13"/>
  <c r="CC44" i="13"/>
  <c r="CH44" i="13"/>
  <c r="CI44" i="13"/>
  <c r="CK44" i="13" s="1"/>
  <c r="BY44" i="13"/>
  <c r="CD44" i="13"/>
  <c r="CA44" i="13"/>
  <c r="CB44" i="13"/>
  <c r="N139" i="13"/>
  <c r="AM139" i="13" s="1"/>
  <c r="BT139" i="13" s="1"/>
  <c r="AO139" i="13"/>
  <c r="AR139" i="13" s="1"/>
  <c r="AZ139" i="13" s="1"/>
  <c r="AD138" i="13"/>
  <c r="BR138" i="13" s="1"/>
  <c r="ED137" i="12"/>
  <c r="AA138" i="12"/>
  <c r="CP138" i="12" s="1"/>
  <c r="AB138" i="12"/>
  <c r="CZ138" i="12" s="1"/>
  <c r="AC138" i="12"/>
  <c r="DJ138" i="12" s="1"/>
  <c r="AD138" i="12"/>
  <c r="BR138" i="12" s="1"/>
  <c r="AQ139" i="12"/>
  <c r="BU139" i="12" s="1"/>
  <c r="AS138" i="12"/>
  <c r="DV138" i="12" s="1"/>
  <c r="AO139" i="12"/>
  <c r="AI138" i="12"/>
  <c r="CQ138" i="12" s="1"/>
  <c r="AJ138" i="12"/>
  <c r="DA138" i="12" s="1"/>
  <c r="AK138" i="12"/>
  <c r="DK138" i="12" s="1"/>
  <c r="AL138" i="12"/>
  <c r="BS138" i="12" s="1"/>
  <c r="N139" i="12"/>
  <c r="Z139" i="12" s="1"/>
  <c r="BE45" i="12" l="1"/>
  <c r="CM44" i="13"/>
  <c r="CL44" i="13"/>
  <c r="BB45" i="13" s="1"/>
  <c r="AP139" i="13"/>
  <c r="AS139" i="13" s="1"/>
  <c r="DV139" i="13" s="1"/>
  <c r="DZ139" i="13" s="1"/>
  <c r="ED139" i="13" s="1"/>
  <c r="CG139" i="13"/>
  <c r="K140" i="13"/>
  <c r="L140" i="13"/>
  <c r="AN140" i="13" s="1"/>
  <c r="AQ140" i="13" s="1"/>
  <c r="BU140" i="13" s="1"/>
  <c r="M140" i="13"/>
  <c r="AG139" i="13"/>
  <c r="AK139" i="13" s="1"/>
  <c r="DK139" i="13" s="1"/>
  <c r="AE139" i="13"/>
  <c r="AI139" i="13" s="1"/>
  <c r="CQ139" i="13" s="1"/>
  <c r="Q139" i="13"/>
  <c r="AY139" i="13" s="1"/>
  <c r="R139" i="13"/>
  <c r="BQ139" i="13" s="1"/>
  <c r="S139" i="13"/>
  <c r="CO139" i="13" s="1"/>
  <c r="T139" i="13"/>
  <c r="CY139" i="13" s="1"/>
  <c r="U139" i="13"/>
  <c r="DI139" i="13" s="1"/>
  <c r="V139" i="13"/>
  <c r="W139" i="13"/>
  <c r="X139" i="13"/>
  <c r="Y139" i="13"/>
  <c r="Z139" i="13"/>
  <c r="CJ139" i="13"/>
  <c r="AH139" i="13"/>
  <c r="AL139" i="13" s="1"/>
  <c r="BS139" i="13" s="1"/>
  <c r="AF139" i="13"/>
  <c r="AJ139" i="13" s="1"/>
  <c r="DA139" i="13" s="1"/>
  <c r="DZ138" i="12"/>
  <c r="CJ139" i="12"/>
  <c r="CG139" i="12"/>
  <c r="X139" i="12"/>
  <c r="Y139" i="12"/>
  <c r="W139" i="12"/>
  <c r="AR139" i="12"/>
  <c r="AZ139" i="12" s="1"/>
  <c r="AM139" i="12"/>
  <c r="BT139" i="12" s="1"/>
  <c r="M140" i="12"/>
  <c r="L140" i="12"/>
  <c r="AN140" i="12" s="1"/>
  <c r="AP139" i="12"/>
  <c r="AF139" i="12"/>
  <c r="AG139" i="12"/>
  <c r="AE139" i="12"/>
  <c r="AH139" i="12"/>
  <c r="K140" i="12"/>
  <c r="Q139" i="12"/>
  <c r="AY139" i="12" s="1"/>
  <c r="V139" i="12"/>
  <c r="U139" i="12"/>
  <c r="DI139" i="12" s="1"/>
  <c r="T139" i="12"/>
  <c r="CY139" i="12" s="1"/>
  <c r="S139" i="12"/>
  <c r="CO139" i="12" s="1"/>
  <c r="R139" i="12"/>
  <c r="BQ139" i="12" s="1"/>
  <c r="BC45" i="12" l="1"/>
  <c r="BD45" i="13"/>
  <c r="EQ45" i="13" s="1"/>
  <c r="ES45" i="13" s="1"/>
  <c r="BE45" i="13"/>
  <c r="N140" i="13"/>
  <c r="AO140" i="13"/>
  <c r="AR140" i="13" s="1"/>
  <c r="AZ140" i="13" s="1"/>
  <c r="AA139" i="13"/>
  <c r="CP139" i="13" s="1"/>
  <c r="AB139" i="13"/>
  <c r="CZ139" i="13" s="1"/>
  <c r="AC139" i="13"/>
  <c r="DJ139" i="13" s="1"/>
  <c r="AD139" i="13"/>
  <c r="BR139" i="13" s="1"/>
  <c r="ED138" i="12"/>
  <c r="AA139" i="12"/>
  <c r="CP139" i="12" s="1"/>
  <c r="AB139" i="12"/>
  <c r="CZ139" i="12" s="1"/>
  <c r="AC139" i="12"/>
  <c r="DJ139" i="12" s="1"/>
  <c r="AD139" i="12"/>
  <c r="BR139" i="12" s="1"/>
  <c r="AQ140" i="12"/>
  <c r="BU140" i="12" s="1"/>
  <c r="AS139" i="12"/>
  <c r="DV139" i="12" s="1"/>
  <c r="AO140" i="12"/>
  <c r="AJ139" i="12"/>
  <c r="DA139" i="12" s="1"/>
  <c r="AK139" i="12"/>
  <c r="DK139" i="12" s="1"/>
  <c r="AI139" i="12"/>
  <c r="CQ139" i="12" s="1"/>
  <c r="AL139" i="12"/>
  <c r="BS139" i="12" s="1"/>
  <c r="N140" i="12"/>
  <c r="Z140" i="12" s="1"/>
  <c r="BG45" i="12" l="1"/>
  <c r="BF45" i="12"/>
  <c r="BI45" i="12"/>
  <c r="BH45" i="12"/>
  <c r="BK45" i="12"/>
  <c r="BC45" i="13"/>
  <c r="EV45" i="13"/>
  <c r="EY45" i="13" s="1"/>
  <c r="FB45" i="13" s="1"/>
  <c r="FF45" i="13" s="1"/>
  <c r="EU45" i="13"/>
  <c r="EX45" i="13" s="1"/>
  <c r="FA45" i="13" s="1"/>
  <c r="ET45" i="13"/>
  <c r="EW45" i="13" s="1"/>
  <c r="EZ45" i="13" s="1"/>
  <c r="AM140" i="13"/>
  <c r="BT140" i="13" s="1"/>
  <c r="AF140" i="13"/>
  <c r="AJ140" i="13" s="1"/>
  <c r="DA140" i="13" s="1"/>
  <c r="AP140" i="13"/>
  <c r="AS140" i="13" s="1"/>
  <c r="DV140" i="13" s="1"/>
  <c r="DZ140" i="13" s="1"/>
  <c r="ED140" i="13" s="1"/>
  <c r="CG140" i="13"/>
  <c r="K141" i="13"/>
  <c r="L141" i="13"/>
  <c r="AN141" i="13" s="1"/>
  <c r="AQ141" i="13" s="1"/>
  <c r="BU141" i="13" s="1"/>
  <c r="M141" i="13"/>
  <c r="AE140" i="13"/>
  <c r="AI140" i="13" s="1"/>
  <c r="CQ140" i="13" s="1"/>
  <c r="Q140" i="13"/>
  <c r="AY140" i="13" s="1"/>
  <c r="R140" i="13"/>
  <c r="BQ140" i="13" s="1"/>
  <c r="S140" i="13"/>
  <c r="CO140" i="13" s="1"/>
  <c r="T140" i="13"/>
  <c r="CY140" i="13" s="1"/>
  <c r="U140" i="13"/>
  <c r="DI140" i="13" s="1"/>
  <c r="V140" i="13"/>
  <c r="W140" i="13"/>
  <c r="AA140" i="13" s="1"/>
  <c r="CP140" i="13" s="1"/>
  <c r="X140" i="13"/>
  <c r="AB140" i="13" s="1"/>
  <c r="CZ140" i="13" s="1"/>
  <c r="Y140" i="13"/>
  <c r="AC140" i="13" s="1"/>
  <c r="DJ140" i="13" s="1"/>
  <c r="Z140" i="13"/>
  <c r="AD140" i="13" s="1"/>
  <c r="BR140" i="13" s="1"/>
  <c r="CJ140" i="13"/>
  <c r="AH140" i="13"/>
  <c r="AL140" i="13" s="1"/>
  <c r="BS140" i="13" s="1"/>
  <c r="AG140" i="13"/>
  <c r="AK140" i="13" s="1"/>
  <c r="DK140" i="13" s="1"/>
  <c r="DZ139" i="12"/>
  <c r="CJ140" i="12"/>
  <c r="CG140" i="12"/>
  <c r="X140" i="12"/>
  <c r="Y140" i="12"/>
  <c r="W140" i="12"/>
  <c r="AR140" i="12"/>
  <c r="AZ140" i="12" s="1"/>
  <c r="AM140" i="12"/>
  <c r="BT140" i="12" s="1"/>
  <c r="M141" i="12"/>
  <c r="L141" i="12"/>
  <c r="AN141" i="12" s="1"/>
  <c r="AP140" i="12"/>
  <c r="AH140" i="12"/>
  <c r="AG140" i="12"/>
  <c r="AF140" i="12"/>
  <c r="AE140" i="12"/>
  <c r="K141" i="12"/>
  <c r="T140" i="12"/>
  <c r="CY140" i="12" s="1"/>
  <c r="S140" i="12"/>
  <c r="CO140" i="12" s="1"/>
  <c r="R140" i="12"/>
  <c r="BQ140" i="12" s="1"/>
  <c r="Q140" i="12"/>
  <c r="AY140" i="12" s="1"/>
  <c r="V140" i="12"/>
  <c r="U140" i="12"/>
  <c r="DI140" i="12" s="1"/>
  <c r="BL45" i="12" l="1"/>
  <c r="BW45" i="12" s="1"/>
  <c r="BX45" i="12" s="1"/>
  <c r="BN45" i="12"/>
  <c r="DB45" i="12" s="1"/>
  <c r="DC45" i="12" s="1"/>
  <c r="BO45" i="12"/>
  <c r="DL45" i="12" s="1"/>
  <c r="DM45" i="12" s="1"/>
  <c r="BM45" i="12"/>
  <c r="CR45" i="12" s="1"/>
  <c r="CS45" i="12" s="1"/>
  <c r="BG45" i="13"/>
  <c r="BF45" i="13"/>
  <c r="BH45" i="13"/>
  <c r="BI45" i="13"/>
  <c r="BK45" i="13"/>
  <c r="AO141" i="13"/>
  <c r="AR141" i="13" s="1"/>
  <c r="AZ141" i="13" s="1"/>
  <c r="N141" i="13"/>
  <c r="ED139" i="12"/>
  <c r="AA140" i="12"/>
  <c r="CP140" i="12" s="1"/>
  <c r="AB140" i="12"/>
  <c r="CZ140" i="12" s="1"/>
  <c r="AC140" i="12"/>
  <c r="DJ140" i="12" s="1"/>
  <c r="AD140" i="12"/>
  <c r="BR140" i="12" s="1"/>
  <c r="AQ141" i="12"/>
  <c r="BU141" i="12" s="1"/>
  <c r="AS140" i="12"/>
  <c r="DV140" i="12" s="1"/>
  <c r="AO141" i="12"/>
  <c r="AK140" i="12"/>
  <c r="DK140" i="12" s="1"/>
  <c r="AJ140" i="12"/>
  <c r="DA140" i="12" s="1"/>
  <c r="AI140" i="12"/>
  <c r="CQ140" i="12" s="1"/>
  <c r="AL140" i="12"/>
  <c r="BS140" i="12" s="1"/>
  <c r="N141" i="12"/>
  <c r="Z141" i="12" s="1"/>
  <c r="CC45" i="12" l="1"/>
  <c r="CI45" i="12"/>
  <c r="CK45" i="12" s="1"/>
  <c r="BZ45" i="12"/>
  <c r="CA45" i="12"/>
  <c r="CD45" i="12"/>
  <c r="CH45" i="12"/>
  <c r="BY45" i="12"/>
  <c r="CB45" i="12"/>
  <c r="CE45" i="12"/>
  <c r="DT45" i="12"/>
  <c r="DX45" i="12" s="1"/>
  <c r="EB45" i="12" s="1"/>
  <c r="DE45" i="12"/>
  <c r="DF45" i="12"/>
  <c r="DD45" i="12"/>
  <c r="DG45" i="12"/>
  <c r="DP45" i="12"/>
  <c r="DU45" i="12"/>
  <c r="DY45" i="12" s="1"/>
  <c r="EC45" i="12" s="1"/>
  <c r="DN45" i="12"/>
  <c r="DO45" i="12"/>
  <c r="DQ45" i="12"/>
  <c r="CV45" i="12"/>
  <c r="DS45" i="12"/>
  <c r="DW45" i="12" s="1"/>
  <c r="EA45" i="12" s="1"/>
  <c r="CT45" i="12"/>
  <c r="CU45" i="12"/>
  <c r="CW45" i="12"/>
  <c r="BN45" i="13"/>
  <c r="DB45" i="13" s="1"/>
  <c r="BL45" i="13"/>
  <c r="BW45" i="13" s="1"/>
  <c r="BO45" i="13"/>
  <c r="DL45" i="13" s="1"/>
  <c r="BM45" i="13"/>
  <c r="CR45" i="13" s="1"/>
  <c r="R141" i="13"/>
  <c r="BQ141" i="13" s="1"/>
  <c r="AF141" i="13"/>
  <c r="AJ141" i="13" s="1"/>
  <c r="DA141" i="13" s="1"/>
  <c r="AP141" i="13"/>
  <c r="AS141" i="13" s="1"/>
  <c r="DV141" i="13" s="1"/>
  <c r="DZ141" i="13" s="1"/>
  <c r="ED141" i="13" s="1"/>
  <c r="CG141" i="13"/>
  <c r="K142" i="13"/>
  <c r="L142" i="13"/>
  <c r="AN142" i="13" s="1"/>
  <c r="AQ142" i="13" s="1"/>
  <c r="BU142" i="13" s="1"/>
  <c r="M142" i="13"/>
  <c r="Q141" i="13"/>
  <c r="AY141" i="13" s="1"/>
  <c r="T141" i="13"/>
  <c r="CY141" i="13" s="1"/>
  <c r="Y141" i="13"/>
  <c r="AM141" i="13"/>
  <c r="BT141" i="13" s="1"/>
  <c r="U141" i="13"/>
  <c r="DI141" i="13" s="1"/>
  <c r="X141" i="13"/>
  <c r="AB141" i="13" s="1"/>
  <c r="CZ141" i="13" s="1"/>
  <c r="CJ141" i="13"/>
  <c r="S141" i="13"/>
  <c r="CO141" i="13" s="1"/>
  <c r="V141" i="13"/>
  <c r="W141" i="13"/>
  <c r="Z141" i="13"/>
  <c r="AH141" i="13"/>
  <c r="AL141" i="13" s="1"/>
  <c r="BS141" i="13" s="1"/>
  <c r="AG141" i="13"/>
  <c r="AK141" i="13" s="1"/>
  <c r="DK141" i="13" s="1"/>
  <c r="AE141" i="13"/>
  <c r="AI141" i="13" s="1"/>
  <c r="CQ141" i="13" s="1"/>
  <c r="DZ140" i="12"/>
  <c r="CJ141" i="12"/>
  <c r="CG141" i="12"/>
  <c r="Y141" i="12"/>
  <c r="W141" i="12"/>
  <c r="X141" i="12"/>
  <c r="AR141" i="12"/>
  <c r="AZ141" i="12" s="1"/>
  <c r="AM141" i="12"/>
  <c r="BT141" i="12" s="1"/>
  <c r="M142" i="12"/>
  <c r="L142" i="12"/>
  <c r="AN142" i="12" s="1"/>
  <c r="AP141" i="12"/>
  <c r="AF141" i="12"/>
  <c r="AE141" i="12"/>
  <c r="AG141" i="12"/>
  <c r="AH141" i="12"/>
  <c r="K142" i="12"/>
  <c r="V141" i="12"/>
  <c r="U141" i="12"/>
  <c r="DI141" i="12" s="1"/>
  <c r="T141" i="12"/>
  <c r="CY141" i="12" s="1"/>
  <c r="S141" i="12"/>
  <c r="CO141" i="12" s="1"/>
  <c r="R141" i="12"/>
  <c r="BQ141" i="12" s="1"/>
  <c r="Q141" i="12"/>
  <c r="AY141" i="12" s="1"/>
  <c r="FD45" i="12" l="1"/>
  <c r="FG45" i="12" s="1"/>
  <c r="CL45" i="12"/>
  <c r="BB46" i="12" s="1"/>
  <c r="CM45" i="12"/>
  <c r="BX45" i="13"/>
  <c r="CE45" i="13" s="1"/>
  <c r="DC45" i="13"/>
  <c r="DG45" i="13" s="1"/>
  <c r="DM45" i="13"/>
  <c r="DQ45" i="13" s="1"/>
  <c r="CS45" i="13"/>
  <c r="CW45" i="13" s="1"/>
  <c r="AO142" i="13"/>
  <c r="AR142" i="13" s="1"/>
  <c r="AZ142" i="13" s="1"/>
  <c r="N142" i="13"/>
  <c r="AC141" i="13"/>
  <c r="DJ141" i="13" s="1"/>
  <c r="AA141" i="13"/>
  <c r="CP141" i="13" s="1"/>
  <c r="AD141" i="13"/>
  <c r="BR141" i="13" s="1"/>
  <c r="ED140" i="12"/>
  <c r="AA141" i="12"/>
  <c r="CP141" i="12" s="1"/>
  <c r="AB141" i="12"/>
  <c r="CZ141" i="12" s="1"/>
  <c r="AC141" i="12"/>
  <c r="DJ141" i="12" s="1"/>
  <c r="AD141" i="12"/>
  <c r="BR141" i="12" s="1"/>
  <c r="AQ142" i="12"/>
  <c r="BU142" i="12" s="1"/>
  <c r="AS141" i="12"/>
  <c r="DV141" i="12" s="1"/>
  <c r="AO142" i="12"/>
  <c r="AJ141" i="12"/>
  <c r="DA141" i="12" s="1"/>
  <c r="AI141" i="12"/>
  <c r="CQ141" i="12" s="1"/>
  <c r="AK141" i="12"/>
  <c r="DK141" i="12" s="1"/>
  <c r="AL141" i="12"/>
  <c r="BS141" i="12" s="1"/>
  <c r="N142" i="12"/>
  <c r="Z142" i="12" s="1"/>
  <c r="BE46" i="12" l="1"/>
  <c r="BZ45" i="13"/>
  <c r="BY45" i="13"/>
  <c r="CB45" i="13"/>
  <c r="CC45" i="13"/>
  <c r="CI45" i="13"/>
  <c r="CK45" i="13" s="1"/>
  <c r="CD45" i="13"/>
  <c r="CA45" i="13"/>
  <c r="CH45" i="13"/>
  <c r="DU45" i="13"/>
  <c r="DY45" i="13" s="1"/>
  <c r="EC45" i="13" s="1"/>
  <c r="FD45" i="13" s="1"/>
  <c r="FG45" i="13" s="1"/>
  <c r="DN45" i="13"/>
  <c r="DD45" i="13"/>
  <c r="DE45" i="13"/>
  <c r="DF45" i="13"/>
  <c r="DT45" i="13"/>
  <c r="DX45" i="13" s="1"/>
  <c r="EB45" i="13" s="1"/>
  <c r="DP45" i="13"/>
  <c r="DO45" i="13"/>
  <c r="CV45" i="13"/>
  <c r="CU45" i="13"/>
  <c r="DS45" i="13"/>
  <c r="DW45" i="13" s="1"/>
  <c r="EA45" i="13" s="1"/>
  <c r="CT45" i="13"/>
  <c r="AF142" i="13"/>
  <c r="AJ142" i="13" s="1"/>
  <c r="DA142" i="13" s="1"/>
  <c r="Z142" i="13"/>
  <c r="AH142" i="13"/>
  <c r="AL142" i="13" s="1"/>
  <c r="BS142" i="13" s="1"/>
  <c r="AP142" i="13"/>
  <c r="AS142" i="13" s="1"/>
  <c r="DV142" i="13" s="1"/>
  <c r="DZ142" i="13" s="1"/>
  <c r="ED142" i="13" s="1"/>
  <c r="K143" i="13"/>
  <c r="L143" i="13"/>
  <c r="AN143" i="13" s="1"/>
  <c r="AQ143" i="13" s="1"/>
  <c r="BU143" i="13" s="1"/>
  <c r="M143" i="13"/>
  <c r="CG142" i="13"/>
  <c r="AM142" i="13"/>
  <c r="BT142" i="13" s="1"/>
  <c r="Q142" i="13"/>
  <c r="AY142" i="13" s="1"/>
  <c r="R142" i="13"/>
  <c r="BQ142" i="13" s="1"/>
  <c r="S142" i="13"/>
  <c r="CO142" i="13" s="1"/>
  <c r="T142" i="13"/>
  <c r="CY142" i="13" s="1"/>
  <c r="U142" i="13"/>
  <c r="DI142" i="13" s="1"/>
  <c r="V142" i="13"/>
  <c r="W142" i="13"/>
  <c r="X142" i="13"/>
  <c r="Y142" i="13"/>
  <c r="CJ142" i="13"/>
  <c r="AG142" i="13"/>
  <c r="AK142" i="13" s="1"/>
  <c r="DK142" i="13" s="1"/>
  <c r="AE142" i="13"/>
  <c r="AI142" i="13" s="1"/>
  <c r="CQ142" i="13" s="1"/>
  <c r="DZ141" i="12"/>
  <c r="CJ142" i="12"/>
  <c r="CG142" i="12"/>
  <c r="W142" i="12"/>
  <c r="X142" i="12"/>
  <c r="Y142" i="12"/>
  <c r="AM142" i="12"/>
  <c r="BT142" i="12" s="1"/>
  <c r="AR142" i="12"/>
  <c r="AZ142" i="12" s="1"/>
  <c r="M143" i="12"/>
  <c r="L143" i="12"/>
  <c r="AN143" i="12" s="1"/>
  <c r="AP142" i="12"/>
  <c r="AF142" i="12"/>
  <c r="AG142" i="12"/>
  <c r="AH142" i="12"/>
  <c r="AE142" i="12"/>
  <c r="S142" i="12"/>
  <c r="CO142" i="12" s="1"/>
  <c r="R142" i="12"/>
  <c r="BQ142" i="12" s="1"/>
  <c r="Q142" i="12"/>
  <c r="AY142" i="12" s="1"/>
  <c r="K143" i="12"/>
  <c r="V142" i="12"/>
  <c r="U142" i="12"/>
  <c r="DI142" i="12" s="1"/>
  <c r="T142" i="12"/>
  <c r="CY142" i="12" s="1"/>
  <c r="BC46" i="12" l="1"/>
  <c r="CM45" i="13"/>
  <c r="CL45" i="13"/>
  <c r="BB46" i="13" s="1"/>
  <c r="H162" i="11"/>
  <c r="H163" i="11"/>
  <c r="H161" i="11"/>
  <c r="H164" i="11"/>
  <c r="H160" i="11"/>
  <c r="N143" i="13"/>
  <c r="AO143" i="13"/>
  <c r="AR143" i="13" s="1"/>
  <c r="AZ143" i="13" s="1"/>
  <c r="AD142" i="13"/>
  <c r="BR142" i="13" s="1"/>
  <c r="AA142" i="13"/>
  <c r="CP142" i="13" s="1"/>
  <c r="AB142" i="13"/>
  <c r="CZ142" i="13" s="1"/>
  <c r="AC142" i="13"/>
  <c r="DJ142" i="13" s="1"/>
  <c r="ED141" i="12"/>
  <c r="AA142" i="12"/>
  <c r="CP142" i="12" s="1"/>
  <c r="AB142" i="12"/>
  <c r="CZ142" i="12" s="1"/>
  <c r="AC142" i="12"/>
  <c r="DJ142" i="12" s="1"/>
  <c r="AD142" i="12"/>
  <c r="BR142" i="12" s="1"/>
  <c r="AQ143" i="12"/>
  <c r="BU143" i="12" s="1"/>
  <c r="AS142" i="12"/>
  <c r="DV142" i="12" s="1"/>
  <c r="AO143" i="12"/>
  <c r="AJ142" i="12"/>
  <c r="DA142" i="12" s="1"/>
  <c r="AK142" i="12"/>
  <c r="DK142" i="12" s="1"/>
  <c r="AI142" i="12"/>
  <c r="CQ142" i="12" s="1"/>
  <c r="AL142" i="12"/>
  <c r="BS142" i="12" s="1"/>
  <c r="N143" i="12"/>
  <c r="Z143" i="12" s="1"/>
  <c r="BG46" i="12" l="1"/>
  <c r="BF46" i="12"/>
  <c r="BK46" i="12"/>
  <c r="BH46" i="12"/>
  <c r="BI46" i="12"/>
  <c r="BD46" i="13"/>
  <c r="EQ46" i="13" s="1"/>
  <c r="ES46" i="13" s="1"/>
  <c r="BE46" i="13"/>
  <c r="AM143" i="13"/>
  <c r="BT143" i="13" s="1"/>
  <c r="K144" i="13"/>
  <c r="M144" i="13"/>
  <c r="AP143" i="13"/>
  <c r="AS143" i="13" s="1"/>
  <c r="DV143" i="13" s="1"/>
  <c r="DZ143" i="13" s="1"/>
  <c r="ED143" i="13" s="1"/>
  <c r="L144" i="13"/>
  <c r="AN144" i="13" s="1"/>
  <c r="AQ144" i="13" s="1"/>
  <c r="BU144" i="13" s="1"/>
  <c r="CG143" i="13"/>
  <c r="Q143" i="13"/>
  <c r="AY143" i="13" s="1"/>
  <c r="R143" i="13"/>
  <c r="BQ143" i="13" s="1"/>
  <c r="S143" i="13"/>
  <c r="CO143" i="13" s="1"/>
  <c r="T143" i="13"/>
  <c r="CY143" i="13" s="1"/>
  <c r="U143" i="13"/>
  <c r="DI143" i="13" s="1"/>
  <c r="V143" i="13"/>
  <c r="W143" i="13"/>
  <c r="AA143" i="13" s="1"/>
  <c r="CP143" i="13" s="1"/>
  <c r="X143" i="13"/>
  <c r="AB143" i="13" s="1"/>
  <c r="CZ143" i="13" s="1"/>
  <c r="Y143" i="13"/>
  <c r="AC143" i="13" s="1"/>
  <c r="DJ143" i="13" s="1"/>
  <c r="Z143" i="13"/>
  <c r="AD143" i="13" s="1"/>
  <c r="BR143" i="13" s="1"/>
  <c r="CJ143" i="13"/>
  <c r="AH143" i="13"/>
  <c r="AL143" i="13" s="1"/>
  <c r="BS143" i="13" s="1"/>
  <c r="AG143" i="13"/>
  <c r="AK143" i="13" s="1"/>
  <c r="DK143" i="13" s="1"/>
  <c r="AF143" i="13"/>
  <c r="AJ143" i="13" s="1"/>
  <c r="DA143" i="13" s="1"/>
  <c r="AE143" i="13"/>
  <c r="AI143" i="13" s="1"/>
  <c r="CQ143" i="13" s="1"/>
  <c r="DZ142" i="12"/>
  <c r="CJ143" i="12"/>
  <c r="CG143" i="12"/>
  <c r="X143" i="12"/>
  <c r="Y143" i="12"/>
  <c r="W143" i="12"/>
  <c r="AM143" i="12"/>
  <c r="BT143" i="12" s="1"/>
  <c r="AR143" i="12"/>
  <c r="AZ143" i="12" s="1"/>
  <c r="M144" i="12"/>
  <c r="L144" i="12"/>
  <c r="AN144" i="12" s="1"/>
  <c r="AP143" i="12"/>
  <c r="AE143" i="12"/>
  <c r="AF143" i="12"/>
  <c r="AG143" i="12"/>
  <c r="AH143" i="12"/>
  <c r="K144" i="12"/>
  <c r="V143" i="12"/>
  <c r="U143" i="12"/>
  <c r="DI143" i="12" s="1"/>
  <c r="T143" i="12"/>
  <c r="CY143" i="12" s="1"/>
  <c r="S143" i="12"/>
  <c r="CO143" i="12" s="1"/>
  <c r="R143" i="12"/>
  <c r="BQ143" i="12" s="1"/>
  <c r="Q143" i="12"/>
  <c r="AY143" i="12" s="1"/>
  <c r="BL46" i="12" l="1"/>
  <c r="BW46" i="12" s="1"/>
  <c r="BX46" i="12" s="1"/>
  <c r="BN46" i="12"/>
  <c r="DB46" i="12" s="1"/>
  <c r="DC46" i="12" s="1"/>
  <c r="BO46" i="12"/>
  <c r="DL46" i="12" s="1"/>
  <c r="DM46" i="12" s="1"/>
  <c r="BM46" i="12"/>
  <c r="CR46" i="12" s="1"/>
  <c r="CS46" i="12" s="1"/>
  <c r="BC46" i="13"/>
  <c r="ET46" i="13"/>
  <c r="EW46" i="13" s="1"/>
  <c r="EZ46" i="13" s="1"/>
  <c r="EV46" i="13"/>
  <c r="EY46" i="13" s="1"/>
  <c r="FB46" i="13" s="1"/>
  <c r="FF46" i="13" s="1"/>
  <c r="EU46" i="13"/>
  <c r="EX46" i="13" s="1"/>
  <c r="FA46" i="13" s="1"/>
  <c r="N144" i="13"/>
  <c r="AO144" i="13"/>
  <c r="AR144" i="13" s="1"/>
  <c r="AZ144" i="13" s="1"/>
  <c r="ED142" i="12"/>
  <c r="AA143" i="12"/>
  <c r="CP143" i="12" s="1"/>
  <c r="AB143" i="12"/>
  <c r="CZ143" i="12" s="1"/>
  <c r="AC143" i="12"/>
  <c r="DJ143" i="12" s="1"/>
  <c r="AD143" i="12"/>
  <c r="BR143" i="12" s="1"/>
  <c r="AQ144" i="12"/>
  <c r="BU144" i="12" s="1"/>
  <c r="AS143" i="12"/>
  <c r="DV143" i="12" s="1"/>
  <c r="AO144" i="12"/>
  <c r="AI143" i="12"/>
  <c r="CQ143" i="12" s="1"/>
  <c r="AJ143" i="12"/>
  <c r="DA143" i="12" s="1"/>
  <c r="AK143" i="12"/>
  <c r="DK143" i="12" s="1"/>
  <c r="AL143" i="12"/>
  <c r="BS143" i="12" s="1"/>
  <c r="N144" i="12"/>
  <c r="Z144" i="12" s="1"/>
  <c r="DO46" i="12" l="1"/>
  <c r="DU46" i="12"/>
  <c r="DY46" i="12" s="1"/>
  <c r="EC46" i="12" s="1"/>
  <c r="G43" i="11" s="1"/>
  <c r="DP46" i="12"/>
  <c r="CW46" i="12"/>
  <c r="DS46" i="12"/>
  <c r="DW46" i="12" s="1"/>
  <c r="EA46" i="12" s="1"/>
  <c r="CV46" i="12"/>
  <c r="CU46" i="12"/>
  <c r="CT46" i="12"/>
  <c r="CE46" i="12"/>
  <c r="CC46" i="12"/>
  <c r="CI46" i="12"/>
  <c r="CK46" i="12" s="1"/>
  <c r="BY46" i="12"/>
  <c r="CB46" i="12"/>
  <c r="CD46" i="12"/>
  <c r="CA46" i="12"/>
  <c r="BZ46" i="12"/>
  <c r="CH46" i="12"/>
  <c r="DG46" i="12"/>
  <c r="DD46" i="12"/>
  <c r="DE46" i="12"/>
  <c r="DF46" i="12"/>
  <c r="DT46" i="12"/>
  <c r="DX46" i="12" s="1"/>
  <c r="EB46" i="12" s="1"/>
  <c r="DQ46" i="12"/>
  <c r="DN46" i="12"/>
  <c r="BH46" i="13"/>
  <c r="BF46" i="13"/>
  <c r="BK46" i="13"/>
  <c r="BG46" i="13"/>
  <c r="BI46" i="13"/>
  <c r="AM144" i="13"/>
  <c r="BT144" i="13" s="1"/>
  <c r="K145" i="13"/>
  <c r="AP144" i="13"/>
  <c r="AS144" i="13" s="1"/>
  <c r="DV144" i="13" s="1"/>
  <c r="DZ144" i="13" s="1"/>
  <c r="ED144" i="13" s="1"/>
  <c r="CG144" i="13"/>
  <c r="L145" i="13"/>
  <c r="AN145" i="13" s="1"/>
  <c r="AQ145" i="13" s="1"/>
  <c r="BU145" i="13" s="1"/>
  <c r="M145" i="13"/>
  <c r="Q144" i="13"/>
  <c r="AY144" i="13" s="1"/>
  <c r="R144" i="13"/>
  <c r="BQ144" i="13" s="1"/>
  <c r="S144" i="13"/>
  <c r="CO144" i="13" s="1"/>
  <c r="T144" i="13"/>
  <c r="CY144" i="13" s="1"/>
  <c r="U144" i="13"/>
  <c r="DI144" i="13" s="1"/>
  <c r="V144" i="13"/>
  <c r="W144" i="13"/>
  <c r="X144" i="13"/>
  <c r="Y144" i="13"/>
  <c r="Z144" i="13"/>
  <c r="CJ144" i="13"/>
  <c r="AH144" i="13"/>
  <c r="AL144" i="13" s="1"/>
  <c r="BS144" i="13" s="1"/>
  <c r="AG144" i="13"/>
  <c r="AK144" i="13" s="1"/>
  <c r="DK144" i="13" s="1"/>
  <c r="AF144" i="13"/>
  <c r="AJ144" i="13" s="1"/>
  <c r="DA144" i="13" s="1"/>
  <c r="AE144" i="13"/>
  <c r="AI144" i="13" s="1"/>
  <c r="CQ144" i="13" s="1"/>
  <c r="DZ143" i="12"/>
  <c r="CJ144" i="12"/>
  <c r="CG144" i="12"/>
  <c r="W144" i="12"/>
  <c r="X144" i="12"/>
  <c r="Y144" i="12"/>
  <c r="AM144" i="12"/>
  <c r="BT144" i="12" s="1"/>
  <c r="AR144" i="12"/>
  <c r="AZ144" i="12" s="1"/>
  <c r="M145" i="12"/>
  <c r="L145" i="12"/>
  <c r="AN145" i="12" s="1"/>
  <c r="AP144" i="12"/>
  <c r="AH144" i="12"/>
  <c r="AE144" i="12"/>
  <c r="AG144" i="12"/>
  <c r="AF144" i="12"/>
  <c r="K145" i="12"/>
  <c r="Q144" i="12"/>
  <c r="AY144" i="12" s="1"/>
  <c r="V144" i="12"/>
  <c r="U144" i="12"/>
  <c r="DI144" i="12" s="1"/>
  <c r="T144" i="12"/>
  <c r="CY144" i="12" s="1"/>
  <c r="S144" i="12"/>
  <c r="CO144" i="12" s="1"/>
  <c r="R144" i="12"/>
  <c r="BQ144" i="12" s="1"/>
  <c r="FD46" i="12" l="1"/>
  <c r="FG46" i="12" s="1"/>
  <c r="CM46" i="12"/>
  <c r="CL46" i="12"/>
  <c r="BB47" i="12" s="1"/>
  <c r="BN46" i="13"/>
  <c r="DB46" i="13" s="1"/>
  <c r="DC46" i="13" s="1"/>
  <c r="BL46" i="13"/>
  <c r="BW46" i="13" s="1"/>
  <c r="BX46" i="13" s="1"/>
  <c r="BO46" i="13"/>
  <c r="DL46" i="13" s="1"/>
  <c r="DM46" i="13" s="1"/>
  <c r="BM46" i="13"/>
  <c r="CR46" i="13" s="1"/>
  <c r="N145" i="13"/>
  <c r="AM145" i="13" s="1"/>
  <c r="BT145" i="13" s="1"/>
  <c r="AO145" i="13"/>
  <c r="AR145" i="13" s="1"/>
  <c r="AZ145" i="13" s="1"/>
  <c r="AA144" i="13"/>
  <c r="CP144" i="13" s="1"/>
  <c r="AB144" i="13"/>
  <c r="CZ144" i="13" s="1"/>
  <c r="AC144" i="13"/>
  <c r="DJ144" i="13" s="1"/>
  <c r="AD144" i="13"/>
  <c r="BR144" i="13" s="1"/>
  <c r="ED143" i="12"/>
  <c r="AA144" i="12"/>
  <c r="CP144" i="12" s="1"/>
  <c r="AB144" i="12"/>
  <c r="CZ144" i="12" s="1"/>
  <c r="AC144" i="12"/>
  <c r="DJ144" i="12" s="1"/>
  <c r="AD144" i="12"/>
  <c r="BR144" i="12" s="1"/>
  <c r="AQ145" i="12"/>
  <c r="BU145" i="12" s="1"/>
  <c r="AS144" i="12"/>
  <c r="DV144" i="12" s="1"/>
  <c r="AO145" i="12"/>
  <c r="AI144" i="12"/>
  <c r="CQ144" i="12" s="1"/>
  <c r="AK144" i="12"/>
  <c r="DK144" i="12" s="1"/>
  <c r="AJ144" i="12"/>
  <c r="DA144" i="12" s="1"/>
  <c r="AL144" i="12"/>
  <c r="BS144" i="12" s="1"/>
  <c r="N145" i="12"/>
  <c r="Z145" i="12" s="1"/>
  <c r="BE47" i="12" l="1"/>
  <c r="CE46" i="13"/>
  <c r="CD46" i="13"/>
  <c r="CA46" i="13"/>
  <c r="DD46" i="13"/>
  <c r="DT46" i="13"/>
  <c r="DX46" i="13" s="1"/>
  <c r="EB46" i="13" s="1"/>
  <c r="DF46" i="13"/>
  <c r="DE46" i="13"/>
  <c r="DG46" i="13"/>
  <c r="CI46" i="13"/>
  <c r="CK46" i="13" s="1"/>
  <c r="CH46" i="13"/>
  <c r="BZ46" i="13"/>
  <c r="CC46" i="13"/>
  <c r="CB46" i="13"/>
  <c r="BY46" i="13"/>
  <c r="DP46" i="13"/>
  <c r="DO46" i="13"/>
  <c r="DN46" i="13"/>
  <c r="DU46" i="13"/>
  <c r="DY46" i="13" s="1"/>
  <c r="EC46" i="13" s="1"/>
  <c r="FD46" i="13" s="1"/>
  <c r="FG46" i="13" s="1"/>
  <c r="DQ46" i="13"/>
  <c r="CS46" i="13"/>
  <c r="CW46" i="13" s="1"/>
  <c r="CG145" i="13"/>
  <c r="K146" i="13"/>
  <c r="M146" i="13"/>
  <c r="L146" i="13"/>
  <c r="AN146" i="13" s="1"/>
  <c r="AQ146" i="13" s="1"/>
  <c r="BU146" i="13" s="1"/>
  <c r="AP145" i="13"/>
  <c r="AS145" i="13" s="1"/>
  <c r="DV145" i="13" s="1"/>
  <c r="DZ145" i="13" s="1"/>
  <c r="ED145" i="13" s="1"/>
  <c r="Q145" i="13"/>
  <c r="AY145" i="13" s="1"/>
  <c r="R145" i="13"/>
  <c r="BQ145" i="13" s="1"/>
  <c r="S145" i="13"/>
  <c r="CO145" i="13" s="1"/>
  <c r="T145" i="13"/>
  <c r="CY145" i="13" s="1"/>
  <c r="U145" i="13"/>
  <c r="DI145" i="13" s="1"/>
  <c r="V145" i="13"/>
  <c r="W145" i="13"/>
  <c r="X145" i="13"/>
  <c r="Y145" i="13"/>
  <c r="AC145" i="13" s="1"/>
  <c r="DJ145" i="13" s="1"/>
  <c r="Z145" i="13"/>
  <c r="AD145" i="13" s="1"/>
  <c r="BR145" i="13" s="1"/>
  <c r="CJ145" i="13"/>
  <c r="AH145" i="13"/>
  <c r="AL145" i="13" s="1"/>
  <c r="BS145" i="13" s="1"/>
  <c r="AG145" i="13"/>
  <c r="AK145" i="13" s="1"/>
  <c r="DK145" i="13" s="1"/>
  <c r="AF145" i="13"/>
  <c r="AJ145" i="13" s="1"/>
  <c r="DA145" i="13" s="1"/>
  <c r="AE145" i="13"/>
  <c r="AI145" i="13" s="1"/>
  <c r="CQ145" i="13" s="1"/>
  <c r="DZ144" i="12"/>
  <c r="CJ145" i="12"/>
  <c r="CG145" i="12"/>
  <c r="W145" i="12"/>
  <c r="X145" i="12"/>
  <c r="Y145" i="12"/>
  <c r="AM145" i="12"/>
  <c r="BT145" i="12" s="1"/>
  <c r="AR145" i="12"/>
  <c r="AZ145" i="12" s="1"/>
  <c r="M146" i="12"/>
  <c r="L146" i="12"/>
  <c r="AN146" i="12" s="1"/>
  <c r="AP145" i="12"/>
  <c r="AF145" i="12"/>
  <c r="AE145" i="12"/>
  <c r="AH145" i="12"/>
  <c r="AG145" i="12"/>
  <c r="K146" i="12"/>
  <c r="V145" i="12"/>
  <c r="U145" i="12"/>
  <c r="DI145" i="12" s="1"/>
  <c r="T145" i="12"/>
  <c r="CY145" i="12" s="1"/>
  <c r="S145" i="12"/>
  <c r="CO145" i="12" s="1"/>
  <c r="R145" i="12"/>
  <c r="BQ145" i="12" s="1"/>
  <c r="Q145" i="12"/>
  <c r="AY145" i="12" s="1"/>
  <c r="BC47" i="12" l="1"/>
  <c r="BH47" i="12" s="1"/>
  <c r="CM46" i="13"/>
  <c r="CL46" i="13"/>
  <c r="BB47" i="13" s="1"/>
  <c r="H166" i="11"/>
  <c r="H167" i="11"/>
  <c r="H168" i="11"/>
  <c r="H165" i="11"/>
  <c r="CV46" i="13"/>
  <c r="CU46" i="13"/>
  <c r="CT46" i="13"/>
  <c r="DS46" i="13"/>
  <c r="DW46" i="13" s="1"/>
  <c r="EA46" i="13" s="1"/>
  <c r="N146" i="13"/>
  <c r="AO146" i="13"/>
  <c r="AR146" i="13" s="1"/>
  <c r="AZ146" i="13" s="1"/>
  <c r="AA145" i="13"/>
  <c r="CP145" i="13" s="1"/>
  <c r="AB145" i="13"/>
  <c r="CZ145" i="13" s="1"/>
  <c r="ED144" i="12"/>
  <c r="AA145" i="12"/>
  <c r="CP145" i="12" s="1"/>
  <c r="AB145" i="12"/>
  <c r="CZ145" i="12" s="1"/>
  <c r="AC145" i="12"/>
  <c r="DJ145" i="12" s="1"/>
  <c r="AD145" i="12"/>
  <c r="BR145" i="12" s="1"/>
  <c r="AQ146" i="12"/>
  <c r="BU146" i="12" s="1"/>
  <c r="AS145" i="12"/>
  <c r="DV145" i="12" s="1"/>
  <c r="AO146" i="12"/>
  <c r="AJ145" i="12"/>
  <c r="DA145" i="12" s="1"/>
  <c r="AI145" i="12"/>
  <c r="CQ145" i="12" s="1"/>
  <c r="AK145" i="12"/>
  <c r="DK145" i="12" s="1"/>
  <c r="AL145" i="12"/>
  <c r="BS145" i="12" s="1"/>
  <c r="N146" i="12"/>
  <c r="Z146" i="12" s="1"/>
  <c r="BI47" i="12" l="1"/>
  <c r="BK47" i="12"/>
  <c r="BO47" i="12" s="1"/>
  <c r="DL47" i="12" s="1"/>
  <c r="DM47" i="12" s="1"/>
  <c r="DQ47" i="12" s="1"/>
  <c r="BG47" i="12"/>
  <c r="BF47" i="12"/>
  <c r="BD47" i="13"/>
  <c r="EQ47" i="13" s="1"/>
  <c r="ES47" i="13" s="1"/>
  <c r="BE47" i="13"/>
  <c r="AM146" i="13"/>
  <c r="BT146" i="13" s="1"/>
  <c r="Q146" i="13"/>
  <c r="AY146" i="13" s="1"/>
  <c r="S146" i="13"/>
  <c r="CO146" i="13" s="1"/>
  <c r="U146" i="13"/>
  <c r="DI146" i="13" s="1"/>
  <c r="W146" i="13"/>
  <c r="AA146" i="13" s="1"/>
  <c r="CP146" i="13" s="1"/>
  <c r="Z146" i="13"/>
  <c r="AD146" i="13" s="1"/>
  <c r="BR146" i="13" s="1"/>
  <c r="AP146" i="13"/>
  <c r="AS146" i="13" s="1"/>
  <c r="DV146" i="13" s="1"/>
  <c r="DZ146" i="13" s="1"/>
  <c r="ED146" i="13" s="1"/>
  <c r="L147" i="13"/>
  <c r="AN147" i="13" s="1"/>
  <c r="AQ147" i="13" s="1"/>
  <c r="BU147" i="13" s="1"/>
  <c r="CG146" i="13"/>
  <c r="K147" i="13"/>
  <c r="M147" i="13"/>
  <c r="R146" i="13"/>
  <c r="BQ146" i="13" s="1"/>
  <c r="T146" i="13"/>
  <c r="CY146" i="13" s="1"/>
  <c r="V146" i="13"/>
  <c r="X146" i="13"/>
  <c r="AB146" i="13" s="1"/>
  <c r="CZ146" i="13" s="1"/>
  <c r="Y146" i="13"/>
  <c r="CJ146" i="13"/>
  <c r="AH146" i="13"/>
  <c r="AL146" i="13" s="1"/>
  <c r="BS146" i="13" s="1"/>
  <c r="AG146" i="13"/>
  <c r="AK146" i="13" s="1"/>
  <c r="DK146" i="13" s="1"/>
  <c r="AF146" i="13"/>
  <c r="AJ146" i="13" s="1"/>
  <c r="DA146" i="13" s="1"/>
  <c r="AE146" i="13"/>
  <c r="AI146" i="13" s="1"/>
  <c r="CQ146" i="13" s="1"/>
  <c r="DZ145" i="12"/>
  <c r="CJ146" i="12"/>
  <c r="CG146" i="12"/>
  <c r="W146" i="12"/>
  <c r="X146" i="12"/>
  <c r="Y146" i="12"/>
  <c r="AR146" i="12"/>
  <c r="AZ146" i="12" s="1"/>
  <c r="AM146" i="12"/>
  <c r="BT146" i="12" s="1"/>
  <c r="M147" i="12"/>
  <c r="L147" i="12"/>
  <c r="AN147" i="12" s="1"/>
  <c r="AP146" i="12"/>
  <c r="AE146" i="12"/>
  <c r="AF146" i="12"/>
  <c r="AH146" i="12"/>
  <c r="AG146" i="12"/>
  <c r="K147" i="12"/>
  <c r="V146" i="12"/>
  <c r="U146" i="12"/>
  <c r="DI146" i="12" s="1"/>
  <c r="T146" i="12"/>
  <c r="CY146" i="12" s="1"/>
  <c r="S146" i="12"/>
  <c r="CO146" i="12" s="1"/>
  <c r="Q146" i="12"/>
  <c r="AY146" i="12" s="1"/>
  <c r="R146" i="12"/>
  <c r="BQ146" i="12" s="1"/>
  <c r="BM47" i="12" l="1"/>
  <c r="CR47" i="12" s="1"/>
  <c r="CS47" i="12" s="1"/>
  <c r="BN47" i="12"/>
  <c r="DB47" i="12" s="1"/>
  <c r="DC47" i="12" s="1"/>
  <c r="BL47" i="12"/>
  <c r="BW47" i="12" s="1"/>
  <c r="BX47" i="12" s="1"/>
  <c r="EU47" i="13"/>
  <c r="EX47" i="13" s="1"/>
  <c r="FA47" i="13" s="1"/>
  <c r="ET47" i="13"/>
  <c r="EW47" i="13" s="1"/>
  <c r="EZ47" i="13" s="1"/>
  <c r="EV47" i="13"/>
  <c r="EY47" i="13" s="1"/>
  <c r="FB47" i="13" s="1"/>
  <c r="FF47" i="13" s="1"/>
  <c r="BC47" i="13"/>
  <c r="DN47" i="12"/>
  <c r="DU47" i="12"/>
  <c r="DY47" i="12" s="1"/>
  <c r="EC47" i="12" s="1"/>
  <c r="G44" i="11" s="1"/>
  <c r="DP47" i="12"/>
  <c r="DO47" i="12"/>
  <c r="N147" i="13"/>
  <c r="AM147" i="13" s="1"/>
  <c r="BT147" i="13" s="1"/>
  <c r="AO147" i="13"/>
  <c r="AR147" i="13" s="1"/>
  <c r="AZ147" i="13" s="1"/>
  <c r="AC146" i="13"/>
  <c r="DJ146" i="13" s="1"/>
  <c r="ED145" i="12"/>
  <c r="AA146" i="12"/>
  <c r="CP146" i="12" s="1"/>
  <c r="AB146" i="12"/>
  <c r="CZ146" i="12" s="1"/>
  <c r="AC146" i="12"/>
  <c r="DJ146" i="12" s="1"/>
  <c r="AD146" i="12"/>
  <c r="BR146" i="12" s="1"/>
  <c r="AQ147" i="12"/>
  <c r="BU147" i="12" s="1"/>
  <c r="AS146" i="12"/>
  <c r="DV146" i="12" s="1"/>
  <c r="AO147" i="12"/>
  <c r="AI146" i="12"/>
  <c r="CQ146" i="12" s="1"/>
  <c r="AJ146" i="12"/>
  <c r="DA146" i="12" s="1"/>
  <c r="AK146" i="12"/>
  <c r="DK146" i="12" s="1"/>
  <c r="AL146" i="12"/>
  <c r="BS146" i="12" s="1"/>
  <c r="N147" i="12"/>
  <c r="Z147" i="12" s="1"/>
  <c r="FD47" i="12" l="1"/>
  <c r="FG47" i="12" s="1"/>
  <c r="DT47" i="12"/>
  <c r="DX47" i="12" s="1"/>
  <c r="EB47" i="12" s="1"/>
  <c r="DF47" i="12"/>
  <c r="DD47" i="12"/>
  <c r="BZ47" i="12"/>
  <c r="CB47" i="12"/>
  <c r="CI47" i="12"/>
  <c r="CK47" i="12" s="1"/>
  <c r="CA47" i="12"/>
  <c r="DG47" i="12"/>
  <c r="DE47" i="12"/>
  <c r="CE47" i="12"/>
  <c r="CH47" i="12"/>
  <c r="BY47" i="12"/>
  <c r="CC47" i="12"/>
  <c r="CD47" i="12"/>
  <c r="CW47" i="12"/>
  <c r="CT47" i="12"/>
  <c r="DS47" i="12"/>
  <c r="DW47" i="12" s="1"/>
  <c r="EA47" i="12" s="1"/>
  <c r="CU47" i="12"/>
  <c r="CV47" i="12"/>
  <c r="BI47" i="13"/>
  <c r="BH47" i="13"/>
  <c r="BF47" i="13"/>
  <c r="BK47" i="13"/>
  <c r="BG47" i="13"/>
  <c r="K148" i="13"/>
  <c r="L148" i="13"/>
  <c r="AN148" i="13" s="1"/>
  <c r="AQ148" i="13" s="1"/>
  <c r="BU148" i="13" s="1"/>
  <c r="M148" i="13"/>
  <c r="AP147" i="13"/>
  <c r="AS147" i="13" s="1"/>
  <c r="DV147" i="13" s="1"/>
  <c r="DZ147" i="13" s="1"/>
  <c r="ED147" i="13" s="1"/>
  <c r="CG147" i="13"/>
  <c r="R147" i="13"/>
  <c r="BQ147" i="13" s="1"/>
  <c r="U147" i="13"/>
  <c r="DI147" i="13" s="1"/>
  <c r="V147" i="13"/>
  <c r="W147" i="13"/>
  <c r="AA147" i="13" s="1"/>
  <c r="CP147" i="13" s="1"/>
  <c r="Q147" i="13"/>
  <c r="AY147" i="13" s="1"/>
  <c r="S147" i="13"/>
  <c r="CO147" i="13" s="1"/>
  <c r="T147" i="13"/>
  <c r="CY147" i="13" s="1"/>
  <c r="X147" i="13"/>
  <c r="AB147" i="13" s="1"/>
  <c r="CZ147" i="13" s="1"/>
  <c r="Y147" i="13"/>
  <c r="AC147" i="13" s="1"/>
  <c r="DJ147" i="13" s="1"/>
  <c r="Z147" i="13"/>
  <c r="AD147" i="13" s="1"/>
  <c r="BR147" i="13" s="1"/>
  <c r="CJ147" i="13"/>
  <c r="AH147" i="13"/>
  <c r="AL147" i="13" s="1"/>
  <c r="BS147" i="13" s="1"/>
  <c r="AG147" i="13"/>
  <c r="AK147" i="13" s="1"/>
  <c r="DK147" i="13" s="1"/>
  <c r="AF147" i="13"/>
  <c r="AJ147" i="13" s="1"/>
  <c r="DA147" i="13" s="1"/>
  <c r="AE147" i="13"/>
  <c r="AI147" i="13" s="1"/>
  <c r="CQ147" i="13" s="1"/>
  <c r="DZ146" i="12"/>
  <c r="CJ147" i="12"/>
  <c r="CG147" i="12"/>
  <c r="W147" i="12"/>
  <c r="Y147" i="12"/>
  <c r="X147" i="12"/>
  <c r="AM147" i="12"/>
  <c r="BT147" i="12" s="1"/>
  <c r="AR147" i="12"/>
  <c r="AZ147" i="12" s="1"/>
  <c r="M148" i="12"/>
  <c r="L148" i="12"/>
  <c r="AN148" i="12" s="1"/>
  <c r="AP147" i="12"/>
  <c r="AF147" i="12"/>
  <c r="AG147" i="12"/>
  <c r="AE147" i="12"/>
  <c r="AH147" i="12"/>
  <c r="V147" i="12"/>
  <c r="R147" i="12"/>
  <c r="BQ147" i="12" s="1"/>
  <c r="K148" i="12"/>
  <c r="U147" i="12"/>
  <c r="DI147" i="12" s="1"/>
  <c r="T147" i="12"/>
  <c r="CY147" i="12" s="1"/>
  <c r="S147" i="12"/>
  <c r="CO147" i="12" s="1"/>
  <c r="Q147" i="12"/>
  <c r="AY147" i="12" s="1"/>
  <c r="CM47" i="12" l="1"/>
  <c r="CL47" i="12"/>
  <c r="BB48" i="12" s="1"/>
  <c r="BL47" i="13"/>
  <c r="BW47" i="13" s="1"/>
  <c r="BM47" i="13"/>
  <c r="CR47" i="13" s="1"/>
  <c r="BO47" i="13"/>
  <c r="DL47" i="13" s="1"/>
  <c r="DM47" i="13" s="1"/>
  <c r="BN47" i="13"/>
  <c r="DB47" i="13" s="1"/>
  <c r="DC47" i="13" s="1"/>
  <c r="N148" i="13"/>
  <c r="AO148" i="13"/>
  <c r="AR148" i="13" s="1"/>
  <c r="AZ148" i="13" s="1"/>
  <c r="ED146" i="12"/>
  <c r="AA147" i="12"/>
  <c r="CP147" i="12" s="1"/>
  <c r="AB147" i="12"/>
  <c r="CZ147" i="12" s="1"/>
  <c r="AC147" i="12"/>
  <c r="DJ147" i="12" s="1"/>
  <c r="AD147" i="12"/>
  <c r="BR147" i="12" s="1"/>
  <c r="AQ148" i="12"/>
  <c r="BU148" i="12" s="1"/>
  <c r="AS147" i="12"/>
  <c r="DV147" i="12" s="1"/>
  <c r="AO148" i="12"/>
  <c r="AJ147" i="12"/>
  <c r="DA147" i="12" s="1"/>
  <c r="AK147" i="12"/>
  <c r="DK147" i="12" s="1"/>
  <c r="AI147" i="12"/>
  <c r="CQ147" i="12" s="1"/>
  <c r="AL147" i="12"/>
  <c r="BS147" i="12" s="1"/>
  <c r="N148" i="12"/>
  <c r="Z148" i="12" s="1"/>
  <c r="BE48" i="12" l="1"/>
  <c r="BX47" i="13"/>
  <c r="CE47" i="13" s="1"/>
  <c r="CS47" i="13"/>
  <c r="CW47" i="13" s="1"/>
  <c r="DQ47" i="13"/>
  <c r="DP47" i="13"/>
  <c r="DO47" i="13"/>
  <c r="DN47" i="13"/>
  <c r="DU47" i="13"/>
  <c r="DY47" i="13" s="1"/>
  <c r="EC47" i="13" s="1"/>
  <c r="FD47" i="13" s="1"/>
  <c r="FG47" i="13" s="1"/>
  <c r="H172" i="11" s="1"/>
  <c r="DG47" i="13"/>
  <c r="DE47" i="13"/>
  <c r="DD47" i="13"/>
  <c r="DF47" i="13"/>
  <c r="DT47" i="13"/>
  <c r="DX47" i="13" s="1"/>
  <c r="EB47" i="13" s="1"/>
  <c r="AM148" i="13"/>
  <c r="BT148" i="13" s="1"/>
  <c r="AP148" i="13"/>
  <c r="AS148" i="13" s="1"/>
  <c r="DV148" i="13" s="1"/>
  <c r="DZ148" i="13" s="1"/>
  <c r="ED148" i="13" s="1"/>
  <c r="CG148" i="13"/>
  <c r="K149" i="13"/>
  <c r="L149" i="13"/>
  <c r="AN149" i="13" s="1"/>
  <c r="AQ149" i="13" s="1"/>
  <c r="BU149" i="13" s="1"/>
  <c r="M149" i="13"/>
  <c r="Q148" i="13"/>
  <c r="AY148" i="13" s="1"/>
  <c r="R148" i="13"/>
  <c r="BQ148" i="13" s="1"/>
  <c r="S148" i="13"/>
  <c r="CO148" i="13" s="1"/>
  <c r="V148" i="13"/>
  <c r="Z148" i="13"/>
  <c r="AD148" i="13" s="1"/>
  <c r="BR148" i="13" s="1"/>
  <c r="T148" i="13"/>
  <c r="CY148" i="13" s="1"/>
  <c r="X148" i="13"/>
  <c r="U148" i="13"/>
  <c r="DI148" i="13" s="1"/>
  <c r="W148" i="13"/>
  <c r="AA148" i="13" s="1"/>
  <c r="CP148" i="13" s="1"/>
  <c r="Y148" i="13"/>
  <c r="AC148" i="13" s="1"/>
  <c r="DJ148" i="13" s="1"/>
  <c r="CJ148" i="13"/>
  <c r="AH148" i="13"/>
  <c r="AL148" i="13" s="1"/>
  <c r="BS148" i="13" s="1"/>
  <c r="AG148" i="13"/>
  <c r="AK148" i="13" s="1"/>
  <c r="DK148" i="13" s="1"/>
  <c r="AF148" i="13"/>
  <c r="AJ148" i="13" s="1"/>
  <c r="DA148" i="13" s="1"/>
  <c r="AE148" i="13"/>
  <c r="AI148" i="13" s="1"/>
  <c r="CQ148" i="13" s="1"/>
  <c r="DZ147" i="12"/>
  <c r="CJ148" i="12"/>
  <c r="CG148" i="12"/>
  <c r="X148" i="12"/>
  <c r="Y148" i="12"/>
  <c r="W148" i="12"/>
  <c r="AM148" i="12"/>
  <c r="BT148" i="12" s="1"/>
  <c r="AR148" i="12"/>
  <c r="AZ148" i="12" s="1"/>
  <c r="M149" i="12"/>
  <c r="L149" i="12"/>
  <c r="AN149" i="12" s="1"/>
  <c r="AP148" i="12"/>
  <c r="AE148" i="12"/>
  <c r="AF148" i="12"/>
  <c r="AG148" i="12"/>
  <c r="AH148" i="12"/>
  <c r="R148" i="12"/>
  <c r="BQ148" i="12" s="1"/>
  <c r="Q148" i="12"/>
  <c r="AY148" i="12" s="1"/>
  <c r="K149" i="12"/>
  <c r="T148" i="12"/>
  <c r="CY148" i="12" s="1"/>
  <c r="V148" i="12"/>
  <c r="U148" i="12"/>
  <c r="DI148" i="12" s="1"/>
  <c r="S148" i="12"/>
  <c r="CO148" i="12" s="1"/>
  <c r="BC48" i="12" l="1"/>
  <c r="BI48" i="12" s="1"/>
  <c r="H170" i="11"/>
  <c r="H173" i="11"/>
  <c r="H171" i="11"/>
  <c r="H169" i="11"/>
  <c r="CI47" i="13"/>
  <c r="CK47" i="13" s="1"/>
  <c r="BZ47" i="13"/>
  <c r="CH47" i="13"/>
  <c r="CD47" i="13"/>
  <c r="CB47" i="13"/>
  <c r="CC47" i="13"/>
  <c r="BY47" i="13"/>
  <c r="CA47" i="13"/>
  <c r="CU47" i="13"/>
  <c r="CV47" i="13"/>
  <c r="CT47" i="13"/>
  <c r="DS47" i="13"/>
  <c r="DW47" i="13" s="1"/>
  <c r="EA47" i="13" s="1"/>
  <c r="N149" i="13"/>
  <c r="AM149" i="13" s="1"/>
  <c r="BT149" i="13" s="1"/>
  <c r="AO149" i="13"/>
  <c r="AR149" i="13" s="1"/>
  <c r="AZ149" i="13" s="1"/>
  <c r="AB148" i="13"/>
  <c r="CZ148" i="13" s="1"/>
  <c r="ED147" i="12"/>
  <c r="AA148" i="12"/>
  <c r="CP148" i="12" s="1"/>
  <c r="AB148" i="12"/>
  <c r="CZ148" i="12" s="1"/>
  <c r="AC148" i="12"/>
  <c r="DJ148" i="12" s="1"/>
  <c r="AD148" i="12"/>
  <c r="BR148" i="12" s="1"/>
  <c r="AQ149" i="12"/>
  <c r="BU149" i="12" s="1"/>
  <c r="AS148" i="12"/>
  <c r="DV148" i="12" s="1"/>
  <c r="AO149" i="12"/>
  <c r="AI148" i="12"/>
  <c r="CQ148" i="12" s="1"/>
  <c r="AJ148" i="12"/>
  <c r="DA148" i="12" s="1"/>
  <c r="AK148" i="12"/>
  <c r="DK148" i="12" s="1"/>
  <c r="AL148" i="12"/>
  <c r="BS148" i="12" s="1"/>
  <c r="N149" i="12"/>
  <c r="Z149" i="12" s="1"/>
  <c r="BG48" i="12" l="1"/>
  <c r="BK48" i="12"/>
  <c r="BH48" i="12"/>
  <c r="BF48" i="12"/>
  <c r="CL47" i="13"/>
  <c r="BB48" i="13" s="1"/>
  <c r="CM47" i="13"/>
  <c r="AP149" i="13"/>
  <c r="AS149" i="13" s="1"/>
  <c r="DV149" i="13" s="1"/>
  <c r="DZ149" i="13" s="1"/>
  <c r="ED149" i="13" s="1"/>
  <c r="CG149" i="13"/>
  <c r="K150" i="13"/>
  <c r="L150" i="13"/>
  <c r="AN150" i="13" s="1"/>
  <c r="AQ150" i="13" s="1"/>
  <c r="BU150" i="13" s="1"/>
  <c r="M150" i="13"/>
  <c r="Q149" i="13"/>
  <c r="AY149" i="13" s="1"/>
  <c r="R149" i="13"/>
  <c r="BQ149" i="13" s="1"/>
  <c r="S149" i="13"/>
  <c r="CO149" i="13" s="1"/>
  <c r="T149" i="13"/>
  <c r="CY149" i="13" s="1"/>
  <c r="U149" i="13"/>
  <c r="DI149" i="13" s="1"/>
  <c r="V149" i="13"/>
  <c r="W149" i="13"/>
  <c r="AA149" i="13" s="1"/>
  <c r="CP149" i="13" s="1"/>
  <c r="X149" i="13"/>
  <c r="AB149" i="13" s="1"/>
  <c r="CZ149" i="13" s="1"/>
  <c r="Y149" i="13"/>
  <c r="AC149" i="13" s="1"/>
  <c r="DJ149" i="13" s="1"/>
  <c r="Z149" i="13"/>
  <c r="AD149" i="13" s="1"/>
  <c r="BR149" i="13" s="1"/>
  <c r="CJ149" i="13"/>
  <c r="AH149" i="13"/>
  <c r="AL149" i="13" s="1"/>
  <c r="BS149" i="13" s="1"/>
  <c r="AG149" i="13"/>
  <c r="AK149" i="13" s="1"/>
  <c r="DK149" i="13" s="1"/>
  <c r="AF149" i="13"/>
  <c r="AJ149" i="13" s="1"/>
  <c r="DA149" i="13" s="1"/>
  <c r="AE149" i="13"/>
  <c r="AI149" i="13" s="1"/>
  <c r="CQ149" i="13" s="1"/>
  <c r="DZ148" i="12"/>
  <c r="CJ149" i="12"/>
  <c r="CG149" i="12"/>
  <c r="W149" i="12"/>
  <c r="X149" i="12"/>
  <c r="Y149" i="12"/>
  <c r="AM149" i="12"/>
  <c r="BT149" i="12" s="1"/>
  <c r="AR149" i="12"/>
  <c r="AZ149" i="12" s="1"/>
  <c r="M150" i="12"/>
  <c r="L150" i="12"/>
  <c r="AN150" i="12" s="1"/>
  <c r="AP149" i="12"/>
  <c r="AE149" i="12"/>
  <c r="AG149" i="12"/>
  <c r="AF149" i="12"/>
  <c r="AH149" i="12"/>
  <c r="U149" i="12"/>
  <c r="DI149" i="12" s="1"/>
  <c r="S149" i="12"/>
  <c r="CO149" i="12" s="1"/>
  <c r="K150" i="12"/>
  <c r="V149" i="12"/>
  <c r="T149" i="12"/>
  <c r="CY149" i="12" s="1"/>
  <c r="R149" i="12"/>
  <c r="BQ149" i="12" s="1"/>
  <c r="Q149" i="12"/>
  <c r="AY149" i="12" s="1"/>
  <c r="BO48" i="12" l="1"/>
  <c r="DL48" i="12" s="1"/>
  <c r="DM48" i="12" s="1"/>
  <c r="BL48" i="12"/>
  <c r="BW48" i="12" s="1"/>
  <c r="BX48" i="12" s="1"/>
  <c r="BM48" i="12"/>
  <c r="CR48" i="12" s="1"/>
  <c r="CS48" i="12" s="1"/>
  <c r="BN48" i="12"/>
  <c r="DB48" i="12" s="1"/>
  <c r="DC48" i="12" s="1"/>
  <c r="BE48" i="13"/>
  <c r="BD48" i="13"/>
  <c r="EQ48" i="13" s="1"/>
  <c r="ES48" i="13" s="1"/>
  <c r="N150" i="13"/>
  <c r="AM150" i="13" s="1"/>
  <c r="BT150" i="13" s="1"/>
  <c r="AO150" i="13"/>
  <c r="AR150" i="13" s="1"/>
  <c r="AZ150" i="13" s="1"/>
  <c r="ED148" i="12"/>
  <c r="AA149" i="12"/>
  <c r="CP149" i="12" s="1"/>
  <c r="AB149" i="12"/>
  <c r="CZ149" i="12" s="1"/>
  <c r="AC149" i="12"/>
  <c r="DJ149" i="12" s="1"/>
  <c r="AD149" i="12"/>
  <c r="BR149" i="12" s="1"/>
  <c r="AQ150" i="12"/>
  <c r="BU150" i="12" s="1"/>
  <c r="AS149" i="12"/>
  <c r="DV149" i="12" s="1"/>
  <c r="AO150" i="12"/>
  <c r="AI149" i="12"/>
  <c r="CQ149" i="12" s="1"/>
  <c r="AK149" i="12"/>
  <c r="DK149" i="12" s="1"/>
  <c r="AJ149" i="12"/>
  <c r="DA149" i="12" s="1"/>
  <c r="AL149" i="12"/>
  <c r="BS149" i="12" s="1"/>
  <c r="N150" i="12"/>
  <c r="Z150" i="12" s="1"/>
  <c r="CE48" i="12" l="1"/>
  <c r="CC48" i="12"/>
  <c r="CB48" i="12"/>
  <c r="CD48" i="12"/>
  <c r="CA48" i="12"/>
  <c r="BY48" i="12"/>
  <c r="CI48" i="12"/>
  <c r="CK48" i="12" s="1"/>
  <c r="BZ48" i="12"/>
  <c r="CH48" i="12"/>
  <c r="DF48" i="12"/>
  <c r="DT48" i="12"/>
  <c r="DX48" i="12" s="1"/>
  <c r="EB48" i="12" s="1"/>
  <c r="DE48" i="12"/>
  <c r="DQ48" i="12"/>
  <c r="DU48" i="12"/>
  <c r="DY48" i="12" s="1"/>
  <c r="EC48" i="12" s="1"/>
  <c r="DN48" i="12"/>
  <c r="DP48" i="12"/>
  <c r="DO48" i="12"/>
  <c r="DG48" i="12"/>
  <c r="DD48" i="12"/>
  <c r="CW48" i="12"/>
  <c r="CT48" i="12"/>
  <c r="DS48" i="12"/>
  <c r="DW48" i="12" s="1"/>
  <c r="EA48" i="12" s="1"/>
  <c r="CU48" i="12"/>
  <c r="CV48" i="12"/>
  <c r="ET48" i="13"/>
  <c r="EW48" i="13" s="1"/>
  <c r="EZ48" i="13" s="1"/>
  <c r="EU48" i="13"/>
  <c r="EX48" i="13" s="1"/>
  <c r="FA48" i="13" s="1"/>
  <c r="EV48" i="13"/>
  <c r="EY48" i="13" s="1"/>
  <c r="FB48" i="13" s="1"/>
  <c r="FF48" i="13" s="1"/>
  <c r="BC48" i="13"/>
  <c r="CJ150" i="13"/>
  <c r="AP150" i="13"/>
  <c r="AS150" i="13" s="1"/>
  <c r="DV150" i="13" s="1"/>
  <c r="DZ150" i="13" s="1"/>
  <c r="ED150" i="13" s="1"/>
  <c r="CG150" i="13"/>
  <c r="L151" i="13"/>
  <c r="AN151" i="13" s="1"/>
  <c r="AQ151" i="13" s="1"/>
  <c r="BU151" i="13" s="1"/>
  <c r="M151" i="13"/>
  <c r="Q150" i="13"/>
  <c r="AY150" i="13" s="1"/>
  <c r="R150" i="13"/>
  <c r="BQ150" i="13" s="1"/>
  <c r="S150" i="13"/>
  <c r="CO150" i="13" s="1"/>
  <c r="T150" i="13"/>
  <c r="CY150" i="13" s="1"/>
  <c r="U150" i="13"/>
  <c r="DI150" i="13" s="1"/>
  <c r="V150" i="13"/>
  <c r="W150" i="13"/>
  <c r="AA150" i="13" s="1"/>
  <c r="CP150" i="13" s="1"/>
  <c r="X150" i="13"/>
  <c r="AB150" i="13" s="1"/>
  <c r="CZ150" i="13" s="1"/>
  <c r="Y150" i="13"/>
  <c r="AC150" i="13" s="1"/>
  <c r="DJ150" i="13" s="1"/>
  <c r="Z150" i="13"/>
  <c r="AD150" i="13" s="1"/>
  <c r="BR150" i="13" s="1"/>
  <c r="AH150" i="13"/>
  <c r="AL150" i="13" s="1"/>
  <c r="BS150" i="13" s="1"/>
  <c r="AG150" i="13"/>
  <c r="AK150" i="13" s="1"/>
  <c r="DK150" i="13" s="1"/>
  <c r="AF150" i="13"/>
  <c r="AJ150" i="13" s="1"/>
  <c r="DA150" i="13" s="1"/>
  <c r="AE150" i="13"/>
  <c r="AI150" i="13" s="1"/>
  <c r="CQ150" i="13" s="1"/>
  <c r="K151" i="13"/>
  <c r="DZ149" i="12"/>
  <c r="CJ150" i="12"/>
  <c r="CG150" i="12"/>
  <c r="Y150" i="12"/>
  <c r="W150" i="12"/>
  <c r="X150" i="12"/>
  <c r="AR150" i="12"/>
  <c r="AZ150" i="12" s="1"/>
  <c r="AM150" i="12"/>
  <c r="BT150" i="12" s="1"/>
  <c r="M151" i="12"/>
  <c r="L151" i="12"/>
  <c r="AN151" i="12" s="1"/>
  <c r="AP150" i="12"/>
  <c r="AE150" i="12"/>
  <c r="AG150" i="12"/>
  <c r="AH150" i="12"/>
  <c r="AF150" i="12"/>
  <c r="U150" i="12"/>
  <c r="DI150" i="12" s="1"/>
  <c r="T150" i="12"/>
  <c r="CY150" i="12" s="1"/>
  <c r="S150" i="12"/>
  <c r="CO150" i="12" s="1"/>
  <c r="Q150" i="12"/>
  <c r="AY150" i="12" s="1"/>
  <c r="K151" i="12"/>
  <c r="V150" i="12"/>
  <c r="R150" i="12"/>
  <c r="BQ150" i="12" s="1"/>
  <c r="FD48" i="12" l="1"/>
  <c r="FG48" i="12" s="1"/>
  <c r="CL48" i="12"/>
  <c r="BB49" i="12" s="1"/>
  <c r="CM48" i="12"/>
  <c r="BI48" i="13"/>
  <c r="BF48" i="13"/>
  <c r="BH48" i="13"/>
  <c r="BK48" i="13"/>
  <c r="BG48" i="13"/>
  <c r="N151" i="13"/>
  <c r="AM151" i="13" s="1"/>
  <c r="BT151" i="13" s="1"/>
  <c r="AO151" i="13"/>
  <c r="AR151" i="13" s="1"/>
  <c r="AZ151" i="13" s="1"/>
  <c r="ED149" i="12"/>
  <c r="AA150" i="12"/>
  <c r="CP150" i="12" s="1"/>
  <c r="AB150" i="12"/>
  <c r="CZ150" i="12" s="1"/>
  <c r="AC150" i="12"/>
  <c r="DJ150" i="12" s="1"/>
  <c r="AD150" i="12"/>
  <c r="BR150" i="12" s="1"/>
  <c r="AQ151" i="12"/>
  <c r="BU151" i="12" s="1"/>
  <c r="AS150" i="12"/>
  <c r="DV150" i="12" s="1"/>
  <c r="AO151" i="12"/>
  <c r="AI150" i="12"/>
  <c r="CQ150" i="12" s="1"/>
  <c r="AK150" i="12"/>
  <c r="DK150" i="12" s="1"/>
  <c r="AJ150" i="12"/>
  <c r="DA150" i="12" s="1"/>
  <c r="AL150" i="12"/>
  <c r="BS150" i="12" s="1"/>
  <c r="N151" i="12"/>
  <c r="Z151" i="12" s="1"/>
  <c r="BE49" i="12" l="1"/>
  <c r="BL48" i="13"/>
  <c r="BW48" i="13" s="1"/>
  <c r="BO48" i="13"/>
  <c r="DL48" i="13" s="1"/>
  <c r="BN48" i="13"/>
  <c r="DB48" i="13" s="1"/>
  <c r="BM48" i="13"/>
  <c r="CR48" i="13" s="1"/>
  <c r="AP151" i="13"/>
  <c r="AS151" i="13" s="1"/>
  <c r="DV151" i="13" s="1"/>
  <c r="DZ151" i="13" s="1"/>
  <c r="ED151" i="13" s="1"/>
  <c r="L152" i="13"/>
  <c r="AN152" i="13" s="1"/>
  <c r="AQ152" i="13" s="1"/>
  <c r="BU152" i="13" s="1"/>
  <c r="Q151" i="13"/>
  <c r="AY151" i="13" s="1"/>
  <c r="R151" i="13"/>
  <c r="BQ151" i="13" s="1"/>
  <c r="S151" i="13"/>
  <c r="CO151" i="13" s="1"/>
  <c r="T151" i="13"/>
  <c r="CY151" i="13" s="1"/>
  <c r="U151" i="13"/>
  <c r="DI151" i="13" s="1"/>
  <c r="V151" i="13"/>
  <c r="CG151" i="13"/>
  <c r="K152" i="13"/>
  <c r="M152" i="13"/>
  <c r="W151" i="13"/>
  <c r="AA151" i="13" s="1"/>
  <c r="CP151" i="13" s="1"/>
  <c r="X151" i="13"/>
  <c r="AB151" i="13" s="1"/>
  <c r="CZ151" i="13" s="1"/>
  <c r="Y151" i="13"/>
  <c r="AC151" i="13" s="1"/>
  <c r="DJ151" i="13" s="1"/>
  <c r="Z151" i="13"/>
  <c r="AD151" i="13" s="1"/>
  <c r="BR151" i="13" s="1"/>
  <c r="CJ151" i="13"/>
  <c r="AH151" i="13"/>
  <c r="AL151" i="13" s="1"/>
  <c r="BS151" i="13" s="1"/>
  <c r="AG151" i="13"/>
  <c r="AK151" i="13" s="1"/>
  <c r="DK151" i="13" s="1"/>
  <c r="AF151" i="13"/>
  <c r="AJ151" i="13" s="1"/>
  <c r="DA151" i="13" s="1"/>
  <c r="AE151" i="13"/>
  <c r="AI151" i="13" s="1"/>
  <c r="CQ151" i="13" s="1"/>
  <c r="DZ150" i="12"/>
  <c r="CJ151" i="12"/>
  <c r="CG151" i="12"/>
  <c r="X151" i="12"/>
  <c r="Y151" i="12"/>
  <c r="W151" i="12"/>
  <c r="AR151" i="12"/>
  <c r="AZ151" i="12" s="1"/>
  <c r="AM151" i="12"/>
  <c r="BT151" i="12" s="1"/>
  <c r="M152" i="12"/>
  <c r="L152" i="12"/>
  <c r="AN152" i="12" s="1"/>
  <c r="AP151" i="12"/>
  <c r="AE151" i="12"/>
  <c r="AG151" i="12"/>
  <c r="AH151" i="12"/>
  <c r="AF151" i="12"/>
  <c r="T151" i="12"/>
  <c r="CY151" i="12" s="1"/>
  <c r="K152" i="12"/>
  <c r="V151" i="12"/>
  <c r="U151" i="12"/>
  <c r="DI151" i="12" s="1"/>
  <c r="S151" i="12"/>
  <c r="CO151" i="12" s="1"/>
  <c r="Q151" i="12"/>
  <c r="AY151" i="12" s="1"/>
  <c r="R151" i="12"/>
  <c r="BQ151" i="12" s="1"/>
  <c r="BC49" i="12" l="1"/>
  <c r="BI49" i="12" s="1"/>
  <c r="BX48" i="13"/>
  <c r="CE48" i="13" s="1"/>
  <c r="DM48" i="13"/>
  <c r="DQ48" i="13" s="1"/>
  <c r="DC48" i="13"/>
  <c r="DG48" i="13" s="1"/>
  <c r="CS48" i="13"/>
  <c r="CW48" i="13" s="1"/>
  <c r="N152" i="13"/>
  <c r="AM152" i="13" s="1"/>
  <c r="BT152" i="13" s="1"/>
  <c r="AO152" i="13"/>
  <c r="AR152" i="13" s="1"/>
  <c r="AZ152" i="13" s="1"/>
  <c r="ED150" i="12"/>
  <c r="AA151" i="12"/>
  <c r="CP151" i="12" s="1"/>
  <c r="AB151" i="12"/>
  <c r="CZ151" i="12" s="1"/>
  <c r="AC151" i="12"/>
  <c r="DJ151" i="12" s="1"/>
  <c r="AD151" i="12"/>
  <c r="BR151" i="12" s="1"/>
  <c r="AQ152" i="12"/>
  <c r="BU152" i="12" s="1"/>
  <c r="AS151" i="12"/>
  <c r="DV151" i="12" s="1"/>
  <c r="AO152" i="12"/>
  <c r="AI151" i="12"/>
  <c r="CQ151" i="12" s="1"/>
  <c r="AK151" i="12"/>
  <c r="DK151" i="12" s="1"/>
  <c r="AJ151" i="12"/>
  <c r="DA151" i="12" s="1"/>
  <c r="AL151" i="12"/>
  <c r="BS151" i="12" s="1"/>
  <c r="N152" i="12"/>
  <c r="Z152" i="12" s="1"/>
  <c r="BF49" i="12" l="1"/>
  <c r="BH49" i="12"/>
  <c r="BK49" i="12"/>
  <c r="BG49" i="12"/>
  <c r="CH48" i="13"/>
  <c r="CB48" i="13"/>
  <c r="CI48" i="13"/>
  <c r="CK48" i="13" s="1"/>
  <c r="CC48" i="13"/>
  <c r="BY48" i="13"/>
  <c r="BZ48" i="13"/>
  <c r="CD48" i="13"/>
  <c r="CA48" i="13"/>
  <c r="DP48" i="13"/>
  <c r="DO48" i="13"/>
  <c r="DU48" i="13"/>
  <c r="DY48" i="13" s="1"/>
  <c r="EC48" i="13" s="1"/>
  <c r="FD48" i="13" s="1"/>
  <c r="FG48" i="13" s="1"/>
  <c r="DN48" i="13"/>
  <c r="DF48" i="13"/>
  <c r="DE48" i="13"/>
  <c r="DD48" i="13"/>
  <c r="DT48" i="13"/>
  <c r="DX48" i="13" s="1"/>
  <c r="EB48" i="13" s="1"/>
  <c r="CU48" i="13"/>
  <c r="DS48" i="13"/>
  <c r="DW48" i="13" s="1"/>
  <c r="EA48" i="13" s="1"/>
  <c r="CT48" i="13"/>
  <c r="CV48" i="13"/>
  <c r="K153" i="13"/>
  <c r="L153" i="13"/>
  <c r="AN153" i="13" s="1"/>
  <c r="AQ153" i="13" s="1"/>
  <c r="BU153" i="13" s="1"/>
  <c r="M153" i="13"/>
  <c r="AP152" i="13"/>
  <c r="AS152" i="13" s="1"/>
  <c r="DV152" i="13" s="1"/>
  <c r="DZ152" i="13" s="1"/>
  <c r="ED152" i="13" s="1"/>
  <c r="CG152" i="13"/>
  <c r="Q152" i="13"/>
  <c r="AY152" i="13" s="1"/>
  <c r="R152" i="13"/>
  <c r="BQ152" i="13" s="1"/>
  <c r="S152" i="13"/>
  <c r="CO152" i="13" s="1"/>
  <c r="T152" i="13"/>
  <c r="CY152" i="13" s="1"/>
  <c r="U152" i="13"/>
  <c r="DI152" i="13" s="1"/>
  <c r="V152" i="13"/>
  <c r="W152" i="13"/>
  <c r="AA152" i="13" s="1"/>
  <c r="CP152" i="13" s="1"/>
  <c r="X152" i="13"/>
  <c r="AB152" i="13" s="1"/>
  <c r="CZ152" i="13" s="1"/>
  <c r="Y152" i="13"/>
  <c r="AC152" i="13" s="1"/>
  <c r="DJ152" i="13" s="1"/>
  <c r="Z152" i="13"/>
  <c r="AD152" i="13" s="1"/>
  <c r="BR152" i="13" s="1"/>
  <c r="CJ152" i="13"/>
  <c r="AH152" i="13"/>
  <c r="AL152" i="13" s="1"/>
  <c r="BS152" i="13" s="1"/>
  <c r="AG152" i="13"/>
  <c r="AK152" i="13" s="1"/>
  <c r="DK152" i="13" s="1"/>
  <c r="AF152" i="13"/>
  <c r="AJ152" i="13" s="1"/>
  <c r="DA152" i="13" s="1"/>
  <c r="AE152" i="13"/>
  <c r="AI152" i="13" s="1"/>
  <c r="CQ152" i="13" s="1"/>
  <c r="DZ151" i="12"/>
  <c r="CJ152" i="12"/>
  <c r="CG152" i="12"/>
  <c r="X152" i="12"/>
  <c r="Y152" i="12"/>
  <c r="W152" i="12"/>
  <c r="AR152" i="12"/>
  <c r="AZ152" i="12" s="1"/>
  <c r="AM152" i="12"/>
  <c r="BT152" i="12" s="1"/>
  <c r="M153" i="12"/>
  <c r="L153" i="12"/>
  <c r="AN153" i="12" s="1"/>
  <c r="AP152" i="12"/>
  <c r="AH152" i="12"/>
  <c r="AE152" i="12"/>
  <c r="AG152" i="12"/>
  <c r="AF152" i="12"/>
  <c r="S152" i="12"/>
  <c r="CO152" i="12" s="1"/>
  <c r="R152" i="12"/>
  <c r="BQ152" i="12" s="1"/>
  <c r="V152" i="12"/>
  <c r="Q152" i="12"/>
  <c r="AY152" i="12" s="1"/>
  <c r="K153" i="12"/>
  <c r="U152" i="12"/>
  <c r="DI152" i="12" s="1"/>
  <c r="T152" i="12"/>
  <c r="CY152" i="12" s="1"/>
  <c r="BO49" i="12" l="1"/>
  <c r="DL49" i="12" s="1"/>
  <c r="DM49" i="12" s="1"/>
  <c r="DQ49" i="12" s="1"/>
  <c r="BN49" i="12"/>
  <c r="DB49" i="12" s="1"/>
  <c r="DC49" i="12" s="1"/>
  <c r="DG49" i="12" s="1"/>
  <c r="BM49" i="12"/>
  <c r="CR49" i="12" s="1"/>
  <c r="CS49" i="12" s="1"/>
  <c r="BL49" i="12"/>
  <c r="BW49" i="12" s="1"/>
  <c r="BX49" i="12" s="1"/>
  <c r="CL48" i="13"/>
  <c r="BB49" i="13" s="1"/>
  <c r="CM48" i="13"/>
  <c r="H175" i="11"/>
  <c r="H177" i="11"/>
  <c r="H174" i="11"/>
  <c r="H176" i="11"/>
  <c r="N153" i="13"/>
  <c r="AO153" i="13"/>
  <c r="AR153" i="13" s="1"/>
  <c r="AZ153" i="13" s="1"/>
  <c r="ED151" i="12"/>
  <c r="AA152" i="12"/>
  <c r="CP152" i="12" s="1"/>
  <c r="AB152" i="12"/>
  <c r="CZ152" i="12" s="1"/>
  <c r="AC152" i="12"/>
  <c r="DJ152" i="12" s="1"/>
  <c r="AD152" i="12"/>
  <c r="BR152" i="12" s="1"/>
  <c r="AQ153" i="12"/>
  <c r="BU153" i="12" s="1"/>
  <c r="AS152" i="12"/>
  <c r="DV152" i="12" s="1"/>
  <c r="AO153" i="12"/>
  <c r="AI152" i="12"/>
  <c r="CQ152" i="12" s="1"/>
  <c r="AK152" i="12"/>
  <c r="DK152" i="12" s="1"/>
  <c r="AJ152" i="12"/>
  <c r="DA152" i="12" s="1"/>
  <c r="AL152" i="12"/>
  <c r="BS152" i="12" s="1"/>
  <c r="N153" i="12"/>
  <c r="Z153" i="12" s="1"/>
  <c r="BD49" i="13" l="1"/>
  <c r="EQ49" i="13" s="1"/>
  <c r="ES49" i="13" s="1"/>
  <c r="BE49" i="13"/>
  <c r="BZ49" i="12"/>
  <c r="CH49" i="12"/>
  <c r="CA49" i="12"/>
  <c r="CB49" i="12"/>
  <c r="BY49" i="12"/>
  <c r="CC49" i="12"/>
  <c r="CE49" i="12"/>
  <c r="CD49" i="12"/>
  <c r="CI49" i="12"/>
  <c r="CK49" i="12" s="1"/>
  <c r="DF49" i="12"/>
  <c r="DE49" i="12"/>
  <c r="DT49" i="12"/>
  <c r="DX49" i="12" s="1"/>
  <c r="EB49" i="12" s="1"/>
  <c r="DD49" i="12"/>
  <c r="DU49" i="12"/>
  <c r="DY49" i="12" s="1"/>
  <c r="EC49" i="12" s="1"/>
  <c r="DP49" i="12"/>
  <c r="DN49" i="12"/>
  <c r="DO49" i="12"/>
  <c r="CW49" i="12"/>
  <c r="CU49" i="12"/>
  <c r="CT49" i="12"/>
  <c r="DS49" i="12"/>
  <c r="DW49" i="12" s="1"/>
  <c r="EA49" i="12" s="1"/>
  <c r="CV49" i="12"/>
  <c r="AM153" i="13"/>
  <c r="BT153" i="13" s="1"/>
  <c r="CG153" i="13"/>
  <c r="AP153" i="13"/>
  <c r="AS153" i="13" s="1"/>
  <c r="DV153" i="13" s="1"/>
  <c r="DZ153" i="13" s="1"/>
  <c r="ED153" i="13" s="1"/>
  <c r="K154" i="13"/>
  <c r="L154" i="13"/>
  <c r="AN154" i="13" s="1"/>
  <c r="AQ154" i="13" s="1"/>
  <c r="BU154" i="13" s="1"/>
  <c r="M154" i="13"/>
  <c r="Q153" i="13"/>
  <c r="AY153" i="13" s="1"/>
  <c r="R153" i="13"/>
  <c r="BQ153" i="13" s="1"/>
  <c r="S153" i="13"/>
  <c r="CO153" i="13" s="1"/>
  <c r="T153" i="13"/>
  <c r="CY153" i="13" s="1"/>
  <c r="U153" i="13"/>
  <c r="DI153" i="13" s="1"/>
  <c r="V153" i="13"/>
  <c r="W153" i="13"/>
  <c r="X153" i="13"/>
  <c r="Y153" i="13"/>
  <c r="Z153" i="13"/>
  <c r="CJ153" i="13"/>
  <c r="AH153" i="13"/>
  <c r="AL153" i="13" s="1"/>
  <c r="BS153" i="13" s="1"/>
  <c r="AG153" i="13"/>
  <c r="AK153" i="13" s="1"/>
  <c r="DK153" i="13" s="1"/>
  <c r="AF153" i="13"/>
  <c r="AJ153" i="13" s="1"/>
  <c r="DA153" i="13" s="1"/>
  <c r="AE153" i="13"/>
  <c r="AI153" i="13" s="1"/>
  <c r="CQ153" i="13" s="1"/>
  <c r="DZ152" i="12"/>
  <c r="CJ153" i="12"/>
  <c r="CG153" i="12"/>
  <c r="Y153" i="12"/>
  <c r="X153" i="12"/>
  <c r="W153" i="12"/>
  <c r="AR153" i="12"/>
  <c r="AZ153" i="12" s="1"/>
  <c r="AM153" i="12"/>
  <c r="BT153" i="12" s="1"/>
  <c r="M154" i="12"/>
  <c r="L154" i="12"/>
  <c r="AN154" i="12" s="1"/>
  <c r="AP153" i="12"/>
  <c r="AE153" i="12"/>
  <c r="AH153" i="12"/>
  <c r="AG153" i="12"/>
  <c r="AF153" i="12"/>
  <c r="U153" i="12"/>
  <c r="DI153" i="12" s="1"/>
  <c r="V153" i="12"/>
  <c r="T153" i="12"/>
  <c r="CY153" i="12" s="1"/>
  <c r="R153" i="12"/>
  <c r="BQ153" i="12" s="1"/>
  <c r="Q153" i="12"/>
  <c r="AY153" i="12" s="1"/>
  <c r="S153" i="12"/>
  <c r="CO153" i="12" s="1"/>
  <c r="K154" i="12"/>
  <c r="G45" i="11" l="1"/>
  <c r="G46" i="11"/>
  <c r="FD49" i="12"/>
  <c r="FG49" i="12" s="1"/>
  <c r="BC49" i="13"/>
  <c r="CL49" i="12"/>
  <c r="BB50" i="12" s="1"/>
  <c r="CM49" i="12"/>
  <c r="ET49" i="13"/>
  <c r="EW49" i="13" s="1"/>
  <c r="EZ49" i="13" s="1"/>
  <c r="EU49" i="13"/>
  <c r="EX49" i="13" s="1"/>
  <c r="FA49" i="13" s="1"/>
  <c r="EV49" i="13"/>
  <c r="EY49" i="13" s="1"/>
  <c r="FB49" i="13" s="1"/>
  <c r="FF49" i="13" s="1"/>
  <c r="N154" i="13"/>
  <c r="AO154" i="13"/>
  <c r="AR154" i="13" s="1"/>
  <c r="AZ154" i="13" s="1"/>
  <c r="AA153" i="13"/>
  <c r="CP153" i="13" s="1"/>
  <c r="AB153" i="13"/>
  <c r="CZ153" i="13" s="1"/>
  <c r="AC153" i="13"/>
  <c r="DJ153" i="13" s="1"/>
  <c r="AD153" i="13"/>
  <c r="BR153" i="13" s="1"/>
  <c r="ED152" i="12"/>
  <c r="AA153" i="12"/>
  <c r="CP153" i="12" s="1"/>
  <c r="AB153" i="12"/>
  <c r="CZ153" i="12" s="1"/>
  <c r="AC153" i="12"/>
  <c r="DJ153" i="12" s="1"/>
  <c r="AD153" i="12"/>
  <c r="BR153" i="12" s="1"/>
  <c r="AQ154" i="12"/>
  <c r="BU154" i="12" s="1"/>
  <c r="AS153" i="12"/>
  <c r="DV153" i="12" s="1"/>
  <c r="AO154" i="12"/>
  <c r="AI153" i="12"/>
  <c r="CQ153" i="12" s="1"/>
  <c r="AK153" i="12"/>
  <c r="DK153" i="12" s="1"/>
  <c r="AJ153" i="12"/>
  <c r="DA153" i="12" s="1"/>
  <c r="AL153" i="12"/>
  <c r="BS153" i="12" s="1"/>
  <c r="N154" i="12"/>
  <c r="Z154" i="12" s="1"/>
  <c r="BE50" i="12" l="1"/>
  <c r="BI49" i="13"/>
  <c r="BF49" i="13"/>
  <c r="BH49" i="13"/>
  <c r="BG49" i="13"/>
  <c r="BK49" i="13"/>
  <c r="AM154" i="13"/>
  <c r="BT154" i="13" s="1"/>
  <c r="AP154" i="13"/>
  <c r="AS154" i="13" s="1"/>
  <c r="DV154" i="13" s="1"/>
  <c r="DZ154" i="13" s="1"/>
  <c r="ED154" i="13" s="1"/>
  <c r="K155" i="13"/>
  <c r="M155" i="13"/>
  <c r="CG154" i="13"/>
  <c r="L155" i="13"/>
  <c r="AN155" i="13" s="1"/>
  <c r="AQ155" i="13" s="1"/>
  <c r="BU155" i="13" s="1"/>
  <c r="Q154" i="13"/>
  <c r="AY154" i="13" s="1"/>
  <c r="R154" i="13"/>
  <c r="BQ154" i="13" s="1"/>
  <c r="S154" i="13"/>
  <c r="CO154" i="13" s="1"/>
  <c r="T154" i="13"/>
  <c r="CY154" i="13" s="1"/>
  <c r="U154" i="13"/>
  <c r="DI154" i="13" s="1"/>
  <c r="V154" i="13"/>
  <c r="W154" i="13"/>
  <c r="AA154" i="13" s="1"/>
  <c r="CP154" i="13" s="1"/>
  <c r="X154" i="13"/>
  <c r="AB154" i="13" s="1"/>
  <c r="CZ154" i="13" s="1"/>
  <c r="Y154" i="13"/>
  <c r="AC154" i="13" s="1"/>
  <c r="DJ154" i="13" s="1"/>
  <c r="Z154" i="13"/>
  <c r="AD154" i="13" s="1"/>
  <c r="BR154" i="13" s="1"/>
  <c r="CJ154" i="13"/>
  <c r="AH154" i="13"/>
  <c r="AL154" i="13" s="1"/>
  <c r="BS154" i="13" s="1"/>
  <c r="AG154" i="13"/>
  <c r="AK154" i="13" s="1"/>
  <c r="DK154" i="13" s="1"/>
  <c r="AF154" i="13"/>
  <c r="AJ154" i="13" s="1"/>
  <c r="DA154" i="13" s="1"/>
  <c r="AE154" i="13"/>
  <c r="AI154" i="13" s="1"/>
  <c r="CQ154" i="13" s="1"/>
  <c r="DZ153" i="12"/>
  <c r="CJ154" i="12"/>
  <c r="CG154" i="12"/>
  <c r="Y154" i="12"/>
  <c r="W154" i="12"/>
  <c r="X154" i="12"/>
  <c r="AM154" i="12"/>
  <c r="BT154" i="12" s="1"/>
  <c r="AR154" i="12"/>
  <c r="AZ154" i="12" s="1"/>
  <c r="M155" i="12"/>
  <c r="L155" i="12"/>
  <c r="AN155" i="12" s="1"/>
  <c r="AP154" i="12"/>
  <c r="AF154" i="12"/>
  <c r="AE154" i="12"/>
  <c r="AG154" i="12"/>
  <c r="AH154" i="12"/>
  <c r="V154" i="12"/>
  <c r="U154" i="12"/>
  <c r="DI154" i="12" s="1"/>
  <c r="T154" i="12"/>
  <c r="CY154" i="12" s="1"/>
  <c r="S154" i="12"/>
  <c r="CO154" i="12" s="1"/>
  <c r="R154" i="12"/>
  <c r="BQ154" i="12" s="1"/>
  <c r="Q154" i="12"/>
  <c r="AY154" i="12" s="1"/>
  <c r="K155" i="12"/>
  <c r="BC50" i="12" l="1"/>
  <c r="BO49" i="13"/>
  <c r="DL49" i="13" s="1"/>
  <c r="DM49" i="13" s="1"/>
  <c r="DQ49" i="13" s="1"/>
  <c r="BM49" i="13"/>
  <c r="CR49" i="13" s="1"/>
  <c r="CS49" i="13" s="1"/>
  <c r="CW49" i="13" s="1"/>
  <c r="BN49" i="13"/>
  <c r="DB49" i="13" s="1"/>
  <c r="DC49" i="13" s="1"/>
  <c r="DG49" i="13" s="1"/>
  <c r="BL49" i="13"/>
  <c r="BW49" i="13" s="1"/>
  <c r="BX49" i="13" s="1"/>
  <c r="CE49" i="13" s="1"/>
  <c r="N155" i="13"/>
  <c r="AO155" i="13"/>
  <c r="AR155" i="13" s="1"/>
  <c r="AZ155" i="13" s="1"/>
  <c r="ED153" i="12"/>
  <c r="AA154" i="12"/>
  <c r="CP154" i="12" s="1"/>
  <c r="AB154" i="12"/>
  <c r="CZ154" i="12" s="1"/>
  <c r="AC154" i="12"/>
  <c r="DJ154" i="12" s="1"/>
  <c r="AD154" i="12"/>
  <c r="BR154" i="12" s="1"/>
  <c r="AQ155" i="12"/>
  <c r="BU155" i="12" s="1"/>
  <c r="AS154" i="12"/>
  <c r="DV154" i="12" s="1"/>
  <c r="AO155" i="12"/>
  <c r="AJ154" i="12"/>
  <c r="DA154" i="12" s="1"/>
  <c r="AI154" i="12"/>
  <c r="CQ154" i="12" s="1"/>
  <c r="AK154" i="12"/>
  <c r="DK154" i="12" s="1"/>
  <c r="AL154" i="12"/>
  <c r="BS154" i="12" s="1"/>
  <c r="N155" i="12"/>
  <c r="Z155" i="12" s="1"/>
  <c r="BF50" i="12" l="1"/>
  <c r="BH50" i="12"/>
  <c r="BI50" i="12"/>
  <c r="BG50" i="12"/>
  <c r="BK50" i="12"/>
  <c r="BL50" i="12" s="1"/>
  <c r="BW50" i="12" s="1"/>
  <c r="CI49" i="13"/>
  <c r="CK49" i="13" s="1"/>
  <c r="CA49" i="13"/>
  <c r="CC49" i="13"/>
  <c r="BY49" i="13"/>
  <c r="CD49" i="13"/>
  <c r="CH49" i="13"/>
  <c r="BZ49" i="13"/>
  <c r="CB49" i="13"/>
  <c r="DU49" i="13"/>
  <c r="DY49" i="13" s="1"/>
  <c r="EC49" i="13" s="1"/>
  <c r="FD49" i="13" s="1"/>
  <c r="FG49" i="13" s="1"/>
  <c r="DN49" i="13"/>
  <c r="DP49" i="13"/>
  <c r="DO49" i="13"/>
  <c r="DS49" i="13"/>
  <c r="DW49" i="13" s="1"/>
  <c r="EA49" i="13" s="1"/>
  <c r="CV49" i="13"/>
  <c r="CT49" i="13"/>
  <c r="CU49" i="13"/>
  <c r="DT49" i="13"/>
  <c r="DX49" i="13" s="1"/>
  <c r="EB49" i="13" s="1"/>
  <c r="DD49" i="13"/>
  <c r="DF49" i="13"/>
  <c r="DE49" i="13"/>
  <c r="AM155" i="13"/>
  <c r="BT155" i="13" s="1"/>
  <c r="AE155" i="13"/>
  <c r="AI155" i="13" s="1"/>
  <c r="CQ155" i="13" s="1"/>
  <c r="AF155" i="13"/>
  <c r="AJ155" i="13" s="1"/>
  <c r="DA155" i="13" s="1"/>
  <c r="K156" i="13"/>
  <c r="L156" i="13"/>
  <c r="AN156" i="13" s="1"/>
  <c r="AQ156" i="13" s="1"/>
  <c r="BU156" i="13" s="1"/>
  <c r="M156" i="13"/>
  <c r="CG155" i="13"/>
  <c r="Q155" i="13"/>
  <c r="AY155" i="13" s="1"/>
  <c r="R155" i="13"/>
  <c r="BQ155" i="13" s="1"/>
  <c r="AP155" i="13"/>
  <c r="AS155" i="13" s="1"/>
  <c r="DV155" i="13" s="1"/>
  <c r="DZ155" i="13" s="1"/>
  <c r="ED155" i="13" s="1"/>
  <c r="S155" i="13"/>
  <c r="CO155" i="13" s="1"/>
  <c r="T155" i="13"/>
  <c r="CY155" i="13" s="1"/>
  <c r="U155" i="13"/>
  <c r="DI155" i="13" s="1"/>
  <c r="V155" i="13"/>
  <c r="W155" i="13"/>
  <c r="X155" i="13"/>
  <c r="Y155" i="13"/>
  <c r="Z155" i="13"/>
  <c r="CJ155" i="13"/>
  <c r="AH155" i="13"/>
  <c r="AL155" i="13" s="1"/>
  <c r="BS155" i="13" s="1"/>
  <c r="AG155" i="13"/>
  <c r="AK155" i="13" s="1"/>
  <c r="DK155" i="13" s="1"/>
  <c r="DZ154" i="12"/>
  <c r="CJ155" i="12"/>
  <c r="CG155" i="12"/>
  <c r="Y155" i="12"/>
  <c r="X155" i="12"/>
  <c r="W155" i="12"/>
  <c r="AR155" i="12"/>
  <c r="AZ155" i="12" s="1"/>
  <c r="AM155" i="12"/>
  <c r="BT155" i="12" s="1"/>
  <c r="M156" i="12"/>
  <c r="L156" i="12"/>
  <c r="AN156" i="12" s="1"/>
  <c r="AP155" i="12"/>
  <c r="AG155" i="12"/>
  <c r="AE155" i="12"/>
  <c r="AH155" i="12"/>
  <c r="AF155" i="12"/>
  <c r="U155" i="12"/>
  <c r="DI155" i="12" s="1"/>
  <c r="T155" i="12"/>
  <c r="CY155" i="12" s="1"/>
  <c r="S155" i="12"/>
  <c r="CO155" i="12" s="1"/>
  <c r="R155" i="12"/>
  <c r="BQ155" i="12" s="1"/>
  <c r="Q155" i="12"/>
  <c r="AY155" i="12" s="1"/>
  <c r="K156" i="12"/>
  <c r="V155" i="12"/>
  <c r="BO50" i="12" l="1"/>
  <c r="DL50" i="12" s="1"/>
  <c r="DM50" i="12" s="1"/>
  <c r="BM50" i="12"/>
  <c r="CR50" i="12" s="1"/>
  <c r="CS50" i="12" s="1"/>
  <c r="CW50" i="12" s="1"/>
  <c r="BN50" i="12"/>
  <c r="DB50" i="12" s="1"/>
  <c r="DC50" i="12" s="1"/>
  <c r="DG50" i="12" s="1"/>
  <c r="CL49" i="13"/>
  <c r="BB50" i="13" s="1"/>
  <c r="CM49" i="13"/>
  <c r="H178" i="11"/>
  <c r="H179" i="11"/>
  <c r="H180" i="11"/>
  <c r="H181" i="11"/>
  <c r="BX50" i="12"/>
  <c r="CE50" i="12" s="1"/>
  <c r="N156" i="13"/>
  <c r="AM156" i="13" s="1"/>
  <c r="BT156" i="13" s="1"/>
  <c r="AO156" i="13"/>
  <c r="AR156" i="13" s="1"/>
  <c r="AZ156" i="13" s="1"/>
  <c r="AA155" i="13"/>
  <c r="CP155" i="13" s="1"/>
  <c r="AB155" i="13"/>
  <c r="CZ155" i="13" s="1"/>
  <c r="AC155" i="13"/>
  <c r="DJ155" i="13" s="1"/>
  <c r="AD155" i="13"/>
  <c r="BR155" i="13" s="1"/>
  <c r="ED154" i="12"/>
  <c r="AA155" i="12"/>
  <c r="CP155" i="12" s="1"/>
  <c r="AB155" i="12"/>
  <c r="CZ155" i="12" s="1"/>
  <c r="AC155" i="12"/>
  <c r="DJ155" i="12" s="1"/>
  <c r="AD155" i="12"/>
  <c r="BR155" i="12" s="1"/>
  <c r="AQ156" i="12"/>
  <c r="BU156" i="12" s="1"/>
  <c r="AS155" i="12"/>
  <c r="DV155" i="12" s="1"/>
  <c r="AO156" i="12"/>
  <c r="AK155" i="12"/>
  <c r="DK155" i="12" s="1"/>
  <c r="AI155" i="12"/>
  <c r="CQ155" i="12" s="1"/>
  <c r="AJ155" i="12"/>
  <c r="DA155" i="12" s="1"/>
  <c r="AL155" i="12"/>
  <c r="BS155" i="12" s="1"/>
  <c r="N156" i="12"/>
  <c r="Z156" i="12" s="1"/>
  <c r="DO50" i="12" l="1"/>
  <c r="DQ50" i="12"/>
  <c r="DN50" i="12"/>
  <c r="DU50" i="12"/>
  <c r="DY50" i="12" s="1"/>
  <c r="EC50" i="12" s="1"/>
  <c r="DP50" i="12"/>
  <c r="BE50" i="13"/>
  <c r="BD50" i="13"/>
  <c r="EQ50" i="13" s="1"/>
  <c r="ES50" i="13" s="1"/>
  <c r="CB50" i="12"/>
  <c r="CA50" i="12"/>
  <c r="BZ50" i="12"/>
  <c r="CD50" i="12"/>
  <c r="CC50" i="12"/>
  <c r="CH50" i="12"/>
  <c r="BY50" i="12"/>
  <c r="CI50" i="12"/>
  <c r="CK50" i="12" s="1"/>
  <c r="CV50" i="12"/>
  <c r="CU50" i="12"/>
  <c r="DS50" i="12"/>
  <c r="DW50" i="12" s="1"/>
  <c r="EA50" i="12" s="1"/>
  <c r="CT50" i="12"/>
  <c r="DT50" i="12"/>
  <c r="DX50" i="12" s="1"/>
  <c r="EB50" i="12" s="1"/>
  <c r="DD50" i="12"/>
  <c r="DE50" i="12"/>
  <c r="DF50" i="12"/>
  <c r="M157" i="13"/>
  <c r="AP156" i="13"/>
  <c r="AS156" i="13" s="1"/>
  <c r="DV156" i="13" s="1"/>
  <c r="DZ156" i="13" s="1"/>
  <c r="ED156" i="13" s="1"/>
  <c r="CG156" i="13"/>
  <c r="K157" i="13"/>
  <c r="L157" i="13"/>
  <c r="AN157" i="13" s="1"/>
  <c r="AQ157" i="13" s="1"/>
  <c r="BU157" i="13" s="1"/>
  <c r="Q156" i="13"/>
  <c r="AY156" i="13" s="1"/>
  <c r="R156" i="13"/>
  <c r="BQ156" i="13" s="1"/>
  <c r="S156" i="13"/>
  <c r="CO156" i="13" s="1"/>
  <c r="T156" i="13"/>
  <c r="CY156" i="13" s="1"/>
  <c r="U156" i="13"/>
  <c r="DI156" i="13" s="1"/>
  <c r="V156" i="13"/>
  <c r="W156" i="13"/>
  <c r="AA156" i="13" s="1"/>
  <c r="CP156" i="13" s="1"/>
  <c r="X156" i="13"/>
  <c r="AB156" i="13" s="1"/>
  <c r="CZ156" i="13" s="1"/>
  <c r="Y156" i="13"/>
  <c r="AC156" i="13" s="1"/>
  <c r="DJ156" i="13" s="1"/>
  <c r="Z156" i="13"/>
  <c r="AD156" i="13" s="1"/>
  <c r="BR156" i="13" s="1"/>
  <c r="CJ156" i="13"/>
  <c r="AH156" i="13"/>
  <c r="AL156" i="13" s="1"/>
  <c r="BS156" i="13" s="1"/>
  <c r="AG156" i="13"/>
  <c r="AK156" i="13" s="1"/>
  <c r="DK156" i="13" s="1"/>
  <c r="AF156" i="13"/>
  <c r="AJ156" i="13" s="1"/>
  <c r="DA156" i="13" s="1"/>
  <c r="AE156" i="13"/>
  <c r="AI156" i="13" s="1"/>
  <c r="CQ156" i="13" s="1"/>
  <c r="DZ155" i="12"/>
  <c r="CJ156" i="12"/>
  <c r="CG156" i="12"/>
  <c r="Y156" i="12"/>
  <c r="X156" i="12"/>
  <c r="W156" i="12"/>
  <c r="AM156" i="12"/>
  <c r="BT156" i="12" s="1"/>
  <c r="AR156" i="12"/>
  <c r="AZ156" i="12" s="1"/>
  <c r="M157" i="12"/>
  <c r="L157" i="12"/>
  <c r="AN157" i="12" s="1"/>
  <c r="AP156" i="12"/>
  <c r="AG156" i="12"/>
  <c r="AF156" i="12"/>
  <c r="AE156" i="12"/>
  <c r="AH156" i="12"/>
  <c r="V156" i="12"/>
  <c r="U156" i="12"/>
  <c r="DI156" i="12" s="1"/>
  <c r="T156" i="12"/>
  <c r="CY156" i="12" s="1"/>
  <c r="S156" i="12"/>
  <c r="CO156" i="12" s="1"/>
  <c r="R156" i="12"/>
  <c r="BQ156" i="12" s="1"/>
  <c r="Q156" i="12"/>
  <c r="AY156" i="12" s="1"/>
  <c r="K157" i="12"/>
  <c r="FD50" i="12" l="1"/>
  <c r="FG50" i="12" s="1"/>
  <c r="ET50" i="13"/>
  <c r="EW50" i="13" s="1"/>
  <c r="EZ50" i="13" s="1"/>
  <c r="EU50" i="13"/>
  <c r="EX50" i="13" s="1"/>
  <c r="FA50" i="13" s="1"/>
  <c r="EV50" i="13"/>
  <c r="EY50" i="13" s="1"/>
  <c r="FB50" i="13" s="1"/>
  <c r="FF50" i="13" s="1"/>
  <c r="BC50" i="13"/>
  <c r="CM50" i="12"/>
  <c r="CL50" i="12"/>
  <c r="BB51" i="12" s="1"/>
  <c r="N157" i="13"/>
  <c r="AO157" i="13"/>
  <c r="AR157" i="13" s="1"/>
  <c r="AZ157" i="13" s="1"/>
  <c r="ED155" i="12"/>
  <c r="AA156" i="12"/>
  <c r="CP156" i="12" s="1"/>
  <c r="AB156" i="12"/>
  <c r="CZ156" i="12" s="1"/>
  <c r="AC156" i="12"/>
  <c r="DJ156" i="12" s="1"/>
  <c r="AD156" i="12"/>
  <c r="BR156" i="12" s="1"/>
  <c r="AQ157" i="12"/>
  <c r="BU157" i="12" s="1"/>
  <c r="AS156" i="12"/>
  <c r="DV156" i="12" s="1"/>
  <c r="AO157" i="12"/>
  <c r="AK156" i="12"/>
  <c r="DK156" i="12" s="1"/>
  <c r="AJ156" i="12"/>
  <c r="DA156" i="12" s="1"/>
  <c r="AI156" i="12"/>
  <c r="CQ156" i="12" s="1"/>
  <c r="AL156" i="12"/>
  <c r="BS156" i="12" s="1"/>
  <c r="N157" i="12"/>
  <c r="Z157" i="12" s="1"/>
  <c r="BE51" i="12" l="1"/>
  <c r="BK50" i="13"/>
  <c r="BH50" i="13"/>
  <c r="BF50" i="13"/>
  <c r="BG50" i="13"/>
  <c r="BI50" i="13"/>
  <c r="AM157" i="13"/>
  <c r="BT157" i="13" s="1"/>
  <c r="AP157" i="13"/>
  <c r="AS157" i="13" s="1"/>
  <c r="DV157" i="13" s="1"/>
  <c r="DZ157" i="13" s="1"/>
  <c r="ED157" i="13" s="1"/>
  <c r="CG157" i="13"/>
  <c r="Q157" i="13"/>
  <c r="AY157" i="13" s="1"/>
  <c r="R157" i="13"/>
  <c r="BQ157" i="13" s="1"/>
  <c r="S157" i="13"/>
  <c r="CO157" i="13" s="1"/>
  <c r="T157" i="13"/>
  <c r="CY157" i="13" s="1"/>
  <c r="U157" i="13"/>
  <c r="DI157" i="13" s="1"/>
  <c r="V157" i="13"/>
  <c r="K158" i="13"/>
  <c r="W157" i="13"/>
  <c r="X157" i="13"/>
  <c r="Y157" i="13"/>
  <c r="AC157" i="13" s="1"/>
  <c r="DJ157" i="13" s="1"/>
  <c r="Z157" i="13"/>
  <c r="AD157" i="13" s="1"/>
  <c r="BR157" i="13" s="1"/>
  <c r="CJ157" i="13"/>
  <c r="AH157" i="13"/>
  <c r="AL157" i="13" s="1"/>
  <c r="BS157" i="13" s="1"/>
  <c r="AG157" i="13"/>
  <c r="AK157" i="13" s="1"/>
  <c r="DK157" i="13" s="1"/>
  <c r="AF157" i="13"/>
  <c r="AJ157" i="13" s="1"/>
  <c r="DA157" i="13" s="1"/>
  <c r="AE157" i="13"/>
  <c r="AI157" i="13" s="1"/>
  <c r="CQ157" i="13" s="1"/>
  <c r="L158" i="13"/>
  <c r="AN158" i="13" s="1"/>
  <c r="AQ158" i="13" s="1"/>
  <c r="BU158" i="13" s="1"/>
  <c r="M158" i="13"/>
  <c r="DZ156" i="12"/>
  <c r="CJ157" i="12"/>
  <c r="CG157" i="12"/>
  <c r="X157" i="12"/>
  <c r="W157" i="12"/>
  <c r="Y157" i="12"/>
  <c r="AR157" i="12"/>
  <c r="AZ157" i="12" s="1"/>
  <c r="AM157" i="12"/>
  <c r="BT157" i="12" s="1"/>
  <c r="M158" i="12"/>
  <c r="L158" i="12"/>
  <c r="AN158" i="12" s="1"/>
  <c r="AP157" i="12"/>
  <c r="AE157" i="12"/>
  <c r="AG157" i="12"/>
  <c r="AH157" i="12"/>
  <c r="AF157" i="12"/>
  <c r="Q157" i="12"/>
  <c r="AY157" i="12" s="1"/>
  <c r="K158" i="12"/>
  <c r="V157" i="12"/>
  <c r="T157" i="12"/>
  <c r="CY157" i="12" s="1"/>
  <c r="R157" i="12"/>
  <c r="BQ157" i="12" s="1"/>
  <c r="U157" i="12"/>
  <c r="DI157" i="12" s="1"/>
  <c r="S157" i="12"/>
  <c r="CO157" i="12" s="1"/>
  <c r="BM50" i="13" l="1"/>
  <c r="CR50" i="13" s="1"/>
  <c r="BN50" i="13"/>
  <c r="DB50" i="13" s="1"/>
  <c r="BO50" i="13"/>
  <c r="DL50" i="13" s="1"/>
  <c r="DM50" i="13" s="1"/>
  <c r="BL50" i="13"/>
  <c r="BW50" i="13" s="1"/>
  <c r="BC51" i="12"/>
  <c r="N158" i="13"/>
  <c r="AM158" i="13" s="1"/>
  <c r="BT158" i="13" s="1"/>
  <c r="AA157" i="13"/>
  <c r="CP157" i="13" s="1"/>
  <c r="AB157" i="13"/>
  <c r="CZ157" i="13" s="1"/>
  <c r="AO158" i="13"/>
  <c r="AR158" i="13" s="1"/>
  <c r="AZ158" i="13" s="1"/>
  <c r="ED156" i="12"/>
  <c r="AA157" i="12"/>
  <c r="CP157" i="12" s="1"/>
  <c r="AB157" i="12"/>
  <c r="CZ157" i="12" s="1"/>
  <c r="AC157" i="12"/>
  <c r="DJ157" i="12" s="1"/>
  <c r="AD157" i="12"/>
  <c r="BR157" i="12" s="1"/>
  <c r="AQ158" i="12"/>
  <c r="BU158" i="12" s="1"/>
  <c r="AS157" i="12"/>
  <c r="DV157" i="12" s="1"/>
  <c r="AO158" i="12"/>
  <c r="AI157" i="12"/>
  <c r="CQ157" i="12" s="1"/>
  <c r="AK157" i="12"/>
  <c r="DK157" i="12" s="1"/>
  <c r="AJ157" i="12"/>
  <c r="DA157" i="12" s="1"/>
  <c r="AL157" i="12"/>
  <c r="BS157" i="12" s="1"/>
  <c r="N158" i="12"/>
  <c r="Z158" i="12" s="1"/>
  <c r="CS50" i="13" l="1"/>
  <c r="CW50" i="13" s="1"/>
  <c r="DC50" i="13"/>
  <c r="DG50" i="13" s="1"/>
  <c r="DO50" i="13"/>
  <c r="DN50" i="13"/>
  <c r="DP50" i="13"/>
  <c r="DU50" i="13"/>
  <c r="DY50" i="13" s="1"/>
  <c r="EC50" i="13" s="1"/>
  <c r="FD50" i="13" s="1"/>
  <c r="FG50" i="13" s="1"/>
  <c r="DQ50" i="13"/>
  <c r="BX50" i="13"/>
  <c r="CE50" i="13" s="1"/>
  <c r="BG51" i="12"/>
  <c r="BK51" i="12"/>
  <c r="BF51" i="12"/>
  <c r="BH51" i="12"/>
  <c r="BI51" i="12"/>
  <c r="Q158" i="13"/>
  <c r="AY158" i="13" s="1"/>
  <c r="R158" i="13"/>
  <c r="BQ158" i="13" s="1"/>
  <c r="S158" i="13"/>
  <c r="CO158" i="13" s="1"/>
  <c r="AP158" i="13"/>
  <c r="AS158" i="13" s="1"/>
  <c r="DV158" i="13" s="1"/>
  <c r="DZ158" i="13" s="1"/>
  <c r="ED158" i="13" s="1"/>
  <c r="CG158" i="13"/>
  <c r="K159" i="13"/>
  <c r="L159" i="13"/>
  <c r="AN159" i="13" s="1"/>
  <c r="AQ159" i="13" s="1"/>
  <c r="BU159" i="13" s="1"/>
  <c r="M159" i="13"/>
  <c r="T158" i="13"/>
  <c r="CY158" i="13" s="1"/>
  <c r="U158" i="13"/>
  <c r="DI158" i="13" s="1"/>
  <c r="V158" i="13"/>
  <c r="W158" i="13"/>
  <c r="AA158" i="13" s="1"/>
  <c r="CP158" i="13" s="1"/>
  <c r="X158" i="13"/>
  <c r="AB158" i="13" s="1"/>
  <c r="CZ158" i="13" s="1"/>
  <c r="Y158" i="13"/>
  <c r="AC158" i="13" s="1"/>
  <c r="DJ158" i="13" s="1"/>
  <c r="Z158" i="13"/>
  <c r="AD158" i="13" s="1"/>
  <c r="BR158" i="13" s="1"/>
  <c r="CJ158" i="13"/>
  <c r="AH158" i="13"/>
  <c r="AL158" i="13" s="1"/>
  <c r="BS158" i="13" s="1"/>
  <c r="AG158" i="13"/>
  <c r="AK158" i="13" s="1"/>
  <c r="DK158" i="13" s="1"/>
  <c r="AF158" i="13"/>
  <c r="AJ158" i="13" s="1"/>
  <c r="DA158" i="13" s="1"/>
  <c r="AE158" i="13"/>
  <c r="AI158" i="13" s="1"/>
  <c r="CQ158" i="13" s="1"/>
  <c r="DZ157" i="12"/>
  <c r="CJ158" i="12"/>
  <c r="CG158" i="12"/>
  <c r="X158" i="12"/>
  <c r="Y158" i="12"/>
  <c r="W158" i="12"/>
  <c r="AM158" i="12"/>
  <c r="BT158" i="12" s="1"/>
  <c r="AR158" i="12"/>
  <c r="AZ158" i="12" s="1"/>
  <c r="M159" i="12"/>
  <c r="L159" i="12"/>
  <c r="AN159" i="12" s="1"/>
  <c r="AP158" i="12"/>
  <c r="AH158" i="12"/>
  <c r="AE158" i="12"/>
  <c r="AG158" i="12"/>
  <c r="AF158" i="12"/>
  <c r="V158" i="12"/>
  <c r="U158" i="12"/>
  <c r="DI158" i="12" s="1"/>
  <c r="T158" i="12"/>
  <c r="CY158" i="12" s="1"/>
  <c r="S158" i="12"/>
  <c r="CO158" i="12" s="1"/>
  <c r="R158" i="12"/>
  <c r="BQ158" i="12" s="1"/>
  <c r="Q158" i="12"/>
  <c r="AY158" i="12" s="1"/>
  <c r="K159" i="12"/>
  <c r="CV50" i="13" l="1"/>
  <c r="CU50" i="13"/>
  <c r="CT50" i="13"/>
  <c r="DS50" i="13"/>
  <c r="DW50" i="13" s="1"/>
  <c r="EA50" i="13" s="1"/>
  <c r="DE50" i="13"/>
  <c r="DD50" i="13"/>
  <c r="DT50" i="13"/>
  <c r="DX50" i="13" s="1"/>
  <c r="EB50" i="13" s="1"/>
  <c r="DF50" i="13"/>
  <c r="H185" i="11"/>
  <c r="H184" i="11"/>
  <c r="H182" i="11"/>
  <c r="H183" i="11"/>
  <c r="CD50" i="13"/>
  <c r="CC50" i="13"/>
  <c r="BZ50" i="13"/>
  <c r="CB50" i="13"/>
  <c r="BY50" i="13"/>
  <c r="CA50" i="13"/>
  <c r="CI50" i="13"/>
  <c r="CK50" i="13" s="1"/>
  <c r="CH50" i="13"/>
  <c r="BL51" i="12"/>
  <c r="BW51" i="12" s="1"/>
  <c r="BO51" i="12"/>
  <c r="DL51" i="12" s="1"/>
  <c r="DM51" i="12" s="1"/>
  <c r="BM51" i="12"/>
  <c r="CR51" i="12" s="1"/>
  <c r="CS51" i="12" s="1"/>
  <c r="BN51" i="12"/>
  <c r="DB51" i="12" s="1"/>
  <c r="DC51" i="12" s="1"/>
  <c r="N159" i="13"/>
  <c r="AM159" i="13" s="1"/>
  <c r="BT159" i="13" s="1"/>
  <c r="AO159" i="13"/>
  <c r="AR159" i="13" s="1"/>
  <c r="AZ159" i="13" s="1"/>
  <c r="ED157" i="12"/>
  <c r="AA158" i="12"/>
  <c r="CP158" i="12" s="1"/>
  <c r="AB158" i="12"/>
  <c r="CZ158" i="12" s="1"/>
  <c r="AC158" i="12"/>
  <c r="DJ158" i="12" s="1"/>
  <c r="AD158" i="12"/>
  <c r="BR158" i="12" s="1"/>
  <c r="AQ159" i="12"/>
  <c r="BU159" i="12" s="1"/>
  <c r="AS158" i="12"/>
  <c r="DV158" i="12" s="1"/>
  <c r="AO159" i="12"/>
  <c r="AI158" i="12"/>
  <c r="CQ158" i="12" s="1"/>
  <c r="AK158" i="12"/>
  <c r="DK158" i="12" s="1"/>
  <c r="AJ158" i="12"/>
  <c r="DA158" i="12" s="1"/>
  <c r="AL158" i="12"/>
  <c r="BS158" i="12" s="1"/>
  <c r="N159" i="12"/>
  <c r="Z159" i="12" s="1"/>
  <c r="CM50" i="13" l="1"/>
  <c r="CL50" i="13"/>
  <c r="BB51" i="13" s="1"/>
  <c r="BX51" i="12"/>
  <c r="CH51" i="12" s="1"/>
  <c r="DQ51" i="12"/>
  <c r="DP51" i="12"/>
  <c r="DN51" i="12"/>
  <c r="DO51" i="12"/>
  <c r="DU51" i="12"/>
  <c r="DY51" i="12" s="1"/>
  <c r="EC51" i="12" s="1"/>
  <c r="G47" i="11" s="1"/>
  <c r="CW51" i="12"/>
  <c r="DS51" i="12"/>
  <c r="DW51" i="12" s="1"/>
  <c r="EA51" i="12" s="1"/>
  <c r="CU51" i="12"/>
  <c r="CT51" i="12"/>
  <c r="CV51" i="12"/>
  <c r="DF51" i="12"/>
  <c r="DD51" i="12"/>
  <c r="DT51" i="12"/>
  <c r="DX51" i="12" s="1"/>
  <c r="EB51" i="12" s="1"/>
  <c r="DG51" i="12"/>
  <c r="DE51" i="12"/>
  <c r="Q159" i="13"/>
  <c r="AY159" i="13" s="1"/>
  <c r="R159" i="13"/>
  <c r="BQ159" i="13" s="1"/>
  <c r="T159" i="13"/>
  <c r="CY159" i="13" s="1"/>
  <c r="U159" i="13"/>
  <c r="DI159" i="13" s="1"/>
  <c r="V159" i="13"/>
  <c r="W159" i="13"/>
  <c r="X159" i="13"/>
  <c r="Y159" i="13"/>
  <c r="Z159" i="13"/>
  <c r="AD159" i="13" s="1"/>
  <c r="BR159" i="13" s="1"/>
  <c r="CJ159" i="13"/>
  <c r="AH159" i="13"/>
  <c r="AL159" i="13" s="1"/>
  <c r="BS159" i="13" s="1"/>
  <c r="AG159" i="13"/>
  <c r="AK159" i="13" s="1"/>
  <c r="DK159" i="13" s="1"/>
  <c r="AF159" i="13"/>
  <c r="AJ159" i="13" s="1"/>
  <c r="DA159" i="13" s="1"/>
  <c r="AE159" i="13"/>
  <c r="AI159" i="13" s="1"/>
  <c r="CQ159" i="13" s="1"/>
  <c r="AP159" i="13"/>
  <c r="AS159" i="13" s="1"/>
  <c r="DV159" i="13" s="1"/>
  <c r="DZ159" i="13" s="1"/>
  <c r="ED159" i="13" s="1"/>
  <c r="CG159" i="13"/>
  <c r="K160" i="13"/>
  <c r="L160" i="13"/>
  <c r="AN160" i="13" s="1"/>
  <c r="AQ160" i="13" s="1"/>
  <c r="BU160" i="13" s="1"/>
  <c r="M160" i="13"/>
  <c r="S159" i="13"/>
  <c r="CO159" i="13" s="1"/>
  <c r="DZ158" i="12"/>
  <c r="CJ159" i="12"/>
  <c r="CG159" i="12"/>
  <c r="X159" i="12"/>
  <c r="W159" i="12"/>
  <c r="Y159" i="12"/>
  <c r="AM159" i="12"/>
  <c r="BT159" i="12" s="1"/>
  <c r="AR159" i="12"/>
  <c r="AZ159" i="12" s="1"/>
  <c r="M160" i="12"/>
  <c r="L160" i="12"/>
  <c r="AN160" i="12" s="1"/>
  <c r="AP159" i="12"/>
  <c r="AE159" i="12"/>
  <c r="AF159" i="12"/>
  <c r="AG159" i="12"/>
  <c r="AH159" i="12"/>
  <c r="K160" i="12"/>
  <c r="V159" i="12"/>
  <c r="U159" i="12"/>
  <c r="DI159" i="12" s="1"/>
  <c r="T159" i="12"/>
  <c r="CY159" i="12" s="1"/>
  <c r="S159" i="12"/>
  <c r="CO159" i="12" s="1"/>
  <c r="R159" i="12"/>
  <c r="BQ159" i="12" s="1"/>
  <c r="Q159" i="12"/>
  <c r="AY159" i="12" s="1"/>
  <c r="FD51" i="12" l="1"/>
  <c r="FG51" i="12" s="1"/>
  <c r="CI51" i="12"/>
  <c r="CK51" i="12" s="1"/>
  <c r="CC51" i="12"/>
  <c r="CB51" i="12"/>
  <c r="BY51" i="12"/>
  <c r="CD51" i="12"/>
  <c r="BZ51" i="12"/>
  <c r="CA51" i="12"/>
  <c r="CE51" i="12"/>
  <c r="CM51" i="12"/>
  <c r="CL51" i="12"/>
  <c r="BB52" i="12" s="1"/>
  <c r="BD51" i="13"/>
  <c r="EQ51" i="13" s="1"/>
  <c r="ES51" i="13" s="1"/>
  <c r="BE51" i="13"/>
  <c r="AO160" i="13"/>
  <c r="AR160" i="13" s="1"/>
  <c r="AZ160" i="13" s="1"/>
  <c r="N160" i="13"/>
  <c r="AA159" i="13"/>
  <c r="CP159" i="13" s="1"/>
  <c r="AB159" i="13"/>
  <c r="CZ159" i="13" s="1"/>
  <c r="AC159" i="13"/>
  <c r="DJ159" i="13" s="1"/>
  <c r="ED158" i="12"/>
  <c r="AA159" i="12"/>
  <c r="CP159" i="12" s="1"/>
  <c r="AB159" i="12"/>
  <c r="CZ159" i="12" s="1"/>
  <c r="AC159" i="12"/>
  <c r="DJ159" i="12" s="1"/>
  <c r="AD159" i="12"/>
  <c r="BR159" i="12" s="1"/>
  <c r="AQ160" i="12"/>
  <c r="BU160" i="12" s="1"/>
  <c r="AS159" i="12"/>
  <c r="DV159" i="12" s="1"/>
  <c r="AO160" i="12"/>
  <c r="AI159" i="12"/>
  <c r="CQ159" i="12" s="1"/>
  <c r="AJ159" i="12"/>
  <c r="DA159" i="12" s="1"/>
  <c r="AK159" i="12"/>
  <c r="DK159" i="12" s="1"/>
  <c r="AL159" i="12"/>
  <c r="BS159" i="12" s="1"/>
  <c r="N160" i="12"/>
  <c r="Z160" i="12" s="1"/>
  <c r="BE52" i="12" l="1"/>
  <c r="BC51" i="13"/>
  <c r="EV51" i="13"/>
  <c r="EY51" i="13" s="1"/>
  <c r="FB51" i="13" s="1"/>
  <c r="FF51" i="13" s="1"/>
  <c r="ET51" i="13"/>
  <c r="EW51" i="13" s="1"/>
  <c r="EZ51" i="13" s="1"/>
  <c r="EU51" i="13"/>
  <c r="EX51" i="13" s="1"/>
  <c r="FA51" i="13" s="1"/>
  <c r="AP160" i="13"/>
  <c r="AS160" i="13" s="1"/>
  <c r="DV160" i="13" s="1"/>
  <c r="DZ160" i="13" s="1"/>
  <c r="ED160" i="13" s="1"/>
  <c r="L161" i="13"/>
  <c r="AN161" i="13" s="1"/>
  <c r="AQ161" i="13" s="1"/>
  <c r="BU161" i="13" s="1"/>
  <c r="AM160" i="13"/>
  <c r="BT160" i="13" s="1"/>
  <c r="R160" i="13"/>
  <c r="BQ160" i="13" s="1"/>
  <c r="T160" i="13"/>
  <c r="CY160" i="13" s="1"/>
  <c r="CG160" i="13"/>
  <c r="K161" i="13"/>
  <c r="M161" i="13"/>
  <c r="Q160" i="13"/>
  <c r="AY160" i="13" s="1"/>
  <c r="S160" i="13"/>
  <c r="CO160" i="13" s="1"/>
  <c r="U160" i="13"/>
  <c r="DI160" i="13" s="1"/>
  <c r="V160" i="13"/>
  <c r="W160" i="13"/>
  <c r="AA160" i="13" s="1"/>
  <c r="CP160" i="13" s="1"/>
  <c r="X160" i="13"/>
  <c r="AB160" i="13" s="1"/>
  <c r="CZ160" i="13" s="1"/>
  <c r="Y160" i="13"/>
  <c r="AC160" i="13" s="1"/>
  <c r="DJ160" i="13" s="1"/>
  <c r="Z160" i="13"/>
  <c r="AD160" i="13" s="1"/>
  <c r="BR160" i="13" s="1"/>
  <c r="CJ160" i="13"/>
  <c r="AH160" i="13"/>
  <c r="AL160" i="13" s="1"/>
  <c r="BS160" i="13" s="1"/>
  <c r="AG160" i="13"/>
  <c r="AK160" i="13" s="1"/>
  <c r="DK160" i="13" s="1"/>
  <c r="AF160" i="13"/>
  <c r="AJ160" i="13" s="1"/>
  <c r="DA160" i="13" s="1"/>
  <c r="AE160" i="13"/>
  <c r="AI160" i="13" s="1"/>
  <c r="CQ160" i="13" s="1"/>
  <c r="DZ159" i="12"/>
  <c r="CJ160" i="12"/>
  <c r="CG160" i="12"/>
  <c r="Y160" i="12"/>
  <c r="W160" i="12"/>
  <c r="X160" i="12"/>
  <c r="AR160" i="12"/>
  <c r="AZ160" i="12" s="1"/>
  <c r="AM160" i="12"/>
  <c r="BT160" i="12" s="1"/>
  <c r="M161" i="12"/>
  <c r="L161" i="12"/>
  <c r="AN161" i="12" s="1"/>
  <c r="AP160" i="12"/>
  <c r="AF160" i="12"/>
  <c r="AH160" i="12"/>
  <c r="AE160" i="12"/>
  <c r="AG160" i="12"/>
  <c r="S160" i="12"/>
  <c r="CO160" i="12" s="1"/>
  <c r="T160" i="12"/>
  <c r="CY160" i="12" s="1"/>
  <c r="K161" i="12"/>
  <c r="R160" i="12"/>
  <c r="BQ160" i="12" s="1"/>
  <c r="V160" i="12"/>
  <c r="U160" i="12"/>
  <c r="DI160" i="12" s="1"/>
  <c r="Q160" i="12"/>
  <c r="AY160" i="12" s="1"/>
  <c r="BC52" i="12" l="1"/>
  <c r="BI51" i="13"/>
  <c r="BG51" i="13"/>
  <c r="BH51" i="13"/>
  <c r="BK51" i="13"/>
  <c r="BF51" i="13"/>
  <c r="N161" i="13"/>
  <c r="AM161" i="13" s="1"/>
  <c r="BT161" i="13" s="1"/>
  <c r="AO161" i="13"/>
  <c r="AR161" i="13" s="1"/>
  <c r="AZ161" i="13" s="1"/>
  <c r="ED159" i="12"/>
  <c r="AA160" i="12"/>
  <c r="CP160" i="12" s="1"/>
  <c r="AB160" i="12"/>
  <c r="CZ160" i="12" s="1"/>
  <c r="AC160" i="12"/>
  <c r="DJ160" i="12" s="1"/>
  <c r="AD160" i="12"/>
  <c r="BR160" i="12" s="1"/>
  <c r="AQ161" i="12"/>
  <c r="BU161" i="12" s="1"/>
  <c r="AS160" i="12"/>
  <c r="DV160" i="12" s="1"/>
  <c r="AO161" i="12"/>
  <c r="AJ160" i="12"/>
  <c r="DA160" i="12" s="1"/>
  <c r="AI160" i="12"/>
  <c r="CQ160" i="12" s="1"/>
  <c r="AK160" i="12"/>
  <c r="DK160" i="12" s="1"/>
  <c r="AL160" i="12"/>
  <c r="BS160" i="12" s="1"/>
  <c r="N161" i="12"/>
  <c r="Z161" i="12" s="1"/>
  <c r="BF52" i="12" l="1"/>
  <c r="BI52" i="12"/>
  <c r="BK52" i="12"/>
  <c r="BG52" i="12"/>
  <c r="BH52" i="12"/>
  <c r="BO51" i="13"/>
  <c r="DL51" i="13" s="1"/>
  <c r="BM51" i="13"/>
  <c r="CR51" i="13" s="1"/>
  <c r="BN51" i="13"/>
  <c r="DB51" i="13" s="1"/>
  <c r="BL51" i="13"/>
  <c r="BW51" i="13" s="1"/>
  <c r="T161" i="13"/>
  <c r="CY161" i="13" s="1"/>
  <c r="V161" i="13"/>
  <c r="W161" i="13"/>
  <c r="AA161" i="13" s="1"/>
  <c r="CP161" i="13" s="1"/>
  <c r="X161" i="13"/>
  <c r="AB161" i="13" s="1"/>
  <c r="CZ161" i="13" s="1"/>
  <c r="Y161" i="13"/>
  <c r="Z161" i="13"/>
  <c r="CJ161" i="13"/>
  <c r="AH161" i="13"/>
  <c r="AL161" i="13" s="1"/>
  <c r="BS161" i="13" s="1"/>
  <c r="AG161" i="13"/>
  <c r="AK161" i="13" s="1"/>
  <c r="DK161" i="13" s="1"/>
  <c r="AP161" i="13"/>
  <c r="AS161" i="13" s="1"/>
  <c r="DV161" i="13" s="1"/>
  <c r="DZ161" i="13" s="1"/>
  <c r="ED161" i="13" s="1"/>
  <c r="CG161" i="13"/>
  <c r="L162" i="13"/>
  <c r="AN162" i="13" s="1"/>
  <c r="AQ162" i="13" s="1"/>
  <c r="BU162" i="13" s="1"/>
  <c r="K162" i="13"/>
  <c r="M162" i="13"/>
  <c r="R161" i="13"/>
  <c r="BQ161" i="13" s="1"/>
  <c r="Q161" i="13"/>
  <c r="AY161" i="13" s="1"/>
  <c r="S161" i="13"/>
  <c r="CO161" i="13" s="1"/>
  <c r="U161" i="13"/>
  <c r="DI161" i="13" s="1"/>
  <c r="AF161" i="13"/>
  <c r="AJ161" i="13" s="1"/>
  <c r="DA161" i="13" s="1"/>
  <c r="AE161" i="13"/>
  <c r="AI161" i="13" s="1"/>
  <c r="CQ161" i="13" s="1"/>
  <c r="DZ160" i="12"/>
  <c r="CJ161" i="12"/>
  <c r="CG161" i="12"/>
  <c r="W161" i="12"/>
  <c r="X161" i="12"/>
  <c r="Y161" i="12"/>
  <c r="AR161" i="12"/>
  <c r="AZ161" i="12" s="1"/>
  <c r="AM161" i="12"/>
  <c r="BT161" i="12" s="1"/>
  <c r="M162" i="12"/>
  <c r="L162" i="12"/>
  <c r="AN162" i="12" s="1"/>
  <c r="AP161" i="12"/>
  <c r="AE161" i="12"/>
  <c r="AF161" i="12"/>
  <c r="AH161" i="12"/>
  <c r="AG161" i="12"/>
  <c r="V161" i="12"/>
  <c r="U161" i="12"/>
  <c r="DI161" i="12" s="1"/>
  <c r="R161" i="12"/>
  <c r="BQ161" i="12" s="1"/>
  <c r="K162" i="12"/>
  <c r="T161" i="12"/>
  <c r="CY161" i="12" s="1"/>
  <c r="S161" i="12"/>
  <c r="CO161" i="12" s="1"/>
  <c r="Q161" i="12"/>
  <c r="AY161" i="12" s="1"/>
  <c r="DM51" i="13" l="1"/>
  <c r="DQ51" i="13" s="1"/>
  <c r="BM52" i="12"/>
  <c r="CR52" i="12" s="1"/>
  <c r="CS52" i="12" s="1"/>
  <c r="CW52" i="12" s="1"/>
  <c r="BN52" i="12"/>
  <c r="DB52" i="12" s="1"/>
  <c r="DC52" i="12" s="1"/>
  <c r="DG52" i="12" s="1"/>
  <c r="BL52" i="12"/>
  <c r="BW52" i="12" s="1"/>
  <c r="BX52" i="12" s="1"/>
  <c r="CE52" i="12" s="1"/>
  <c r="BO52" i="12"/>
  <c r="DL52" i="12" s="1"/>
  <c r="DM52" i="12" s="1"/>
  <c r="DQ52" i="12" s="1"/>
  <c r="CS51" i="13"/>
  <c r="CW51" i="13" s="1"/>
  <c r="BX51" i="13"/>
  <c r="CE51" i="13" s="1"/>
  <c r="DC51" i="13"/>
  <c r="DG51" i="13" s="1"/>
  <c r="N162" i="13"/>
  <c r="AM162" i="13" s="1"/>
  <c r="BT162" i="13" s="1"/>
  <c r="AC161" i="13"/>
  <c r="DJ161" i="13" s="1"/>
  <c r="AD161" i="13"/>
  <c r="BR161" i="13" s="1"/>
  <c r="AO162" i="13"/>
  <c r="AR162" i="13" s="1"/>
  <c r="AZ162" i="13" s="1"/>
  <c r="ED160" i="12"/>
  <c r="AA161" i="12"/>
  <c r="CP161" i="12" s="1"/>
  <c r="AB161" i="12"/>
  <c r="CZ161" i="12" s="1"/>
  <c r="AC161" i="12"/>
  <c r="DJ161" i="12" s="1"/>
  <c r="AD161" i="12"/>
  <c r="BR161" i="12" s="1"/>
  <c r="AQ162" i="12"/>
  <c r="BU162" i="12" s="1"/>
  <c r="AS161" i="12"/>
  <c r="DV161" i="12" s="1"/>
  <c r="AO162" i="12"/>
  <c r="AI161" i="12"/>
  <c r="CQ161" i="12" s="1"/>
  <c r="AJ161" i="12"/>
  <c r="DA161" i="12" s="1"/>
  <c r="AK161" i="12"/>
  <c r="DK161" i="12" s="1"/>
  <c r="AL161" i="12"/>
  <c r="BS161" i="12" s="1"/>
  <c r="N162" i="12"/>
  <c r="Z162" i="12" s="1"/>
  <c r="DU51" i="13" l="1"/>
  <c r="DY51" i="13" s="1"/>
  <c r="EC51" i="13" s="1"/>
  <c r="FD51" i="13" s="1"/>
  <c r="FG51" i="13" s="1"/>
  <c r="DN51" i="13"/>
  <c r="DO51" i="13"/>
  <c r="DP51" i="13"/>
  <c r="CU51" i="13"/>
  <c r="DS51" i="13"/>
  <c r="DW51" i="13" s="1"/>
  <c r="EA51" i="13" s="1"/>
  <c r="CV51" i="13"/>
  <c r="CT51" i="13"/>
  <c r="BY51" i="13"/>
  <c r="CC51" i="13"/>
  <c r="CI51" i="13"/>
  <c r="CK51" i="13" s="1"/>
  <c r="BZ51" i="13"/>
  <c r="CA51" i="13"/>
  <c r="CD51" i="13"/>
  <c r="CB51" i="13"/>
  <c r="CH51" i="13"/>
  <c r="DE51" i="13"/>
  <c r="DD51" i="13"/>
  <c r="DT51" i="13"/>
  <c r="DX51" i="13" s="1"/>
  <c r="EB51" i="13" s="1"/>
  <c r="DF51" i="13"/>
  <c r="CU52" i="12"/>
  <c r="CV52" i="12"/>
  <c r="CT52" i="12"/>
  <c r="DS52" i="12"/>
  <c r="DW52" i="12" s="1"/>
  <c r="EA52" i="12" s="1"/>
  <c r="DT52" i="12"/>
  <c r="DX52" i="12" s="1"/>
  <c r="EB52" i="12" s="1"/>
  <c r="DF52" i="12"/>
  <c r="DE52" i="12"/>
  <c r="DD52" i="12"/>
  <c r="CH52" i="12"/>
  <c r="CD52" i="12"/>
  <c r="BY52" i="12"/>
  <c r="BZ52" i="12"/>
  <c r="CA52" i="12"/>
  <c r="CC52" i="12"/>
  <c r="CB52" i="12"/>
  <c r="CI52" i="12"/>
  <c r="CK52" i="12" s="1"/>
  <c r="DO52" i="12"/>
  <c r="DN52" i="12"/>
  <c r="DU52" i="12"/>
  <c r="DY52" i="12" s="1"/>
  <c r="EC52" i="12" s="1"/>
  <c r="G48" i="11" s="1"/>
  <c r="DP52" i="12"/>
  <c r="AP162" i="13"/>
  <c r="AS162" i="13" s="1"/>
  <c r="DV162" i="13" s="1"/>
  <c r="DZ162" i="13" s="1"/>
  <c r="ED162" i="13" s="1"/>
  <c r="CG162" i="13"/>
  <c r="L163" i="13"/>
  <c r="AN163" i="13" s="1"/>
  <c r="AQ163" i="13" s="1"/>
  <c r="BU163" i="13" s="1"/>
  <c r="M163" i="13"/>
  <c r="K163" i="13"/>
  <c r="Q162" i="13"/>
  <c r="AY162" i="13" s="1"/>
  <c r="R162" i="13"/>
  <c r="BQ162" i="13" s="1"/>
  <c r="S162" i="13"/>
  <c r="CO162" i="13" s="1"/>
  <c r="T162" i="13"/>
  <c r="CY162" i="13" s="1"/>
  <c r="U162" i="13"/>
  <c r="DI162" i="13" s="1"/>
  <c r="V162" i="13"/>
  <c r="W162" i="13"/>
  <c r="X162" i="13"/>
  <c r="Y162" i="13"/>
  <c r="AC162" i="13" s="1"/>
  <c r="DJ162" i="13" s="1"/>
  <c r="Z162" i="13"/>
  <c r="AD162" i="13" s="1"/>
  <c r="BR162" i="13" s="1"/>
  <c r="CJ162" i="13"/>
  <c r="AH162" i="13"/>
  <c r="AL162" i="13" s="1"/>
  <c r="BS162" i="13" s="1"/>
  <c r="AG162" i="13"/>
  <c r="AK162" i="13" s="1"/>
  <c r="DK162" i="13" s="1"/>
  <c r="AF162" i="13"/>
  <c r="AJ162" i="13" s="1"/>
  <c r="DA162" i="13" s="1"/>
  <c r="AE162" i="13"/>
  <c r="AI162" i="13" s="1"/>
  <c r="CQ162" i="13" s="1"/>
  <c r="DZ161" i="12"/>
  <c r="CJ162" i="12"/>
  <c r="CG162" i="12"/>
  <c r="X162" i="12"/>
  <c r="Y162" i="12"/>
  <c r="W162" i="12"/>
  <c r="AM162" i="12"/>
  <c r="BT162" i="12" s="1"/>
  <c r="AR162" i="12"/>
  <c r="AZ162" i="12" s="1"/>
  <c r="M163" i="12"/>
  <c r="L163" i="12"/>
  <c r="AN163" i="12" s="1"/>
  <c r="AP162" i="12"/>
  <c r="AE162" i="12"/>
  <c r="AH162" i="12"/>
  <c r="AF162" i="12"/>
  <c r="AG162" i="12"/>
  <c r="T162" i="12"/>
  <c r="CY162" i="12" s="1"/>
  <c r="U162" i="12"/>
  <c r="DI162" i="12" s="1"/>
  <c r="Q162" i="12"/>
  <c r="AY162" i="12" s="1"/>
  <c r="K163" i="12"/>
  <c r="S162" i="12"/>
  <c r="CO162" i="12" s="1"/>
  <c r="R162" i="12"/>
  <c r="BQ162" i="12" s="1"/>
  <c r="V162" i="12"/>
  <c r="FD52" i="12" l="1"/>
  <c r="FG52" i="12" s="1"/>
  <c r="H190" i="11"/>
  <c r="H186" i="11"/>
  <c r="H187" i="11"/>
  <c r="H189" i="11"/>
  <c r="H188" i="11"/>
  <c r="CM51" i="13"/>
  <c r="CL51" i="13"/>
  <c r="BB52" i="13" s="1"/>
  <c r="CL52" i="12"/>
  <c r="BB53" i="12" s="1"/>
  <c r="CM52" i="12"/>
  <c r="N163" i="13"/>
  <c r="AM163" i="13" s="1"/>
  <c r="BT163" i="13" s="1"/>
  <c r="AO163" i="13"/>
  <c r="AR163" i="13" s="1"/>
  <c r="AZ163" i="13" s="1"/>
  <c r="AA162" i="13"/>
  <c r="CP162" i="13" s="1"/>
  <c r="AB162" i="13"/>
  <c r="CZ162" i="13" s="1"/>
  <c r="ED161" i="12"/>
  <c r="AA162" i="12"/>
  <c r="CP162" i="12" s="1"/>
  <c r="AB162" i="12"/>
  <c r="CZ162" i="12" s="1"/>
  <c r="AC162" i="12"/>
  <c r="DJ162" i="12" s="1"/>
  <c r="AD162" i="12"/>
  <c r="BR162" i="12" s="1"/>
  <c r="AQ163" i="12"/>
  <c r="BU163" i="12" s="1"/>
  <c r="AS162" i="12"/>
  <c r="DV162" i="12" s="1"/>
  <c r="AO163" i="12"/>
  <c r="AI162" i="12"/>
  <c r="CQ162" i="12" s="1"/>
  <c r="AJ162" i="12"/>
  <c r="DA162" i="12" s="1"/>
  <c r="AK162" i="12"/>
  <c r="DK162" i="12" s="1"/>
  <c r="AL162" i="12"/>
  <c r="BS162" i="12" s="1"/>
  <c r="N163" i="12"/>
  <c r="Z163" i="12" s="1"/>
  <c r="BE53" i="12" l="1"/>
  <c r="BE52" i="13"/>
  <c r="BD52" i="13"/>
  <c r="EQ52" i="13" s="1"/>
  <c r="ES52" i="13" s="1"/>
  <c r="AP163" i="13"/>
  <c r="AS163" i="13" s="1"/>
  <c r="DV163" i="13" s="1"/>
  <c r="DZ163" i="13" s="1"/>
  <c r="ED163" i="13" s="1"/>
  <c r="Q163" i="13"/>
  <c r="AY163" i="13" s="1"/>
  <c r="R163" i="13"/>
  <c r="BQ163" i="13" s="1"/>
  <c r="S163" i="13"/>
  <c r="CO163" i="13" s="1"/>
  <c r="T163" i="13"/>
  <c r="CY163" i="13" s="1"/>
  <c r="U163" i="13"/>
  <c r="DI163" i="13" s="1"/>
  <c r="V163" i="13"/>
  <c r="W163" i="13"/>
  <c r="X163" i="13"/>
  <c r="Y163" i="13"/>
  <c r="Z163" i="13"/>
  <c r="CJ163" i="13"/>
  <c r="AH163" i="13"/>
  <c r="AL163" i="13" s="1"/>
  <c r="BS163" i="13" s="1"/>
  <c r="AG163" i="13"/>
  <c r="AK163" i="13" s="1"/>
  <c r="DK163" i="13" s="1"/>
  <c r="AF163" i="13"/>
  <c r="AJ163" i="13" s="1"/>
  <c r="DA163" i="13" s="1"/>
  <c r="AE163" i="13"/>
  <c r="AI163" i="13" s="1"/>
  <c r="CQ163" i="13" s="1"/>
  <c r="L164" i="13"/>
  <c r="AN164" i="13" s="1"/>
  <c r="AQ164" i="13" s="1"/>
  <c r="BU164" i="13" s="1"/>
  <c r="CG163" i="13"/>
  <c r="K164" i="13"/>
  <c r="M164" i="13"/>
  <c r="DZ162" i="12"/>
  <c r="CJ163" i="12"/>
  <c r="CG163" i="12"/>
  <c r="Y163" i="12"/>
  <c r="X163" i="12"/>
  <c r="W163" i="12"/>
  <c r="AM163" i="12"/>
  <c r="BT163" i="12" s="1"/>
  <c r="AR163" i="12"/>
  <c r="AZ163" i="12" s="1"/>
  <c r="M164" i="12"/>
  <c r="L164" i="12"/>
  <c r="AN164" i="12" s="1"/>
  <c r="AP163" i="12"/>
  <c r="AF163" i="12"/>
  <c r="AH163" i="12"/>
  <c r="AG163" i="12"/>
  <c r="AE163" i="12"/>
  <c r="V163" i="12"/>
  <c r="Q163" i="12"/>
  <c r="AY163" i="12" s="1"/>
  <c r="T163" i="12"/>
  <c r="CY163" i="12" s="1"/>
  <c r="S163" i="12"/>
  <c r="CO163" i="12" s="1"/>
  <c r="K164" i="12"/>
  <c r="R163" i="12"/>
  <c r="BQ163" i="12" s="1"/>
  <c r="U163" i="12"/>
  <c r="DI163" i="12" s="1"/>
  <c r="ET52" i="13" l="1"/>
  <c r="EW52" i="13" s="1"/>
  <c r="EZ52" i="13" s="1"/>
  <c r="EU52" i="13"/>
  <c r="EX52" i="13" s="1"/>
  <c r="FA52" i="13" s="1"/>
  <c r="EV52" i="13"/>
  <c r="EY52" i="13" s="1"/>
  <c r="FB52" i="13" s="1"/>
  <c r="FF52" i="13" s="1"/>
  <c r="BC52" i="13"/>
  <c r="BC53" i="12"/>
  <c r="N164" i="13"/>
  <c r="AM164" i="13" s="1"/>
  <c r="BT164" i="13" s="1"/>
  <c r="AA163" i="13"/>
  <c r="CP163" i="13" s="1"/>
  <c r="AB163" i="13"/>
  <c r="CZ163" i="13" s="1"/>
  <c r="AC163" i="13"/>
  <c r="DJ163" i="13" s="1"/>
  <c r="AD163" i="13"/>
  <c r="BR163" i="13" s="1"/>
  <c r="AO164" i="13"/>
  <c r="AR164" i="13" s="1"/>
  <c r="AZ164" i="13" s="1"/>
  <c r="ED162" i="12"/>
  <c r="AA163" i="12"/>
  <c r="CP163" i="12" s="1"/>
  <c r="AB163" i="12"/>
  <c r="CZ163" i="12" s="1"/>
  <c r="AC163" i="12"/>
  <c r="DJ163" i="12" s="1"/>
  <c r="AD163" i="12"/>
  <c r="BR163" i="12" s="1"/>
  <c r="AQ164" i="12"/>
  <c r="BU164" i="12" s="1"/>
  <c r="AS163" i="12"/>
  <c r="DV163" i="12" s="1"/>
  <c r="AO164" i="12"/>
  <c r="AJ163" i="12"/>
  <c r="DA163" i="12" s="1"/>
  <c r="AK163" i="12"/>
  <c r="DK163" i="12" s="1"/>
  <c r="AI163" i="12"/>
  <c r="CQ163" i="12" s="1"/>
  <c r="AL163" i="12"/>
  <c r="BS163" i="12" s="1"/>
  <c r="N164" i="12"/>
  <c r="Z164" i="12" s="1"/>
  <c r="BK52" i="13" l="1"/>
  <c r="BH52" i="13"/>
  <c r="BI52" i="13"/>
  <c r="BF52" i="13"/>
  <c r="BG52" i="13"/>
  <c r="BG53" i="12"/>
  <c r="BK53" i="12"/>
  <c r="BF53" i="12"/>
  <c r="BH53" i="12"/>
  <c r="BI53" i="12"/>
  <c r="AH164" i="13"/>
  <c r="AL164" i="13" s="1"/>
  <c r="BS164" i="13" s="1"/>
  <c r="R164" i="13"/>
  <c r="BQ164" i="13" s="1"/>
  <c r="T164" i="13"/>
  <c r="CY164" i="13" s="1"/>
  <c r="V164" i="13"/>
  <c r="AG164" i="13"/>
  <c r="AK164" i="13" s="1"/>
  <c r="DK164" i="13" s="1"/>
  <c r="AE164" i="13"/>
  <c r="AI164" i="13" s="1"/>
  <c r="CQ164" i="13" s="1"/>
  <c r="AF164" i="13"/>
  <c r="AJ164" i="13" s="1"/>
  <c r="DA164" i="13" s="1"/>
  <c r="AP164" i="13"/>
  <c r="AS164" i="13" s="1"/>
  <c r="DV164" i="13" s="1"/>
  <c r="DZ164" i="13" s="1"/>
  <c r="ED164" i="13" s="1"/>
  <c r="CG164" i="13"/>
  <c r="L165" i="13"/>
  <c r="AN165" i="13" s="1"/>
  <c r="AQ165" i="13" s="1"/>
  <c r="BU165" i="13" s="1"/>
  <c r="K165" i="13"/>
  <c r="M165" i="13"/>
  <c r="Q164" i="13"/>
  <c r="AY164" i="13" s="1"/>
  <c r="S164" i="13"/>
  <c r="CO164" i="13" s="1"/>
  <c r="U164" i="13"/>
  <c r="DI164" i="13" s="1"/>
  <c r="W164" i="13"/>
  <c r="X164" i="13"/>
  <c r="Y164" i="13"/>
  <c r="Z164" i="13"/>
  <c r="CJ164" i="13"/>
  <c r="DZ163" i="12"/>
  <c r="CJ164" i="12"/>
  <c r="CG164" i="12"/>
  <c r="W164" i="12"/>
  <c r="Y164" i="12"/>
  <c r="X164" i="12"/>
  <c r="AR164" i="12"/>
  <c r="AZ164" i="12" s="1"/>
  <c r="AM164" i="12"/>
  <c r="BT164" i="12" s="1"/>
  <c r="M165" i="12"/>
  <c r="L165" i="12"/>
  <c r="AN165" i="12" s="1"/>
  <c r="AP164" i="12"/>
  <c r="AF164" i="12"/>
  <c r="AE164" i="12"/>
  <c r="AG164" i="12"/>
  <c r="AH164" i="12"/>
  <c r="T164" i="12"/>
  <c r="CY164" i="12" s="1"/>
  <c r="K165" i="12"/>
  <c r="R164" i="12"/>
  <c r="BQ164" i="12" s="1"/>
  <c r="U164" i="12"/>
  <c r="DI164" i="12" s="1"/>
  <c r="Q164" i="12"/>
  <c r="AY164" i="12" s="1"/>
  <c r="S164" i="12"/>
  <c r="CO164" i="12" s="1"/>
  <c r="V164" i="12"/>
  <c r="BO52" i="13" l="1"/>
  <c r="DL52" i="13" s="1"/>
  <c r="BL52" i="13"/>
  <c r="BW52" i="13" s="1"/>
  <c r="BX52" i="13" s="1"/>
  <c r="BN52" i="13"/>
  <c r="DB52" i="13" s="1"/>
  <c r="BM52" i="13"/>
  <c r="CR52" i="13" s="1"/>
  <c r="BN53" i="12"/>
  <c r="DB53" i="12" s="1"/>
  <c r="DC53" i="12" s="1"/>
  <c r="BL53" i="12"/>
  <c r="BW53" i="12" s="1"/>
  <c r="BX53" i="12" s="1"/>
  <c r="BO53" i="12"/>
  <c r="DL53" i="12" s="1"/>
  <c r="DM53" i="12" s="1"/>
  <c r="BM53" i="12"/>
  <c r="CR53" i="12" s="1"/>
  <c r="CS53" i="12" s="1"/>
  <c r="N165" i="13"/>
  <c r="AM165" i="13" s="1"/>
  <c r="BT165" i="13" s="1"/>
  <c r="AO165" i="13"/>
  <c r="AR165" i="13" s="1"/>
  <c r="AZ165" i="13" s="1"/>
  <c r="AA164" i="13"/>
  <c r="CP164" i="13" s="1"/>
  <c r="AB164" i="13"/>
  <c r="CZ164" i="13" s="1"/>
  <c r="AC164" i="13"/>
  <c r="DJ164" i="13" s="1"/>
  <c r="AD164" i="13"/>
  <c r="BR164" i="13" s="1"/>
  <c r="ED163" i="12"/>
  <c r="AA164" i="12"/>
  <c r="CP164" i="12" s="1"/>
  <c r="AB164" i="12"/>
  <c r="CZ164" i="12" s="1"/>
  <c r="AC164" i="12"/>
  <c r="DJ164" i="12" s="1"/>
  <c r="AD164" i="12"/>
  <c r="BR164" i="12" s="1"/>
  <c r="AQ165" i="12"/>
  <c r="BU165" i="12" s="1"/>
  <c r="AS164" i="12"/>
  <c r="DV164" i="12" s="1"/>
  <c r="AO165" i="12"/>
  <c r="AJ164" i="12"/>
  <c r="DA164" i="12" s="1"/>
  <c r="AI164" i="12"/>
  <c r="CQ164" i="12" s="1"/>
  <c r="AK164" i="12"/>
  <c r="DK164" i="12" s="1"/>
  <c r="AL164" i="12"/>
  <c r="BS164" i="12" s="1"/>
  <c r="N165" i="12"/>
  <c r="Z165" i="12" s="1"/>
  <c r="DM52" i="13" l="1"/>
  <c r="DQ52" i="13" s="1"/>
  <c r="DC52" i="13"/>
  <c r="DG52" i="13" s="1"/>
  <c r="CS52" i="13"/>
  <c r="CW52" i="13" s="1"/>
  <c r="CE52" i="13"/>
  <c r="CH52" i="13"/>
  <c r="CB52" i="13"/>
  <c r="CC52" i="13"/>
  <c r="BZ52" i="13"/>
  <c r="CA52" i="13"/>
  <c r="BY52" i="13"/>
  <c r="CD52" i="13"/>
  <c r="CI52" i="13"/>
  <c r="CK52" i="13" s="1"/>
  <c r="DF53" i="12"/>
  <c r="DD53" i="12"/>
  <c r="DT53" i="12"/>
  <c r="DX53" i="12" s="1"/>
  <c r="EB53" i="12" s="1"/>
  <c r="DE53" i="12"/>
  <c r="DG53" i="12"/>
  <c r="CC53" i="12"/>
  <c r="CA53" i="12"/>
  <c r="CB53" i="12"/>
  <c r="CD53" i="12"/>
  <c r="BY53" i="12"/>
  <c r="CH53" i="12"/>
  <c r="BZ53" i="12"/>
  <c r="CI53" i="12"/>
  <c r="CK53" i="12" s="1"/>
  <c r="CE53" i="12"/>
  <c r="DO53" i="12"/>
  <c r="DP53" i="12"/>
  <c r="DN53" i="12"/>
  <c r="DU53" i="12"/>
  <c r="DY53" i="12" s="1"/>
  <c r="EC53" i="12" s="1"/>
  <c r="G49" i="11" s="1"/>
  <c r="DQ53" i="12"/>
  <c r="CU53" i="12"/>
  <c r="CV53" i="12"/>
  <c r="CT53" i="12"/>
  <c r="DS53" i="12"/>
  <c r="DW53" i="12" s="1"/>
  <c r="EA53" i="12" s="1"/>
  <c r="CW53" i="12"/>
  <c r="CG165" i="13"/>
  <c r="L166" i="13"/>
  <c r="AN166" i="13" s="1"/>
  <c r="AQ166" i="13" s="1"/>
  <c r="BU166" i="13" s="1"/>
  <c r="M166" i="13"/>
  <c r="AP165" i="13"/>
  <c r="AS165" i="13" s="1"/>
  <c r="DV165" i="13" s="1"/>
  <c r="DZ165" i="13" s="1"/>
  <c r="ED165" i="13" s="1"/>
  <c r="K166" i="13"/>
  <c r="AH165" i="13"/>
  <c r="AL165" i="13" s="1"/>
  <c r="BS165" i="13" s="1"/>
  <c r="AF165" i="13"/>
  <c r="AJ165" i="13" s="1"/>
  <c r="DA165" i="13" s="1"/>
  <c r="Q165" i="13"/>
  <c r="AY165" i="13" s="1"/>
  <c r="R165" i="13"/>
  <c r="BQ165" i="13" s="1"/>
  <c r="S165" i="13"/>
  <c r="CO165" i="13" s="1"/>
  <c r="T165" i="13"/>
  <c r="CY165" i="13" s="1"/>
  <c r="U165" i="13"/>
  <c r="DI165" i="13" s="1"/>
  <c r="V165" i="13"/>
  <c r="W165" i="13"/>
  <c r="X165" i="13"/>
  <c r="AB165" i="13" s="1"/>
  <c r="CZ165" i="13" s="1"/>
  <c r="Y165" i="13"/>
  <c r="AC165" i="13" s="1"/>
  <c r="DJ165" i="13" s="1"/>
  <c r="Z165" i="13"/>
  <c r="AD165" i="13" s="1"/>
  <c r="BR165" i="13" s="1"/>
  <c r="CJ165" i="13"/>
  <c r="AE165" i="13"/>
  <c r="AI165" i="13" s="1"/>
  <c r="CQ165" i="13" s="1"/>
  <c r="AG165" i="13"/>
  <c r="AK165" i="13" s="1"/>
  <c r="DK165" i="13" s="1"/>
  <c r="DZ164" i="12"/>
  <c r="CJ165" i="12"/>
  <c r="CG165" i="12"/>
  <c r="X165" i="12"/>
  <c r="Y165" i="12"/>
  <c r="W165" i="12"/>
  <c r="AR165" i="12"/>
  <c r="AZ165" i="12" s="1"/>
  <c r="AM165" i="12"/>
  <c r="BT165" i="12" s="1"/>
  <c r="M166" i="12"/>
  <c r="L166" i="12"/>
  <c r="AN166" i="12" s="1"/>
  <c r="AP165" i="12"/>
  <c r="AE165" i="12"/>
  <c r="AF165" i="12"/>
  <c r="AH165" i="12"/>
  <c r="AG165" i="12"/>
  <c r="Q165" i="12"/>
  <c r="AY165" i="12" s="1"/>
  <c r="K166" i="12"/>
  <c r="U165" i="12"/>
  <c r="DI165" i="12" s="1"/>
  <c r="V165" i="12"/>
  <c r="T165" i="12"/>
  <c r="CY165" i="12" s="1"/>
  <c r="R165" i="12"/>
  <c r="BQ165" i="12" s="1"/>
  <c r="S165" i="12"/>
  <c r="CO165" i="12" s="1"/>
  <c r="FD53" i="12" l="1"/>
  <c r="FG53" i="12" s="1"/>
  <c r="DU52" i="13"/>
  <c r="DY52" i="13" s="1"/>
  <c r="EC52" i="13" s="1"/>
  <c r="FD52" i="13" s="1"/>
  <c r="FG52" i="13" s="1"/>
  <c r="DP52" i="13"/>
  <c r="DN52" i="13"/>
  <c r="DO52" i="13"/>
  <c r="DF52" i="13"/>
  <c r="DT52" i="13"/>
  <c r="DX52" i="13" s="1"/>
  <c r="EB52" i="13" s="1"/>
  <c r="DD52" i="13"/>
  <c r="DE52" i="13"/>
  <c r="CV52" i="13"/>
  <c r="CT52" i="13"/>
  <c r="CU52" i="13"/>
  <c r="DS52" i="13"/>
  <c r="DW52" i="13" s="1"/>
  <c r="EA52" i="13" s="1"/>
  <c r="CL52" i="13"/>
  <c r="BB53" i="13" s="1"/>
  <c r="CM52" i="13"/>
  <c r="CL53" i="12"/>
  <c r="BB54" i="12" s="1"/>
  <c r="CM53" i="12"/>
  <c r="N166" i="13"/>
  <c r="AO166" i="13"/>
  <c r="AR166" i="13" s="1"/>
  <c r="AZ166" i="13" s="1"/>
  <c r="AA165" i="13"/>
  <c r="CP165" i="13" s="1"/>
  <c r="ED164" i="12"/>
  <c r="AA165" i="12"/>
  <c r="CP165" i="12" s="1"/>
  <c r="AB165" i="12"/>
  <c r="CZ165" i="12" s="1"/>
  <c r="AC165" i="12"/>
  <c r="DJ165" i="12" s="1"/>
  <c r="AD165" i="12"/>
  <c r="BR165" i="12" s="1"/>
  <c r="AQ166" i="12"/>
  <c r="BU166" i="12" s="1"/>
  <c r="AS165" i="12"/>
  <c r="DV165" i="12" s="1"/>
  <c r="AO166" i="12"/>
  <c r="AI165" i="12"/>
  <c r="CQ165" i="12" s="1"/>
  <c r="AJ165" i="12"/>
  <c r="DA165" i="12" s="1"/>
  <c r="AK165" i="12"/>
  <c r="DK165" i="12" s="1"/>
  <c r="AL165" i="12"/>
  <c r="BS165" i="12" s="1"/>
  <c r="N166" i="12"/>
  <c r="Z166" i="12" s="1"/>
  <c r="BE54" i="12" l="1"/>
  <c r="BD53" i="13"/>
  <c r="EQ53" i="13" s="1"/>
  <c r="ES53" i="13" s="1"/>
  <c r="BE53" i="13"/>
  <c r="H191" i="11"/>
  <c r="H193" i="11"/>
  <c r="H192" i="11"/>
  <c r="H194" i="11"/>
  <c r="L167" i="13"/>
  <c r="AN167" i="13" s="1"/>
  <c r="AQ167" i="13" s="1"/>
  <c r="BU167" i="13" s="1"/>
  <c r="AP166" i="13"/>
  <c r="AS166" i="13" s="1"/>
  <c r="DV166" i="13" s="1"/>
  <c r="DZ166" i="13" s="1"/>
  <c r="ED166" i="13" s="1"/>
  <c r="M167" i="13"/>
  <c r="K167" i="13"/>
  <c r="CG166" i="13"/>
  <c r="AM166" i="13"/>
  <c r="BT166" i="13" s="1"/>
  <c r="AG166" i="13"/>
  <c r="AK166" i="13" s="1"/>
  <c r="DK166" i="13" s="1"/>
  <c r="Q166" i="13"/>
  <c r="AY166" i="13" s="1"/>
  <c r="R166" i="13"/>
  <c r="BQ166" i="13" s="1"/>
  <c r="S166" i="13"/>
  <c r="CO166" i="13" s="1"/>
  <c r="T166" i="13"/>
  <c r="CY166" i="13" s="1"/>
  <c r="U166" i="13"/>
  <c r="DI166" i="13" s="1"/>
  <c r="V166" i="13"/>
  <c r="W166" i="13"/>
  <c r="X166" i="13"/>
  <c r="Y166" i="13"/>
  <c r="Z166" i="13"/>
  <c r="CJ166" i="13"/>
  <c r="AH166" i="13"/>
  <c r="AL166" i="13" s="1"/>
  <c r="BS166" i="13" s="1"/>
  <c r="AF166" i="13"/>
  <c r="AJ166" i="13" s="1"/>
  <c r="DA166" i="13" s="1"/>
  <c r="AE166" i="13"/>
  <c r="AI166" i="13" s="1"/>
  <c r="CQ166" i="13" s="1"/>
  <c r="DZ165" i="12"/>
  <c r="CJ166" i="12"/>
  <c r="CG166" i="12"/>
  <c r="X166" i="12"/>
  <c r="W166" i="12"/>
  <c r="Y166" i="12"/>
  <c r="AM166" i="12"/>
  <c r="BT166" i="12" s="1"/>
  <c r="AR166" i="12"/>
  <c r="AZ166" i="12" s="1"/>
  <c r="M167" i="12"/>
  <c r="L167" i="12"/>
  <c r="AN167" i="12" s="1"/>
  <c r="AP166" i="12"/>
  <c r="AG166" i="12"/>
  <c r="AE166" i="12"/>
  <c r="AH166" i="12"/>
  <c r="AF166" i="12"/>
  <c r="K167" i="12"/>
  <c r="R166" i="12"/>
  <c r="BQ166" i="12" s="1"/>
  <c r="T166" i="12"/>
  <c r="CY166" i="12" s="1"/>
  <c r="V166" i="12"/>
  <c r="Q166" i="12"/>
  <c r="AY166" i="12" s="1"/>
  <c r="S166" i="12"/>
  <c r="CO166" i="12" s="1"/>
  <c r="U166" i="12"/>
  <c r="DI166" i="12" s="1"/>
  <c r="BC53" i="13" l="1"/>
  <c r="ET53" i="13"/>
  <c r="EW53" i="13" s="1"/>
  <c r="EZ53" i="13" s="1"/>
  <c r="EV53" i="13"/>
  <c r="EY53" i="13" s="1"/>
  <c r="FB53" i="13" s="1"/>
  <c r="FF53" i="13" s="1"/>
  <c r="EU53" i="13"/>
  <c r="EX53" i="13" s="1"/>
  <c r="FA53" i="13" s="1"/>
  <c r="BC54" i="12"/>
  <c r="N167" i="13"/>
  <c r="AO167" i="13"/>
  <c r="AR167" i="13" s="1"/>
  <c r="AZ167" i="13" s="1"/>
  <c r="AA166" i="13"/>
  <c r="CP166" i="13" s="1"/>
  <c r="AB166" i="13"/>
  <c r="CZ166" i="13" s="1"/>
  <c r="AC166" i="13"/>
  <c r="DJ166" i="13" s="1"/>
  <c r="AD166" i="13"/>
  <c r="BR166" i="13" s="1"/>
  <c r="ED165" i="12"/>
  <c r="AA166" i="12"/>
  <c r="CP166" i="12" s="1"/>
  <c r="AB166" i="12"/>
  <c r="CZ166" i="12" s="1"/>
  <c r="AC166" i="12"/>
  <c r="DJ166" i="12" s="1"/>
  <c r="AD166" i="12"/>
  <c r="BR166" i="12" s="1"/>
  <c r="AQ167" i="12"/>
  <c r="BU167" i="12" s="1"/>
  <c r="AS166" i="12"/>
  <c r="DV166" i="12" s="1"/>
  <c r="AO167" i="12"/>
  <c r="AK166" i="12"/>
  <c r="DK166" i="12" s="1"/>
  <c r="AI166" i="12"/>
  <c r="CQ166" i="12" s="1"/>
  <c r="AJ166" i="12"/>
  <c r="DA166" i="12" s="1"/>
  <c r="AL166" i="12"/>
  <c r="BS166" i="12" s="1"/>
  <c r="N167" i="12"/>
  <c r="Z167" i="12" s="1"/>
  <c r="BH53" i="13" l="1"/>
  <c r="BI53" i="13"/>
  <c r="BK53" i="13"/>
  <c r="BG53" i="13"/>
  <c r="BF53" i="13"/>
  <c r="BI54" i="12"/>
  <c r="BH54" i="12"/>
  <c r="BF54" i="12"/>
  <c r="BK54" i="12"/>
  <c r="BG54" i="12"/>
  <c r="AP167" i="13"/>
  <c r="AS167" i="13" s="1"/>
  <c r="DV167" i="13" s="1"/>
  <c r="DZ167" i="13" s="1"/>
  <c r="ED167" i="13" s="1"/>
  <c r="CG167" i="13"/>
  <c r="K168" i="13"/>
  <c r="L168" i="13"/>
  <c r="AN168" i="13" s="1"/>
  <c r="AQ168" i="13" s="1"/>
  <c r="BU168" i="13" s="1"/>
  <c r="M168" i="13"/>
  <c r="AM167" i="13"/>
  <c r="BT167" i="13" s="1"/>
  <c r="AH167" i="13"/>
  <c r="AL167" i="13" s="1"/>
  <c r="BS167" i="13" s="1"/>
  <c r="AF167" i="13"/>
  <c r="AJ167" i="13" s="1"/>
  <c r="DA167" i="13" s="1"/>
  <c r="Q167" i="13"/>
  <c r="AY167" i="13" s="1"/>
  <c r="R167" i="13"/>
  <c r="BQ167" i="13" s="1"/>
  <c r="S167" i="13"/>
  <c r="CO167" i="13" s="1"/>
  <c r="T167" i="13"/>
  <c r="CY167" i="13" s="1"/>
  <c r="U167" i="13"/>
  <c r="DI167" i="13" s="1"/>
  <c r="V167" i="13"/>
  <c r="W167" i="13"/>
  <c r="AA167" i="13" s="1"/>
  <c r="CP167" i="13" s="1"/>
  <c r="X167" i="13"/>
  <c r="AB167" i="13" s="1"/>
  <c r="CZ167" i="13" s="1"/>
  <c r="Y167" i="13"/>
  <c r="AC167" i="13" s="1"/>
  <c r="DJ167" i="13" s="1"/>
  <c r="Z167" i="13"/>
  <c r="AD167" i="13" s="1"/>
  <c r="BR167" i="13" s="1"/>
  <c r="CJ167" i="13"/>
  <c r="AG167" i="13"/>
  <c r="AK167" i="13" s="1"/>
  <c r="DK167" i="13" s="1"/>
  <c r="AE167" i="13"/>
  <c r="AI167" i="13" s="1"/>
  <c r="CQ167" i="13" s="1"/>
  <c r="DZ166" i="12"/>
  <c r="CJ167" i="12"/>
  <c r="CG167" i="12"/>
  <c r="W167" i="12"/>
  <c r="X167" i="12"/>
  <c r="Y167" i="12"/>
  <c r="AR167" i="12"/>
  <c r="AZ167" i="12" s="1"/>
  <c r="AM167" i="12"/>
  <c r="BT167" i="12" s="1"/>
  <c r="M168" i="12"/>
  <c r="L168" i="12"/>
  <c r="AN168" i="12" s="1"/>
  <c r="AP167" i="12"/>
  <c r="AH167" i="12"/>
  <c r="AF167" i="12"/>
  <c r="AE167" i="12"/>
  <c r="AG167" i="12"/>
  <c r="S167" i="12"/>
  <c r="CO167" i="12" s="1"/>
  <c r="R167" i="12"/>
  <c r="BQ167" i="12" s="1"/>
  <c r="V167" i="12"/>
  <c r="T167" i="12"/>
  <c r="CY167" i="12" s="1"/>
  <c r="Q167" i="12"/>
  <c r="AY167" i="12" s="1"/>
  <c r="K168" i="12"/>
  <c r="U167" i="12"/>
  <c r="DI167" i="12" s="1"/>
  <c r="BO53" i="13" l="1"/>
  <c r="DL53" i="13" s="1"/>
  <c r="DM53" i="13" s="1"/>
  <c r="DQ53" i="13" s="1"/>
  <c r="BM53" i="13"/>
  <c r="CR53" i="13" s="1"/>
  <c r="CS53" i="13" s="1"/>
  <c r="CW53" i="13" s="1"/>
  <c r="BN53" i="13"/>
  <c r="DB53" i="13" s="1"/>
  <c r="DC53" i="13" s="1"/>
  <c r="BL53" i="13"/>
  <c r="BW53" i="13" s="1"/>
  <c r="BO54" i="12"/>
  <c r="DL54" i="12" s="1"/>
  <c r="DM54" i="12" s="1"/>
  <c r="DQ54" i="12" s="1"/>
  <c r="BM54" i="12"/>
  <c r="CR54" i="12" s="1"/>
  <c r="CS54" i="12" s="1"/>
  <c r="CW54" i="12" s="1"/>
  <c r="BL54" i="12"/>
  <c r="BW54" i="12" s="1"/>
  <c r="BX54" i="12" s="1"/>
  <c r="CE54" i="12" s="1"/>
  <c r="BN54" i="12"/>
  <c r="DB54" i="12" s="1"/>
  <c r="DC54" i="12" s="1"/>
  <c r="DG54" i="12" s="1"/>
  <c r="N168" i="13"/>
  <c r="AM168" i="13" s="1"/>
  <c r="BT168" i="13" s="1"/>
  <c r="AO168" i="13"/>
  <c r="AR168" i="13" s="1"/>
  <c r="AZ168" i="13" s="1"/>
  <c r="ED166" i="12"/>
  <c r="AA167" i="12"/>
  <c r="CP167" i="12" s="1"/>
  <c r="AB167" i="12"/>
  <c r="CZ167" i="12" s="1"/>
  <c r="AC167" i="12"/>
  <c r="DJ167" i="12" s="1"/>
  <c r="AD167" i="12"/>
  <c r="BR167" i="12" s="1"/>
  <c r="AQ168" i="12"/>
  <c r="BU168" i="12" s="1"/>
  <c r="AS167" i="12"/>
  <c r="DV167" i="12" s="1"/>
  <c r="AO168" i="12"/>
  <c r="AJ167" i="12"/>
  <c r="DA167" i="12" s="1"/>
  <c r="AI167" i="12"/>
  <c r="CQ167" i="12" s="1"/>
  <c r="AK167" i="12"/>
  <c r="DK167" i="12" s="1"/>
  <c r="AL167" i="12"/>
  <c r="BS167" i="12" s="1"/>
  <c r="N168" i="12"/>
  <c r="Z168" i="12" s="1"/>
  <c r="BX53" i="13" l="1"/>
  <c r="CE53" i="13" s="1"/>
  <c r="DG53" i="13"/>
  <c r="DD53" i="13"/>
  <c r="DE53" i="13"/>
  <c r="DF53" i="13"/>
  <c r="DT53" i="13"/>
  <c r="DX53" i="13" s="1"/>
  <c r="EB53" i="13" s="1"/>
  <c r="CU53" i="13"/>
  <c r="DS53" i="13"/>
  <c r="DW53" i="13" s="1"/>
  <c r="EA53" i="13" s="1"/>
  <c r="CV53" i="13"/>
  <c r="CT53" i="13"/>
  <c r="DO53" i="13"/>
  <c r="DN53" i="13"/>
  <c r="DU53" i="13"/>
  <c r="DY53" i="13" s="1"/>
  <c r="EC53" i="13" s="1"/>
  <c r="FD53" i="13" s="1"/>
  <c r="FG53" i="13" s="1"/>
  <c r="DP53" i="13"/>
  <c r="DT54" i="12"/>
  <c r="DX54" i="12" s="1"/>
  <c r="EB54" i="12" s="1"/>
  <c r="DD54" i="12"/>
  <c r="DE54" i="12"/>
  <c r="DF54" i="12"/>
  <c r="DN54" i="12"/>
  <c r="DP54" i="12"/>
  <c r="DO54" i="12"/>
  <c r="DU54" i="12"/>
  <c r="DY54" i="12" s="1"/>
  <c r="EC54" i="12" s="1"/>
  <c r="DS54" i="12"/>
  <c r="DW54" i="12" s="1"/>
  <c r="EA54" i="12" s="1"/>
  <c r="CV54" i="12"/>
  <c r="CU54" i="12"/>
  <c r="CT54" i="12"/>
  <c r="CD54" i="12"/>
  <c r="BZ54" i="12"/>
  <c r="CI54" i="12"/>
  <c r="CK54" i="12" s="1"/>
  <c r="BY54" i="12"/>
  <c r="CH54" i="12"/>
  <c r="CA54" i="12"/>
  <c r="CC54" i="12"/>
  <c r="CB54" i="12"/>
  <c r="AP168" i="13"/>
  <c r="AS168" i="13" s="1"/>
  <c r="DV168" i="13" s="1"/>
  <c r="DZ168" i="13" s="1"/>
  <c r="ED168" i="13" s="1"/>
  <c r="CG168" i="13"/>
  <c r="K169" i="13"/>
  <c r="L169" i="13"/>
  <c r="AN169" i="13" s="1"/>
  <c r="AQ169" i="13" s="1"/>
  <c r="BU169" i="13" s="1"/>
  <c r="M169" i="13"/>
  <c r="AG168" i="13"/>
  <c r="AK168" i="13" s="1"/>
  <c r="DK168" i="13" s="1"/>
  <c r="Q168" i="13"/>
  <c r="AY168" i="13" s="1"/>
  <c r="R168" i="13"/>
  <c r="BQ168" i="13" s="1"/>
  <c r="S168" i="13"/>
  <c r="CO168" i="13" s="1"/>
  <c r="T168" i="13"/>
  <c r="CY168" i="13" s="1"/>
  <c r="U168" i="13"/>
  <c r="DI168" i="13" s="1"/>
  <c r="V168" i="13"/>
  <c r="W168" i="13"/>
  <c r="AA168" i="13" s="1"/>
  <c r="CP168" i="13" s="1"/>
  <c r="X168" i="13"/>
  <c r="AB168" i="13" s="1"/>
  <c r="CZ168" i="13" s="1"/>
  <c r="Y168" i="13"/>
  <c r="AC168" i="13" s="1"/>
  <c r="DJ168" i="13" s="1"/>
  <c r="Z168" i="13"/>
  <c r="AD168" i="13" s="1"/>
  <c r="BR168" i="13" s="1"/>
  <c r="CJ168" i="13"/>
  <c r="AF168" i="13"/>
  <c r="AJ168" i="13" s="1"/>
  <c r="DA168" i="13" s="1"/>
  <c r="AH168" i="13"/>
  <c r="AL168" i="13" s="1"/>
  <c r="BS168" i="13" s="1"/>
  <c r="AE168" i="13"/>
  <c r="AI168" i="13" s="1"/>
  <c r="CQ168" i="13" s="1"/>
  <c r="DZ167" i="12"/>
  <c r="CJ168" i="12"/>
  <c r="CG168" i="12"/>
  <c r="W168" i="12"/>
  <c r="Y168" i="12"/>
  <c r="X168" i="12"/>
  <c r="AR168" i="12"/>
  <c r="AZ168" i="12" s="1"/>
  <c r="AM168" i="12"/>
  <c r="BT168" i="12" s="1"/>
  <c r="M169" i="12"/>
  <c r="L169" i="12"/>
  <c r="AN169" i="12" s="1"/>
  <c r="AP168" i="12"/>
  <c r="AE168" i="12"/>
  <c r="AF168" i="12"/>
  <c r="AH168" i="12"/>
  <c r="AG168" i="12"/>
  <c r="U168" i="12"/>
  <c r="DI168" i="12" s="1"/>
  <c r="Q168" i="12"/>
  <c r="AY168" i="12" s="1"/>
  <c r="T168" i="12"/>
  <c r="CY168" i="12" s="1"/>
  <c r="R168" i="12"/>
  <c r="BQ168" i="12" s="1"/>
  <c r="V168" i="12"/>
  <c r="S168" i="12"/>
  <c r="CO168" i="12" s="1"/>
  <c r="K169" i="12"/>
  <c r="FD54" i="12" l="1"/>
  <c r="FG54" i="12" s="1"/>
  <c r="CH53" i="13"/>
  <c r="CI53" i="13"/>
  <c r="CK53" i="13" s="1"/>
  <c r="CC53" i="13"/>
  <c r="CA53" i="13"/>
  <c r="BZ53" i="13"/>
  <c r="CB53" i="13"/>
  <c r="BY53" i="13"/>
  <c r="CD53" i="13"/>
  <c r="H195" i="11"/>
  <c r="H199" i="11"/>
  <c r="H198" i="11"/>
  <c r="H196" i="11"/>
  <c r="H197" i="11"/>
  <c r="CM54" i="12"/>
  <c r="CL54" i="12"/>
  <c r="BB55" i="12" s="1"/>
  <c r="N169" i="13"/>
  <c r="AM169" i="13" s="1"/>
  <c r="BT169" i="13" s="1"/>
  <c r="AO169" i="13"/>
  <c r="AR169" i="13" s="1"/>
  <c r="AZ169" i="13" s="1"/>
  <c r="ED167" i="12"/>
  <c r="AA168" i="12"/>
  <c r="CP168" i="12" s="1"/>
  <c r="AB168" i="12"/>
  <c r="CZ168" i="12" s="1"/>
  <c r="AC168" i="12"/>
  <c r="DJ168" i="12" s="1"/>
  <c r="AD168" i="12"/>
  <c r="BR168" i="12" s="1"/>
  <c r="AQ169" i="12"/>
  <c r="BU169" i="12" s="1"/>
  <c r="AS168" i="12"/>
  <c r="DV168" i="12" s="1"/>
  <c r="AO169" i="12"/>
  <c r="AI168" i="12"/>
  <c r="CQ168" i="12" s="1"/>
  <c r="AJ168" i="12"/>
  <c r="DA168" i="12" s="1"/>
  <c r="AK168" i="12"/>
  <c r="DK168" i="12" s="1"/>
  <c r="AL168" i="12"/>
  <c r="BS168" i="12" s="1"/>
  <c r="N169" i="12"/>
  <c r="Z169" i="12" s="1"/>
  <c r="BE55" i="12" l="1"/>
  <c r="CM53" i="13"/>
  <c r="CL53" i="13"/>
  <c r="BB54" i="13" s="1"/>
  <c r="AP169" i="13"/>
  <c r="AS169" i="13" s="1"/>
  <c r="DV169" i="13" s="1"/>
  <c r="DZ169" i="13" s="1"/>
  <c r="ED169" i="13" s="1"/>
  <c r="CG169" i="13"/>
  <c r="K170" i="13"/>
  <c r="L170" i="13"/>
  <c r="AN170" i="13" s="1"/>
  <c r="AQ170" i="13" s="1"/>
  <c r="BU170" i="13" s="1"/>
  <c r="M170" i="13"/>
  <c r="AE169" i="13"/>
  <c r="AI169" i="13" s="1"/>
  <c r="CQ169" i="13" s="1"/>
  <c r="Q169" i="13"/>
  <c r="AY169" i="13" s="1"/>
  <c r="R169" i="13"/>
  <c r="BQ169" i="13" s="1"/>
  <c r="S169" i="13"/>
  <c r="CO169" i="13" s="1"/>
  <c r="U169" i="13"/>
  <c r="DI169" i="13" s="1"/>
  <c r="T169" i="13"/>
  <c r="CY169" i="13" s="1"/>
  <c r="V169" i="13"/>
  <c r="W169" i="13"/>
  <c r="X169" i="13"/>
  <c r="Y169" i="13"/>
  <c r="Z169" i="13"/>
  <c r="CJ169" i="13"/>
  <c r="AG169" i="13"/>
  <c r="AK169" i="13" s="1"/>
  <c r="DK169" i="13" s="1"/>
  <c r="AH169" i="13"/>
  <c r="AL169" i="13" s="1"/>
  <c r="BS169" i="13" s="1"/>
  <c r="AF169" i="13"/>
  <c r="AJ169" i="13" s="1"/>
  <c r="DA169" i="13" s="1"/>
  <c r="DZ168" i="12"/>
  <c r="CJ169" i="12"/>
  <c r="CG169" i="12"/>
  <c r="W169" i="12"/>
  <c r="Y169" i="12"/>
  <c r="X169" i="12"/>
  <c r="AR169" i="12"/>
  <c r="AZ169" i="12" s="1"/>
  <c r="AM169" i="12"/>
  <c r="BT169" i="12" s="1"/>
  <c r="M170" i="12"/>
  <c r="L170" i="12"/>
  <c r="AN170" i="12" s="1"/>
  <c r="AP169" i="12"/>
  <c r="AG169" i="12"/>
  <c r="AH169" i="12"/>
  <c r="AE169" i="12"/>
  <c r="AF169" i="12"/>
  <c r="T169" i="12"/>
  <c r="CY169" i="12" s="1"/>
  <c r="U169" i="12"/>
  <c r="DI169" i="12" s="1"/>
  <c r="S169" i="12"/>
  <c r="CO169" i="12" s="1"/>
  <c r="V169" i="12"/>
  <c r="K170" i="12"/>
  <c r="R169" i="12"/>
  <c r="BQ169" i="12" s="1"/>
  <c r="Q169" i="12"/>
  <c r="AY169" i="12" s="1"/>
  <c r="BD54" i="13" l="1"/>
  <c r="EQ54" i="13" s="1"/>
  <c r="ES54" i="13" s="1"/>
  <c r="EU54" i="13" s="1"/>
  <c r="EX54" i="13" s="1"/>
  <c r="FA54" i="13" s="1"/>
  <c r="BE54" i="13"/>
  <c r="BC55" i="12"/>
  <c r="N170" i="13"/>
  <c r="AM170" i="13" s="1"/>
  <c r="BT170" i="13" s="1"/>
  <c r="AO170" i="13"/>
  <c r="AR170" i="13" s="1"/>
  <c r="AZ170" i="13" s="1"/>
  <c r="AA169" i="13"/>
  <c r="CP169" i="13" s="1"/>
  <c r="AB169" i="13"/>
  <c r="CZ169" i="13" s="1"/>
  <c r="AC169" i="13"/>
  <c r="DJ169" i="13" s="1"/>
  <c r="AD169" i="13"/>
  <c r="BR169" i="13" s="1"/>
  <c r="ED168" i="12"/>
  <c r="AA169" i="12"/>
  <c r="CP169" i="12" s="1"/>
  <c r="AB169" i="12"/>
  <c r="CZ169" i="12" s="1"/>
  <c r="AC169" i="12"/>
  <c r="DJ169" i="12" s="1"/>
  <c r="AD169" i="12"/>
  <c r="BR169" i="12" s="1"/>
  <c r="AQ170" i="12"/>
  <c r="BU170" i="12" s="1"/>
  <c r="AS169" i="12"/>
  <c r="DV169" i="12" s="1"/>
  <c r="AO170" i="12"/>
  <c r="AK169" i="12"/>
  <c r="DK169" i="12" s="1"/>
  <c r="AI169" i="12"/>
  <c r="CQ169" i="12" s="1"/>
  <c r="AJ169" i="12"/>
  <c r="DA169" i="12" s="1"/>
  <c r="AL169" i="12"/>
  <c r="BS169" i="12" s="1"/>
  <c r="N170" i="12"/>
  <c r="Z170" i="12" s="1"/>
  <c r="BC54" i="13" l="1"/>
  <c r="ET54" i="13"/>
  <c r="EW54" i="13" s="1"/>
  <c r="EZ54" i="13" s="1"/>
  <c r="EV54" i="13"/>
  <c r="EY54" i="13" s="1"/>
  <c r="FB54" i="13" s="1"/>
  <c r="FF54" i="13" s="1"/>
  <c r="BG55" i="12"/>
  <c r="BF55" i="12"/>
  <c r="BH55" i="12"/>
  <c r="BK55" i="12"/>
  <c r="BI55" i="12"/>
  <c r="CG170" i="13"/>
  <c r="K171" i="13"/>
  <c r="L171" i="13"/>
  <c r="AN171" i="13" s="1"/>
  <c r="AQ171" i="13" s="1"/>
  <c r="BU171" i="13" s="1"/>
  <c r="M171" i="13"/>
  <c r="AP170" i="13"/>
  <c r="AS170" i="13" s="1"/>
  <c r="DV170" i="13" s="1"/>
  <c r="DZ170" i="13" s="1"/>
  <c r="ED170" i="13" s="1"/>
  <c r="AG170" i="13"/>
  <c r="AK170" i="13" s="1"/>
  <c r="DK170" i="13" s="1"/>
  <c r="AE170" i="13"/>
  <c r="AI170" i="13" s="1"/>
  <c r="CQ170" i="13" s="1"/>
  <c r="Q170" i="13"/>
  <c r="AY170" i="13" s="1"/>
  <c r="R170" i="13"/>
  <c r="BQ170" i="13" s="1"/>
  <c r="S170" i="13"/>
  <c r="CO170" i="13" s="1"/>
  <c r="T170" i="13"/>
  <c r="CY170" i="13" s="1"/>
  <c r="U170" i="13"/>
  <c r="DI170" i="13" s="1"/>
  <c r="V170" i="13"/>
  <c r="W170" i="13"/>
  <c r="AA170" i="13" s="1"/>
  <c r="CP170" i="13" s="1"/>
  <c r="X170" i="13"/>
  <c r="AB170" i="13" s="1"/>
  <c r="CZ170" i="13" s="1"/>
  <c r="Y170" i="13"/>
  <c r="AC170" i="13" s="1"/>
  <c r="DJ170" i="13" s="1"/>
  <c r="Z170" i="13"/>
  <c r="AD170" i="13" s="1"/>
  <c r="BR170" i="13" s="1"/>
  <c r="CJ170" i="13"/>
  <c r="AH170" i="13"/>
  <c r="AL170" i="13" s="1"/>
  <c r="BS170" i="13" s="1"/>
  <c r="AF170" i="13"/>
  <c r="AJ170" i="13" s="1"/>
  <c r="DA170" i="13" s="1"/>
  <c r="DZ169" i="12"/>
  <c r="CJ170" i="12"/>
  <c r="CG170" i="12"/>
  <c r="W170" i="12"/>
  <c r="Y170" i="12"/>
  <c r="X170" i="12"/>
  <c r="AR170" i="12"/>
  <c r="AZ170" i="12" s="1"/>
  <c r="AM170" i="12"/>
  <c r="BT170" i="12" s="1"/>
  <c r="M171" i="12"/>
  <c r="L171" i="12"/>
  <c r="AN171" i="12" s="1"/>
  <c r="AP170" i="12"/>
  <c r="AH170" i="12"/>
  <c r="AE170" i="12"/>
  <c r="AF170" i="12"/>
  <c r="AG170" i="12"/>
  <c r="Q170" i="12"/>
  <c r="AY170" i="12" s="1"/>
  <c r="K171" i="12"/>
  <c r="R170" i="12"/>
  <c r="BQ170" i="12" s="1"/>
  <c r="S170" i="12"/>
  <c r="CO170" i="12" s="1"/>
  <c r="V170" i="12"/>
  <c r="U170" i="12"/>
  <c r="DI170" i="12" s="1"/>
  <c r="T170" i="12"/>
  <c r="CY170" i="12" s="1"/>
  <c r="BF54" i="13" l="1"/>
  <c r="BG54" i="13"/>
  <c r="BH54" i="13"/>
  <c r="BK54" i="13"/>
  <c r="BI54" i="13"/>
  <c r="BL55" i="12"/>
  <c r="BW55" i="12" s="1"/>
  <c r="BX55" i="12" s="1"/>
  <c r="BO55" i="12"/>
  <c r="DL55" i="12" s="1"/>
  <c r="DM55" i="12" s="1"/>
  <c r="BM55" i="12"/>
  <c r="CR55" i="12" s="1"/>
  <c r="CS55" i="12" s="1"/>
  <c r="BN55" i="12"/>
  <c r="DB55" i="12" s="1"/>
  <c r="DC55" i="12" s="1"/>
  <c r="N171" i="13"/>
  <c r="AM171" i="13" s="1"/>
  <c r="BT171" i="13" s="1"/>
  <c r="AO171" i="13"/>
  <c r="AR171" i="13" s="1"/>
  <c r="AZ171" i="13" s="1"/>
  <c r="ED169" i="12"/>
  <c r="AA170" i="12"/>
  <c r="CP170" i="12" s="1"/>
  <c r="AB170" i="12"/>
  <c r="CZ170" i="12" s="1"/>
  <c r="AC170" i="12"/>
  <c r="DJ170" i="12" s="1"/>
  <c r="AD170" i="12"/>
  <c r="BR170" i="12" s="1"/>
  <c r="AQ171" i="12"/>
  <c r="BU171" i="12" s="1"/>
  <c r="AS170" i="12"/>
  <c r="DV170" i="12" s="1"/>
  <c r="AO171" i="12"/>
  <c r="AI170" i="12"/>
  <c r="CQ170" i="12" s="1"/>
  <c r="AJ170" i="12"/>
  <c r="DA170" i="12" s="1"/>
  <c r="AK170" i="12"/>
  <c r="DK170" i="12" s="1"/>
  <c r="AL170" i="12"/>
  <c r="BS170" i="12" s="1"/>
  <c r="N171" i="12"/>
  <c r="Z171" i="12" s="1"/>
  <c r="BO54" i="13" l="1"/>
  <c r="DL54" i="13" s="1"/>
  <c r="DM54" i="13" s="1"/>
  <c r="DQ54" i="13" s="1"/>
  <c r="BL54" i="13"/>
  <c r="BW54" i="13" s="1"/>
  <c r="BX54" i="13" s="1"/>
  <c r="CE54" i="13" s="1"/>
  <c r="BM54" i="13"/>
  <c r="CR54" i="13" s="1"/>
  <c r="CS54" i="13" s="1"/>
  <c r="CW54" i="13" s="1"/>
  <c r="BN54" i="13"/>
  <c r="DB54" i="13" s="1"/>
  <c r="DC54" i="13" s="1"/>
  <c r="DG54" i="13" s="1"/>
  <c r="CA55" i="12"/>
  <c r="CD55" i="12"/>
  <c r="CC55" i="12"/>
  <c r="CB55" i="12"/>
  <c r="BZ55" i="12"/>
  <c r="BY55" i="12"/>
  <c r="CI55" i="12"/>
  <c r="CK55" i="12" s="1"/>
  <c r="CH55" i="12"/>
  <c r="CE55" i="12"/>
  <c r="DO55" i="12"/>
  <c r="DU55" i="12"/>
  <c r="DY55" i="12" s="1"/>
  <c r="EC55" i="12" s="1"/>
  <c r="G50" i="11" s="1"/>
  <c r="DN55" i="12"/>
  <c r="DP55" i="12"/>
  <c r="DQ55" i="12"/>
  <c r="CU55" i="12"/>
  <c r="CT55" i="12"/>
  <c r="DS55" i="12"/>
  <c r="DW55" i="12" s="1"/>
  <c r="EA55" i="12" s="1"/>
  <c r="CV55" i="12"/>
  <c r="CW55" i="12"/>
  <c r="DT55" i="12"/>
  <c r="DX55" i="12" s="1"/>
  <c r="EB55" i="12" s="1"/>
  <c r="DE55" i="12"/>
  <c r="DD55" i="12"/>
  <c r="DF55" i="12"/>
  <c r="DG55" i="12"/>
  <c r="AP171" i="13"/>
  <c r="AS171" i="13" s="1"/>
  <c r="DV171" i="13" s="1"/>
  <c r="DZ171" i="13" s="1"/>
  <c r="ED171" i="13" s="1"/>
  <c r="CG171" i="13"/>
  <c r="K172" i="13"/>
  <c r="L172" i="13"/>
  <c r="AN172" i="13" s="1"/>
  <c r="AQ172" i="13" s="1"/>
  <c r="BU172" i="13" s="1"/>
  <c r="M172" i="13"/>
  <c r="AG171" i="13"/>
  <c r="AK171" i="13" s="1"/>
  <c r="DK171" i="13" s="1"/>
  <c r="AE171" i="13"/>
  <c r="AI171" i="13" s="1"/>
  <c r="CQ171" i="13" s="1"/>
  <c r="Q171" i="13"/>
  <c r="AY171" i="13" s="1"/>
  <c r="R171" i="13"/>
  <c r="BQ171" i="13" s="1"/>
  <c r="S171" i="13"/>
  <c r="CO171" i="13" s="1"/>
  <c r="T171" i="13"/>
  <c r="CY171" i="13" s="1"/>
  <c r="U171" i="13"/>
  <c r="DI171" i="13" s="1"/>
  <c r="V171" i="13"/>
  <c r="W171" i="13"/>
  <c r="X171" i="13"/>
  <c r="Y171" i="13"/>
  <c r="Z171" i="13"/>
  <c r="CJ171" i="13"/>
  <c r="AH171" i="13"/>
  <c r="AL171" i="13" s="1"/>
  <c r="BS171" i="13" s="1"/>
  <c r="AF171" i="13"/>
  <c r="AJ171" i="13" s="1"/>
  <c r="DA171" i="13" s="1"/>
  <c r="DZ170" i="12"/>
  <c r="CJ171" i="12"/>
  <c r="CG171" i="12"/>
  <c r="W171" i="12"/>
  <c r="Y171" i="12"/>
  <c r="X171" i="12"/>
  <c r="AR171" i="12"/>
  <c r="AZ171" i="12" s="1"/>
  <c r="AM171" i="12"/>
  <c r="BT171" i="12" s="1"/>
  <c r="M172" i="12"/>
  <c r="L172" i="12"/>
  <c r="AN172" i="12" s="1"/>
  <c r="AP171" i="12"/>
  <c r="AE171" i="12"/>
  <c r="AH171" i="12"/>
  <c r="AG171" i="12"/>
  <c r="AF171" i="12"/>
  <c r="K172" i="12"/>
  <c r="T171" i="12"/>
  <c r="CY171" i="12" s="1"/>
  <c r="U171" i="12"/>
  <c r="DI171" i="12" s="1"/>
  <c r="R171" i="12"/>
  <c r="BQ171" i="12" s="1"/>
  <c r="V171" i="12"/>
  <c r="S171" i="12"/>
  <c r="CO171" i="12" s="1"/>
  <c r="Q171" i="12"/>
  <c r="AY171" i="12" s="1"/>
  <c r="FD55" i="12" l="1"/>
  <c r="FG55" i="12" s="1"/>
  <c r="DO54" i="13"/>
  <c r="DN54" i="13"/>
  <c r="DU54" i="13"/>
  <c r="DY54" i="13" s="1"/>
  <c r="EC54" i="13" s="1"/>
  <c r="FD54" i="13" s="1"/>
  <c r="FG54" i="13" s="1"/>
  <c r="DP54" i="13"/>
  <c r="BY54" i="13"/>
  <c r="CA54" i="13"/>
  <c r="CC54" i="13"/>
  <c r="BZ54" i="13"/>
  <c r="CH54" i="13"/>
  <c r="CI54" i="13"/>
  <c r="CK54" i="13" s="1"/>
  <c r="CB54" i="13"/>
  <c r="CD54" i="13"/>
  <c r="CU54" i="13"/>
  <c r="DS54" i="13"/>
  <c r="DW54" i="13" s="1"/>
  <c r="EA54" i="13" s="1"/>
  <c r="CT54" i="13"/>
  <c r="CV54" i="13"/>
  <c r="DE54" i="13"/>
  <c r="DD54" i="13"/>
  <c r="DF54" i="13"/>
  <c r="DT54" i="13"/>
  <c r="DX54" i="13" s="1"/>
  <c r="EB54" i="13" s="1"/>
  <c r="CM55" i="12"/>
  <c r="CL55" i="12"/>
  <c r="BB56" i="12" s="1"/>
  <c r="N172" i="13"/>
  <c r="AM172" i="13" s="1"/>
  <c r="BT172" i="13" s="1"/>
  <c r="AO172" i="13"/>
  <c r="AR172" i="13" s="1"/>
  <c r="AZ172" i="13" s="1"/>
  <c r="AA171" i="13"/>
  <c r="CP171" i="13" s="1"/>
  <c r="AB171" i="13"/>
  <c r="CZ171" i="13" s="1"/>
  <c r="AC171" i="13"/>
  <c r="DJ171" i="13" s="1"/>
  <c r="AD171" i="13"/>
  <c r="BR171" i="13" s="1"/>
  <c r="ED170" i="12"/>
  <c r="AA171" i="12"/>
  <c r="CP171" i="12" s="1"/>
  <c r="AB171" i="12"/>
  <c r="CZ171" i="12" s="1"/>
  <c r="AC171" i="12"/>
  <c r="DJ171" i="12" s="1"/>
  <c r="AD171" i="12"/>
  <c r="BR171" i="12" s="1"/>
  <c r="AQ172" i="12"/>
  <c r="BU172" i="12" s="1"/>
  <c r="AS171" i="12"/>
  <c r="DV171" i="12" s="1"/>
  <c r="AO172" i="12"/>
  <c r="AI171" i="12"/>
  <c r="CQ171" i="12" s="1"/>
  <c r="AK171" i="12"/>
  <c r="DK171" i="12" s="1"/>
  <c r="AJ171" i="12"/>
  <c r="DA171" i="12" s="1"/>
  <c r="AL171" i="12"/>
  <c r="BS171" i="12" s="1"/>
  <c r="N172" i="12"/>
  <c r="Z172" i="12" s="1"/>
  <c r="BE56" i="12" l="1"/>
  <c r="H202" i="11"/>
  <c r="H200" i="11"/>
  <c r="H203" i="11"/>
  <c r="H201" i="11"/>
  <c r="CM54" i="13"/>
  <c r="CL54" i="13"/>
  <c r="BB55" i="13" s="1"/>
  <c r="CG172" i="13"/>
  <c r="K173" i="13"/>
  <c r="L173" i="13"/>
  <c r="AN173" i="13" s="1"/>
  <c r="AQ173" i="13" s="1"/>
  <c r="BU173" i="13" s="1"/>
  <c r="M173" i="13"/>
  <c r="AP172" i="13"/>
  <c r="AS172" i="13" s="1"/>
  <c r="DV172" i="13" s="1"/>
  <c r="DZ172" i="13" s="1"/>
  <c r="ED172" i="13" s="1"/>
  <c r="AH172" i="13"/>
  <c r="AL172" i="13" s="1"/>
  <c r="BS172" i="13" s="1"/>
  <c r="AE172" i="13"/>
  <c r="AI172" i="13" s="1"/>
  <c r="CQ172" i="13" s="1"/>
  <c r="Q172" i="13"/>
  <c r="AY172" i="13" s="1"/>
  <c r="R172" i="13"/>
  <c r="BQ172" i="13" s="1"/>
  <c r="S172" i="13"/>
  <c r="CO172" i="13" s="1"/>
  <c r="T172" i="13"/>
  <c r="CY172" i="13" s="1"/>
  <c r="W172" i="13"/>
  <c r="AA172" i="13" s="1"/>
  <c r="CP172" i="13" s="1"/>
  <c r="AF172" i="13"/>
  <c r="AJ172" i="13" s="1"/>
  <c r="DA172" i="13" s="1"/>
  <c r="U172" i="13"/>
  <c r="DI172" i="13" s="1"/>
  <c r="V172" i="13"/>
  <c r="X172" i="13"/>
  <c r="AB172" i="13" s="1"/>
  <c r="CZ172" i="13" s="1"/>
  <c r="Y172" i="13"/>
  <c r="AC172" i="13" s="1"/>
  <c r="DJ172" i="13" s="1"/>
  <c r="Z172" i="13"/>
  <c r="AD172" i="13" s="1"/>
  <c r="BR172" i="13" s="1"/>
  <c r="CJ172" i="13"/>
  <c r="AG172" i="13"/>
  <c r="AK172" i="13" s="1"/>
  <c r="DK172" i="13" s="1"/>
  <c r="DZ171" i="12"/>
  <c r="CJ172" i="12"/>
  <c r="CG172" i="12"/>
  <c r="W172" i="12"/>
  <c r="X172" i="12"/>
  <c r="Y172" i="12"/>
  <c r="AR172" i="12"/>
  <c r="AZ172" i="12" s="1"/>
  <c r="AM172" i="12"/>
  <c r="BT172" i="12" s="1"/>
  <c r="M173" i="12"/>
  <c r="L173" i="12"/>
  <c r="AN173" i="12" s="1"/>
  <c r="AP172" i="12"/>
  <c r="AF172" i="12"/>
  <c r="AG172" i="12"/>
  <c r="AE172" i="12"/>
  <c r="AH172" i="12"/>
  <c r="Q172" i="12"/>
  <c r="AY172" i="12" s="1"/>
  <c r="K173" i="12"/>
  <c r="R172" i="12"/>
  <c r="BQ172" i="12" s="1"/>
  <c r="U172" i="12"/>
  <c r="DI172" i="12" s="1"/>
  <c r="S172" i="12"/>
  <c r="CO172" i="12" s="1"/>
  <c r="T172" i="12"/>
  <c r="CY172" i="12" s="1"/>
  <c r="V172" i="12"/>
  <c r="BE55" i="13" l="1"/>
  <c r="BD55" i="13"/>
  <c r="EQ55" i="13" s="1"/>
  <c r="ES55" i="13" s="1"/>
  <c r="BC56" i="12"/>
  <c r="N173" i="13"/>
  <c r="AM173" i="13" s="1"/>
  <c r="BT173" i="13" s="1"/>
  <c r="AO173" i="13"/>
  <c r="AR173" i="13" s="1"/>
  <c r="AZ173" i="13" s="1"/>
  <c r="ED171" i="12"/>
  <c r="AA172" i="12"/>
  <c r="CP172" i="12" s="1"/>
  <c r="AB172" i="12"/>
  <c r="CZ172" i="12" s="1"/>
  <c r="AC172" i="12"/>
  <c r="DJ172" i="12" s="1"/>
  <c r="AD172" i="12"/>
  <c r="BR172" i="12" s="1"/>
  <c r="AQ173" i="12"/>
  <c r="BU173" i="12" s="1"/>
  <c r="AS172" i="12"/>
  <c r="DV172" i="12" s="1"/>
  <c r="AO173" i="12"/>
  <c r="AJ172" i="12"/>
  <c r="DA172" i="12" s="1"/>
  <c r="AK172" i="12"/>
  <c r="DK172" i="12" s="1"/>
  <c r="AI172" i="12"/>
  <c r="CQ172" i="12" s="1"/>
  <c r="AL172" i="12"/>
  <c r="BS172" i="12" s="1"/>
  <c r="N173" i="12"/>
  <c r="Z173" i="12" s="1"/>
  <c r="ET55" i="13" l="1"/>
  <c r="EW55" i="13" s="1"/>
  <c r="EZ55" i="13" s="1"/>
  <c r="EU55" i="13"/>
  <c r="EX55" i="13" s="1"/>
  <c r="FA55" i="13" s="1"/>
  <c r="EV55" i="13"/>
  <c r="EY55" i="13" s="1"/>
  <c r="FB55" i="13" s="1"/>
  <c r="FF55" i="13" s="1"/>
  <c r="BC55" i="13"/>
  <c r="BK56" i="12"/>
  <c r="BF56" i="12"/>
  <c r="BI56" i="12"/>
  <c r="BG56" i="12"/>
  <c r="BH56" i="12"/>
  <c r="K174" i="13"/>
  <c r="M174" i="13"/>
  <c r="AE173" i="13"/>
  <c r="AI173" i="13" s="1"/>
  <c r="CQ173" i="13" s="1"/>
  <c r="AP173" i="13"/>
  <c r="AS173" i="13" s="1"/>
  <c r="DV173" i="13" s="1"/>
  <c r="DZ173" i="13" s="1"/>
  <c r="ED173" i="13" s="1"/>
  <c r="L174" i="13"/>
  <c r="AN174" i="13" s="1"/>
  <c r="AQ174" i="13" s="1"/>
  <c r="BU174" i="13" s="1"/>
  <c r="CG173" i="13"/>
  <c r="S173" i="13"/>
  <c r="CO173" i="13" s="1"/>
  <c r="AF173" i="13"/>
  <c r="AJ173" i="13" s="1"/>
  <c r="DA173" i="13" s="1"/>
  <c r="Q173" i="13"/>
  <c r="AY173" i="13" s="1"/>
  <c r="R173" i="13"/>
  <c r="BQ173" i="13" s="1"/>
  <c r="T173" i="13"/>
  <c r="CY173" i="13" s="1"/>
  <c r="U173" i="13"/>
  <c r="DI173" i="13" s="1"/>
  <c r="V173" i="13"/>
  <c r="W173" i="13"/>
  <c r="X173" i="13"/>
  <c r="AB173" i="13" s="1"/>
  <c r="CZ173" i="13" s="1"/>
  <c r="Y173" i="13"/>
  <c r="AC173" i="13" s="1"/>
  <c r="DJ173" i="13" s="1"/>
  <c r="Z173" i="13"/>
  <c r="CJ173" i="13"/>
  <c r="AH173" i="13"/>
  <c r="AL173" i="13" s="1"/>
  <c r="BS173" i="13" s="1"/>
  <c r="AG173" i="13"/>
  <c r="AK173" i="13" s="1"/>
  <c r="DK173" i="13" s="1"/>
  <c r="DZ172" i="12"/>
  <c r="CJ173" i="12"/>
  <c r="CG173" i="12"/>
  <c r="Y173" i="12"/>
  <c r="W173" i="12"/>
  <c r="X173" i="12"/>
  <c r="AR173" i="12"/>
  <c r="AZ173" i="12" s="1"/>
  <c r="AM173" i="12"/>
  <c r="BT173" i="12" s="1"/>
  <c r="M174" i="12"/>
  <c r="L174" i="12"/>
  <c r="AN174" i="12" s="1"/>
  <c r="AP173" i="12"/>
  <c r="AG173" i="12"/>
  <c r="AF173" i="12"/>
  <c r="AE173" i="12"/>
  <c r="AH173" i="12"/>
  <c r="U173" i="12"/>
  <c r="DI173" i="12" s="1"/>
  <c r="V173" i="12"/>
  <c r="S173" i="12"/>
  <c r="CO173" i="12" s="1"/>
  <c r="K174" i="12"/>
  <c r="Q173" i="12"/>
  <c r="AY173" i="12" s="1"/>
  <c r="T173" i="12"/>
  <c r="CY173" i="12" s="1"/>
  <c r="R173" i="12"/>
  <c r="BQ173" i="12" s="1"/>
  <c r="BK55" i="13" l="1"/>
  <c r="BF55" i="13"/>
  <c r="BG55" i="13"/>
  <c r="BH55" i="13"/>
  <c r="BI55" i="13"/>
  <c r="BL56" i="12"/>
  <c r="BW56" i="12" s="1"/>
  <c r="BM56" i="12"/>
  <c r="CR56" i="12" s="1"/>
  <c r="BN56" i="12"/>
  <c r="DB56" i="12" s="1"/>
  <c r="BO56" i="12"/>
  <c r="DL56" i="12" s="1"/>
  <c r="N174" i="13"/>
  <c r="AO174" i="13"/>
  <c r="AR174" i="13" s="1"/>
  <c r="AZ174" i="13" s="1"/>
  <c r="AA173" i="13"/>
  <c r="CP173" i="13" s="1"/>
  <c r="AD173" i="13"/>
  <c r="BR173" i="13" s="1"/>
  <c r="ED172" i="12"/>
  <c r="AA173" i="12"/>
  <c r="CP173" i="12" s="1"/>
  <c r="AB173" i="12"/>
  <c r="CZ173" i="12" s="1"/>
  <c r="AC173" i="12"/>
  <c r="DJ173" i="12" s="1"/>
  <c r="AD173" i="12"/>
  <c r="BR173" i="12" s="1"/>
  <c r="AQ174" i="12"/>
  <c r="BU174" i="12" s="1"/>
  <c r="AS173" i="12"/>
  <c r="DV173" i="12" s="1"/>
  <c r="AO174" i="12"/>
  <c r="AK173" i="12"/>
  <c r="DK173" i="12" s="1"/>
  <c r="AJ173" i="12"/>
  <c r="DA173" i="12" s="1"/>
  <c r="AI173" i="12"/>
  <c r="CQ173" i="12" s="1"/>
  <c r="AL173" i="12"/>
  <c r="BS173" i="12" s="1"/>
  <c r="N174" i="12"/>
  <c r="Z174" i="12" s="1"/>
  <c r="BM55" i="13" l="1"/>
  <c r="CR55" i="13" s="1"/>
  <c r="CS55" i="13" s="1"/>
  <c r="BL55" i="13"/>
  <c r="BW55" i="13" s="1"/>
  <c r="BX55" i="13" s="1"/>
  <c r="BO55" i="13"/>
  <c r="DL55" i="13" s="1"/>
  <c r="DM55" i="13" s="1"/>
  <c r="BN55" i="13"/>
  <c r="DB55" i="13" s="1"/>
  <c r="DC55" i="13" s="1"/>
  <c r="BX56" i="12"/>
  <c r="CE56" i="12" s="1"/>
  <c r="CS56" i="12"/>
  <c r="CW56" i="12" s="1"/>
  <c r="DC56" i="12"/>
  <c r="DG56" i="12" s="1"/>
  <c r="DM56" i="12"/>
  <c r="DQ56" i="12" s="1"/>
  <c r="AM174" i="13"/>
  <c r="BT174" i="13" s="1"/>
  <c r="AP174" i="13"/>
  <c r="AS174" i="13" s="1"/>
  <c r="DV174" i="13" s="1"/>
  <c r="DZ174" i="13" s="1"/>
  <c r="ED174" i="13" s="1"/>
  <c r="K175" i="13"/>
  <c r="M175" i="13"/>
  <c r="CG174" i="13"/>
  <c r="L175" i="13"/>
  <c r="AN175" i="13" s="1"/>
  <c r="AQ175" i="13" s="1"/>
  <c r="BU175" i="13" s="1"/>
  <c r="AF174" i="13"/>
  <c r="AJ174" i="13" s="1"/>
  <c r="DA174" i="13" s="1"/>
  <c r="Q174" i="13"/>
  <c r="AY174" i="13" s="1"/>
  <c r="R174" i="13"/>
  <c r="BQ174" i="13" s="1"/>
  <c r="S174" i="13"/>
  <c r="CO174" i="13" s="1"/>
  <c r="T174" i="13"/>
  <c r="CY174" i="13" s="1"/>
  <c r="U174" i="13"/>
  <c r="DI174" i="13" s="1"/>
  <c r="V174" i="13"/>
  <c r="W174" i="13"/>
  <c r="X174" i="13"/>
  <c r="Y174" i="13"/>
  <c r="AC174" i="13" s="1"/>
  <c r="DJ174" i="13" s="1"/>
  <c r="Z174" i="13"/>
  <c r="CJ174" i="13"/>
  <c r="AH174" i="13"/>
  <c r="AL174" i="13" s="1"/>
  <c r="BS174" i="13" s="1"/>
  <c r="AG174" i="13"/>
  <c r="AK174" i="13" s="1"/>
  <c r="DK174" i="13" s="1"/>
  <c r="AE174" i="13"/>
  <c r="AI174" i="13" s="1"/>
  <c r="CQ174" i="13" s="1"/>
  <c r="DZ173" i="12"/>
  <c r="CJ174" i="12"/>
  <c r="CG174" i="12"/>
  <c r="X174" i="12"/>
  <c r="W174" i="12"/>
  <c r="Y174" i="12"/>
  <c r="AR174" i="12"/>
  <c r="AZ174" i="12" s="1"/>
  <c r="AM174" i="12"/>
  <c r="BT174" i="12" s="1"/>
  <c r="M175" i="12"/>
  <c r="L175" i="12"/>
  <c r="AN175" i="12" s="1"/>
  <c r="AP174" i="12"/>
  <c r="AE174" i="12"/>
  <c r="AF174" i="12"/>
  <c r="AH174" i="12"/>
  <c r="AG174" i="12"/>
  <c r="T174" i="12"/>
  <c r="CY174" i="12" s="1"/>
  <c r="K175" i="12"/>
  <c r="R174" i="12"/>
  <c r="BQ174" i="12" s="1"/>
  <c r="Q174" i="12"/>
  <c r="AY174" i="12" s="1"/>
  <c r="V174" i="12"/>
  <c r="S174" i="12"/>
  <c r="CO174" i="12" s="1"/>
  <c r="U174" i="12"/>
  <c r="DI174" i="12" s="1"/>
  <c r="DS55" i="13" l="1"/>
  <c r="DW55" i="13" s="1"/>
  <c r="EA55" i="13" s="1"/>
  <c r="CU55" i="13"/>
  <c r="CT55" i="13"/>
  <c r="CV55" i="13"/>
  <c r="CW55" i="13"/>
  <c r="CH55" i="13"/>
  <c r="CB55" i="13"/>
  <c r="CA55" i="13"/>
  <c r="BY55" i="13"/>
  <c r="CC55" i="13"/>
  <c r="BZ55" i="13"/>
  <c r="CI55" i="13"/>
  <c r="CK55" i="13" s="1"/>
  <c r="CD55" i="13"/>
  <c r="CE55" i="13"/>
  <c r="DU55" i="13"/>
  <c r="DY55" i="13" s="1"/>
  <c r="EC55" i="13" s="1"/>
  <c r="FD55" i="13" s="1"/>
  <c r="FG55" i="13" s="1"/>
  <c r="DO55" i="13"/>
  <c r="DP55" i="13"/>
  <c r="DN55" i="13"/>
  <c r="DQ55" i="13"/>
  <c r="DT55" i="13"/>
  <c r="DX55" i="13" s="1"/>
  <c r="EB55" i="13" s="1"/>
  <c r="DF55" i="13"/>
  <c r="DD55" i="13"/>
  <c r="DE55" i="13"/>
  <c r="DG55" i="13"/>
  <c r="CD56" i="12"/>
  <c r="CB56" i="12"/>
  <c r="CI56" i="12"/>
  <c r="CK56" i="12" s="1"/>
  <c r="CA56" i="12"/>
  <c r="CH56" i="12"/>
  <c r="CC56" i="12"/>
  <c r="BZ56" i="12"/>
  <c r="BY56" i="12"/>
  <c r="CT56" i="12"/>
  <c r="CV56" i="12"/>
  <c r="CU56" i="12"/>
  <c r="DS56" i="12"/>
  <c r="DW56" i="12" s="1"/>
  <c r="EA56" i="12" s="1"/>
  <c r="DE56" i="12"/>
  <c r="DF56" i="12"/>
  <c r="DT56" i="12"/>
  <c r="DX56" i="12" s="1"/>
  <c r="EB56" i="12" s="1"/>
  <c r="DD56" i="12"/>
  <c r="DN56" i="12"/>
  <c r="DP56" i="12"/>
  <c r="DU56" i="12"/>
  <c r="DY56" i="12" s="1"/>
  <c r="EC56" i="12" s="1"/>
  <c r="G51" i="11" s="1"/>
  <c r="DO56" i="12"/>
  <c r="N175" i="13"/>
  <c r="AO175" i="13"/>
  <c r="AR175" i="13" s="1"/>
  <c r="AZ175" i="13" s="1"/>
  <c r="AA174" i="13"/>
  <c r="CP174" i="13" s="1"/>
  <c r="AB174" i="13"/>
  <c r="CZ174" i="13" s="1"/>
  <c r="AD174" i="13"/>
  <c r="BR174" i="13" s="1"/>
  <c r="ED173" i="12"/>
  <c r="AA174" i="12"/>
  <c r="CP174" i="12" s="1"/>
  <c r="AB174" i="12"/>
  <c r="CZ174" i="12" s="1"/>
  <c r="AC174" i="12"/>
  <c r="DJ174" i="12" s="1"/>
  <c r="AD174" i="12"/>
  <c r="BR174" i="12" s="1"/>
  <c r="AQ175" i="12"/>
  <c r="BU175" i="12" s="1"/>
  <c r="AS174" i="12"/>
  <c r="DV174" i="12" s="1"/>
  <c r="AO175" i="12"/>
  <c r="AI174" i="12"/>
  <c r="CQ174" i="12" s="1"/>
  <c r="AJ174" i="12"/>
  <c r="DA174" i="12" s="1"/>
  <c r="AK174" i="12"/>
  <c r="DK174" i="12" s="1"/>
  <c r="AL174" i="12"/>
  <c r="BS174" i="12" s="1"/>
  <c r="N175" i="12"/>
  <c r="Z175" i="12" s="1"/>
  <c r="FD56" i="12" l="1"/>
  <c r="FG56" i="12" s="1"/>
  <c r="CL55" i="13"/>
  <c r="BB56" i="13" s="1"/>
  <c r="CM55" i="13"/>
  <c r="H204" i="11"/>
  <c r="H205" i="11"/>
  <c r="CL56" i="12"/>
  <c r="BB57" i="12" s="1"/>
  <c r="CM56" i="12"/>
  <c r="AP175" i="13"/>
  <c r="AS175" i="13" s="1"/>
  <c r="DV175" i="13" s="1"/>
  <c r="DZ175" i="13" s="1"/>
  <c r="ED175" i="13" s="1"/>
  <c r="K176" i="13"/>
  <c r="L176" i="13"/>
  <c r="AN176" i="13" s="1"/>
  <c r="AQ176" i="13" s="1"/>
  <c r="BU176" i="13" s="1"/>
  <c r="M176" i="13"/>
  <c r="CG175" i="13"/>
  <c r="AM175" i="13"/>
  <c r="BT175" i="13" s="1"/>
  <c r="AH175" i="13"/>
  <c r="AL175" i="13" s="1"/>
  <c r="BS175" i="13" s="1"/>
  <c r="AE175" i="13"/>
  <c r="AI175" i="13" s="1"/>
  <c r="CQ175" i="13" s="1"/>
  <c r="Q175" i="13"/>
  <c r="AY175" i="13" s="1"/>
  <c r="R175" i="13"/>
  <c r="BQ175" i="13" s="1"/>
  <c r="S175" i="13"/>
  <c r="CO175" i="13" s="1"/>
  <c r="T175" i="13"/>
  <c r="CY175" i="13" s="1"/>
  <c r="U175" i="13"/>
  <c r="DI175" i="13" s="1"/>
  <c r="V175" i="13"/>
  <c r="W175" i="13"/>
  <c r="AA175" i="13" s="1"/>
  <c r="CP175" i="13" s="1"/>
  <c r="X175" i="13"/>
  <c r="AB175" i="13" s="1"/>
  <c r="CZ175" i="13" s="1"/>
  <c r="Y175" i="13"/>
  <c r="AC175" i="13" s="1"/>
  <c r="DJ175" i="13" s="1"/>
  <c r="Z175" i="13"/>
  <c r="AD175" i="13" s="1"/>
  <c r="BR175" i="13" s="1"/>
  <c r="CJ175" i="13"/>
  <c r="AF175" i="13"/>
  <c r="AJ175" i="13" s="1"/>
  <c r="DA175" i="13" s="1"/>
  <c r="AG175" i="13"/>
  <c r="AK175" i="13" s="1"/>
  <c r="DK175" i="13" s="1"/>
  <c r="DZ174" i="12"/>
  <c r="CJ175" i="12"/>
  <c r="CG175" i="12"/>
  <c r="X175" i="12"/>
  <c r="W175" i="12"/>
  <c r="Y175" i="12"/>
  <c r="AR175" i="12"/>
  <c r="AZ175" i="12" s="1"/>
  <c r="AM175" i="12"/>
  <c r="BT175" i="12" s="1"/>
  <c r="M176" i="12"/>
  <c r="L176" i="12"/>
  <c r="AN176" i="12" s="1"/>
  <c r="AP175" i="12"/>
  <c r="AE175" i="12"/>
  <c r="AH175" i="12"/>
  <c r="AG175" i="12"/>
  <c r="AF175" i="12"/>
  <c r="R175" i="12"/>
  <c r="BQ175" i="12" s="1"/>
  <c r="U175" i="12"/>
  <c r="DI175" i="12" s="1"/>
  <c r="S175" i="12"/>
  <c r="CO175" i="12" s="1"/>
  <c r="V175" i="12"/>
  <c r="T175" i="12"/>
  <c r="CY175" i="12" s="1"/>
  <c r="K176" i="12"/>
  <c r="Q175" i="12"/>
  <c r="AY175" i="12" s="1"/>
  <c r="BE57" i="12" l="1"/>
  <c r="BE56" i="13"/>
  <c r="BD56" i="13"/>
  <c r="EQ56" i="13" s="1"/>
  <c r="ES56" i="13" s="1"/>
  <c r="N176" i="13"/>
  <c r="AO176" i="13"/>
  <c r="AR176" i="13" s="1"/>
  <c r="AZ176" i="13" s="1"/>
  <c r="ED174" i="12"/>
  <c r="AA175" i="12"/>
  <c r="CP175" i="12" s="1"/>
  <c r="AB175" i="12"/>
  <c r="CZ175" i="12" s="1"/>
  <c r="AC175" i="12"/>
  <c r="DJ175" i="12" s="1"/>
  <c r="AD175" i="12"/>
  <c r="BR175" i="12" s="1"/>
  <c r="AQ176" i="12"/>
  <c r="BU176" i="12" s="1"/>
  <c r="AS175" i="12"/>
  <c r="DV175" i="12" s="1"/>
  <c r="AO176" i="12"/>
  <c r="AI175" i="12"/>
  <c r="CQ175" i="12" s="1"/>
  <c r="AK175" i="12"/>
  <c r="DK175" i="12" s="1"/>
  <c r="AJ175" i="12"/>
  <c r="DA175" i="12" s="1"/>
  <c r="AL175" i="12"/>
  <c r="BS175" i="12" s="1"/>
  <c r="N176" i="12"/>
  <c r="Z176" i="12" s="1"/>
  <c r="EU56" i="13" l="1"/>
  <c r="EX56" i="13" s="1"/>
  <c r="FA56" i="13" s="1"/>
  <c r="ET56" i="13"/>
  <c r="EW56" i="13" s="1"/>
  <c r="EZ56" i="13" s="1"/>
  <c r="EV56" i="13"/>
  <c r="EY56" i="13" s="1"/>
  <c r="FB56" i="13" s="1"/>
  <c r="FF56" i="13" s="1"/>
  <c r="BC56" i="13"/>
  <c r="BC57" i="12"/>
  <c r="AM176" i="13"/>
  <c r="BT176" i="13" s="1"/>
  <c r="AF176" i="13"/>
  <c r="AJ176" i="13" s="1"/>
  <c r="DA176" i="13" s="1"/>
  <c r="Q176" i="13"/>
  <c r="AY176" i="13" s="1"/>
  <c r="R176" i="13"/>
  <c r="BQ176" i="13" s="1"/>
  <c r="S176" i="13"/>
  <c r="CO176" i="13" s="1"/>
  <c r="AP176" i="13"/>
  <c r="AS176" i="13" s="1"/>
  <c r="DV176" i="13" s="1"/>
  <c r="DZ176" i="13" s="1"/>
  <c r="ED176" i="13" s="1"/>
  <c r="CG176" i="13"/>
  <c r="K177" i="13"/>
  <c r="L177" i="13"/>
  <c r="AN177" i="13" s="1"/>
  <c r="AQ177" i="13" s="1"/>
  <c r="BU177" i="13" s="1"/>
  <c r="M177" i="13"/>
  <c r="T176" i="13"/>
  <c r="CY176" i="13" s="1"/>
  <c r="U176" i="13"/>
  <c r="DI176" i="13" s="1"/>
  <c r="V176" i="13"/>
  <c r="W176" i="13"/>
  <c r="X176" i="13"/>
  <c r="Y176" i="13"/>
  <c r="Z176" i="13"/>
  <c r="CJ176" i="13"/>
  <c r="AH176" i="13"/>
  <c r="AL176" i="13" s="1"/>
  <c r="BS176" i="13" s="1"/>
  <c r="AG176" i="13"/>
  <c r="AK176" i="13" s="1"/>
  <c r="DK176" i="13" s="1"/>
  <c r="AE176" i="13"/>
  <c r="AI176" i="13" s="1"/>
  <c r="CQ176" i="13" s="1"/>
  <c r="DZ175" i="12"/>
  <c r="CJ176" i="12"/>
  <c r="CG176" i="12"/>
  <c r="X176" i="12"/>
  <c r="Y176" i="12"/>
  <c r="W176" i="12"/>
  <c r="AM176" i="12"/>
  <c r="BT176" i="12" s="1"/>
  <c r="AR176" i="12"/>
  <c r="AZ176" i="12" s="1"/>
  <c r="M177" i="12"/>
  <c r="L177" i="12"/>
  <c r="AN177" i="12" s="1"/>
  <c r="AP176" i="12"/>
  <c r="AH176" i="12"/>
  <c r="AG176" i="12"/>
  <c r="AF176" i="12"/>
  <c r="AE176" i="12"/>
  <c r="V176" i="12"/>
  <c r="S176" i="12"/>
  <c r="CO176" i="12" s="1"/>
  <c r="T176" i="12"/>
  <c r="CY176" i="12" s="1"/>
  <c r="Q176" i="12"/>
  <c r="AY176" i="12" s="1"/>
  <c r="K177" i="12"/>
  <c r="R176" i="12"/>
  <c r="BQ176" i="12" s="1"/>
  <c r="U176" i="12"/>
  <c r="DI176" i="12" s="1"/>
  <c r="BG56" i="13" l="1"/>
  <c r="BI56" i="13"/>
  <c r="BH56" i="13"/>
  <c r="BF56" i="13"/>
  <c r="BK56" i="13"/>
  <c r="BH57" i="12"/>
  <c r="BK57" i="12"/>
  <c r="BG57" i="12"/>
  <c r="BF57" i="12"/>
  <c r="BI57" i="12"/>
  <c r="N177" i="13"/>
  <c r="AM177" i="13" s="1"/>
  <c r="BT177" i="13" s="1"/>
  <c r="AO177" i="13"/>
  <c r="AR177" i="13" s="1"/>
  <c r="AZ177" i="13" s="1"/>
  <c r="AA176" i="13"/>
  <c r="CP176" i="13" s="1"/>
  <c r="AB176" i="13"/>
  <c r="CZ176" i="13" s="1"/>
  <c r="AC176" i="13"/>
  <c r="DJ176" i="13" s="1"/>
  <c r="AD176" i="13"/>
  <c r="BR176" i="13" s="1"/>
  <c r="ED175" i="12"/>
  <c r="AA176" i="12"/>
  <c r="CP176" i="12" s="1"/>
  <c r="AB176" i="12"/>
  <c r="CZ176" i="12" s="1"/>
  <c r="AC176" i="12"/>
  <c r="DJ176" i="12" s="1"/>
  <c r="AD176" i="12"/>
  <c r="BR176" i="12" s="1"/>
  <c r="AQ177" i="12"/>
  <c r="BU177" i="12" s="1"/>
  <c r="AS176" i="12"/>
  <c r="DV176" i="12" s="1"/>
  <c r="AO177" i="12"/>
  <c r="AK176" i="12"/>
  <c r="DK176" i="12" s="1"/>
  <c r="AJ176" i="12"/>
  <c r="DA176" i="12" s="1"/>
  <c r="AI176" i="12"/>
  <c r="CQ176" i="12" s="1"/>
  <c r="AL176" i="12"/>
  <c r="BS176" i="12" s="1"/>
  <c r="N177" i="12"/>
  <c r="Z177" i="12" s="1"/>
  <c r="BN56" i="13" l="1"/>
  <c r="DB56" i="13" s="1"/>
  <c r="BO56" i="13"/>
  <c r="DL56" i="13" s="1"/>
  <c r="BM56" i="13"/>
  <c r="CR56" i="13" s="1"/>
  <c r="BL56" i="13"/>
  <c r="BW56" i="13" s="1"/>
  <c r="BN57" i="12"/>
  <c r="DB57" i="12" s="1"/>
  <c r="DC57" i="12" s="1"/>
  <c r="DG57" i="12" s="1"/>
  <c r="BM57" i="12"/>
  <c r="CR57" i="12" s="1"/>
  <c r="BL57" i="12"/>
  <c r="BW57" i="12" s="1"/>
  <c r="BX57" i="12" s="1"/>
  <c r="CE57" i="12" s="1"/>
  <c r="BO57" i="12"/>
  <c r="DL57" i="12" s="1"/>
  <c r="DM57" i="12" s="1"/>
  <c r="DQ57" i="12" s="1"/>
  <c r="AP177" i="13"/>
  <c r="AS177" i="13" s="1"/>
  <c r="DV177" i="13" s="1"/>
  <c r="DZ177" i="13" s="1"/>
  <c r="ED177" i="13" s="1"/>
  <c r="CG177" i="13"/>
  <c r="K178" i="13"/>
  <c r="L178" i="13"/>
  <c r="AN178" i="13" s="1"/>
  <c r="AQ178" i="13" s="1"/>
  <c r="BU178" i="13" s="1"/>
  <c r="M178" i="13"/>
  <c r="AH177" i="13"/>
  <c r="AL177" i="13" s="1"/>
  <c r="BS177" i="13" s="1"/>
  <c r="AE177" i="13"/>
  <c r="AI177" i="13" s="1"/>
  <c r="CQ177" i="13" s="1"/>
  <c r="Q177" i="13"/>
  <c r="AY177" i="13" s="1"/>
  <c r="R177" i="13"/>
  <c r="BQ177" i="13" s="1"/>
  <c r="S177" i="13"/>
  <c r="CO177" i="13" s="1"/>
  <c r="T177" i="13"/>
  <c r="CY177" i="13" s="1"/>
  <c r="U177" i="13"/>
  <c r="DI177" i="13" s="1"/>
  <c r="V177" i="13"/>
  <c r="W177" i="13"/>
  <c r="X177" i="13"/>
  <c r="AB177" i="13" s="1"/>
  <c r="CZ177" i="13" s="1"/>
  <c r="Y177" i="13"/>
  <c r="AC177" i="13" s="1"/>
  <c r="DJ177" i="13" s="1"/>
  <c r="Z177" i="13"/>
  <c r="AD177" i="13" s="1"/>
  <c r="BR177" i="13" s="1"/>
  <c r="CJ177" i="13"/>
  <c r="AG177" i="13"/>
  <c r="AK177" i="13" s="1"/>
  <c r="DK177" i="13" s="1"/>
  <c r="AF177" i="13"/>
  <c r="AJ177" i="13" s="1"/>
  <c r="DA177" i="13" s="1"/>
  <c r="DZ176" i="12"/>
  <c r="CJ177" i="12"/>
  <c r="CG177" i="12"/>
  <c r="W177" i="12"/>
  <c r="X177" i="12"/>
  <c r="Y177" i="12"/>
  <c r="AR177" i="12"/>
  <c r="AZ177" i="12" s="1"/>
  <c r="AM177" i="12"/>
  <c r="BT177" i="12" s="1"/>
  <c r="M178" i="12"/>
  <c r="L178" i="12"/>
  <c r="AN178" i="12" s="1"/>
  <c r="AP177" i="12"/>
  <c r="AH177" i="12"/>
  <c r="AF177" i="12"/>
  <c r="AE177" i="12"/>
  <c r="AG177" i="12"/>
  <c r="S177" i="12"/>
  <c r="CO177" i="12" s="1"/>
  <c r="U177" i="12"/>
  <c r="DI177" i="12" s="1"/>
  <c r="T177" i="12"/>
  <c r="CY177" i="12" s="1"/>
  <c r="K178" i="12"/>
  <c r="R177" i="12"/>
  <c r="BQ177" i="12" s="1"/>
  <c r="Q177" i="12"/>
  <c r="AY177" i="12" s="1"/>
  <c r="V177" i="12"/>
  <c r="DC56" i="13" l="1"/>
  <c r="DG56" i="13" s="1"/>
  <c r="DM56" i="13"/>
  <c r="DQ56" i="13" s="1"/>
  <c r="CS56" i="13"/>
  <c r="CW56" i="13" s="1"/>
  <c r="BX56" i="13"/>
  <c r="CE56" i="13" s="1"/>
  <c r="CS57" i="12"/>
  <c r="DN57" i="12"/>
  <c r="DO57" i="12"/>
  <c r="DP57" i="12"/>
  <c r="DU57" i="12"/>
  <c r="DY57" i="12" s="1"/>
  <c r="EC57" i="12" s="1"/>
  <c r="DT57" i="12"/>
  <c r="DX57" i="12" s="1"/>
  <c r="EB57" i="12" s="1"/>
  <c r="DE57" i="12"/>
  <c r="DD57" i="12"/>
  <c r="DF57" i="12"/>
  <c r="BY57" i="12"/>
  <c r="CA57" i="12"/>
  <c r="CC57" i="12"/>
  <c r="CB57" i="12"/>
  <c r="BZ57" i="12"/>
  <c r="CH57" i="12"/>
  <c r="CI57" i="12"/>
  <c r="CK57" i="12" s="1"/>
  <c r="CD57" i="12"/>
  <c r="N178" i="13"/>
  <c r="AM178" i="13" s="1"/>
  <c r="BT178" i="13" s="1"/>
  <c r="AO178" i="13"/>
  <c r="AR178" i="13" s="1"/>
  <c r="AZ178" i="13" s="1"/>
  <c r="AA177" i="13"/>
  <c r="CP177" i="13" s="1"/>
  <c r="ED176" i="12"/>
  <c r="AA177" i="12"/>
  <c r="CP177" i="12" s="1"/>
  <c r="AB177" i="12"/>
  <c r="CZ177" i="12" s="1"/>
  <c r="AC177" i="12"/>
  <c r="DJ177" i="12" s="1"/>
  <c r="AD177" i="12"/>
  <c r="BR177" i="12" s="1"/>
  <c r="AQ178" i="12"/>
  <c r="BU178" i="12" s="1"/>
  <c r="AS177" i="12"/>
  <c r="DV177" i="12" s="1"/>
  <c r="AO178" i="12"/>
  <c r="AJ177" i="12"/>
  <c r="DA177" i="12" s="1"/>
  <c r="AI177" i="12"/>
  <c r="CQ177" i="12" s="1"/>
  <c r="AK177" i="12"/>
  <c r="DK177" i="12" s="1"/>
  <c r="AL177" i="12"/>
  <c r="BS177" i="12" s="1"/>
  <c r="N178" i="12"/>
  <c r="Z178" i="12" s="1"/>
  <c r="FD57" i="12" l="1"/>
  <c r="FG57" i="12" s="1"/>
  <c r="DF56" i="13"/>
  <c r="DT56" i="13"/>
  <c r="DX56" i="13" s="1"/>
  <c r="EB56" i="13" s="1"/>
  <c r="DD56" i="13"/>
  <c r="DE56" i="13"/>
  <c r="DP56" i="13"/>
  <c r="DU56" i="13"/>
  <c r="DY56" i="13" s="1"/>
  <c r="EC56" i="13" s="1"/>
  <c r="FD56" i="13" s="1"/>
  <c r="FG56" i="13" s="1"/>
  <c r="DN56" i="13"/>
  <c r="DO56" i="13"/>
  <c r="CV56" i="13"/>
  <c r="DS56" i="13"/>
  <c r="DW56" i="13" s="1"/>
  <c r="EA56" i="13" s="1"/>
  <c r="CT56" i="13"/>
  <c r="CU56" i="13"/>
  <c r="BZ56" i="13"/>
  <c r="CI56" i="13"/>
  <c r="CK56" i="13" s="1"/>
  <c r="CA56" i="13"/>
  <c r="CD56" i="13"/>
  <c r="BY56" i="13"/>
  <c r="CB56" i="13"/>
  <c r="CH56" i="13"/>
  <c r="CC56" i="13"/>
  <c r="CW57" i="12"/>
  <c r="CT57" i="12"/>
  <c r="CV57" i="12"/>
  <c r="CU57" i="12"/>
  <c r="DS57" i="12"/>
  <c r="DW57" i="12" s="1"/>
  <c r="EA57" i="12" s="1"/>
  <c r="CL57" i="12"/>
  <c r="BB58" i="12" s="1"/>
  <c r="CM57" i="12"/>
  <c r="AF178" i="13"/>
  <c r="AJ178" i="13" s="1"/>
  <c r="DA178" i="13" s="1"/>
  <c r="R178" i="13"/>
  <c r="BQ178" i="13" s="1"/>
  <c r="T178" i="13"/>
  <c r="CY178" i="13" s="1"/>
  <c r="V178" i="13"/>
  <c r="X178" i="13"/>
  <c r="AB178" i="13" s="1"/>
  <c r="CZ178" i="13" s="1"/>
  <c r="Z178" i="13"/>
  <c r="AD178" i="13" s="1"/>
  <c r="BR178" i="13" s="1"/>
  <c r="CG178" i="13"/>
  <c r="M179" i="13"/>
  <c r="AP178" i="13"/>
  <c r="AS178" i="13" s="1"/>
  <c r="DV178" i="13" s="1"/>
  <c r="DZ178" i="13" s="1"/>
  <c r="ED178" i="13" s="1"/>
  <c r="K179" i="13"/>
  <c r="L179" i="13"/>
  <c r="AN179" i="13" s="1"/>
  <c r="AQ179" i="13" s="1"/>
  <c r="BU179" i="13" s="1"/>
  <c r="AH178" i="13"/>
  <c r="AL178" i="13" s="1"/>
  <c r="BS178" i="13" s="1"/>
  <c r="Q178" i="13"/>
  <c r="AY178" i="13" s="1"/>
  <c r="S178" i="13"/>
  <c r="CO178" i="13" s="1"/>
  <c r="U178" i="13"/>
  <c r="DI178" i="13" s="1"/>
  <c r="W178" i="13"/>
  <c r="AA178" i="13" s="1"/>
  <c r="CP178" i="13" s="1"/>
  <c r="Y178" i="13"/>
  <c r="AC178" i="13" s="1"/>
  <c r="DJ178" i="13" s="1"/>
  <c r="CJ178" i="13"/>
  <c r="AG178" i="13"/>
  <c r="AK178" i="13" s="1"/>
  <c r="DK178" i="13" s="1"/>
  <c r="AE178" i="13"/>
  <c r="AI178" i="13" s="1"/>
  <c r="CQ178" i="13" s="1"/>
  <c r="DZ177" i="12"/>
  <c r="CJ178" i="12"/>
  <c r="CG178" i="12"/>
  <c r="W178" i="12"/>
  <c r="X178" i="12"/>
  <c r="Y178" i="12"/>
  <c r="AR178" i="12"/>
  <c r="AZ178" i="12" s="1"/>
  <c r="AM178" i="12"/>
  <c r="BT178" i="12" s="1"/>
  <c r="M179" i="12"/>
  <c r="L179" i="12"/>
  <c r="AN179" i="12" s="1"/>
  <c r="AP178" i="12"/>
  <c r="AE178" i="12"/>
  <c r="AF178" i="12"/>
  <c r="AG178" i="12"/>
  <c r="AH178" i="12"/>
  <c r="V178" i="12"/>
  <c r="S178" i="12"/>
  <c r="CO178" i="12" s="1"/>
  <c r="U178" i="12"/>
  <c r="DI178" i="12" s="1"/>
  <c r="K179" i="12"/>
  <c r="T178" i="12"/>
  <c r="CY178" i="12" s="1"/>
  <c r="R178" i="12"/>
  <c r="BQ178" i="12" s="1"/>
  <c r="Q178" i="12"/>
  <c r="AY178" i="12" s="1"/>
  <c r="BE58" i="12" l="1"/>
  <c r="CL56" i="13"/>
  <c r="BB57" i="13" s="1"/>
  <c r="CM56" i="13"/>
  <c r="N179" i="13"/>
  <c r="AM179" i="13" s="1"/>
  <c r="BT179" i="13" s="1"/>
  <c r="AO179" i="13"/>
  <c r="AR179" i="13" s="1"/>
  <c r="AZ179" i="13" s="1"/>
  <c r="ED177" i="12"/>
  <c r="AA178" i="12"/>
  <c r="CP178" i="12" s="1"/>
  <c r="AB178" i="12"/>
  <c r="CZ178" i="12" s="1"/>
  <c r="AC178" i="12"/>
  <c r="DJ178" i="12" s="1"/>
  <c r="AD178" i="12"/>
  <c r="BR178" i="12" s="1"/>
  <c r="AQ179" i="12"/>
  <c r="BU179" i="12" s="1"/>
  <c r="AS178" i="12"/>
  <c r="DV178" i="12" s="1"/>
  <c r="AO179" i="12"/>
  <c r="AI178" i="12"/>
  <c r="CQ178" i="12" s="1"/>
  <c r="AJ178" i="12"/>
  <c r="DA178" i="12" s="1"/>
  <c r="AK178" i="12"/>
  <c r="DK178" i="12" s="1"/>
  <c r="AL178" i="12"/>
  <c r="BS178" i="12" s="1"/>
  <c r="N179" i="12"/>
  <c r="Z179" i="12" s="1"/>
  <c r="BE57" i="13" l="1"/>
  <c r="BD57" i="13"/>
  <c r="EQ57" i="13" s="1"/>
  <c r="ES57" i="13" s="1"/>
  <c r="BC58" i="12"/>
  <c r="M180" i="13"/>
  <c r="L180" i="13"/>
  <c r="AN180" i="13" s="1"/>
  <c r="AQ180" i="13" s="1"/>
  <c r="BU180" i="13" s="1"/>
  <c r="CG179" i="13"/>
  <c r="AE179" i="13"/>
  <c r="AI179" i="13" s="1"/>
  <c r="CQ179" i="13" s="1"/>
  <c r="Q179" i="13"/>
  <c r="AY179" i="13" s="1"/>
  <c r="R179" i="13"/>
  <c r="BQ179" i="13" s="1"/>
  <c r="S179" i="13"/>
  <c r="CO179" i="13" s="1"/>
  <c r="T179" i="13"/>
  <c r="CY179" i="13" s="1"/>
  <c r="U179" i="13"/>
  <c r="DI179" i="13" s="1"/>
  <c r="K180" i="13"/>
  <c r="AP179" i="13"/>
  <c r="AS179" i="13" s="1"/>
  <c r="DV179" i="13" s="1"/>
  <c r="DZ179" i="13" s="1"/>
  <c r="ED179" i="13" s="1"/>
  <c r="V179" i="13"/>
  <c r="W179" i="13"/>
  <c r="AA179" i="13" s="1"/>
  <c r="CP179" i="13" s="1"/>
  <c r="X179" i="13"/>
  <c r="AB179" i="13" s="1"/>
  <c r="CZ179" i="13" s="1"/>
  <c r="Y179" i="13"/>
  <c r="AC179" i="13" s="1"/>
  <c r="DJ179" i="13" s="1"/>
  <c r="Z179" i="13"/>
  <c r="AD179" i="13" s="1"/>
  <c r="BR179" i="13" s="1"/>
  <c r="CJ179" i="13"/>
  <c r="AG179" i="13"/>
  <c r="AK179" i="13" s="1"/>
  <c r="DK179" i="13" s="1"/>
  <c r="AH179" i="13"/>
  <c r="AL179" i="13" s="1"/>
  <c r="BS179" i="13" s="1"/>
  <c r="AF179" i="13"/>
  <c r="AJ179" i="13" s="1"/>
  <c r="DA179" i="13" s="1"/>
  <c r="DZ178" i="12"/>
  <c r="CJ179" i="12"/>
  <c r="CG179" i="12"/>
  <c r="Y179" i="12"/>
  <c r="W179" i="12"/>
  <c r="X179" i="12"/>
  <c r="AR179" i="12"/>
  <c r="AZ179" i="12" s="1"/>
  <c r="AM179" i="12"/>
  <c r="BT179" i="12" s="1"/>
  <c r="M180" i="12"/>
  <c r="L180" i="12"/>
  <c r="AN180" i="12" s="1"/>
  <c r="AP179" i="12"/>
  <c r="AF179" i="12"/>
  <c r="AG179" i="12"/>
  <c r="AE179" i="12"/>
  <c r="AH179" i="12"/>
  <c r="V179" i="12"/>
  <c r="T179" i="12"/>
  <c r="CY179" i="12" s="1"/>
  <c r="K180" i="12"/>
  <c r="S179" i="12"/>
  <c r="CO179" i="12" s="1"/>
  <c r="Q179" i="12"/>
  <c r="AY179" i="12" s="1"/>
  <c r="R179" i="12"/>
  <c r="BQ179" i="12" s="1"/>
  <c r="U179" i="12"/>
  <c r="DI179" i="12" s="1"/>
  <c r="ET57" i="13" l="1"/>
  <c r="EW57" i="13" s="1"/>
  <c r="EZ57" i="13" s="1"/>
  <c r="EU57" i="13"/>
  <c r="EX57" i="13" s="1"/>
  <c r="FA57" i="13" s="1"/>
  <c r="EV57" i="13"/>
  <c r="EY57" i="13" s="1"/>
  <c r="FB57" i="13" s="1"/>
  <c r="FF57" i="13" s="1"/>
  <c r="BC57" i="13"/>
  <c r="BG58" i="12"/>
  <c r="BH58" i="12"/>
  <c r="BF58" i="12"/>
  <c r="BI58" i="12"/>
  <c r="BK58" i="12"/>
  <c r="N180" i="13"/>
  <c r="AO180" i="13"/>
  <c r="AR180" i="13" s="1"/>
  <c r="AZ180" i="13" s="1"/>
  <c r="ED178" i="12"/>
  <c r="AA179" i="12"/>
  <c r="CP179" i="12" s="1"/>
  <c r="AB179" i="12"/>
  <c r="CZ179" i="12" s="1"/>
  <c r="AC179" i="12"/>
  <c r="DJ179" i="12" s="1"/>
  <c r="AD179" i="12"/>
  <c r="BR179" i="12" s="1"/>
  <c r="AQ180" i="12"/>
  <c r="BU180" i="12" s="1"/>
  <c r="AS179" i="12"/>
  <c r="DV179" i="12" s="1"/>
  <c r="AO180" i="12"/>
  <c r="AJ179" i="12"/>
  <c r="DA179" i="12" s="1"/>
  <c r="AK179" i="12"/>
  <c r="DK179" i="12" s="1"/>
  <c r="AI179" i="12"/>
  <c r="CQ179" i="12" s="1"/>
  <c r="AL179" i="12"/>
  <c r="BS179" i="12" s="1"/>
  <c r="N180" i="12"/>
  <c r="Z180" i="12" s="1"/>
  <c r="BI57" i="13" l="1"/>
  <c r="BG57" i="13"/>
  <c r="BF57" i="13"/>
  <c r="BH57" i="13"/>
  <c r="BK57" i="13"/>
  <c r="BO58" i="12"/>
  <c r="DL58" i="12" s="1"/>
  <c r="DM58" i="12" s="1"/>
  <c r="BN58" i="12"/>
  <c r="DB58" i="12" s="1"/>
  <c r="BM58" i="12"/>
  <c r="CR58" i="12" s="1"/>
  <c r="CS58" i="12" s="1"/>
  <c r="BL58" i="12"/>
  <c r="BW58" i="12" s="1"/>
  <c r="BX58" i="12" s="1"/>
  <c r="K181" i="13"/>
  <c r="AP180" i="13"/>
  <c r="AS180" i="13" s="1"/>
  <c r="DV180" i="13" s="1"/>
  <c r="DZ180" i="13" s="1"/>
  <c r="ED180" i="13" s="1"/>
  <c r="CG180" i="13"/>
  <c r="L181" i="13"/>
  <c r="AN181" i="13" s="1"/>
  <c r="AQ181" i="13" s="1"/>
  <c r="BU181" i="13" s="1"/>
  <c r="M181" i="13"/>
  <c r="AM180" i="13"/>
  <c r="BT180" i="13" s="1"/>
  <c r="AG180" i="13"/>
  <c r="AK180" i="13" s="1"/>
  <c r="DK180" i="13" s="1"/>
  <c r="AE180" i="13"/>
  <c r="AI180" i="13" s="1"/>
  <c r="CQ180" i="13" s="1"/>
  <c r="Q180" i="13"/>
  <c r="AY180" i="13" s="1"/>
  <c r="R180" i="13"/>
  <c r="BQ180" i="13" s="1"/>
  <c r="S180" i="13"/>
  <c r="CO180" i="13" s="1"/>
  <c r="T180" i="13"/>
  <c r="CY180" i="13" s="1"/>
  <c r="U180" i="13"/>
  <c r="DI180" i="13" s="1"/>
  <c r="V180" i="13"/>
  <c r="W180" i="13"/>
  <c r="X180" i="13"/>
  <c r="Y180" i="13"/>
  <c r="Z180" i="13"/>
  <c r="CJ180" i="13"/>
  <c r="AH180" i="13"/>
  <c r="AL180" i="13" s="1"/>
  <c r="BS180" i="13" s="1"/>
  <c r="AF180" i="13"/>
  <c r="AJ180" i="13" s="1"/>
  <c r="DA180" i="13" s="1"/>
  <c r="DZ179" i="12"/>
  <c r="CJ180" i="12"/>
  <c r="CG180" i="12"/>
  <c r="W180" i="12"/>
  <c r="X180" i="12"/>
  <c r="Y180" i="12"/>
  <c r="AM180" i="12"/>
  <c r="BT180" i="12" s="1"/>
  <c r="AR180" i="12"/>
  <c r="AZ180" i="12" s="1"/>
  <c r="M181" i="12"/>
  <c r="L181" i="12"/>
  <c r="AN181" i="12" s="1"/>
  <c r="AP180" i="12"/>
  <c r="AH180" i="12"/>
  <c r="AE180" i="12"/>
  <c r="AG180" i="12"/>
  <c r="AF180" i="12"/>
  <c r="R180" i="12"/>
  <c r="BQ180" i="12" s="1"/>
  <c r="V180" i="12"/>
  <c r="U180" i="12"/>
  <c r="DI180" i="12" s="1"/>
  <c r="K181" i="12"/>
  <c r="S180" i="12"/>
  <c r="CO180" i="12" s="1"/>
  <c r="T180" i="12"/>
  <c r="CY180" i="12" s="1"/>
  <c r="Q180" i="12"/>
  <c r="AY180" i="12" s="1"/>
  <c r="BM57" i="13" l="1"/>
  <c r="CR57" i="13" s="1"/>
  <c r="BL57" i="13"/>
  <c r="BW57" i="13" s="1"/>
  <c r="BO57" i="13"/>
  <c r="DL57" i="13" s="1"/>
  <c r="BN57" i="13"/>
  <c r="DB57" i="13" s="1"/>
  <c r="DQ58" i="12"/>
  <c r="DU58" i="12"/>
  <c r="DY58" i="12" s="1"/>
  <c r="EC58" i="12" s="1"/>
  <c r="G52" i="11" s="1"/>
  <c r="DN58" i="12"/>
  <c r="DP58" i="12"/>
  <c r="DO58" i="12"/>
  <c r="DC58" i="12"/>
  <c r="DG58" i="12" s="1"/>
  <c r="CW58" i="12"/>
  <c r="DS58" i="12"/>
  <c r="DW58" i="12" s="1"/>
  <c r="EA58" i="12" s="1"/>
  <c r="CV58" i="12"/>
  <c r="CU58" i="12"/>
  <c r="CT58" i="12"/>
  <c r="CE58" i="12"/>
  <c r="BY58" i="12"/>
  <c r="CB58" i="12"/>
  <c r="CA58" i="12"/>
  <c r="CD58" i="12"/>
  <c r="CC58" i="12"/>
  <c r="BZ58" i="12"/>
  <c r="CH58" i="12"/>
  <c r="CI58" i="12"/>
  <c r="CK58" i="12" s="1"/>
  <c r="N181" i="13"/>
  <c r="AM181" i="13" s="1"/>
  <c r="BT181" i="13" s="1"/>
  <c r="AO181" i="13"/>
  <c r="AR181" i="13" s="1"/>
  <c r="AZ181" i="13" s="1"/>
  <c r="AA180" i="13"/>
  <c r="CP180" i="13" s="1"/>
  <c r="AB180" i="13"/>
  <c r="CZ180" i="13" s="1"/>
  <c r="AC180" i="13"/>
  <c r="DJ180" i="13" s="1"/>
  <c r="AD180" i="13"/>
  <c r="BR180" i="13" s="1"/>
  <c r="ED179" i="12"/>
  <c r="AA180" i="12"/>
  <c r="CP180" i="12" s="1"/>
  <c r="AB180" i="12"/>
  <c r="CZ180" i="12" s="1"/>
  <c r="AC180" i="12"/>
  <c r="DJ180" i="12" s="1"/>
  <c r="AD180" i="12"/>
  <c r="BR180" i="12" s="1"/>
  <c r="AQ181" i="12"/>
  <c r="BU181" i="12" s="1"/>
  <c r="AS180" i="12"/>
  <c r="DV180" i="12" s="1"/>
  <c r="AO181" i="12"/>
  <c r="AI180" i="12"/>
  <c r="CQ180" i="12" s="1"/>
  <c r="AK180" i="12"/>
  <c r="DK180" i="12" s="1"/>
  <c r="AJ180" i="12"/>
  <c r="DA180" i="12" s="1"/>
  <c r="AL180" i="12"/>
  <c r="BS180" i="12" s="1"/>
  <c r="N181" i="12"/>
  <c r="Z181" i="12" s="1"/>
  <c r="FD58" i="12" l="1"/>
  <c r="FG58" i="12" s="1"/>
  <c r="CS57" i="13"/>
  <c r="CW57" i="13" s="1"/>
  <c r="BX57" i="13"/>
  <c r="CE57" i="13" s="1"/>
  <c r="DM57" i="13"/>
  <c r="DQ57" i="13" s="1"/>
  <c r="DC57" i="13"/>
  <c r="DG57" i="13" s="1"/>
  <c r="CL58" i="12"/>
  <c r="BB59" i="12" s="1"/>
  <c r="CM58" i="12"/>
  <c r="DT58" i="12"/>
  <c r="DX58" i="12" s="1"/>
  <c r="EB58" i="12" s="1"/>
  <c r="DD58" i="12"/>
  <c r="DE58" i="12"/>
  <c r="DF58" i="12"/>
  <c r="AP181" i="13"/>
  <c r="AS181" i="13" s="1"/>
  <c r="DV181" i="13" s="1"/>
  <c r="DZ181" i="13" s="1"/>
  <c r="ED181" i="13" s="1"/>
  <c r="K182" i="13"/>
  <c r="M182" i="13"/>
  <c r="CG181" i="13"/>
  <c r="L182" i="13"/>
  <c r="AN182" i="13" s="1"/>
  <c r="AQ182" i="13" s="1"/>
  <c r="BU182" i="13" s="1"/>
  <c r="AE181" i="13"/>
  <c r="AI181" i="13" s="1"/>
  <c r="CQ181" i="13" s="1"/>
  <c r="Q181" i="13"/>
  <c r="AY181" i="13" s="1"/>
  <c r="R181" i="13"/>
  <c r="BQ181" i="13" s="1"/>
  <c r="S181" i="13"/>
  <c r="CO181" i="13" s="1"/>
  <c r="T181" i="13"/>
  <c r="CY181" i="13" s="1"/>
  <c r="U181" i="13"/>
  <c r="DI181" i="13" s="1"/>
  <c r="V181" i="13"/>
  <c r="W181" i="13"/>
  <c r="AA181" i="13" s="1"/>
  <c r="CP181" i="13" s="1"/>
  <c r="X181" i="13"/>
  <c r="AB181" i="13" s="1"/>
  <c r="CZ181" i="13" s="1"/>
  <c r="Y181" i="13"/>
  <c r="AC181" i="13" s="1"/>
  <c r="DJ181" i="13" s="1"/>
  <c r="Z181" i="13"/>
  <c r="AD181" i="13" s="1"/>
  <c r="BR181" i="13" s="1"/>
  <c r="CJ181" i="13"/>
  <c r="AG181" i="13"/>
  <c r="AK181" i="13" s="1"/>
  <c r="DK181" i="13" s="1"/>
  <c r="AH181" i="13"/>
  <c r="AL181" i="13" s="1"/>
  <c r="BS181" i="13" s="1"/>
  <c r="AF181" i="13"/>
  <c r="AJ181" i="13" s="1"/>
  <c r="DA181" i="13" s="1"/>
  <c r="DZ180" i="12"/>
  <c r="CJ181" i="12"/>
  <c r="CG181" i="12"/>
  <c r="W181" i="12"/>
  <c r="X181" i="12"/>
  <c r="Y181" i="12"/>
  <c r="AM181" i="12"/>
  <c r="BT181" i="12" s="1"/>
  <c r="AR181" i="12"/>
  <c r="AZ181" i="12" s="1"/>
  <c r="M182" i="12"/>
  <c r="L182" i="12"/>
  <c r="AN182" i="12" s="1"/>
  <c r="AP181" i="12"/>
  <c r="AG181" i="12"/>
  <c r="AF181" i="12"/>
  <c r="AE181" i="12"/>
  <c r="AH181" i="12"/>
  <c r="R181" i="12"/>
  <c r="BQ181" i="12" s="1"/>
  <c r="V181" i="12"/>
  <c r="Q181" i="12"/>
  <c r="AY181" i="12" s="1"/>
  <c r="K182" i="12"/>
  <c r="T181" i="12"/>
  <c r="CY181" i="12" s="1"/>
  <c r="U181" i="12"/>
  <c r="DI181" i="12" s="1"/>
  <c r="S181" i="12"/>
  <c r="CO181" i="12" s="1"/>
  <c r="BE59" i="12" l="1"/>
  <c r="CT57" i="13"/>
  <c r="DS57" i="13"/>
  <c r="DW57" i="13" s="1"/>
  <c r="EA57" i="13" s="1"/>
  <c r="CU57" i="13"/>
  <c r="CV57" i="13"/>
  <c r="BZ57" i="13"/>
  <c r="BY57" i="13"/>
  <c r="CC57" i="13"/>
  <c r="CH57" i="13"/>
  <c r="CB57" i="13"/>
  <c r="CA57" i="13"/>
  <c r="CI57" i="13"/>
  <c r="CK57" i="13" s="1"/>
  <c r="CD57" i="13"/>
  <c r="DN57" i="13"/>
  <c r="DP57" i="13"/>
  <c r="DO57" i="13"/>
  <c r="DU57" i="13"/>
  <c r="DY57" i="13" s="1"/>
  <c r="EC57" i="13" s="1"/>
  <c r="FD57" i="13" s="1"/>
  <c r="FG57" i="13" s="1"/>
  <c r="DE57" i="13"/>
  <c r="DF57" i="13"/>
  <c r="DT57" i="13"/>
  <c r="DX57" i="13" s="1"/>
  <c r="EB57" i="13" s="1"/>
  <c r="DD57" i="13"/>
  <c r="N182" i="13"/>
  <c r="AO182" i="13"/>
  <c r="AR182" i="13" s="1"/>
  <c r="AZ182" i="13" s="1"/>
  <c r="ED180" i="12"/>
  <c r="AA181" i="12"/>
  <c r="CP181" i="12" s="1"/>
  <c r="AB181" i="12"/>
  <c r="CZ181" i="12" s="1"/>
  <c r="AC181" i="12"/>
  <c r="DJ181" i="12" s="1"/>
  <c r="AD181" i="12"/>
  <c r="BR181" i="12" s="1"/>
  <c r="AQ182" i="12"/>
  <c r="BU182" i="12" s="1"/>
  <c r="AS181" i="12"/>
  <c r="DV181" i="12" s="1"/>
  <c r="AO182" i="12"/>
  <c r="AK181" i="12"/>
  <c r="DK181" i="12" s="1"/>
  <c r="AJ181" i="12"/>
  <c r="DA181" i="12" s="1"/>
  <c r="AI181" i="12"/>
  <c r="CQ181" i="12" s="1"/>
  <c r="AL181" i="12"/>
  <c r="BS181" i="12" s="1"/>
  <c r="N182" i="12"/>
  <c r="Z182" i="12" s="1"/>
  <c r="CM57" i="13" l="1"/>
  <c r="CL57" i="13"/>
  <c r="BB58" i="13" s="1"/>
  <c r="BC59" i="12"/>
  <c r="BI59" i="12" s="1"/>
  <c r="AM182" i="13"/>
  <c r="BT182" i="13" s="1"/>
  <c r="AE182" i="13"/>
  <c r="AI182" i="13" s="1"/>
  <c r="CQ182" i="13" s="1"/>
  <c r="AP182" i="13"/>
  <c r="AS182" i="13" s="1"/>
  <c r="DV182" i="13" s="1"/>
  <c r="DZ182" i="13" s="1"/>
  <c r="ED182" i="13" s="1"/>
  <c r="CG182" i="13"/>
  <c r="K183" i="13"/>
  <c r="M183" i="13"/>
  <c r="L183" i="13"/>
  <c r="AN183" i="13" s="1"/>
  <c r="AQ183" i="13" s="1"/>
  <c r="BU183" i="13" s="1"/>
  <c r="AH182" i="13"/>
  <c r="AL182" i="13" s="1"/>
  <c r="BS182" i="13" s="1"/>
  <c r="Q182" i="13"/>
  <c r="AY182" i="13" s="1"/>
  <c r="R182" i="13"/>
  <c r="BQ182" i="13" s="1"/>
  <c r="S182" i="13"/>
  <c r="CO182" i="13" s="1"/>
  <c r="T182" i="13"/>
  <c r="CY182" i="13" s="1"/>
  <c r="U182" i="13"/>
  <c r="DI182" i="13" s="1"/>
  <c r="V182" i="13"/>
  <c r="W182" i="13"/>
  <c r="AA182" i="13" s="1"/>
  <c r="CP182" i="13" s="1"/>
  <c r="X182" i="13"/>
  <c r="AB182" i="13" s="1"/>
  <c r="CZ182" i="13" s="1"/>
  <c r="Y182" i="13"/>
  <c r="AC182" i="13" s="1"/>
  <c r="DJ182" i="13" s="1"/>
  <c r="Z182" i="13"/>
  <c r="AD182" i="13" s="1"/>
  <c r="BR182" i="13" s="1"/>
  <c r="CJ182" i="13"/>
  <c r="AG182" i="13"/>
  <c r="AK182" i="13" s="1"/>
  <c r="DK182" i="13" s="1"/>
  <c r="AF182" i="13"/>
  <c r="AJ182" i="13" s="1"/>
  <c r="DA182" i="13" s="1"/>
  <c r="DZ181" i="12"/>
  <c r="CJ182" i="12"/>
  <c r="CG182" i="12"/>
  <c r="W182" i="12"/>
  <c r="X182" i="12"/>
  <c r="Y182" i="12"/>
  <c r="AR182" i="12"/>
  <c r="AZ182" i="12" s="1"/>
  <c r="AM182" i="12"/>
  <c r="BT182" i="12" s="1"/>
  <c r="M183" i="12"/>
  <c r="L183" i="12"/>
  <c r="AN183" i="12" s="1"/>
  <c r="AP182" i="12"/>
  <c r="AE182" i="12"/>
  <c r="AH182" i="12"/>
  <c r="AG182" i="12"/>
  <c r="AF182" i="12"/>
  <c r="Q182" i="12"/>
  <c r="AY182" i="12" s="1"/>
  <c r="V182" i="12"/>
  <c r="U182" i="12"/>
  <c r="DI182" i="12" s="1"/>
  <c r="R182" i="12"/>
  <c r="BQ182" i="12" s="1"/>
  <c r="S182" i="12"/>
  <c r="CO182" i="12" s="1"/>
  <c r="T182" i="12"/>
  <c r="CY182" i="12" s="1"/>
  <c r="K183" i="12"/>
  <c r="BE58" i="13" l="1"/>
  <c r="BD58" i="13"/>
  <c r="EQ58" i="13" s="1"/>
  <c r="ES58" i="13" s="1"/>
  <c r="BG59" i="12"/>
  <c r="BF59" i="12"/>
  <c r="BK59" i="12"/>
  <c r="BL59" i="12" s="1"/>
  <c r="BW59" i="12" s="1"/>
  <c r="BX59" i="12" s="1"/>
  <c r="BH59" i="12"/>
  <c r="N183" i="13"/>
  <c r="AO183" i="13"/>
  <c r="AR183" i="13" s="1"/>
  <c r="AZ183" i="13" s="1"/>
  <c r="ED181" i="12"/>
  <c r="AA182" i="12"/>
  <c r="CP182" i="12" s="1"/>
  <c r="AB182" i="12"/>
  <c r="CZ182" i="12" s="1"/>
  <c r="AC182" i="12"/>
  <c r="DJ182" i="12" s="1"/>
  <c r="AD182" i="12"/>
  <c r="BR182" i="12" s="1"/>
  <c r="AQ183" i="12"/>
  <c r="BU183" i="12" s="1"/>
  <c r="AS182" i="12"/>
  <c r="DV182" i="12" s="1"/>
  <c r="AO183" i="12"/>
  <c r="AI182" i="12"/>
  <c r="CQ182" i="12" s="1"/>
  <c r="AK182" i="12"/>
  <c r="DK182" i="12" s="1"/>
  <c r="AJ182" i="12"/>
  <c r="DA182" i="12" s="1"/>
  <c r="AL182" i="12"/>
  <c r="BS182" i="12" s="1"/>
  <c r="N183" i="12"/>
  <c r="Z183" i="12" s="1"/>
  <c r="BC58" i="13" l="1"/>
  <c r="BF58" i="13" s="1"/>
  <c r="EU58" i="13"/>
  <c r="EX58" i="13" s="1"/>
  <c r="FA58" i="13" s="1"/>
  <c r="EV58" i="13"/>
  <c r="EY58" i="13" s="1"/>
  <c r="FB58" i="13" s="1"/>
  <c r="FF58" i="13" s="1"/>
  <c r="ET58" i="13"/>
  <c r="EW58" i="13" s="1"/>
  <c r="EZ58" i="13" s="1"/>
  <c r="BN59" i="12"/>
  <c r="DB59" i="12" s="1"/>
  <c r="BM59" i="12"/>
  <c r="CR59" i="12" s="1"/>
  <c r="CS59" i="12" s="1"/>
  <c r="CW59" i="12" s="1"/>
  <c r="BO59" i="12"/>
  <c r="DL59" i="12" s="1"/>
  <c r="CE59" i="12"/>
  <c r="BZ59" i="12"/>
  <c r="CD59" i="12"/>
  <c r="CH59" i="12"/>
  <c r="CB59" i="12"/>
  <c r="CI59" i="12"/>
  <c r="CK59" i="12" s="1"/>
  <c r="BY59" i="12"/>
  <c r="CA59" i="12"/>
  <c r="CC59" i="12"/>
  <c r="Y183" i="13"/>
  <c r="AG183" i="13"/>
  <c r="AK183" i="13" s="1"/>
  <c r="DK183" i="13" s="1"/>
  <c r="AE183" i="13"/>
  <c r="AI183" i="13" s="1"/>
  <c r="CQ183" i="13" s="1"/>
  <c r="K184" i="13"/>
  <c r="L184" i="13"/>
  <c r="AN184" i="13" s="1"/>
  <c r="AQ184" i="13" s="1"/>
  <c r="BU184" i="13" s="1"/>
  <c r="M184" i="13"/>
  <c r="CG183" i="13"/>
  <c r="AP183" i="13"/>
  <c r="AS183" i="13" s="1"/>
  <c r="DV183" i="13" s="1"/>
  <c r="DZ183" i="13" s="1"/>
  <c r="ED183" i="13" s="1"/>
  <c r="AF183" i="13"/>
  <c r="AJ183" i="13" s="1"/>
  <c r="DA183" i="13" s="1"/>
  <c r="W183" i="13"/>
  <c r="AM183" i="13"/>
  <c r="BT183" i="13" s="1"/>
  <c r="Q183" i="13"/>
  <c r="AY183" i="13" s="1"/>
  <c r="R183" i="13"/>
  <c r="BQ183" i="13" s="1"/>
  <c r="S183" i="13"/>
  <c r="CO183" i="13" s="1"/>
  <c r="T183" i="13"/>
  <c r="CY183" i="13" s="1"/>
  <c r="U183" i="13"/>
  <c r="DI183" i="13" s="1"/>
  <c r="V183" i="13"/>
  <c r="X183" i="13"/>
  <c r="CJ183" i="13"/>
  <c r="AH183" i="13"/>
  <c r="AL183" i="13" s="1"/>
  <c r="BS183" i="13" s="1"/>
  <c r="Z183" i="13"/>
  <c r="DZ182" i="12"/>
  <c r="CJ183" i="12"/>
  <c r="CG183" i="12"/>
  <c r="Y183" i="12"/>
  <c r="X183" i="12"/>
  <c r="W183" i="12"/>
  <c r="AR183" i="12"/>
  <c r="AZ183" i="12" s="1"/>
  <c r="AM183" i="12"/>
  <c r="BT183" i="12" s="1"/>
  <c r="M184" i="12"/>
  <c r="L184" i="12"/>
  <c r="AN184" i="12" s="1"/>
  <c r="AP183" i="12"/>
  <c r="AG183" i="12"/>
  <c r="AE183" i="12"/>
  <c r="AH183" i="12"/>
  <c r="AF183" i="12"/>
  <c r="R183" i="12"/>
  <c r="BQ183" i="12" s="1"/>
  <c r="K184" i="12"/>
  <c r="V183" i="12"/>
  <c r="S183" i="12"/>
  <c r="CO183" i="12" s="1"/>
  <c r="Q183" i="12"/>
  <c r="AY183" i="12" s="1"/>
  <c r="T183" i="12"/>
  <c r="CY183" i="12" s="1"/>
  <c r="U183" i="12"/>
  <c r="DI183" i="12" s="1"/>
  <c r="BI58" i="13" l="1"/>
  <c r="BH58" i="13"/>
  <c r="BK58" i="13"/>
  <c r="BG58" i="13"/>
  <c r="DC59" i="12"/>
  <c r="DG59" i="12" s="1"/>
  <c r="DM59" i="12"/>
  <c r="DQ59" i="12" s="1"/>
  <c r="CM59" i="12"/>
  <c r="CL59" i="12"/>
  <c r="BB60" i="12" s="1"/>
  <c r="CT59" i="12"/>
  <c r="CV59" i="12"/>
  <c r="CU59" i="12"/>
  <c r="DS59" i="12"/>
  <c r="DW59" i="12" s="1"/>
  <c r="EA59" i="12" s="1"/>
  <c r="N184" i="13"/>
  <c r="AM184" i="13" s="1"/>
  <c r="BT184" i="13" s="1"/>
  <c r="AC183" i="13"/>
  <c r="DJ183" i="13" s="1"/>
  <c r="AO184" i="13"/>
  <c r="AR184" i="13" s="1"/>
  <c r="AZ184" i="13" s="1"/>
  <c r="AA183" i="13"/>
  <c r="CP183" i="13" s="1"/>
  <c r="AB183" i="13"/>
  <c r="CZ183" i="13" s="1"/>
  <c r="AD183" i="13"/>
  <c r="BR183" i="13" s="1"/>
  <c r="ED182" i="12"/>
  <c r="AA183" i="12"/>
  <c r="CP183" i="12" s="1"/>
  <c r="AB183" i="12"/>
  <c r="CZ183" i="12" s="1"/>
  <c r="AC183" i="12"/>
  <c r="DJ183" i="12" s="1"/>
  <c r="AD183" i="12"/>
  <c r="BR183" i="12" s="1"/>
  <c r="AQ184" i="12"/>
  <c r="BU184" i="12" s="1"/>
  <c r="AS183" i="12"/>
  <c r="DV183" i="12" s="1"/>
  <c r="AO184" i="12"/>
  <c r="AK183" i="12"/>
  <c r="DK183" i="12" s="1"/>
  <c r="AI183" i="12"/>
  <c r="CQ183" i="12" s="1"/>
  <c r="AJ183" i="12"/>
  <c r="DA183" i="12" s="1"/>
  <c r="AL183" i="12"/>
  <c r="BS183" i="12" s="1"/>
  <c r="N184" i="12"/>
  <c r="Z184" i="12" s="1"/>
  <c r="BE60" i="12" l="1"/>
  <c r="BM58" i="13"/>
  <c r="CR58" i="13" s="1"/>
  <c r="BL58" i="13"/>
  <c r="BW58" i="13" s="1"/>
  <c r="BX58" i="13" s="1"/>
  <c r="CE58" i="13" s="1"/>
  <c r="BN58" i="13"/>
  <c r="DB58" i="13" s="1"/>
  <c r="BO58" i="13"/>
  <c r="DL58" i="13" s="1"/>
  <c r="DT59" i="12"/>
  <c r="DX59" i="12" s="1"/>
  <c r="EB59" i="12" s="1"/>
  <c r="DE59" i="12"/>
  <c r="DD59" i="12"/>
  <c r="DF59" i="12"/>
  <c r="DU59" i="12"/>
  <c r="DY59" i="12" s="1"/>
  <c r="EC59" i="12" s="1"/>
  <c r="G53" i="11" s="1"/>
  <c r="DO59" i="12"/>
  <c r="DN59" i="12"/>
  <c r="DP59" i="12"/>
  <c r="CG184" i="13"/>
  <c r="K185" i="13"/>
  <c r="L185" i="13"/>
  <c r="AN185" i="13" s="1"/>
  <c r="AQ185" i="13" s="1"/>
  <c r="BU185" i="13" s="1"/>
  <c r="M185" i="13"/>
  <c r="Q184" i="13"/>
  <c r="AY184" i="13" s="1"/>
  <c r="R184" i="13"/>
  <c r="BQ184" i="13" s="1"/>
  <c r="AP184" i="13"/>
  <c r="AS184" i="13" s="1"/>
  <c r="DV184" i="13" s="1"/>
  <c r="DZ184" i="13" s="1"/>
  <c r="ED184" i="13" s="1"/>
  <c r="S184" i="13"/>
  <c r="CO184" i="13" s="1"/>
  <c r="T184" i="13"/>
  <c r="CY184" i="13" s="1"/>
  <c r="U184" i="13"/>
  <c r="DI184" i="13" s="1"/>
  <c r="V184" i="13"/>
  <c r="W184" i="13"/>
  <c r="X184" i="13"/>
  <c r="Y184" i="13"/>
  <c r="Z184" i="13"/>
  <c r="CJ184" i="13"/>
  <c r="AG184" i="13"/>
  <c r="AK184" i="13" s="1"/>
  <c r="DK184" i="13" s="1"/>
  <c r="AH184" i="13"/>
  <c r="AL184" i="13" s="1"/>
  <c r="BS184" i="13" s="1"/>
  <c r="AF184" i="13"/>
  <c r="AJ184" i="13" s="1"/>
  <c r="DA184" i="13" s="1"/>
  <c r="AE184" i="13"/>
  <c r="AI184" i="13" s="1"/>
  <c r="CQ184" i="13" s="1"/>
  <c r="DZ183" i="12"/>
  <c r="CJ184" i="12"/>
  <c r="CG184" i="12"/>
  <c r="X184" i="12"/>
  <c r="W184" i="12"/>
  <c r="Y184" i="12"/>
  <c r="AM184" i="12"/>
  <c r="BT184" i="12" s="1"/>
  <c r="AR184" i="12"/>
  <c r="AZ184" i="12" s="1"/>
  <c r="M185" i="12"/>
  <c r="L185" i="12"/>
  <c r="AN185" i="12" s="1"/>
  <c r="AP184" i="12"/>
  <c r="AF184" i="12"/>
  <c r="AH184" i="12"/>
  <c r="AE184" i="12"/>
  <c r="AG184" i="12"/>
  <c r="Q184" i="12"/>
  <c r="AY184" i="12" s="1"/>
  <c r="U184" i="12"/>
  <c r="DI184" i="12" s="1"/>
  <c r="V184" i="12"/>
  <c r="R184" i="12"/>
  <c r="BQ184" i="12" s="1"/>
  <c r="S184" i="12"/>
  <c r="CO184" i="12" s="1"/>
  <c r="K185" i="12"/>
  <c r="T184" i="12"/>
  <c r="CY184" i="12" s="1"/>
  <c r="FD59" i="12" l="1"/>
  <c r="FG59" i="12" s="1"/>
  <c r="DC58" i="13"/>
  <c r="DG58" i="13" s="1"/>
  <c r="DM58" i="13"/>
  <c r="CS58" i="13"/>
  <c r="CW58" i="13" s="1"/>
  <c r="CD58" i="13"/>
  <c r="CA58" i="13"/>
  <c r="CB58" i="13"/>
  <c r="CI58" i="13"/>
  <c r="CK58" i="13" s="1"/>
  <c r="BY58" i="13"/>
  <c r="BZ58" i="13"/>
  <c r="CH58" i="13"/>
  <c r="CC58" i="13"/>
  <c r="BC60" i="12"/>
  <c r="N185" i="13"/>
  <c r="AO185" i="13"/>
  <c r="AR185" i="13" s="1"/>
  <c r="AZ185" i="13" s="1"/>
  <c r="AA184" i="13"/>
  <c r="CP184" i="13" s="1"/>
  <c r="AB184" i="13"/>
  <c r="CZ184" i="13" s="1"/>
  <c r="AC184" i="13"/>
  <c r="DJ184" i="13" s="1"/>
  <c r="AD184" i="13"/>
  <c r="BR184" i="13" s="1"/>
  <c r="ED183" i="12"/>
  <c r="AA184" i="12"/>
  <c r="CP184" i="12" s="1"/>
  <c r="AB184" i="12"/>
  <c r="CZ184" i="12" s="1"/>
  <c r="AC184" i="12"/>
  <c r="DJ184" i="12" s="1"/>
  <c r="AD184" i="12"/>
  <c r="BR184" i="12" s="1"/>
  <c r="AQ185" i="12"/>
  <c r="BU185" i="12" s="1"/>
  <c r="AS184" i="12"/>
  <c r="DV184" i="12" s="1"/>
  <c r="AO185" i="12"/>
  <c r="AJ184" i="12"/>
  <c r="DA184" i="12" s="1"/>
  <c r="AI184" i="12"/>
  <c r="CQ184" i="12" s="1"/>
  <c r="AK184" i="12"/>
  <c r="DK184" i="12" s="1"/>
  <c r="AL184" i="12"/>
  <c r="BS184" i="12" s="1"/>
  <c r="N185" i="12"/>
  <c r="Z185" i="12" s="1"/>
  <c r="DO58" i="13" l="1"/>
  <c r="DP58" i="13"/>
  <c r="DQ58" i="13"/>
  <c r="DN58" i="13"/>
  <c r="DU58" i="13"/>
  <c r="DY58" i="13" s="1"/>
  <c r="EC58" i="13" s="1"/>
  <c r="FD58" i="13" s="1"/>
  <c r="FG58" i="13" s="1"/>
  <c r="DD58" i="13"/>
  <c r="DT58" i="13"/>
  <c r="DX58" i="13" s="1"/>
  <c r="EB58" i="13" s="1"/>
  <c r="DE58" i="13"/>
  <c r="DF58" i="13"/>
  <c r="CU58" i="13"/>
  <c r="CV58" i="13"/>
  <c r="CT58" i="13"/>
  <c r="DS58" i="13"/>
  <c r="DW58" i="13" s="1"/>
  <c r="EA58" i="13" s="1"/>
  <c r="CL58" i="13"/>
  <c r="BB59" i="13" s="1"/>
  <c r="CM58" i="13"/>
  <c r="BK60" i="12"/>
  <c r="BF60" i="12"/>
  <c r="BG60" i="12"/>
  <c r="BH60" i="12"/>
  <c r="BI60" i="12"/>
  <c r="AM185" i="13"/>
  <c r="BT185" i="13" s="1"/>
  <c r="K186" i="13"/>
  <c r="AP185" i="13"/>
  <c r="AS185" i="13" s="1"/>
  <c r="DV185" i="13" s="1"/>
  <c r="DZ185" i="13" s="1"/>
  <c r="ED185" i="13" s="1"/>
  <c r="CG185" i="13"/>
  <c r="M186" i="13"/>
  <c r="L186" i="13"/>
  <c r="AN186" i="13" s="1"/>
  <c r="AQ186" i="13" s="1"/>
  <c r="BU186" i="13" s="1"/>
  <c r="Q185" i="13"/>
  <c r="AY185" i="13" s="1"/>
  <c r="S185" i="13"/>
  <c r="CO185" i="13" s="1"/>
  <c r="U185" i="13"/>
  <c r="DI185" i="13" s="1"/>
  <c r="R185" i="13"/>
  <c r="BQ185" i="13" s="1"/>
  <c r="T185" i="13"/>
  <c r="CY185" i="13" s="1"/>
  <c r="V185" i="13"/>
  <c r="W185" i="13"/>
  <c r="AA185" i="13" s="1"/>
  <c r="CP185" i="13" s="1"/>
  <c r="X185" i="13"/>
  <c r="AB185" i="13" s="1"/>
  <c r="CZ185" i="13" s="1"/>
  <c r="Y185" i="13"/>
  <c r="AC185" i="13" s="1"/>
  <c r="DJ185" i="13" s="1"/>
  <c r="Z185" i="13"/>
  <c r="AD185" i="13" s="1"/>
  <c r="BR185" i="13" s="1"/>
  <c r="CJ185" i="13"/>
  <c r="AH185" i="13"/>
  <c r="AL185" i="13" s="1"/>
  <c r="BS185" i="13" s="1"/>
  <c r="AG185" i="13"/>
  <c r="AK185" i="13" s="1"/>
  <c r="DK185" i="13" s="1"/>
  <c r="AF185" i="13"/>
  <c r="AJ185" i="13" s="1"/>
  <c r="DA185" i="13" s="1"/>
  <c r="AE185" i="13"/>
  <c r="AI185" i="13" s="1"/>
  <c r="CQ185" i="13" s="1"/>
  <c r="DZ184" i="12"/>
  <c r="CJ185" i="12"/>
  <c r="CG185" i="12"/>
  <c r="X185" i="12"/>
  <c r="W185" i="12"/>
  <c r="Y185" i="12"/>
  <c r="AR185" i="12"/>
  <c r="AZ185" i="12" s="1"/>
  <c r="AM185" i="12"/>
  <c r="BT185" i="12" s="1"/>
  <c r="M186" i="12"/>
  <c r="L186" i="12"/>
  <c r="AN186" i="12" s="1"/>
  <c r="AP185" i="12"/>
  <c r="AE185" i="12"/>
  <c r="AF185" i="12"/>
  <c r="AH185" i="12"/>
  <c r="AG185" i="12"/>
  <c r="Q185" i="12"/>
  <c r="AY185" i="12" s="1"/>
  <c r="R185" i="12"/>
  <c r="BQ185" i="12" s="1"/>
  <c r="U185" i="12"/>
  <c r="DI185" i="12" s="1"/>
  <c r="K186" i="12"/>
  <c r="S185" i="12"/>
  <c r="CO185" i="12" s="1"/>
  <c r="T185" i="12"/>
  <c r="CY185" i="12" s="1"/>
  <c r="V185" i="12"/>
  <c r="BE59" i="13" l="1"/>
  <c r="BD59" i="13"/>
  <c r="EQ59" i="13" s="1"/>
  <c r="ES59" i="13" s="1"/>
  <c r="BN60" i="12"/>
  <c r="DB60" i="12" s="1"/>
  <c r="DC60" i="12" s="1"/>
  <c r="DG60" i="12" s="1"/>
  <c r="BL60" i="12"/>
  <c r="BW60" i="12" s="1"/>
  <c r="BX60" i="12" s="1"/>
  <c r="CE60" i="12" s="1"/>
  <c r="BM60" i="12"/>
  <c r="CR60" i="12" s="1"/>
  <c r="CS60" i="12" s="1"/>
  <c r="CW60" i="12" s="1"/>
  <c r="BO60" i="12"/>
  <c r="DL60" i="12" s="1"/>
  <c r="DM60" i="12" s="1"/>
  <c r="DQ60" i="12" s="1"/>
  <c r="N186" i="13"/>
  <c r="AO186" i="13"/>
  <c r="AR186" i="13" s="1"/>
  <c r="AZ186" i="13" s="1"/>
  <c r="ED184" i="12"/>
  <c r="AA185" i="12"/>
  <c r="CP185" i="12" s="1"/>
  <c r="AB185" i="12"/>
  <c r="CZ185" i="12" s="1"/>
  <c r="AC185" i="12"/>
  <c r="DJ185" i="12" s="1"/>
  <c r="AD185" i="12"/>
  <c r="BR185" i="12" s="1"/>
  <c r="AQ186" i="12"/>
  <c r="BU186" i="12" s="1"/>
  <c r="AS185" i="12"/>
  <c r="DV185" i="12" s="1"/>
  <c r="AO186" i="12"/>
  <c r="AI185" i="12"/>
  <c r="CQ185" i="12" s="1"/>
  <c r="AJ185" i="12"/>
  <c r="DA185" i="12" s="1"/>
  <c r="AK185" i="12"/>
  <c r="DK185" i="12" s="1"/>
  <c r="AL185" i="12"/>
  <c r="BS185" i="12" s="1"/>
  <c r="N186" i="12"/>
  <c r="Z186" i="12" s="1"/>
  <c r="BC59" i="13" l="1"/>
  <c r="BF59" i="13" s="1"/>
  <c r="EV59" i="13"/>
  <c r="EY59" i="13" s="1"/>
  <c r="FB59" i="13" s="1"/>
  <c r="FF59" i="13" s="1"/>
  <c r="ET59" i="13"/>
  <c r="EW59" i="13" s="1"/>
  <c r="EZ59" i="13" s="1"/>
  <c r="EU59" i="13"/>
  <c r="EX59" i="13" s="1"/>
  <c r="FA59" i="13" s="1"/>
  <c r="CT60" i="12"/>
  <c r="CU60" i="12"/>
  <c r="CV60" i="12"/>
  <c r="DS60" i="12"/>
  <c r="DW60" i="12" s="1"/>
  <c r="EA60" i="12" s="1"/>
  <c r="DO60" i="12"/>
  <c r="DN60" i="12"/>
  <c r="DU60" i="12"/>
  <c r="DY60" i="12" s="1"/>
  <c r="EC60" i="12" s="1"/>
  <c r="DP60" i="12"/>
  <c r="DT60" i="12"/>
  <c r="DX60" i="12" s="1"/>
  <c r="EB60" i="12" s="1"/>
  <c r="DD60" i="12"/>
  <c r="DF60" i="12"/>
  <c r="DE60" i="12"/>
  <c r="CA60" i="12"/>
  <c r="CB60" i="12"/>
  <c r="CD60" i="12"/>
  <c r="CC60" i="12"/>
  <c r="CH60" i="12"/>
  <c r="BY60" i="12"/>
  <c r="BZ60" i="12"/>
  <c r="CI60" i="12"/>
  <c r="CK60" i="12" s="1"/>
  <c r="AM186" i="13"/>
  <c r="BT186" i="13" s="1"/>
  <c r="M187" i="13"/>
  <c r="K187" i="13"/>
  <c r="L187" i="13"/>
  <c r="AN187" i="13" s="1"/>
  <c r="AQ187" i="13" s="1"/>
  <c r="BU187" i="13" s="1"/>
  <c r="AP186" i="13"/>
  <c r="AS186" i="13" s="1"/>
  <c r="DV186" i="13" s="1"/>
  <c r="DZ186" i="13" s="1"/>
  <c r="ED186" i="13" s="1"/>
  <c r="CG186" i="13"/>
  <c r="Q186" i="13"/>
  <c r="AY186" i="13" s="1"/>
  <c r="R186" i="13"/>
  <c r="BQ186" i="13" s="1"/>
  <c r="S186" i="13"/>
  <c r="CO186" i="13" s="1"/>
  <c r="T186" i="13"/>
  <c r="CY186" i="13" s="1"/>
  <c r="U186" i="13"/>
  <c r="DI186" i="13" s="1"/>
  <c r="V186" i="13"/>
  <c r="W186" i="13"/>
  <c r="X186" i="13"/>
  <c r="Y186" i="13"/>
  <c r="Z186" i="13"/>
  <c r="CJ186" i="13"/>
  <c r="AG186" i="13"/>
  <c r="AK186" i="13" s="1"/>
  <c r="DK186" i="13" s="1"/>
  <c r="AH186" i="13"/>
  <c r="AL186" i="13" s="1"/>
  <c r="BS186" i="13" s="1"/>
  <c r="AF186" i="13"/>
  <c r="AJ186" i="13" s="1"/>
  <c r="DA186" i="13" s="1"/>
  <c r="AE186" i="13"/>
  <c r="AI186" i="13" s="1"/>
  <c r="CQ186" i="13" s="1"/>
  <c r="DZ185" i="12"/>
  <c r="CJ186" i="12"/>
  <c r="CG186" i="12"/>
  <c r="Y186" i="12"/>
  <c r="X186" i="12"/>
  <c r="W186" i="12"/>
  <c r="AR186" i="12"/>
  <c r="AZ186" i="12" s="1"/>
  <c r="AM186" i="12"/>
  <c r="BT186" i="12" s="1"/>
  <c r="M187" i="12"/>
  <c r="L187" i="12"/>
  <c r="AN187" i="12" s="1"/>
  <c r="AP186" i="12"/>
  <c r="AG186" i="12"/>
  <c r="AE186" i="12"/>
  <c r="AH186" i="12"/>
  <c r="AF186" i="12"/>
  <c r="V186" i="12"/>
  <c r="Q186" i="12"/>
  <c r="AY186" i="12" s="1"/>
  <c r="U186" i="12"/>
  <c r="DI186" i="12" s="1"/>
  <c r="S186" i="12"/>
  <c r="CO186" i="12" s="1"/>
  <c r="R186" i="12"/>
  <c r="BQ186" i="12" s="1"/>
  <c r="K187" i="12"/>
  <c r="T186" i="12"/>
  <c r="CY186" i="12" s="1"/>
  <c r="FD60" i="12" l="1"/>
  <c r="FG60" i="12" s="1"/>
  <c r="BI59" i="13"/>
  <c r="BK59" i="13"/>
  <c r="BL59" i="13" s="1"/>
  <c r="BW59" i="13" s="1"/>
  <c r="BH59" i="13"/>
  <c r="BG59" i="13"/>
  <c r="CM60" i="12"/>
  <c r="CL60" i="12"/>
  <c r="BB61" i="12" s="1"/>
  <c r="N187" i="13"/>
  <c r="AM187" i="13" s="1"/>
  <c r="BT187" i="13" s="1"/>
  <c r="AO187" i="13"/>
  <c r="AR187" i="13" s="1"/>
  <c r="AZ187" i="13" s="1"/>
  <c r="AA186" i="13"/>
  <c r="CP186" i="13" s="1"/>
  <c r="AB186" i="13"/>
  <c r="CZ186" i="13" s="1"/>
  <c r="AC186" i="13"/>
  <c r="DJ186" i="13" s="1"/>
  <c r="AD186" i="13"/>
  <c r="BR186" i="13" s="1"/>
  <c r="ED185" i="12"/>
  <c r="AA186" i="12"/>
  <c r="CP186" i="12" s="1"/>
  <c r="AB186" i="12"/>
  <c r="CZ186" i="12" s="1"/>
  <c r="AC186" i="12"/>
  <c r="DJ186" i="12" s="1"/>
  <c r="AD186" i="12"/>
  <c r="BR186" i="12" s="1"/>
  <c r="AQ187" i="12"/>
  <c r="BU187" i="12" s="1"/>
  <c r="AS186" i="12"/>
  <c r="DV186" i="12" s="1"/>
  <c r="AO187" i="12"/>
  <c r="AK186" i="12"/>
  <c r="DK186" i="12" s="1"/>
  <c r="AI186" i="12"/>
  <c r="CQ186" i="12" s="1"/>
  <c r="AJ186" i="12"/>
  <c r="DA186" i="12" s="1"/>
  <c r="AL186" i="12"/>
  <c r="BS186" i="12" s="1"/>
  <c r="N187" i="12"/>
  <c r="Z187" i="12" s="1"/>
  <c r="BE61" i="12" l="1"/>
  <c r="BN59" i="13"/>
  <c r="DB59" i="13" s="1"/>
  <c r="DC59" i="13" s="1"/>
  <c r="DG59" i="13" s="1"/>
  <c r="BM59" i="13"/>
  <c r="CR59" i="13" s="1"/>
  <c r="CS59" i="13" s="1"/>
  <c r="CW59" i="13" s="1"/>
  <c r="BO59" i="13"/>
  <c r="DL59" i="13" s="1"/>
  <c r="DM59" i="13" s="1"/>
  <c r="DQ59" i="13" s="1"/>
  <c r="BX59" i="13"/>
  <c r="CE59" i="13" s="1"/>
  <c r="AP187" i="13"/>
  <c r="AS187" i="13" s="1"/>
  <c r="DV187" i="13" s="1"/>
  <c r="DZ187" i="13" s="1"/>
  <c r="ED187" i="13" s="1"/>
  <c r="CG187" i="13"/>
  <c r="K188" i="13"/>
  <c r="L188" i="13"/>
  <c r="AN188" i="13" s="1"/>
  <c r="AQ188" i="13" s="1"/>
  <c r="BU188" i="13" s="1"/>
  <c r="M188" i="13"/>
  <c r="Q187" i="13"/>
  <c r="AY187" i="13" s="1"/>
  <c r="R187" i="13"/>
  <c r="BQ187" i="13" s="1"/>
  <c r="S187" i="13"/>
  <c r="CO187" i="13" s="1"/>
  <c r="T187" i="13"/>
  <c r="CY187" i="13" s="1"/>
  <c r="U187" i="13"/>
  <c r="DI187" i="13" s="1"/>
  <c r="V187" i="13"/>
  <c r="AF187" i="13"/>
  <c r="AJ187" i="13" s="1"/>
  <c r="DA187" i="13" s="1"/>
  <c r="W187" i="13"/>
  <c r="X187" i="13"/>
  <c r="Y187" i="13"/>
  <c r="Z187" i="13"/>
  <c r="CJ187" i="13"/>
  <c r="AH187" i="13"/>
  <c r="AL187" i="13" s="1"/>
  <c r="BS187" i="13" s="1"/>
  <c r="AG187" i="13"/>
  <c r="AK187" i="13" s="1"/>
  <c r="DK187" i="13" s="1"/>
  <c r="AE187" i="13"/>
  <c r="AI187" i="13" s="1"/>
  <c r="CQ187" i="13" s="1"/>
  <c r="DZ186" i="12"/>
  <c r="CJ187" i="12"/>
  <c r="CG187" i="12"/>
  <c r="X187" i="12"/>
  <c r="W187" i="12"/>
  <c r="Y187" i="12"/>
  <c r="AM187" i="12"/>
  <c r="BT187" i="12" s="1"/>
  <c r="AR187" i="12"/>
  <c r="AZ187" i="12" s="1"/>
  <c r="M188" i="12"/>
  <c r="L188" i="12"/>
  <c r="AN188" i="12" s="1"/>
  <c r="AP187" i="12"/>
  <c r="AF187" i="12"/>
  <c r="AG187" i="12"/>
  <c r="AE187" i="12"/>
  <c r="AH187" i="12"/>
  <c r="T187" i="12"/>
  <c r="CY187" i="12" s="1"/>
  <c r="S187" i="12"/>
  <c r="CO187" i="12" s="1"/>
  <c r="K188" i="12"/>
  <c r="Q187" i="12"/>
  <c r="AY187" i="12" s="1"/>
  <c r="V187" i="12"/>
  <c r="U187" i="12"/>
  <c r="DI187" i="12" s="1"/>
  <c r="R187" i="12"/>
  <c r="BQ187" i="12" s="1"/>
  <c r="CB59" i="13" l="1"/>
  <c r="CI59" i="13"/>
  <c r="CK59" i="13" s="1"/>
  <c r="BY59" i="13"/>
  <c r="CD59" i="13"/>
  <c r="CH59" i="13"/>
  <c r="CA59" i="13"/>
  <c r="BZ59" i="13"/>
  <c r="CC59" i="13"/>
  <c r="DE59" i="13"/>
  <c r="DT59" i="13"/>
  <c r="DX59" i="13" s="1"/>
  <c r="EB59" i="13" s="1"/>
  <c r="DD59" i="13"/>
  <c r="DF59" i="13"/>
  <c r="DS59" i="13"/>
  <c r="DW59" i="13" s="1"/>
  <c r="EA59" i="13" s="1"/>
  <c r="CT59" i="13"/>
  <c r="CV59" i="13"/>
  <c r="CU59" i="13"/>
  <c r="DP59" i="13"/>
  <c r="DN59" i="13"/>
  <c r="DU59" i="13"/>
  <c r="DY59" i="13" s="1"/>
  <c r="EC59" i="13" s="1"/>
  <c r="FD59" i="13" s="1"/>
  <c r="FG59" i="13" s="1"/>
  <c r="DO59" i="13"/>
  <c r="BC61" i="12"/>
  <c r="BK61" i="12" s="1"/>
  <c r="AO188" i="13"/>
  <c r="AR188" i="13" s="1"/>
  <c r="AZ188" i="13" s="1"/>
  <c r="N188" i="13"/>
  <c r="AA187" i="13"/>
  <c r="CP187" i="13" s="1"/>
  <c r="AB187" i="13"/>
  <c r="CZ187" i="13" s="1"/>
  <c r="AC187" i="13"/>
  <c r="DJ187" i="13" s="1"/>
  <c r="AD187" i="13"/>
  <c r="BR187" i="13" s="1"/>
  <c r="ED186" i="12"/>
  <c r="AA187" i="12"/>
  <c r="CP187" i="12" s="1"/>
  <c r="AB187" i="12"/>
  <c r="CZ187" i="12" s="1"/>
  <c r="AC187" i="12"/>
  <c r="DJ187" i="12" s="1"/>
  <c r="AD187" i="12"/>
  <c r="BR187" i="12" s="1"/>
  <c r="AQ188" i="12"/>
  <c r="BU188" i="12" s="1"/>
  <c r="AS187" i="12"/>
  <c r="DV187" i="12" s="1"/>
  <c r="AO188" i="12"/>
  <c r="AJ187" i="12"/>
  <c r="DA187" i="12" s="1"/>
  <c r="AK187" i="12"/>
  <c r="DK187" i="12" s="1"/>
  <c r="AI187" i="12"/>
  <c r="CQ187" i="12" s="1"/>
  <c r="AL187" i="12"/>
  <c r="BS187" i="12" s="1"/>
  <c r="N188" i="12"/>
  <c r="Z188" i="12" s="1"/>
  <c r="CM59" i="13" l="1"/>
  <c r="CL59" i="13"/>
  <c r="BB60" i="13" s="1"/>
  <c r="BG61" i="12"/>
  <c r="BH61" i="12"/>
  <c r="BI61" i="12"/>
  <c r="BF61" i="12"/>
  <c r="BN61" i="12"/>
  <c r="DB61" i="12" s="1"/>
  <c r="BL61" i="12"/>
  <c r="BW61" i="12" s="1"/>
  <c r="BO61" i="12"/>
  <c r="DL61" i="12" s="1"/>
  <c r="BM61" i="12"/>
  <c r="CR61" i="12" s="1"/>
  <c r="AP188" i="13"/>
  <c r="AS188" i="13" s="1"/>
  <c r="DV188" i="13" s="1"/>
  <c r="DZ188" i="13" s="1"/>
  <c r="ED188" i="13" s="1"/>
  <c r="CG188" i="13"/>
  <c r="K189" i="13"/>
  <c r="L189" i="13"/>
  <c r="AN189" i="13" s="1"/>
  <c r="AQ189" i="13" s="1"/>
  <c r="BU189" i="13" s="1"/>
  <c r="M189" i="13"/>
  <c r="AM188" i="13"/>
  <c r="BT188" i="13" s="1"/>
  <c r="CJ188" i="13"/>
  <c r="Q188" i="13"/>
  <c r="AY188" i="13" s="1"/>
  <c r="R188" i="13"/>
  <c r="BQ188" i="13" s="1"/>
  <c r="S188" i="13"/>
  <c r="CO188" i="13" s="1"/>
  <c r="T188" i="13"/>
  <c r="CY188" i="13" s="1"/>
  <c r="U188" i="13"/>
  <c r="DI188" i="13" s="1"/>
  <c r="V188" i="13"/>
  <c r="W188" i="13"/>
  <c r="X188" i="13"/>
  <c r="Z188" i="13"/>
  <c r="AD188" i="13" s="1"/>
  <c r="BR188" i="13" s="1"/>
  <c r="Y188" i="13"/>
  <c r="AG188" i="13"/>
  <c r="AK188" i="13" s="1"/>
  <c r="DK188" i="13" s="1"/>
  <c r="AH188" i="13"/>
  <c r="AL188" i="13" s="1"/>
  <c r="BS188" i="13" s="1"/>
  <c r="AF188" i="13"/>
  <c r="AJ188" i="13" s="1"/>
  <c r="DA188" i="13" s="1"/>
  <c r="AE188" i="13"/>
  <c r="AI188" i="13" s="1"/>
  <c r="CQ188" i="13" s="1"/>
  <c r="DZ187" i="12"/>
  <c r="CJ188" i="12"/>
  <c r="CG188" i="12"/>
  <c r="Y188" i="12"/>
  <c r="W188" i="12"/>
  <c r="X188" i="12"/>
  <c r="AM188" i="12"/>
  <c r="BT188" i="12" s="1"/>
  <c r="AR188" i="12"/>
  <c r="AZ188" i="12" s="1"/>
  <c r="M189" i="12"/>
  <c r="L189" i="12"/>
  <c r="AN189" i="12" s="1"/>
  <c r="AP188" i="12"/>
  <c r="AH188" i="12"/>
  <c r="AF188" i="12"/>
  <c r="AE188" i="12"/>
  <c r="AG188" i="12"/>
  <c r="U188" i="12"/>
  <c r="DI188" i="12" s="1"/>
  <c r="S188" i="12"/>
  <c r="CO188" i="12" s="1"/>
  <c r="Q188" i="12"/>
  <c r="AY188" i="12" s="1"/>
  <c r="V188" i="12"/>
  <c r="T188" i="12"/>
  <c r="CY188" i="12" s="1"/>
  <c r="R188" i="12"/>
  <c r="BQ188" i="12" s="1"/>
  <c r="K189" i="12"/>
  <c r="BE60" i="13" l="1"/>
  <c r="BD60" i="13"/>
  <c r="EQ60" i="13" s="1"/>
  <c r="ES60" i="13" s="1"/>
  <c r="DC61" i="12"/>
  <c r="DG61" i="12" s="1"/>
  <c r="BX61" i="12"/>
  <c r="CE61" i="12" s="1"/>
  <c r="DM61" i="12"/>
  <c r="DQ61" i="12" s="1"/>
  <c r="CS61" i="12"/>
  <c r="CW61" i="12" s="1"/>
  <c r="N189" i="13"/>
  <c r="AM189" i="13" s="1"/>
  <c r="BT189" i="13" s="1"/>
  <c r="AO189" i="13"/>
  <c r="AR189" i="13" s="1"/>
  <c r="AZ189" i="13" s="1"/>
  <c r="AA188" i="13"/>
  <c r="CP188" i="13" s="1"/>
  <c r="AB188" i="13"/>
  <c r="CZ188" i="13" s="1"/>
  <c r="AC188" i="13"/>
  <c r="DJ188" i="13" s="1"/>
  <c r="ED187" i="12"/>
  <c r="AA188" i="12"/>
  <c r="CP188" i="12" s="1"/>
  <c r="AB188" i="12"/>
  <c r="CZ188" i="12" s="1"/>
  <c r="AC188" i="12"/>
  <c r="DJ188" i="12" s="1"/>
  <c r="AD188" i="12"/>
  <c r="BR188" i="12" s="1"/>
  <c r="AQ189" i="12"/>
  <c r="BU189" i="12" s="1"/>
  <c r="AS188" i="12"/>
  <c r="DV188" i="12" s="1"/>
  <c r="AO189" i="12"/>
  <c r="AJ188" i="12"/>
  <c r="DA188" i="12" s="1"/>
  <c r="AI188" i="12"/>
  <c r="CQ188" i="12" s="1"/>
  <c r="AK188" i="12"/>
  <c r="DK188" i="12" s="1"/>
  <c r="AL188" i="12"/>
  <c r="BS188" i="12" s="1"/>
  <c r="N189" i="12"/>
  <c r="Z189" i="12" s="1"/>
  <c r="EV60" i="13" l="1"/>
  <c r="EY60" i="13" s="1"/>
  <c r="FB60" i="13" s="1"/>
  <c r="FF60" i="13" s="1"/>
  <c r="ET60" i="13"/>
  <c r="EW60" i="13" s="1"/>
  <c r="EZ60" i="13" s="1"/>
  <c r="EU60" i="13"/>
  <c r="EX60" i="13" s="1"/>
  <c r="FA60" i="13" s="1"/>
  <c r="BC60" i="13"/>
  <c r="DF61" i="12"/>
  <c r="DD61" i="12"/>
  <c r="DE61" i="12"/>
  <c r="DT61" i="12"/>
  <c r="DX61" i="12" s="1"/>
  <c r="EB61" i="12" s="1"/>
  <c r="CC61" i="12"/>
  <c r="CB61" i="12"/>
  <c r="BZ61" i="12"/>
  <c r="BY61" i="12"/>
  <c r="CI61" i="12"/>
  <c r="CK61" i="12" s="1"/>
  <c r="CD61" i="12"/>
  <c r="CA61" i="12"/>
  <c r="CH61" i="12"/>
  <c r="DO61" i="12"/>
  <c r="DP61" i="12"/>
  <c r="DN61" i="12"/>
  <c r="DU61" i="12"/>
  <c r="DY61" i="12" s="1"/>
  <c r="EC61" i="12" s="1"/>
  <c r="G54" i="11" s="1"/>
  <c r="CU61" i="12"/>
  <c r="CV61" i="12"/>
  <c r="DS61" i="12"/>
  <c r="DW61" i="12" s="1"/>
  <c r="EA61" i="12" s="1"/>
  <c r="CT61" i="12"/>
  <c r="AP189" i="13"/>
  <c r="AS189" i="13" s="1"/>
  <c r="DV189" i="13" s="1"/>
  <c r="DZ189" i="13" s="1"/>
  <c r="ED189" i="13" s="1"/>
  <c r="CG189" i="13"/>
  <c r="K190" i="13"/>
  <c r="L190" i="13"/>
  <c r="AN190" i="13" s="1"/>
  <c r="AQ190" i="13" s="1"/>
  <c r="BU190" i="13" s="1"/>
  <c r="M190" i="13"/>
  <c r="Q189" i="13"/>
  <c r="AY189" i="13" s="1"/>
  <c r="T189" i="13"/>
  <c r="CY189" i="13" s="1"/>
  <c r="X189" i="13"/>
  <c r="AB189" i="13" s="1"/>
  <c r="CZ189" i="13" s="1"/>
  <c r="Z189" i="13"/>
  <c r="AD189" i="13" s="1"/>
  <c r="BR189" i="13" s="1"/>
  <c r="AE189" i="13"/>
  <c r="AI189" i="13" s="1"/>
  <c r="CQ189" i="13" s="1"/>
  <c r="R189" i="13"/>
  <c r="BQ189" i="13" s="1"/>
  <c r="U189" i="13"/>
  <c r="DI189" i="13" s="1"/>
  <c r="V189" i="13"/>
  <c r="AG189" i="13"/>
  <c r="AK189" i="13" s="1"/>
  <c r="DK189" i="13" s="1"/>
  <c r="S189" i="13"/>
  <c r="CO189" i="13" s="1"/>
  <c r="W189" i="13"/>
  <c r="Y189" i="13"/>
  <c r="CJ189" i="13"/>
  <c r="AH189" i="13"/>
  <c r="AL189" i="13" s="1"/>
  <c r="BS189" i="13" s="1"/>
  <c r="AF189" i="13"/>
  <c r="AJ189" i="13" s="1"/>
  <c r="DA189" i="13" s="1"/>
  <c r="DZ188" i="12"/>
  <c r="CJ189" i="12"/>
  <c r="CG189" i="12"/>
  <c r="W189" i="12"/>
  <c r="Y189" i="12"/>
  <c r="X189" i="12"/>
  <c r="AR189" i="12"/>
  <c r="AZ189" i="12" s="1"/>
  <c r="AM189" i="12"/>
  <c r="BT189" i="12" s="1"/>
  <c r="M190" i="12"/>
  <c r="L190" i="12"/>
  <c r="AN190" i="12" s="1"/>
  <c r="AP189" i="12"/>
  <c r="AE189" i="12"/>
  <c r="AH189" i="12"/>
  <c r="AF189" i="12"/>
  <c r="AG189" i="12"/>
  <c r="K190" i="12"/>
  <c r="V189" i="12"/>
  <c r="U189" i="12"/>
  <c r="DI189" i="12" s="1"/>
  <c r="T189" i="12"/>
  <c r="CY189" i="12" s="1"/>
  <c r="S189" i="12"/>
  <c r="CO189" i="12" s="1"/>
  <c r="R189" i="12"/>
  <c r="BQ189" i="12" s="1"/>
  <c r="Q189" i="12"/>
  <c r="AY189" i="12" s="1"/>
  <c r="FD61" i="12" l="1"/>
  <c r="FG61" i="12" s="1"/>
  <c r="BG60" i="13"/>
  <c r="BH60" i="13"/>
  <c r="BF60" i="13"/>
  <c r="BK60" i="13"/>
  <c r="BI60" i="13"/>
  <c r="CM61" i="12"/>
  <c r="CL61" i="12"/>
  <c r="BB62" i="12" s="1"/>
  <c r="N190" i="13"/>
  <c r="AO190" i="13"/>
  <c r="AR190" i="13" s="1"/>
  <c r="AZ190" i="13" s="1"/>
  <c r="AA189" i="13"/>
  <c r="CP189" i="13" s="1"/>
  <c r="AC189" i="13"/>
  <c r="DJ189" i="13" s="1"/>
  <c r="ED188" i="12"/>
  <c r="AA189" i="12"/>
  <c r="CP189" i="12" s="1"/>
  <c r="AB189" i="12"/>
  <c r="CZ189" i="12" s="1"/>
  <c r="AC189" i="12"/>
  <c r="DJ189" i="12" s="1"/>
  <c r="AD189" i="12"/>
  <c r="BR189" i="12" s="1"/>
  <c r="AQ190" i="12"/>
  <c r="BU190" i="12" s="1"/>
  <c r="AS189" i="12"/>
  <c r="DV189" i="12" s="1"/>
  <c r="AO190" i="12"/>
  <c r="AI189" i="12"/>
  <c r="CQ189" i="12" s="1"/>
  <c r="AJ189" i="12"/>
  <c r="DA189" i="12" s="1"/>
  <c r="AK189" i="12"/>
  <c r="DK189" i="12" s="1"/>
  <c r="AL189" i="12"/>
  <c r="BS189" i="12" s="1"/>
  <c r="N190" i="12"/>
  <c r="Z190" i="12" s="1"/>
  <c r="BE62" i="12" l="1"/>
  <c r="BN60" i="13"/>
  <c r="DB60" i="13" s="1"/>
  <c r="DC60" i="13" s="1"/>
  <c r="BL60" i="13"/>
  <c r="BW60" i="13" s="1"/>
  <c r="BO60" i="13"/>
  <c r="DL60" i="13" s="1"/>
  <c r="DM60" i="13" s="1"/>
  <c r="BM60" i="13"/>
  <c r="CR60" i="13" s="1"/>
  <c r="CS60" i="13" s="1"/>
  <c r="K191" i="13"/>
  <c r="L191" i="13"/>
  <c r="AN191" i="13" s="1"/>
  <c r="AQ191" i="13" s="1"/>
  <c r="BU191" i="13" s="1"/>
  <c r="M191" i="13"/>
  <c r="AP190" i="13"/>
  <c r="AS190" i="13" s="1"/>
  <c r="DV190" i="13" s="1"/>
  <c r="DZ190" i="13" s="1"/>
  <c r="ED190" i="13" s="1"/>
  <c r="CG190" i="13"/>
  <c r="AM190" i="13"/>
  <c r="BT190" i="13" s="1"/>
  <c r="S190" i="13"/>
  <c r="CO190" i="13" s="1"/>
  <c r="V190" i="13"/>
  <c r="Z190" i="13"/>
  <c r="AG190" i="13"/>
  <c r="AK190" i="13" s="1"/>
  <c r="DK190" i="13" s="1"/>
  <c r="AE190" i="13"/>
  <c r="AI190" i="13" s="1"/>
  <c r="CQ190" i="13" s="1"/>
  <c r="Q190" i="13"/>
  <c r="AY190" i="13" s="1"/>
  <c r="T190" i="13"/>
  <c r="CY190" i="13" s="1"/>
  <c r="Y190" i="13"/>
  <c r="AC190" i="13" s="1"/>
  <c r="DJ190" i="13" s="1"/>
  <c r="W190" i="13"/>
  <c r="AA190" i="13" s="1"/>
  <c r="CP190" i="13" s="1"/>
  <c r="R190" i="13"/>
  <c r="BQ190" i="13" s="1"/>
  <c r="U190" i="13"/>
  <c r="DI190" i="13" s="1"/>
  <c r="X190" i="13"/>
  <c r="AB190" i="13" s="1"/>
  <c r="CZ190" i="13" s="1"/>
  <c r="CJ190" i="13"/>
  <c r="AH190" i="13"/>
  <c r="AL190" i="13" s="1"/>
  <c r="BS190" i="13" s="1"/>
  <c r="AF190" i="13"/>
  <c r="AJ190" i="13" s="1"/>
  <c r="DA190" i="13" s="1"/>
  <c r="DZ189" i="12"/>
  <c r="CJ190" i="12"/>
  <c r="CG190" i="12"/>
  <c r="X190" i="12"/>
  <c r="W190" i="12"/>
  <c r="Y190" i="12"/>
  <c r="AM190" i="12"/>
  <c r="BT190" i="12" s="1"/>
  <c r="AR190" i="12"/>
  <c r="AZ190" i="12" s="1"/>
  <c r="M191" i="12"/>
  <c r="L191" i="12"/>
  <c r="AN191" i="12" s="1"/>
  <c r="AP190" i="12"/>
  <c r="AH190" i="12"/>
  <c r="AF190" i="12"/>
  <c r="AE190" i="12"/>
  <c r="AG190" i="12"/>
  <c r="K191" i="12"/>
  <c r="U190" i="12"/>
  <c r="DI190" i="12" s="1"/>
  <c r="Q190" i="12"/>
  <c r="AY190" i="12" s="1"/>
  <c r="V190" i="12"/>
  <c r="T190" i="12"/>
  <c r="CY190" i="12" s="1"/>
  <c r="S190" i="12"/>
  <c r="CO190" i="12" s="1"/>
  <c r="R190" i="12"/>
  <c r="BQ190" i="12" s="1"/>
  <c r="DF60" i="13" l="1"/>
  <c r="DE60" i="13"/>
  <c r="DD60" i="13"/>
  <c r="DT60" i="13"/>
  <c r="DX60" i="13" s="1"/>
  <c r="EB60" i="13" s="1"/>
  <c r="DG60" i="13"/>
  <c r="BX60" i="13"/>
  <c r="CE60" i="13" s="1"/>
  <c r="DO60" i="13"/>
  <c r="DN60" i="13"/>
  <c r="DU60" i="13"/>
  <c r="DY60" i="13" s="1"/>
  <c r="EC60" i="13" s="1"/>
  <c r="FD60" i="13" s="1"/>
  <c r="FG60" i="13" s="1"/>
  <c r="DP60" i="13"/>
  <c r="DQ60" i="13"/>
  <c r="CU60" i="13"/>
  <c r="CT60" i="13"/>
  <c r="DS60" i="13"/>
  <c r="DW60" i="13" s="1"/>
  <c r="EA60" i="13" s="1"/>
  <c r="CV60" i="13"/>
  <c r="CW60" i="13"/>
  <c r="BC62" i="12"/>
  <c r="N191" i="13"/>
  <c r="AM191" i="13" s="1"/>
  <c r="BT191" i="13" s="1"/>
  <c r="AO191" i="13"/>
  <c r="AR191" i="13" s="1"/>
  <c r="AZ191" i="13" s="1"/>
  <c r="AD190" i="13"/>
  <c r="BR190" i="13" s="1"/>
  <c r="ED189" i="12"/>
  <c r="AA190" i="12"/>
  <c r="CP190" i="12" s="1"/>
  <c r="AB190" i="12"/>
  <c r="CZ190" i="12" s="1"/>
  <c r="AC190" i="12"/>
  <c r="DJ190" i="12" s="1"/>
  <c r="AD190" i="12"/>
  <c r="BR190" i="12" s="1"/>
  <c r="AQ191" i="12"/>
  <c r="BU191" i="12" s="1"/>
  <c r="AS190" i="12"/>
  <c r="DV190" i="12" s="1"/>
  <c r="AO191" i="12"/>
  <c r="AJ190" i="12"/>
  <c r="DA190" i="12" s="1"/>
  <c r="AI190" i="12"/>
  <c r="CQ190" i="12" s="1"/>
  <c r="AK190" i="12"/>
  <c r="DK190" i="12" s="1"/>
  <c r="AL190" i="12"/>
  <c r="BS190" i="12" s="1"/>
  <c r="N191" i="12"/>
  <c r="Z191" i="12" s="1"/>
  <c r="CB60" i="13" l="1"/>
  <c r="CC60" i="13"/>
  <c r="BY60" i="13"/>
  <c r="CD60" i="13"/>
  <c r="CA60" i="13"/>
  <c r="CI60" i="13"/>
  <c r="CK60" i="13" s="1"/>
  <c r="BZ60" i="13"/>
  <c r="CH60" i="13"/>
  <c r="BH62" i="12"/>
  <c r="BK62" i="12"/>
  <c r="BG62" i="12"/>
  <c r="BF62" i="12"/>
  <c r="BI62" i="12"/>
  <c r="L192" i="13"/>
  <c r="AN192" i="13" s="1"/>
  <c r="AQ192" i="13" s="1"/>
  <c r="BU192" i="13" s="1"/>
  <c r="CG191" i="13"/>
  <c r="K192" i="13"/>
  <c r="M192" i="13"/>
  <c r="AP191" i="13"/>
  <c r="AS191" i="13" s="1"/>
  <c r="DV191" i="13" s="1"/>
  <c r="DZ191" i="13" s="1"/>
  <c r="ED191" i="13" s="1"/>
  <c r="Q191" i="13"/>
  <c r="AY191" i="13" s="1"/>
  <c r="T191" i="13"/>
  <c r="CY191" i="13" s="1"/>
  <c r="W191" i="13"/>
  <c r="AH191" i="13"/>
  <c r="AL191" i="13" s="1"/>
  <c r="BS191" i="13" s="1"/>
  <c r="AE191" i="13"/>
  <c r="AI191" i="13" s="1"/>
  <c r="CQ191" i="13" s="1"/>
  <c r="S191" i="13"/>
  <c r="CO191" i="13" s="1"/>
  <c r="V191" i="13"/>
  <c r="Y191" i="13"/>
  <c r="CJ191" i="13"/>
  <c r="Z191" i="13"/>
  <c r="AG191" i="13"/>
  <c r="AK191" i="13" s="1"/>
  <c r="DK191" i="13" s="1"/>
  <c r="R191" i="13"/>
  <c r="BQ191" i="13" s="1"/>
  <c r="U191" i="13"/>
  <c r="DI191" i="13" s="1"/>
  <c r="X191" i="13"/>
  <c r="AF191" i="13"/>
  <c r="AJ191" i="13" s="1"/>
  <c r="DA191" i="13" s="1"/>
  <c r="DZ190" i="12"/>
  <c r="CJ191" i="12"/>
  <c r="CG191" i="12"/>
  <c r="Y191" i="12"/>
  <c r="X191" i="12"/>
  <c r="W191" i="12"/>
  <c r="AR191" i="12"/>
  <c r="AZ191" i="12" s="1"/>
  <c r="AM191" i="12"/>
  <c r="BT191" i="12" s="1"/>
  <c r="M192" i="12"/>
  <c r="L192" i="12"/>
  <c r="AN192" i="12" s="1"/>
  <c r="AP191" i="12"/>
  <c r="AE191" i="12"/>
  <c r="AF191" i="12"/>
  <c r="AH191" i="12"/>
  <c r="AG191" i="12"/>
  <c r="K192" i="12"/>
  <c r="U191" i="12"/>
  <c r="DI191" i="12" s="1"/>
  <c r="T191" i="12"/>
  <c r="CY191" i="12" s="1"/>
  <c r="V191" i="12"/>
  <c r="S191" i="12"/>
  <c r="CO191" i="12" s="1"/>
  <c r="R191" i="12"/>
  <c r="BQ191" i="12" s="1"/>
  <c r="Q191" i="12"/>
  <c r="AY191" i="12" s="1"/>
  <c r="CM60" i="13" l="1"/>
  <c r="CL60" i="13"/>
  <c r="BB61" i="13" s="1"/>
  <c r="BM62" i="12"/>
  <c r="CR62" i="12" s="1"/>
  <c r="CS62" i="12" s="1"/>
  <c r="BO62" i="12"/>
  <c r="DL62" i="12" s="1"/>
  <c r="DM62" i="12" s="1"/>
  <c r="BN62" i="12"/>
  <c r="DB62" i="12" s="1"/>
  <c r="DC62" i="12" s="1"/>
  <c r="BL62" i="12"/>
  <c r="BW62" i="12" s="1"/>
  <c r="N192" i="13"/>
  <c r="AO192" i="13"/>
  <c r="AR192" i="13" s="1"/>
  <c r="AZ192" i="13" s="1"/>
  <c r="AA191" i="13"/>
  <c r="CP191" i="13" s="1"/>
  <c r="AC191" i="13"/>
  <c r="DJ191" i="13" s="1"/>
  <c r="AD191" i="13"/>
  <c r="BR191" i="13" s="1"/>
  <c r="AB191" i="13"/>
  <c r="CZ191" i="13" s="1"/>
  <c r="ED190" i="12"/>
  <c r="AA191" i="12"/>
  <c r="CP191" i="12" s="1"/>
  <c r="AB191" i="12"/>
  <c r="CZ191" i="12" s="1"/>
  <c r="AC191" i="12"/>
  <c r="DJ191" i="12" s="1"/>
  <c r="AD191" i="12"/>
  <c r="BR191" i="12" s="1"/>
  <c r="AQ192" i="12"/>
  <c r="BU192" i="12" s="1"/>
  <c r="AS191" i="12"/>
  <c r="DV191" i="12" s="1"/>
  <c r="AO192" i="12"/>
  <c r="AI191" i="12"/>
  <c r="CQ191" i="12" s="1"/>
  <c r="AJ191" i="12"/>
  <c r="DA191" i="12" s="1"/>
  <c r="AK191" i="12"/>
  <c r="DK191" i="12" s="1"/>
  <c r="AL191" i="12"/>
  <c r="BS191" i="12" s="1"/>
  <c r="N192" i="12"/>
  <c r="BD61" i="13" l="1"/>
  <c r="EQ61" i="13" s="1"/>
  <c r="ES61" i="13" s="1"/>
  <c r="BE61" i="13"/>
  <c r="DS62" i="12"/>
  <c r="DW62" i="12" s="1"/>
  <c r="EA62" i="12" s="1"/>
  <c r="CU62" i="12"/>
  <c r="CT62" i="12"/>
  <c r="CV62" i="12"/>
  <c r="CW62" i="12"/>
  <c r="DP62" i="12"/>
  <c r="DU62" i="12"/>
  <c r="DY62" i="12" s="1"/>
  <c r="EC62" i="12" s="1"/>
  <c r="DN62" i="12"/>
  <c r="DO62" i="12"/>
  <c r="DQ62" i="12"/>
  <c r="DD62" i="12"/>
  <c r="DE62" i="12"/>
  <c r="DT62" i="12"/>
  <c r="DX62" i="12" s="1"/>
  <c r="EB62" i="12" s="1"/>
  <c r="DF62" i="12"/>
  <c r="DG62" i="12"/>
  <c r="BX62" i="12"/>
  <c r="CE62" i="12" s="1"/>
  <c r="AM192" i="13"/>
  <c r="BT192" i="13" s="1"/>
  <c r="Z192" i="12"/>
  <c r="X192" i="13"/>
  <c r="AF192" i="13"/>
  <c r="AJ192" i="13" s="1"/>
  <c r="DA192" i="13" s="1"/>
  <c r="AE192" i="13"/>
  <c r="AI192" i="13" s="1"/>
  <c r="CQ192" i="13" s="1"/>
  <c r="K193" i="13"/>
  <c r="L193" i="13"/>
  <c r="AN193" i="13" s="1"/>
  <c r="AQ193" i="13" s="1"/>
  <c r="BU193" i="13" s="1"/>
  <c r="M193" i="13"/>
  <c r="AP192" i="13"/>
  <c r="AS192" i="13" s="1"/>
  <c r="DV192" i="13" s="1"/>
  <c r="DZ192" i="13" s="1"/>
  <c r="ED192" i="13" s="1"/>
  <c r="CG192" i="13"/>
  <c r="Q192" i="13"/>
  <c r="AY192" i="13" s="1"/>
  <c r="T192" i="13"/>
  <c r="CY192" i="13" s="1"/>
  <c r="W192" i="13"/>
  <c r="CJ192" i="13"/>
  <c r="AG192" i="13"/>
  <c r="AK192" i="13" s="1"/>
  <c r="DK192" i="13" s="1"/>
  <c r="R192" i="13"/>
  <c r="BQ192" i="13" s="1"/>
  <c r="U192" i="13"/>
  <c r="DI192" i="13" s="1"/>
  <c r="Y192" i="13"/>
  <c r="Z192" i="13"/>
  <c r="AH192" i="13"/>
  <c r="AL192" i="13" s="1"/>
  <c r="BS192" i="13" s="1"/>
  <c r="S192" i="13"/>
  <c r="CO192" i="13" s="1"/>
  <c r="V192" i="13"/>
  <c r="DZ191" i="12"/>
  <c r="CJ192" i="12"/>
  <c r="CG192" i="12"/>
  <c r="Y192" i="12"/>
  <c r="W192" i="12"/>
  <c r="X192" i="12"/>
  <c r="AR192" i="12"/>
  <c r="AZ192" i="12" s="1"/>
  <c r="AM192" i="12"/>
  <c r="BT192" i="12" s="1"/>
  <c r="M193" i="12"/>
  <c r="L193" i="12"/>
  <c r="AN193" i="12" s="1"/>
  <c r="AP192" i="12"/>
  <c r="AE192" i="12"/>
  <c r="AF192" i="12"/>
  <c r="AH192" i="12"/>
  <c r="AG192" i="12"/>
  <c r="K193" i="12"/>
  <c r="V192" i="12"/>
  <c r="U192" i="12"/>
  <c r="DI192" i="12" s="1"/>
  <c r="T192" i="12"/>
  <c r="CY192" i="12" s="1"/>
  <c r="S192" i="12"/>
  <c r="CO192" i="12" s="1"/>
  <c r="R192" i="12"/>
  <c r="BQ192" i="12" s="1"/>
  <c r="Q192" i="12"/>
  <c r="AY192" i="12" s="1"/>
  <c r="FD62" i="12" l="1"/>
  <c r="FG62" i="12" s="1"/>
  <c r="BC61" i="13"/>
  <c r="EU61" i="13"/>
  <c r="EX61" i="13" s="1"/>
  <c r="FA61" i="13" s="1"/>
  <c r="ET61" i="13"/>
  <c r="EW61" i="13" s="1"/>
  <c r="EZ61" i="13" s="1"/>
  <c r="EV61" i="13"/>
  <c r="EY61" i="13" s="1"/>
  <c r="FB61" i="13" s="1"/>
  <c r="FF61" i="13" s="1"/>
  <c r="BY62" i="12"/>
  <c r="BZ62" i="12"/>
  <c r="CH62" i="12"/>
  <c r="CD62" i="12"/>
  <c r="CI62" i="12"/>
  <c r="CK62" i="12" s="1"/>
  <c r="CB62" i="12"/>
  <c r="CA62" i="12"/>
  <c r="CC62" i="12"/>
  <c r="N193" i="13"/>
  <c r="AO193" i="13"/>
  <c r="AR193" i="13" s="1"/>
  <c r="AZ193" i="13" s="1"/>
  <c r="AB192" i="13"/>
  <c r="CZ192" i="13" s="1"/>
  <c r="AA192" i="13"/>
  <c r="CP192" i="13" s="1"/>
  <c r="AC192" i="13"/>
  <c r="DJ192" i="13" s="1"/>
  <c r="AD192" i="13"/>
  <c r="BR192" i="13" s="1"/>
  <c r="ED191" i="12"/>
  <c r="AA192" i="12"/>
  <c r="CP192" i="12" s="1"/>
  <c r="AB192" i="12"/>
  <c r="CZ192" i="12" s="1"/>
  <c r="AC192" i="12"/>
  <c r="DJ192" i="12" s="1"/>
  <c r="AD192" i="12"/>
  <c r="BR192" i="12" s="1"/>
  <c r="AQ193" i="12"/>
  <c r="BU193" i="12" s="1"/>
  <c r="AS192" i="12"/>
  <c r="DV192" i="12" s="1"/>
  <c r="AO193" i="12"/>
  <c r="AI192" i="12"/>
  <c r="CQ192" i="12" s="1"/>
  <c r="AJ192" i="12"/>
  <c r="DA192" i="12" s="1"/>
  <c r="AK192" i="12"/>
  <c r="DK192" i="12" s="1"/>
  <c r="AL192" i="12"/>
  <c r="BS192" i="12" s="1"/>
  <c r="N193" i="12"/>
  <c r="BF61" i="13" l="1"/>
  <c r="BH61" i="13"/>
  <c r="BG61" i="13"/>
  <c r="BK61" i="13"/>
  <c r="BN61" i="13" s="1"/>
  <c r="DB61" i="13" s="1"/>
  <c r="DC61" i="13" s="1"/>
  <c r="BI61" i="13"/>
  <c r="CM62" i="12"/>
  <c r="CL62" i="12"/>
  <c r="BB63" i="12" s="1"/>
  <c r="Z193" i="12"/>
  <c r="K194" i="13"/>
  <c r="M194" i="13"/>
  <c r="CG193" i="13"/>
  <c r="AP193" i="13"/>
  <c r="AS193" i="13" s="1"/>
  <c r="DV193" i="13" s="1"/>
  <c r="DZ193" i="13" s="1"/>
  <c r="ED193" i="13" s="1"/>
  <c r="L194" i="13"/>
  <c r="AN194" i="13" s="1"/>
  <c r="AQ194" i="13" s="1"/>
  <c r="BU194" i="13" s="1"/>
  <c r="AM193" i="13"/>
  <c r="BT193" i="13" s="1"/>
  <c r="R193" i="13"/>
  <c r="BQ193" i="13" s="1"/>
  <c r="U193" i="13"/>
  <c r="DI193" i="13" s="1"/>
  <c r="X193" i="13"/>
  <c r="AF193" i="13"/>
  <c r="AJ193" i="13" s="1"/>
  <c r="DA193" i="13" s="1"/>
  <c r="Q193" i="13"/>
  <c r="AY193" i="13" s="1"/>
  <c r="T193" i="13"/>
  <c r="CY193" i="13" s="1"/>
  <c r="W193" i="13"/>
  <c r="Z193" i="13"/>
  <c r="AH193" i="13"/>
  <c r="AL193" i="13" s="1"/>
  <c r="BS193" i="13" s="1"/>
  <c r="S193" i="13"/>
  <c r="CO193" i="13" s="1"/>
  <c r="AG193" i="13"/>
  <c r="AK193" i="13" s="1"/>
  <c r="DK193" i="13" s="1"/>
  <c r="V193" i="13"/>
  <c r="Y193" i="13"/>
  <c r="CJ193" i="13"/>
  <c r="AE193" i="13"/>
  <c r="AI193" i="13" s="1"/>
  <c r="CQ193" i="13" s="1"/>
  <c r="DZ192" i="12"/>
  <c r="CJ193" i="12"/>
  <c r="CG193" i="12"/>
  <c r="Y193" i="12"/>
  <c r="W193" i="12"/>
  <c r="X193" i="12"/>
  <c r="AR193" i="12"/>
  <c r="AZ193" i="12" s="1"/>
  <c r="AM193" i="12"/>
  <c r="BT193" i="12" s="1"/>
  <c r="M194" i="12"/>
  <c r="L194" i="12"/>
  <c r="AN194" i="12" s="1"/>
  <c r="AP193" i="12"/>
  <c r="AF193" i="12"/>
  <c r="AH193" i="12"/>
  <c r="AE193" i="12"/>
  <c r="AG193" i="12"/>
  <c r="U193" i="12"/>
  <c r="DI193" i="12" s="1"/>
  <c r="V193" i="12"/>
  <c r="R193" i="12"/>
  <c r="BQ193" i="12" s="1"/>
  <c r="K194" i="12"/>
  <c r="T193" i="12"/>
  <c r="CY193" i="12" s="1"/>
  <c r="Q193" i="12"/>
  <c r="AY193" i="12" s="1"/>
  <c r="S193" i="12"/>
  <c r="CO193" i="12" s="1"/>
  <c r="BE63" i="12" l="1"/>
  <c r="BO61" i="13"/>
  <c r="DL61" i="13" s="1"/>
  <c r="BM61" i="13"/>
  <c r="CR61" i="13" s="1"/>
  <c r="BL61" i="13"/>
  <c r="BW61" i="13" s="1"/>
  <c r="DT61" i="13"/>
  <c r="DX61" i="13" s="1"/>
  <c r="EB61" i="13" s="1"/>
  <c r="DD61" i="13"/>
  <c r="DE61" i="13"/>
  <c r="DF61" i="13"/>
  <c r="DG61" i="13"/>
  <c r="N194" i="13"/>
  <c r="AM194" i="13" s="1"/>
  <c r="BT194" i="13" s="1"/>
  <c r="AO194" i="13"/>
  <c r="AR194" i="13" s="1"/>
  <c r="AZ194" i="13" s="1"/>
  <c r="AB193" i="13"/>
  <c r="CZ193" i="13" s="1"/>
  <c r="AA193" i="13"/>
  <c r="CP193" i="13" s="1"/>
  <c r="AD193" i="13"/>
  <c r="BR193" i="13" s="1"/>
  <c r="AC193" i="13"/>
  <c r="DJ193" i="13" s="1"/>
  <c r="ED192" i="12"/>
  <c r="AA193" i="12"/>
  <c r="CP193" i="12" s="1"/>
  <c r="AB193" i="12"/>
  <c r="CZ193" i="12" s="1"/>
  <c r="AC193" i="12"/>
  <c r="DJ193" i="12" s="1"/>
  <c r="AD193" i="12"/>
  <c r="BR193" i="12" s="1"/>
  <c r="AQ194" i="12"/>
  <c r="BU194" i="12" s="1"/>
  <c r="AS193" i="12"/>
  <c r="DV193" i="12" s="1"/>
  <c r="AO194" i="12"/>
  <c r="AJ193" i="12"/>
  <c r="DA193" i="12" s="1"/>
  <c r="AI193" i="12"/>
  <c r="CQ193" i="12" s="1"/>
  <c r="AK193" i="12"/>
  <c r="DK193" i="12" s="1"/>
  <c r="AL193" i="12"/>
  <c r="BS193" i="12" s="1"/>
  <c r="N194" i="12"/>
  <c r="DM61" i="13" l="1"/>
  <c r="DQ61" i="13" s="1"/>
  <c r="CS61" i="13"/>
  <c r="CW61" i="13" s="1"/>
  <c r="BX61" i="13"/>
  <c r="CE61" i="13" s="1"/>
  <c r="BC63" i="12"/>
  <c r="BG63" i="12" s="1"/>
  <c r="Z194" i="12"/>
  <c r="AP194" i="13"/>
  <c r="AS194" i="13" s="1"/>
  <c r="DV194" i="13" s="1"/>
  <c r="DZ194" i="13" s="1"/>
  <c r="ED194" i="13" s="1"/>
  <c r="L195" i="13"/>
  <c r="AN195" i="13" s="1"/>
  <c r="AQ195" i="13" s="1"/>
  <c r="BU195" i="13" s="1"/>
  <c r="M195" i="13"/>
  <c r="W194" i="13"/>
  <c r="AA194" i="13" s="1"/>
  <c r="CP194" i="13" s="1"/>
  <c r="Z194" i="13"/>
  <c r="AD194" i="13" s="1"/>
  <c r="BR194" i="13" s="1"/>
  <c r="AH194" i="13"/>
  <c r="AL194" i="13" s="1"/>
  <c r="BS194" i="13" s="1"/>
  <c r="T194" i="13"/>
  <c r="CY194" i="13" s="1"/>
  <c r="R194" i="13"/>
  <c r="BQ194" i="13" s="1"/>
  <c r="X194" i="13"/>
  <c r="AB194" i="13" s="1"/>
  <c r="CZ194" i="13" s="1"/>
  <c r="S194" i="13"/>
  <c r="CO194" i="13" s="1"/>
  <c r="V194" i="13"/>
  <c r="CJ194" i="13"/>
  <c r="AG194" i="13"/>
  <c r="AK194" i="13" s="1"/>
  <c r="DK194" i="13" s="1"/>
  <c r="AE194" i="13"/>
  <c r="AI194" i="13" s="1"/>
  <c r="CQ194" i="13" s="1"/>
  <c r="CG194" i="13"/>
  <c r="K195" i="13"/>
  <c r="AF194" i="13"/>
  <c r="AJ194" i="13" s="1"/>
  <c r="DA194" i="13" s="1"/>
  <c r="U194" i="13"/>
  <c r="DI194" i="13" s="1"/>
  <c r="Q194" i="13"/>
  <c r="AY194" i="13" s="1"/>
  <c r="Y194" i="13"/>
  <c r="DZ193" i="12"/>
  <c r="CJ194" i="12"/>
  <c r="CG194" i="12"/>
  <c r="W194" i="12"/>
  <c r="X194" i="12"/>
  <c r="Y194" i="12"/>
  <c r="AR194" i="12"/>
  <c r="AZ194" i="12" s="1"/>
  <c r="AM194" i="12"/>
  <c r="BT194" i="12" s="1"/>
  <c r="M195" i="12"/>
  <c r="L195" i="12"/>
  <c r="AN195" i="12" s="1"/>
  <c r="AP194" i="12"/>
  <c r="AG194" i="12"/>
  <c r="AE194" i="12"/>
  <c r="AH194" i="12"/>
  <c r="AF194" i="12"/>
  <c r="T194" i="12"/>
  <c r="CY194" i="12" s="1"/>
  <c r="S194" i="12"/>
  <c r="CO194" i="12" s="1"/>
  <c r="U194" i="12"/>
  <c r="DI194" i="12" s="1"/>
  <c r="V194" i="12"/>
  <c r="K195" i="12"/>
  <c r="R194" i="12"/>
  <c r="BQ194" i="12" s="1"/>
  <c r="Q194" i="12"/>
  <c r="AY194" i="12" s="1"/>
  <c r="DN61" i="13" l="1"/>
  <c r="DO61" i="13"/>
  <c r="DP61" i="13"/>
  <c r="DU61" i="13"/>
  <c r="DY61" i="13" s="1"/>
  <c r="EC61" i="13" s="1"/>
  <c r="FD61" i="13" s="1"/>
  <c r="FG61" i="13" s="1"/>
  <c r="CV61" i="13"/>
  <c r="DS61" i="13"/>
  <c r="DW61" i="13" s="1"/>
  <c r="EA61" i="13" s="1"/>
  <c r="CT61" i="13"/>
  <c r="CU61" i="13"/>
  <c r="CI61" i="13"/>
  <c r="CK61" i="13" s="1"/>
  <c r="BY61" i="13"/>
  <c r="CB61" i="13"/>
  <c r="CH61" i="13"/>
  <c r="CA61" i="13"/>
  <c r="CD61" i="13"/>
  <c r="CC61" i="13"/>
  <c r="BZ61" i="13"/>
  <c r="BI63" i="12"/>
  <c r="BF63" i="12"/>
  <c r="BK63" i="12"/>
  <c r="BH63" i="12"/>
  <c r="N195" i="13"/>
  <c r="AM195" i="13" s="1"/>
  <c r="BT195" i="13" s="1"/>
  <c r="AO195" i="13"/>
  <c r="AR195" i="13" s="1"/>
  <c r="AZ195" i="13" s="1"/>
  <c r="AC194" i="13"/>
  <c r="DJ194" i="13" s="1"/>
  <c r="ED193" i="12"/>
  <c r="AA194" i="12"/>
  <c r="CP194" i="12" s="1"/>
  <c r="AB194" i="12"/>
  <c r="CZ194" i="12" s="1"/>
  <c r="AC194" i="12"/>
  <c r="DJ194" i="12" s="1"/>
  <c r="AD194" i="12"/>
  <c r="BR194" i="12" s="1"/>
  <c r="AQ195" i="12"/>
  <c r="BU195" i="12" s="1"/>
  <c r="AS194" i="12"/>
  <c r="DV194" i="12" s="1"/>
  <c r="AO195" i="12"/>
  <c r="AK194" i="12"/>
  <c r="DK194" i="12" s="1"/>
  <c r="AI194" i="12"/>
  <c r="CQ194" i="12" s="1"/>
  <c r="AJ194" i="12"/>
  <c r="DA194" i="12" s="1"/>
  <c r="AL194" i="12"/>
  <c r="BS194" i="12" s="1"/>
  <c r="N195" i="12"/>
  <c r="Z195" i="12" s="1"/>
  <c r="CM61" i="13" l="1"/>
  <c r="CL61" i="13"/>
  <c r="BB62" i="13" s="1"/>
  <c r="BM63" i="12"/>
  <c r="CR63" i="12" s="1"/>
  <c r="CS63" i="12" s="1"/>
  <c r="CW63" i="12" s="1"/>
  <c r="BL63" i="12"/>
  <c r="BW63" i="12" s="1"/>
  <c r="BX63" i="12" s="1"/>
  <c r="CE63" i="12" s="1"/>
  <c r="BN63" i="12"/>
  <c r="DB63" i="12" s="1"/>
  <c r="DC63" i="12" s="1"/>
  <c r="DG63" i="12" s="1"/>
  <c r="BO63" i="12"/>
  <c r="DL63" i="12" s="1"/>
  <c r="DM63" i="12" s="1"/>
  <c r="DQ63" i="12" s="1"/>
  <c r="K196" i="13"/>
  <c r="L196" i="13"/>
  <c r="AN196" i="13" s="1"/>
  <c r="AQ196" i="13" s="1"/>
  <c r="BU196" i="13" s="1"/>
  <c r="M196" i="13"/>
  <c r="AP195" i="13"/>
  <c r="AS195" i="13" s="1"/>
  <c r="DV195" i="13" s="1"/>
  <c r="DZ195" i="13" s="1"/>
  <c r="ED195" i="13" s="1"/>
  <c r="CG195" i="13"/>
  <c r="Q195" i="13"/>
  <c r="AY195" i="13" s="1"/>
  <c r="T195" i="13"/>
  <c r="CY195" i="13" s="1"/>
  <c r="W195" i="13"/>
  <c r="AA195" i="13" s="1"/>
  <c r="CP195" i="13" s="1"/>
  <c r="CJ195" i="13"/>
  <c r="AH195" i="13"/>
  <c r="AL195" i="13" s="1"/>
  <c r="BS195" i="13" s="1"/>
  <c r="AF195" i="13"/>
  <c r="AJ195" i="13" s="1"/>
  <c r="DA195" i="13" s="1"/>
  <c r="S195" i="13"/>
  <c r="CO195" i="13" s="1"/>
  <c r="V195" i="13"/>
  <c r="Y195" i="13"/>
  <c r="AC195" i="13" s="1"/>
  <c r="DJ195" i="13" s="1"/>
  <c r="R195" i="13"/>
  <c r="BQ195" i="13" s="1"/>
  <c r="U195" i="13"/>
  <c r="DI195" i="13" s="1"/>
  <c r="X195" i="13"/>
  <c r="AB195" i="13" s="1"/>
  <c r="CZ195" i="13" s="1"/>
  <c r="Z195" i="13"/>
  <c r="AD195" i="13" s="1"/>
  <c r="BR195" i="13" s="1"/>
  <c r="AG195" i="13"/>
  <c r="AK195" i="13" s="1"/>
  <c r="DK195" i="13" s="1"/>
  <c r="AE195" i="13"/>
  <c r="AI195" i="13" s="1"/>
  <c r="CQ195" i="13" s="1"/>
  <c r="DZ194" i="12"/>
  <c r="CJ195" i="12"/>
  <c r="CG195" i="12"/>
  <c r="W195" i="12"/>
  <c r="X195" i="12"/>
  <c r="Y195" i="12"/>
  <c r="AM195" i="12"/>
  <c r="BT195" i="12" s="1"/>
  <c r="AR195" i="12"/>
  <c r="AZ195" i="12" s="1"/>
  <c r="M196" i="12"/>
  <c r="L196" i="12"/>
  <c r="AN196" i="12" s="1"/>
  <c r="AP195" i="12"/>
  <c r="AH195" i="12"/>
  <c r="AF195" i="12"/>
  <c r="AE195" i="12"/>
  <c r="AG195" i="12"/>
  <c r="V195" i="12"/>
  <c r="U195" i="12"/>
  <c r="DI195" i="12" s="1"/>
  <c r="T195" i="12"/>
  <c r="CY195" i="12" s="1"/>
  <c r="S195" i="12"/>
  <c r="CO195" i="12" s="1"/>
  <c r="R195" i="12"/>
  <c r="BQ195" i="12" s="1"/>
  <c r="Q195" i="12"/>
  <c r="AY195" i="12" s="1"/>
  <c r="K196" i="12"/>
  <c r="BD62" i="13" l="1"/>
  <c r="EQ62" i="13" s="1"/>
  <c r="ES62" i="13" s="1"/>
  <c r="BE62" i="13"/>
  <c r="DF63" i="12"/>
  <c r="DE63" i="12"/>
  <c r="DD63" i="12"/>
  <c r="DT63" i="12"/>
  <c r="DX63" i="12" s="1"/>
  <c r="EB63" i="12" s="1"/>
  <c r="DO63" i="12"/>
  <c r="DU63" i="12"/>
  <c r="DY63" i="12" s="1"/>
  <c r="EC63" i="12" s="1"/>
  <c r="G55" i="11" s="1"/>
  <c r="DP63" i="12"/>
  <c r="DN63" i="12"/>
  <c r="DS63" i="12"/>
  <c r="DW63" i="12" s="1"/>
  <c r="EA63" i="12" s="1"/>
  <c r="CT63" i="12"/>
  <c r="CU63" i="12"/>
  <c r="CV63" i="12"/>
  <c r="CI63" i="12"/>
  <c r="CK63" i="12" s="1"/>
  <c r="CA63" i="12"/>
  <c r="CH63" i="12"/>
  <c r="BY63" i="12"/>
  <c r="CB63" i="12"/>
  <c r="CD63" i="12"/>
  <c r="CC63" i="12"/>
  <c r="BZ63" i="12"/>
  <c r="N196" i="13"/>
  <c r="AM196" i="13" s="1"/>
  <c r="BT196" i="13" s="1"/>
  <c r="AO196" i="13"/>
  <c r="AR196" i="13" s="1"/>
  <c r="AZ196" i="13" s="1"/>
  <c r="ED194" i="12"/>
  <c r="AA195" i="12"/>
  <c r="CP195" i="12" s="1"/>
  <c r="AB195" i="12"/>
  <c r="CZ195" i="12" s="1"/>
  <c r="AC195" i="12"/>
  <c r="DJ195" i="12" s="1"/>
  <c r="AD195" i="12"/>
  <c r="BR195" i="12" s="1"/>
  <c r="AQ196" i="12"/>
  <c r="BU196" i="12" s="1"/>
  <c r="AS195" i="12"/>
  <c r="DV195" i="12" s="1"/>
  <c r="AO196" i="12"/>
  <c r="AJ195" i="12"/>
  <c r="DA195" i="12" s="1"/>
  <c r="AI195" i="12"/>
  <c r="CQ195" i="12" s="1"/>
  <c r="AK195" i="12"/>
  <c r="DK195" i="12" s="1"/>
  <c r="AL195" i="12"/>
  <c r="BS195" i="12" s="1"/>
  <c r="N196" i="12"/>
  <c r="Z196" i="12" s="1"/>
  <c r="FD63" i="12" l="1"/>
  <c r="FG63" i="12" s="1"/>
  <c r="ET62" i="13"/>
  <c r="EW62" i="13" s="1"/>
  <c r="EZ62" i="13" s="1"/>
  <c r="EU62" i="13"/>
  <c r="EX62" i="13" s="1"/>
  <c r="FA62" i="13" s="1"/>
  <c r="EV62" i="13"/>
  <c r="EY62" i="13" s="1"/>
  <c r="FB62" i="13" s="1"/>
  <c r="FF62" i="13" s="1"/>
  <c r="BC62" i="13"/>
  <c r="CM63" i="12"/>
  <c r="CL63" i="12"/>
  <c r="BB64" i="12" s="1"/>
  <c r="AP196" i="13"/>
  <c r="AS196" i="13" s="1"/>
  <c r="DV196" i="13" s="1"/>
  <c r="DZ196" i="13" s="1"/>
  <c r="ED196" i="13" s="1"/>
  <c r="CG196" i="13"/>
  <c r="K197" i="13"/>
  <c r="L197" i="13"/>
  <c r="AN197" i="13" s="1"/>
  <c r="AQ197" i="13" s="1"/>
  <c r="BU197" i="13" s="1"/>
  <c r="M197" i="13"/>
  <c r="V196" i="13"/>
  <c r="Z196" i="13"/>
  <c r="AD196" i="13" s="1"/>
  <c r="BR196" i="13" s="1"/>
  <c r="AH196" i="13"/>
  <c r="AL196" i="13" s="1"/>
  <c r="BS196" i="13" s="1"/>
  <c r="AF196" i="13"/>
  <c r="AJ196" i="13" s="1"/>
  <c r="DA196" i="13" s="1"/>
  <c r="R196" i="13"/>
  <c r="BQ196" i="13" s="1"/>
  <c r="T196" i="13"/>
  <c r="CY196" i="13" s="1"/>
  <c r="W196" i="13"/>
  <c r="AA196" i="13" s="1"/>
  <c r="CP196" i="13" s="1"/>
  <c r="Q196" i="13"/>
  <c r="AY196" i="13" s="1"/>
  <c r="Y196" i="13"/>
  <c r="AC196" i="13" s="1"/>
  <c r="DJ196" i="13" s="1"/>
  <c r="S196" i="13"/>
  <c r="CO196" i="13" s="1"/>
  <c r="U196" i="13"/>
  <c r="DI196" i="13" s="1"/>
  <c r="X196" i="13"/>
  <c r="AB196" i="13" s="1"/>
  <c r="CZ196" i="13" s="1"/>
  <c r="CJ196" i="13"/>
  <c r="AG196" i="13"/>
  <c r="AK196" i="13" s="1"/>
  <c r="DK196" i="13" s="1"/>
  <c r="AE196" i="13"/>
  <c r="AI196" i="13" s="1"/>
  <c r="CQ196" i="13" s="1"/>
  <c r="DZ195" i="12"/>
  <c r="CJ196" i="12"/>
  <c r="CG196" i="12"/>
  <c r="W196" i="12"/>
  <c r="Y196" i="12"/>
  <c r="X196" i="12"/>
  <c r="AR196" i="12"/>
  <c r="AZ196" i="12" s="1"/>
  <c r="AM196" i="12"/>
  <c r="BT196" i="12" s="1"/>
  <c r="M197" i="12"/>
  <c r="L197" i="12"/>
  <c r="AN197" i="12" s="1"/>
  <c r="AP196" i="12"/>
  <c r="AG196" i="12"/>
  <c r="AE196" i="12"/>
  <c r="AH196" i="12"/>
  <c r="AF196" i="12"/>
  <c r="K197" i="12"/>
  <c r="V196" i="12"/>
  <c r="U196" i="12"/>
  <c r="DI196" i="12" s="1"/>
  <c r="T196" i="12"/>
  <c r="CY196" i="12" s="1"/>
  <c r="S196" i="12"/>
  <c r="CO196" i="12" s="1"/>
  <c r="R196" i="12"/>
  <c r="BQ196" i="12" s="1"/>
  <c r="Q196" i="12"/>
  <c r="AY196" i="12" s="1"/>
  <c r="BE64" i="12" l="1"/>
  <c r="BG62" i="13"/>
  <c r="BI62" i="13"/>
  <c r="BK62" i="13"/>
  <c r="BH62" i="13"/>
  <c r="BF62" i="13"/>
  <c r="AO197" i="13"/>
  <c r="AR197" i="13" s="1"/>
  <c r="AZ197" i="13" s="1"/>
  <c r="N197" i="13"/>
  <c r="ED195" i="12"/>
  <c r="AA196" i="12"/>
  <c r="CP196" i="12" s="1"/>
  <c r="AB196" i="12"/>
  <c r="CZ196" i="12" s="1"/>
  <c r="AC196" i="12"/>
  <c r="DJ196" i="12" s="1"/>
  <c r="AD196" i="12"/>
  <c r="BR196" i="12" s="1"/>
  <c r="AQ197" i="12"/>
  <c r="BU197" i="12" s="1"/>
  <c r="AS196" i="12"/>
  <c r="DV196" i="12" s="1"/>
  <c r="AO197" i="12"/>
  <c r="AK196" i="12"/>
  <c r="DK196" i="12" s="1"/>
  <c r="AI196" i="12"/>
  <c r="CQ196" i="12" s="1"/>
  <c r="AJ196" i="12"/>
  <c r="DA196" i="12" s="1"/>
  <c r="AL196" i="12"/>
  <c r="BS196" i="12" s="1"/>
  <c r="N197" i="12"/>
  <c r="Z197" i="12" s="1"/>
  <c r="BM62" i="13" l="1"/>
  <c r="CR62" i="13" s="1"/>
  <c r="BL62" i="13"/>
  <c r="BW62" i="13" s="1"/>
  <c r="BX62" i="13" s="1"/>
  <c r="BO62" i="13"/>
  <c r="DL62" i="13" s="1"/>
  <c r="BN62" i="13"/>
  <c r="DB62" i="13" s="1"/>
  <c r="BC64" i="12"/>
  <c r="AP197" i="13"/>
  <c r="AS197" i="13" s="1"/>
  <c r="DV197" i="13" s="1"/>
  <c r="DZ197" i="13" s="1"/>
  <c r="ED197" i="13" s="1"/>
  <c r="CG197" i="13"/>
  <c r="L198" i="13"/>
  <c r="AN198" i="13" s="1"/>
  <c r="AQ198" i="13" s="1"/>
  <c r="BU198" i="13" s="1"/>
  <c r="M198" i="13"/>
  <c r="K198" i="13"/>
  <c r="AM197" i="13"/>
  <c r="BT197" i="13" s="1"/>
  <c r="S197" i="13"/>
  <c r="CO197" i="13" s="1"/>
  <c r="W197" i="13"/>
  <c r="AA197" i="13" s="1"/>
  <c r="CP197" i="13" s="1"/>
  <c r="Y197" i="13"/>
  <c r="AC197" i="13" s="1"/>
  <c r="DJ197" i="13" s="1"/>
  <c r="AG197" i="13"/>
  <c r="AK197" i="13" s="1"/>
  <c r="DK197" i="13" s="1"/>
  <c r="R197" i="13"/>
  <c r="BQ197" i="13" s="1"/>
  <c r="V197" i="13"/>
  <c r="U197" i="13"/>
  <c r="DI197" i="13" s="1"/>
  <c r="CJ197" i="13"/>
  <c r="AF197" i="13"/>
  <c r="AJ197" i="13" s="1"/>
  <c r="DA197" i="13" s="1"/>
  <c r="Q197" i="13"/>
  <c r="AY197" i="13" s="1"/>
  <c r="T197" i="13"/>
  <c r="CY197" i="13" s="1"/>
  <c r="X197" i="13"/>
  <c r="AB197" i="13" s="1"/>
  <c r="CZ197" i="13" s="1"/>
  <c r="Z197" i="13"/>
  <c r="AD197" i="13" s="1"/>
  <c r="BR197" i="13" s="1"/>
  <c r="AH197" i="13"/>
  <c r="AL197" i="13" s="1"/>
  <c r="BS197" i="13" s="1"/>
  <c r="AE197" i="13"/>
  <c r="AI197" i="13" s="1"/>
  <c r="CQ197" i="13" s="1"/>
  <c r="DZ196" i="12"/>
  <c r="CJ197" i="12"/>
  <c r="CG197" i="12"/>
  <c r="W197" i="12"/>
  <c r="X197" i="12"/>
  <c r="Y197" i="12"/>
  <c r="AR197" i="12"/>
  <c r="AZ197" i="12" s="1"/>
  <c r="AM197" i="12"/>
  <c r="BT197" i="12" s="1"/>
  <c r="M198" i="12"/>
  <c r="L198" i="12"/>
  <c r="AN198" i="12" s="1"/>
  <c r="AP197" i="12"/>
  <c r="AG197" i="12"/>
  <c r="AH197" i="12"/>
  <c r="AF197" i="12"/>
  <c r="AE197" i="12"/>
  <c r="S197" i="12"/>
  <c r="CO197" i="12" s="1"/>
  <c r="T197" i="12"/>
  <c r="CY197" i="12" s="1"/>
  <c r="K198" i="12"/>
  <c r="Q197" i="12"/>
  <c r="AY197" i="12" s="1"/>
  <c r="R197" i="12"/>
  <c r="BQ197" i="12" s="1"/>
  <c r="U197" i="12"/>
  <c r="DI197" i="12" s="1"/>
  <c r="V197" i="12"/>
  <c r="CS62" i="13" l="1"/>
  <c r="CW62" i="13" s="1"/>
  <c r="DM62" i="13"/>
  <c r="DQ62" i="13" s="1"/>
  <c r="DC62" i="13"/>
  <c r="DG62" i="13" s="1"/>
  <c r="CE62" i="13"/>
  <c r="CC62" i="13"/>
  <c r="BZ62" i="13"/>
  <c r="CH62" i="13"/>
  <c r="CI62" i="13"/>
  <c r="CK62" i="13" s="1"/>
  <c r="BY62" i="13"/>
  <c r="CD62" i="13"/>
  <c r="CA62" i="13"/>
  <c r="CB62" i="13"/>
  <c r="BK64" i="12"/>
  <c r="BF64" i="12"/>
  <c r="BH64" i="12"/>
  <c r="BG64" i="12"/>
  <c r="BI64" i="12"/>
  <c r="N198" i="13"/>
  <c r="AM198" i="13" s="1"/>
  <c r="BT198" i="13" s="1"/>
  <c r="AO198" i="13"/>
  <c r="AR198" i="13" s="1"/>
  <c r="AZ198" i="13" s="1"/>
  <c r="ED196" i="12"/>
  <c r="AA197" i="12"/>
  <c r="CP197" i="12" s="1"/>
  <c r="AB197" i="12"/>
  <c r="CZ197" i="12" s="1"/>
  <c r="AC197" i="12"/>
  <c r="DJ197" i="12" s="1"/>
  <c r="AD197" i="12"/>
  <c r="BR197" i="12" s="1"/>
  <c r="AQ198" i="12"/>
  <c r="BU198" i="12" s="1"/>
  <c r="AS197" i="12"/>
  <c r="DV197" i="12" s="1"/>
  <c r="AO198" i="12"/>
  <c r="AK197" i="12"/>
  <c r="DK197" i="12" s="1"/>
  <c r="AJ197" i="12"/>
  <c r="DA197" i="12" s="1"/>
  <c r="AI197" i="12"/>
  <c r="CQ197" i="12" s="1"/>
  <c r="AL197" i="12"/>
  <c r="BS197" i="12" s="1"/>
  <c r="N198" i="12"/>
  <c r="Z198" i="12" s="1"/>
  <c r="DS62" i="13" l="1"/>
  <c r="DW62" i="13" s="1"/>
  <c r="EA62" i="13" s="1"/>
  <c r="CT62" i="13"/>
  <c r="CU62" i="13"/>
  <c r="CV62" i="13"/>
  <c r="DO62" i="13"/>
  <c r="DU62" i="13"/>
  <c r="DY62" i="13" s="1"/>
  <c r="EC62" i="13" s="1"/>
  <c r="FD62" i="13" s="1"/>
  <c r="FG62" i="13" s="1"/>
  <c r="DN62" i="13"/>
  <c r="DP62" i="13"/>
  <c r="DE62" i="13"/>
  <c r="DF62" i="13"/>
  <c r="DT62" i="13"/>
  <c r="DX62" i="13" s="1"/>
  <c r="EB62" i="13" s="1"/>
  <c r="DD62" i="13"/>
  <c r="CM62" i="13"/>
  <c r="CL62" i="13"/>
  <c r="BB63" i="13" s="1"/>
  <c r="BL64" i="12"/>
  <c r="BW64" i="12" s="1"/>
  <c r="BM64" i="12"/>
  <c r="CR64" i="12" s="1"/>
  <c r="BO64" i="12"/>
  <c r="DL64" i="12" s="1"/>
  <c r="BN64" i="12"/>
  <c r="DB64" i="12" s="1"/>
  <c r="CG198" i="13"/>
  <c r="L199" i="13"/>
  <c r="AN199" i="13" s="1"/>
  <c r="AQ199" i="13" s="1"/>
  <c r="BU199" i="13" s="1"/>
  <c r="AP198" i="13"/>
  <c r="AS198" i="13" s="1"/>
  <c r="DV198" i="13" s="1"/>
  <c r="DZ198" i="13" s="1"/>
  <c r="ED198" i="13" s="1"/>
  <c r="K199" i="13"/>
  <c r="M199" i="13"/>
  <c r="T198" i="13"/>
  <c r="CY198" i="13" s="1"/>
  <c r="CJ198" i="13"/>
  <c r="AF198" i="13"/>
  <c r="AJ198" i="13" s="1"/>
  <c r="DA198" i="13" s="1"/>
  <c r="Q198" i="13"/>
  <c r="AY198" i="13" s="1"/>
  <c r="V198" i="13"/>
  <c r="Z198" i="13"/>
  <c r="R198" i="13"/>
  <c r="BQ198" i="13" s="1"/>
  <c r="U198" i="13"/>
  <c r="DI198" i="13" s="1"/>
  <c r="W198" i="13"/>
  <c r="AH198" i="13"/>
  <c r="AL198" i="13" s="1"/>
  <c r="BS198" i="13" s="1"/>
  <c r="S198" i="13"/>
  <c r="CO198" i="13" s="1"/>
  <c r="X198" i="13"/>
  <c r="AB198" i="13" s="1"/>
  <c r="CZ198" i="13" s="1"/>
  <c r="Y198" i="13"/>
  <c r="AC198" i="13" s="1"/>
  <c r="DJ198" i="13" s="1"/>
  <c r="AG198" i="13"/>
  <c r="AK198" i="13" s="1"/>
  <c r="DK198" i="13" s="1"/>
  <c r="AE198" i="13"/>
  <c r="AI198" i="13" s="1"/>
  <c r="CQ198" i="13" s="1"/>
  <c r="DZ197" i="12"/>
  <c r="CJ198" i="12"/>
  <c r="CG198" i="12"/>
  <c r="W198" i="12"/>
  <c r="Y198" i="12"/>
  <c r="X198" i="12"/>
  <c r="AM198" i="12"/>
  <c r="BT198" i="12" s="1"/>
  <c r="AR198" i="12"/>
  <c r="AZ198" i="12" s="1"/>
  <c r="M199" i="12"/>
  <c r="L199" i="12"/>
  <c r="AN199" i="12" s="1"/>
  <c r="AP198" i="12"/>
  <c r="AE198" i="12"/>
  <c r="AG198" i="12"/>
  <c r="AH198" i="12"/>
  <c r="AF198" i="12"/>
  <c r="K199" i="12"/>
  <c r="V198" i="12"/>
  <c r="U198" i="12"/>
  <c r="DI198" i="12" s="1"/>
  <c r="T198" i="12"/>
  <c r="CY198" i="12" s="1"/>
  <c r="S198" i="12"/>
  <c r="CO198" i="12" s="1"/>
  <c r="R198" i="12"/>
  <c r="BQ198" i="12" s="1"/>
  <c r="Q198" i="12"/>
  <c r="AY198" i="12" s="1"/>
  <c r="BD63" i="13" l="1"/>
  <c r="BE63" i="13"/>
  <c r="BX64" i="12"/>
  <c r="CE64" i="12" s="1"/>
  <c r="CS64" i="12"/>
  <c r="CW64" i="12" s="1"/>
  <c r="DM64" i="12"/>
  <c r="DQ64" i="12" s="1"/>
  <c r="DC64" i="12"/>
  <c r="DG64" i="12" s="1"/>
  <c r="N199" i="13"/>
  <c r="AM199" i="13" s="1"/>
  <c r="BT199" i="13" s="1"/>
  <c r="AO199" i="13"/>
  <c r="AR199" i="13" s="1"/>
  <c r="AZ199" i="13" s="1"/>
  <c r="AD198" i="13"/>
  <c r="BR198" i="13" s="1"/>
  <c r="AA198" i="13"/>
  <c r="CP198" i="13" s="1"/>
  <c r="ED197" i="12"/>
  <c r="AA198" i="12"/>
  <c r="CP198" i="12" s="1"/>
  <c r="AB198" i="12"/>
  <c r="CZ198" i="12" s="1"/>
  <c r="AC198" i="12"/>
  <c r="DJ198" i="12" s="1"/>
  <c r="AD198" i="12"/>
  <c r="BR198" i="12" s="1"/>
  <c r="AQ199" i="12"/>
  <c r="BU199" i="12" s="1"/>
  <c r="AS198" i="12"/>
  <c r="DV198" i="12" s="1"/>
  <c r="AO199" i="12"/>
  <c r="AI198" i="12"/>
  <c r="CQ198" i="12" s="1"/>
  <c r="AK198" i="12"/>
  <c r="DK198" i="12" s="1"/>
  <c r="AJ198" i="12"/>
  <c r="DA198" i="12" s="1"/>
  <c r="AL198" i="12"/>
  <c r="BS198" i="12" s="1"/>
  <c r="N199" i="12"/>
  <c r="Z199" i="12" s="1"/>
  <c r="EQ63" i="13" l="1"/>
  <c r="ES63" i="13" s="1"/>
  <c r="BC63" i="13"/>
  <c r="CA64" i="12"/>
  <c r="CD64" i="12"/>
  <c r="BZ64" i="12"/>
  <c r="BY64" i="12"/>
  <c r="CB64" i="12"/>
  <c r="CC64" i="12"/>
  <c r="CI64" i="12"/>
  <c r="CK64" i="12" s="1"/>
  <c r="CH64" i="12"/>
  <c r="CU64" i="12"/>
  <c r="CT64" i="12"/>
  <c r="CV64" i="12"/>
  <c r="DS64" i="12"/>
  <c r="DW64" i="12" s="1"/>
  <c r="EA64" i="12" s="1"/>
  <c r="DO64" i="12"/>
  <c r="DP64" i="12"/>
  <c r="DN64" i="12"/>
  <c r="DU64" i="12"/>
  <c r="DY64" i="12" s="1"/>
  <c r="EC64" i="12" s="1"/>
  <c r="G56" i="11" s="1"/>
  <c r="DF64" i="12"/>
  <c r="DE64" i="12"/>
  <c r="DD64" i="12"/>
  <c r="DT64" i="12"/>
  <c r="DX64" i="12" s="1"/>
  <c r="EB64" i="12" s="1"/>
  <c r="K200" i="13"/>
  <c r="T199" i="13"/>
  <c r="CY199" i="13" s="1"/>
  <c r="X199" i="13"/>
  <c r="AB199" i="13" s="1"/>
  <c r="CZ199" i="13" s="1"/>
  <c r="AG199" i="13"/>
  <c r="AK199" i="13" s="1"/>
  <c r="DK199" i="13" s="1"/>
  <c r="S199" i="13"/>
  <c r="CO199" i="13" s="1"/>
  <c r="V199" i="13"/>
  <c r="Y199" i="13"/>
  <c r="CJ199" i="13"/>
  <c r="Q199" i="13"/>
  <c r="AY199" i="13" s="1"/>
  <c r="AE199" i="13"/>
  <c r="AI199" i="13" s="1"/>
  <c r="CQ199" i="13" s="1"/>
  <c r="R199" i="13"/>
  <c r="BQ199" i="13" s="1"/>
  <c r="U199" i="13"/>
  <c r="DI199" i="13" s="1"/>
  <c r="L200" i="13"/>
  <c r="AN200" i="13" s="1"/>
  <c r="AQ200" i="13" s="1"/>
  <c r="BU200" i="13" s="1"/>
  <c r="M200" i="13"/>
  <c r="AP199" i="13"/>
  <c r="AS199" i="13" s="1"/>
  <c r="DV199" i="13" s="1"/>
  <c r="DZ199" i="13" s="1"/>
  <c r="ED199" i="13" s="1"/>
  <c r="CG199" i="13"/>
  <c r="W199" i="13"/>
  <c r="Z199" i="13"/>
  <c r="AH199" i="13"/>
  <c r="AL199" i="13" s="1"/>
  <c r="BS199" i="13" s="1"/>
  <c r="AF199" i="13"/>
  <c r="AJ199" i="13" s="1"/>
  <c r="DA199" i="13" s="1"/>
  <c r="DZ198" i="12"/>
  <c r="CJ199" i="12"/>
  <c r="CG199" i="12"/>
  <c r="W199" i="12"/>
  <c r="Y199" i="12"/>
  <c r="X199" i="12"/>
  <c r="AM199" i="12"/>
  <c r="BT199" i="12" s="1"/>
  <c r="AR199" i="12"/>
  <c r="AZ199" i="12" s="1"/>
  <c r="M200" i="12"/>
  <c r="L200" i="12"/>
  <c r="AN200" i="12" s="1"/>
  <c r="AP199" i="12"/>
  <c r="AH199" i="12"/>
  <c r="AF199" i="12"/>
  <c r="AE199" i="12"/>
  <c r="AG199" i="12"/>
  <c r="Q199" i="12"/>
  <c r="AY199" i="12" s="1"/>
  <c r="S199" i="12"/>
  <c r="CO199" i="12" s="1"/>
  <c r="V199" i="12"/>
  <c r="R199" i="12"/>
  <c r="BQ199" i="12" s="1"/>
  <c r="T199" i="12"/>
  <c r="CY199" i="12" s="1"/>
  <c r="U199" i="12"/>
  <c r="DI199" i="12" s="1"/>
  <c r="K200" i="12"/>
  <c r="FD64" i="12" l="1"/>
  <c r="FG64" i="12" s="1"/>
  <c r="BI63" i="13"/>
  <c r="BH63" i="13"/>
  <c r="BK63" i="13"/>
  <c r="EU63" i="13"/>
  <c r="EX63" i="13" s="1"/>
  <c r="FA63" i="13" s="1"/>
  <c r="ET63" i="13"/>
  <c r="EW63" i="13" s="1"/>
  <c r="EZ63" i="13" s="1"/>
  <c r="EV63" i="13"/>
  <c r="EY63" i="13" s="1"/>
  <c r="FB63" i="13" s="1"/>
  <c r="FF63" i="13" s="1"/>
  <c r="BG63" i="13"/>
  <c r="BF63" i="13"/>
  <c r="CM64" i="12"/>
  <c r="CL64" i="12"/>
  <c r="BB65" i="12" s="1"/>
  <c r="N200" i="13"/>
  <c r="AC199" i="13"/>
  <c r="DJ199" i="13" s="1"/>
  <c r="AO200" i="13"/>
  <c r="AR200" i="13" s="1"/>
  <c r="AZ200" i="13" s="1"/>
  <c r="AA199" i="13"/>
  <c r="CP199" i="13" s="1"/>
  <c r="AD199" i="13"/>
  <c r="BR199" i="13" s="1"/>
  <c r="ED198" i="12"/>
  <c r="AA199" i="12"/>
  <c r="CP199" i="12" s="1"/>
  <c r="AB199" i="12"/>
  <c r="CZ199" i="12" s="1"/>
  <c r="AC199" i="12"/>
  <c r="DJ199" i="12" s="1"/>
  <c r="AD199" i="12"/>
  <c r="BR199" i="12" s="1"/>
  <c r="AQ200" i="12"/>
  <c r="BU200" i="12" s="1"/>
  <c r="AS199" i="12"/>
  <c r="DV199" i="12" s="1"/>
  <c r="AO200" i="12"/>
  <c r="AJ199" i="12"/>
  <c r="DA199" i="12" s="1"/>
  <c r="AI199" i="12"/>
  <c r="CQ199" i="12" s="1"/>
  <c r="AK199" i="12"/>
  <c r="DK199" i="12" s="1"/>
  <c r="AL199" i="12"/>
  <c r="BS199" i="12" s="1"/>
  <c r="N200" i="12"/>
  <c r="BE65" i="12" l="1"/>
  <c r="BO63" i="13"/>
  <c r="DL63" i="13" s="1"/>
  <c r="DM63" i="13" s="1"/>
  <c r="DQ63" i="13" s="1"/>
  <c r="BL63" i="13"/>
  <c r="BW63" i="13" s="1"/>
  <c r="BX63" i="13" s="1"/>
  <c r="BN63" i="13"/>
  <c r="DB63" i="13" s="1"/>
  <c r="DC63" i="13" s="1"/>
  <c r="DG63" i="13" s="1"/>
  <c r="BM63" i="13"/>
  <c r="CR63" i="13" s="1"/>
  <c r="CS63" i="13" s="1"/>
  <c r="CW63" i="13" s="1"/>
  <c r="AM200" i="13"/>
  <c r="BT200" i="13" s="1"/>
  <c r="Z200" i="12"/>
  <c r="AH200" i="13"/>
  <c r="AL200" i="13" s="1"/>
  <c r="BS200" i="13" s="1"/>
  <c r="CJ200" i="13"/>
  <c r="AF200" i="13"/>
  <c r="AJ200" i="13" s="1"/>
  <c r="DA200" i="13" s="1"/>
  <c r="T200" i="13"/>
  <c r="CY200" i="13" s="1"/>
  <c r="Y200" i="13"/>
  <c r="CG200" i="13"/>
  <c r="K201" i="13"/>
  <c r="M201" i="13"/>
  <c r="V200" i="13"/>
  <c r="AP200" i="13"/>
  <c r="AS200" i="13" s="1"/>
  <c r="DV200" i="13" s="1"/>
  <c r="DZ200" i="13" s="1"/>
  <c r="ED200" i="13" s="1"/>
  <c r="L201" i="13"/>
  <c r="AN201" i="13" s="1"/>
  <c r="AQ201" i="13" s="1"/>
  <c r="BU201" i="13" s="1"/>
  <c r="Q200" i="13"/>
  <c r="AY200" i="13" s="1"/>
  <c r="S200" i="13"/>
  <c r="CO200" i="13" s="1"/>
  <c r="X200" i="13"/>
  <c r="Z200" i="13"/>
  <c r="AE200" i="13"/>
  <c r="AI200" i="13" s="1"/>
  <c r="CQ200" i="13" s="1"/>
  <c r="U200" i="13"/>
  <c r="DI200" i="13" s="1"/>
  <c r="R200" i="13"/>
  <c r="BQ200" i="13" s="1"/>
  <c r="W200" i="13"/>
  <c r="AG200" i="13"/>
  <c r="AK200" i="13" s="1"/>
  <c r="DK200" i="13" s="1"/>
  <c r="DZ199" i="12"/>
  <c r="CJ200" i="12"/>
  <c r="CG200" i="12"/>
  <c r="W200" i="12"/>
  <c r="X200" i="12"/>
  <c r="Y200" i="12"/>
  <c r="AR200" i="12"/>
  <c r="AZ200" i="12" s="1"/>
  <c r="AM200" i="12"/>
  <c r="BT200" i="12" s="1"/>
  <c r="M201" i="12"/>
  <c r="L201" i="12"/>
  <c r="AN201" i="12" s="1"/>
  <c r="AP200" i="12"/>
  <c r="AF200" i="12"/>
  <c r="AG200" i="12"/>
  <c r="AH200" i="12"/>
  <c r="AE200" i="12"/>
  <c r="K201" i="12"/>
  <c r="T200" i="12"/>
  <c r="CY200" i="12" s="1"/>
  <c r="S200" i="12"/>
  <c r="CO200" i="12" s="1"/>
  <c r="V200" i="12"/>
  <c r="U200" i="12"/>
  <c r="DI200" i="12" s="1"/>
  <c r="R200" i="12"/>
  <c r="BQ200" i="12" s="1"/>
  <c r="Q200" i="12"/>
  <c r="AY200" i="12" s="1"/>
  <c r="CE63" i="13" l="1"/>
  <c r="CI63" i="13"/>
  <c r="CK63" i="13" s="1"/>
  <c r="CB63" i="13"/>
  <c r="BZ63" i="13"/>
  <c r="CH63" i="13"/>
  <c r="CD63" i="13"/>
  <c r="CA63" i="13"/>
  <c r="CC63" i="13"/>
  <c r="BY63" i="13"/>
  <c r="DO63" i="13"/>
  <c r="DN63" i="13"/>
  <c r="DU63" i="13"/>
  <c r="DY63" i="13" s="1"/>
  <c r="EC63" i="13" s="1"/>
  <c r="FD63" i="13" s="1"/>
  <c r="FG63" i="13" s="1"/>
  <c r="DP63" i="13"/>
  <c r="CV63" i="13"/>
  <c r="DS63" i="13"/>
  <c r="DW63" i="13" s="1"/>
  <c r="EA63" i="13" s="1"/>
  <c r="CT63" i="13"/>
  <c r="CU63" i="13"/>
  <c r="DF63" i="13"/>
  <c r="DT63" i="13"/>
  <c r="DX63" i="13" s="1"/>
  <c r="EB63" i="13" s="1"/>
  <c r="DD63" i="13"/>
  <c r="DE63" i="13"/>
  <c r="BC65" i="12"/>
  <c r="N201" i="13"/>
  <c r="AO201" i="13"/>
  <c r="AR201" i="13" s="1"/>
  <c r="AZ201" i="13" s="1"/>
  <c r="AC200" i="13"/>
  <c r="DJ200" i="13" s="1"/>
  <c r="AB200" i="13"/>
  <c r="CZ200" i="13" s="1"/>
  <c r="AD200" i="13"/>
  <c r="BR200" i="13" s="1"/>
  <c r="AA200" i="13"/>
  <c r="CP200" i="13" s="1"/>
  <c r="ED199" i="12"/>
  <c r="AA200" i="12"/>
  <c r="CP200" i="12" s="1"/>
  <c r="AB200" i="12"/>
  <c r="CZ200" i="12" s="1"/>
  <c r="AC200" i="12"/>
  <c r="DJ200" i="12" s="1"/>
  <c r="AD200" i="12"/>
  <c r="BR200" i="12" s="1"/>
  <c r="AQ201" i="12"/>
  <c r="BU201" i="12" s="1"/>
  <c r="AS200" i="12"/>
  <c r="DV200" i="12" s="1"/>
  <c r="AO201" i="12"/>
  <c r="AJ200" i="12"/>
  <c r="DA200" i="12" s="1"/>
  <c r="AK200" i="12"/>
  <c r="DK200" i="12" s="1"/>
  <c r="AI200" i="12"/>
  <c r="CQ200" i="12" s="1"/>
  <c r="AL200" i="12"/>
  <c r="BS200" i="12" s="1"/>
  <c r="N201" i="12"/>
  <c r="Z201" i="12" s="1"/>
  <c r="CL63" i="13" l="1"/>
  <c r="BB64" i="13" s="1"/>
  <c r="CM63" i="13"/>
  <c r="BH65" i="12"/>
  <c r="BG65" i="12"/>
  <c r="BF65" i="12"/>
  <c r="BK65" i="12"/>
  <c r="BI65" i="12"/>
  <c r="AM201" i="13"/>
  <c r="BT201" i="13" s="1"/>
  <c r="K202" i="13"/>
  <c r="L202" i="13"/>
  <c r="AN202" i="13" s="1"/>
  <c r="AQ202" i="13" s="1"/>
  <c r="BU202" i="13" s="1"/>
  <c r="M202" i="13"/>
  <c r="AP201" i="13"/>
  <c r="AS201" i="13" s="1"/>
  <c r="DV201" i="13" s="1"/>
  <c r="DZ201" i="13" s="1"/>
  <c r="ED201" i="13" s="1"/>
  <c r="CG201" i="13"/>
  <c r="S201" i="13"/>
  <c r="CO201" i="13" s="1"/>
  <c r="V201" i="13"/>
  <c r="X201" i="13"/>
  <c r="AG201" i="13"/>
  <c r="AK201" i="13" s="1"/>
  <c r="DK201" i="13" s="1"/>
  <c r="AE201" i="13"/>
  <c r="AI201" i="13" s="1"/>
  <c r="CQ201" i="13" s="1"/>
  <c r="Y201" i="13"/>
  <c r="Q201" i="13"/>
  <c r="AY201" i="13" s="1"/>
  <c r="CJ201" i="13"/>
  <c r="R201" i="13"/>
  <c r="BQ201" i="13" s="1"/>
  <c r="T201" i="13"/>
  <c r="CY201" i="13" s="1"/>
  <c r="U201" i="13"/>
  <c r="DI201" i="13" s="1"/>
  <c r="W201" i="13"/>
  <c r="Z201" i="13"/>
  <c r="AH201" i="13"/>
  <c r="AL201" i="13" s="1"/>
  <c r="BS201" i="13" s="1"/>
  <c r="AF201" i="13"/>
  <c r="AJ201" i="13" s="1"/>
  <c r="DA201" i="13" s="1"/>
  <c r="DZ200" i="12"/>
  <c r="CJ201" i="12"/>
  <c r="CG201" i="12"/>
  <c r="W201" i="12"/>
  <c r="Y201" i="12"/>
  <c r="X201" i="12"/>
  <c r="AR201" i="12"/>
  <c r="AZ201" i="12" s="1"/>
  <c r="AM201" i="12"/>
  <c r="BT201" i="12" s="1"/>
  <c r="M202" i="12"/>
  <c r="L202" i="12"/>
  <c r="AN202" i="12" s="1"/>
  <c r="AP201" i="12"/>
  <c r="AE201" i="12"/>
  <c r="AF201" i="12"/>
  <c r="AG201" i="12"/>
  <c r="AH201" i="12"/>
  <c r="Q201" i="12"/>
  <c r="AY201" i="12" s="1"/>
  <c r="U201" i="12"/>
  <c r="DI201" i="12" s="1"/>
  <c r="T201" i="12"/>
  <c r="CY201" i="12" s="1"/>
  <c r="V201" i="12"/>
  <c r="S201" i="12"/>
  <c r="CO201" i="12" s="1"/>
  <c r="K202" i="12"/>
  <c r="R201" i="12"/>
  <c r="BQ201" i="12" s="1"/>
  <c r="BE64" i="13" l="1"/>
  <c r="BD64" i="13"/>
  <c r="BM65" i="12"/>
  <c r="CR65" i="12" s="1"/>
  <c r="CS65" i="12" s="1"/>
  <c r="BL65" i="12"/>
  <c r="BW65" i="12" s="1"/>
  <c r="BX65" i="12" s="1"/>
  <c r="BO65" i="12"/>
  <c r="DL65" i="12" s="1"/>
  <c r="DM65" i="12" s="1"/>
  <c r="BN65" i="12"/>
  <c r="DB65" i="12" s="1"/>
  <c r="N202" i="13"/>
  <c r="AM202" i="13" s="1"/>
  <c r="BT202" i="13" s="1"/>
  <c r="AO202" i="13"/>
  <c r="AR202" i="13" s="1"/>
  <c r="AZ202" i="13" s="1"/>
  <c r="AB201" i="13"/>
  <c r="CZ201" i="13" s="1"/>
  <c r="AC201" i="13"/>
  <c r="DJ201" i="13" s="1"/>
  <c r="AA201" i="13"/>
  <c r="CP201" i="13" s="1"/>
  <c r="AD201" i="13"/>
  <c r="BR201" i="13" s="1"/>
  <c r="ED200" i="12"/>
  <c r="AA201" i="12"/>
  <c r="CP201" i="12" s="1"/>
  <c r="AB201" i="12"/>
  <c r="CZ201" i="12" s="1"/>
  <c r="AC201" i="12"/>
  <c r="DJ201" i="12" s="1"/>
  <c r="AD201" i="12"/>
  <c r="BR201" i="12" s="1"/>
  <c r="AQ202" i="12"/>
  <c r="BU202" i="12" s="1"/>
  <c r="AS201" i="12"/>
  <c r="DV201" i="12" s="1"/>
  <c r="AO202" i="12"/>
  <c r="AI201" i="12"/>
  <c r="CQ201" i="12" s="1"/>
  <c r="AJ201" i="12"/>
  <c r="DA201" i="12" s="1"/>
  <c r="AK201" i="12"/>
  <c r="DK201" i="12" s="1"/>
  <c r="AL201" i="12"/>
  <c r="BS201" i="12" s="1"/>
  <c r="N202" i="12"/>
  <c r="Z202" i="12" s="1"/>
  <c r="EQ64" i="13" l="1"/>
  <c r="ES64" i="13" s="1"/>
  <c r="EV64" i="13" s="1"/>
  <c r="EY64" i="13" s="1"/>
  <c r="FB64" i="13" s="1"/>
  <c r="FF64" i="13" s="1"/>
  <c r="BC64" i="13"/>
  <c r="CU65" i="12"/>
  <c r="CT65" i="12"/>
  <c r="CV65" i="12"/>
  <c r="DS65" i="12"/>
  <c r="DW65" i="12" s="1"/>
  <c r="EA65" i="12" s="1"/>
  <c r="CW65" i="12"/>
  <c r="CH65" i="12"/>
  <c r="BY65" i="12"/>
  <c r="CI65" i="12"/>
  <c r="CK65" i="12" s="1"/>
  <c r="CA65" i="12"/>
  <c r="CD65" i="12"/>
  <c r="CC65" i="12"/>
  <c r="CB65" i="12"/>
  <c r="BZ65" i="12"/>
  <c r="CE65" i="12"/>
  <c r="DN65" i="12"/>
  <c r="DO65" i="12"/>
  <c r="DP65" i="12"/>
  <c r="DU65" i="12"/>
  <c r="DY65" i="12" s="1"/>
  <c r="EC65" i="12" s="1"/>
  <c r="DQ65" i="12"/>
  <c r="DC65" i="12"/>
  <c r="DG65" i="12" s="1"/>
  <c r="AG202" i="13"/>
  <c r="AK202" i="13" s="1"/>
  <c r="DK202" i="13" s="1"/>
  <c r="CG202" i="13"/>
  <c r="K203" i="13"/>
  <c r="L203" i="13"/>
  <c r="AN203" i="13" s="1"/>
  <c r="AQ203" i="13" s="1"/>
  <c r="BU203" i="13" s="1"/>
  <c r="M203" i="13"/>
  <c r="AP202" i="13"/>
  <c r="AS202" i="13" s="1"/>
  <c r="DV202" i="13" s="1"/>
  <c r="DZ202" i="13" s="1"/>
  <c r="ED202" i="13" s="1"/>
  <c r="Q202" i="13"/>
  <c r="AY202" i="13" s="1"/>
  <c r="S202" i="13"/>
  <c r="CO202" i="13" s="1"/>
  <c r="U202" i="13"/>
  <c r="DI202" i="13" s="1"/>
  <c r="W202" i="13"/>
  <c r="AA202" i="13" s="1"/>
  <c r="CP202" i="13" s="1"/>
  <c r="CJ202" i="13"/>
  <c r="AH202" i="13"/>
  <c r="AL202" i="13" s="1"/>
  <c r="BS202" i="13" s="1"/>
  <c r="AF202" i="13"/>
  <c r="AJ202" i="13" s="1"/>
  <c r="DA202" i="13" s="1"/>
  <c r="Y202" i="13"/>
  <c r="AE202" i="13"/>
  <c r="AI202" i="13" s="1"/>
  <c r="CQ202" i="13" s="1"/>
  <c r="R202" i="13"/>
  <c r="BQ202" i="13" s="1"/>
  <c r="T202" i="13"/>
  <c r="CY202" i="13" s="1"/>
  <c r="V202" i="13"/>
  <c r="X202" i="13"/>
  <c r="Z202" i="13"/>
  <c r="DZ201" i="12"/>
  <c r="CJ202" i="12"/>
  <c r="CG202" i="12"/>
  <c r="W202" i="12"/>
  <c r="X202" i="12"/>
  <c r="Y202" i="12"/>
  <c r="AM202" i="12"/>
  <c r="BT202" i="12" s="1"/>
  <c r="AR202" i="12"/>
  <c r="AZ202" i="12" s="1"/>
  <c r="M203" i="12"/>
  <c r="L203" i="12"/>
  <c r="AN203" i="12" s="1"/>
  <c r="AP202" i="12"/>
  <c r="AH202" i="12"/>
  <c r="AF202" i="12"/>
  <c r="AE202" i="12"/>
  <c r="AG202" i="12"/>
  <c r="R202" i="12"/>
  <c r="BQ202" i="12" s="1"/>
  <c r="U202" i="12"/>
  <c r="DI202" i="12" s="1"/>
  <c r="K203" i="12"/>
  <c r="V202" i="12"/>
  <c r="T202" i="12"/>
  <c r="CY202" i="12" s="1"/>
  <c r="S202" i="12"/>
  <c r="CO202" i="12" s="1"/>
  <c r="Q202" i="12"/>
  <c r="AY202" i="12" s="1"/>
  <c r="FD65" i="12" l="1"/>
  <c r="FG65" i="12" s="1"/>
  <c r="BH64" i="13"/>
  <c r="BK64" i="13"/>
  <c r="BF64" i="13"/>
  <c r="BG64" i="13"/>
  <c r="BI64" i="13"/>
  <c r="ET64" i="13"/>
  <c r="EW64" i="13" s="1"/>
  <c r="EZ64" i="13" s="1"/>
  <c r="EU64" i="13"/>
  <c r="EX64" i="13" s="1"/>
  <c r="FA64" i="13" s="1"/>
  <c r="CL65" i="12"/>
  <c r="BB66" i="12" s="1"/>
  <c r="CM65" i="12"/>
  <c r="DF65" i="12"/>
  <c r="DD65" i="12"/>
  <c r="DE65" i="12"/>
  <c r="DT65" i="12"/>
  <c r="DX65" i="12" s="1"/>
  <c r="EB65" i="12" s="1"/>
  <c r="N203" i="13"/>
  <c r="AM203" i="13" s="1"/>
  <c r="BT203" i="13" s="1"/>
  <c r="AO203" i="13"/>
  <c r="AR203" i="13" s="1"/>
  <c r="AZ203" i="13" s="1"/>
  <c r="AC202" i="13"/>
  <c r="DJ202" i="13" s="1"/>
  <c r="AB202" i="13"/>
  <c r="CZ202" i="13" s="1"/>
  <c r="AD202" i="13"/>
  <c r="BR202" i="13" s="1"/>
  <c r="ED201" i="12"/>
  <c r="AA202" i="12"/>
  <c r="CP202" i="12" s="1"/>
  <c r="AB202" i="12"/>
  <c r="CZ202" i="12" s="1"/>
  <c r="AC202" i="12"/>
  <c r="DJ202" i="12" s="1"/>
  <c r="AD202" i="12"/>
  <c r="BR202" i="12" s="1"/>
  <c r="AQ203" i="12"/>
  <c r="BU203" i="12" s="1"/>
  <c r="AS202" i="12"/>
  <c r="DV202" i="12" s="1"/>
  <c r="AO203" i="12"/>
  <c r="AJ202" i="12"/>
  <c r="DA202" i="12" s="1"/>
  <c r="AI202" i="12"/>
  <c r="CQ202" i="12" s="1"/>
  <c r="AK202" i="12"/>
  <c r="DK202" i="12" s="1"/>
  <c r="AL202" i="12"/>
  <c r="BS202" i="12" s="1"/>
  <c r="N203" i="12"/>
  <c r="Z203" i="12" s="1"/>
  <c r="BE66" i="12" l="1"/>
  <c r="BO64" i="13"/>
  <c r="DL64" i="13" s="1"/>
  <c r="BL64" i="13"/>
  <c r="BW64" i="13" s="1"/>
  <c r="BN64" i="13"/>
  <c r="DB64" i="13" s="1"/>
  <c r="DC64" i="13" s="1"/>
  <c r="DG64" i="13" s="1"/>
  <c r="BM64" i="13"/>
  <c r="CR64" i="13" s="1"/>
  <c r="Y203" i="13"/>
  <c r="AC203" i="13" s="1"/>
  <c r="DJ203" i="13" s="1"/>
  <c r="W203" i="13"/>
  <c r="AA203" i="13" s="1"/>
  <c r="CP203" i="13" s="1"/>
  <c r="AH203" i="13"/>
  <c r="AL203" i="13" s="1"/>
  <c r="BS203" i="13" s="1"/>
  <c r="AF203" i="13"/>
  <c r="AJ203" i="13" s="1"/>
  <c r="DA203" i="13" s="1"/>
  <c r="AE203" i="13"/>
  <c r="AI203" i="13" s="1"/>
  <c r="CQ203" i="13" s="1"/>
  <c r="CG203" i="13"/>
  <c r="AP203" i="13"/>
  <c r="AS203" i="13" s="1"/>
  <c r="DV203" i="13" s="1"/>
  <c r="DZ203" i="13" s="1"/>
  <c r="ED203" i="13" s="1"/>
  <c r="K204" i="13"/>
  <c r="L204" i="13"/>
  <c r="AN204" i="13" s="1"/>
  <c r="AQ204" i="13" s="1"/>
  <c r="BU204" i="13" s="1"/>
  <c r="M204" i="13"/>
  <c r="Q203" i="13"/>
  <c r="AY203" i="13" s="1"/>
  <c r="S203" i="13"/>
  <c r="CO203" i="13" s="1"/>
  <c r="V203" i="13"/>
  <c r="X203" i="13"/>
  <c r="AB203" i="13" s="1"/>
  <c r="CZ203" i="13" s="1"/>
  <c r="Z203" i="13"/>
  <c r="AD203" i="13" s="1"/>
  <c r="BR203" i="13" s="1"/>
  <c r="CJ203" i="13"/>
  <c r="AG203" i="13"/>
  <c r="AK203" i="13" s="1"/>
  <c r="DK203" i="13" s="1"/>
  <c r="U203" i="13"/>
  <c r="DI203" i="13" s="1"/>
  <c r="R203" i="13"/>
  <c r="BQ203" i="13" s="1"/>
  <c r="T203" i="13"/>
  <c r="CY203" i="13" s="1"/>
  <c r="DZ202" i="12"/>
  <c r="CJ203" i="12"/>
  <c r="CG203" i="12"/>
  <c r="W203" i="12"/>
  <c r="Y203" i="12"/>
  <c r="X203" i="12"/>
  <c r="AM203" i="12"/>
  <c r="BT203" i="12" s="1"/>
  <c r="AR203" i="12"/>
  <c r="AZ203" i="12" s="1"/>
  <c r="M204" i="12"/>
  <c r="L204" i="12"/>
  <c r="AN204" i="12" s="1"/>
  <c r="AP203" i="12"/>
  <c r="AG203" i="12"/>
  <c r="AH203" i="12"/>
  <c r="AE203" i="12"/>
  <c r="AF203" i="12"/>
  <c r="R203" i="12"/>
  <c r="BQ203" i="12" s="1"/>
  <c r="U203" i="12"/>
  <c r="DI203" i="12" s="1"/>
  <c r="T203" i="12"/>
  <c r="CY203" i="12" s="1"/>
  <c r="Q203" i="12"/>
  <c r="AY203" i="12" s="1"/>
  <c r="V203" i="12"/>
  <c r="S203" i="12"/>
  <c r="CO203" i="12" s="1"/>
  <c r="K204" i="12"/>
  <c r="DM64" i="13" l="1"/>
  <c r="DQ64" i="13" s="1"/>
  <c r="CS64" i="13"/>
  <c r="CW64" i="13" s="1"/>
  <c r="BX64" i="13"/>
  <c r="CE64" i="13" s="1"/>
  <c r="DF64" i="13"/>
  <c r="DT64" i="13"/>
  <c r="DX64" i="13" s="1"/>
  <c r="EB64" i="13" s="1"/>
  <c r="DD64" i="13"/>
  <c r="DE64" i="13"/>
  <c r="BC66" i="12"/>
  <c r="N204" i="13"/>
  <c r="AO204" i="13"/>
  <c r="AR204" i="13" s="1"/>
  <c r="AZ204" i="13" s="1"/>
  <c r="ED202" i="12"/>
  <c r="AA203" i="12"/>
  <c r="CP203" i="12" s="1"/>
  <c r="AB203" i="12"/>
  <c r="CZ203" i="12" s="1"/>
  <c r="AC203" i="12"/>
  <c r="DJ203" i="12" s="1"/>
  <c r="AD203" i="12"/>
  <c r="BR203" i="12" s="1"/>
  <c r="AQ204" i="12"/>
  <c r="BU204" i="12" s="1"/>
  <c r="AS203" i="12"/>
  <c r="DV203" i="12" s="1"/>
  <c r="AO204" i="12"/>
  <c r="AK203" i="12"/>
  <c r="DK203" i="12" s="1"/>
  <c r="AI203" i="12"/>
  <c r="CQ203" i="12" s="1"/>
  <c r="AJ203" i="12"/>
  <c r="DA203" i="12" s="1"/>
  <c r="AL203" i="12"/>
  <c r="BS203" i="12" s="1"/>
  <c r="N204" i="12"/>
  <c r="DN64" i="13" l="1"/>
  <c r="DO64" i="13"/>
  <c r="DP64" i="13"/>
  <c r="DU64" i="13"/>
  <c r="DY64" i="13" s="1"/>
  <c r="EC64" i="13" s="1"/>
  <c r="FD64" i="13" s="1"/>
  <c r="FG64" i="13" s="1"/>
  <c r="CV64" i="13"/>
  <c r="CU64" i="13"/>
  <c r="DS64" i="13"/>
  <c r="DW64" i="13" s="1"/>
  <c r="EA64" i="13" s="1"/>
  <c r="CT64" i="13"/>
  <c r="CI64" i="13"/>
  <c r="CK64" i="13" s="1"/>
  <c r="BZ64" i="13"/>
  <c r="BY64" i="13"/>
  <c r="CA64" i="13"/>
  <c r="CC64" i="13"/>
  <c r="CB64" i="13"/>
  <c r="CH64" i="13"/>
  <c r="CD64" i="13"/>
  <c r="BH66" i="12"/>
  <c r="BG66" i="12"/>
  <c r="BK66" i="12"/>
  <c r="BF66" i="12"/>
  <c r="BI66" i="12"/>
  <c r="AM204" i="13"/>
  <c r="BT204" i="13" s="1"/>
  <c r="Z204" i="12"/>
  <c r="W204" i="13"/>
  <c r="AA204" i="13" s="1"/>
  <c r="CP204" i="13" s="1"/>
  <c r="Y204" i="13"/>
  <c r="AC204" i="13" s="1"/>
  <c r="DJ204" i="13" s="1"/>
  <c r="AH204" i="13"/>
  <c r="AL204" i="13" s="1"/>
  <c r="BS204" i="13" s="1"/>
  <c r="AF204" i="13"/>
  <c r="AJ204" i="13" s="1"/>
  <c r="DA204" i="13" s="1"/>
  <c r="K205" i="13"/>
  <c r="L205" i="13"/>
  <c r="AN205" i="13" s="1"/>
  <c r="AQ205" i="13" s="1"/>
  <c r="BU205" i="13" s="1"/>
  <c r="CG204" i="13"/>
  <c r="AP204" i="13"/>
  <c r="AS204" i="13" s="1"/>
  <c r="DV204" i="13" s="1"/>
  <c r="DZ204" i="13" s="1"/>
  <c r="ED204" i="13" s="1"/>
  <c r="M205" i="13"/>
  <c r="Q204" i="13"/>
  <c r="AY204" i="13" s="1"/>
  <c r="S204" i="13"/>
  <c r="CO204" i="13" s="1"/>
  <c r="V204" i="13"/>
  <c r="X204" i="13"/>
  <c r="AB204" i="13" s="1"/>
  <c r="CZ204" i="13" s="1"/>
  <c r="Z204" i="13"/>
  <c r="AD204" i="13" s="1"/>
  <c r="BR204" i="13" s="1"/>
  <c r="CJ204" i="13"/>
  <c r="AE204" i="13"/>
  <c r="AI204" i="13" s="1"/>
  <c r="CQ204" i="13" s="1"/>
  <c r="T204" i="13"/>
  <c r="CY204" i="13" s="1"/>
  <c r="AG204" i="13"/>
  <c r="AK204" i="13" s="1"/>
  <c r="DK204" i="13" s="1"/>
  <c r="R204" i="13"/>
  <c r="BQ204" i="13" s="1"/>
  <c r="U204" i="13"/>
  <c r="DI204" i="13" s="1"/>
  <c r="DZ203" i="12"/>
  <c r="CJ204" i="12"/>
  <c r="CG204" i="12"/>
  <c r="W204" i="12"/>
  <c r="Y204" i="12"/>
  <c r="X204" i="12"/>
  <c r="AR204" i="12"/>
  <c r="AZ204" i="12" s="1"/>
  <c r="AM204" i="12"/>
  <c r="BT204" i="12" s="1"/>
  <c r="M205" i="12"/>
  <c r="L205" i="12"/>
  <c r="AN205" i="12" s="1"/>
  <c r="AP204" i="12"/>
  <c r="AF204" i="12"/>
  <c r="AE204" i="12"/>
  <c r="AG204" i="12"/>
  <c r="AH204" i="12"/>
  <c r="U204" i="12"/>
  <c r="DI204" i="12" s="1"/>
  <c r="Q204" i="12"/>
  <c r="AY204" i="12" s="1"/>
  <c r="V204" i="12"/>
  <c r="T204" i="12"/>
  <c r="CY204" i="12" s="1"/>
  <c r="R204" i="12"/>
  <c r="BQ204" i="12" s="1"/>
  <c r="K205" i="12"/>
  <c r="S204" i="12"/>
  <c r="CO204" i="12" s="1"/>
  <c r="CL64" i="13" l="1"/>
  <c r="BB65" i="13" s="1"/>
  <c r="CM64" i="13"/>
  <c r="BN66" i="12"/>
  <c r="DB66" i="12" s="1"/>
  <c r="DC66" i="12" s="1"/>
  <c r="BO66" i="12"/>
  <c r="DL66" i="12" s="1"/>
  <c r="DM66" i="12" s="1"/>
  <c r="BL66" i="12"/>
  <c r="BW66" i="12" s="1"/>
  <c r="BX66" i="12" s="1"/>
  <c r="BM66" i="12"/>
  <c r="CR66" i="12" s="1"/>
  <c r="CS66" i="12" s="1"/>
  <c r="N205" i="13"/>
  <c r="AO205" i="13"/>
  <c r="AR205" i="13" s="1"/>
  <c r="AZ205" i="13" s="1"/>
  <c r="ED203" i="12"/>
  <c r="AA204" i="12"/>
  <c r="CP204" i="12" s="1"/>
  <c r="AC204" i="12"/>
  <c r="DJ204" i="12" s="1"/>
  <c r="AB204" i="12"/>
  <c r="CZ204" i="12" s="1"/>
  <c r="AD204" i="12"/>
  <c r="BR204" i="12" s="1"/>
  <c r="AQ205" i="12"/>
  <c r="BU205" i="12" s="1"/>
  <c r="AS204" i="12"/>
  <c r="DV204" i="12" s="1"/>
  <c r="AO205" i="12"/>
  <c r="AJ204" i="12"/>
  <c r="DA204" i="12" s="1"/>
  <c r="AI204" i="12"/>
  <c r="CQ204" i="12" s="1"/>
  <c r="AK204" i="12"/>
  <c r="DK204" i="12" s="1"/>
  <c r="AL204" i="12"/>
  <c r="BS204" i="12" s="1"/>
  <c r="N205" i="12"/>
  <c r="Z205" i="12" s="1"/>
  <c r="BD65" i="13" l="1"/>
  <c r="EQ65" i="13" s="1"/>
  <c r="ES65" i="13" s="1"/>
  <c r="BE65" i="13"/>
  <c r="DT66" i="12"/>
  <c r="DX66" i="12" s="1"/>
  <c r="EB66" i="12" s="1"/>
  <c r="DF66" i="12"/>
  <c r="DE66" i="12"/>
  <c r="DD66" i="12"/>
  <c r="DG66" i="12"/>
  <c r="DU66" i="12"/>
  <c r="DY66" i="12" s="1"/>
  <c r="EC66" i="12" s="1"/>
  <c r="G57" i="11" s="1"/>
  <c r="DP66" i="12"/>
  <c r="DO66" i="12"/>
  <c r="DN66" i="12"/>
  <c r="DQ66" i="12"/>
  <c r="CC66" i="12"/>
  <c r="CA66" i="12"/>
  <c r="CD66" i="12"/>
  <c r="CI66" i="12"/>
  <c r="CK66" i="12" s="1"/>
  <c r="BY66" i="12"/>
  <c r="CH66" i="12"/>
  <c r="BZ66" i="12"/>
  <c r="CB66" i="12"/>
  <c r="CE66" i="12"/>
  <c r="CT66" i="12"/>
  <c r="CU66" i="12"/>
  <c r="DS66" i="12"/>
  <c r="DW66" i="12" s="1"/>
  <c r="EA66" i="12" s="1"/>
  <c r="CV66" i="12"/>
  <c r="CW66" i="12"/>
  <c r="AM205" i="13"/>
  <c r="BT205" i="13" s="1"/>
  <c r="AF205" i="13"/>
  <c r="CG205" i="13"/>
  <c r="K206" i="13"/>
  <c r="AP205" i="13"/>
  <c r="AS205" i="13" s="1"/>
  <c r="DV205" i="13" s="1"/>
  <c r="DZ205" i="13" s="1"/>
  <c r="ED205" i="13" s="1"/>
  <c r="L206" i="13"/>
  <c r="AN206" i="13" s="1"/>
  <c r="AQ206" i="13" s="1"/>
  <c r="BU206" i="13" s="1"/>
  <c r="M206" i="13"/>
  <c r="Q205" i="13"/>
  <c r="AY205" i="13" s="1"/>
  <c r="T205" i="13"/>
  <c r="CY205" i="13" s="1"/>
  <c r="V205" i="13"/>
  <c r="X205" i="13"/>
  <c r="AB205" i="13" s="1"/>
  <c r="CZ205" i="13" s="1"/>
  <c r="Z205" i="13"/>
  <c r="AD205" i="13" s="1"/>
  <c r="BR205" i="13" s="1"/>
  <c r="CJ205" i="13"/>
  <c r="AH205" i="13"/>
  <c r="AL205" i="13" s="1"/>
  <c r="BS205" i="13" s="1"/>
  <c r="AE205" i="13"/>
  <c r="AI205" i="13" s="1"/>
  <c r="CQ205" i="13" s="1"/>
  <c r="R205" i="13"/>
  <c r="BQ205" i="13" s="1"/>
  <c r="S205" i="13"/>
  <c r="CO205" i="13" s="1"/>
  <c r="U205" i="13"/>
  <c r="DI205" i="13" s="1"/>
  <c r="W205" i="13"/>
  <c r="AA205" i="13" s="1"/>
  <c r="CP205" i="13" s="1"/>
  <c r="Y205" i="13"/>
  <c r="AC205" i="13" s="1"/>
  <c r="DJ205" i="13" s="1"/>
  <c r="AG205" i="13"/>
  <c r="DZ204" i="12"/>
  <c r="CJ205" i="12"/>
  <c r="CG205" i="12"/>
  <c r="W205" i="12"/>
  <c r="Y205" i="12"/>
  <c r="X205" i="12"/>
  <c r="AR205" i="12"/>
  <c r="AZ205" i="12" s="1"/>
  <c r="AM205" i="12"/>
  <c r="BT205" i="12" s="1"/>
  <c r="M206" i="12"/>
  <c r="L206" i="12"/>
  <c r="AN206" i="12" s="1"/>
  <c r="AP205" i="12"/>
  <c r="AH205" i="12"/>
  <c r="AG205" i="12"/>
  <c r="AF205" i="12"/>
  <c r="AE205" i="12"/>
  <c r="U205" i="12"/>
  <c r="DI205" i="12" s="1"/>
  <c r="Q205" i="12"/>
  <c r="AY205" i="12" s="1"/>
  <c r="T205" i="12"/>
  <c r="CY205" i="12" s="1"/>
  <c r="K206" i="12"/>
  <c r="V205" i="12"/>
  <c r="S205" i="12"/>
  <c r="CO205" i="12" s="1"/>
  <c r="R205" i="12"/>
  <c r="BQ205" i="12" s="1"/>
  <c r="FD66" i="12" l="1"/>
  <c r="FG66" i="12" s="1"/>
  <c r="BC65" i="13"/>
  <c r="EV65" i="13"/>
  <c r="EY65" i="13" s="1"/>
  <c r="FB65" i="13" s="1"/>
  <c r="FF65" i="13" s="1"/>
  <c r="ET65" i="13"/>
  <c r="EW65" i="13" s="1"/>
  <c r="EZ65" i="13" s="1"/>
  <c r="EU65" i="13"/>
  <c r="EX65" i="13" s="1"/>
  <c r="FA65" i="13" s="1"/>
  <c r="CL66" i="12"/>
  <c r="BB67" i="12" s="1"/>
  <c r="CM66" i="12"/>
  <c r="N206" i="13"/>
  <c r="AJ205" i="13"/>
  <c r="DA205" i="13" s="1"/>
  <c r="AO206" i="13"/>
  <c r="AR206" i="13" s="1"/>
  <c r="AZ206" i="13" s="1"/>
  <c r="AK205" i="13"/>
  <c r="DK205" i="13" s="1"/>
  <c r="ED204" i="12"/>
  <c r="AB205" i="12"/>
  <c r="CZ205" i="12" s="1"/>
  <c r="AC205" i="12"/>
  <c r="DJ205" i="12" s="1"/>
  <c r="AD205" i="12"/>
  <c r="BR205" i="12" s="1"/>
  <c r="AA205" i="12"/>
  <c r="CP205" i="12" s="1"/>
  <c r="AQ206" i="12"/>
  <c r="BU206" i="12" s="1"/>
  <c r="AS205" i="12"/>
  <c r="DV205" i="12" s="1"/>
  <c r="AO206" i="12"/>
  <c r="AK205" i="12"/>
  <c r="DK205" i="12" s="1"/>
  <c r="AJ205" i="12"/>
  <c r="DA205" i="12" s="1"/>
  <c r="AI205" i="12"/>
  <c r="CQ205" i="12" s="1"/>
  <c r="AL205" i="12"/>
  <c r="BS205" i="12" s="1"/>
  <c r="N206" i="12"/>
  <c r="BE67" i="12" l="1"/>
  <c r="BK65" i="13"/>
  <c r="BI65" i="13"/>
  <c r="BF65" i="13"/>
  <c r="BG65" i="13"/>
  <c r="BH65" i="13"/>
  <c r="AM206" i="13"/>
  <c r="BT206" i="13" s="1"/>
  <c r="H206" i="11"/>
  <c r="H208" i="11"/>
  <c r="H207" i="11"/>
  <c r="Z206" i="12"/>
  <c r="AP206" i="13"/>
  <c r="AS206" i="13" s="1"/>
  <c r="DV206" i="13" s="1"/>
  <c r="DZ206" i="13" s="1"/>
  <c r="ED206" i="13" s="1"/>
  <c r="CG206" i="13"/>
  <c r="Q206" i="13"/>
  <c r="AY206" i="13" s="1"/>
  <c r="U206" i="13"/>
  <c r="DI206" i="13" s="1"/>
  <c r="Y206" i="13"/>
  <c r="AC206" i="13" s="1"/>
  <c r="DJ206" i="13" s="1"/>
  <c r="AF206" i="13"/>
  <c r="AJ206" i="13" s="1"/>
  <c r="DA206" i="13" s="1"/>
  <c r="S206" i="13"/>
  <c r="CO206" i="13" s="1"/>
  <c r="W206" i="13"/>
  <c r="AA206" i="13" s="1"/>
  <c r="CP206" i="13" s="1"/>
  <c r="AG206" i="13"/>
  <c r="AK206" i="13" s="1"/>
  <c r="DK206" i="13" s="1"/>
  <c r="R206" i="13"/>
  <c r="BQ206" i="13" s="1"/>
  <c r="T206" i="13"/>
  <c r="CY206" i="13" s="1"/>
  <c r="V206" i="13"/>
  <c r="Z206" i="13"/>
  <c r="AD206" i="13" s="1"/>
  <c r="BR206" i="13" s="1"/>
  <c r="AE206" i="13"/>
  <c r="AI206" i="13" s="1"/>
  <c r="CQ206" i="13" s="1"/>
  <c r="X206" i="13"/>
  <c r="AB206" i="13" s="1"/>
  <c r="CZ206" i="13" s="1"/>
  <c r="CJ206" i="13"/>
  <c r="AH206" i="13"/>
  <c r="AL206" i="13" s="1"/>
  <c r="BS206" i="13" s="1"/>
  <c r="DZ205" i="12"/>
  <c r="CJ206" i="12"/>
  <c r="CG206" i="12"/>
  <c r="Y206" i="12"/>
  <c r="X206" i="12"/>
  <c r="W206" i="12"/>
  <c r="AM206" i="12"/>
  <c r="BT206" i="12" s="1"/>
  <c r="AR206" i="12"/>
  <c r="AZ206" i="12" s="1"/>
  <c r="AP206" i="12"/>
  <c r="AE206" i="12"/>
  <c r="AF206" i="12"/>
  <c r="AG206" i="12"/>
  <c r="AH206" i="12"/>
  <c r="R206" i="12"/>
  <c r="BQ206" i="12" s="1"/>
  <c r="V206" i="12"/>
  <c r="S206" i="12"/>
  <c r="CO206" i="12" s="1"/>
  <c r="U206" i="12"/>
  <c r="DI206" i="12" s="1"/>
  <c r="T206" i="12"/>
  <c r="CY206" i="12" s="1"/>
  <c r="Q206" i="12"/>
  <c r="AY206" i="12" s="1"/>
  <c r="BN65" i="13" l="1"/>
  <c r="DB65" i="13" s="1"/>
  <c r="DC65" i="13" s="1"/>
  <c r="BO65" i="13"/>
  <c r="DL65" i="13" s="1"/>
  <c r="DM65" i="13" s="1"/>
  <c r="BL65" i="13"/>
  <c r="BW65" i="13" s="1"/>
  <c r="BX65" i="13" s="1"/>
  <c r="BM65" i="13"/>
  <c r="CR65" i="13" s="1"/>
  <c r="CS65" i="13" s="1"/>
  <c r="BC67" i="12"/>
  <c r="ED205" i="12"/>
  <c r="AA206" i="12"/>
  <c r="CP206" i="12" s="1"/>
  <c r="AB206" i="12"/>
  <c r="CZ206" i="12" s="1"/>
  <c r="AC206" i="12"/>
  <c r="DJ206" i="12" s="1"/>
  <c r="AD206" i="12"/>
  <c r="BR206" i="12" s="1"/>
  <c r="AS206" i="12"/>
  <c r="DV206" i="12" s="1"/>
  <c r="AI206" i="12"/>
  <c r="CQ206" i="12" s="1"/>
  <c r="AJ206" i="12"/>
  <c r="DA206" i="12" s="1"/>
  <c r="AK206" i="12"/>
  <c r="DK206" i="12" s="1"/>
  <c r="AL206" i="12"/>
  <c r="BS206" i="12" s="1"/>
  <c r="DE65" i="13" l="1"/>
  <c r="DD65" i="13"/>
  <c r="DF65" i="13"/>
  <c r="DG65" i="13"/>
  <c r="DT65" i="13"/>
  <c r="DX65" i="13" s="1"/>
  <c r="EB65" i="13" s="1"/>
  <c r="DQ65" i="13"/>
  <c r="DP65" i="13"/>
  <c r="DU65" i="13"/>
  <c r="DY65" i="13" s="1"/>
  <c r="EC65" i="13" s="1"/>
  <c r="FD65" i="13" s="1"/>
  <c r="FG65" i="13" s="1"/>
  <c r="DN65" i="13"/>
  <c r="DO65" i="13"/>
  <c r="CE65" i="13"/>
  <c r="CI65" i="13"/>
  <c r="CK65" i="13" s="1"/>
  <c r="CD65" i="13"/>
  <c r="CC65" i="13"/>
  <c r="BZ65" i="13"/>
  <c r="CA65" i="13"/>
  <c r="BY65" i="13"/>
  <c r="CB65" i="13"/>
  <c r="CH65" i="13"/>
  <c r="CW65" i="13"/>
  <c r="CV65" i="13"/>
  <c r="CU65" i="13"/>
  <c r="DS65" i="13"/>
  <c r="DW65" i="13" s="1"/>
  <c r="EA65" i="13" s="1"/>
  <c r="CT65" i="13"/>
  <c r="BG67" i="12"/>
  <c r="BH67" i="12"/>
  <c r="BI67" i="12"/>
  <c r="BK67" i="12"/>
  <c r="BF67" i="12"/>
  <c r="DZ206" i="12"/>
  <c r="CL65" i="13" l="1"/>
  <c r="BB66" i="13" s="1"/>
  <c r="CM65" i="13"/>
  <c r="BN67" i="12"/>
  <c r="DB67" i="12" s="1"/>
  <c r="BM67" i="12"/>
  <c r="CR67" i="12" s="1"/>
  <c r="CS67" i="12" s="1"/>
  <c r="BO67" i="12"/>
  <c r="DL67" i="12" s="1"/>
  <c r="BL67" i="12"/>
  <c r="BW67" i="12" s="1"/>
  <c r="ED206" i="12"/>
  <c r="BD66" i="13" l="1"/>
  <c r="BE66" i="13"/>
  <c r="CT67" i="12"/>
  <c r="CW67" i="12"/>
  <c r="CU67" i="12"/>
  <c r="DS67" i="12"/>
  <c r="DW67" i="12" s="1"/>
  <c r="EA67" i="12" s="1"/>
  <c r="CV67" i="12"/>
  <c r="DC67" i="12"/>
  <c r="DG67" i="12" s="1"/>
  <c r="DM67" i="12"/>
  <c r="DQ67" i="12" s="1"/>
  <c r="BX67" i="12"/>
  <c r="CE67" i="12" s="1"/>
  <c r="EQ66" i="13" l="1"/>
  <c r="ES66" i="13" s="1"/>
  <c r="BC66" i="13"/>
  <c r="DT67" i="12"/>
  <c r="DX67" i="12" s="1"/>
  <c r="EB67" i="12" s="1"/>
  <c r="DE67" i="12"/>
  <c r="DD67" i="12"/>
  <c r="DF67" i="12"/>
  <c r="DN67" i="12"/>
  <c r="DO67" i="12"/>
  <c r="DU67" i="12"/>
  <c r="DY67" i="12" s="1"/>
  <c r="EC67" i="12" s="1"/>
  <c r="G58" i="11" s="1"/>
  <c r="DP67" i="12"/>
  <c r="CA67" i="12"/>
  <c r="BZ67" i="12"/>
  <c r="CH67" i="12"/>
  <c r="BY67" i="12"/>
  <c r="CC67" i="12"/>
  <c r="CB67" i="12"/>
  <c r="CI67" i="12"/>
  <c r="CK67" i="12" s="1"/>
  <c r="CD67" i="12"/>
  <c r="FD67" i="12" l="1"/>
  <c r="FG67" i="12" s="1"/>
  <c r="BF66" i="13"/>
  <c r="BK66" i="13"/>
  <c r="BG66" i="13"/>
  <c r="BH66" i="13"/>
  <c r="BI66" i="13"/>
  <c r="EU66" i="13"/>
  <c r="EX66" i="13" s="1"/>
  <c r="FA66" i="13" s="1"/>
  <c r="ET66" i="13"/>
  <c r="EW66" i="13" s="1"/>
  <c r="EZ66" i="13" s="1"/>
  <c r="EV66" i="13"/>
  <c r="EY66" i="13" s="1"/>
  <c r="FB66" i="13" s="1"/>
  <c r="FF66" i="13" s="1"/>
  <c r="CM67" i="12"/>
  <c r="CL67" i="12"/>
  <c r="BB68" i="12" s="1"/>
  <c r="BE68" i="12" l="1"/>
  <c r="BM66" i="13"/>
  <c r="CR66" i="13" s="1"/>
  <c r="CS66" i="13" s="1"/>
  <c r="CW66" i="13" s="1"/>
  <c r="BO66" i="13"/>
  <c r="DL66" i="13" s="1"/>
  <c r="DM66" i="13" s="1"/>
  <c r="DQ66" i="13" s="1"/>
  <c r="BN66" i="13"/>
  <c r="DB66" i="13" s="1"/>
  <c r="DC66" i="13" s="1"/>
  <c r="DG66" i="13" s="1"/>
  <c r="BL66" i="13"/>
  <c r="BW66" i="13" s="1"/>
  <c r="BX66" i="13" s="1"/>
  <c r="CE66" i="13" s="1"/>
  <c r="CV66" i="13" l="1"/>
  <c r="DS66" i="13"/>
  <c r="DW66" i="13" s="1"/>
  <c r="EA66" i="13" s="1"/>
  <c r="CT66" i="13"/>
  <c r="CU66" i="13"/>
  <c r="DP66" i="13"/>
  <c r="DU66" i="13"/>
  <c r="DY66" i="13" s="1"/>
  <c r="EC66" i="13" s="1"/>
  <c r="FD66" i="13" s="1"/>
  <c r="FG66" i="13" s="1"/>
  <c r="DN66" i="13"/>
  <c r="DO66" i="13"/>
  <c r="DT66" i="13"/>
  <c r="DX66" i="13" s="1"/>
  <c r="EB66" i="13" s="1"/>
  <c r="DF66" i="13"/>
  <c r="DD66" i="13"/>
  <c r="DE66" i="13"/>
  <c r="CI66" i="13"/>
  <c r="CK66" i="13" s="1"/>
  <c r="CA66" i="13"/>
  <c r="CD66" i="13"/>
  <c r="BY66" i="13"/>
  <c r="CC66" i="13"/>
  <c r="BZ66" i="13"/>
  <c r="CH66" i="13"/>
  <c r="CB66" i="13"/>
  <c r="BC68" i="12"/>
  <c r="BH68" i="12" s="1"/>
  <c r="CL66" i="13" l="1"/>
  <c r="BB67" i="13" s="1"/>
  <c r="CM66" i="13"/>
  <c r="BF68" i="12"/>
  <c r="BG68" i="12"/>
  <c r="BK68" i="12"/>
  <c r="BI68" i="12"/>
  <c r="BE67" i="13" l="1"/>
  <c r="BD67" i="13"/>
  <c r="EQ67" i="13" s="1"/>
  <c r="ES67" i="13" s="1"/>
  <c r="BN68" i="12"/>
  <c r="DB68" i="12" s="1"/>
  <c r="BO68" i="12"/>
  <c r="DL68" i="12" s="1"/>
  <c r="BM68" i="12"/>
  <c r="CR68" i="12" s="1"/>
  <c r="BL68" i="12"/>
  <c r="BW68" i="12" s="1"/>
  <c r="BC67" i="13" l="1"/>
  <c r="EV67" i="13"/>
  <c r="EY67" i="13" s="1"/>
  <c r="FB67" i="13" s="1"/>
  <c r="FF67" i="13" s="1"/>
  <c r="EU67" i="13"/>
  <c r="EX67" i="13" s="1"/>
  <c r="FA67" i="13" s="1"/>
  <c r="ET67" i="13"/>
  <c r="EW67" i="13" s="1"/>
  <c r="EZ67" i="13" s="1"/>
  <c r="DC68" i="12"/>
  <c r="DG68" i="12" s="1"/>
  <c r="DM68" i="12"/>
  <c r="DQ68" i="12" s="1"/>
  <c r="CS68" i="12"/>
  <c r="CW68" i="12" s="1"/>
  <c r="BX68" i="12"/>
  <c r="CE68" i="12" s="1"/>
  <c r="BI67" i="13" l="1"/>
  <c r="BG67" i="13"/>
  <c r="BK67" i="13"/>
  <c r="BH67" i="13"/>
  <c r="BF67" i="13"/>
  <c r="DF68" i="12"/>
  <c r="DE68" i="12"/>
  <c r="DT68" i="12"/>
  <c r="DX68" i="12" s="1"/>
  <c r="EB68" i="12" s="1"/>
  <c r="DD68" i="12"/>
  <c r="DO68" i="12"/>
  <c r="DN68" i="12"/>
  <c r="DP68" i="12"/>
  <c r="DU68" i="12"/>
  <c r="DY68" i="12" s="1"/>
  <c r="EC68" i="12" s="1"/>
  <c r="G59" i="11" s="1"/>
  <c r="CU68" i="12"/>
  <c r="CT68" i="12"/>
  <c r="DS68" i="12"/>
  <c r="DW68" i="12" s="1"/>
  <c r="EA68" i="12" s="1"/>
  <c r="CV68" i="12"/>
  <c r="CD68" i="12"/>
  <c r="CB68" i="12"/>
  <c r="CA68" i="12"/>
  <c r="BY68" i="12"/>
  <c r="CI68" i="12"/>
  <c r="CK68" i="12" s="1"/>
  <c r="BZ68" i="12"/>
  <c r="CC68" i="12"/>
  <c r="CH68" i="12"/>
  <c r="FD68" i="12" l="1"/>
  <c r="FG68" i="12" s="1"/>
  <c r="BL67" i="13"/>
  <c r="BW67" i="13" s="1"/>
  <c r="BM67" i="13"/>
  <c r="CR67" i="13" s="1"/>
  <c r="CS67" i="13" s="1"/>
  <c r="CW67" i="13" s="1"/>
  <c r="BN67" i="13"/>
  <c r="DB67" i="13" s="1"/>
  <c r="DC67" i="13" s="1"/>
  <c r="DG67" i="13" s="1"/>
  <c r="BO67" i="13"/>
  <c r="DL67" i="13" s="1"/>
  <c r="DM67" i="13" s="1"/>
  <c r="DQ67" i="13" s="1"/>
  <c r="CL68" i="12"/>
  <c r="BB69" i="12" s="1"/>
  <c r="CM68" i="12"/>
  <c r="BE69" i="12" l="1"/>
  <c r="BX67" i="13"/>
  <c r="CE67" i="13" s="1"/>
  <c r="DE67" i="13"/>
  <c r="DD67" i="13"/>
  <c r="DF67" i="13"/>
  <c r="DT67" i="13"/>
  <c r="DX67" i="13" s="1"/>
  <c r="EB67" i="13" s="1"/>
  <c r="DP67" i="13"/>
  <c r="DU67" i="13"/>
  <c r="DY67" i="13" s="1"/>
  <c r="EC67" i="13" s="1"/>
  <c r="FD67" i="13" s="1"/>
  <c r="FG67" i="13" s="1"/>
  <c r="DO67" i="13"/>
  <c r="DN67" i="13"/>
  <c r="CV67" i="13"/>
  <c r="CU67" i="13"/>
  <c r="DS67" i="13"/>
  <c r="DW67" i="13" s="1"/>
  <c r="EA67" i="13" s="1"/>
  <c r="CT67" i="13"/>
  <c r="CI67" i="13" l="1"/>
  <c r="CK67" i="13" s="1"/>
  <c r="CD67" i="13"/>
  <c r="BY67" i="13"/>
  <c r="BZ67" i="13"/>
  <c r="CC67" i="13"/>
  <c r="CB67" i="13"/>
  <c r="CH67" i="13"/>
  <c r="CA67" i="13"/>
  <c r="BC69" i="12"/>
  <c r="CL67" i="13" l="1"/>
  <c r="BB68" i="13" s="1"/>
  <c r="CM67" i="13"/>
  <c r="BK69" i="12"/>
  <c r="BF69" i="12"/>
  <c r="BG69" i="12"/>
  <c r="BH69" i="12"/>
  <c r="BI69" i="12"/>
  <c r="BD68" i="13" l="1"/>
  <c r="EQ68" i="13" s="1"/>
  <c r="ES68" i="13" s="1"/>
  <c r="BE68" i="13"/>
  <c r="BN69" i="12"/>
  <c r="DB69" i="12" s="1"/>
  <c r="DC69" i="12" s="1"/>
  <c r="BM69" i="12"/>
  <c r="CR69" i="12" s="1"/>
  <c r="CS69" i="12" s="1"/>
  <c r="BO69" i="12"/>
  <c r="DL69" i="12" s="1"/>
  <c r="BL69" i="12"/>
  <c r="BW69" i="12" s="1"/>
  <c r="EV68" i="13" l="1"/>
  <c r="EY68" i="13" s="1"/>
  <c r="FB68" i="13" s="1"/>
  <c r="FF68" i="13" s="1"/>
  <c r="ET68" i="13"/>
  <c r="EW68" i="13" s="1"/>
  <c r="EZ68" i="13" s="1"/>
  <c r="EU68" i="13"/>
  <c r="EX68" i="13" s="1"/>
  <c r="FA68" i="13" s="1"/>
  <c r="BC68" i="13"/>
  <c r="DT69" i="12"/>
  <c r="DX69" i="12" s="1"/>
  <c r="EB69" i="12" s="1"/>
  <c r="DD69" i="12"/>
  <c r="DE69" i="12"/>
  <c r="DF69" i="12"/>
  <c r="DG69" i="12"/>
  <c r="DS69" i="12"/>
  <c r="DW69" i="12" s="1"/>
  <c r="EA69" i="12" s="1"/>
  <c r="CT69" i="12"/>
  <c r="CV69" i="12"/>
  <c r="CU69" i="12"/>
  <c r="CW69" i="12"/>
  <c r="DM69" i="12"/>
  <c r="DQ69" i="12" s="1"/>
  <c r="BX69" i="12"/>
  <c r="CE69" i="12" s="1"/>
  <c r="BI68" i="13" l="1"/>
  <c r="BK68" i="13"/>
  <c r="BH68" i="13"/>
  <c r="BF68" i="13"/>
  <c r="BG68" i="13"/>
  <c r="DP69" i="12"/>
  <c r="DN69" i="12"/>
  <c r="DU69" i="12"/>
  <c r="DY69" i="12" s="1"/>
  <c r="EC69" i="12" s="1"/>
  <c r="DO69" i="12"/>
  <c r="CA69" i="12"/>
  <c r="BY69" i="12"/>
  <c r="CH69" i="12"/>
  <c r="CI69" i="12"/>
  <c r="CK69" i="12" s="1"/>
  <c r="CB69" i="12"/>
  <c r="CD69" i="12"/>
  <c r="CC69" i="12"/>
  <c r="BZ69" i="12"/>
  <c r="FD69" i="12" l="1"/>
  <c r="FG69" i="12" s="1"/>
  <c r="BL68" i="13"/>
  <c r="BW68" i="13" s="1"/>
  <c r="BO68" i="13"/>
  <c r="DL68" i="13" s="1"/>
  <c r="DM68" i="13" s="1"/>
  <c r="BM68" i="13"/>
  <c r="CR68" i="13" s="1"/>
  <c r="CS68" i="13" s="1"/>
  <c r="BN68" i="13"/>
  <c r="DB68" i="13" s="1"/>
  <c r="DC68" i="13" s="1"/>
  <c r="CM69" i="12"/>
  <c r="CL69" i="12"/>
  <c r="BB70" i="12" s="1"/>
  <c r="BE70" i="12" l="1"/>
  <c r="BX68" i="13"/>
  <c r="CE68" i="13" s="1"/>
  <c r="DQ68" i="13"/>
  <c r="DP68" i="13"/>
  <c r="DU68" i="13"/>
  <c r="DY68" i="13" s="1"/>
  <c r="EC68" i="13" s="1"/>
  <c r="FD68" i="13" s="1"/>
  <c r="FG68" i="13" s="1"/>
  <c r="DN68" i="13"/>
  <c r="DO68" i="13"/>
  <c r="CW68" i="13"/>
  <c r="DS68" i="13"/>
  <c r="DW68" i="13" s="1"/>
  <c r="EA68" i="13" s="1"/>
  <c r="CT68" i="13"/>
  <c r="CV68" i="13"/>
  <c r="CU68" i="13"/>
  <c r="DG68" i="13"/>
  <c r="DT68" i="13"/>
  <c r="DX68" i="13" s="1"/>
  <c r="EB68" i="13" s="1"/>
  <c r="DF68" i="13"/>
  <c r="DE68" i="13"/>
  <c r="DD68" i="13"/>
  <c r="BZ68" i="13" l="1"/>
  <c r="CC68" i="13"/>
  <c r="BY68" i="13"/>
  <c r="CD68" i="13"/>
  <c r="CA68" i="13"/>
  <c r="CI68" i="13"/>
  <c r="CK68" i="13" s="1"/>
  <c r="CB68" i="13"/>
  <c r="CH68" i="13"/>
  <c r="BC70" i="12"/>
  <c r="CM68" i="13" l="1"/>
  <c r="CL68" i="13"/>
  <c r="BB69" i="13" s="1"/>
  <c r="BF70" i="12"/>
  <c r="BK70" i="12"/>
  <c r="BG70" i="12"/>
  <c r="BH70" i="12"/>
  <c r="BI70" i="12"/>
  <c r="BD69" i="13" l="1"/>
  <c r="EQ69" i="13" s="1"/>
  <c r="ES69" i="13" s="1"/>
  <c r="BE69" i="13"/>
  <c r="BL70" i="12"/>
  <c r="BW70" i="12" s="1"/>
  <c r="BX70" i="12" s="1"/>
  <c r="BN70" i="12"/>
  <c r="DB70" i="12" s="1"/>
  <c r="DC70" i="12" s="1"/>
  <c r="BO70" i="12"/>
  <c r="DL70" i="12" s="1"/>
  <c r="BM70" i="12"/>
  <c r="CR70" i="12" s="1"/>
  <c r="CS70" i="12" s="1"/>
  <c r="EV69" i="13" l="1"/>
  <c r="EY69" i="13" s="1"/>
  <c r="FB69" i="13" s="1"/>
  <c r="FF69" i="13" s="1"/>
  <c r="EU69" i="13"/>
  <c r="EX69" i="13" s="1"/>
  <c r="FA69" i="13" s="1"/>
  <c r="ET69" i="13"/>
  <c r="EW69" i="13" s="1"/>
  <c r="EZ69" i="13" s="1"/>
  <c r="BC69" i="13"/>
  <c r="CB70" i="12"/>
  <c r="CH70" i="12"/>
  <c r="CI70" i="12"/>
  <c r="CK70" i="12" s="1"/>
  <c r="BY70" i="12"/>
  <c r="CA70" i="12"/>
  <c r="BZ70" i="12"/>
  <c r="CD70" i="12"/>
  <c r="CC70" i="12"/>
  <c r="CE70" i="12"/>
  <c r="DT70" i="12"/>
  <c r="DX70" i="12" s="1"/>
  <c r="EB70" i="12" s="1"/>
  <c r="DD70" i="12"/>
  <c r="DE70" i="12"/>
  <c r="DF70" i="12"/>
  <c r="DG70" i="12"/>
  <c r="DM70" i="12"/>
  <c r="DQ70" i="12" s="1"/>
  <c r="CV70" i="12"/>
  <c r="CT70" i="12"/>
  <c r="DS70" i="12"/>
  <c r="DW70" i="12" s="1"/>
  <c r="EA70" i="12" s="1"/>
  <c r="CU70" i="12"/>
  <c r="CW70" i="12"/>
  <c r="BH69" i="13" l="1"/>
  <c r="BK69" i="13"/>
  <c r="BF69" i="13"/>
  <c r="BG69" i="13"/>
  <c r="BI69" i="13"/>
  <c r="CL70" i="12"/>
  <c r="BB71" i="12" s="1"/>
  <c r="CM70" i="12"/>
  <c r="DN70" i="12"/>
  <c r="DU70" i="12"/>
  <c r="DY70" i="12" s="1"/>
  <c r="EC70" i="12" s="1"/>
  <c r="G60" i="11" s="1"/>
  <c r="DP70" i="12"/>
  <c r="DO70" i="12"/>
  <c r="FD70" i="12" l="1"/>
  <c r="FG70" i="12" s="1"/>
  <c r="BE71" i="12"/>
  <c r="BL69" i="13"/>
  <c r="BW69" i="13" s="1"/>
  <c r="BM69" i="13"/>
  <c r="CR69" i="13" s="1"/>
  <c r="CS69" i="13" s="1"/>
  <c r="BO69" i="13"/>
  <c r="DL69" i="13" s="1"/>
  <c r="DM69" i="13" s="1"/>
  <c r="BN69" i="13"/>
  <c r="DB69" i="13" s="1"/>
  <c r="DC69" i="13" s="1"/>
  <c r="BX69" i="13" l="1"/>
  <c r="CE69" i="13" s="1"/>
  <c r="CU69" i="13"/>
  <c r="DS69" i="13"/>
  <c r="DW69" i="13" s="1"/>
  <c r="EA69" i="13" s="1"/>
  <c r="CT69" i="13"/>
  <c r="CV69" i="13"/>
  <c r="CW69" i="13"/>
  <c r="DO69" i="13"/>
  <c r="DU69" i="13"/>
  <c r="DY69" i="13" s="1"/>
  <c r="EC69" i="13" s="1"/>
  <c r="FD69" i="13" s="1"/>
  <c r="FG69" i="13" s="1"/>
  <c r="DP69" i="13"/>
  <c r="DN69" i="13"/>
  <c r="DQ69" i="13"/>
  <c r="DT69" i="13"/>
  <c r="DX69" i="13" s="1"/>
  <c r="EB69" i="13" s="1"/>
  <c r="DF69" i="13"/>
  <c r="DE69" i="13"/>
  <c r="DD69" i="13"/>
  <c r="DG69" i="13"/>
  <c r="BC71" i="12"/>
  <c r="CC69" i="13" l="1"/>
  <c r="BY69" i="13"/>
  <c r="CA69" i="13"/>
  <c r="CH69" i="13"/>
  <c r="CI69" i="13"/>
  <c r="CK69" i="13" s="1"/>
  <c r="BZ69" i="13"/>
  <c r="CB69" i="13"/>
  <c r="CD69" i="13"/>
  <c r="BI71" i="12"/>
  <c r="BH71" i="12"/>
  <c r="BK71" i="12"/>
  <c r="BL71" i="12" s="1"/>
  <c r="BW71" i="12" s="1"/>
  <c r="BX71" i="12" s="1"/>
  <c r="BG71" i="12"/>
  <c r="BF71" i="12"/>
  <c r="CM69" i="13" l="1"/>
  <c r="CL69" i="13"/>
  <c r="BB70" i="13" s="1"/>
  <c r="BM71" i="12"/>
  <c r="CR71" i="12" s="1"/>
  <c r="CS71" i="12" s="1"/>
  <c r="CW71" i="12" s="1"/>
  <c r="BO71" i="12"/>
  <c r="DL71" i="12" s="1"/>
  <c r="BN71" i="12"/>
  <c r="DB71" i="12" s="1"/>
  <c r="CC71" i="12"/>
  <c r="CD71" i="12"/>
  <c r="CH71" i="12"/>
  <c r="BZ71" i="12"/>
  <c r="CA71" i="12"/>
  <c r="CB71" i="12"/>
  <c r="CI71" i="12"/>
  <c r="CK71" i="12" s="1"/>
  <c r="BY71" i="12"/>
  <c r="CE71" i="12"/>
  <c r="BD70" i="13" l="1"/>
  <c r="EQ70" i="13" s="1"/>
  <c r="ES70" i="13" s="1"/>
  <c r="BE70" i="13"/>
  <c r="DM71" i="12"/>
  <c r="DQ71" i="12" s="1"/>
  <c r="DC71" i="12"/>
  <c r="DG71" i="12" s="1"/>
  <c r="CM71" i="12"/>
  <c r="CL71" i="12"/>
  <c r="BB72" i="12" s="1"/>
  <c r="CT71" i="12"/>
  <c r="CV71" i="12"/>
  <c r="DS71" i="12"/>
  <c r="DW71" i="12" s="1"/>
  <c r="EA71" i="12" s="1"/>
  <c r="CU71" i="12"/>
  <c r="BE72" i="12" l="1"/>
  <c r="BC70" i="13"/>
  <c r="ET70" i="13"/>
  <c r="EW70" i="13" s="1"/>
  <c r="EZ70" i="13" s="1"/>
  <c r="EU70" i="13"/>
  <c r="EX70" i="13" s="1"/>
  <c r="FA70" i="13" s="1"/>
  <c r="EV70" i="13"/>
  <c r="EY70" i="13" s="1"/>
  <c r="FB70" i="13" s="1"/>
  <c r="FF70" i="13" s="1"/>
  <c r="DU71" i="12"/>
  <c r="DY71" i="12" s="1"/>
  <c r="EC71" i="12" s="1"/>
  <c r="G61" i="11" s="1"/>
  <c r="DP71" i="12"/>
  <c r="DN71" i="12"/>
  <c r="DO71" i="12"/>
  <c r="DE71" i="12"/>
  <c r="DF71" i="12"/>
  <c r="DD71" i="12"/>
  <c r="DT71" i="12"/>
  <c r="DX71" i="12" s="1"/>
  <c r="EB71" i="12" s="1"/>
  <c r="FD71" i="12" l="1"/>
  <c r="FG71" i="12" s="1"/>
  <c r="BI70" i="13"/>
  <c r="BG70" i="13"/>
  <c r="BK70" i="13"/>
  <c r="BO70" i="13" s="1"/>
  <c r="DL70" i="13" s="1"/>
  <c r="BH70" i="13"/>
  <c r="BF70" i="13"/>
  <c r="BC72" i="12"/>
  <c r="BN70" i="13" l="1"/>
  <c r="DB70" i="13" s="1"/>
  <c r="DC70" i="13" s="1"/>
  <c r="DG70" i="13" s="1"/>
  <c r="BM70" i="13"/>
  <c r="CR70" i="13" s="1"/>
  <c r="CS70" i="13" s="1"/>
  <c r="CW70" i="13" s="1"/>
  <c r="BL70" i="13"/>
  <c r="BW70" i="13" s="1"/>
  <c r="BX70" i="13" s="1"/>
  <c r="CE70" i="13" s="1"/>
  <c r="DM70" i="13"/>
  <c r="DQ70" i="13" s="1"/>
  <c r="BK72" i="12"/>
  <c r="BF72" i="12"/>
  <c r="BH72" i="12"/>
  <c r="BG72" i="12"/>
  <c r="BI72" i="12"/>
  <c r="CV70" i="13" l="1"/>
  <c r="CT70" i="13"/>
  <c r="CU70" i="13"/>
  <c r="DS70" i="13"/>
  <c r="DW70" i="13" s="1"/>
  <c r="EA70" i="13" s="1"/>
  <c r="CH70" i="13"/>
  <c r="BY70" i="13"/>
  <c r="CA70" i="13"/>
  <c r="CI70" i="13"/>
  <c r="CK70" i="13" s="1"/>
  <c r="CD70" i="13"/>
  <c r="BZ70" i="13"/>
  <c r="CB70" i="13"/>
  <c r="CC70" i="13"/>
  <c r="DP70" i="13"/>
  <c r="DU70" i="13"/>
  <c r="DY70" i="13" s="1"/>
  <c r="EC70" i="13" s="1"/>
  <c r="FD70" i="13" s="1"/>
  <c r="FG70" i="13" s="1"/>
  <c r="DO70" i="13"/>
  <c r="DN70" i="13"/>
  <c r="DT70" i="13"/>
  <c r="DX70" i="13" s="1"/>
  <c r="EB70" i="13" s="1"/>
  <c r="DE70" i="13"/>
  <c r="DF70" i="13"/>
  <c r="DD70" i="13"/>
  <c r="BM72" i="12"/>
  <c r="CR72" i="12" s="1"/>
  <c r="CS72" i="12" s="1"/>
  <c r="BL72" i="12"/>
  <c r="BW72" i="12" s="1"/>
  <c r="BX72" i="12" s="1"/>
  <c r="BN72" i="12"/>
  <c r="DB72" i="12" s="1"/>
  <c r="DC72" i="12" s="1"/>
  <c r="BO72" i="12"/>
  <c r="DL72" i="12" s="1"/>
  <c r="DM72" i="12" s="1"/>
  <c r="CL70" i="13" l="1"/>
  <c r="BB71" i="13" s="1"/>
  <c r="CM70" i="13"/>
  <c r="DS72" i="12"/>
  <c r="DW72" i="12" s="1"/>
  <c r="EA72" i="12" s="1"/>
  <c r="CU72" i="12"/>
  <c r="CT72" i="12"/>
  <c r="CV72" i="12"/>
  <c r="CW72" i="12"/>
  <c r="CA72" i="12"/>
  <c r="BY72" i="12"/>
  <c r="BZ72" i="12"/>
  <c r="CC72" i="12"/>
  <c r="CI72" i="12"/>
  <c r="CK72" i="12" s="1"/>
  <c r="CB72" i="12"/>
  <c r="CD72" i="12"/>
  <c r="CH72" i="12"/>
  <c r="CE72" i="12"/>
  <c r="DT72" i="12"/>
  <c r="DX72" i="12" s="1"/>
  <c r="EB72" i="12" s="1"/>
  <c r="DD72" i="12"/>
  <c r="DE72" i="12"/>
  <c r="DF72" i="12"/>
  <c r="DG72" i="12"/>
  <c r="DO72" i="12"/>
  <c r="DN72" i="12"/>
  <c r="DU72" i="12"/>
  <c r="DY72" i="12" s="1"/>
  <c r="EC72" i="12" s="1"/>
  <c r="DP72" i="12"/>
  <c r="DQ72" i="12"/>
  <c r="FD72" i="12" l="1"/>
  <c r="FG72" i="12" s="1"/>
  <c r="BE71" i="13"/>
  <c r="BD71" i="13"/>
  <c r="EQ71" i="13" s="1"/>
  <c r="ES71" i="13" s="1"/>
  <c r="CM72" i="12"/>
  <c r="CL72" i="12"/>
  <c r="BB73" i="12" s="1"/>
  <c r="BE73" i="12" l="1"/>
  <c r="ET71" i="13"/>
  <c r="EW71" i="13" s="1"/>
  <c r="EZ71" i="13" s="1"/>
  <c r="EV71" i="13"/>
  <c r="EY71" i="13" s="1"/>
  <c r="FB71" i="13" s="1"/>
  <c r="FF71" i="13" s="1"/>
  <c r="EU71" i="13"/>
  <c r="EX71" i="13" s="1"/>
  <c r="FA71" i="13" s="1"/>
  <c r="BC71" i="13"/>
  <c r="BI71" i="13" l="1"/>
  <c r="BK71" i="13"/>
  <c r="BH71" i="13"/>
  <c r="BG71" i="13"/>
  <c r="BF71" i="13"/>
  <c r="BC73" i="12"/>
  <c r="BM71" i="13" l="1"/>
  <c r="CR71" i="13" s="1"/>
  <c r="CS71" i="13" s="1"/>
  <c r="BO71" i="13"/>
  <c r="DL71" i="13" s="1"/>
  <c r="DM71" i="13" s="1"/>
  <c r="BL71" i="13"/>
  <c r="BW71" i="13" s="1"/>
  <c r="BN71" i="13"/>
  <c r="DB71" i="13" s="1"/>
  <c r="DC71" i="13" s="1"/>
  <c r="BK73" i="12"/>
  <c r="BF73" i="12"/>
  <c r="BH73" i="12"/>
  <c r="BG73" i="12"/>
  <c r="BI73" i="12"/>
  <c r="CU71" i="13" l="1"/>
  <c r="CT71" i="13"/>
  <c r="DS71" i="13"/>
  <c r="DW71" i="13" s="1"/>
  <c r="EA71" i="13" s="1"/>
  <c r="CV71" i="13"/>
  <c r="CW71" i="13"/>
  <c r="DU71" i="13"/>
  <c r="DY71" i="13" s="1"/>
  <c r="EC71" i="13" s="1"/>
  <c r="FD71" i="13" s="1"/>
  <c r="FG71" i="13" s="1"/>
  <c r="DO71" i="13"/>
  <c r="DN71" i="13"/>
  <c r="DP71" i="13"/>
  <c r="DQ71" i="13"/>
  <c r="BX71" i="13"/>
  <c r="CE71" i="13" s="1"/>
  <c r="DE71" i="13"/>
  <c r="DT71" i="13"/>
  <c r="DX71" i="13" s="1"/>
  <c r="EB71" i="13" s="1"/>
  <c r="DF71" i="13"/>
  <c r="DD71" i="13"/>
  <c r="DG71" i="13"/>
  <c r="BL73" i="12"/>
  <c r="BW73" i="12" s="1"/>
  <c r="BX73" i="12" s="1"/>
  <c r="BN73" i="12"/>
  <c r="DB73" i="12" s="1"/>
  <c r="DC73" i="12" s="1"/>
  <c r="BM73" i="12"/>
  <c r="CR73" i="12" s="1"/>
  <c r="CS73" i="12" s="1"/>
  <c r="BO73" i="12"/>
  <c r="DL73" i="12" s="1"/>
  <c r="CA71" i="13" l="1"/>
  <c r="BY71" i="13"/>
  <c r="CD71" i="13"/>
  <c r="CI71" i="13"/>
  <c r="CK71" i="13" s="1"/>
  <c r="BZ71" i="13"/>
  <c r="CB71" i="13"/>
  <c r="CC71" i="13"/>
  <c r="CH71" i="13"/>
  <c r="CV73" i="12"/>
  <c r="DS73" i="12"/>
  <c r="DW73" i="12" s="1"/>
  <c r="EA73" i="12" s="1"/>
  <c r="DM73" i="12"/>
  <c r="DQ73" i="12" s="1"/>
  <c r="CE73" i="12"/>
  <c r="CH73" i="12"/>
  <c r="CA73" i="12"/>
  <c r="BZ73" i="12"/>
  <c r="CC73" i="12"/>
  <c r="CB73" i="12"/>
  <c r="CI73" i="12"/>
  <c r="CK73" i="12" s="1"/>
  <c r="CD73" i="12"/>
  <c r="BY73" i="12"/>
  <c r="DG73" i="12"/>
  <c r="DD73" i="12"/>
  <c r="DE73" i="12"/>
  <c r="DF73" i="12"/>
  <c r="DT73" i="12"/>
  <c r="DX73" i="12" s="1"/>
  <c r="EB73" i="12" s="1"/>
  <c r="CW73" i="12"/>
  <c r="CT73" i="12"/>
  <c r="CU73" i="12"/>
  <c r="CL71" i="13" l="1"/>
  <c r="BB72" i="13" s="1"/>
  <c r="CM71" i="13"/>
  <c r="CL73" i="12"/>
  <c r="BB74" i="12" s="1"/>
  <c r="CM73" i="12"/>
  <c r="DU73" i="12"/>
  <c r="DY73" i="12" s="1"/>
  <c r="EC73" i="12" s="1"/>
  <c r="G62" i="11" s="1"/>
  <c r="DO73" i="12"/>
  <c r="DP73" i="12"/>
  <c r="DN73" i="12"/>
  <c r="FD73" i="12" l="1"/>
  <c r="FG73" i="12" s="1"/>
  <c r="BE74" i="12"/>
  <c r="BE72" i="13"/>
  <c r="BD72" i="13"/>
  <c r="EQ72" i="13" s="1"/>
  <c r="ES72" i="13" s="1"/>
  <c r="BC72" i="13" l="1"/>
  <c r="BK72" i="13" s="1"/>
  <c r="EU72" i="13"/>
  <c r="EX72" i="13" s="1"/>
  <c r="FA72" i="13" s="1"/>
  <c r="EV72" i="13"/>
  <c r="EY72" i="13" s="1"/>
  <c r="FB72" i="13" s="1"/>
  <c r="FF72" i="13" s="1"/>
  <c r="ET72" i="13"/>
  <c r="EW72" i="13" s="1"/>
  <c r="EZ72" i="13" s="1"/>
  <c r="BC74" i="12"/>
  <c r="BF72" i="13" l="1"/>
  <c r="BG72" i="13"/>
  <c r="BI72" i="13"/>
  <c r="BH72" i="13"/>
  <c r="BM72" i="13"/>
  <c r="CR72" i="13" s="1"/>
  <c r="CS72" i="13" s="1"/>
  <c r="BO72" i="13"/>
  <c r="DL72" i="13" s="1"/>
  <c r="BN72" i="13"/>
  <c r="DB72" i="13" s="1"/>
  <c r="BL72" i="13"/>
  <c r="BW72" i="13" s="1"/>
  <c r="BK74" i="12"/>
  <c r="BH74" i="12"/>
  <c r="BF74" i="12"/>
  <c r="BI74" i="12"/>
  <c r="BG74" i="12"/>
  <c r="CV72" i="13" l="1"/>
  <c r="CT72" i="13"/>
  <c r="CU72" i="13"/>
  <c r="DS72" i="13"/>
  <c r="DW72" i="13" s="1"/>
  <c r="EA72" i="13" s="1"/>
  <c r="CW72" i="13"/>
  <c r="DM72" i="13"/>
  <c r="DQ72" i="13" s="1"/>
  <c r="DC72" i="13"/>
  <c r="DG72" i="13" s="1"/>
  <c r="BX72" i="13"/>
  <c r="CE72" i="13" s="1"/>
  <c r="BM74" i="12"/>
  <c r="CR74" i="12" s="1"/>
  <c r="CS74" i="12" s="1"/>
  <c r="BL74" i="12"/>
  <c r="BW74" i="12" s="1"/>
  <c r="BX74" i="12" s="1"/>
  <c r="BN74" i="12"/>
  <c r="DB74" i="12" s="1"/>
  <c r="DC74" i="12" s="1"/>
  <c r="BO74" i="12"/>
  <c r="DL74" i="12" s="1"/>
  <c r="DM74" i="12" s="1"/>
  <c r="DO72" i="13" l="1"/>
  <c r="DN72" i="13"/>
  <c r="DU72" i="13"/>
  <c r="DY72" i="13" s="1"/>
  <c r="EC72" i="13" s="1"/>
  <c r="FD72" i="13" s="1"/>
  <c r="FG72" i="13" s="1"/>
  <c r="DP72" i="13"/>
  <c r="DD72" i="13"/>
  <c r="DF72" i="13"/>
  <c r="DE72" i="13"/>
  <c r="DT72" i="13"/>
  <c r="DX72" i="13" s="1"/>
  <c r="EB72" i="13" s="1"/>
  <c r="CD72" i="13"/>
  <c r="CH72" i="13"/>
  <c r="BZ72" i="13"/>
  <c r="CC72" i="13"/>
  <c r="CA72" i="13"/>
  <c r="BY72" i="13"/>
  <c r="CI72" i="13"/>
  <c r="CK72" i="13" s="1"/>
  <c r="CB72" i="13"/>
  <c r="CW74" i="12"/>
  <c r="DS74" i="12"/>
  <c r="DW74" i="12" s="1"/>
  <c r="EA74" i="12" s="1"/>
  <c r="CV74" i="12"/>
  <c r="CU74" i="12"/>
  <c r="CT74" i="12"/>
  <c r="CE74" i="12"/>
  <c r="BZ74" i="12"/>
  <c r="CH74" i="12"/>
  <c r="CD74" i="12"/>
  <c r="BY74" i="12"/>
  <c r="CC74" i="12"/>
  <c r="CI74" i="12"/>
  <c r="CK74" i="12" s="1"/>
  <c r="CB74" i="12"/>
  <c r="CA74" i="12"/>
  <c r="DG74" i="12"/>
  <c r="DT74" i="12"/>
  <c r="DX74" i="12" s="1"/>
  <c r="EB74" i="12" s="1"/>
  <c r="DE74" i="12"/>
  <c r="DD74" i="12"/>
  <c r="DF74" i="12"/>
  <c r="DQ74" i="12"/>
  <c r="DP74" i="12"/>
  <c r="DO74" i="12"/>
  <c r="DN74" i="12"/>
  <c r="DU74" i="12"/>
  <c r="DY74" i="12" s="1"/>
  <c r="EC74" i="12" s="1"/>
  <c r="G63" i="11" s="1"/>
  <c r="FD74" i="12" l="1"/>
  <c r="FG74" i="12" s="1"/>
  <c r="CM72" i="13"/>
  <c r="CL72" i="13"/>
  <c r="BB73" i="13" s="1"/>
  <c r="CL74" i="12"/>
  <c r="BB75" i="12" s="1"/>
  <c r="CM74" i="12"/>
  <c r="BE75" i="12" l="1"/>
  <c r="BE73" i="13"/>
  <c r="BD73" i="13"/>
  <c r="EQ73" i="13" s="1"/>
  <c r="ES73" i="13" s="1"/>
  <c r="EU73" i="13" l="1"/>
  <c r="EX73" i="13" s="1"/>
  <c r="FA73" i="13" s="1"/>
  <c r="EV73" i="13"/>
  <c r="EY73" i="13" s="1"/>
  <c r="FB73" i="13" s="1"/>
  <c r="FF73" i="13" s="1"/>
  <c r="ET73" i="13"/>
  <c r="EW73" i="13" s="1"/>
  <c r="EZ73" i="13" s="1"/>
  <c r="BC73" i="13"/>
  <c r="BC75" i="12"/>
  <c r="BF73" i="13" l="1"/>
  <c r="BH73" i="13"/>
  <c r="BG73" i="13"/>
  <c r="BK73" i="13"/>
  <c r="BI73" i="13"/>
  <c r="BI75" i="12"/>
  <c r="BF75" i="12"/>
  <c r="BH75" i="12"/>
  <c r="BG75" i="12"/>
  <c r="BK75" i="12"/>
  <c r="BL75" i="12" s="1"/>
  <c r="BW75" i="12" s="1"/>
  <c r="BN73" i="13" l="1"/>
  <c r="DB73" i="13" s="1"/>
  <c r="BO73" i="13"/>
  <c r="DL73" i="13" s="1"/>
  <c r="BL73" i="13"/>
  <c r="BW73" i="13" s="1"/>
  <c r="BM73" i="13"/>
  <c r="CR73" i="13" s="1"/>
  <c r="BM75" i="12"/>
  <c r="CR75" i="12" s="1"/>
  <c r="CS75" i="12" s="1"/>
  <c r="CW75" i="12" s="1"/>
  <c r="BN75" i="12"/>
  <c r="DB75" i="12" s="1"/>
  <c r="DC75" i="12" s="1"/>
  <c r="DG75" i="12" s="1"/>
  <c r="BO75" i="12"/>
  <c r="DL75" i="12" s="1"/>
  <c r="DM75" i="12" s="1"/>
  <c r="DQ75" i="12" s="1"/>
  <c r="BX75" i="12"/>
  <c r="CE75" i="12" s="1"/>
  <c r="DC73" i="13" l="1"/>
  <c r="DG73" i="13" s="1"/>
  <c r="DM73" i="13"/>
  <c r="DQ73" i="13" s="1"/>
  <c r="BX73" i="13"/>
  <c r="CE73" i="13" s="1"/>
  <c r="CS73" i="13"/>
  <c r="CW73" i="13" s="1"/>
  <c r="BZ75" i="12"/>
  <c r="CD75" i="12"/>
  <c r="CA75" i="12"/>
  <c r="CC75" i="12"/>
  <c r="CI75" i="12"/>
  <c r="CK75" i="12" s="1"/>
  <c r="BY75" i="12"/>
  <c r="CH75" i="12"/>
  <c r="CB75" i="12"/>
  <c r="CT75" i="12"/>
  <c r="DS75" i="12"/>
  <c r="DW75" i="12" s="1"/>
  <c r="EA75" i="12" s="1"/>
  <c r="CV75" i="12"/>
  <c r="CU75" i="12"/>
  <c r="DT75" i="12"/>
  <c r="DX75" i="12" s="1"/>
  <c r="EB75" i="12" s="1"/>
  <c r="DF75" i="12"/>
  <c r="DE75" i="12"/>
  <c r="DD75" i="12"/>
  <c r="DO75" i="12"/>
  <c r="DN75" i="12"/>
  <c r="DU75" i="12"/>
  <c r="DY75" i="12" s="1"/>
  <c r="EC75" i="12" s="1"/>
  <c r="DP75" i="12"/>
  <c r="FD75" i="12" l="1"/>
  <c r="FG75" i="12" s="1"/>
  <c r="DF73" i="13"/>
  <c r="DD73" i="13"/>
  <c r="DE73" i="13"/>
  <c r="DT73" i="13"/>
  <c r="DX73" i="13" s="1"/>
  <c r="EB73" i="13" s="1"/>
  <c r="DN73" i="13"/>
  <c r="DP73" i="13"/>
  <c r="DU73" i="13"/>
  <c r="DY73" i="13" s="1"/>
  <c r="EC73" i="13" s="1"/>
  <c r="FD73" i="13" s="1"/>
  <c r="FG73" i="13" s="1"/>
  <c r="DO73" i="13"/>
  <c r="CH73" i="13"/>
  <c r="CD73" i="13"/>
  <c r="CB73" i="13"/>
  <c r="CA73" i="13"/>
  <c r="BY73" i="13"/>
  <c r="CC73" i="13"/>
  <c r="CI73" i="13"/>
  <c r="CK73" i="13" s="1"/>
  <c r="BZ73" i="13"/>
  <c r="CV73" i="13"/>
  <c r="CT73" i="13"/>
  <c r="DS73" i="13"/>
  <c r="DW73" i="13" s="1"/>
  <c r="EA73" i="13" s="1"/>
  <c r="CU73" i="13"/>
  <c r="CM75" i="12"/>
  <c r="CL75" i="12"/>
  <c r="BB76" i="12" s="1"/>
  <c r="BE76" i="12" l="1"/>
  <c r="CL73" i="13"/>
  <c r="BB74" i="13" s="1"/>
  <c r="CM73" i="13"/>
  <c r="BD74" i="13" l="1"/>
  <c r="EQ74" i="13" s="1"/>
  <c r="ES74" i="13" s="1"/>
  <c r="BE74" i="13"/>
  <c r="BC76" i="12"/>
  <c r="BC74" i="13" l="1"/>
  <c r="EV74" i="13"/>
  <c r="EY74" i="13" s="1"/>
  <c r="FB74" i="13" s="1"/>
  <c r="FF74" i="13" s="1"/>
  <c r="ET74" i="13"/>
  <c r="EW74" i="13" s="1"/>
  <c r="EZ74" i="13" s="1"/>
  <c r="EU74" i="13"/>
  <c r="EX74" i="13" s="1"/>
  <c r="FA74" i="13" s="1"/>
  <c r="BF76" i="12"/>
  <c r="BG76" i="12"/>
  <c r="BK76" i="12"/>
  <c r="BH76" i="12"/>
  <c r="BI76" i="12"/>
  <c r="BI74" i="13" l="1"/>
  <c r="BF74" i="13"/>
  <c r="BH74" i="13"/>
  <c r="BK74" i="13"/>
  <c r="BG74" i="13"/>
  <c r="BO76" i="12"/>
  <c r="DL76" i="12" s="1"/>
  <c r="DM76" i="12" s="1"/>
  <c r="BM76" i="12"/>
  <c r="CR76" i="12" s="1"/>
  <c r="BL76" i="12"/>
  <c r="BW76" i="12" s="1"/>
  <c r="BN76" i="12"/>
  <c r="DB76" i="12" s="1"/>
  <c r="BL74" i="13" l="1"/>
  <c r="BW74" i="13" s="1"/>
  <c r="BX74" i="13" s="1"/>
  <c r="CE74" i="13" s="1"/>
  <c r="BO74" i="13"/>
  <c r="DL74" i="13" s="1"/>
  <c r="DM74" i="13" s="1"/>
  <c r="DQ74" i="13" s="1"/>
  <c r="BM74" i="13"/>
  <c r="CR74" i="13" s="1"/>
  <c r="CS74" i="13" s="1"/>
  <c r="CW74" i="13" s="1"/>
  <c r="BN74" i="13"/>
  <c r="DB74" i="13" s="1"/>
  <c r="DC74" i="13" s="1"/>
  <c r="DG74" i="13" s="1"/>
  <c r="DU76" i="12"/>
  <c r="DY76" i="12" s="1"/>
  <c r="EC76" i="12" s="1"/>
  <c r="G64" i="11" s="1"/>
  <c r="DP76" i="12"/>
  <c r="DO76" i="12"/>
  <c r="DN76" i="12"/>
  <c r="DQ76" i="12"/>
  <c r="CS76" i="12"/>
  <c r="CW76" i="12" s="1"/>
  <c r="BX76" i="12"/>
  <c r="CE76" i="12" s="1"/>
  <c r="DC76" i="12"/>
  <c r="DG76" i="12" s="1"/>
  <c r="FD76" i="12" l="1"/>
  <c r="FG76" i="12" s="1"/>
  <c r="CD74" i="13"/>
  <c r="CA74" i="13"/>
  <c r="CB74" i="13"/>
  <c r="CI74" i="13"/>
  <c r="CK74" i="13" s="1"/>
  <c r="BY74" i="13"/>
  <c r="CC74" i="13"/>
  <c r="CH74" i="13"/>
  <c r="BZ74" i="13"/>
  <c r="DO74" i="13"/>
  <c r="DU74" i="13"/>
  <c r="DY74" i="13" s="1"/>
  <c r="EC74" i="13" s="1"/>
  <c r="FD74" i="13" s="1"/>
  <c r="FG74" i="13" s="1"/>
  <c r="DP74" i="13"/>
  <c r="DN74" i="13"/>
  <c r="CU74" i="13"/>
  <c r="CV74" i="13"/>
  <c r="CT74" i="13"/>
  <c r="DS74" i="13"/>
  <c r="DW74" i="13" s="1"/>
  <c r="EA74" i="13" s="1"/>
  <c r="DF74" i="13"/>
  <c r="DD74" i="13"/>
  <c r="DT74" i="13"/>
  <c r="DX74" i="13" s="1"/>
  <c r="EB74" i="13" s="1"/>
  <c r="DE74" i="13"/>
  <c r="CV76" i="12"/>
  <c r="CU76" i="12"/>
  <c r="DS76" i="12"/>
  <c r="DW76" i="12" s="1"/>
  <c r="EA76" i="12" s="1"/>
  <c r="CT76" i="12"/>
  <c r="CH76" i="12"/>
  <c r="CA76" i="12"/>
  <c r="BY76" i="12"/>
  <c r="CC76" i="12"/>
  <c r="BZ76" i="12"/>
  <c r="CI76" i="12"/>
  <c r="CK76" i="12" s="1"/>
  <c r="CB76" i="12"/>
  <c r="CD76" i="12"/>
  <c r="DE76" i="12"/>
  <c r="DT76" i="12"/>
  <c r="DX76" i="12" s="1"/>
  <c r="EB76" i="12" s="1"/>
  <c r="DD76" i="12"/>
  <c r="DF76" i="12"/>
  <c r="CM74" i="13" l="1"/>
  <c r="CL74" i="13"/>
  <c r="BB75" i="13" s="1"/>
  <c r="CL76" i="12"/>
  <c r="BB77" i="12" s="1"/>
  <c r="CM76" i="12"/>
  <c r="BE77" i="12" l="1"/>
  <c r="BE75" i="13"/>
  <c r="BD75" i="13"/>
  <c r="EQ75" i="13" s="1"/>
  <c r="ES75" i="13" s="1"/>
  <c r="ET75" i="13" l="1"/>
  <c r="EW75" i="13" s="1"/>
  <c r="EZ75" i="13" s="1"/>
  <c r="EU75" i="13"/>
  <c r="EX75" i="13" s="1"/>
  <c r="FA75" i="13" s="1"/>
  <c r="EV75" i="13"/>
  <c r="EY75" i="13" s="1"/>
  <c r="FB75" i="13" s="1"/>
  <c r="FF75" i="13" s="1"/>
  <c r="BC75" i="13"/>
  <c r="BC77" i="12"/>
  <c r="BG75" i="13" l="1"/>
  <c r="BK75" i="13"/>
  <c r="BH75" i="13"/>
  <c r="BF75" i="13"/>
  <c r="BI75" i="13"/>
  <c r="BK77" i="12"/>
  <c r="BF77" i="12"/>
  <c r="BH77" i="12"/>
  <c r="BI77" i="12"/>
  <c r="BG77" i="12"/>
  <c r="BL75" i="13" l="1"/>
  <c r="BW75" i="13" s="1"/>
  <c r="BX75" i="13" s="1"/>
  <c r="BO75" i="13"/>
  <c r="DL75" i="13" s="1"/>
  <c r="BM75" i="13"/>
  <c r="CR75" i="13" s="1"/>
  <c r="BN75" i="13"/>
  <c r="DB75" i="13" s="1"/>
  <c r="BO77" i="12"/>
  <c r="DL77" i="12" s="1"/>
  <c r="DM77" i="12" s="1"/>
  <c r="DQ77" i="12" s="1"/>
  <c r="BM77" i="12"/>
  <c r="CR77" i="12" s="1"/>
  <c r="CS77" i="12" s="1"/>
  <c r="CW77" i="12" s="1"/>
  <c r="BL77" i="12"/>
  <c r="BW77" i="12" s="1"/>
  <c r="BX77" i="12" s="1"/>
  <c r="CE77" i="12" s="1"/>
  <c r="BN77" i="12"/>
  <c r="DB77" i="12" s="1"/>
  <c r="DC77" i="12" s="1"/>
  <c r="DG77" i="12" s="1"/>
  <c r="CH75" i="13" l="1"/>
  <c r="CC75" i="13"/>
  <c r="CD75" i="13"/>
  <c r="CA75" i="13"/>
  <c r="CI75" i="13"/>
  <c r="CK75" i="13" s="1"/>
  <c r="BZ75" i="13"/>
  <c r="CB75" i="13"/>
  <c r="BY75" i="13"/>
  <c r="CE75" i="13"/>
  <c r="DM75" i="13"/>
  <c r="DQ75" i="13" s="1"/>
  <c r="CS75" i="13"/>
  <c r="CW75" i="13" s="1"/>
  <c r="DC75" i="13"/>
  <c r="DG75" i="13" s="1"/>
  <c r="DU77" i="12"/>
  <c r="DY77" i="12" s="1"/>
  <c r="EC77" i="12" s="1"/>
  <c r="G65" i="11" s="1"/>
  <c r="DN77" i="12"/>
  <c r="DP77" i="12"/>
  <c r="DO77" i="12"/>
  <c r="CV77" i="12"/>
  <c r="CU77" i="12"/>
  <c r="DS77" i="12"/>
  <c r="DW77" i="12" s="1"/>
  <c r="EA77" i="12" s="1"/>
  <c r="CT77" i="12"/>
  <c r="CH77" i="12"/>
  <c r="CA77" i="12"/>
  <c r="CC77" i="12"/>
  <c r="CB77" i="12"/>
  <c r="CI77" i="12"/>
  <c r="CK77" i="12" s="1"/>
  <c r="BY77" i="12"/>
  <c r="BZ77" i="12"/>
  <c r="CD77" i="12"/>
  <c r="DD77" i="12"/>
  <c r="DF77" i="12"/>
  <c r="DT77" i="12"/>
  <c r="DX77" i="12" s="1"/>
  <c r="EB77" i="12" s="1"/>
  <c r="DE77" i="12"/>
  <c r="FD77" i="12" l="1"/>
  <c r="FG77" i="12" s="1"/>
  <c r="CL75" i="13"/>
  <c r="BB76" i="13" s="1"/>
  <c r="CM75" i="13"/>
  <c r="DP75" i="13"/>
  <c r="DU75" i="13"/>
  <c r="DY75" i="13" s="1"/>
  <c r="EC75" i="13" s="1"/>
  <c r="FD75" i="13" s="1"/>
  <c r="FG75" i="13" s="1"/>
  <c r="DN75" i="13"/>
  <c r="DO75" i="13"/>
  <c r="CT75" i="13"/>
  <c r="DS75" i="13"/>
  <c r="DW75" i="13" s="1"/>
  <c r="EA75" i="13" s="1"/>
  <c r="CU75" i="13"/>
  <c r="CV75" i="13"/>
  <c r="DD75" i="13"/>
  <c r="DT75" i="13"/>
  <c r="DX75" i="13" s="1"/>
  <c r="EB75" i="13" s="1"/>
  <c r="DE75" i="13"/>
  <c r="DF75" i="13"/>
  <c r="CM77" i="12"/>
  <c r="CL77" i="12"/>
  <c r="BB78" i="12" s="1"/>
  <c r="BE78" i="12" l="1"/>
  <c r="BD76" i="13"/>
  <c r="EQ76" i="13" s="1"/>
  <c r="ES76" i="13" s="1"/>
  <c r="BE76" i="13"/>
  <c r="BC76" i="13" l="1"/>
  <c r="EV76" i="13"/>
  <c r="EY76" i="13" s="1"/>
  <c r="FB76" i="13" s="1"/>
  <c r="FF76" i="13" s="1"/>
  <c r="ET76" i="13"/>
  <c r="EW76" i="13" s="1"/>
  <c r="EZ76" i="13" s="1"/>
  <c r="EU76" i="13"/>
  <c r="EX76" i="13" s="1"/>
  <c r="FA76" i="13" s="1"/>
  <c r="BC78" i="12"/>
  <c r="BI76" i="13" l="1"/>
  <c r="BF76" i="13"/>
  <c r="BK76" i="13"/>
  <c r="BG76" i="13"/>
  <c r="BH76" i="13"/>
  <c r="BH78" i="12"/>
  <c r="BG78" i="12"/>
  <c r="BF78" i="12"/>
  <c r="BK78" i="12"/>
  <c r="BI78" i="12"/>
  <c r="BL76" i="13" l="1"/>
  <c r="BW76" i="13" s="1"/>
  <c r="BM76" i="13"/>
  <c r="CR76" i="13" s="1"/>
  <c r="BN76" i="13"/>
  <c r="DB76" i="13" s="1"/>
  <c r="BO76" i="13"/>
  <c r="DL76" i="13" s="1"/>
  <c r="BL78" i="12"/>
  <c r="BW78" i="12" s="1"/>
  <c r="BX78" i="12" s="1"/>
  <c r="BM78" i="12"/>
  <c r="CR78" i="12" s="1"/>
  <c r="CS78" i="12" s="1"/>
  <c r="BO78" i="12"/>
  <c r="DL78" i="12" s="1"/>
  <c r="DM78" i="12" s="1"/>
  <c r="BN78" i="12"/>
  <c r="DB78" i="12" s="1"/>
  <c r="BX76" i="13" l="1"/>
  <c r="CE76" i="13" s="1"/>
  <c r="CS76" i="13"/>
  <c r="CW76" i="13" s="1"/>
  <c r="DC76" i="13"/>
  <c r="DG76" i="13" s="1"/>
  <c r="DM76" i="13"/>
  <c r="DQ76" i="13" s="1"/>
  <c r="CI78" i="12"/>
  <c r="CK78" i="12" s="1"/>
  <c r="CB78" i="12"/>
  <c r="CC78" i="12"/>
  <c r="CD78" i="12"/>
  <c r="BZ78" i="12"/>
  <c r="CA78" i="12"/>
  <c r="BY78" i="12"/>
  <c r="CH78" i="12"/>
  <c r="CE78" i="12"/>
  <c r="CT78" i="12"/>
  <c r="DS78" i="12"/>
  <c r="DW78" i="12" s="1"/>
  <c r="EA78" i="12" s="1"/>
  <c r="CU78" i="12"/>
  <c r="CV78" i="12"/>
  <c r="CW78" i="12"/>
  <c r="DN78" i="12"/>
  <c r="DU78" i="12"/>
  <c r="DY78" i="12" s="1"/>
  <c r="EC78" i="12" s="1"/>
  <c r="DP78" i="12"/>
  <c r="DO78" i="12"/>
  <c r="DQ78" i="12"/>
  <c r="DC78" i="12"/>
  <c r="DG78" i="12" s="1"/>
  <c r="FD78" i="12" l="1"/>
  <c r="FG78" i="12" s="1"/>
  <c r="CC76" i="13"/>
  <c r="CI76" i="13"/>
  <c r="CK76" i="13" s="1"/>
  <c r="CH76" i="13"/>
  <c r="BZ76" i="13"/>
  <c r="BY76" i="13"/>
  <c r="CB76" i="13"/>
  <c r="CA76" i="13"/>
  <c r="CD76" i="13"/>
  <c r="CV76" i="13"/>
  <c r="DS76" i="13"/>
  <c r="DW76" i="13" s="1"/>
  <c r="EA76" i="13" s="1"/>
  <c r="CT76" i="13"/>
  <c r="CU76" i="13"/>
  <c r="DF76" i="13"/>
  <c r="DD76" i="13"/>
  <c r="DT76" i="13"/>
  <c r="DX76" i="13" s="1"/>
  <c r="EB76" i="13" s="1"/>
  <c r="DE76" i="13"/>
  <c r="DU76" i="13"/>
  <c r="DY76" i="13" s="1"/>
  <c r="EC76" i="13" s="1"/>
  <c r="FD76" i="13" s="1"/>
  <c r="FG76" i="13" s="1"/>
  <c r="DN76" i="13"/>
  <c r="DP76" i="13"/>
  <c r="DO76" i="13"/>
  <c r="CL78" i="12"/>
  <c r="BB79" i="12" s="1"/>
  <c r="CM78" i="12"/>
  <c r="DF78" i="12"/>
  <c r="DE78" i="12"/>
  <c r="DD78" i="12"/>
  <c r="DT78" i="12"/>
  <c r="DX78" i="12" s="1"/>
  <c r="EB78" i="12" s="1"/>
  <c r="BE79" i="12" l="1"/>
  <c r="CM76" i="13"/>
  <c r="CL76" i="13"/>
  <c r="BB77" i="13" s="1"/>
  <c r="BD77" i="13" l="1"/>
  <c r="EQ77" i="13" s="1"/>
  <c r="ES77" i="13" s="1"/>
  <c r="BE77" i="13"/>
  <c r="BC79" i="12"/>
  <c r="BC77" i="13" l="1"/>
  <c r="EV77" i="13"/>
  <c r="EY77" i="13" s="1"/>
  <c r="FB77" i="13" s="1"/>
  <c r="FF77" i="13" s="1"/>
  <c r="EU77" i="13"/>
  <c r="EX77" i="13" s="1"/>
  <c r="FA77" i="13" s="1"/>
  <c r="ET77" i="13"/>
  <c r="EW77" i="13" s="1"/>
  <c r="EZ77" i="13" s="1"/>
  <c r="BF79" i="12"/>
  <c r="BH79" i="12"/>
  <c r="BK79" i="12"/>
  <c r="BG79" i="12"/>
  <c r="BI79" i="12"/>
  <c r="BK77" i="13" l="1"/>
  <c r="BH77" i="13"/>
  <c r="BG77" i="13"/>
  <c r="BI77" i="13"/>
  <c r="BF77" i="13"/>
  <c r="BM79" i="12"/>
  <c r="CR79" i="12" s="1"/>
  <c r="CS79" i="12" s="1"/>
  <c r="BO79" i="12"/>
  <c r="DL79" i="12" s="1"/>
  <c r="DM79" i="12" s="1"/>
  <c r="BL79" i="12"/>
  <c r="BW79" i="12" s="1"/>
  <c r="BX79" i="12" s="1"/>
  <c r="BN79" i="12"/>
  <c r="DB79" i="12" s="1"/>
  <c r="DC79" i="12" s="1"/>
  <c r="BL77" i="13" l="1"/>
  <c r="BW77" i="13" s="1"/>
  <c r="BM77" i="13"/>
  <c r="CR77" i="13" s="1"/>
  <c r="BO77" i="13"/>
  <c r="DL77" i="13" s="1"/>
  <c r="BN77" i="13"/>
  <c r="DB77" i="13" s="1"/>
  <c r="DS79" i="12"/>
  <c r="DW79" i="12" s="1"/>
  <c r="EA79" i="12" s="1"/>
  <c r="CT79" i="12"/>
  <c r="CV79" i="12"/>
  <c r="CU79" i="12"/>
  <c r="CW79" i="12"/>
  <c r="DU79" i="12"/>
  <c r="DY79" i="12" s="1"/>
  <c r="EC79" i="12" s="1"/>
  <c r="DO79" i="12"/>
  <c r="DN79" i="12"/>
  <c r="DP79" i="12"/>
  <c r="DQ79" i="12"/>
  <c r="BZ79" i="12"/>
  <c r="CI79" i="12"/>
  <c r="CK79" i="12" s="1"/>
  <c r="CA79" i="12"/>
  <c r="CH79" i="12"/>
  <c r="CD79" i="12"/>
  <c r="CC79" i="12"/>
  <c r="CB79" i="12"/>
  <c r="BY79" i="12"/>
  <c r="CE79" i="12"/>
  <c r="DF79" i="12"/>
  <c r="DD79" i="12"/>
  <c r="DT79" i="12"/>
  <c r="DX79" i="12" s="1"/>
  <c r="EB79" i="12" s="1"/>
  <c r="DE79" i="12"/>
  <c r="DG79" i="12"/>
  <c r="G66" i="11" l="1"/>
  <c r="G67" i="11"/>
  <c r="FD79" i="12"/>
  <c r="FG79" i="12" s="1"/>
  <c r="DC77" i="13"/>
  <c r="DG77" i="13" s="1"/>
  <c r="DM77" i="13"/>
  <c r="DQ77" i="13" s="1"/>
  <c r="CS77" i="13"/>
  <c r="CW77" i="13" s="1"/>
  <c r="BX77" i="13"/>
  <c r="CE77" i="13" s="1"/>
  <c r="CL79" i="12"/>
  <c r="BB80" i="12" s="1"/>
  <c r="CM79" i="12"/>
  <c r="BE80" i="12" l="1"/>
  <c r="BZ77" i="13"/>
  <c r="CH77" i="13"/>
  <c r="BY77" i="13"/>
  <c r="CD77" i="13"/>
  <c r="CC77" i="13"/>
  <c r="CA77" i="13"/>
  <c r="CB77" i="13"/>
  <c r="CI77" i="13"/>
  <c r="CK77" i="13" s="1"/>
  <c r="CV77" i="13"/>
  <c r="CT77" i="13"/>
  <c r="CU77" i="13"/>
  <c r="DS77" i="13"/>
  <c r="DW77" i="13" s="1"/>
  <c r="EA77" i="13" s="1"/>
  <c r="DN77" i="13"/>
  <c r="DU77" i="13"/>
  <c r="DY77" i="13" s="1"/>
  <c r="EC77" i="13" s="1"/>
  <c r="FD77" i="13" s="1"/>
  <c r="FG77" i="13" s="1"/>
  <c r="DO77" i="13"/>
  <c r="DP77" i="13"/>
  <c r="DF77" i="13"/>
  <c r="DT77" i="13"/>
  <c r="DX77" i="13" s="1"/>
  <c r="EB77" i="13" s="1"/>
  <c r="DD77" i="13"/>
  <c r="DE77" i="13"/>
  <c r="CL77" i="13" l="1"/>
  <c r="BB78" i="13" s="1"/>
  <c r="CM77" i="13"/>
  <c r="BC80" i="12"/>
  <c r="BD78" i="13" l="1"/>
  <c r="EQ78" i="13" s="1"/>
  <c r="ES78" i="13" s="1"/>
  <c r="BE78" i="13"/>
  <c r="BK80" i="12"/>
  <c r="BH80" i="12"/>
  <c r="BG80" i="12"/>
  <c r="BF80" i="12"/>
  <c r="BI80" i="12"/>
  <c r="BC78" i="13" l="1"/>
  <c r="ET78" i="13"/>
  <c r="EW78" i="13" s="1"/>
  <c r="EZ78" i="13" s="1"/>
  <c r="EV78" i="13"/>
  <c r="EY78" i="13" s="1"/>
  <c r="FB78" i="13" s="1"/>
  <c r="FF78" i="13" s="1"/>
  <c r="EU78" i="13"/>
  <c r="EX78" i="13" s="1"/>
  <c r="FA78" i="13" s="1"/>
  <c r="BO80" i="12"/>
  <c r="DL80" i="12" s="1"/>
  <c r="DM80" i="12" s="1"/>
  <c r="BN80" i="12"/>
  <c r="DB80" i="12" s="1"/>
  <c r="DC80" i="12" s="1"/>
  <c r="BL80" i="12"/>
  <c r="BW80" i="12" s="1"/>
  <c r="BX80" i="12" s="1"/>
  <c r="BM80" i="12"/>
  <c r="CR80" i="12" s="1"/>
  <c r="CS80" i="12" s="1"/>
  <c r="BF78" i="13" l="1"/>
  <c r="BK78" i="13"/>
  <c r="BH78" i="13"/>
  <c r="BG78" i="13"/>
  <c r="BI78" i="13"/>
  <c r="DU80" i="12"/>
  <c r="DY80" i="12" s="1"/>
  <c r="EC80" i="12" s="1"/>
  <c r="DN80" i="12"/>
  <c r="DP80" i="12"/>
  <c r="DO80" i="12"/>
  <c r="DQ80" i="12"/>
  <c r="DT80" i="12"/>
  <c r="DX80" i="12" s="1"/>
  <c r="EB80" i="12" s="1"/>
  <c r="DD80" i="12"/>
  <c r="DE80" i="12"/>
  <c r="DF80" i="12"/>
  <c r="DG80" i="12"/>
  <c r="CH80" i="12"/>
  <c r="CD80" i="12"/>
  <c r="BZ80" i="12"/>
  <c r="BY80" i="12"/>
  <c r="CA80" i="12"/>
  <c r="CB80" i="12"/>
  <c r="CC80" i="12"/>
  <c r="CI80" i="12"/>
  <c r="CK80" i="12" s="1"/>
  <c r="CE80" i="12"/>
  <c r="CT80" i="12"/>
  <c r="CV80" i="12"/>
  <c r="CU80" i="12"/>
  <c r="DS80" i="12"/>
  <c r="DW80" i="12" s="1"/>
  <c r="EA80" i="12" s="1"/>
  <c r="CW80" i="12"/>
  <c r="FD80" i="12" l="1"/>
  <c r="FG80" i="12" s="1"/>
  <c r="BN78" i="13"/>
  <c r="DB78" i="13" s="1"/>
  <c r="DC78" i="13" s="1"/>
  <c r="DG78" i="13" s="1"/>
  <c r="BL78" i="13"/>
  <c r="BW78" i="13" s="1"/>
  <c r="BX78" i="13" s="1"/>
  <c r="CE78" i="13" s="1"/>
  <c r="BO78" i="13"/>
  <c r="DL78" i="13" s="1"/>
  <c r="DM78" i="13" s="1"/>
  <c r="DQ78" i="13" s="1"/>
  <c r="BM78" i="13"/>
  <c r="CR78" i="13" s="1"/>
  <c r="CS78" i="13" s="1"/>
  <c r="CW78" i="13" s="1"/>
  <c r="CL80" i="12"/>
  <c r="BB81" i="12" s="1"/>
  <c r="CM80" i="12"/>
  <c r="BE81" i="12" l="1"/>
  <c r="DE78" i="13"/>
  <c r="DD78" i="13"/>
  <c r="DT78" i="13"/>
  <c r="DX78" i="13" s="1"/>
  <c r="EB78" i="13" s="1"/>
  <c r="DF78" i="13"/>
  <c r="DS78" i="13"/>
  <c r="DW78" i="13" s="1"/>
  <c r="EA78" i="13" s="1"/>
  <c r="CU78" i="13"/>
  <c r="CT78" i="13"/>
  <c r="CV78" i="13"/>
  <c r="CH78" i="13"/>
  <c r="CC78" i="13"/>
  <c r="CI78" i="13"/>
  <c r="CK78" i="13" s="1"/>
  <c r="CB78" i="13"/>
  <c r="BY78" i="13"/>
  <c r="CD78" i="13"/>
  <c r="BZ78" i="13"/>
  <c r="CA78" i="13"/>
  <c r="DU78" i="13"/>
  <c r="DY78" i="13" s="1"/>
  <c r="EC78" i="13" s="1"/>
  <c r="FD78" i="13" s="1"/>
  <c r="FG78" i="13" s="1"/>
  <c r="DO78" i="13"/>
  <c r="DN78" i="13"/>
  <c r="DP78" i="13"/>
  <c r="CM78" i="13" l="1"/>
  <c r="CL78" i="13"/>
  <c r="BB79" i="13" s="1"/>
  <c r="BC81" i="12"/>
  <c r="BD79" i="13" l="1"/>
  <c r="EQ79" i="13" s="1"/>
  <c r="ES79" i="13" s="1"/>
  <c r="BE79" i="13"/>
  <c r="BG81" i="12"/>
  <c r="BH81" i="12"/>
  <c r="BK81" i="12"/>
  <c r="BF81" i="12"/>
  <c r="BI81" i="12"/>
  <c r="BC79" i="13" l="1"/>
  <c r="BG79" i="13" s="1"/>
  <c r="EU79" i="13"/>
  <c r="EX79" i="13" s="1"/>
  <c r="FA79" i="13" s="1"/>
  <c r="EV79" i="13"/>
  <c r="EY79" i="13" s="1"/>
  <c r="FB79" i="13" s="1"/>
  <c r="FF79" i="13" s="1"/>
  <c r="ET79" i="13"/>
  <c r="EW79" i="13" s="1"/>
  <c r="EZ79" i="13" s="1"/>
  <c r="BL81" i="12"/>
  <c r="BW81" i="12" s="1"/>
  <c r="BX81" i="12" s="1"/>
  <c r="BN81" i="12"/>
  <c r="DB81" i="12" s="1"/>
  <c r="DC81" i="12" s="1"/>
  <c r="BM81" i="12"/>
  <c r="CR81" i="12" s="1"/>
  <c r="CS81" i="12" s="1"/>
  <c r="BO81" i="12"/>
  <c r="DL81" i="12" s="1"/>
  <c r="DM81" i="12" s="1"/>
  <c r="BI79" i="13" l="1"/>
  <c r="BF79" i="13"/>
  <c r="BH79" i="13"/>
  <c r="BK79" i="13"/>
  <c r="BL79" i="13" s="1"/>
  <c r="BW79" i="13" s="1"/>
  <c r="BZ81" i="12"/>
  <c r="CC81" i="12"/>
  <c r="CA81" i="12"/>
  <c r="BY81" i="12"/>
  <c r="CI81" i="12"/>
  <c r="CK81" i="12" s="1"/>
  <c r="CH81" i="12"/>
  <c r="CB81" i="12"/>
  <c r="CD81" i="12"/>
  <c r="CE81" i="12"/>
  <c r="DD81" i="12"/>
  <c r="DE81" i="12"/>
  <c r="DF81" i="12"/>
  <c r="DT81" i="12"/>
  <c r="DX81" i="12" s="1"/>
  <c r="EB81" i="12" s="1"/>
  <c r="DG81" i="12"/>
  <c r="DS81" i="12"/>
  <c r="DW81" i="12" s="1"/>
  <c r="EA81" i="12" s="1"/>
  <c r="CU81" i="12"/>
  <c r="CV81" i="12"/>
  <c r="CT81" i="12"/>
  <c r="CW81" i="12"/>
  <c r="DP81" i="12"/>
  <c r="DO81" i="12"/>
  <c r="DU81" i="12"/>
  <c r="DY81" i="12" s="1"/>
  <c r="EC81" i="12" s="1"/>
  <c r="G68" i="11" s="1"/>
  <c r="DN81" i="12"/>
  <c r="DQ81" i="12"/>
  <c r="FD81" i="12" l="1"/>
  <c r="FG81" i="12" s="1"/>
  <c r="BN79" i="13"/>
  <c r="DB79" i="13" s="1"/>
  <c r="DC79" i="13" s="1"/>
  <c r="BM79" i="13"/>
  <c r="CR79" i="13" s="1"/>
  <c r="CS79" i="13" s="1"/>
  <c r="BO79" i="13"/>
  <c r="DL79" i="13" s="1"/>
  <c r="DM79" i="13" s="1"/>
  <c r="DQ79" i="13" s="1"/>
  <c r="BX79" i="13"/>
  <c r="CE79" i="13" s="1"/>
  <c r="CL81" i="12"/>
  <c r="BB82" i="12" s="1"/>
  <c r="CM81" i="12"/>
  <c r="BE82" i="12" l="1"/>
  <c r="DG79" i="13"/>
  <c r="DE79" i="13"/>
  <c r="DF79" i="13"/>
  <c r="DT79" i="13"/>
  <c r="DX79" i="13" s="1"/>
  <c r="EB79" i="13" s="1"/>
  <c r="DD79" i="13"/>
  <c r="CW79" i="13"/>
  <c r="CT79" i="13"/>
  <c r="CV79" i="13"/>
  <c r="CU79" i="13"/>
  <c r="DS79" i="13"/>
  <c r="DW79" i="13" s="1"/>
  <c r="EA79" i="13" s="1"/>
  <c r="DO79" i="13"/>
  <c r="DU79" i="13"/>
  <c r="DY79" i="13" s="1"/>
  <c r="EC79" i="13" s="1"/>
  <c r="FD79" i="13" s="1"/>
  <c r="FG79" i="13" s="1"/>
  <c r="DN79" i="13"/>
  <c r="DP79" i="13"/>
  <c r="CD79" i="13"/>
  <c r="BZ79" i="13"/>
  <c r="CA79" i="13"/>
  <c r="CH79" i="13"/>
  <c r="BY79" i="13"/>
  <c r="CB79" i="13"/>
  <c r="CI79" i="13"/>
  <c r="CK79" i="13" s="1"/>
  <c r="CC79" i="13"/>
  <c r="CL79" i="13" l="1"/>
  <c r="BB80" i="13" s="1"/>
  <c r="CM79" i="13"/>
  <c r="BC82" i="12"/>
  <c r="BE80" i="13" l="1"/>
  <c r="BD80" i="13"/>
  <c r="EQ80" i="13" s="1"/>
  <c r="ES80" i="13" s="1"/>
  <c r="BI82" i="12"/>
  <c r="BK82" i="12"/>
  <c r="BF82" i="12"/>
  <c r="BG82" i="12"/>
  <c r="BH82" i="12"/>
  <c r="EU80" i="13" l="1"/>
  <c r="EX80" i="13" s="1"/>
  <c r="FA80" i="13" s="1"/>
  <c r="ET80" i="13"/>
  <c r="EW80" i="13" s="1"/>
  <c r="EZ80" i="13" s="1"/>
  <c r="EV80" i="13"/>
  <c r="EY80" i="13" s="1"/>
  <c r="FB80" i="13" s="1"/>
  <c r="FF80" i="13" s="1"/>
  <c r="BC80" i="13"/>
  <c r="BL82" i="12"/>
  <c r="BW82" i="12" s="1"/>
  <c r="BX82" i="12" s="1"/>
  <c r="BN82" i="12"/>
  <c r="DB82" i="12" s="1"/>
  <c r="BM82" i="12"/>
  <c r="CR82" i="12" s="1"/>
  <c r="BO82" i="12"/>
  <c r="DL82" i="12" s="1"/>
  <c r="BG80" i="13" l="1"/>
  <c r="BH80" i="13"/>
  <c r="BF80" i="13"/>
  <c r="BI80" i="13"/>
  <c r="BK80" i="13"/>
  <c r="DC82" i="12"/>
  <c r="DG82" i="12" s="1"/>
  <c r="CS82" i="12"/>
  <c r="CW82" i="12" s="1"/>
  <c r="DM82" i="12"/>
  <c r="DQ82" i="12" s="1"/>
  <c r="CA82" i="12"/>
  <c r="CI82" i="12"/>
  <c r="CK82" i="12" s="1"/>
  <c r="BY82" i="12"/>
  <c r="BZ82" i="12"/>
  <c r="CC82" i="12"/>
  <c r="CB82" i="12"/>
  <c r="CH82" i="12"/>
  <c r="CD82" i="12"/>
  <c r="CE82" i="12"/>
  <c r="BN80" i="13" l="1"/>
  <c r="DB80" i="13" s="1"/>
  <c r="BO80" i="13"/>
  <c r="DL80" i="13" s="1"/>
  <c r="DM80" i="13" s="1"/>
  <c r="BM80" i="13"/>
  <c r="CR80" i="13" s="1"/>
  <c r="CS80" i="13" s="1"/>
  <c r="BL80" i="13"/>
  <c r="BW80" i="13" s="1"/>
  <c r="DT82" i="12"/>
  <c r="DX82" i="12" s="1"/>
  <c r="EB82" i="12" s="1"/>
  <c r="DF82" i="12"/>
  <c r="DD82" i="12"/>
  <c r="DE82" i="12"/>
  <c r="CU82" i="12"/>
  <c r="CT82" i="12"/>
  <c r="DS82" i="12"/>
  <c r="DW82" i="12" s="1"/>
  <c r="EA82" i="12" s="1"/>
  <c r="CV82" i="12"/>
  <c r="DN82" i="12"/>
  <c r="DP82" i="12"/>
  <c r="DU82" i="12"/>
  <c r="DY82" i="12" s="1"/>
  <c r="EC82" i="12" s="1"/>
  <c r="G69" i="11" s="1"/>
  <c r="DO82" i="12"/>
  <c r="CL82" i="12"/>
  <c r="BB83" i="12" s="1"/>
  <c r="CM82" i="12"/>
  <c r="FD82" i="12" l="1"/>
  <c r="FG82" i="12" s="1"/>
  <c r="BE83" i="12"/>
  <c r="BX80" i="13"/>
  <c r="CE80" i="13" s="1"/>
  <c r="CW80" i="13"/>
  <c r="CV80" i="13"/>
  <c r="CT80" i="13"/>
  <c r="DS80" i="13"/>
  <c r="DW80" i="13" s="1"/>
  <c r="EA80" i="13" s="1"/>
  <c r="CU80" i="13"/>
  <c r="DQ80" i="13"/>
  <c r="DN80" i="13"/>
  <c r="DU80" i="13"/>
  <c r="DY80" i="13" s="1"/>
  <c r="EC80" i="13" s="1"/>
  <c r="FD80" i="13" s="1"/>
  <c r="FG80" i="13" s="1"/>
  <c r="DO80" i="13"/>
  <c r="DP80" i="13"/>
  <c r="DC80" i="13"/>
  <c r="DG80" i="13" s="1"/>
  <c r="DF80" i="13" l="1"/>
  <c r="DT80" i="13"/>
  <c r="DX80" i="13" s="1"/>
  <c r="EB80" i="13" s="1"/>
  <c r="DE80" i="13"/>
  <c r="DD80" i="13"/>
  <c r="CD80" i="13"/>
  <c r="CC80" i="13"/>
  <c r="BY80" i="13"/>
  <c r="CH80" i="13"/>
  <c r="BZ80" i="13"/>
  <c r="CI80" i="13"/>
  <c r="CK80" i="13" s="1"/>
  <c r="CA80" i="13"/>
  <c r="CB80" i="13"/>
  <c r="BC83" i="12"/>
  <c r="CL80" i="13" l="1"/>
  <c r="BB81" i="13" s="1"/>
  <c r="CM80" i="13"/>
  <c r="BK83" i="12"/>
  <c r="BG83" i="12"/>
  <c r="BH83" i="12"/>
  <c r="BI83" i="12"/>
  <c r="BF83" i="12"/>
  <c r="BD81" i="13" l="1"/>
  <c r="EQ81" i="13" s="1"/>
  <c r="ES81" i="13" s="1"/>
  <c r="BE81" i="13"/>
  <c r="BL83" i="12"/>
  <c r="BW83" i="12" s="1"/>
  <c r="BX83" i="12" s="1"/>
  <c r="BM83" i="12"/>
  <c r="CR83" i="12" s="1"/>
  <c r="CS83" i="12" s="1"/>
  <c r="BN83" i="12"/>
  <c r="DB83" i="12" s="1"/>
  <c r="DC83" i="12" s="1"/>
  <c r="BO83" i="12"/>
  <c r="DL83" i="12" s="1"/>
  <c r="BC81" i="13" l="1"/>
  <c r="ET81" i="13"/>
  <c r="EW81" i="13" s="1"/>
  <c r="EZ81" i="13" s="1"/>
  <c r="EV81" i="13"/>
  <c r="EY81" i="13" s="1"/>
  <c r="FB81" i="13" s="1"/>
  <c r="FF81" i="13" s="1"/>
  <c r="EU81" i="13"/>
  <c r="EX81" i="13" s="1"/>
  <c r="FA81" i="13" s="1"/>
  <c r="CE83" i="12"/>
  <c r="BZ83" i="12"/>
  <c r="CH83" i="12"/>
  <c r="CC83" i="12"/>
  <c r="CD83" i="12"/>
  <c r="CI83" i="12"/>
  <c r="CK83" i="12" s="1"/>
  <c r="CA83" i="12"/>
  <c r="CB83" i="12"/>
  <c r="BY83" i="12"/>
  <c r="DM83" i="12"/>
  <c r="DQ83" i="12" s="1"/>
  <c r="CW83" i="12"/>
  <c r="CT83" i="12"/>
  <c r="CV83" i="12"/>
  <c r="CU83" i="12"/>
  <c r="DS83" i="12"/>
  <c r="DW83" i="12" s="1"/>
  <c r="EA83" i="12" s="1"/>
  <c r="DG83" i="12"/>
  <c r="DF83" i="12"/>
  <c r="DE83" i="12"/>
  <c r="DD83" i="12"/>
  <c r="DT83" i="12"/>
  <c r="DX83" i="12" s="1"/>
  <c r="EB83" i="12" s="1"/>
  <c r="BF81" i="13" l="1"/>
  <c r="BK81" i="13"/>
  <c r="BG81" i="13"/>
  <c r="BH81" i="13"/>
  <c r="BI81" i="13"/>
  <c r="CM83" i="12"/>
  <c r="CL83" i="12"/>
  <c r="BB84" i="12" s="1"/>
  <c r="DO83" i="12"/>
  <c r="DU83" i="12"/>
  <c r="DY83" i="12" s="1"/>
  <c r="EC83" i="12" s="1"/>
  <c r="G70" i="11" s="1"/>
  <c r="DN83" i="12"/>
  <c r="DP83" i="12"/>
  <c r="FD83" i="12" l="1"/>
  <c r="FG83" i="12" s="1"/>
  <c r="BE84" i="12"/>
  <c r="BO81" i="13"/>
  <c r="DL81" i="13" s="1"/>
  <c r="DM81" i="13" s="1"/>
  <c r="BM81" i="13"/>
  <c r="CR81" i="13" s="1"/>
  <c r="CS81" i="13" s="1"/>
  <c r="BL81" i="13"/>
  <c r="BW81" i="13" s="1"/>
  <c r="BN81" i="13"/>
  <c r="DB81" i="13" s="1"/>
  <c r="DC81" i="13" s="1"/>
  <c r="DG81" i="13" l="1"/>
  <c r="DF81" i="13"/>
  <c r="DE81" i="13"/>
  <c r="DD81" i="13"/>
  <c r="DT81" i="13"/>
  <c r="DX81" i="13" s="1"/>
  <c r="EB81" i="13" s="1"/>
  <c r="BX81" i="13"/>
  <c r="CE81" i="13" s="1"/>
  <c r="CW81" i="13"/>
  <c r="CV81" i="13"/>
  <c r="DS81" i="13"/>
  <c r="DW81" i="13" s="1"/>
  <c r="EA81" i="13" s="1"/>
  <c r="CT81" i="13"/>
  <c r="CU81" i="13"/>
  <c r="DQ81" i="13"/>
  <c r="DO81" i="13"/>
  <c r="DN81" i="13"/>
  <c r="DU81" i="13"/>
  <c r="DY81" i="13" s="1"/>
  <c r="EC81" i="13" s="1"/>
  <c r="FD81" i="13" s="1"/>
  <c r="FG81" i="13" s="1"/>
  <c r="DP81" i="13"/>
  <c r="BC84" i="12"/>
  <c r="CB81" i="13" l="1"/>
  <c r="CC81" i="13"/>
  <c r="BY81" i="13"/>
  <c r="CD81" i="13"/>
  <c r="BZ81" i="13"/>
  <c r="CH81" i="13"/>
  <c r="CA81" i="13"/>
  <c r="CI81" i="13"/>
  <c r="CK81" i="13" s="1"/>
  <c r="BF84" i="12"/>
  <c r="BI84" i="12"/>
  <c r="BG84" i="12"/>
  <c r="BK84" i="12"/>
  <c r="BH84" i="12"/>
  <c r="CL81" i="13" l="1"/>
  <c r="BB82" i="13" s="1"/>
  <c r="CM81" i="13"/>
  <c r="BO84" i="12"/>
  <c r="DL84" i="12" s="1"/>
  <c r="DM84" i="12" s="1"/>
  <c r="DQ84" i="12" s="1"/>
  <c r="BM84" i="12"/>
  <c r="CR84" i="12" s="1"/>
  <c r="CS84" i="12" s="1"/>
  <c r="CW84" i="12" s="1"/>
  <c r="BL84" i="12"/>
  <c r="BW84" i="12" s="1"/>
  <c r="BX84" i="12" s="1"/>
  <c r="CE84" i="12" s="1"/>
  <c r="BN84" i="12"/>
  <c r="DB84" i="12" s="1"/>
  <c r="DC84" i="12" s="1"/>
  <c r="DG84" i="12" s="1"/>
  <c r="BE82" i="13" l="1"/>
  <c r="BD82" i="13"/>
  <c r="EQ82" i="13" s="1"/>
  <c r="ES82" i="13" s="1"/>
  <c r="DU84" i="12"/>
  <c r="DY84" i="12" s="1"/>
  <c r="EC84" i="12" s="1"/>
  <c r="DO84" i="12"/>
  <c r="DN84" i="12"/>
  <c r="DP84" i="12"/>
  <c r="DS84" i="12"/>
  <c r="DW84" i="12" s="1"/>
  <c r="EA84" i="12" s="1"/>
  <c r="CT84" i="12"/>
  <c r="CV84" i="12"/>
  <c r="CU84" i="12"/>
  <c r="CI84" i="12"/>
  <c r="CK84" i="12" s="1"/>
  <c r="CH84" i="12"/>
  <c r="CD84" i="12"/>
  <c r="BY84" i="12"/>
  <c r="CB84" i="12"/>
  <c r="CC84" i="12"/>
  <c r="CA84" i="12"/>
  <c r="BZ84" i="12"/>
  <c r="DF84" i="12"/>
  <c r="DD84" i="12"/>
  <c r="DT84" i="12"/>
  <c r="DX84" i="12" s="1"/>
  <c r="EB84" i="12" s="1"/>
  <c r="DE84" i="12"/>
  <c r="FD84" i="12" l="1"/>
  <c r="FG84" i="12" s="1"/>
  <c r="EU82" i="13"/>
  <c r="EX82" i="13" s="1"/>
  <c r="FA82" i="13" s="1"/>
  <c r="EV82" i="13"/>
  <c r="EY82" i="13" s="1"/>
  <c r="FB82" i="13" s="1"/>
  <c r="FF82" i="13" s="1"/>
  <c r="ET82" i="13"/>
  <c r="EW82" i="13" s="1"/>
  <c r="EZ82" i="13" s="1"/>
  <c r="BC82" i="13"/>
  <c r="CM84" i="12"/>
  <c r="CL84" i="12"/>
  <c r="BB85" i="12" s="1"/>
  <c r="BE85" i="12" l="1"/>
  <c r="BG82" i="13"/>
  <c r="BH82" i="13"/>
  <c r="BK82" i="13"/>
  <c r="BF82" i="13"/>
  <c r="BI82" i="13"/>
  <c r="BN82" i="13" l="1"/>
  <c r="DB82" i="13" s="1"/>
  <c r="BO82" i="13"/>
  <c r="DL82" i="13" s="1"/>
  <c r="BL82" i="13"/>
  <c r="BW82" i="13" s="1"/>
  <c r="BM82" i="13"/>
  <c r="CR82" i="13" s="1"/>
  <c r="BC85" i="12"/>
  <c r="BX82" i="13" l="1"/>
  <c r="CE82" i="13" s="1"/>
  <c r="DM82" i="13"/>
  <c r="DQ82" i="13" s="1"/>
  <c r="CS82" i="13"/>
  <c r="CW82" i="13" s="1"/>
  <c r="DC82" i="13"/>
  <c r="DG82" i="13" s="1"/>
  <c r="BF85" i="12"/>
  <c r="BK85" i="12"/>
  <c r="BH85" i="12"/>
  <c r="BG85" i="12"/>
  <c r="BI85" i="12"/>
  <c r="DE82" i="13" l="1"/>
  <c r="DT82" i="13"/>
  <c r="DX82" i="13" s="1"/>
  <c r="EB82" i="13" s="1"/>
  <c r="DD82" i="13"/>
  <c r="DF82" i="13"/>
  <c r="CV82" i="13"/>
  <c r="CU82" i="13"/>
  <c r="DS82" i="13"/>
  <c r="DW82" i="13" s="1"/>
  <c r="EA82" i="13" s="1"/>
  <c r="CT82" i="13"/>
  <c r="DU82" i="13"/>
  <c r="DY82" i="13" s="1"/>
  <c r="EC82" i="13" s="1"/>
  <c r="FD82" i="13" s="1"/>
  <c r="FG82" i="13" s="1"/>
  <c r="DO82" i="13"/>
  <c r="DN82" i="13"/>
  <c r="DP82" i="13"/>
  <c r="CH82" i="13"/>
  <c r="CC82" i="13"/>
  <c r="CD82" i="13"/>
  <c r="BY82" i="13"/>
  <c r="CA82" i="13"/>
  <c r="CB82" i="13"/>
  <c r="BZ82" i="13"/>
  <c r="CI82" i="13"/>
  <c r="CK82" i="13" s="1"/>
  <c r="BL85" i="12"/>
  <c r="BW85" i="12" s="1"/>
  <c r="BM85" i="12"/>
  <c r="CR85" i="12" s="1"/>
  <c r="BN85" i="12"/>
  <c r="DB85" i="12" s="1"/>
  <c r="BO85" i="12"/>
  <c r="DL85" i="12" s="1"/>
  <c r="CL82" i="13" l="1"/>
  <c r="BB83" i="13" s="1"/>
  <c r="CM82" i="13"/>
  <c r="BX85" i="12"/>
  <c r="CE85" i="12" s="1"/>
  <c r="CS85" i="12"/>
  <c r="CW85" i="12" s="1"/>
  <c r="DC85" i="12"/>
  <c r="DG85" i="12" s="1"/>
  <c r="DM85" i="12"/>
  <c r="DQ85" i="12" s="1"/>
  <c r="BD83" i="13" l="1"/>
  <c r="EQ83" i="13" s="1"/>
  <c r="ES83" i="13" s="1"/>
  <c r="BE83" i="13"/>
  <c r="CD85" i="12"/>
  <c r="CC85" i="12"/>
  <c r="CI85" i="12"/>
  <c r="CK85" i="12" s="1"/>
  <c r="CA85" i="12"/>
  <c r="BZ85" i="12"/>
  <c r="CH85" i="12"/>
  <c r="CB85" i="12"/>
  <c r="BY85" i="12"/>
  <c r="CU85" i="12"/>
  <c r="DS85" i="12"/>
  <c r="DW85" i="12" s="1"/>
  <c r="EA85" i="12" s="1"/>
  <c r="CT85" i="12"/>
  <c r="CV85" i="12"/>
  <c r="DT85" i="12"/>
  <c r="DX85" i="12" s="1"/>
  <c r="EB85" i="12" s="1"/>
  <c r="DF85" i="12"/>
  <c r="DD85" i="12"/>
  <c r="DE85" i="12"/>
  <c r="DO85" i="12"/>
  <c r="DP85" i="12"/>
  <c r="DN85" i="12"/>
  <c r="DU85" i="12"/>
  <c r="DY85" i="12" s="1"/>
  <c r="EC85" i="12" s="1"/>
  <c r="G71" i="11" s="1"/>
  <c r="FD85" i="12" l="1"/>
  <c r="FG85" i="12" s="1"/>
  <c r="BC83" i="13"/>
  <c r="BF83" i="13" s="1"/>
  <c r="EU83" i="13"/>
  <c r="EX83" i="13" s="1"/>
  <c r="FA83" i="13" s="1"/>
  <c r="ET83" i="13"/>
  <c r="EW83" i="13" s="1"/>
  <c r="EZ83" i="13" s="1"/>
  <c r="EV83" i="13"/>
  <c r="EY83" i="13" s="1"/>
  <c r="FB83" i="13" s="1"/>
  <c r="FF83" i="13" s="1"/>
  <c r="CM85" i="12"/>
  <c r="CL85" i="12"/>
  <c r="BB86" i="12" s="1"/>
  <c r="BE86" i="12" l="1"/>
  <c r="BH83" i="13"/>
  <c r="BG83" i="13"/>
  <c r="BI83" i="13"/>
  <c r="BK83" i="13"/>
  <c r="BN83" i="13" l="1"/>
  <c r="DB83" i="13" s="1"/>
  <c r="BL83" i="13"/>
  <c r="BW83" i="13" s="1"/>
  <c r="BM83" i="13"/>
  <c r="CR83" i="13" s="1"/>
  <c r="BO83" i="13"/>
  <c r="DL83" i="13" s="1"/>
  <c r="BC86" i="12"/>
  <c r="DC83" i="13" l="1"/>
  <c r="DG83" i="13" s="1"/>
  <c r="BX83" i="13"/>
  <c r="CS83" i="13"/>
  <c r="DM83" i="13"/>
  <c r="DQ83" i="13" s="1"/>
  <c r="BF86" i="12"/>
  <c r="BG86" i="12"/>
  <c r="BI86" i="12"/>
  <c r="BH86" i="12"/>
  <c r="BK86" i="12"/>
  <c r="BN86" i="12" s="1"/>
  <c r="DB86" i="12" s="1"/>
  <c r="CI83" i="13" l="1"/>
  <c r="CK83" i="13" s="1"/>
  <c r="CE83" i="13"/>
  <c r="CB83" i="13"/>
  <c r="CH83" i="13"/>
  <c r="BY83" i="13"/>
  <c r="BZ83" i="13"/>
  <c r="CC83" i="13"/>
  <c r="CD83" i="13"/>
  <c r="CA83" i="13"/>
  <c r="CW83" i="13"/>
  <c r="CT83" i="13"/>
  <c r="CU83" i="13"/>
  <c r="DE83" i="13"/>
  <c r="DF83" i="13"/>
  <c r="DT83" i="13"/>
  <c r="DX83" i="13" s="1"/>
  <c r="EB83" i="13" s="1"/>
  <c r="DD83" i="13"/>
  <c r="DS83" i="13"/>
  <c r="DW83" i="13" s="1"/>
  <c r="EA83" i="13" s="1"/>
  <c r="CV83" i="13"/>
  <c r="DU83" i="13"/>
  <c r="DY83" i="13" s="1"/>
  <c r="EC83" i="13" s="1"/>
  <c r="FD83" i="13" s="1"/>
  <c r="FG83" i="13" s="1"/>
  <c r="DP83" i="13"/>
  <c r="DO83" i="13"/>
  <c r="DN83" i="13"/>
  <c r="BO86" i="12"/>
  <c r="DL86" i="12" s="1"/>
  <c r="DM86" i="12" s="1"/>
  <c r="DQ86" i="12" s="1"/>
  <c r="BM86" i="12"/>
  <c r="CR86" i="12" s="1"/>
  <c r="CS86" i="12" s="1"/>
  <c r="CW86" i="12" s="1"/>
  <c r="BL86" i="12"/>
  <c r="BW86" i="12" s="1"/>
  <c r="BX86" i="12" s="1"/>
  <c r="CE86" i="12" s="1"/>
  <c r="DC86" i="12"/>
  <c r="DG86" i="12" s="1"/>
  <c r="CL83" i="13" l="1"/>
  <c r="BB84" i="13" s="1"/>
  <c r="CM83" i="13"/>
  <c r="DT86" i="12"/>
  <c r="DX86" i="12" s="1"/>
  <c r="EB86" i="12" s="1"/>
  <c r="DD86" i="12"/>
  <c r="DF86" i="12"/>
  <c r="DE86" i="12"/>
  <c r="DN86" i="12"/>
  <c r="DO86" i="12"/>
  <c r="DU86" i="12"/>
  <c r="DY86" i="12" s="1"/>
  <c r="EC86" i="12" s="1"/>
  <c r="G72" i="11" s="1"/>
  <c r="DP86" i="12"/>
  <c r="DS86" i="12"/>
  <c r="DW86" i="12" s="1"/>
  <c r="EA86" i="12" s="1"/>
  <c r="CV86" i="12"/>
  <c r="CU86" i="12"/>
  <c r="CT86" i="12"/>
  <c r="CC86" i="12"/>
  <c r="CH86" i="12"/>
  <c r="CA86" i="12"/>
  <c r="CB86" i="12"/>
  <c r="BZ86" i="12"/>
  <c r="BY86" i="12"/>
  <c r="CD86" i="12"/>
  <c r="CI86" i="12"/>
  <c r="CK86" i="12" s="1"/>
  <c r="FD86" i="12" l="1"/>
  <c r="FG86" i="12" s="1"/>
  <c r="BE84" i="13"/>
  <c r="BD84" i="13"/>
  <c r="EQ84" i="13" s="1"/>
  <c r="ES84" i="13" s="1"/>
  <c r="CM86" i="12"/>
  <c r="CL86" i="12"/>
  <c r="BB87" i="12" s="1"/>
  <c r="BE87" i="12" l="1"/>
  <c r="BC84" i="13"/>
  <c r="EV84" i="13"/>
  <c r="EY84" i="13" s="1"/>
  <c r="FB84" i="13" s="1"/>
  <c r="FF84" i="13" s="1"/>
  <c r="ET84" i="13"/>
  <c r="EW84" i="13" s="1"/>
  <c r="EZ84" i="13" s="1"/>
  <c r="EU84" i="13"/>
  <c r="EX84" i="13" s="1"/>
  <c r="FA84" i="13" s="1"/>
  <c r="BF84" i="13" l="1"/>
  <c r="BK84" i="13"/>
  <c r="BG84" i="13"/>
  <c r="BH84" i="13"/>
  <c r="BI84" i="13"/>
  <c r="BC87" i="12"/>
  <c r="BO84" i="13" l="1"/>
  <c r="DL84" i="13" s="1"/>
  <c r="DM84" i="13" s="1"/>
  <c r="BN84" i="13"/>
  <c r="DB84" i="13" s="1"/>
  <c r="DC84" i="13" s="1"/>
  <c r="BM84" i="13"/>
  <c r="CR84" i="13" s="1"/>
  <c r="CS84" i="13" s="1"/>
  <c r="BL84" i="13"/>
  <c r="BW84" i="13" s="1"/>
  <c r="BI87" i="12"/>
  <c r="BH87" i="12"/>
  <c r="BF87" i="12"/>
  <c r="BK87" i="12"/>
  <c r="BG87" i="12"/>
  <c r="DN84" i="13" l="1"/>
  <c r="DU84" i="13"/>
  <c r="DY84" i="13" s="1"/>
  <c r="EC84" i="13" s="1"/>
  <c r="FD84" i="13" s="1"/>
  <c r="FG84" i="13" s="1"/>
  <c r="DO84" i="13"/>
  <c r="DQ84" i="13"/>
  <c r="DP84" i="13"/>
  <c r="DG84" i="13"/>
  <c r="DE84" i="13"/>
  <c r="DT84" i="13"/>
  <c r="DX84" i="13" s="1"/>
  <c r="EB84" i="13" s="1"/>
  <c r="DF84" i="13"/>
  <c r="DD84" i="13"/>
  <c r="CW84" i="13"/>
  <c r="DS84" i="13"/>
  <c r="DW84" i="13" s="1"/>
  <c r="EA84" i="13" s="1"/>
  <c r="CV84" i="13"/>
  <c r="CU84" i="13"/>
  <c r="CT84" i="13"/>
  <c r="BX84" i="13"/>
  <c r="BN87" i="12"/>
  <c r="DB87" i="12" s="1"/>
  <c r="BL87" i="12"/>
  <c r="BW87" i="12" s="1"/>
  <c r="BO87" i="12"/>
  <c r="DL87" i="12" s="1"/>
  <c r="BM87" i="12"/>
  <c r="CR87" i="12" s="1"/>
  <c r="CS87" i="12" s="1"/>
  <c r="CW87" i="12" s="1"/>
  <c r="CE84" i="13" l="1"/>
  <c r="CH84" i="13"/>
  <c r="CI84" i="13"/>
  <c r="CK84" i="13" s="1"/>
  <c r="CC84" i="13"/>
  <c r="CA84" i="13"/>
  <c r="BZ84" i="13"/>
  <c r="BY84" i="13"/>
  <c r="CB84" i="13"/>
  <c r="CD84" i="13"/>
  <c r="DC87" i="12"/>
  <c r="DG87" i="12" s="1"/>
  <c r="BX87" i="12"/>
  <c r="CE87" i="12" s="1"/>
  <c r="DM87" i="12"/>
  <c r="DQ87" i="12" s="1"/>
  <c r="DS87" i="12"/>
  <c r="DW87" i="12" s="1"/>
  <c r="EA87" i="12" s="1"/>
  <c r="CV87" i="12"/>
  <c r="CU87" i="12"/>
  <c r="CT87" i="12"/>
  <c r="CM84" i="13" l="1"/>
  <c r="CL84" i="13"/>
  <c r="BB85" i="13" s="1"/>
  <c r="DT87" i="12"/>
  <c r="DX87" i="12" s="1"/>
  <c r="EB87" i="12" s="1"/>
  <c r="DF87" i="12"/>
  <c r="DE87" i="12"/>
  <c r="DD87" i="12"/>
  <c r="CD87" i="12"/>
  <c r="CI87" i="12"/>
  <c r="CK87" i="12" s="1"/>
  <c r="CH87" i="12"/>
  <c r="CC87" i="12"/>
  <c r="CB87" i="12"/>
  <c r="BZ87" i="12"/>
  <c r="CA87" i="12"/>
  <c r="BY87" i="12"/>
  <c r="DO87" i="12"/>
  <c r="DP87" i="12"/>
  <c r="DN87" i="12"/>
  <c r="DU87" i="12"/>
  <c r="DY87" i="12" s="1"/>
  <c r="EC87" i="12" s="1"/>
  <c r="G73" i="11" s="1"/>
  <c r="FD87" i="12" l="1"/>
  <c r="FG87" i="12" s="1"/>
  <c r="BD85" i="13"/>
  <c r="EQ85" i="13" s="1"/>
  <c r="ES85" i="13" s="1"/>
  <c r="BE85" i="13"/>
  <c r="CL87" i="12"/>
  <c r="BB88" i="12" s="1"/>
  <c r="CM87" i="12"/>
  <c r="BE88" i="12" l="1"/>
  <c r="BC85" i="13"/>
  <c r="ET85" i="13"/>
  <c r="EW85" i="13" s="1"/>
  <c r="EZ85" i="13" s="1"/>
  <c r="EV85" i="13"/>
  <c r="EY85" i="13" s="1"/>
  <c r="FB85" i="13" s="1"/>
  <c r="FF85" i="13" s="1"/>
  <c r="EU85" i="13"/>
  <c r="EX85" i="13" s="1"/>
  <c r="FA85" i="13" s="1"/>
  <c r="BG85" i="13" l="1"/>
  <c r="BK85" i="13"/>
  <c r="BI85" i="13"/>
  <c r="BH85" i="13"/>
  <c r="BF85" i="13"/>
  <c r="BC88" i="12"/>
  <c r="BN85" i="13" l="1"/>
  <c r="DB85" i="13" s="1"/>
  <c r="DC85" i="13" s="1"/>
  <c r="DG85" i="13" s="1"/>
  <c r="BO85" i="13"/>
  <c r="DL85" i="13" s="1"/>
  <c r="DM85" i="13" s="1"/>
  <c r="DQ85" i="13" s="1"/>
  <c r="BL85" i="13"/>
  <c r="BW85" i="13" s="1"/>
  <c r="BM85" i="13"/>
  <c r="CR85" i="13" s="1"/>
  <c r="CS85" i="13" s="1"/>
  <c r="CW85" i="13" s="1"/>
  <c r="BH88" i="12"/>
  <c r="BG88" i="12"/>
  <c r="BK88" i="12"/>
  <c r="BF88" i="12"/>
  <c r="BI88" i="12"/>
  <c r="BX85" i="13" l="1"/>
  <c r="CE85" i="13" s="1"/>
  <c r="DP85" i="13"/>
  <c r="DN85" i="13"/>
  <c r="DU85" i="13"/>
  <c r="DY85" i="13" s="1"/>
  <c r="EC85" i="13" s="1"/>
  <c r="FD85" i="13" s="1"/>
  <c r="FG85" i="13" s="1"/>
  <c r="DO85" i="13"/>
  <c r="CV85" i="13"/>
  <c r="CT85" i="13"/>
  <c r="CU85" i="13"/>
  <c r="DS85" i="13"/>
  <c r="DW85" i="13" s="1"/>
  <c r="EA85" i="13" s="1"/>
  <c r="DE85" i="13"/>
  <c r="DT85" i="13"/>
  <c r="DX85" i="13" s="1"/>
  <c r="EB85" i="13" s="1"/>
  <c r="DF85" i="13"/>
  <c r="DD85" i="13"/>
  <c r="BO88" i="12"/>
  <c r="DL88" i="12" s="1"/>
  <c r="DM88" i="12" s="1"/>
  <c r="BM88" i="12"/>
  <c r="CR88" i="12" s="1"/>
  <c r="CS88" i="12" s="1"/>
  <c r="BN88" i="12"/>
  <c r="DB88" i="12" s="1"/>
  <c r="DC88" i="12" s="1"/>
  <c r="BL88" i="12"/>
  <c r="BW88" i="12" s="1"/>
  <c r="BX88" i="12" s="1"/>
  <c r="CD85" i="13" l="1"/>
  <c r="CA85" i="13"/>
  <c r="CH85" i="13"/>
  <c r="CC85" i="13"/>
  <c r="BZ85" i="13"/>
  <c r="BY85" i="13"/>
  <c r="CB85" i="13"/>
  <c r="CI85" i="13"/>
  <c r="CK85" i="13" s="1"/>
  <c r="DU88" i="12"/>
  <c r="DY88" i="12" s="1"/>
  <c r="EC88" i="12" s="1"/>
  <c r="G74" i="11" s="1"/>
  <c r="DO88" i="12"/>
  <c r="DP88" i="12"/>
  <c r="DN88" i="12"/>
  <c r="DQ88" i="12"/>
  <c r="CV88" i="12"/>
  <c r="CT88" i="12"/>
  <c r="CU88" i="12"/>
  <c r="DS88" i="12"/>
  <c r="DW88" i="12" s="1"/>
  <c r="EA88" i="12" s="1"/>
  <c r="CW88" i="12"/>
  <c r="DF88" i="12"/>
  <c r="DD88" i="12"/>
  <c r="DT88" i="12"/>
  <c r="DX88" i="12" s="1"/>
  <c r="EB88" i="12" s="1"/>
  <c r="DE88" i="12"/>
  <c r="DG88" i="12"/>
  <c r="BZ88" i="12"/>
  <c r="BY88" i="12"/>
  <c r="CD88" i="12"/>
  <c r="CH88" i="12"/>
  <c r="CI88" i="12"/>
  <c r="CK88" i="12" s="1"/>
  <c r="CA88" i="12"/>
  <c r="CC88" i="12"/>
  <c r="CB88" i="12"/>
  <c r="CE88" i="12"/>
  <c r="FD88" i="12" l="1"/>
  <c r="FG88" i="12" s="1"/>
  <c r="CL85" i="13"/>
  <c r="BB86" i="13" s="1"/>
  <c r="CM85" i="13"/>
  <c r="CM88" i="12"/>
  <c r="CL88" i="12"/>
  <c r="BB89" i="12" s="1"/>
  <c r="BE89" i="12" l="1"/>
  <c r="BD86" i="13"/>
  <c r="EQ86" i="13" s="1"/>
  <c r="ES86" i="13" s="1"/>
  <c r="BE86" i="13"/>
  <c r="BC86" i="13" l="1"/>
  <c r="EU86" i="13"/>
  <c r="EX86" i="13" s="1"/>
  <c r="FA86" i="13" s="1"/>
  <c r="ET86" i="13"/>
  <c r="EW86" i="13" s="1"/>
  <c r="EZ86" i="13" s="1"/>
  <c r="EV86" i="13"/>
  <c r="EY86" i="13" s="1"/>
  <c r="FB86" i="13" s="1"/>
  <c r="FF86" i="13" s="1"/>
  <c r="BC89" i="12"/>
  <c r="BF86" i="13" l="1"/>
  <c r="BK86" i="13"/>
  <c r="BG86" i="13"/>
  <c r="BI86" i="13"/>
  <c r="BH86" i="13"/>
  <c r="BF89" i="12"/>
  <c r="BH89" i="12"/>
  <c r="BG89" i="12"/>
  <c r="BK89" i="12"/>
  <c r="BI89" i="12"/>
  <c r="BN86" i="13" l="1"/>
  <c r="DB86" i="13" s="1"/>
  <c r="BM86" i="13"/>
  <c r="CR86" i="13" s="1"/>
  <c r="BL86" i="13"/>
  <c r="BW86" i="13" s="1"/>
  <c r="BX86" i="13" s="1"/>
  <c r="CE86" i="13" s="1"/>
  <c r="BO86" i="13"/>
  <c r="DL86" i="13" s="1"/>
  <c r="BN89" i="12"/>
  <c r="DB89" i="12" s="1"/>
  <c r="BM89" i="12"/>
  <c r="CR89" i="12" s="1"/>
  <c r="BO89" i="12"/>
  <c r="DL89" i="12" s="1"/>
  <c r="BL89" i="12"/>
  <c r="BW89" i="12" s="1"/>
  <c r="DM86" i="13" l="1"/>
  <c r="DQ86" i="13" s="1"/>
  <c r="DC86" i="13"/>
  <c r="DG86" i="13" s="1"/>
  <c r="CS86" i="13"/>
  <c r="CW86" i="13" s="1"/>
  <c r="BZ86" i="13"/>
  <c r="BY86" i="13"/>
  <c r="CI86" i="13"/>
  <c r="CK86" i="13" s="1"/>
  <c r="CA86" i="13"/>
  <c r="CB86" i="13"/>
  <c r="CC86" i="13"/>
  <c r="CH86" i="13"/>
  <c r="CD86" i="13"/>
  <c r="DC89" i="12"/>
  <c r="DG89" i="12" s="1"/>
  <c r="CS89" i="12"/>
  <c r="CW89" i="12" s="1"/>
  <c r="DM89" i="12"/>
  <c r="DQ89" i="12" s="1"/>
  <c r="BX89" i="12"/>
  <c r="CE89" i="12" s="1"/>
  <c r="DO86" i="13" l="1"/>
  <c r="DP86" i="13"/>
  <c r="DN86" i="13"/>
  <c r="DU86" i="13"/>
  <c r="DY86" i="13" s="1"/>
  <c r="EC86" i="13" s="1"/>
  <c r="FD86" i="13" s="1"/>
  <c r="FG86" i="13" s="1"/>
  <c r="DT86" i="13"/>
  <c r="DX86" i="13" s="1"/>
  <c r="EB86" i="13" s="1"/>
  <c r="DF86" i="13"/>
  <c r="DE86" i="13"/>
  <c r="DD86" i="13"/>
  <c r="CU86" i="13"/>
  <c r="CV86" i="13"/>
  <c r="CT86" i="13"/>
  <c r="DS86" i="13"/>
  <c r="DW86" i="13" s="1"/>
  <c r="EA86" i="13" s="1"/>
  <c r="CM86" i="13"/>
  <c r="CL86" i="13"/>
  <c r="BB87" i="13" s="1"/>
  <c r="DT89" i="12"/>
  <c r="DX89" i="12" s="1"/>
  <c r="EB89" i="12" s="1"/>
  <c r="DE89" i="12"/>
  <c r="DF89" i="12"/>
  <c r="DD89" i="12"/>
  <c r="DS89" i="12"/>
  <c r="DW89" i="12" s="1"/>
  <c r="EA89" i="12" s="1"/>
  <c r="CT89" i="12"/>
  <c r="CV89" i="12"/>
  <c r="CU89" i="12"/>
  <c r="DU89" i="12"/>
  <c r="DY89" i="12" s="1"/>
  <c r="EC89" i="12" s="1"/>
  <c r="G75" i="11" s="1"/>
  <c r="DO89" i="12"/>
  <c r="DN89" i="12"/>
  <c r="DP89" i="12"/>
  <c r="BZ89" i="12"/>
  <c r="CH89" i="12"/>
  <c r="CI89" i="12"/>
  <c r="CK89" i="12" s="1"/>
  <c r="BY89" i="12"/>
  <c r="CA89" i="12"/>
  <c r="CD89" i="12"/>
  <c r="CC89" i="12"/>
  <c r="CB89" i="12"/>
  <c r="FD89" i="12" l="1"/>
  <c r="FG89" i="12" s="1"/>
  <c r="BE87" i="13"/>
  <c r="BD87" i="13"/>
  <c r="EQ87" i="13" s="1"/>
  <c r="ES87" i="13" s="1"/>
  <c r="CM89" i="12"/>
  <c r="CL89" i="12"/>
  <c r="BB90" i="12" s="1"/>
  <c r="BE90" i="12" l="1"/>
  <c r="BC87" i="13"/>
  <c r="EU87" i="13"/>
  <c r="EX87" i="13" s="1"/>
  <c r="FA87" i="13" s="1"/>
  <c r="ET87" i="13"/>
  <c r="EW87" i="13" s="1"/>
  <c r="EZ87" i="13" s="1"/>
  <c r="EV87" i="13"/>
  <c r="EY87" i="13" s="1"/>
  <c r="FB87" i="13" s="1"/>
  <c r="FF87" i="13" s="1"/>
  <c r="BI87" i="13" l="1"/>
  <c r="BG87" i="13"/>
  <c r="BH87" i="13"/>
  <c r="BF87" i="13"/>
  <c r="BK87" i="13"/>
  <c r="BC90" i="12"/>
  <c r="BM87" i="13" l="1"/>
  <c r="CR87" i="13" s="1"/>
  <c r="CS87" i="13" s="1"/>
  <c r="BL87" i="13"/>
  <c r="BW87" i="13" s="1"/>
  <c r="BN87" i="13"/>
  <c r="DB87" i="13" s="1"/>
  <c r="BO87" i="13"/>
  <c r="DL87" i="13" s="1"/>
  <c r="DM87" i="13" s="1"/>
  <c r="BH90" i="12"/>
  <c r="BK90" i="12"/>
  <c r="BG90" i="12"/>
  <c r="BF90" i="12"/>
  <c r="BI90" i="12"/>
  <c r="DC87" i="13" l="1"/>
  <c r="DG87" i="13" s="1"/>
  <c r="DN87" i="13"/>
  <c r="DO87" i="13"/>
  <c r="DP87" i="13"/>
  <c r="DU87" i="13"/>
  <c r="DY87" i="13" s="1"/>
  <c r="EC87" i="13" s="1"/>
  <c r="FD87" i="13" s="1"/>
  <c r="FG87" i="13" s="1"/>
  <c r="DQ87" i="13"/>
  <c r="CW87" i="13"/>
  <c r="CV87" i="13"/>
  <c r="CU87" i="13"/>
  <c r="CT87" i="13"/>
  <c r="DS87" i="13"/>
  <c r="DW87" i="13" s="1"/>
  <c r="EA87" i="13" s="1"/>
  <c r="BX87" i="13"/>
  <c r="CE87" i="13" s="1"/>
  <c r="BN90" i="12"/>
  <c r="DB90" i="12" s="1"/>
  <c r="BO90" i="12"/>
  <c r="DL90" i="12" s="1"/>
  <c r="BL90" i="12"/>
  <c r="BW90" i="12" s="1"/>
  <c r="BM90" i="12"/>
  <c r="CR90" i="12" s="1"/>
  <c r="DE87" i="13" l="1"/>
  <c r="DT87" i="13"/>
  <c r="DX87" i="13" s="1"/>
  <c r="EB87" i="13" s="1"/>
  <c r="DD87" i="13"/>
  <c r="DF87" i="13"/>
  <c r="BZ87" i="13"/>
  <c r="CB87" i="13"/>
  <c r="CH87" i="13"/>
  <c r="CI87" i="13"/>
  <c r="CK87" i="13" s="1"/>
  <c r="BY87" i="13"/>
  <c r="CD87" i="13"/>
  <c r="CC87" i="13"/>
  <c r="CA87" i="13"/>
  <c r="DC90" i="12"/>
  <c r="DG90" i="12" s="1"/>
  <c r="DM90" i="12"/>
  <c r="DQ90" i="12" s="1"/>
  <c r="BX90" i="12"/>
  <c r="CE90" i="12" s="1"/>
  <c r="CS90" i="12"/>
  <c r="CW90" i="12" s="1"/>
  <c r="CL87" i="13" l="1"/>
  <c r="BB88" i="13" s="1"/>
  <c r="CM87" i="13"/>
  <c r="DF90" i="12"/>
  <c r="DT90" i="12"/>
  <c r="DX90" i="12" s="1"/>
  <c r="EB90" i="12" s="1"/>
  <c r="DE90" i="12"/>
  <c r="DD90" i="12"/>
  <c r="DU90" i="12"/>
  <c r="DY90" i="12" s="1"/>
  <c r="EC90" i="12" s="1"/>
  <c r="DN90" i="12"/>
  <c r="DP90" i="12"/>
  <c r="DO90" i="12"/>
  <c r="CI90" i="12"/>
  <c r="CK90" i="12" s="1"/>
  <c r="CD90" i="12"/>
  <c r="CB90" i="12"/>
  <c r="CC90" i="12"/>
  <c r="BZ90" i="12"/>
  <c r="CH90" i="12"/>
  <c r="CA90" i="12"/>
  <c r="BY90" i="12"/>
  <c r="DS90" i="12"/>
  <c r="DW90" i="12" s="1"/>
  <c r="EA90" i="12" s="1"/>
  <c r="CT90" i="12"/>
  <c r="CV90" i="12"/>
  <c r="CU90" i="12"/>
  <c r="FD90" i="12" l="1"/>
  <c r="FG90" i="12" s="1"/>
  <c r="BE88" i="13"/>
  <c r="BD88" i="13"/>
  <c r="EQ88" i="13" s="1"/>
  <c r="ES88" i="13" s="1"/>
  <c r="CL90" i="12"/>
  <c r="BB91" i="12" s="1"/>
  <c r="CM90" i="12"/>
  <c r="BE91" i="12" l="1"/>
  <c r="ET88" i="13"/>
  <c r="EW88" i="13" s="1"/>
  <c r="EZ88" i="13" s="1"/>
  <c r="EU88" i="13"/>
  <c r="EX88" i="13" s="1"/>
  <c r="FA88" i="13" s="1"/>
  <c r="EV88" i="13"/>
  <c r="EY88" i="13" s="1"/>
  <c r="FB88" i="13" s="1"/>
  <c r="FF88" i="13" s="1"/>
  <c r="BC88" i="13"/>
  <c r="BF88" i="13" l="1"/>
  <c r="BI88" i="13"/>
  <c r="BH88" i="13"/>
  <c r="BG88" i="13"/>
  <c r="BK88" i="13"/>
  <c r="BC91" i="12"/>
  <c r="BM88" i="13" l="1"/>
  <c r="CR88" i="13" s="1"/>
  <c r="CS88" i="13" s="1"/>
  <c r="BL88" i="13"/>
  <c r="BW88" i="13" s="1"/>
  <c r="BX88" i="13" s="1"/>
  <c r="BN88" i="13"/>
  <c r="DB88" i="13" s="1"/>
  <c r="DC88" i="13" s="1"/>
  <c r="BO88" i="13"/>
  <c r="DL88" i="13" s="1"/>
  <c r="DM88" i="13" s="1"/>
  <c r="BI91" i="12"/>
  <c r="BH91" i="12"/>
  <c r="BK91" i="12"/>
  <c r="BF91" i="12"/>
  <c r="BG91" i="12"/>
  <c r="DG88" i="13" l="1"/>
  <c r="DT88" i="13"/>
  <c r="DX88" i="13" s="1"/>
  <c r="EB88" i="13" s="1"/>
  <c r="DF88" i="13"/>
  <c r="DD88" i="13"/>
  <c r="DE88" i="13"/>
  <c r="CU88" i="13"/>
  <c r="CT88" i="13"/>
  <c r="DS88" i="13"/>
  <c r="DW88" i="13" s="1"/>
  <c r="EA88" i="13" s="1"/>
  <c r="CV88" i="13"/>
  <c r="CW88" i="13"/>
  <c r="CH88" i="13"/>
  <c r="CD88" i="13"/>
  <c r="CB88" i="13"/>
  <c r="BY88" i="13"/>
  <c r="CA88" i="13"/>
  <c r="CC88" i="13"/>
  <c r="BZ88" i="13"/>
  <c r="CI88" i="13"/>
  <c r="CK88" i="13" s="1"/>
  <c r="CE88" i="13"/>
  <c r="DN88" i="13"/>
  <c r="DP88" i="13"/>
  <c r="DO88" i="13"/>
  <c r="DU88" i="13"/>
  <c r="DY88" i="13" s="1"/>
  <c r="EC88" i="13" s="1"/>
  <c r="FD88" i="13" s="1"/>
  <c r="FG88" i="13" s="1"/>
  <c r="DQ88" i="13"/>
  <c r="BL91" i="12"/>
  <c r="BW91" i="12" s="1"/>
  <c r="BM91" i="12"/>
  <c r="CR91" i="12" s="1"/>
  <c r="BN91" i="12"/>
  <c r="DB91" i="12" s="1"/>
  <c r="BO91" i="12"/>
  <c r="DL91" i="12" s="1"/>
  <c r="CL88" i="13" l="1"/>
  <c r="BB89" i="13" s="1"/>
  <c r="CM88" i="13"/>
  <c r="BX91" i="12"/>
  <c r="CS91" i="12"/>
  <c r="CW91" i="12" s="1"/>
  <c r="DC91" i="12"/>
  <c r="DG91" i="12" s="1"/>
  <c r="DM91" i="12"/>
  <c r="DQ91" i="12" s="1"/>
  <c r="BE89" i="13" l="1"/>
  <c r="BD89" i="13"/>
  <c r="EQ89" i="13" s="1"/>
  <c r="ES89" i="13" s="1"/>
  <c r="CE91" i="12"/>
  <c r="CA91" i="12"/>
  <c r="CD91" i="12"/>
  <c r="BY91" i="12"/>
  <c r="BZ91" i="12"/>
  <c r="CB91" i="12"/>
  <c r="CI91" i="12"/>
  <c r="CK91" i="12" s="1"/>
  <c r="CC91" i="12"/>
  <c r="CH91" i="12"/>
  <c r="CV91" i="12"/>
  <c r="DS91" i="12"/>
  <c r="DW91" i="12" s="1"/>
  <c r="EA91" i="12" s="1"/>
  <c r="CT91" i="12"/>
  <c r="CU91" i="12"/>
  <c r="DE91" i="12"/>
  <c r="DD91" i="12"/>
  <c r="DF91" i="12"/>
  <c r="DT91" i="12"/>
  <c r="DX91" i="12" s="1"/>
  <c r="EB91" i="12" s="1"/>
  <c r="DN91" i="12"/>
  <c r="DU91" i="12"/>
  <c r="DY91" i="12" s="1"/>
  <c r="EC91" i="12" s="1"/>
  <c r="G76" i="11" s="1"/>
  <c r="DO91" i="12"/>
  <c r="DP91" i="12"/>
  <c r="FD91" i="12" l="1"/>
  <c r="FG91" i="12" s="1"/>
  <c r="EV89" i="13"/>
  <c r="EY89" i="13" s="1"/>
  <c r="FB89" i="13" s="1"/>
  <c r="FF89" i="13" s="1"/>
  <c r="EU89" i="13"/>
  <c r="EX89" i="13" s="1"/>
  <c r="FA89" i="13" s="1"/>
  <c r="ET89" i="13"/>
  <c r="EW89" i="13" s="1"/>
  <c r="EZ89" i="13" s="1"/>
  <c r="BC89" i="13"/>
  <c r="CL91" i="12"/>
  <c r="BB92" i="12" s="1"/>
  <c r="CM91" i="12"/>
  <c r="BE92" i="12" l="1"/>
  <c r="BK89" i="13"/>
  <c r="BF89" i="13"/>
  <c r="BG89" i="13"/>
  <c r="BH89" i="13"/>
  <c r="BI89" i="13"/>
  <c r="BM89" i="13" l="1"/>
  <c r="CR89" i="13" s="1"/>
  <c r="CS89" i="13" s="1"/>
  <c r="BO89" i="13"/>
  <c r="DL89" i="13" s="1"/>
  <c r="DM89" i="13" s="1"/>
  <c r="BL89" i="13"/>
  <c r="BW89" i="13" s="1"/>
  <c r="BX89" i="13" s="1"/>
  <c r="BN89" i="13"/>
  <c r="DB89" i="13" s="1"/>
  <c r="DC89" i="13" s="1"/>
  <c r="BC92" i="12"/>
  <c r="CV89" i="13" l="1"/>
  <c r="CU89" i="13"/>
  <c r="CT89" i="13"/>
  <c r="DS89" i="13"/>
  <c r="DW89" i="13" s="1"/>
  <c r="EA89" i="13" s="1"/>
  <c r="CW89" i="13"/>
  <c r="DN89" i="13"/>
  <c r="DO89" i="13"/>
  <c r="DP89" i="13"/>
  <c r="DU89" i="13"/>
  <c r="DY89" i="13" s="1"/>
  <c r="EC89" i="13" s="1"/>
  <c r="FD89" i="13" s="1"/>
  <c r="FG89" i="13" s="1"/>
  <c r="DQ89" i="13"/>
  <c r="DE89" i="13"/>
  <c r="DT89" i="13"/>
  <c r="DX89" i="13" s="1"/>
  <c r="EB89" i="13" s="1"/>
  <c r="DD89" i="13"/>
  <c r="DF89" i="13"/>
  <c r="DG89" i="13"/>
  <c r="CE89" i="13"/>
  <c r="CB89" i="13"/>
  <c r="CA89" i="13"/>
  <c r="CI89" i="13"/>
  <c r="CK89" i="13" s="1"/>
  <c r="CD89" i="13"/>
  <c r="CC89" i="13"/>
  <c r="BY89" i="13"/>
  <c r="BZ89" i="13"/>
  <c r="CH89" i="13"/>
  <c r="BI92" i="12"/>
  <c r="BG92" i="12"/>
  <c r="BH92" i="12"/>
  <c r="BF92" i="12"/>
  <c r="BK92" i="12"/>
  <c r="CL89" i="13" l="1"/>
  <c r="BB90" i="13" s="1"/>
  <c r="CM89" i="13"/>
  <c r="BM92" i="12"/>
  <c r="CR92" i="12" s="1"/>
  <c r="BN92" i="12"/>
  <c r="DB92" i="12" s="1"/>
  <c r="BL92" i="12"/>
  <c r="BW92" i="12" s="1"/>
  <c r="BO92" i="12"/>
  <c r="DL92" i="12" s="1"/>
  <c r="BD90" i="13" l="1"/>
  <c r="EQ90" i="13" s="1"/>
  <c r="ES90" i="13" s="1"/>
  <c r="ET90" i="13" s="1"/>
  <c r="EW90" i="13" s="1"/>
  <c r="EZ90" i="13" s="1"/>
  <c r="BE90" i="13"/>
  <c r="CS92" i="12"/>
  <c r="CW92" i="12" s="1"/>
  <c r="DC92" i="12"/>
  <c r="DG92" i="12" s="1"/>
  <c r="BX92" i="12"/>
  <c r="CE92" i="12" s="1"/>
  <c r="DM92" i="12"/>
  <c r="DQ92" i="12" s="1"/>
  <c r="BC90" i="13" l="1"/>
  <c r="BI90" i="13" s="1"/>
  <c r="EU90" i="13"/>
  <c r="EX90" i="13" s="1"/>
  <c r="FA90" i="13" s="1"/>
  <c r="EV90" i="13"/>
  <c r="EY90" i="13" s="1"/>
  <c r="FB90" i="13" s="1"/>
  <c r="FF90" i="13" s="1"/>
  <c r="CV92" i="12"/>
  <c r="CT92" i="12"/>
  <c r="CU92" i="12"/>
  <c r="DS92" i="12"/>
  <c r="DW92" i="12" s="1"/>
  <c r="EA92" i="12" s="1"/>
  <c r="DD92" i="12"/>
  <c r="DT92" i="12"/>
  <c r="DX92" i="12" s="1"/>
  <c r="EB92" i="12" s="1"/>
  <c r="DE92" i="12"/>
  <c r="DF92" i="12"/>
  <c r="BY92" i="12"/>
  <c r="BZ92" i="12"/>
  <c r="CI92" i="12"/>
  <c r="CK92" i="12" s="1"/>
  <c r="CC92" i="12"/>
  <c r="CD92" i="12"/>
  <c r="CH92" i="12"/>
  <c r="CB92" i="12"/>
  <c r="CA92" i="12"/>
  <c r="DO92" i="12"/>
  <c r="DP92" i="12"/>
  <c r="DN92" i="12"/>
  <c r="DU92" i="12"/>
  <c r="DY92" i="12" s="1"/>
  <c r="EC92" i="12" s="1"/>
  <c r="G77" i="11" s="1"/>
  <c r="FD92" i="12" l="1"/>
  <c r="FG92" i="12" s="1"/>
  <c r="BG90" i="13"/>
  <c r="BH90" i="13"/>
  <c r="BK90" i="13"/>
  <c r="BM90" i="13" s="1"/>
  <c r="CR90" i="13" s="1"/>
  <c r="BF90" i="13"/>
  <c r="CL92" i="12"/>
  <c r="BB93" i="12" s="1"/>
  <c r="CM92" i="12"/>
  <c r="BE93" i="12" l="1"/>
  <c r="BO90" i="13"/>
  <c r="DL90" i="13" s="1"/>
  <c r="BL90" i="13"/>
  <c r="BW90" i="13" s="1"/>
  <c r="BX90" i="13" s="1"/>
  <c r="CE90" i="13" s="1"/>
  <c r="BN90" i="13"/>
  <c r="DB90" i="13" s="1"/>
  <c r="DC90" i="13" s="1"/>
  <c r="DG90" i="13" s="1"/>
  <c r="CS90" i="13"/>
  <c r="CW90" i="13" s="1"/>
  <c r="DM90" i="13" l="1"/>
  <c r="DQ90" i="13" s="1"/>
  <c r="CU90" i="13"/>
  <c r="DS90" i="13"/>
  <c r="DW90" i="13" s="1"/>
  <c r="EA90" i="13" s="1"/>
  <c r="CT90" i="13"/>
  <c r="CV90" i="13"/>
  <c r="CH90" i="13"/>
  <c r="CA90" i="13"/>
  <c r="BZ90" i="13"/>
  <c r="CC90" i="13"/>
  <c r="CD90" i="13"/>
  <c r="CB90" i="13"/>
  <c r="BY90" i="13"/>
  <c r="CI90" i="13"/>
  <c r="CK90" i="13" s="1"/>
  <c r="DT90" i="13"/>
  <c r="DX90" i="13" s="1"/>
  <c r="EB90" i="13" s="1"/>
  <c r="DF90" i="13"/>
  <c r="DE90" i="13"/>
  <c r="DD90" i="13"/>
  <c r="BC93" i="12"/>
  <c r="DN90" i="13" l="1"/>
  <c r="DP90" i="13"/>
  <c r="DO90" i="13"/>
  <c r="DU90" i="13"/>
  <c r="DY90" i="13" s="1"/>
  <c r="EC90" i="13" s="1"/>
  <c r="FD90" i="13" s="1"/>
  <c r="FG90" i="13" s="1"/>
  <c r="CL90" i="13"/>
  <c r="BB91" i="13" s="1"/>
  <c r="CM90" i="13"/>
  <c r="BH93" i="12"/>
  <c r="BK93" i="12"/>
  <c r="BF93" i="12"/>
  <c r="BG93" i="12"/>
  <c r="BI93" i="12"/>
  <c r="BD91" i="13" l="1"/>
  <c r="EQ91" i="13" s="1"/>
  <c r="ES91" i="13" s="1"/>
  <c r="BE91" i="13"/>
  <c r="BM93" i="12"/>
  <c r="CR93" i="12" s="1"/>
  <c r="BN93" i="12"/>
  <c r="DB93" i="12" s="1"/>
  <c r="DC93" i="12" s="1"/>
  <c r="BO93" i="12"/>
  <c r="DL93" i="12" s="1"/>
  <c r="BL93" i="12"/>
  <c r="BW93" i="12" s="1"/>
  <c r="ET91" i="13" l="1"/>
  <c r="EW91" i="13" s="1"/>
  <c r="EZ91" i="13" s="1"/>
  <c r="EV91" i="13"/>
  <c r="EY91" i="13" s="1"/>
  <c r="FB91" i="13" s="1"/>
  <c r="FF91" i="13" s="1"/>
  <c r="EU91" i="13"/>
  <c r="EX91" i="13" s="1"/>
  <c r="FA91" i="13" s="1"/>
  <c r="BC91" i="13"/>
  <c r="CS93" i="12"/>
  <c r="CW93" i="12" s="1"/>
  <c r="DF93" i="12"/>
  <c r="DE93" i="12"/>
  <c r="DD93" i="12"/>
  <c r="DT93" i="12"/>
  <c r="DX93" i="12" s="1"/>
  <c r="EB93" i="12" s="1"/>
  <c r="DG93" i="12"/>
  <c r="DM93" i="12"/>
  <c r="DQ93" i="12" s="1"/>
  <c r="BX93" i="12"/>
  <c r="CE93" i="12" s="1"/>
  <c r="BF91" i="13" l="1"/>
  <c r="BG91" i="13"/>
  <c r="BK91" i="13"/>
  <c r="BH91" i="13"/>
  <c r="BI91" i="13"/>
  <c r="CT93" i="12"/>
  <c r="DS93" i="12"/>
  <c r="DW93" i="12" s="1"/>
  <c r="EA93" i="12" s="1"/>
  <c r="CU93" i="12"/>
  <c r="CV93" i="12"/>
  <c r="DP93" i="12"/>
  <c r="DN93" i="12"/>
  <c r="DU93" i="12"/>
  <c r="DY93" i="12" s="1"/>
  <c r="EC93" i="12" s="1"/>
  <c r="G78" i="11" s="1"/>
  <c r="DO93" i="12"/>
  <c r="CD93" i="12"/>
  <c r="BY93" i="12"/>
  <c r="CA93" i="12"/>
  <c r="CI93" i="12"/>
  <c r="CK93" i="12" s="1"/>
  <c r="CH93" i="12"/>
  <c r="CB93" i="12"/>
  <c r="CC93" i="12"/>
  <c r="BZ93" i="12"/>
  <c r="FD93" i="12" l="1"/>
  <c r="FG93" i="12" s="1"/>
  <c r="BM91" i="13"/>
  <c r="CR91" i="13" s="1"/>
  <c r="BL91" i="13"/>
  <c r="BW91" i="13" s="1"/>
  <c r="BX91" i="13" s="1"/>
  <c r="BN91" i="13"/>
  <c r="DB91" i="13" s="1"/>
  <c r="BO91" i="13"/>
  <c r="DL91" i="13" s="1"/>
  <c r="CL93" i="12"/>
  <c r="BB94" i="12" s="1"/>
  <c r="CM93" i="12"/>
  <c r="BE94" i="12" l="1"/>
  <c r="CS91" i="13"/>
  <c r="CW91" i="13" s="1"/>
  <c r="CH91" i="13"/>
  <c r="CD91" i="13"/>
  <c r="CC91" i="13"/>
  <c r="CI91" i="13"/>
  <c r="CK91" i="13" s="1"/>
  <c r="BY91" i="13"/>
  <c r="CA91" i="13"/>
  <c r="CB91" i="13"/>
  <c r="BZ91" i="13"/>
  <c r="CE91" i="13"/>
  <c r="DC91" i="13"/>
  <c r="DG91" i="13" s="1"/>
  <c r="DM91" i="13"/>
  <c r="DQ91" i="13" s="1"/>
  <c r="CT91" i="13" l="1"/>
  <c r="DS91" i="13"/>
  <c r="DW91" i="13" s="1"/>
  <c r="EA91" i="13" s="1"/>
  <c r="CU91" i="13"/>
  <c r="CV91" i="13"/>
  <c r="CM91" i="13"/>
  <c r="CL91" i="13"/>
  <c r="BB92" i="13" s="1"/>
  <c r="DF91" i="13"/>
  <c r="DD91" i="13"/>
  <c r="DT91" i="13"/>
  <c r="DX91" i="13" s="1"/>
  <c r="EB91" i="13" s="1"/>
  <c r="DE91" i="13"/>
  <c r="DP91" i="13"/>
  <c r="DO91" i="13"/>
  <c r="DN91" i="13"/>
  <c r="DU91" i="13"/>
  <c r="DY91" i="13" s="1"/>
  <c r="EC91" i="13" s="1"/>
  <c r="FD91" i="13" s="1"/>
  <c r="FG91" i="13" s="1"/>
  <c r="BC94" i="12"/>
  <c r="BD92" i="13" l="1"/>
  <c r="EQ92" i="13" s="1"/>
  <c r="ES92" i="13" s="1"/>
  <c r="BE92" i="13"/>
  <c r="BI94" i="12"/>
  <c r="BF94" i="12"/>
  <c r="BH94" i="12"/>
  <c r="BG94" i="12"/>
  <c r="BK94" i="12"/>
  <c r="BO94" i="12" s="1"/>
  <c r="DL94" i="12" s="1"/>
  <c r="DM94" i="12" s="1"/>
  <c r="BC92" i="13" l="1"/>
  <c r="EU92" i="13"/>
  <c r="EX92" i="13" s="1"/>
  <c r="FA92" i="13" s="1"/>
  <c r="EV92" i="13"/>
  <c r="EY92" i="13" s="1"/>
  <c r="FB92" i="13" s="1"/>
  <c r="FF92" i="13" s="1"/>
  <c r="ET92" i="13"/>
  <c r="EW92" i="13" s="1"/>
  <c r="EZ92" i="13" s="1"/>
  <c r="BM94" i="12"/>
  <c r="CR94" i="12" s="1"/>
  <c r="BN94" i="12"/>
  <c r="DB94" i="12" s="1"/>
  <c r="DC94" i="12" s="1"/>
  <c r="DG94" i="12" s="1"/>
  <c r="BL94" i="12"/>
  <c r="BW94" i="12" s="1"/>
  <c r="BX94" i="12" s="1"/>
  <c r="CE94" i="12" s="1"/>
  <c r="DP94" i="12"/>
  <c r="DO94" i="12"/>
  <c r="DU94" i="12"/>
  <c r="DY94" i="12" s="1"/>
  <c r="EC94" i="12" s="1"/>
  <c r="G79" i="11" s="1"/>
  <c r="DN94" i="12"/>
  <c r="DQ94" i="12"/>
  <c r="FD94" i="12" l="1"/>
  <c r="FG94" i="12" s="1"/>
  <c r="BI92" i="13"/>
  <c r="BH92" i="13"/>
  <c r="BG92" i="13"/>
  <c r="BF92" i="13"/>
  <c r="BK92" i="13"/>
  <c r="CS94" i="12"/>
  <c r="CW94" i="12" s="1"/>
  <c r="CH94" i="12"/>
  <c r="CI94" i="12"/>
  <c r="CK94" i="12" s="1"/>
  <c r="CC94" i="12"/>
  <c r="CA94" i="12"/>
  <c r="CD94" i="12"/>
  <c r="BY94" i="12"/>
  <c r="CB94" i="12"/>
  <c r="BZ94" i="12"/>
  <c r="DT94" i="12"/>
  <c r="DX94" i="12" s="1"/>
  <c r="EB94" i="12" s="1"/>
  <c r="DD94" i="12"/>
  <c r="DF94" i="12"/>
  <c r="DE94" i="12"/>
  <c r="BL92" i="13" l="1"/>
  <c r="BW92" i="13" s="1"/>
  <c r="BN92" i="13"/>
  <c r="DB92" i="13" s="1"/>
  <c r="DC92" i="13" s="1"/>
  <c r="DG92" i="13" s="1"/>
  <c r="BM92" i="13"/>
  <c r="CR92" i="13" s="1"/>
  <c r="CS92" i="13" s="1"/>
  <c r="CW92" i="13" s="1"/>
  <c r="BO92" i="13"/>
  <c r="DL92" i="13" s="1"/>
  <c r="DM92" i="13" s="1"/>
  <c r="DQ92" i="13" s="1"/>
  <c r="CU94" i="12"/>
  <c r="CV94" i="12"/>
  <c r="CT94" i="12"/>
  <c r="DS94" i="12"/>
  <c r="DW94" i="12" s="1"/>
  <c r="EA94" i="12" s="1"/>
  <c r="CL94" i="12"/>
  <c r="BB95" i="12" s="1"/>
  <c r="CM94" i="12"/>
  <c r="BE95" i="12" l="1"/>
  <c r="BX92" i="13"/>
  <c r="CE92" i="13" s="1"/>
  <c r="DT92" i="13"/>
  <c r="DX92" i="13" s="1"/>
  <c r="EB92" i="13" s="1"/>
  <c r="DF92" i="13"/>
  <c r="DD92" i="13"/>
  <c r="DE92" i="13"/>
  <c r="CV92" i="13"/>
  <c r="CT92" i="13"/>
  <c r="DS92" i="13"/>
  <c r="DW92" i="13" s="1"/>
  <c r="EA92" i="13" s="1"/>
  <c r="CU92" i="13"/>
  <c r="DN92" i="13"/>
  <c r="DP92" i="13"/>
  <c r="DO92" i="13"/>
  <c r="DU92" i="13"/>
  <c r="DY92" i="13" s="1"/>
  <c r="EC92" i="13" s="1"/>
  <c r="FD92" i="13" s="1"/>
  <c r="FG92" i="13" s="1"/>
  <c r="CH92" i="13" l="1"/>
  <c r="BY92" i="13"/>
  <c r="CD92" i="13"/>
  <c r="CC92" i="13"/>
  <c r="CA92" i="13"/>
  <c r="CB92" i="13"/>
  <c r="CI92" i="13"/>
  <c r="CK92" i="13" s="1"/>
  <c r="BZ92" i="13"/>
  <c r="BC95" i="12"/>
  <c r="CM92" i="13" l="1"/>
  <c r="CL92" i="13"/>
  <c r="BB93" i="13" s="1"/>
  <c r="BI95" i="12"/>
  <c r="BG95" i="12"/>
  <c r="BF95" i="12"/>
  <c r="BH95" i="12"/>
  <c r="BK95" i="12"/>
  <c r="BD93" i="13" l="1"/>
  <c r="EQ93" i="13" s="1"/>
  <c r="ES93" i="13" s="1"/>
  <c r="BE93" i="13"/>
  <c r="BN95" i="12"/>
  <c r="DB95" i="12" s="1"/>
  <c r="DC95" i="12" s="1"/>
  <c r="DG95" i="12" s="1"/>
  <c r="BM95" i="12"/>
  <c r="CR95" i="12" s="1"/>
  <c r="CS95" i="12" s="1"/>
  <c r="CW95" i="12" s="1"/>
  <c r="BL95" i="12"/>
  <c r="BW95" i="12" s="1"/>
  <c r="BX95" i="12" s="1"/>
  <c r="CE95" i="12" s="1"/>
  <c r="BO95" i="12"/>
  <c r="DL95" i="12" s="1"/>
  <c r="DM95" i="12" s="1"/>
  <c r="DQ95" i="12" s="1"/>
  <c r="BC93" i="13" l="1"/>
  <c r="EV93" i="13"/>
  <c r="EY93" i="13" s="1"/>
  <c r="FB93" i="13" s="1"/>
  <c r="FF93" i="13" s="1"/>
  <c r="ET93" i="13"/>
  <c r="EW93" i="13" s="1"/>
  <c r="EZ93" i="13" s="1"/>
  <c r="EU93" i="13"/>
  <c r="EX93" i="13" s="1"/>
  <c r="FA93" i="13" s="1"/>
  <c r="CC95" i="12"/>
  <c r="CA95" i="12"/>
  <c r="CI95" i="12"/>
  <c r="CK95" i="12" s="1"/>
  <c r="CH95" i="12"/>
  <c r="BY95" i="12"/>
  <c r="BZ95" i="12"/>
  <c r="CB95" i="12"/>
  <c r="CD95" i="12"/>
  <c r="DO95" i="12"/>
  <c r="DU95" i="12"/>
  <c r="DY95" i="12" s="1"/>
  <c r="EC95" i="12" s="1"/>
  <c r="DN95" i="12"/>
  <c r="DP95" i="12"/>
  <c r="CU95" i="12"/>
  <c r="DS95" i="12"/>
  <c r="DW95" i="12" s="1"/>
  <c r="EA95" i="12" s="1"/>
  <c r="CV95" i="12"/>
  <c r="CT95" i="12"/>
  <c r="DT95" i="12"/>
  <c r="DX95" i="12" s="1"/>
  <c r="EB95" i="12" s="1"/>
  <c r="DF95" i="12"/>
  <c r="DE95" i="12"/>
  <c r="DD95" i="12"/>
  <c r="FD95" i="12" l="1"/>
  <c r="FG95" i="12" s="1"/>
  <c r="BI93" i="13"/>
  <c r="BH93" i="13"/>
  <c r="BK93" i="13"/>
  <c r="BG93" i="13"/>
  <c r="BF93" i="13"/>
  <c r="CM95" i="12"/>
  <c r="CL95" i="12"/>
  <c r="BB96" i="12" s="1"/>
  <c r="BE96" i="12" l="1"/>
  <c r="BM93" i="13"/>
  <c r="CR93" i="13" s="1"/>
  <c r="CS93" i="13" s="1"/>
  <c r="CW93" i="13" s="1"/>
  <c r="BL93" i="13"/>
  <c r="BW93" i="13" s="1"/>
  <c r="BN93" i="13"/>
  <c r="DB93" i="13" s="1"/>
  <c r="DC93" i="13" s="1"/>
  <c r="DG93" i="13" s="1"/>
  <c r="BO93" i="13"/>
  <c r="DL93" i="13" s="1"/>
  <c r="DM93" i="13" l="1"/>
  <c r="DQ93" i="13" s="1"/>
  <c r="BX93" i="13"/>
  <c r="CE93" i="13" s="1"/>
  <c r="CU93" i="13"/>
  <c r="CT93" i="13"/>
  <c r="DS93" i="13"/>
  <c r="DW93" i="13" s="1"/>
  <c r="EA93" i="13" s="1"/>
  <c r="CV93" i="13"/>
  <c r="DE93" i="13"/>
  <c r="DF93" i="13"/>
  <c r="DD93" i="13"/>
  <c r="DT93" i="13"/>
  <c r="DX93" i="13" s="1"/>
  <c r="EB93" i="13" s="1"/>
  <c r="BC96" i="12"/>
  <c r="DP93" i="13" l="1"/>
  <c r="DN93" i="13"/>
  <c r="DU93" i="13"/>
  <c r="DY93" i="13" s="1"/>
  <c r="EC93" i="13" s="1"/>
  <c r="FD93" i="13" s="1"/>
  <c r="FG93" i="13" s="1"/>
  <c r="DO93" i="13"/>
  <c r="BZ93" i="13"/>
  <c r="CD93" i="13"/>
  <c r="CH93" i="13"/>
  <c r="BY93" i="13"/>
  <c r="CA93" i="13"/>
  <c r="CC93" i="13"/>
  <c r="CB93" i="13"/>
  <c r="CI93" i="13"/>
  <c r="CK93" i="13" s="1"/>
  <c r="BH96" i="12"/>
  <c r="BF96" i="12"/>
  <c r="BG96" i="12"/>
  <c r="BK96" i="12"/>
  <c r="BI96" i="12"/>
  <c r="CL93" i="13" l="1"/>
  <c r="BB94" i="13" s="1"/>
  <c r="CM93" i="13"/>
  <c r="BL96" i="12"/>
  <c r="BW96" i="12" s="1"/>
  <c r="BM96" i="12"/>
  <c r="CR96" i="12" s="1"/>
  <c r="BN96" i="12"/>
  <c r="DB96" i="12" s="1"/>
  <c r="BO96" i="12"/>
  <c r="DL96" i="12" s="1"/>
  <c r="BD94" i="13" l="1"/>
  <c r="EQ94" i="13" s="1"/>
  <c r="ES94" i="13" s="1"/>
  <c r="BE94" i="13"/>
  <c r="BX96" i="12"/>
  <c r="CE96" i="12" s="1"/>
  <c r="CS96" i="12"/>
  <c r="CW96" i="12" s="1"/>
  <c r="DC96" i="12"/>
  <c r="DG96" i="12" s="1"/>
  <c r="DM96" i="12"/>
  <c r="DQ96" i="12" s="1"/>
  <c r="BC94" i="13" l="1"/>
  <c r="EU94" i="13"/>
  <c r="EX94" i="13" s="1"/>
  <c r="FA94" i="13" s="1"/>
  <c r="EV94" i="13"/>
  <c r="EY94" i="13" s="1"/>
  <c r="FB94" i="13" s="1"/>
  <c r="FF94" i="13" s="1"/>
  <c r="ET94" i="13"/>
  <c r="EW94" i="13" s="1"/>
  <c r="EZ94" i="13" s="1"/>
  <c r="CH96" i="12"/>
  <c r="CA96" i="12"/>
  <c r="BY96" i="12"/>
  <c r="CC96" i="12"/>
  <c r="CD96" i="12"/>
  <c r="CI96" i="12"/>
  <c r="CK96" i="12" s="1"/>
  <c r="BZ96" i="12"/>
  <c r="CB96" i="12"/>
  <c r="CU96" i="12"/>
  <c r="DS96" i="12"/>
  <c r="DW96" i="12" s="1"/>
  <c r="EA96" i="12" s="1"/>
  <c r="CV96" i="12"/>
  <c r="CT96" i="12"/>
  <c r="DT96" i="12"/>
  <c r="DX96" i="12" s="1"/>
  <c r="EB96" i="12" s="1"/>
  <c r="DD96" i="12"/>
  <c r="DE96" i="12"/>
  <c r="DF96" i="12"/>
  <c r="DU96" i="12"/>
  <c r="DY96" i="12" s="1"/>
  <c r="EC96" i="12" s="1"/>
  <c r="G80" i="11" s="1"/>
  <c r="DN96" i="12"/>
  <c r="DP96" i="12"/>
  <c r="DO96" i="12"/>
  <c r="FD96" i="12" l="1"/>
  <c r="FG96" i="12" s="1"/>
  <c r="BG94" i="13"/>
  <c r="BF94" i="13"/>
  <c r="BK94" i="13"/>
  <c r="BH94" i="13"/>
  <c r="BI94" i="13"/>
  <c r="CM96" i="12"/>
  <c r="CL96" i="12"/>
  <c r="BB97" i="12" s="1"/>
  <c r="BE97" i="12" l="1"/>
  <c r="BN94" i="13"/>
  <c r="DB94" i="13" s="1"/>
  <c r="DC94" i="13" s="1"/>
  <c r="BO94" i="13"/>
  <c r="DL94" i="13" s="1"/>
  <c r="DM94" i="13" s="1"/>
  <c r="BL94" i="13"/>
  <c r="BW94" i="13" s="1"/>
  <c r="BX94" i="13" s="1"/>
  <c r="BM94" i="13"/>
  <c r="CR94" i="13" s="1"/>
  <c r="CS94" i="13" s="1"/>
  <c r="DG94" i="13" l="1"/>
  <c r="DT94" i="13"/>
  <c r="DX94" i="13" s="1"/>
  <c r="EB94" i="13" s="1"/>
  <c r="DE94" i="13"/>
  <c r="DD94" i="13"/>
  <c r="DF94" i="13"/>
  <c r="DQ94" i="13"/>
  <c r="DO94" i="13"/>
  <c r="DN94" i="13"/>
  <c r="DU94" i="13"/>
  <c r="DY94" i="13" s="1"/>
  <c r="EC94" i="13" s="1"/>
  <c r="FD94" i="13" s="1"/>
  <c r="FG94" i="13" s="1"/>
  <c r="DP94" i="13"/>
  <c r="CE94" i="13"/>
  <c r="BY94" i="13"/>
  <c r="BZ94" i="13"/>
  <c r="CA94" i="13"/>
  <c r="CI94" i="13"/>
  <c r="CK94" i="13" s="1"/>
  <c r="CB94" i="13"/>
  <c r="CC94" i="13"/>
  <c r="CH94" i="13"/>
  <c r="CD94" i="13"/>
  <c r="CW94" i="13"/>
  <c r="CV94" i="13"/>
  <c r="CU94" i="13"/>
  <c r="CT94" i="13"/>
  <c r="DS94" i="13"/>
  <c r="DW94" i="13" s="1"/>
  <c r="EA94" i="13" s="1"/>
  <c r="BC97" i="12"/>
  <c r="CM94" i="13" l="1"/>
  <c r="CL94" i="13"/>
  <c r="BB95" i="13" s="1"/>
  <c r="BG97" i="12"/>
  <c r="BK97" i="12"/>
  <c r="BI97" i="12"/>
  <c r="BF97" i="12"/>
  <c r="BH97" i="12"/>
  <c r="BE95" i="13" l="1"/>
  <c r="BD95" i="13"/>
  <c r="EQ95" i="13" s="1"/>
  <c r="ES95" i="13" s="1"/>
  <c r="BM97" i="12"/>
  <c r="CR97" i="12" s="1"/>
  <c r="CS97" i="12" s="1"/>
  <c r="CW97" i="12" s="1"/>
  <c r="BN97" i="12"/>
  <c r="DB97" i="12" s="1"/>
  <c r="DC97" i="12" s="1"/>
  <c r="DG97" i="12" s="1"/>
  <c r="BL97" i="12"/>
  <c r="BW97" i="12" s="1"/>
  <c r="BX97" i="12" s="1"/>
  <c r="CE97" i="12" s="1"/>
  <c r="BO97" i="12"/>
  <c r="DL97" i="12" s="1"/>
  <c r="DM97" i="12" s="1"/>
  <c r="DQ97" i="12" s="1"/>
  <c r="BC95" i="13" l="1"/>
  <c r="EV95" i="13"/>
  <c r="EY95" i="13" s="1"/>
  <c r="FB95" i="13" s="1"/>
  <c r="FF95" i="13" s="1"/>
  <c r="ET95" i="13"/>
  <c r="EW95" i="13" s="1"/>
  <c r="EZ95" i="13" s="1"/>
  <c r="EU95" i="13"/>
  <c r="EX95" i="13" s="1"/>
  <c r="FA95" i="13" s="1"/>
  <c r="DS97" i="12"/>
  <c r="DW97" i="12" s="1"/>
  <c r="EA97" i="12" s="1"/>
  <c r="CV97" i="12"/>
  <c r="CU97" i="12"/>
  <c r="CT97" i="12"/>
  <c r="DT97" i="12"/>
  <c r="DX97" i="12" s="1"/>
  <c r="EB97" i="12" s="1"/>
  <c r="DF97" i="12"/>
  <c r="DE97" i="12"/>
  <c r="DD97" i="12"/>
  <c r="BZ97" i="12"/>
  <c r="CB97" i="12"/>
  <c r="BY97" i="12"/>
  <c r="CC97" i="12"/>
  <c r="CH97" i="12"/>
  <c r="CI97" i="12"/>
  <c r="CK97" i="12" s="1"/>
  <c r="CA97" i="12"/>
  <c r="CD97" i="12"/>
  <c r="DO97" i="12"/>
  <c r="DU97" i="12"/>
  <c r="DY97" i="12" s="1"/>
  <c r="EC97" i="12" s="1"/>
  <c r="G81" i="11" s="1"/>
  <c r="DP97" i="12"/>
  <c r="DN97" i="12"/>
  <c r="FD97" i="12" l="1"/>
  <c r="FG97" i="12" s="1"/>
  <c r="BK95" i="13"/>
  <c r="BH95" i="13"/>
  <c r="BF95" i="13"/>
  <c r="BG95" i="13"/>
  <c r="BI95" i="13"/>
  <c r="CM97" i="12"/>
  <c r="CL97" i="12"/>
  <c r="BB98" i="12" s="1"/>
  <c r="BE98" i="12" l="1"/>
  <c r="BN95" i="13"/>
  <c r="DB95" i="13" s="1"/>
  <c r="BM95" i="13"/>
  <c r="CR95" i="13" s="1"/>
  <c r="BO95" i="13"/>
  <c r="DL95" i="13" s="1"/>
  <c r="BL95" i="13"/>
  <c r="BW95" i="13" s="1"/>
  <c r="BX95" i="13" s="1"/>
  <c r="CE95" i="13" s="1"/>
  <c r="DM95" i="13" l="1"/>
  <c r="DC95" i="13"/>
  <c r="DG95" i="13" s="1"/>
  <c r="CS95" i="13"/>
  <c r="CW95" i="13" s="1"/>
  <c r="BZ95" i="13"/>
  <c r="BY95" i="13"/>
  <c r="CA95" i="13"/>
  <c r="CH95" i="13"/>
  <c r="CC95" i="13"/>
  <c r="CI95" i="13"/>
  <c r="CK95" i="13" s="1"/>
  <c r="CB95" i="13"/>
  <c r="CD95" i="13"/>
  <c r="BC98" i="12"/>
  <c r="DO95" i="13" l="1"/>
  <c r="DU95" i="13"/>
  <c r="DY95" i="13" s="1"/>
  <c r="EC95" i="13" s="1"/>
  <c r="FD95" i="13" s="1"/>
  <c r="FG95" i="13" s="1"/>
  <c r="DQ95" i="13"/>
  <c r="DN95" i="13"/>
  <c r="DP95" i="13"/>
  <c r="DD95" i="13"/>
  <c r="DT95" i="13"/>
  <c r="DX95" i="13" s="1"/>
  <c r="EB95" i="13" s="1"/>
  <c r="DE95" i="13"/>
  <c r="DF95" i="13"/>
  <c r="CV95" i="13"/>
  <c r="CT95" i="13"/>
  <c r="CU95" i="13"/>
  <c r="DS95" i="13"/>
  <c r="DW95" i="13" s="1"/>
  <c r="EA95" i="13" s="1"/>
  <c r="CL95" i="13"/>
  <c r="BB96" i="13" s="1"/>
  <c r="CM95" i="13"/>
  <c r="BG98" i="12"/>
  <c r="BF98" i="12"/>
  <c r="BI98" i="12"/>
  <c r="BK98" i="12"/>
  <c r="BN98" i="12" s="1"/>
  <c r="DB98" i="12" s="1"/>
  <c r="DC98" i="12" s="1"/>
  <c r="BH98" i="12"/>
  <c r="BD96" i="13" l="1"/>
  <c r="EQ96" i="13" s="1"/>
  <c r="ES96" i="13" s="1"/>
  <c r="BE96" i="13"/>
  <c r="BM98" i="12"/>
  <c r="CR98" i="12" s="1"/>
  <c r="BO98" i="12"/>
  <c r="DL98" i="12" s="1"/>
  <c r="BL98" i="12"/>
  <c r="BW98" i="12" s="1"/>
  <c r="DF98" i="12"/>
  <c r="DE98" i="12"/>
  <c r="DD98" i="12"/>
  <c r="DT98" i="12"/>
  <c r="DX98" i="12" s="1"/>
  <c r="EB98" i="12" s="1"/>
  <c r="DG98" i="12"/>
  <c r="BC96" i="13" l="1"/>
  <c r="EV96" i="13"/>
  <c r="EY96" i="13" s="1"/>
  <c r="FB96" i="13" s="1"/>
  <c r="FF96" i="13" s="1"/>
  <c r="EU96" i="13"/>
  <c r="EX96" i="13" s="1"/>
  <c r="FA96" i="13" s="1"/>
  <c r="ET96" i="13"/>
  <c r="EW96" i="13" s="1"/>
  <c r="EZ96" i="13" s="1"/>
  <c r="CS98" i="12"/>
  <c r="DM98" i="12"/>
  <c r="DQ98" i="12" s="1"/>
  <c r="BX98" i="12"/>
  <c r="CE98" i="12" s="1"/>
  <c r="BK96" i="13" l="1"/>
  <c r="BG96" i="13"/>
  <c r="BH96" i="13"/>
  <c r="BI96" i="13"/>
  <c r="BF96" i="13"/>
  <c r="DS98" i="12"/>
  <c r="DW98" i="12" s="1"/>
  <c r="EA98" i="12" s="1"/>
  <c r="CW98" i="12"/>
  <c r="CV98" i="12"/>
  <c r="CU98" i="12"/>
  <c r="CT98" i="12"/>
  <c r="DU98" i="12"/>
  <c r="DY98" i="12" s="1"/>
  <c r="EC98" i="12" s="1"/>
  <c r="G82" i="11" s="1"/>
  <c r="DP98" i="12"/>
  <c r="DN98" i="12"/>
  <c r="DO98" i="12"/>
  <c r="CC98" i="12"/>
  <c r="BZ98" i="12"/>
  <c r="CB98" i="12"/>
  <c r="CA98" i="12"/>
  <c r="BY98" i="12"/>
  <c r="CD98" i="12"/>
  <c r="CH98" i="12"/>
  <c r="CI98" i="12"/>
  <c r="CK98" i="12" s="1"/>
  <c r="FD98" i="12" l="1"/>
  <c r="FG98" i="12" s="1"/>
  <c r="BO96" i="13"/>
  <c r="DL96" i="13" s="1"/>
  <c r="DM96" i="13" s="1"/>
  <c r="DQ96" i="13" s="1"/>
  <c r="BM96" i="13"/>
  <c r="CR96" i="13" s="1"/>
  <c r="CS96" i="13" s="1"/>
  <c r="CW96" i="13" s="1"/>
  <c r="BL96" i="13"/>
  <c r="BW96" i="13" s="1"/>
  <c r="BX96" i="13" s="1"/>
  <c r="CE96" i="13" s="1"/>
  <c r="BN96" i="13"/>
  <c r="DB96" i="13" s="1"/>
  <c r="DC96" i="13" s="1"/>
  <c r="DG96" i="13" s="1"/>
  <c r="CM98" i="12"/>
  <c r="CL98" i="12"/>
  <c r="BB99" i="12" s="1"/>
  <c r="BE99" i="12" l="1"/>
  <c r="DE96" i="13"/>
  <c r="DF96" i="13"/>
  <c r="DT96" i="13"/>
  <c r="DX96" i="13" s="1"/>
  <c r="EB96" i="13" s="1"/>
  <c r="DD96" i="13"/>
  <c r="DO96" i="13"/>
  <c r="DU96" i="13"/>
  <c r="DY96" i="13" s="1"/>
  <c r="EC96" i="13" s="1"/>
  <c r="FD96" i="13" s="1"/>
  <c r="FG96" i="13" s="1"/>
  <c r="DN96" i="13"/>
  <c r="DP96" i="13"/>
  <c r="CV96" i="13"/>
  <c r="CT96" i="13"/>
  <c r="DS96" i="13"/>
  <c r="DW96" i="13" s="1"/>
  <c r="EA96" i="13" s="1"/>
  <c r="CU96" i="13"/>
  <c r="BZ96" i="13"/>
  <c r="CC96" i="13"/>
  <c r="CD96" i="13"/>
  <c r="CH96" i="13"/>
  <c r="BY96" i="13"/>
  <c r="CI96" i="13"/>
  <c r="CK96" i="13" s="1"/>
  <c r="CA96" i="13"/>
  <c r="CB96" i="13"/>
  <c r="CM96" i="13" l="1"/>
  <c r="CL96" i="13"/>
  <c r="BB97" i="13" s="1"/>
  <c r="BC99" i="12"/>
  <c r="BD97" i="13" l="1"/>
  <c r="EQ97" i="13" s="1"/>
  <c r="ES97" i="13" s="1"/>
  <c r="BE97" i="13"/>
  <c r="BG99" i="12"/>
  <c r="BH99" i="12"/>
  <c r="BK99" i="12"/>
  <c r="BF99" i="12"/>
  <c r="BI99" i="12"/>
  <c r="BC97" i="13" l="1"/>
  <c r="EU97" i="13"/>
  <c r="EX97" i="13" s="1"/>
  <c r="FA97" i="13" s="1"/>
  <c r="EV97" i="13"/>
  <c r="EY97" i="13" s="1"/>
  <c r="FB97" i="13" s="1"/>
  <c r="FF97" i="13" s="1"/>
  <c r="ET97" i="13"/>
  <c r="EW97" i="13" s="1"/>
  <c r="EZ97" i="13" s="1"/>
  <c r="BL99" i="12"/>
  <c r="BW99" i="12" s="1"/>
  <c r="BX99" i="12" s="1"/>
  <c r="BO99" i="12"/>
  <c r="DL99" i="12" s="1"/>
  <c r="DM99" i="12" s="1"/>
  <c r="BM99" i="12"/>
  <c r="CR99" i="12" s="1"/>
  <c r="CS99" i="12" s="1"/>
  <c r="BN99" i="12"/>
  <c r="DB99" i="12" s="1"/>
  <c r="DC99" i="12" s="1"/>
  <c r="BI97" i="13" l="1"/>
  <c r="BK97" i="13"/>
  <c r="BG97" i="13"/>
  <c r="BH97" i="13"/>
  <c r="BF97" i="13"/>
  <c r="CC99" i="12"/>
  <c r="CB99" i="12"/>
  <c r="CE99" i="12"/>
  <c r="BZ99" i="12"/>
  <c r="CI99" i="12"/>
  <c r="CK99" i="12" s="1"/>
  <c r="CA99" i="12"/>
  <c r="CH99" i="12"/>
  <c r="BY99" i="12"/>
  <c r="CD99" i="12"/>
  <c r="DQ99" i="12"/>
  <c r="DN99" i="12"/>
  <c r="DO99" i="12"/>
  <c r="DP99" i="12"/>
  <c r="DU99" i="12"/>
  <c r="DY99" i="12" s="1"/>
  <c r="EC99" i="12" s="1"/>
  <c r="G83" i="11" s="1"/>
  <c r="CW99" i="12"/>
  <c r="CT99" i="12"/>
  <c r="CU99" i="12"/>
  <c r="CV99" i="12"/>
  <c r="DS99" i="12"/>
  <c r="DW99" i="12" s="1"/>
  <c r="EA99" i="12" s="1"/>
  <c r="DG99" i="12"/>
  <c r="DE99" i="12"/>
  <c r="DD99" i="12"/>
  <c r="DT99" i="12"/>
  <c r="DX99" i="12" s="1"/>
  <c r="EB99" i="12" s="1"/>
  <c r="DF99" i="12"/>
  <c r="FD99" i="12" l="1"/>
  <c r="FG99" i="12" s="1"/>
  <c r="BO97" i="13"/>
  <c r="DL97" i="13" s="1"/>
  <c r="BN97" i="13"/>
  <c r="DB97" i="13" s="1"/>
  <c r="BM97" i="13"/>
  <c r="CR97" i="13" s="1"/>
  <c r="CS97" i="13" s="1"/>
  <c r="CW97" i="13" s="1"/>
  <c r="BL97" i="13"/>
  <c r="BW97" i="13" s="1"/>
  <c r="CM99" i="12"/>
  <c r="CL99" i="12"/>
  <c r="BB100" i="12" s="1"/>
  <c r="BE100" i="12" l="1"/>
  <c r="DM97" i="13"/>
  <c r="DQ97" i="13" s="1"/>
  <c r="DC97" i="13"/>
  <c r="DG97" i="13" s="1"/>
  <c r="BX97" i="13"/>
  <c r="CE97" i="13" s="1"/>
  <c r="CT97" i="13"/>
  <c r="CU97" i="13"/>
  <c r="CV97" i="13"/>
  <c r="DS97" i="13"/>
  <c r="DW97" i="13" s="1"/>
  <c r="EA97" i="13" s="1"/>
  <c r="DP97" i="13" l="1"/>
  <c r="DU97" i="13"/>
  <c r="DY97" i="13" s="1"/>
  <c r="EC97" i="13" s="1"/>
  <c r="FD97" i="13" s="1"/>
  <c r="FG97" i="13" s="1"/>
  <c r="DN97" i="13"/>
  <c r="DO97" i="13"/>
  <c r="DF97" i="13"/>
  <c r="DT97" i="13"/>
  <c r="DX97" i="13" s="1"/>
  <c r="EB97" i="13" s="1"/>
  <c r="DE97" i="13"/>
  <c r="DD97" i="13"/>
  <c r="CB97" i="13"/>
  <c r="CC97" i="13"/>
  <c r="BY97" i="13"/>
  <c r="CD97" i="13"/>
  <c r="BZ97" i="13"/>
  <c r="CA97" i="13"/>
  <c r="CH97" i="13"/>
  <c r="CI97" i="13"/>
  <c r="CK97" i="13" s="1"/>
  <c r="BC100" i="12"/>
  <c r="BG100" i="12" s="1"/>
  <c r="CM97" i="13" l="1"/>
  <c r="CL97" i="13"/>
  <c r="BB98" i="13" s="1"/>
  <c r="BI100" i="12"/>
  <c r="BF100" i="12"/>
  <c r="BK100" i="12"/>
  <c r="BH100" i="12"/>
  <c r="BD98" i="13" l="1"/>
  <c r="EQ98" i="13" s="1"/>
  <c r="ES98" i="13" s="1"/>
  <c r="BE98" i="13"/>
  <c r="BL100" i="12"/>
  <c r="BW100" i="12" s="1"/>
  <c r="BX100" i="12" s="1"/>
  <c r="CE100" i="12" s="1"/>
  <c r="BM100" i="12"/>
  <c r="CR100" i="12" s="1"/>
  <c r="CS100" i="12" s="1"/>
  <c r="CW100" i="12" s="1"/>
  <c r="BO100" i="12"/>
  <c r="DL100" i="12" s="1"/>
  <c r="DM100" i="12" s="1"/>
  <c r="DQ100" i="12" s="1"/>
  <c r="BN100" i="12"/>
  <c r="DB100" i="12" s="1"/>
  <c r="DC100" i="12" s="1"/>
  <c r="BC98" i="13" l="1"/>
  <c r="EU98" i="13"/>
  <c r="EX98" i="13" s="1"/>
  <c r="FA98" i="13" s="1"/>
  <c r="ET98" i="13"/>
  <c r="EW98" i="13" s="1"/>
  <c r="EZ98" i="13" s="1"/>
  <c r="EV98" i="13"/>
  <c r="EY98" i="13" s="1"/>
  <c r="FB98" i="13" s="1"/>
  <c r="FF98" i="13" s="1"/>
  <c r="DG100" i="12"/>
  <c r="DT100" i="12"/>
  <c r="DX100" i="12" s="1"/>
  <c r="EB100" i="12" s="1"/>
  <c r="DD100" i="12"/>
  <c r="DE100" i="12"/>
  <c r="DF100" i="12"/>
  <c r="CI100" i="12"/>
  <c r="CK100" i="12" s="1"/>
  <c r="CC100" i="12"/>
  <c r="CB100" i="12"/>
  <c r="BZ100" i="12"/>
  <c r="BY100" i="12"/>
  <c r="CA100" i="12"/>
  <c r="CD100" i="12"/>
  <c r="CH100" i="12"/>
  <c r="CT100" i="12"/>
  <c r="CU100" i="12"/>
  <c r="CV100" i="12"/>
  <c r="DS100" i="12"/>
  <c r="DW100" i="12" s="1"/>
  <c r="EA100" i="12" s="1"/>
  <c r="DO100" i="12"/>
  <c r="DP100" i="12"/>
  <c r="DN100" i="12"/>
  <c r="DU100" i="12"/>
  <c r="DY100" i="12" s="1"/>
  <c r="EC100" i="12" s="1"/>
  <c r="G84" i="11" s="1"/>
  <c r="FD100" i="12" l="1"/>
  <c r="FG100" i="12" s="1"/>
  <c r="BK98" i="13"/>
  <c r="BF98" i="13"/>
  <c r="BG98" i="13"/>
  <c r="BH98" i="13"/>
  <c r="BI98" i="13"/>
  <c r="CM100" i="12"/>
  <c r="CL100" i="12"/>
  <c r="BB101" i="12" s="1"/>
  <c r="BE101" i="12" l="1"/>
  <c r="BN98" i="13"/>
  <c r="DB98" i="13" s="1"/>
  <c r="DC98" i="13" s="1"/>
  <c r="BL98" i="13"/>
  <c r="BW98" i="13" s="1"/>
  <c r="BX98" i="13" s="1"/>
  <c r="CE98" i="13" s="1"/>
  <c r="BM98" i="13"/>
  <c r="CR98" i="13" s="1"/>
  <c r="CS98" i="13" s="1"/>
  <c r="CW98" i="13" s="1"/>
  <c r="BO98" i="13"/>
  <c r="DL98" i="13" s="1"/>
  <c r="DM98" i="13" s="1"/>
  <c r="DQ98" i="13" s="1"/>
  <c r="DG98" i="13" l="1"/>
  <c r="DD98" i="13"/>
  <c r="DF98" i="13"/>
  <c r="DE98" i="13"/>
  <c r="DT98" i="13"/>
  <c r="DX98" i="13" s="1"/>
  <c r="EB98" i="13" s="1"/>
  <c r="DO98" i="13"/>
  <c r="DN98" i="13"/>
  <c r="CC98" i="13"/>
  <c r="CB98" i="13"/>
  <c r="CA98" i="13"/>
  <c r="CD98" i="13"/>
  <c r="BZ98" i="13"/>
  <c r="CH98" i="13"/>
  <c r="BY98" i="13"/>
  <c r="CI98" i="13"/>
  <c r="CK98" i="13" s="1"/>
  <c r="DS98" i="13"/>
  <c r="DW98" i="13" s="1"/>
  <c r="EA98" i="13" s="1"/>
  <c r="CU98" i="13"/>
  <c r="CV98" i="13"/>
  <c r="CT98" i="13"/>
  <c r="DP98" i="13"/>
  <c r="DU98" i="13"/>
  <c r="DY98" i="13" s="1"/>
  <c r="EC98" i="13" s="1"/>
  <c r="FD98" i="13" s="1"/>
  <c r="FG98" i="13" s="1"/>
  <c r="BC101" i="12"/>
  <c r="CM98" i="13" l="1"/>
  <c r="CL98" i="13"/>
  <c r="BB99" i="13" s="1"/>
  <c r="BF101" i="12"/>
  <c r="BG101" i="12"/>
  <c r="BH101" i="12"/>
  <c r="BK101" i="12"/>
  <c r="BI101" i="12"/>
  <c r="BD99" i="13" l="1"/>
  <c r="EQ99" i="13" s="1"/>
  <c r="ES99" i="13" s="1"/>
  <c r="BE99" i="13"/>
  <c r="BN101" i="12"/>
  <c r="DB101" i="12" s="1"/>
  <c r="BO101" i="12"/>
  <c r="DL101" i="12" s="1"/>
  <c r="BM101" i="12"/>
  <c r="CR101" i="12" s="1"/>
  <c r="BL101" i="12"/>
  <c r="BW101" i="12" s="1"/>
  <c r="BC99" i="13" l="1"/>
  <c r="ET99" i="13"/>
  <c r="EW99" i="13" s="1"/>
  <c r="EZ99" i="13" s="1"/>
  <c r="EU99" i="13"/>
  <c r="EX99" i="13" s="1"/>
  <c r="FA99" i="13" s="1"/>
  <c r="EV99" i="13"/>
  <c r="EY99" i="13" s="1"/>
  <c r="FB99" i="13" s="1"/>
  <c r="FF99" i="13" s="1"/>
  <c r="DC101" i="12"/>
  <c r="DG101" i="12" s="1"/>
  <c r="DM101" i="12"/>
  <c r="DQ101" i="12" s="1"/>
  <c r="CS101" i="12"/>
  <c r="CW101" i="12" s="1"/>
  <c r="BX101" i="12"/>
  <c r="CE101" i="12" s="1"/>
  <c r="BI99" i="13" l="1"/>
  <c r="BF99" i="13"/>
  <c r="BG99" i="13"/>
  <c r="BK99" i="13"/>
  <c r="BL99" i="13" s="1"/>
  <c r="BW99" i="13" s="1"/>
  <c r="BX99" i="13" s="1"/>
  <c r="BH99" i="13"/>
  <c r="DD101" i="12"/>
  <c r="DE101" i="12"/>
  <c r="DT101" i="12"/>
  <c r="DX101" i="12" s="1"/>
  <c r="EB101" i="12" s="1"/>
  <c r="DF101" i="12"/>
  <c r="DU101" i="12"/>
  <c r="DY101" i="12" s="1"/>
  <c r="EC101" i="12" s="1"/>
  <c r="G85" i="11" s="1"/>
  <c r="DO101" i="12"/>
  <c r="DN101" i="12"/>
  <c r="DP101" i="12"/>
  <c r="CT101" i="12"/>
  <c r="DS101" i="12"/>
  <c r="DW101" i="12" s="1"/>
  <c r="EA101" i="12" s="1"/>
  <c r="CU101" i="12"/>
  <c r="CV101" i="12"/>
  <c r="CI101" i="12"/>
  <c r="CK101" i="12" s="1"/>
  <c r="CH101" i="12"/>
  <c r="CD101" i="12"/>
  <c r="CA101" i="12"/>
  <c r="BZ101" i="12"/>
  <c r="BY101" i="12"/>
  <c r="CC101" i="12"/>
  <c r="CB101" i="12"/>
  <c r="FD101" i="12" l="1"/>
  <c r="FG101" i="12" s="1"/>
  <c r="BM99" i="13"/>
  <c r="CR99" i="13" s="1"/>
  <c r="BN99" i="13"/>
  <c r="DB99" i="13" s="1"/>
  <c r="BO99" i="13"/>
  <c r="DL99" i="13" s="1"/>
  <c r="CA99" i="13"/>
  <c r="CH99" i="13"/>
  <c r="BZ99" i="13"/>
  <c r="CC99" i="13"/>
  <c r="BY99" i="13"/>
  <c r="CE99" i="13"/>
  <c r="CB99" i="13"/>
  <c r="CI99" i="13"/>
  <c r="CK99" i="13" s="1"/>
  <c r="CD99" i="13"/>
  <c r="CL101" i="12"/>
  <c r="BB102" i="12" s="1"/>
  <c r="CM101" i="12"/>
  <c r="BE102" i="12" l="1"/>
  <c r="CS99" i="13"/>
  <c r="CW99" i="13" s="1"/>
  <c r="DC99" i="13"/>
  <c r="DG99" i="13" s="1"/>
  <c r="DM99" i="13"/>
  <c r="DQ99" i="13" s="1"/>
  <c r="CL99" i="13"/>
  <c r="BB100" i="13" s="1"/>
  <c r="CM99" i="13"/>
  <c r="CT99" i="13" l="1"/>
  <c r="CU99" i="13"/>
  <c r="CV99" i="13"/>
  <c r="DS99" i="13"/>
  <c r="DW99" i="13" s="1"/>
  <c r="EA99" i="13" s="1"/>
  <c r="DT99" i="13"/>
  <c r="DX99" i="13" s="1"/>
  <c r="EB99" i="13" s="1"/>
  <c r="DE99" i="13"/>
  <c r="DD99" i="13"/>
  <c r="DF99" i="13"/>
  <c r="DN99" i="13"/>
  <c r="DP99" i="13"/>
  <c r="DU99" i="13"/>
  <c r="DY99" i="13" s="1"/>
  <c r="EC99" i="13" s="1"/>
  <c r="FD99" i="13" s="1"/>
  <c r="FG99" i="13" s="1"/>
  <c r="DO99" i="13"/>
  <c r="BE100" i="13"/>
  <c r="BD100" i="13"/>
  <c r="BC102" i="12"/>
  <c r="EQ100" i="13" l="1"/>
  <c r="ES100" i="13" s="1"/>
  <c r="BC100" i="13"/>
  <c r="BH102" i="12"/>
  <c r="BK102" i="12"/>
  <c r="BF102" i="12"/>
  <c r="BG102" i="12"/>
  <c r="BI102" i="12"/>
  <c r="BH100" i="13" l="1"/>
  <c r="BF100" i="13"/>
  <c r="BI100" i="13"/>
  <c r="BK100" i="13"/>
  <c r="BG100" i="13"/>
  <c r="EU100" i="13"/>
  <c r="EX100" i="13" s="1"/>
  <c r="FA100" i="13" s="1"/>
  <c r="EV100" i="13"/>
  <c r="EY100" i="13" s="1"/>
  <c r="FB100" i="13" s="1"/>
  <c r="FF100" i="13" s="1"/>
  <c r="ET100" i="13"/>
  <c r="EW100" i="13" s="1"/>
  <c r="EZ100" i="13" s="1"/>
  <c r="BO102" i="12"/>
  <c r="DL102" i="12" s="1"/>
  <c r="DM102" i="12" s="1"/>
  <c r="BL102" i="12"/>
  <c r="BW102" i="12" s="1"/>
  <c r="BX102" i="12" s="1"/>
  <c r="BN102" i="12"/>
  <c r="DB102" i="12" s="1"/>
  <c r="DC102" i="12" s="1"/>
  <c r="BM102" i="12"/>
  <c r="CR102" i="12" s="1"/>
  <c r="CS102" i="12" s="1"/>
  <c r="BN100" i="13" l="1"/>
  <c r="DB100" i="13" s="1"/>
  <c r="BO100" i="13"/>
  <c r="DL100" i="13" s="1"/>
  <c r="BM100" i="13"/>
  <c r="CR100" i="13" s="1"/>
  <c r="BL100" i="13"/>
  <c r="BW100" i="13" s="1"/>
  <c r="BX100" i="13" s="1"/>
  <c r="CE100" i="13" s="1"/>
  <c r="DP102" i="12"/>
  <c r="DU102" i="12"/>
  <c r="DY102" i="12" s="1"/>
  <c r="EC102" i="12" s="1"/>
  <c r="DO102" i="12"/>
  <c r="DN102" i="12"/>
  <c r="DQ102" i="12"/>
  <c r="CD102" i="12"/>
  <c r="CA102" i="12"/>
  <c r="BY102" i="12"/>
  <c r="CH102" i="12"/>
  <c r="CC102" i="12"/>
  <c r="BZ102" i="12"/>
  <c r="CI102" i="12"/>
  <c r="CK102" i="12" s="1"/>
  <c r="CB102" i="12"/>
  <c r="CE102" i="12"/>
  <c r="DF102" i="12"/>
  <c r="DE102" i="12"/>
  <c r="DD102" i="12"/>
  <c r="DT102" i="12"/>
  <c r="DX102" i="12" s="1"/>
  <c r="EB102" i="12" s="1"/>
  <c r="DG102" i="12"/>
  <c r="CT102" i="12"/>
  <c r="CU102" i="12"/>
  <c r="DS102" i="12"/>
  <c r="DW102" i="12" s="1"/>
  <c r="EA102" i="12" s="1"/>
  <c r="CV102" i="12"/>
  <c r="CW102" i="12"/>
  <c r="FD102" i="12" l="1"/>
  <c r="FG102" i="12" s="1"/>
  <c r="DC100" i="13"/>
  <c r="DG100" i="13" s="1"/>
  <c r="DM100" i="13"/>
  <c r="DQ100" i="13" s="1"/>
  <c r="CS100" i="13"/>
  <c r="CW100" i="13" s="1"/>
  <c r="CH100" i="13"/>
  <c r="CA100" i="13"/>
  <c r="CD100" i="13"/>
  <c r="BY100" i="13"/>
  <c r="CC100" i="13"/>
  <c r="CB100" i="13"/>
  <c r="BZ100" i="13"/>
  <c r="CI100" i="13"/>
  <c r="CK100" i="13" s="1"/>
  <c r="CM102" i="12"/>
  <c r="CL102" i="12"/>
  <c r="BB103" i="12" s="1"/>
  <c r="BE103" i="12" l="1"/>
  <c r="DO100" i="13"/>
  <c r="DN100" i="13"/>
  <c r="DF100" i="13"/>
  <c r="DE100" i="13"/>
  <c r="DT100" i="13"/>
  <c r="DX100" i="13" s="1"/>
  <c r="EB100" i="13" s="1"/>
  <c r="DD100" i="13"/>
  <c r="DP100" i="13"/>
  <c r="DU100" i="13"/>
  <c r="DY100" i="13" s="1"/>
  <c r="EC100" i="13" s="1"/>
  <c r="FD100" i="13" s="1"/>
  <c r="FG100" i="13" s="1"/>
  <c r="CT100" i="13"/>
  <c r="CV100" i="13"/>
  <c r="CU100" i="13"/>
  <c r="DS100" i="13"/>
  <c r="DW100" i="13" s="1"/>
  <c r="EA100" i="13" s="1"/>
  <c r="CM100" i="13"/>
  <c r="CL100" i="13"/>
  <c r="BB101" i="13" s="1"/>
  <c r="BD101" i="13" l="1"/>
  <c r="EQ101" i="13" s="1"/>
  <c r="ES101" i="13" s="1"/>
  <c r="BE101" i="13"/>
  <c r="BC103" i="12"/>
  <c r="EV101" i="13" l="1"/>
  <c r="EY101" i="13" s="1"/>
  <c r="FB101" i="13" s="1"/>
  <c r="FF101" i="13" s="1"/>
  <c r="EU101" i="13"/>
  <c r="EX101" i="13" s="1"/>
  <c r="FA101" i="13" s="1"/>
  <c r="ET101" i="13"/>
  <c r="EW101" i="13" s="1"/>
  <c r="EZ101" i="13" s="1"/>
  <c r="BC101" i="13"/>
  <c r="BI103" i="12"/>
  <c r="BG103" i="12"/>
  <c r="BF103" i="12"/>
  <c r="BK103" i="12"/>
  <c r="BH103" i="12"/>
  <c r="BK101" i="13" l="1"/>
  <c r="BH101" i="13"/>
  <c r="BI101" i="13"/>
  <c r="BF101" i="13"/>
  <c r="BG101" i="13"/>
  <c r="BM103" i="12"/>
  <c r="CR103" i="12" s="1"/>
  <c r="BL103" i="12"/>
  <c r="BW103" i="12" s="1"/>
  <c r="BO103" i="12"/>
  <c r="DL103" i="12" s="1"/>
  <c r="BN103" i="12"/>
  <c r="DB103" i="12" s="1"/>
  <c r="BO101" i="13" l="1"/>
  <c r="DL101" i="13" s="1"/>
  <c r="DM101" i="13" s="1"/>
  <c r="BL101" i="13"/>
  <c r="BW101" i="13" s="1"/>
  <c r="BX101" i="13" s="1"/>
  <c r="BN101" i="13"/>
  <c r="DB101" i="13" s="1"/>
  <c r="BM101" i="13"/>
  <c r="CR101" i="13" s="1"/>
  <c r="CS101" i="13" s="1"/>
  <c r="CS103" i="12"/>
  <c r="CW103" i="12" s="1"/>
  <c r="BX103" i="12"/>
  <c r="CE103" i="12" s="1"/>
  <c r="DM103" i="12"/>
  <c r="DQ103" i="12" s="1"/>
  <c r="DC103" i="12"/>
  <c r="DG103" i="12" s="1"/>
  <c r="DP101" i="13" l="1"/>
  <c r="DN101" i="13"/>
  <c r="DU101" i="13"/>
  <c r="DY101" i="13" s="1"/>
  <c r="EC101" i="13" s="1"/>
  <c r="FD101" i="13" s="1"/>
  <c r="FG101" i="13" s="1"/>
  <c r="CD101" i="13"/>
  <c r="CC101" i="13"/>
  <c r="BZ101" i="13"/>
  <c r="BY101" i="13"/>
  <c r="CA101" i="13"/>
  <c r="DC101" i="13"/>
  <c r="DG101" i="13" s="1"/>
  <c r="DQ101" i="13"/>
  <c r="DO101" i="13"/>
  <c r="CE101" i="13"/>
  <c r="CH101" i="13"/>
  <c r="CI101" i="13"/>
  <c r="CK101" i="13" s="1"/>
  <c r="CB101" i="13"/>
  <c r="CW101" i="13"/>
  <c r="CU101" i="13"/>
  <c r="CT101" i="13"/>
  <c r="CV101" i="13"/>
  <c r="DS101" i="13"/>
  <c r="DW101" i="13" s="1"/>
  <c r="EA101" i="13" s="1"/>
  <c r="CT103" i="12"/>
  <c r="DS103" i="12"/>
  <c r="DW103" i="12" s="1"/>
  <c r="EA103" i="12" s="1"/>
  <c r="CU103" i="12"/>
  <c r="CV103" i="12"/>
  <c r="CD103" i="12"/>
  <c r="CC103" i="12"/>
  <c r="BY103" i="12"/>
  <c r="BZ103" i="12"/>
  <c r="CH103" i="12"/>
  <c r="CB103" i="12"/>
  <c r="CA103" i="12"/>
  <c r="CI103" i="12"/>
  <c r="CK103" i="12" s="1"/>
  <c r="DP103" i="12"/>
  <c r="DU103" i="12"/>
  <c r="DY103" i="12" s="1"/>
  <c r="EC103" i="12" s="1"/>
  <c r="DO103" i="12"/>
  <c r="DN103" i="12"/>
  <c r="DT103" i="12"/>
  <c r="DX103" i="12" s="1"/>
  <c r="EB103" i="12" s="1"/>
  <c r="DE103" i="12"/>
  <c r="DF103" i="12"/>
  <c r="DD103" i="12"/>
  <c r="G86" i="11" l="1"/>
  <c r="G87" i="11"/>
  <c r="FD103" i="12"/>
  <c r="FG103" i="12" s="1"/>
  <c r="CL101" i="13"/>
  <c r="BB102" i="13" s="1"/>
  <c r="CM101" i="13"/>
  <c r="DT101" i="13"/>
  <c r="DX101" i="13" s="1"/>
  <c r="EB101" i="13" s="1"/>
  <c r="DF101" i="13"/>
  <c r="DD101" i="13"/>
  <c r="DE101" i="13"/>
  <c r="CL103" i="12"/>
  <c r="BB104" i="12" s="1"/>
  <c r="CM103" i="12"/>
  <c r="BE104" i="12" l="1"/>
  <c r="BD102" i="13"/>
  <c r="BE102" i="13"/>
  <c r="EQ102" i="13" l="1"/>
  <c r="ES102" i="13" s="1"/>
  <c r="BC102" i="13"/>
  <c r="BC104" i="12"/>
  <c r="EU102" i="13" l="1"/>
  <c r="EX102" i="13" s="1"/>
  <c r="FA102" i="13" s="1"/>
  <c r="ET102" i="13"/>
  <c r="EW102" i="13" s="1"/>
  <c r="EZ102" i="13" s="1"/>
  <c r="EV102" i="13"/>
  <c r="EY102" i="13" s="1"/>
  <c r="FB102" i="13" s="1"/>
  <c r="FF102" i="13" s="1"/>
  <c r="BK102" i="13"/>
  <c r="BH102" i="13"/>
  <c r="BG102" i="13"/>
  <c r="BI102" i="13"/>
  <c r="BF102" i="13"/>
  <c r="BF104" i="12"/>
  <c r="BH104" i="12"/>
  <c r="BG104" i="12"/>
  <c r="BK104" i="12"/>
  <c r="BI104" i="12"/>
  <c r="BO102" i="13" l="1"/>
  <c r="DL102" i="13" s="1"/>
  <c r="BM102" i="13"/>
  <c r="CR102" i="13" s="1"/>
  <c r="BL102" i="13"/>
  <c r="BW102" i="13" s="1"/>
  <c r="BX102" i="13" s="1"/>
  <c r="BN102" i="13"/>
  <c r="DB102" i="13" s="1"/>
  <c r="DC102" i="13" s="1"/>
  <c r="BN104" i="12"/>
  <c r="DB104" i="12" s="1"/>
  <c r="BO104" i="12"/>
  <c r="DL104" i="12" s="1"/>
  <c r="BM104" i="12"/>
  <c r="CR104" i="12" s="1"/>
  <c r="BL104" i="12"/>
  <c r="BW104" i="12" s="1"/>
  <c r="DM102" i="13" l="1"/>
  <c r="DQ102" i="13" s="1"/>
  <c r="CS102" i="13"/>
  <c r="CW102" i="13" s="1"/>
  <c r="CE102" i="13"/>
  <c r="BY102" i="13"/>
  <c r="CC102" i="13"/>
  <c r="CD102" i="13"/>
  <c r="BZ102" i="13"/>
  <c r="CI102" i="13"/>
  <c r="CK102" i="13" s="1"/>
  <c r="CB102" i="13"/>
  <c r="CA102" i="13"/>
  <c r="CH102" i="13"/>
  <c r="DG102" i="13"/>
  <c r="DD102" i="13"/>
  <c r="DT102" i="13"/>
  <c r="DX102" i="13" s="1"/>
  <c r="EB102" i="13" s="1"/>
  <c r="DE102" i="13"/>
  <c r="DF102" i="13"/>
  <c r="DC104" i="12"/>
  <c r="DG104" i="12" s="1"/>
  <c r="DM104" i="12"/>
  <c r="DQ104" i="12" s="1"/>
  <c r="CS104" i="12"/>
  <c r="CW104" i="12" s="1"/>
  <c r="BX104" i="12"/>
  <c r="CE104" i="12" s="1"/>
  <c r="CL102" i="13" l="1"/>
  <c r="BB103" i="13" s="1"/>
  <c r="CM102" i="13"/>
  <c r="DU102" i="13"/>
  <c r="DY102" i="13" s="1"/>
  <c r="EC102" i="13" s="1"/>
  <c r="FD102" i="13" s="1"/>
  <c r="FG102" i="13" s="1"/>
  <c r="DO102" i="13"/>
  <c r="DN102" i="13"/>
  <c r="DP102" i="13"/>
  <c r="DS102" i="13"/>
  <c r="DW102" i="13" s="1"/>
  <c r="EA102" i="13" s="1"/>
  <c r="CV102" i="13"/>
  <c r="CU102" i="13"/>
  <c r="CT102" i="13"/>
  <c r="DF104" i="12"/>
  <c r="DE104" i="12"/>
  <c r="DD104" i="12"/>
  <c r="DT104" i="12"/>
  <c r="DX104" i="12" s="1"/>
  <c r="EB104" i="12" s="1"/>
  <c r="DO104" i="12"/>
  <c r="DP104" i="12"/>
  <c r="DN104" i="12"/>
  <c r="DU104" i="12"/>
  <c r="DY104" i="12" s="1"/>
  <c r="EC104" i="12" s="1"/>
  <c r="CU104" i="12"/>
  <c r="CV104" i="12"/>
  <c r="CT104" i="12"/>
  <c r="DS104" i="12"/>
  <c r="DW104" i="12" s="1"/>
  <c r="EA104" i="12" s="1"/>
  <c r="CI104" i="12"/>
  <c r="CK104" i="12" s="1"/>
  <c r="CH104" i="12"/>
  <c r="CC104" i="12"/>
  <c r="BZ104" i="12"/>
  <c r="CD104" i="12"/>
  <c r="CB104" i="12"/>
  <c r="BY104" i="12"/>
  <c r="CA104" i="12"/>
  <c r="FD104" i="12" l="1"/>
  <c r="FG104" i="12" s="1"/>
  <c r="BD103" i="13"/>
  <c r="EQ103" i="13" s="1"/>
  <c r="ES103" i="13" s="1"/>
  <c r="EU103" i="13" s="1"/>
  <c r="EX103" i="13" s="1"/>
  <c r="FA103" i="13" s="1"/>
  <c r="BE103" i="13"/>
  <c r="CL104" i="12"/>
  <c r="BB105" i="12" s="1"/>
  <c r="CM104" i="12"/>
  <c r="BE105" i="12" l="1"/>
  <c r="BC103" i="13"/>
  <c r="BK103" i="13" s="1"/>
  <c r="EV103" i="13"/>
  <c r="EY103" i="13" s="1"/>
  <c r="FB103" i="13" s="1"/>
  <c r="FF103" i="13" s="1"/>
  <c r="ET103" i="13"/>
  <c r="EW103" i="13" s="1"/>
  <c r="EZ103" i="13" s="1"/>
  <c r="BG103" i="13" l="1"/>
  <c r="BF103" i="13"/>
  <c r="BH103" i="13"/>
  <c r="BI103" i="13"/>
  <c r="BO103" i="13"/>
  <c r="DL103" i="13" s="1"/>
  <c r="DM103" i="13" s="1"/>
  <c r="BL103" i="13"/>
  <c r="BW103" i="13" s="1"/>
  <c r="BM103" i="13"/>
  <c r="CR103" i="13" s="1"/>
  <c r="CS103" i="13" s="1"/>
  <c r="BN103" i="13"/>
  <c r="DB103" i="13" s="1"/>
  <c r="DC103" i="13" s="1"/>
  <c r="BC105" i="12"/>
  <c r="BH105" i="12" s="1"/>
  <c r="DU103" i="13" l="1"/>
  <c r="DY103" i="13" s="1"/>
  <c r="EC103" i="13" s="1"/>
  <c r="FD103" i="13" s="1"/>
  <c r="FG103" i="13" s="1"/>
  <c r="DN103" i="13"/>
  <c r="DP103" i="13"/>
  <c r="DO103" i="13"/>
  <c r="DQ103" i="13"/>
  <c r="BX103" i="13"/>
  <c r="CE103" i="13" s="1"/>
  <c r="CU103" i="13"/>
  <c r="DS103" i="13"/>
  <c r="DW103" i="13" s="1"/>
  <c r="EA103" i="13" s="1"/>
  <c r="CV103" i="13"/>
  <c r="CT103" i="13"/>
  <c r="CW103" i="13"/>
  <c r="DE103" i="13"/>
  <c r="DF103" i="13"/>
  <c r="DD103" i="13"/>
  <c r="DT103" i="13"/>
  <c r="DX103" i="13" s="1"/>
  <c r="EB103" i="13" s="1"/>
  <c r="DG103" i="13"/>
  <c r="BI105" i="12"/>
  <c r="BK105" i="12"/>
  <c r="BG105" i="12"/>
  <c r="BF105" i="12"/>
  <c r="BY103" i="13" l="1"/>
  <c r="BZ103" i="13"/>
  <c r="CH103" i="13"/>
  <c r="CA103" i="13"/>
  <c r="CD103" i="13"/>
  <c r="CB103" i="13"/>
  <c r="CI103" i="13"/>
  <c r="CK103" i="13" s="1"/>
  <c r="CC103" i="13"/>
  <c r="BO105" i="12"/>
  <c r="DL105" i="12" s="1"/>
  <c r="DM105" i="12" s="1"/>
  <c r="DQ105" i="12" s="1"/>
  <c r="BN105" i="12"/>
  <c r="DB105" i="12" s="1"/>
  <c r="DC105" i="12" s="1"/>
  <c r="DG105" i="12" s="1"/>
  <c r="BM105" i="12"/>
  <c r="CR105" i="12" s="1"/>
  <c r="CS105" i="12" s="1"/>
  <c r="CW105" i="12" s="1"/>
  <c r="BL105" i="12"/>
  <c r="BW105" i="12" s="1"/>
  <c r="BX105" i="12" s="1"/>
  <c r="CE105" i="12" s="1"/>
  <c r="CM103" i="13" l="1"/>
  <c r="CL103" i="13"/>
  <c r="BB104" i="13" s="1"/>
  <c r="DN105" i="12"/>
  <c r="DU105" i="12"/>
  <c r="DY105" i="12" s="1"/>
  <c r="EC105" i="12" s="1"/>
  <c r="G88" i="11" s="1"/>
  <c r="DO105" i="12"/>
  <c r="DP105" i="12"/>
  <c r="DD105" i="12"/>
  <c r="DF105" i="12"/>
  <c r="DT105" i="12"/>
  <c r="DX105" i="12" s="1"/>
  <c r="EB105" i="12" s="1"/>
  <c r="DE105" i="12"/>
  <c r="DS105" i="12"/>
  <c r="DW105" i="12" s="1"/>
  <c r="EA105" i="12" s="1"/>
  <c r="CV105" i="12"/>
  <c r="CT105" i="12"/>
  <c r="CU105" i="12"/>
  <c r="BY105" i="12"/>
  <c r="CB105" i="12"/>
  <c r="CH105" i="12"/>
  <c r="CI105" i="12"/>
  <c r="CK105" i="12" s="1"/>
  <c r="BZ105" i="12"/>
  <c r="CC105" i="12"/>
  <c r="CD105" i="12"/>
  <c r="CA105" i="12"/>
  <c r="FD105" i="12" l="1"/>
  <c r="FG105" i="12" s="1"/>
  <c r="BE104" i="13"/>
  <c r="BD104" i="13"/>
  <c r="EQ104" i="13" s="1"/>
  <c r="ES104" i="13" s="1"/>
  <c r="CM105" i="12"/>
  <c r="CL105" i="12"/>
  <c r="BB106" i="12" s="1"/>
  <c r="BE106" i="12" l="1"/>
  <c r="EU104" i="13"/>
  <c r="EX104" i="13" s="1"/>
  <c r="FA104" i="13" s="1"/>
  <c r="ET104" i="13"/>
  <c r="EW104" i="13" s="1"/>
  <c r="EZ104" i="13" s="1"/>
  <c r="EV104" i="13"/>
  <c r="EY104" i="13" s="1"/>
  <c r="FB104" i="13" s="1"/>
  <c r="FF104" i="13" s="1"/>
  <c r="BC104" i="13"/>
  <c r="BG104" i="13" l="1"/>
  <c r="BH104" i="13"/>
  <c r="BK104" i="13"/>
  <c r="BF104" i="13"/>
  <c r="BI104" i="13"/>
  <c r="BC106" i="12"/>
  <c r="BM104" i="13" l="1"/>
  <c r="CR104" i="13" s="1"/>
  <c r="CS104" i="13" s="1"/>
  <c r="BL104" i="13"/>
  <c r="BW104" i="13" s="1"/>
  <c r="BN104" i="13"/>
  <c r="DB104" i="13" s="1"/>
  <c r="DC104" i="13" s="1"/>
  <c r="BO104" i="13"/>
  <c r="DL104" i="13" s="1"/>
  <c r="DM104" i="13" s="1"/>
  <c r="BF106" i="12"/>
  <c r="BH106" i="12"/>
  <c r="BK106" i="12"/>
  <c r="BG106" i="12"/>
  <c r="BI106" i="12"/>
  <c r="CT104" i="13" l="1"/>
  <c r="CV104" i="13"/>
  <c r="CU104" i="13"/>
  <c r="DS104" i="13"/>
  <c r="DW104" i="13" s="1"/>
  <c r="EA104" i="13" s="1"/>
  <c r="CW104" i="13"/>
  <c r="BX104" i="13"/>
  <c r="CE104" i="13" s="1"/>
  <c r="DT104" i="13"/>
  <c r="DX104" i="13" s="1"/>
  <c r="EB104" i="13" s="1"/>
  <c r="DD104" i="13"/>
  <c r="DF104" i="13"/>
  <c r="DE104" i="13"/>
  <c r="DG104" i="13"/>
  <c r="DU104" i="13"/>
  <c r="DY104" i="13" s="1"/>
  <c r="EC104" i="13" s="1"/>
  <c r="FD104" i="13" s="1"/>
  <c r="FG104" i="13" s="1"/>
  <c r="DP104" i="13"/>
  <c r="DN104" i="13"/>
  <c r="DO104" i="13"/>
  <c r="DQ104" i="13"/>
  <c r="BL106" i="12"/>
  <c r="BW106" i="12" s="1"/>
  <c r="BO106" i="12"/>
  <c r="DL106" i="12" s="1"/>
  <c r="BN106" i="12"/>
  <c r="DB106" i="12" s="1"/>
  <c r="BM106" i="12"/>
  <c r="CR106" i="12" s="1"/>
  <c r="BZ104" i="13" l="1"/>
  <c r="CC104" i="13"/>
  <c r="BY104" i="13"/>
  <c r="CB104" i="13"/>
  <c r="CA104" i="13"/>
  <c r="CD104" i="13"/>
  <c r="CH104" i="13"/>
  <c r="CI104" i="13"/>
  <c r="CK104" i="13" s="1"/>
  <c r="BX106" i="12"/>
  <c r="CE106" i="12" s="1"/>
  <c r="DM106" i="12"/>
  <c r="DQ106" i="12" s="1"/>
  <c r="DC106" i="12"/>
  <c r="DG106" i="12" s="1"/>
  <c r="CS106" i="12"/>
  <c r="CW106" i="12" s="1"/>
  <c r="CM104" i="13" l="1"/>
  <c r="CL104" i="13"/>
  <c r="BB105" i="13" s="1"/>
  <c r="CA106" i="12"/>
  <c r="CB106" i="12"/>
  <c r="BY106" i="12"/>
  <c r="CH106" i="12"/>
  <c r="CD106" i="12"/>
  <c r="BZ106" i="12"/>
  <c r="CC106" i="12"/>
  <c r="CI106" i="12"/>
  <c r="CK106" i="12" s="1"/>
  <c r="DO106" i="12"/>
  <c r="DP106" i="12"/>
  <c r="DN106" i="12"/>
  <c r="DU106" i="12"/>
  <c r="DY106" i="12" s="1"/>
  <c r="EC106" i="12" s="1"/>
  <c r="G89" i="11" s="1"/>
  <c r="DD106" i="12"/>
  <c r="DT106" i="12"/>
  <c r="DX106" i="12" s="1"/>
  <c r="EB106" i="12" s="1"/>
  <c r="DF106" i="12"/>
  <c r="DE106" i="12"/>
  <c r="DS106" i="12"/>
  <c r="DW106" i="12" s="1"/>
  <c r="EA106" i="12" s="1"/>
  <c r="CU106" i="12"/>
  <c r="CV106" i="12"/>
  <c r="CT106" i="12"/>
  <c r="FD106" i="12" l="1"/>
  <c r="FG106" i="12" s="1"/>
  <c r="BD105" i="13"/>
  <c r="EQ105" i="13" s="1"/>
  <c r="ES105" i="13" s="1"/>
  <c r="BE105" i="13"/>
  <c r="CL106" i="12"/>
  <c r="BB107" i="12" s="1"/>
  <c r="CM106" i="12"/>
  <c r="BE107" i="12" l="1"/>
  <c r="EV105" i="13"/>
  <c r="EY105" i="13" s="1"/>
  <c r="FB105" i="13" s="1"/>
  <c r="FF105" i="13" s="1"/>
  <c r="EU105" i="13"/>
  <c r="EX105" i="13" s="1"/>
  <c r="FA105" i="13" s="1"/>
  <c r="ET105" i="13"/>
  <c r="EW105" i="13" s="1"/>
  <c r="EZ105" i="13" s="1"/>
  <c r="BC105" i="13"/>
  <c r="BH105" i="13" l="1"/>
  <c r="BG105" i="13"/>
  <c r="BF105" i="13"/>
  <c r="BK105" i="13"/>
  <c r="BI105" i="13"/>
  <c r="BC107" i="12"/>
  <c r="BO105" i="13" l="1"/>
  <c r="DL105" i="13" s="1"/>
  <c r="BM105" i="13"/>
  <c r="CR105" i="13" s="1"/>
  <c r="BL105" i="13"/>
  <c r="BW105" i="13" s="1"/>
  <c r="BX105" i="13" s="1"/>
  <c r="BN105" i="13"/>
  <c r="DB105" i="13" s="1"/>
  <c r="BG107" i="12"/>
  <c r="BH107" i="12"/>
  <c r="BF107" i="12"/>
  <c r="BK107" i="12"/>
  <c r="BI107" i="12"/>
  <c r="DM105" i="13" l="1"/>
  <c r="DQ105" i="13" s="1"/>
  <c r="CS105" i="13"/>
  <c r="CW105" i="13" s="1"/>
  <c r="CH105" i="13"/>
  <c r="CC105" i="13"/>
  <c r="CI105" i="13"/>
  <c r="CK105" i="13" s="1"/>
  <c r="CB105" i="13"/>
  <c r="BZ105" i="13"/>
  <c r="CA105" i="13"/>
  <c r="CD105" i="13"/>
  <c r="BY105" i="13"/>
  <c r="CE105" i="13"/>
  <c r="DC105" i="13"/>
  <c r="DG105" i="13" s="1"/>
  <c r="BL107" i="12"/>
  <c r="BW107" i="12" s="1"/>
  <c r="BM107" i="12"/>
  <c r="CR107" i="12" s="1"/>
  <c r="BO107" i="12"/>
  <c r="DL107" i="12" s="1"/>
  <c r="DM107" i="12" s="1"/>
  <c r="BN107" i="12"/>
  <c r="DB107" i="12" s="1"/>
  <c r="DP105" i="13" l="1"/>
  <c r="DU105" i="13"/>
  <c r="DY105" i="13" s="1"/>
  <c r="EC105" i="13" s="1"/>
  <c r="FD105" i="13" s="1"/>
  <c r="FG105" i="13" s="1"/>
  <c r="DN105" i="13"/>
  <c r="DO105" i="13"/>
  <c r="CV105" i="13"/>
  <c r="CT105" i="13"/>
  <c r="CU105" i="13"/>
  <c r="DS105" i="13"/>
  <c r="DW105" i="13" s="1"/>
  <c r="EA105" i="13" s="1"/>
  <c r="CL105" i="13"/>
  <c r="BB106" i="13" s="1"/>
  <c r="CM105" i="13"/>
  <c r="DT105" i="13"/>
  <c r="DX105" i="13" s="1"/>
  <c r="EB105" i="13" s="1"/>
  <c r="DD105" i="13"/>
  <c r="DE105" i="13"/>
  <c r="DF105" i="13"/>
  <c r="BX107" i="12"/>
  <c r="CE107" i="12" s="1"/>
  <c r="CS107" i="12"/>
  <c r="CW107" i="12" s="1"/>
  <c r="DN107" i="12"/>
  <c r="DP107" i="12"/>
  <c r="DO107" i="12"/>
  <c r="DU107" i="12"/>
  <c r="DY107" i="12" s="1"/>
  <c r="EC107" i="12" s="1"/>
  <c r="G90" i="11" s="1"/>
  <c r="DQ107" i="12"/>
  <c r="DC107" i="12"/>
  <c r="DG107" i="12" s="1"/>
  <c r="BE106" i="13" l="1"/>
  <c r="BD106" i="13"/>
  <c r="EQ106" i="13" s="1"/>
  <c r="ES106" i="13" s="1"/>
  <c r="BZ107" i="12"/>
  <c r="CH107" i="12"/>
  <c r="CB107" i="12"/>
  <c r="BY107" i="12"/>
  <c r="CC107" i="12"/>
  <c r="CD107" i="12"/>
  <c r="CI107" i="12"/>
  <c r="CK107" i="12" s="1"/>
  <c r="CA107" i="12"/>
  <c r="CT107" i="12"/>
  <c r="CU107" i="12"/>
  <c r="DS107" i="12"/>
  <c r="DW107" i="12" s="1"/>
  <c r="EA107" i="12" s="1"/>
  <c r="CV107" i="12"/>
  <c r="DD107" i="12"/>
  <c r="DF107" i="12"/>
  <c r="DE107" i="12"/>
  <c r="DT107" i="12"/>
  <c r="DX107" i="12" s="1"/>
  <c r="EB107" i="12" s="1"/>
  <c r="EU106" i="13" l="1"/>
  <c r="EX106" i="13" s="1"/>
  <c r="FA106" i="13" s="1"/>
  <c r="ET106" i="13"/>
  <c r="EW106" i="13" s="1"/>
  <c r="EZ106" i="13" s="1"/>
  <c r="EV106" i="13"/>
  <c r="EY106" i="13" s="1"/>
  <c r="FB106" i="13" s="1"/>
  <c r="FF106" i="13" s="1"/>
  <c r="BC106" i="13"/>
  <c r="CM107" i="12"/>
  <c r="CL107" i="12"/>
  <c r="BB108" i="12" s="1"/>
  <c r="BE108" i="12" l="1"/>
  <c r="BG106" i="13"/>
  <c r="BH106" i="13"/>
  <c r="BF106" i="13"/>
  <c r="BK106" i="13"/>
  <c r="BI106" i="13"/>
  <c r="BM106" i="13" l="1"/>
  <c r="CR106" i="13" s="1"/>
  <c r="CS106" i="13" s="1"/>
  <c r="BN106" i="13"/>
  <c r="DB106" i="13" s="1"/>
  <c r="BO106" i="13"/>
  <c r="DL106" i="13" s="1"/>
  <c r="BL106" i="13"/>
  <c r="BW106" i="13" s="1"/>
  <c r="BX106" i="13" s="1"/>
  <c r="BC108" i="12"/>
  <c r="CV106" i="13" l="1"/>
  <c r="DS106" i="13"/>
  <c r="DW106" i="13" s="1"/>
  <c r="EA106" i="13" s="1"/>
  <c r="CT106" i="13"/>
  <c r="CU106" i="13"/>
  <c r="CW106" i="13"/>
  <c r="DC106" i="13"/>
  <c r="DG106" i="13" s="1"/>
  <c r="DM106" i="13"/>
  <c r="DQ106" i="13" s="1"/>
  <c r="CI106" i="13"/>
  <c r="CK106" i="13" s="1"/>
  <c r="CH106" i="13"/>
  <c r="CA106" i="13"/>
  <c r="CB106" i="13"/>
  <c r="BZ106" i="13"/>
  <c r="CD106" i="13"/>
  <c r="BY106" i="13"/>
  <c r="CC106" i="13"/>
  <c r="CE106" i="13"/>
  <c r="BF108" i="12"/>
  <c r="BG108" i="12"/>
  <c r="BK108" i="12"/>
  <c r="BH108" i="12"/>
  <c r="BI108" i="12"/>
  <c r="DT106" i="13" l="1"/>
  <c r="DX106" i="13" s="1"/>
  <c r="EB106" i="13" s="1"/>
  <c r="DF106" i="13"/>
  <c r="DD106" i="13"/>
  <c r="DE106" i="13"/>
  <c r="DN106" i="13"/>
  <c r="DU106" i="13"/>
  <c r="DY106" i="13" s="1"/>
  <c r="EC106" i="13" s="1"/>
  <c r="FD106" i="13" s="1"/>
  <c r="FG106" i="13" s="1"/>
  <c r="DP106" i="13"/>
  <c r="DO106" i="13"/>
  <c r="CM106" i="13"/>
  <c r="CL106" i="13"/>
  <c r="BB107" i="13" s="1"/>
  <c r="BN108" i="12"/>
  <c r="DB108" i="12" s="1"/>
  <c r="BL108" i="12"/>
  <c r="BW108" i="12" s="1"/>
  <c r="BM108" i="12"/>
  <c r="CR108" i="12" s="1"/>
  <c r="BO108" i="12"/>
  <c r="DL108" i="12" s="1"/>
  <c r="BE107" i="13" l="1"/>
  <c r="BD107" i="13"/>
  <c r="DC108" i="12"/>
  <c r="DG108" i="12" s="1"/>
  <c r="BX108" i="12"/>
  <c r="CE108" i="12" s="1"/>
  <c r="CS108" i="12"/>
  <c r="CW108" i="12" s="1"/>
  <c r="DM108" i="12"/>
  <c r="DQ108" i="12" s="1"/>
  <c r="BC107" i="13" l="1"/>
  <c r="DE108" i="12"/>
  <c r="DD108" i="12"/>
  <c r="DT108" i="12"/>
  <c r="DX108" i="12" s="1"/>
  <c r="EB108" i="12" s="1"/>
  <c r="DF108" i="12"/>
  <c r="CI108" i="12"/>
  <c r="CK108" i="12" s="1"/>
  <c r="BZ108" i="12"/>
  <c r="CD108" i="12"/>
  <c r="BY108" i="12"/>
  <c r="CB108" i="12"/>
  <c r="CA108" i="12"/>
  <c r="CC108" i="12"/>
  <c r="CH108" i="12"/>
  <c r="CU108" i="12"/>
  <c r="CT108" i="12"/>
  <c r="DS108" i="12"/>
  <c r="DW108" i="12" s="1"/>
  <c r="EA108" i="12" s="1"/>
  <c r="CV108" i="12"/>
  <c r="DP108" i="12"/>
  <c r="DU108" i="12"/>
  <c r="DY108" i="12" s="1"/>
  <c r="EC108" i="12" s="1"/>
  <c r="G91" i="11" s="1"/>
  <c r="DN108" i="12"/>
  <c r="DO108" i="12"/>
  <c r="BH107" i="13" l="1"/>
  <c r="BK107" i="13"/>
  <c r="BG107" i="13"/>
  <c r="BF107" i="13"/>
  <c r="BI107" i="13"/>
  <c r="CL108" i="12"/>
  <c r="BB109" i="12" s="1"/>
  <c r="CM108" i="12"/>
  <c r="BE109" i="12" l="1"/>
  <c r="BO107" i="13"/>
  <c r="DL107" i="13" s="1"/>
  <c r="BL107" i="13"/>
  <c r="BW107" i="13" s="1"/>
  <c r="BN107" i="13"/>
  <c r="DB107" i="13" s="1"/>
  <c r="BM107" i="13"/>
  <c r="CR107" i="13" s="1"/>
  <c r="DM107" i="13" l="1"/>
  <c r="DQ107" i="13" s="1"/>
  <c r="BX107" i="13"/>
  <c r="CE107" i="13" s="1"/>
  <c r="DC107" i="13"/>
  <c r="DG107" i="13" s="1"/>
  <c r="CS107" i="13"/>
  <c r="CW107" i="13" s="1"/>
  <c r="BC109" i="12"/>
  <c r="DU107" i="13" l="1"/>
  <c r="DY107" i="13" s="1"/>
  <c r="EC107" i="13" s="1"/>
  <c r="DP107" i="13"/>
  <c r="DN107" i="13"/>
  <c r="DO107" i="13"/>
  <c r="CA107" i="13"/>
  <c r="CD107" i="13"/>
  <c r="CC107" i="13"/>
  <c r="CB107" i="13"/>
  <c r="BY107" i="13"/>
  <c r="BZ107" i="13"/>
  <c r="CH107" i="13"/>
  <c r="CI107" i="13"/>
  <c r="CK107" i="13" s="1"/>
  <c r="DE107" i="13"/>
  <c r="DT107" i="13"/>
  <c r="DX107" i="13" s="1"/>
  <c r="EB107" i="13" s="1"/>
  <c r="DD107" i="13"/>
  <c r="DF107" i="13"/>
  <c r="CV107" i="13"/>
  <c r="DS107" i="13"/>
  <c r="DW107" i="13" s="1"/>
  <c r="EA107" i="13" s="1"/>
  <c r="CT107" i="13"/>
  <c r="CU107" i="13"/>
  <c r="BH109" i="12"/>
  <c r="BF109" i="12"/>
  <c r="BG109" i="12"/>
  <c r="BK109" i="12"/>
  <c r="BI109" i="12"/>
  <c r="CM107" i="13" l="1"/>
  <c r="CL107" i="13"/>
  <c r="BB108" i="13" s="1"/>
  <c r="BL109" i="12"/>
  <c r="BW109" i="12" s="1"/>
  <c r="BX109" i="12" s="1"/>
  <c r="BN109" i="12"/>
  <c r="DB109" i="12" s="1"/>
  <c r="DC109" i="12" s="1"/>
  <c r="BO109" i="12"/>
  <c r="DL109" i="12" s="1"/>
  <c r="DM109" i="12" s="1"/>
  <c r="BM109" i="12"/>
  <c r="CR109" i="12" s="1"/>
  <c r="CS109" i="12" s="1"/>
  <c r="BE108" i="13" l="1"/>
  <c r="BD108" i="13"/>
  <c r="CI109" i="12"/>
  <c r="CK109" i="12" s="1"/>
  <c r="CH109" i="12"/>
  <c r="CB109" i="12"/>
  <c r="BY109" i="12"/>
  <c r="BZ109" i="12"/>
  <c r="CD109" i="12"/>
  <c r="CA109" i="12"/>
  <c r="CC109" i="12"/>
  <c r="CE109" i="12"/>
  <c r="DT109" i="12"/>
  <c r="DX109" i="12" s="1"/>
  <c r="EB109" i="12" s="1"/>
  <c r="DF109" i="12"/>
  <c r="DD109" i="12"/>
  <c r="DE109" i="12"/>
  <c r="DG109" i="12"/>
  <c r="DU109" i="12"/>
  <c r="DY109" i="12" s="1"/>
  <c r="EC109" i="12" s="1"/>
  <c r="G92" i="11" s="1"/>
  <c r="DO109" i="12"/>
  <c r="DN109" i="12"/>
  <c r="DP109" i="12"/>
  <c r="DQ109" i="12"/>
  <c r="DS109" i="12"/>
  <c r="DW109" i="12" s="1"/>
  <c r="EA109" i="12" s="1"/>
  <c r="CV109" i="12"/>
  <c r="CU109" i="12"/>
  <c r="CT109" i="12"/>
  <c r="CW109" i="12"/>
  <c r="BC108" i="13" l="1"/>
  <c r="CM109" i="12"/>
  <c r="CL109" i="12"/>
  <c r="BB110" i="12" s="1"/>
  <c r="BE110" i="12" l="1"/>
  <c r="BG108" i="13"/>
  <c r="BF108" i="13"/>
  <c r="BK108" i="13"/>
  <c r="BH108" i="13"/>
  <c r="BI108" i="13"/>
  <c r="BN108" i="13" l="1"/>
  <c r="DB108" i="13" s="1"/>
  <c r="BM108" i="13"/>
  <c r="CR108" i="13" s="1"/>
  <c r="BL108" i="13"/>
  <c r="BW108" i="13" s="1"/>
  <c r="BX108" i="13" s="1"/>
  <c r="BO108" i="13"/>
  <c r="DL108" i="13" s="1"/>
  <c r="BC110" i="12"/>
  <c r="BK110" i="12" s="1"/>
  <c r="DC108" i="13" l="1"/>
  <c r="DG108" i="13" s="1"/>
  <c r="CS108" i="13"/>
  <c r="CW108" i="13" s="1"/>
  <c r="CI108" i="13"/>
  <c r="CK108" i="13" s="1"/>
  <c r="CH108" i="13"/>
  <c r="CA108" i="13"/>
  <c r="CD108" i="13"/>
  <c r="BY108" i="13"/>
  <c r="CB108" i="13"/>
  <c r="CC108" i="13"/>
  <c r="BZ108" i="13"/>
  <c r="CE108" i="13"/>
  <c r="DM108" i="13"/>
  <c r="DQ108" i="13" s="1"/>
  <c r="BI110" i="12"/>
  <c r="BF110" i="12"/>
  <c r="BG110" i="12"/>
  <c r="BH110" i="12"/>
  <c r="BM110" i="12"/>
  <c r="CR110" i="12" s="1"/>
  <c r="CS110" i="12" s="1"/>
  <c r="BL110" i="12"/>
  <c r="BW110" i="12" s="1"/>
  <c r="BX110" i="12" s="1"/>
  <c r="BO110" i="12"/>
  <c r="DL110" i="12" s="1"/>
  <c r="DM110" i="12" s="1"/>
  <c r="BN110" i="12"/>
  <c r="DB110" i="12" s="1"/>
  <c r="DC110" i="12" s="1"/>
  <c r="DE108" i="13" l="1"/>
  <c r="DF108" i="13"/>
  <c r="DT108" i="13"/>
  <c r="DX108" i="13" s="1"/>
  <c r="EB108" i="13" s="1"/>
  <c r="DD108" i="13"/>
  <c r="DS108" i="13"/>
  <c r="DW108" i="13" s="1"/>
  <c r="EA108" i="13" s="1"/>
  <c r="CV108" i="13"/>
  <c r="CT108" i="13"/>
  <c r="CU108" i="13"/>
  <c r="CL108" i="13"/>
  <c r="BB109" i="13" s="1"/>
  <c r="CM108" i="13"/>
  <c r="DU108" i="13"/>
  <c r="DY108" i="13" s="1"/>
  <c r="EC108" i="13" s="1"/>
  <c r="DO108" i="13"/>
  <c r="DP108" i="13"/>
  <c r="DN108" i="13"/>
  <c r="CV110" i="12"/>
  <c r="DS110" i="12"/>
  <c r="DW110" i="12" s="1"/>
  <c r="EA110" i="12" s="1"/>
  <c r="CT110" i="12"/>
  <c r="CU110" i="12"/>
  <c r="CW110" i="12"/>
  <c r="CI110" i="12"/>
  <c r="CK110" i="12" s="1"/>
  <c r="CD110" i="12"/>
  <c r="CC110" i="12"/>
  <c r="CH110" i="12"/>
  <c r="CA110" i="12"/>
  <c r="BY110" i="12"/>
  <c r="BZ110" i="12"/>
  <c r="CB110" i="12"/>
  <c r="CE110" i="12"/>
  <c r="DO110" i="12"/>
  <c r="DU110" i="12"/>
  <c r="DY110" i="12" s="1"/>
  <c r="EC110" i="12" s="1"/>
  <c r="G93" i="11" s="1"/>
  <c r="DP110" i="12"/>
  <c r="DN110" i="12"/>
  <c r="DQ110" i="12"/>
  <c r="DT110" i="12"/>
  <c r="DX110" i="12" s="1"/>
  <c r="EB110" i="12" s="1"/>
  <c r="DE110" i="12"/>
  <c r="DF110" i="12"/>
  <c r="DD110" i="12"/>
  <c r="DG110" i="12"/>
  <c r="BE109" i="13" l="1"/>
  <c r="BD109" i="13"/>
  <c r="CL110" i="12"/>
  <c r="BB111" i="12" s="1"/>
  <c r="CM110" i="12"/>
  <c r="BE111" i="12" l="1"/>
  <c r="BC109" i="13"/>
  <c r="BF109" i="13" l="1"/>
  <c r="BK109" i="13"/>
  <c r="BH109" i="13"/>
  <c r="BG109" i="13"/>
  <c r="BI109" i="13"/>
  <c r="BC111" i="12"/>
  <c r="BL109" i="13" l="1"/>
  <c r="BW109" i="13" s="1"/>
  <c r="BX109" i="13" s="1"/>
  <c r="BN109" i="13"/>
  <c r="DB109" i="13" s="1"/>
  <c r="BO109" i="13"/>
  <c r="DL109" i="13" s="1"/>
  <c r="BM109" i="13"/>
  <c r="CR109" i="13" s="1"/>
  <c r="BG111" i="12"/>
  <c r="BH111" i="12"/>
  <c r="BF111" i="12"/>
  <c r="BK111" i="12"/>
  <c r="BI111" i="12"/>
  <c r="CH109" i="13" l="1"/>
  <c r="CI109" i="13"/>
  <c r="CK109" i="13" s="1"/>
  <c r="CA109" i="13"/>
  <c r="CD109" i="13"/>
  <c r="BY109" i="13"/>
  <c r="CB109" i="13"/>
  <c r="CC109" i="13"/>
  <c r="BZ109" i="13"/>
  <c r="CE109" i="13"/>
  <c r="DC109" i="13"/>
  <c r="DG109" i="13" s="1"/>
  <c r="DM109" i="13"/>
  <c r="DQ109" i="13" s="1"/>
  <c r="CS109" i="13"/>
  <c r="CW109" i="13" s="1"/>
  <c r="BL111" i="12"/>
  <c r="BW111" i="12" s="1"/>
  <c r="BN111" i="12"/>
  <c r="DB111" i="12" s="1"/>
  <c r="BM111" i="12"/>
  <c r="CR111" i="12" s="1"/>
  <c r="BO111" i="12"/>
  <c r="DL111" i="12" s="1"/>
  <c r="CM109" i="13" l="1"/>
  <c r="CL109" i="13"/>
  <c r="BB110" i="13" s="1"/>
  <c r="DF109" i="13"/>
  <c r="DT109" i="13"/>
  <c r="DX109" i="13" s="1"/>
  <c r="EB109" i="13" s="1"/>
  <c r="DD109" i="13"/>
  <c r="DE109" i="13"/>
  <c r="DP109" i="13"/>
  <c r="DU109" i="13"/>
  <c r="DY109" i="13" s="1"/>
  <c r="EC109" i="13" s="1"/>
  <c r="DN109" i="13"/>
  <c r="DO109" i="13"/>
  <c r="CV109" i="13"/>
  <c r="DS109" i="13"/>
  <c r="DW109" i="13" s="1"/>
  <c r="EA109" i="13" s="1"/>
  <c r="CT109" i="13"/>
  <c r="CU109" i="13"/>
  <c r="BX111" i="12"/>
  <c r="CE111" i="12" s="1"/>
  <c r="DC111" i="12"/>
  <c r="DG111" i="12" s="1"/>
  <c r="CS111" i="12"/>
  <c r="CW111" i="12" s="1"/>
  <c r="DM111" i="12"/>
  <c r="DQ111" i="12" s="1"/>
  <c r="BE110" i="13" l="1"/>
  <c r="BD110" i="13"/>
  <c r="CI111" i="12"/>
  <c r="CK111" i="12" s="1"/>
  <c r="CD111" i="12"/>
  <c r="BY111" i="12"/>
  <c r="BZ111" i="12"/>
  <c r="CA111" i="12"/>
  <c r="CH111" i="12"/>
  <c r="CB111" i="12"/>
  <c r="CC111" i="12"/>
  <c r="DF111" i="12"/>
  <c r="DD111" i="12"/>
  <c r="DT111" i="12"/>
  <c r="DX111" i="12" s="1"/>
  <c r="EB111" i="12" s="1"/>
  <c r="DE111" i="12"/>
  <c r="DS111" i="12"/>
  <c r="DW111" i="12" s="1"/>
  <c r="EA111" i="12" s="1"/>
  <c r="CU111" i="12"/>
  <c r="CT111" i="12"/>
  <c r="CV111" i="12"/>
  <c r="DU111" i="12"/>
  <c r="DY111" i="12" s="1"/>
  <c r="EC111" i="12" s="1"/>
  <c r="DP111" i="12"/>
  <c r="DN111" i="12"/>
  <c r="DO111" i="12"/>
  <c r="BC110" i="13" l="1"/>
  <c r="CL111" i="12"/>
  <c r="BB112" i="12" s="1"/>
  <c r="CM111" i="12"/>
  <c r="BE112" i="12" l="1"/>
  <c r="BH110" i="13"/>
  <c r="BK110" i="13"/>
  <c r="BG110" i="13"/>
  <c r="BF110" i="13"/>
  <c r="BI110" i="13"/>
  <c r="BL110" i="13" l="1"/>
  <c r="BW110" i="13" s="1"/>
  <c r="BM110" i="13"/>
  <c r="CR110" i="13" s="1"/>
  <c r="BO110" i="13"/>
  <c r="DL110" i="13" s="1"/>
  <c r="BN110" i="13"/>
  <c r="DB110" i="13" s="1"/>
  <c r="BC112" i="12"/>
  <c r="BX110" i="13" l="1"/>
  <c r="CE110" i="13" s="1"/>
  <c r="CS110" i="13"/>
  <c r="CW110" i="13" s="1"/>
  <c r="DM110" i="13"/>
  <c r="DQ110" i="13" s="1"/>
  <c r="DC110" i="13"/>
  <c r="DG110" i="13" s="1"/>
  <c r="BF112" i="12"/>
  <c r="BH112" i="12"/>
  <c r="BG112" i="12"/>
  <c r="BK112" i="12"/>
  <c r="BI112" i="12"/>
  <c r="CH110" i="13" l="1"/>
  <c r="CA110" i="13"/>
  <c r="CI110" i="13"/>
  <c r="CK110" i="13" s="1"/>
  <c r="CD110" i="13"/>
  <c r="BY110" i="13"/>
  <c r="CB110" i="13"/>
  <c r="CC110" i="13"/>
  <c r="BZ110" i="13"/>
  <c r="CV110" i="13"/>
  <c r="DS110" i="13"/>
  <c r="DW110" i="13" s="1"/>
  <c r="EA110" i="13" s="1"/>
  <c r="CT110" i="13"/>
  <c r="CU110" i="13"/>
  <c r="DU110" i="13"/>
  <c r="DY110" i="13" s="1"/>
  <c r="EC110" i="13" s="1"/>
  <c r="DP110" i="13"/>
  <c r="DO110" i="13"/>
  <c r="DN110" i="13"/>
  <c r="DE110" i="13"/>
  <c r="DD110" i="13"/>
  <c r="DF110" i="13"/>
  <c r="DT110" i="13"/>
  <c r="DX110" i="13" s="1"/>
  <c r="EB110" i="13" s="1"/>
  <c r="BN112" i="12"/>
  <c r="DB112" i="12" s="1"/>
  <c r="BL112" i="12"/>
  <c r="BW112" i="12" s="1"/>
  <c r="BO112" i="12"/>
  <c r="DL112" i="12" s="1"/>
  <c r="BM112" i="12"/>
  <c r="CR112" i="12" s="1"/>
  <c r="CL110" i="13" l="1"/>
  <c r="BB111" i="13" s="1"/>
  <c r="CM110" i="13"/>
  <c r="DC112" i="12"/>
  <c r="DG112" i="12" s="1"/>
  <c r="BX112" i="12"/>
  <c r="CE112" i="12" s="1"/>
  <c r="DM112" i="12"/>
  <c r="DQ112" i="12" s="1"/>
  <c r="CS112" i="12"/>
  <c r="CW112" i="12" s="1"/>
  <c r="BE111" i="13" l="1"/>
  <c r="BD111" i="13"/>
  <c r="DT112" i="12"/>
  <c r="DX112" i="12" s="1"/>
  <c r="EB112" i="12" s="1"/>
  <c r="DE112" i="12"/>
  <c r="DF112" i="12"/>
  <c r="DD112" i="12"/>
  <c r="CI112" i="12"/>
  <c r="CK112" i="12" s="1"/>
  <c r="CD112" i="12"/>
  <c r="CB112" i="12"/>
  <c r="BY112" i="12"/>
  <c r="CA112" i="12"/>
  <c r="CC112" i="12"/>
  <c r="BZ112" i="12"/>
  <c r="CH112" i="12"/>
  <c r="DO112" i="12"/>
  <c r="DP112" i="12"/>
  <c r="DN112" i="12"/>
  <c r="DU112" i="12"/>
  <c r="DY112" i="12" s="1"/>
  <c r="EC112" i="12" s="1"/>
  <c r="DS112" i="12"/>
  <c r="DW112" i="12" s="1"/>
  <c r="EA112" i="12" s="1"/>
  <c r="CU112" i="12"/>
  <c r="CT112" i="12"/>
  <c r="CV112" i="12"/>
  <c r="G94" i="11" l="1"/>
  <c r="G95" i="11"/>
  <c r="BC111" i="13"/>
  <c r="CL112" i="12"/>
  <c r="BB113" i="12" s="1"/>
  <c r="CM112" i="12"/>
  <c r="BE113" i="12" l="1"/>
  <c r="BF111" i="13"/>
  <c r="BH111" i="13"/>
  <c r="BG111" i="13"/>
  <c r="BK111" i="13"/>
  <c r="BI111" i="13"/>
  <c r="BM111" i="13" l="1"/>
  <c r="CR111" i="13" s="1"/>
  <c r="BN111" i="13"/>
  <c r="DB111" i="13" s="1"/>
  <c r="BO111" i="13"/>
  <c r="DL111" i="13" s="1"/>
  <c r="BL111" i="13"/>
  <c r="BW111" i="13" s="1"/>
  <c r="BX111" i="13" s="1"/>
  <c r="BC113" i="12"/>
  <c r="CS111" i="13" l="1"/>
  <c r="CW111" i="13" s="1"/>
  <c r="DC111" i="13"/>
  <c r="DG111" i="13" s="1"/>
  <c r="DM111" i="13"/>
  <c r="DQ111" i="13" s="1"/>
  <c r="CI111" i="13"/>
  <c r="CK111" i="13" s="1"/>
  <c r="CH111" i="13"/>
  <c r="CA111" i="13"/>
  <c r="CD111" i="13"/>
  <c r="BY111" i="13"/>
  <c r="CB111" i="13"/>
  <c r="CC111" i="13"/>
  <c r="BZ111" i="13"/>
  <c r="CE111" i="13"/>
  <c r="BF113" i="12"/>
  <c r="BK113" i="12"/>
  <c r="BH113" i="12"/>
  <c r="BG113" i="12"/>
  <c r="BI113" i="12"/>
  <c r="DS111" i="13" l="1"/>
  <c r="DW111" i="13" s="1"/>
  <c r="EA111" i="13" s="1"/>
  <c r="CT111" i="13"/>
  <c r="CV111" i="13"/>
  <c r="CU111" i="13"/>
  <c r="DF111" i="13"/>
  <c r="DT111" i="13"/>
  <c r="DX111" i="13" s="1"/>
  <c r="EB111" i="13" s="1"/>
  <c r="DD111" i="13"/>
  <c r="DE111" i="13"/>
  <c r="DN111" i="13"/>
  <c r="DP111" i="13"/>
  <c r="DU111" i="13"/>
  <c r="DY111" i="13" s="1"/>
  <c r="EC111" i="13" s="1"/>
  <c r="DO111" i="13"/>
  <c r="CM111" i="13"/>
  <c r="CL111" i="13"/>
  <c r="BB112" i="13" s="1"/>
  <c r="BM113" i="12"/>
  <c r="CR113" i="12" s="1"/>
  <c r="BL113" i="12"/>
  <c r="BW113" i="12" s="1"/>
  <c r="BN113" i="12"/>
  <c r="DB113" i="12" s="1"/>
  <c r="BO113" i="12"/>
  <c r="DL113" i="12" s="1"/>
  <c r="BE112" i="13" l="1"/>
  <c r="BD112" i="13"/>
  <c r="CS113" i="12"/>
  <c r="CW113" i="12" s="1"/>
  <c r="BX113" i="12"/>
  <c r="CE113" i="12" s="1"/>
  <c r="DC113" i="12"/>
  <c r="DG113" i="12" s="1"/>
  <c r="DM113" i="12"/>
  <c r="DQ113" i="12" s="1"/>
  <c r="BC112" i="13" l="1"/>
  <c r="CT113" i="12"/>
  <c r="CV113" i="12"/>
  <c r="DS113" i="12"/>
  <c r="DW113" i="12" s="1"/>
  <c r="EA113" i="12" s="1"/>
  <c r="CU113" i="12"/>
  <c r="CA113" i="12"/>
  <c r="CI113" i="12"/>
  <c r="CK113" i="12" s="1"/>
  <c r="CB113" i="12"/>
  <c r="BZ113" i="12"/>
  <c r="CH113" i="12"/>
  <c r="CC113" i="12"/>
  <c r="BY113" i="12"/>
  <c r="CD113" i="12"/>
  <c r="DT113" i="12"/>
  <c r="DX113" i="12" s="1"/>
  <c r="EB113" i="12" s="1"/>
  <c r="DD113" i="12"/>
  <c r="DE113" i="12"/>
  <c r="DF113" i="12"/>
  <c r="DO113" i="12"/>
  <c r="DP113" i="12"/>
  <c r="DN113" i="12"/>
  <c r="DU113" i="12"/>
  <c r="DY113" i="12" s="1"/>
  <c r="EC113" i="12" s="1"/>
  <c r="G96" i="11" s="1"/>
  <c r="BF112" i="13" l="1"/>
  <c r="BH112" i="13"/>
  <c r="BK112" i="13"/>
  <c r="BG112" i="13"/>
  <c r="BI112" i="13"/>
  <c r="CM113" i="12"/>
  <c r="CL113" i="12"/>
  <c r="BB114" i="12" s="1"/>
  <c r="BE114" i="12" l="1"/>
  <c r="BN112" i="13"/>
  <c r="DB112" i="13" s="1"/>
  <c r="BL112" i="13"/>
  <c r="BW112" i="13" s="1"/>
  <c r="BX112" i="13" s="1"/>
  <c r="BO112" i="13"/>
  <c r="DL112" i="13" s="1"/>
  <c r="BM112" i="13"/>
  <c r="CR112" i="13" s="1"/>
  <c r="DC112" i="13" l="1"/>
  <c r="DG112" i="13" s="1"/>
  <c r="CI112" i="13"/>
  <c r="CK112" i="13" s="1"/>
  <c r="CD112" i="13"/>
  <c r="CC112" i="13"/>
  <c r="BZ112" i="13"/>
  <c r="CH112" i="13"/>
  <c r="CA112" i="13"/>
  <c r="BY112" i="13"/>
  <c r="CB112" i="13"/>
  <c r="CE112" i="13"/>
  <c r="DM112" i="13"/>
  <c r="DQ112" i="13" s="1"/>
  <c r="CS112" i="13"/>
  <c r="CW112" i="13" s="1"/>
  <c r="BC114" i="12"/>
  <c r="BH114" i="12" s="1"/>
  <c r="DF112" i="13" l="1"/>
  <c r="DT112" i="13"/>
  <c r="DX112" i="13" s="1"/>
  <c r="EB112" i="13" s="1"/>
  <c r="DD112" i="13"/>
  <c r="DE112" i="13"/>
  <c r="CL112" i="13"/>
  <c r="BB113" i="13" s="1"/>
  <c r="CM112" i="13"/>
  <c r="DN112" i="13"/>
  <c r="DO112" i="13"/>
  <c r="DU112" i="13"/>
  <c r="DY112" i="13" s="1"/>
  <c r="EC112" i="13" s="1"/>
  <c r="DP112" i="13"/>
  <c r="CU112" i="13"/>
  <c r="CT112" i="13"/>
  <c r="DS112" i="13"/>
  <c r="DW112" i="13" s="1"/>
  <c r="EA112" i="13" s="1"/>
  <c r="CV112" i="13"/>
  <c r="BG114" i="12"/>
  <c r="BF114" i="12"/>
  <c r="BI114" i="12"/>
  <c r="BK114" i="12"/>
  <c r="BL114" i="12" s="1"/>
  <c r="BW114" i="12" s="1"/>
  <c r="BX114" i="12" s="1"/>
  <c r="BE113" i="13" l="1"/>
  <c r="BD113" i="13"/>
  <c r="BO114" i="12"/>
  <c r="DL114" i="12" s="1"/>
  <c r="DM114" i="12" s="1"/>
  <c r="BN114" i="12"/>
  <c r="DB114" i="12" s="1"/>
  <c r="BM114" i="12"/>
  <c r="CR114" i="12" s="1"/>
  <c r="CC114" i="12"/>
  <c r="BY114" i="12"/>
  <c r="CD114" i="12"/>
  <c r="BZ114" i="12"/>
  <c r="CI114" i="12"/>
  <c r="CK114" i="12" s="1"/>
  <c r="CA114" i="12"/>
  <c r="CB114" i="12"/>
  <c r="CH114" i="12"/>
  <c r="CE114" i="12"/>
  <c r="BC113" i="13" l="1"/>
  <c r="DN114" i="12"/>
  <c r="DQ114" i="12"/>
  <c r="DU114" i="12"/>
  <c r="DY114" i="12" s="1"/>
  <c r="EC114" i="12" s="1"/>
  <c r="DO114" i="12"/>
  <c r="DP114" i="12"/>
  <c r="DC114" i="12"/>
  <c r="DG114" i="12" s="1"/>
  <c r="CS114" i="12"/>
  <c r="CW114" i="12" s="1"/>
  <c r="CM114" i="12"/>
  <c r="CL114" i="12"/>
  <c r="BB115" i="12" s="1"/>
  <c r="BE115" i="12" l="1"/>
  <c r="BF113" i="13"/>
  <c r="BK113" i="13"/>
  <c r="BI113" i="13"/>
  <c r="BG113" i="13"/>
  <c r="BH113" i="13"/>
  <c r="DF114" i="12"/>
  <c r="DT114" i="12"/>
  <c r="DX114" i="12" s="1"/>
  <c r="EB114" i="12" s="1"/>
  <c r="DE114" i="12"/>
  <c r="DD114" i="12"/>
  <c r="CU114" i="12"/>
  <c r="CT114" i="12"/>
  <c r="CV114" i="12"/>
  <c r="DS114" i="12"/>
  <c r="DW114" i="12" s="1"/>
  <c r="EA114" i="12" s="1"/>
  <c r="BM113" i="13" l="1"/>
  <c r="CR113" i="13" s="1"/>
  <c r="BL113" i="13"/>
  <c r="BW113" i="13" s="1"/>
  <c r="BN113" i="13"/>
  <c r="DB113" i="13" s="1"/>
  <c r="DC113" i="13" s="1"/>
  <c r="DG113" i="13" s="1"/>
  <c r="BO113" i="13"/>
  <c r="DL113" i="13" s="1"/>
  <c r="DM113" i="13" s="1"/>
  <c r="DQ113" i="13" s="1"/>
  <c r="BC115" i="12"/>
  <c r="CS113" i="13" l="1"/>
  <c r="CW113" i="13" s="1"/>
  <c r="BX113" i="13"/>
  <c r="CE113" i="13" s="1"/>
  <c r="DO113" i="13"/>
  <c r="DN113" i="13"/>
  <c r="DU113" i="13"/>
  <c r="DY113" i="13" s="1"/>
  <c r="EC113" i="13" s="1"/>
  <c r="DP113" i="13"/>
  <c r="DT113" i="13"/>
  <c r="DX113" i="13" s="1"/>
  <c r="EB113" i="13" s="1"/>
  <c r="DF113" i="13"/>
  <c r="DE113" i="13"/>
  <c r="DD113" i="13"/>
  <c r="BF115" i="12"/>
  <c r="BG115" i="12"/>
  <c r="BH115" i="12"/>
  <c r="BK115" i="12"/>
  <c r="BI115" i="12"/>
  <c r="DS113" i="13" l="1"/>
  <c r="DW113" i="13" s="1"/>
  <c r="EA113" i="13" s="1"/>
  <c r="CT113" i="13"/>
  <c r="CV113" i="13"/>
  <c r="CU113" i="13"/>
  <c r="CH113" i="13"/>
  <c r="BZ113" i="13"/>
  <c r="CI113" i="13"/>
  <c r="CK113" i="13" s="1"/>
  <c r="CC113" i="13"/>
  <c r="CB113" i="13"/>
  <c r="BY113" i="13"/>
  <c r="CD113" i="13"/>
  <c r="CA113" i="13"/>
  <c r="BM115" i="12"/>
  <c r="CR115" i="12" s="1"/>
  <c r="BL115" i="12"/>
  <c r="BW115" i="12" s="1"/>
  <c r="BN115" i="12"/>
  <c r="DB115" i="12" s="1"/>
  <c r="BO115" i="12"/>
  <c r="DL115" i="12" s="1"/>
  <c r="CL113" i="13" l="1"/>
  <c r="BB114" i="13" s="1"/>
  <c r="CM113" i="13"/>
  <c r="CS115" i="12"/>
  <c r="CW115" i="12" s="1"/>
  <c r="BX115" i="12"/>
  <c r="CE115" i="12" s="1"/>
  <c r="DC115" i="12"/>
  <c r="DG115" i="12" s="1"/>
  <c r="DM115" i="12"/>
  <c r="DQ115" i="12" s="1"/>
  <c r="BD114" i="13" l="1"/>
  <c r="BE114" i="13"/>
  <c r="CV115" i="12"/>
  <c r="DS115" i="12"/>
  <c r="DW115" i="12" s="1"/>
  <c r="EA115" i="12" s="1"/>
  <c r="CT115" i="12"/>
  <c r="CU115" i="12"/>
  <c r="BZ115" i="12"/>
  <c r="CH115" i="12"/>
  <c r="CB115" i="12"/>
  <c r="CA115" i="12"/>
  <c r="CD115" i="12"/>
  <c r="CC115" i="12"/>
  <c r="BY115" i="12"/>
  <c r="CI115" i="12"/>
  <c r="CK115" i="12" s="1"/>
  <c r="DF115" i="12"/>
  <c r="DE115" i="12"/>
  <c r="DD115" i="12"/>
  <c r="DT115" i="12"/>
  <c r="DX115" i="12" s="1"/>
  <c r="EB115" i="12" s="1"/>
  <c r="DO115" i="12"/>
  <c r="DP115" i="12"/>
  <c r="DN115" i="12"/>
  <c r="DU115" i="12"/>
  <c r="DY115" i="12" s="1"/>
  <c r="EC115" i="12" s="1"/>
  <c r="G97" i="11" s="1"/>
  <c r="BC114" i="13" l="1"/>
  <c r="CM115" i="12"/>
  <c r="CL115" i="12"/>
  <c r="BB116" i="12" s="1"/>
  <c r="BE116" i="12" l="1"/>
  <c r="BG114" i="13"/>
  <c r="BK114" i="13"/>
  <c r="BF114" i="13"/>
  <c r="BH114" i="13"/>
  <c r="BI114" i="13"/>
  <c r="BM114" i="13" l="1"/>
  <c r="CR114" i="13" s="1"/>
  <c r="CS114" i="13" s="1"/>
  <c r="BL114" i="13"/>
  <c r="BW114" i="13" s="1"/>
  <c r="BX114" i="13" s="1"/>
  <c r="BO114" i="13"/>
  <c r="DL114" i="13" s="1"/>
  <c r="BN114" i="13"/>
  <c r="DB114" i="13" s="1"/>
  <c r="DC114" i="13" s="1"/>
  <c r="BC116" i="12"/>
  <c r="CW114" i="13" l="1"/>
  <c r="DS114" i="13"/>
  <c r="DW114" i="13" s="1"/>
  <c r="EA114" i="13" s="1"/>
  <c r="CT114" i="13"/>
  <c r="CU114" i="13"/>
  <c r="CV114" i="13"/>
  <c r="BY114" i="13"/>
  <c r="BZ114" i="13"/>
  <c r="CA114" i="13"/>
  <c r="CD114" i="13"/>
  <c r="CC114" i="13"/>
  <c r="CB114" i="13"/>
  <c r="CE114" i="13"/>
  <c r="CH114" i="13"/>
  <c r="CI114" i="13"/>
  <c r="CK114" i="13" s="1"/>
  <c r="DM114" i="13"/>
  <c r="DQ114" i="13" s="1"/>
  <c r="DG114" i="13"/>
  <c r="DD114" i="13"/>
  <c r="DF114" i="13"/>
  <c r="DT114" i="13"/>
  <c r="DX114" i="13" s="1"/>
  <c r="EB114" i="13" s="1"/>
  <c r="DE114" i="13"/>
  <c r="BI116" i="12"/>
  <c r="BK116" i="12"/>
  <c r="BF116" i="12"/>
  <c r="BG116" i="12"/>
  <c r="BH116" i="12"/>
  <c r="CM114" i="13" l="1"/>
  <c r="CL114" i="13"/>
  <c r="BB115" i="13" s="1"/>
  <c r="DU114" i="13"/>
  <c r="DY114" i="13" s="1"/>
  <c r="EC114" i="13" s="1"/>
  <c r="DP114" i="13"/>
  <c r="DO114" i="13"/>
  <c r="DN114" i="13"/>
  <c r="BO116" i="12"/>
  <c r="DL116" i="12" s="1"/>
  <c r="BL116" i="12"/>
  <c r="BW116" i="12" s="1"/>
  <c r="BN116" i="12"/>
  <c r="DB116" i="12" s="1"/>
  <c r="BM116" i="12"/>
  <c r="CR116" i="12" s="1"/>
  <c r="BD115" i="13" l="1"/>
  <c r="BE115" i="13"/>
  <c r="DM116" i="12"/>
  <c r="DQ116" i="12" s="1"/>
  <c r="BX116" i="12"/>
  <c r="CE116" i="12" s="1"/>
  <c r="DC116" i="12"/>
  <c r="CS116" i="12"/>
  <c r="CW116" i="12" s="1"/>
  <c r="BC115" i="13" l="1"/>
  <c r="DG116" i="12"/>
  <c r="DF116" i="12"/>
  <c r="DE116" i="12"/>
  <c r="DT116" i="12"/>
  <c r="DX116" i="12" s="1"/>
  <c r="EB116" i="12" s="1"/>
  <c r="DD116" i="12"/>
  <c r="DN116" i="12"/>
  <c r="DP116" i="12"/>
  <c r="DO116" i="12"/>
  <c r="DU116" i="12"/>
  <c r="DY116" i="12" s="1"/>
  <c r="EC116" i="12" s="1"/>
  <c r="CH116" i="12"/>
  <c r="BY116" i="12"/>
  <c r="BZ116" i="12"/>
  <c r="CB116" i="12"/>
  <c r="CC116" i="12"/>
  <c r="CD116" i="12"/>
  <c r="CA116" i="12"/>
  <c r="CI116" i="12"/>
  <c r="CK116" i="12" s="1"/>
  <c r="DS116" i="12"/>
  <c r="DW116" i="12" s="1"/>
  <c r="EA116" i="12" s="1"/>
  <c r="CV116" i="12"/>
  <c r="CU116" i="12"/>
  <c r="CT116" i="12"/>
  <c r="G98" i="11" l="1"/>
  <c r="G99" i="11"/>
  <c r="BI115" i="13"/>
  <c r="BK115" i="13"/>
  <c r="BL115" i="13" s="1"/>
  <c r="BW115" i="13" s="1"/>
  <c r="BX115" i="13" s="1"/>
  <c r="BF115" i="13"/>
  <c r="BH115" i="13"/>
  <c r="BG115" i="13"/>
  <c r="CM116" i="12"/>
  <c r="CL116" i="12"/>
  <c r="BB117" i="12" s="1"/>
  <c r="BE117" i="12" l="1"/>
  <c r="BO115" i="13"/>
  <c r="DL115" i="13" s="1"/>
  <c r="DM115" i="13" s="1"/>
  <c r="DQ115" i="13" s="1"/>
  <c r="BN115" i="13"/>
  <c r="DB115" i="13" s="1"/>
  <c r="DC115" i="13" s="1"/>
  <c r="DG115" i="13" s="1"/>
  <c r="BM115" i="13"/>
  <c r="CR115" i="13" s="1"/>
  <c r="CS115" i="13" s="1"/>
  <c r="CW115" i="13" s="1"/>
  <c r="CH115" i="13"/>
  <c r="BZ115" i="13"/>
  <c r="CA115" i="13"/>
  <c r="CD115" i="13"/>
  <c r="BY115" i="13"/>
  <c r="CB115" i="13"/>
  <c r="CC115" i="13"/>
  <c r="CI115" i="13"/>
  <c r="CK115" i="13" s="1"/>
  <c r="CE115" i="13"/>
  <c r="CL115" i="13" l="1"/>
  <c r="BB116" i="13" s="1"/>
  <c r="CM115" i="13"/>
  <c r="DF115" i="13"/>
  <c r="DT115" i="13"/>
  <c r="DX115" i="13" s="1"/>
  <c r="EB115" i="13" s="1"/>
  <c r="DD115" i="13"/>
  <c r="DE115" i="13"/>
  <c r="CV115" i="13"/>
  <c r="DS115" i="13"/>
  <c r="DW115" i="13" s="1"/>
  <c r="EA115" i="13" s="1"/>
  <c r="CT115" i="13"/>
  <c r="CU115" i="13"/>
  <c r="DP115" i="13"/>
  <c r="DU115" i="13"/>
  <c r="DY115" i="13" s="1"/>
  <c r="EC115" i="13" s="1"/>
  <c r="DN115" i="13"/>
  <c r="DO115" i="13"/>
  <c r="BC117" i="12"/>
  <c r="BE116" i="13" l="1"/>
  <c r="BD116" i="13"/>
  <c r="BK117" i="12"/>
  <c r="BG117" i="12"/>
  <c r="BF117" i="12"/>
  <c r="BH117" i="12"/>
  <c r="BI117" i="12"/>
  <c r="BC116" i="13" l="1"/>
  <c r="BO117" i="12"/>
  <c r="DL117" i="12" s="1"/>
  <c r="DM117" i="12" s="1"/>
  <c r="DQ117" i="12" s="1"/>
  <c r="BL117" i="12"/>
  <c r="BW117" i="12" s="1"/>
  <c r="BX117" i="12" s="1"/>
  <c r="CE117" i="12" s="1"/>
  <c r="BN117" i="12"/>
  <c r="DB117" i="12" s="1"/>
  <c r="DC117" i="12" s="1"/>
  <c r="DG117" i="12" s="1"/>
  <c r="BM117" i="12"/>
  <c r="CR117" i="12" s="1"/>
  <c r="CS117" i="12" s="1"/>
  <c r="CW117" i="12" s="1"/>
  <c r="BF116" i="13" l="1"/>
  <c r="BH116" i="13"/>
  <c r="BK116" i="13"/>
  <c r="BG116" i="13"/>
  <c r="BI116" i="13"/>
  <c r="DS117" i="12"/>
  <c r="DW117" i="12" s="1"/>
  <c r="EA117" i="12" s="1"/>
  <c r="CT117" i="12"/>
  <c r="CU117" i="12"/>
  <c r="CV117" i="12"/>
  <c r="DU117" i="12"/>
  <c r="DY117" i="12" s="1"/>
  <c r="EC117" i="12" s="1"/>
  <c r="DP117" i="12"/>
  <c r="DO117" i="12"/>
  <c r="DN117" i="12"/>
  <c r="DD117" i="12"/>
  <c r="DE117" i="12"/>
  <c r="DF117" i="12"/>
  <c r="DT117" i="12"/>
  <c r="DX117" i="12" s="1"/>
  <c r="EB117" i="12" s="1"/>
  <c r="CH117" i="12"/>
  <c r="CI117" i="12"/>
  <c r="CK117" i="12" s="1"/>
  <c r="CA117" i="12"/>
  <c r="CD117" i="12"/>
  <c r="BY117" i="12"/>
  <c r="CB117" i="12"/>
  <c r="CC117" i="12"/>
  <c r="BZ117" i="12"/>
  <c r="BM116" i="13" l="1"/>
  <c r="CR116" i="13" s="1"/>
  <c r="BO116" i="13"/>
  <c r="DL116" i="13" s="1"/>
  <c r="BN116" i="13"/>
  <c r="DB116" i="13" s="1"/>
  <c r="BL116" i="13"/>
  <c r="BW116" i="13" s="1"/>
  <c r="BX116" i="13" s="1"/>
  <c r="CL117" i="12"/>
  <c r="BB118" i="12" s="1"/>
  <c r="CM117" i="12"/>
  <c r="BE118" i="12" l="1"/>
  <c r="CS116" i="13"/>
  <c r="CW116" i="13" s="1"/>
  <c r="DM116" i="13"/>
  <c r="DQ116" i="13" s="1"/>
  <c r="DC116" i="13"/>
  <c r="DG116" i="13" s="1"/>
  <c r="CC116" i="13"/>
  <c r="CI116" i="13"/>
  <c r="CK116" i="13" s="1"/>
  <c r="CA116" i="13"/>
  <c r="CD116" i="13"/>
  <c r="BY116" i="13"/>
  <c r="CB116" i="13"/>
  <c r="BZ116" i="13"/>
  <c r="CH116" i="13"/>
  <c r="CE116" i="13"/>
  <c r="CV116" i="13" l="1"/>
  <c r="CU116" i="13"/>
  <c r="DS116" i="13"/>
  <c r="DW116" i="13" s="1"/>
  <c r="EA116" i="13" s="1"/>
  <c r="CT116" i="13"/>
  <c r="DU116" i="13"/>
  <c r="DY116" i="13" s="1"/>
  <c r="EC116" i="13" s="1"/>
  <c r="DO116" i="13"/>
  <c r="DP116" i="13"/>
  <c r="DN116" i="13"/>
  <c r="DT116" i="13"/>
  <c r="DX116" i="13" s="1"/>
  <c r="EB116" i="13" s="1"/>
  <c r="DD116" i="13"/>
  <c r="DE116" i="13"/>
  <c r="DF116" i="13"/>
  <c r="CM116" i="13"/>
  <c r="CL116" i="13"/>
  <c r="BB117" i="13" s="1"/>
  <c r="BC118" i="12"/>
  <c r="BI118" i="12" s="1"/>
  <c r="BE117" i="13" l="1"/>
  <c r="BD117" i="13"/>
  <c r="BH118" i="12"/>
  <c r="BG118" i="12"/>
  <c r="BK118" i="12"/>
  <c r="BF118" i="12"/>
  <c r="BC117" i="13" l="1"/>
  <c r="BL118" i="12"/>
  <c r="BW118" i="12" s="1"/>
  <c r="BX118" i="12" s="1"/>
  <c r="BM118" i="12"/>
  <c r="CR118" i="12" s="1"/>
  <c r="CS118" i="12" s="1"/>
  <c r="BO118" i="12"/>
  <c r="DL118" i="12" s="1"/>
  <c r="DM118" i="12" s="1"/>
  <c r="BN118" i="12"/>
  <c r="DB118" i="12" s="1"/>
  <c r="DC118" i="12" s="1"/>
  <c r="BF117" i="13" l="1"/>
  <c r="BK117" i="13"/>
  <c r="BH117" i="13"/>
  <c r="BG117" i="13"/>
  <c r="BI117" i="13"/>
  <c r="CA118" i="12"/>
  <c r="CI118" i="12"/>
  <c r="CK118" i="12" s="1"/>
  <c r="CC118" i="12"/>
  <c r="CD118" i="12"/>
  <c r="CH118" i="12"/>
  <c r="BZ118" i="12"/>
  <c r="BY118" i="12"/>
  <c r="CE118" i="12"/>
  <c r="CB118" i="12"/>
  <c r="DQ118" i="12"/>
  <c r="DO118" i="12"/>
  <c r="DU118" i="12"/>
  <c r="DY118" i="12" s="1"/>
  <c r="EC118" i="12" s="1"/>
  <c r="G100" i="11" s="1"/>
  <c r="DN118" i="12"/>
  <c r="DP118" i="12"/>
  <c r="CU118" i="12"/>
  <c r="CV118" i="12"/>
  <c r="DS118" i="12"/>
  <c r="DW118" i="12" s="1"/>
  <c r="EA118" i="12" s="1"/>
  <c r="CT118" i="12"/>
  <c r="CW118" i="12"/>
  <c r="DG118" i="12"/>
  <c r="DF118" i="12"/>
  <c r="DE118" i="12"/>
  <c r="DD118" i="12"/>
  <c r="DT118" i="12"/>
  <c r="DX118" i="12" s="1"/>
  <c r="EB118" i="12" s="1"/>
  <c r="BL117" i="13" l="1"/>
  <c r="BW117" i="13" s="1"/>
  <c r="BX117" i="13" s="1"/>
  <c r="BN117" i="13"/>
  <c r="DB117" i="13" s="1"/>
  <c r="BM117" i="13"/>
  <c r="CR117" i="13" s="1"/>
  <c r="BO117" i="13"/>
  <c r="DL117" i="13" s="1"/>
  <c r="CM118" i="12"/>
  <c r="CL118" i="12"/>
  <c r="BB119" i="12" s="1"/>
  <c r="BE119" i="12" l="1"/>
  <c r="CI117" i="13"/>
  <c r="CK117" i="13" s="1"/>
  <c r="CH117" i="13"/>
  <c r="BZ117" i="13"/>
  <c r="CA117" i="13"/>
  <c r="CD117" i="13"/>
  <c r="BY117" i="13"/>
  <c r="CB117" i="13"/>
  <c r="CC117" i="13"/>
  <c r="CE117" i="13"/>
  <c r="DC117" i="13"/>
  <c r="DG117" i="13" s="1"/>
  <c r="CS117" i="13"/>
  <c r="CW117" i="13" s="1"/>
  <c r="DM117" i="13"/>
  <c r="DQ117" i="13" s="1"/>
  <c r="CM117" i="13" l="1"/>
  <c r="CL117" i="13"/>
  <c r="BB118" i="13" s="1"/>
  <c r="DD117" i="13"/>
  <c r="DE117" i="13"/>
  <c r="DF117" i="13"/>
  <c r="DT117" i="13"/>
  <c r="DX117" i="13" s="1"/>
  <c r="EB117" i="13" s="1"/>
  <c r="DS117" i="13"/>
  <c r="DW117" i="13" s="1"/>
  <c r="EA117" i="13" s="1"/>
  <c r="CT117" i="13"/>
  <c r="CU117" i="13"/>
  <c r="CV117" i="13"/>
  <c r="DN117" i="13"/>
  <c r="DO117" i="13"/>
  <c r="DP117" i="13"/>
  <c r="DU117" i="13"/>
  <c r="DY117" i="13" s="1"/>
  <c r="EC117" i="13" s="1"/>
  <c r="BC119" i="12"/>
  <c r="BI119" i="12" s="1"/>
  <c r="BE118" i="13" l="1"/>
  <c r="BD118" i="13"/>
  <c r="BF119" i="12"/>
  <c r="BG119" i="12"/>
  <c r="BK119" i="12"/>
  <c r="BH119" i="12"/>
  <c r="BC118" i="13" l="1"/>
  <c r="BM119" i="12"/>
  <c r="CR119" i="12" s="1"/>
  <c r="CS119" i="12" s="1"/>
  <c r="CW119" i="12" s="1"/>
  <c r="BO119" i="12"/>
  <c r="DL119" i="12" s="1"/>
  <c r="DM119" i="12" s="1"/>
  <c r="DQ119" i="12" s="1"/>
  <c r="BN119" i="12"/>
  <c r="DB119" i="12" s="1"/>
  <c r="DC119" i="12" s="1"/>
  <c r="DG119" i="12" s="1"/>
  <c r="BL119" i="12"/>
  <c r="BW119" i="12" s="1"/>
  <c r="BX119" i="12" s="1"/>
  <c r="CE119" i="12" s="1"/>
  <c r="BH118" i="13" l="1"/>
  <c r="BG118" i="13"/>
  <c r="BK118" i="13"/>
  <c r="BF118" i="13"/>
  <c r="BI118" i="13"/>
  <c r="CV119" i="12"/>
  <c r="DS119" i="12"/>
  <c r="DW119" i="12" s="1"/>
  <c r="EA119" i="12" s="1"/>
  <c r="CT119" i="12"/>
  <c r="CU119" i="12"/>
  <c r="BY119" i="12"/>
  <c r="CH119" i="12"/>
  <c r="BZ119" i="12"/>
  <c r="CA119" i="12"/>
  <c r="CI119" i="12"/>
  <c r="CK119" i="12" s="1"/>
  <c r="CB119" i="12"/>
  <c r="CD119" i="12"/>
  <c r="CC119" i="12"/>
  <c r="DP119" i="12"/>
  <c r="DU119" i="12"/>
  <c r="DY119" i="12" s="1"/>
  <c r="EC119" i="12" s="1"/>
  <c r="G101" i="11" s="1"/>
  <c r="DN119" i="12"/>
  <c r="DO119" i="12"/>
  <c r="DF119" i="12"/>
  <c r="DE119" i="12"/>
  <c r="DD119" i="12"/>
  <c r="DT119" i="12"/>
  <c r="DX119" i="12" s="1"/>
  <c r="EB119" i="12" s="1"/>
  <c r="BL118" i="13" l="1"/>
  <c r="BW118" i="13" s="1"/>
  <c r="BX118" i="13" s="1"/>
  <c r="BN118" i="13"/>
  <c r="DB118" i="13" s="1"/>
  <c r="BM118" i="13"/>
  <c r="CR118" i="13" s="1"/>
  <c r="BO118" i="13"/>
  <c r="DL118" i="13" s="1"/>
  <c r="CL119" i="12"/>
  <c r="BB120" i="12" s="1"/>
  <c r="CM119" i="12"/>
  <c r="BE120" i="12" l="1"/>
  <c r="BY118" i="13"/>
  <c r="BZ118" i="13"/>
  <c r="CA118" i="13"/>
  <c r="CB118" i="13"/>
  <c r="CI118" i="13"/>
  <c r="CK118" i="13" s="1"/>
  <c r="CD118" i="13"/>
  <c r="CH118" i="13"/>
  <c r="CC118" i="13"/>
  <c r="CE118" i="13"/>
  <c r="DC118" i="13"/>
  <c r="DG118" i="13" s="1"/>
  <c r="CS118" i="13"/>
  <c r="CW118" i="13" s="1"/>
  <c r="DM118" i="13"/>
  <c r="DQ118" i="13" s="1"/>
  <c r="CM118" i="13" l="1"/>
  <c r="CL118" i="13"/>
  <c r="BB119" i="13" s="1"/>
  <c r="DT118" i="13"/>
  <c r="DX118" i="13" s="1"/>
  <c r="EB118" i="13" s="1"/>
  <c r="DF118" i="13"/>
  <c r="DD118" i="13"/>
  <c r="DE118" i="13"/>
  <c r="CV118" i="13"/>
  <c r="CT118" i="13"/>
  <c r="DS118" i="13"/>
  <c r="DW118" i="13" s="1"/>
  <c r="EA118" i="13" s="1"/>
  <c r="CU118" i="13"/>
  <c r="DU118" i="13"/>
  <c r="DY118" i="13" s="1"/>
  <c r="EC118" i="13" s="1"/>
  <c r="DO118" i="13"/>
  <c r="DP118" i="13"/>
  <c r="DN118" i="13"/>
  <c r="BC120" i="12"/>
  <c r="BE119" i="13" l="1"/>
  <c r="BD119" i="13"/>
  <c r="BK120" i="12"/>
  <c r="BG120" i="12"/>
  <c r="BH120" i="12"/>
  <c r="BF120" i="12"/>
  <c r="BI120" i="12"/>
  <c r="BC119" i="13" l="1"/>
  <c r="BO120" i="12"/>
  <c r="DL120" i="12" s="1"/>
  <c r="DM120" i="12" s="1"/>
  <c r="BM120" i="12"/>
  <c r="CR120" i="12" s="1"/>
  <c r="BN120" i="12"/>
  <c r="DB120" i="12" s="1"/>
  <c r="DC120" i="12" s="1"/>
  <c r="BL120" i="12"/>
  <c r="BW120" i="12" s="1"/>
  <c r="BG119" i="13" l="1"/>
  <c r="BF119" i="13"/>
  <c r="BK119" i="13"/>
  <c r="BH119" i="13"/>
  <c r="BI119" i="13"/>
  <c r="DU120" i="12"/>
  <c r="DY120" i="12" s="1"/>
  <c r="EC120" i="12" s="1"/>
  <c r="G102" i="11" s="1"/>
  <c r="DP120" i="12"/>
  <c r="DN120" i="12"/>
  <c r="DO120" i="12"/>
  <c r="DQ120" i="12"/>
  <c r="CS120" i="12"/>
  <c r="CW120" i="12" s="1"/>
  <c r="DT120" i="12"/>
  <c r="DX120" i="12" s="1"/>
  <c r="EB120" i="12" s="1"/>
  <c r="DD120" i="12"/>
  <c r="DE120" i="12"/>
  <c r="DF120" i="12"/>
  <c r="DG120" i="12"/>
  <c r="BX120" i="12"/>
  <c r="CE120" i="12" s="1"/>
  <c r="BO119" i="13" l="1"/>
  <c r="DL119" i="13" s="1"/>
  <c r="DM119" i="13" s="1"/>
  <c r="BN119" i="13"/>
  <c r="DB119" i="13" s="1"/>
  <c r="BM119" i="13"/>
  <c r="CR119" i="13" s="1"/>
  <c r="BL119" i="13"/>
  <c r="BW119" i="13" s="1"/>
  <c r="CT120" i="12"/>
  <c r="DS120" i="12"/>
  <c r="DW120" i="12" s="1"/>
  <c r="EA120" i="12" s="1"/>
  <c r="CU120" i="12"/>
  <c r="CV120" i="12"/>
  <c r="CC120" i="12"/>
  <c r="CB120" i="12"/>
  <c r="CI120" i="12"/>
  <c r="CK120" i="12" s="1"/>
  <c r="BZ120" i="12"/>
  <c r="CD120" i="12"/>
  <c r="CH120" i="12"/>
  <c r="BY120" i="12"/>
  <c r="CA120" i="12"/>
  <c r="DC119" i="13" l="1"/>
  <c r="DG119" i="13" s="1"/>
  <c r="CS119" i="13"/>
  <c r="CW119" i="13" s="1"/>
  <c r="BX119" i="13"/>
  <c r="CE119" i="13" s="1"/>
  <c r="DQ119" i="13"/>
  <c r="DU119" i="13"/>
  <c r="DY119" i="13" s="1"/>
  <c r="EC119" i="13" s="1"/>
  <c r="DP119" i="13"/>
  <c r="DO119" i="13"/>
  <c r="DN119" i="13"/>
  <c r="CL120" i="12"/>
  <c r="BB121" i="12" s="1"/>
  <c r="CM120" i="12"/>
  <c r="BE121" i="12" l="1"/>
  <c r="DT119" i="13"/>
  <c r="DX119" i="13" s="1"/>
  <c r="EB119" i="13" s="1"/>
  <c r="DD119" i="13"/>
  <c r="DE119" i="13"/>
  <c r="DF119" i="13"/>
  <c r="CV119" i="13"/>
  <c r="DS119" i="13"/>
  <c r="DW119" i="13" s="1"/>
  <c r="EA119" i="13" s="1"/>
  <c r="CT119" i="13"/>
  <c r="CU119" i="13"/>
  <c r="CH119" i="13"/>
  <c r="CA119" i="13"/>
  <c r="CD119" i="13"/>
  <c r="BY119" i="13"/>
  <c r="BZ119" i="13"/>
  <c r="CI119" i="13"/>
  <c r="CK119" i="13" s="1"/>
  <c r="CB119" i="13"/>
  <c r="CC119" i="13"/>
  <c r="CL119" i="13" l="1"/>
  <c r="BB120" i="13" s="1"/>
  <c r="CM119" i="13"/>
  <c r="BC121" i="12"/>
  <c r="BE120" i="13" l="1"/>
  <c r="BD120" i="13"/>
  <c r="BH121" i="12"/>
  <c r="BK121" i="12"/>
  <c r="BF121" i="12"/>
  <c r="BI121" i="12"/>
  <c r="BG121" i="12"/>
  <c r="BC120" i="13" l="1"/>
  <c r="BN121" i="12"/>
  <c r="DB121" i="12" s="1"/>
  <c r="BL121" i="12"/>
  <c r="BW121" i="12" s="1"/>
  <c r="BM121" i="12"/>
  <c r="CR121" i="12" s="1"/>
  <c r="BO121" i="12"/>
  <c r="DL121" i="12" s="1"/>
  <c r="BK120" i="13" l="1"/>
  <c r="BF120" i="13"/>
  <c r="BH120" i="13"/>
  <c r="BG120" i="13"/>
  <c r="BI120" i="13"/>
  <c r="DC121" i="12"/>
  <c r="DG121" i="12" s="1"/>
  <c r="BX121" i="12"/>
  <c r="CE121" i="12" s="1"/>
  <c r="CS121" i="12"/>
  <c r="CW121" i="12" s="1"/>
  <c r="DM121" i="12"/>
  <c r="DQ121" i="12" s="1"/>
  <c r="BO120" i="13" l="1"/>
  <c r="DL120" i="13" s="1"/>
  <c r="BN120" i="13"/>
  <c r="DB120" i="13" s="1"/>
  <c r="BL120" i="13"/>
  <c r="BW120" i="13" s="1"/>
  <c r="BM120" i="13"/>
  <c r="CR120" i="13" s="1"/>
  <c r="DE121" i="12"/>
  <c r="DT121" i="12"/>
  <c r="DX121" i="12" s="1"/>
  <c r="EB121" i="12" s="1"/>
  <c r="DF121" i="12"/>
  <c r="DD121" i="12"/>
  <c r="BZ121" i="12"/>
  <c r="CC121" i="12"/>
  <c r="CB121" i="12"/>
  <c r="BY121" i="12"/>
  <c r="CH121" i="12"/>
  <c r="CI121" i="12"/>
  <c r="CK121" i="12" s="1"/>
  <c r="CD121" i="12"/>
  <c r="CA121" i="12"/>
  <c r="DS121" i="12"/>
  <c r="DW121" i="12" s="1"/>
  <c r="EA121" i="12" s="1"/>
  <c r="CT121" i="12"/>
  <c r="CV121" i="12"/>
  <c r="CU121" i="12"/>
  <c r="DO121" i="12"/>
  <c r="DN121" i="12"/>
  <c r="DP121" i="12"/>
  <c r="DU121" i="12"/>
  <c r="DY121" i="12" s="1"/>
  <c r="EC121" i="12" s="1"/>
  <c r="G103" i="11" s="1"/>
  <c r="DM120" i="13" l="1"/>
  <c r="DQ120" i="13" s="1"/>
  <c r="DC120" i="13"/>
  <c r="DG120" i="13" s="1"/>
  <c r="BX120" i="13"/>
  <c r="CE120" i="13" s="1"/>
  <c r="CS120" i="13"/>
  <c r="CW120" i="13" s="1"/>
  <c r="CM121" i="12"/>
  <c r="CL121" i="12"/>
  <c r="BB122" i="12" s="1"/>
  <c r="BE122" i="12" l="1"/>
  <c r="DP120" i="13"/>
  <c r="DU120" i="13"/>
  <c r="DY120" i="13" s="1"/>
  <c r="EC120" i="13" s="1"/>
  <c r="DN120" i="13"/>
  <c r="DO120" i="13"/>
  <c r="DF120" i="13"/>
  <c r="DD120" i="13"/>
  <c r="DE120" i="13"/>
  <c r="DT120" i="13"/>
  <c r="DX120" i="13" s="1"/>
  <c r="EB120" i="13" s="1"/>
  <c r="CA120" i="13"/>
  <c r="CD120" i="13"/>
  <c r="BY120" i="13"/>
  <c r="CB120" i="13"/>
  <c r="CC120" i="13"/>
  <c r="CH120" i="13"/>
  <c r="BZ120" i="13"/>
  <c r="CI120" i="13"/>
  <c r="CK120" i="13" s="1"/>
  <c r="DS120" i="13"/>
  <c r="DW120" i="13" s="1"/>
  <c r="EA120" i="13" s="1"/>
  <c r="CT120" i="13"/>
  <c r="CU120" i="13"/>
  <c r="CV120" i="13"/>
  <c r="CM120" i="13" l="1"/>
  <c r="CL120" i="13"/>
  <c r="BB121" i="13" s="1"/>
  <c r="BC122" i="12"/>
  <c r="BE121" i="13" l="1"/>
  <c r="BD121" i="13"/>
  <c r="BF122" i="12"/>
  <c r="BG122" i="12"/>
  <c r="BI122" i="12"/>
  <c r="BK122" i="12"/>
  <c r="BH122" i="12"/>
  <c r="BC121" i="13" l="1"/>
  <c r="BO122" i="12"/>
  <c r="DL122" i="12" s="1"/>
  <c r="DM122" i="12" s="1"/>
  <c r="BN122" i="12"/>
  <c r="DB122" i="12" s="1"/>
  <c r="BL122" i="12"/>
  <c r="BW122" i="12" s="1"/>
  <c r="BM122" i="12"/>
  <c r="CR122" i="12" s="1"/>
  <c r="CS122" i="12" s="1"/>
  <c r="BF121" i="13" l="1"/>
  <c r="BH121" i="13"/>
  <c r="BG121" i="13"/>
  <c r="BK121" i="13"/>
  <c r="BI121" i="13"/>
  <c r="CW122" i="12"/>
  <c r="CU122" i="12"/>
  <c r="CT122" i="12"/>
  <c r="CV122" i="12"/>
  <c r="DS122" i="12"/>
  <c r="DW122" i="12" s="1"/>
  <c r="EA122" i="12" s="1"/>
  <c r="DC122" i="12"/>
  <c r="DG122" i="12" s="1"/>
  <c r="BX122" i="12"/>
  <c r="CE122" i="12" s="1"/>
  <c r="DQ122" i="12"/>
  <c r="DN122" i="12"/>
  <c r="DU122" i="12"/>
  <c r="DY122" i="12" s="1"/>
  <c r="EC122" i="12" s="1"/>
  <c r="G104" i="11" s="1"/>
  <c r="DO122" i="12"/>
  <c r="DP122" i="12"/>
  <c r="BM121" i="13" l="1"/>
  <c r="CR121" i="13" s="1"/>
  <c r="CS121" i="13" s="1"/>
  <c r="BN121" i="13"/>
  <c r="DB121" i="13" s="1"/>
  <c r="DC121" i="13" s="1"/>
  <c r="BO121" i="13"/>
  <c r="DL121" i="13" s="1"/>
  <c r="DM121" i="13" s="1"/>
  <c r="BL121" i="13"/>
  <c r="BW121" i="13" s="1"/>
  <c r="BX121" i="13" s="1"/>
  <c r="DD122" i="12"/>
  <c r="DT122" i="12"/>
  <c r="DX122" i="12" s="1"/>
  <c r="EB122" i="12" s="1"/>
  <c r="DF122" i="12"/>
  <c r="DE122" i="12"/>
  <c r="CH122" i="12"/>
  <c r="BY122" i="12"/>
  <c r="CD122" i="12"/>
  <c r="CB122" i="12"/>
  <c r="CA122" i="12"/>
  <c r="CC122" i="12"/>
  <c r="BZ122" i="12"/>
  <c r="CI122" i="12"/>
  <c r="CK122" i="12" s="1"/>
  <c r="CV121" i="13" l="1"/>
  <c r="CT121" i="13"/>
  <c r="CU121" i="13"/>
  <c r="DS121" i="13"/>
  <c r="DW121" i="13" s="1"/>
  <c r="EA121" i="13" s="1"/>
  <c r="CW121" i="13"/>
  <c r="DE121" i="13"/>
  <c r="DD121" i="13"/>
  <c r="DT121" i="13"/>
  <c r="DX121" i="13" s="1"/>
  <c r="EB121" i="13" s="1"/>
  <c r="DF121" i="13"/>
  <c r="DG121" i="13"/>
  <c r="DP121" i="13"/>
  <c r="DU121" i="13"/>
  <c r="DY121" i="13" s="1"/>
  <c r="EC121" i="13" s="1"/>
  <c r="DO121" i="13"/>
  <c r="DN121" i="13"/>
  <c r="DQ121" i="13"/>
  <c r="CI121" i="13"/>
  <c r="CK121" i="13" s="1"/>
  <c r="CH121" i="13"/>
  <c r="CA121" i="13"/>
  <c r="BY121" i="13"/>
  <c r="CB121" i="13"/>
  <c r="BZ121" i="13"/>
  <c r="CD121" i="13"/>
  <c r="CC121" i="13"/>
  <c r="CE121" i="13"/>
  <c r="CM122" i="12"/>
  <c r="CL122" i="12"/>
  <c r="BB123" i="12" s="1"/>
  <c r="BE123" i="12" l="1"/>
  <c r="CL121" i="13"/>
  <c r="BB122" i="13" s="1"/>
  <c r="CM121" i="13"/>
  <c r="BE122" i="13" l="1"/>
  <c r="BD122" i="13"/>
  <c r="BC123" i="12"/>
  <c r="BC122" i="13" l="1"/>
  <c r="BG123" i="12"/>
  <c r="BK123" i="12"/>
  <c r="BH123" i="12"/>
  <c r="BF123" i="12"/>
  <c r="BI123" i="12"/>
  <c r="BG122" i="13" l="1"/>
  <c r="BF122" i="13"/>
  <c r="BH122" i="13"/>
  <c r="BK122" i="13"/>
  <c r="BI122" i="13"/>
  <c r="BO123" i="12"/>
  <c r="DL123" i="12" s="1"/>
  <c r="DM123" i="12" s="1"/>
  <c r="BN123" i="12"/>
  <c r="DB123" i="12" s="1"/>
  <c r="DC123" i="12" s="1"/>
  <c r="BL123" i="12"/>
  <c r="BW123" i="12" s="1"/>
  <c r="BX123" i="12" s="1"/>
  <c r="BM123" i="12"/>
  <c r="CR123" i="12" s="1"/>
  <c r="CS123" i="12" s="1"/>
  <c r="BL122" i="13" l="1"/>
  <c r="BW122" i="13" s="1"/>
  <c r="BN122" i="13"/>
  <c r="DB122" i="13" s="1"/>
  <c r="DC122" i="13" s="1"/>
  <c r="BM122" i="13"/>
  <c r="CR122" i="13" s="1"/>
  <c r="BO122" i="13"/>
  <c r="DL122" i="13" s="1"/>
  <c r="DM122" i="13" s="1"/>
  <c r="DU123" i="12"/>
  <c r="DY123" i="12" s="1"/>
  <c r="EC123" i="12" s="1"/>
  <c r="G105" i="11" s="1"/>
  <c r="DN123" i="12"/>
  <c r="DP123" i="12"/>
  <c r="DO123" i="12"/>
  <c r="DQ123" i="12"/>
  <c r="DT123" i="12"/>
  <c r="DX123" i="12" s="1"/>
  <c r="EB123" i="12" s="1"/>
  <c r="DF123" i="12"/>
  <c r="DE123" i="12"/>
  <c r="DD123" i="12"/>
  <c r="DG123" i="12"/>
  <c r="CI123" i="12"/>
  <c r="CK123" i="12" s="1"/>
  <c r="CC123" i="12"/>
  <c r="BZ123" i="12"/>
  <c r="CH123" i="12"/>
  <c r="CA123" i="12"/>
  <c r="CD123" i="12"/>
  <c r="BY123" i="12"/>
  <c r="CB123" i="12"/>
  <c r="CE123" i="12"/>
  <c r="CT123" i="12"/>
  <c r="CV123" i="12"/>
  <c r="DS123" i="12"/>
  <c r="DW123" i="12" s="1"/>
  <c r="EA123" i="12" s="1"/>
  <c r="CU123" i="12"/>
  <c r="CW123" i="12"/>
  <c r="BX122" i="13" l="1"/>
  <c r="CE122" i="13" s="1"/>
  <c r="DT122" i="13"/>
  <c r="DX122" i="13" s="1"/>
  <c r="EB122" i="13" s="1"/>
  <c r="DD122" i="13"/>
  <c r="DE122" i="13"/>
  <c r="DF122" i="13"/>
  <c r="DG122" i="13"/>
  <c r="CS122" i="13"/>
  <c r="CW122" i="13" s="1"/>
  <c r="DO122" i="13"/>
  <c r="DN122" i="13"/>
  <c r="DP122" i="13"/>
  <c r="DU122" i="13"/>
  <c r="DY122" i="13" s="1"/>
  <c r="EC122" i="13" s="1"/>
  <c r="DQ122" i="13"/>
  <c r="CM123" i="12"/>
  <c r="CL123" i="12"/>
  <c r="BB124" i="12" s="1"/>
  <c r="BE124" i="12" l="1"/>
  <c r="CD122" i="13"/>
  <c r="CI122" i="13"/>
  <c r="CK122" i="13" s="1"/>
  <c r="BZ122" i="13"/>
  <c r="CH122" i="13"/>
  <c r="CC122" i="13"/>
  <c r="CA122" i="13"/>
  <c r="BY122" i="13"/>
  <c r="CB122" i="13"/>
  <c r="CV122" i="13"/>
  <c r="DS122" i="13"/>
  <c r="DW122" i="13" s="1"/>
  <c r="EA122" i="13" s="1"/>
  <c r="CT122" i="13"/>
  <c r="CU122" i="13"/>
  <c r="CM122" i="13" l="1"/>
  <c r="CL122" i="13"/>
  <c r="BB123" i="13" s="1"/>
  <c r="BC124" i="12"/>
  <c r="BH124" i="12" s="1"/>
  <c r="BE123" i="13" l="1"/>
  <c r="BD123" i="13"/>
  <c r="BI124" i="12"/>
  <c r="BF124" i="12"/>
  <c r="BK124" i="12"/>
  <c r="BG124" i="12"/>
  <c r="BC123" i="13" l="1"/>
  <c r="BO124" i="12"/>
  <c r="DL124" i="12" s="1"/>
  <c r="BL124" i="12"/>
  <c r="BW124" i="12" s="1"/>
  <c r="BM124" i="12"/>
  <c r="CR124" i="12" s="1"/>
  <c r="BN124" i="12"/>
  <c r="DB124" i="12" s="1"/>
  <c r="BK123" i="13" l="1"/>
  <c r="BF123" i="13"/>
  <c r="BG123" i="13"/>
  <c r="BH123" i="13"/>
  <c r="BI123" i="13"/>
  <c r="DM124" i="12"/>
  <c r="DQ124" i="12" s="1"/>
  <c r="DC124" i="12"/>
  <c r="DG124" i="12" s="1"/>
  <c r="BX124" i="12"/>
  <c r="CE124" i="12" s="1"/>
  <c r="CS124" i="12"/>
  <c r="CW124" i="12" s="1"/>
  <c r="BN123" i="13" l="1"/>
  <c r="DB123" i="13" s="1"/>
  <c r="BL123" i="13"/>
  <c r="BW123" i="13" s="1"/>
  <c r="BM123" i="13"/>
  <c r="CR123" i="13" s="1"/>
  <c r="BO123" i="13"/>
  <c r="DL123" i="13" s="1"/>
  <c r="DP124" i="12"/>
  <c r="DN124" i="12"/>
  <c r="DU124" i="12"/>
  <c r="DY124" i="12" s="1"/>
  <c r="EC124" i="12" s="1"/>
  <c r="DO124" i="12"/>
  <c r="DD124" i="12"/>
  <c r="DT124" i="12"/>
  <c r="DX124" i="12" s="1"/>
  <c r="EB124" i="12" s="1"/>
  <c r="DF124" i="12"/>
  <c r="DE124" i="12"/>
  <c r="CI124" i="12"/>
  <c r="CK124" i="12" s="1"/>
  <c r="CH124" i="12"/>
  <c r="BZ124" i="12"/>
  <c r="CB124" i="12"/>
  <c r="CA124" i="12"/>
  <c r="CC124" i="12"/>
  <c r="CD124" i="12"/>
  <c r="BY124" i="12"/>
  <c r="DS124" i="12"/>
  <c r="DW124" i="12" s="1"/>
  <c r="EA124" i="12" s="1"/>
  <c r="CU124" i="12"/>
  <c r="CT124" i="12"/>
  <c r="CV124" i="12"/>
  <c r="DC123" i="13" l="1"/>
  <c r="DG123" i="13" s="1"/>
  <c r="BX123" i="13"/>
  <c r="CE123" i="13" s="1"/>
  <c r="CS123" i="13"/>
  <c r="CW123" i="13" s="1"/>
  <c r="DM123" i="13"/>
  <c r="DQ123" i="13" s="1"/>
  <c r="CL124" i="12"/>
  <c r="BB125" i="12" s="1"/>
  <c r="CM124" i="12"/>
  <c r="BE125" i="12" l="1"/>
  <c r="DF123" i="13"/>
  <c r="DT123" i="13"/>
  <c r="DX123" i="13" s="1"/>
  <c r="EB123" i="13" s="1"/>
  <c r="DD123" i="13"/>
  <c r="DE123" i="13"/>
  <c r="CA123" i="13"/>
  <c r="CD123" i="13"/>
  <c r="BY123" i="13"/>
  <c r="CC123" i="13"/>
  <c r="CB123" i="13"/>
  <c r="BZ123" i="13"/>
  <c r="CI123" i="13"/>
  <c r="CK123" i="13" s="1"/>
  <c r="CH123" i="13"/>
  <c r="DS123" i="13"/>
  <c r="DW123" i="13" s="1"/>
  <c r="EA123" i="13" s="1"/>
  <c r="CT123" i="13"/>
  <c r="CV123" i="13"/>
  <c r="CU123" i="13"/>
  <c r="DU123" i="13"/>
  <c r="DY123" i="13" s="1"/>
  <c r="EC123" i="13" s="1"/>
  <c r="DN123" i="13"/>
  <c r="DP123" i="13"/>
  <c r="DO123" i="13"/>
  <c r="CL123" i="13" l="1"/>
  <c r="BB124" i="13" s="1"/>
  <c r="CM123" i="13"/>
  <c r="BC125" i="12"/>
  <c r="BE124" i="13" l="1"/>
  <c r="BD124" i="13"/>
  <c r="BH125" i="12"/>
  <c r="BG125" i="12"/>
  <c r="BI125" i="12"/>
  <c r="BF125" i="12"/>
  <c r="BK125" i="12"/>
  <c r="BC124" i="13" l="1"/>
  <c r="BM125" i="12"/>
  <c r="CR125" i="12" s="1"/>
  <c r="CS125" i="12" s="1"/>
  <c r="BO125" i="12"/>
  <c r="DL125" i="12" s="1"/>
  <c r="DM125" i="12" s="1"/>
  <c r="BL125" i="12"/>
  <c r="BW125" i="12" s="1"/>
  <c r="BX125" i="12" s="1"/>
  <c r="BN125" i="12"/>
  <c r="DB125" i="12" s="1"/>
  <c r="DC125" i="12" s="1"/>
  <c r="BG124" i="13" l="1"/>
  <c r="BK124" i="13"/>
  <c r="BH124" i="13"/>
  <c r="BF124" i="13"/>
  <c r="BI124" i="13"/>
  <c r="CT125" i="12"/>
  <c r="CU125" i="12"/>
  <c r="DS125" i="12"/>
  <c r="DW125" i="12" s="1"/>
  <c r="EA125" i="12" s="1"/>
  <c r="CV125" i="12"/>
  <c r="CW125" i="12"/>
  <c r="DU125" i="12"/>
  <c r="DY125" i="12" s="1"/>
  <c r="EC125" i="12" s="1"/>
  <c r="DP125" i="12"/>
  <c r="DO125" i="12"/>
  <c r="DN125" i="12"/>
  <c r="DQ125" i="12"/>
  <c r="BY125" i="12"/>
  <c r="CD125" i="12"/>
  <c r="BZ125" i="12"/>
  <c r="CH125" i="12"/>
  <c r="CC125" i="12"/>
  <c r="CB125" i="12"/>
  <c r="CA125" i="12"/>
  <c r="CI125" i="12"/>
  <c r="CK125" i="12" s="1"/>
  <c r="CE125" i="12"/>
  <c r="DE125" i="12"/>
  <c r="DT125" i="12"/>
  <c r="DX125" i="12" s="1"/>
  <c r="EB125" i="12" s="1"/>
  <c r="DF125" i="12"/>
  <c r="DD125" i="12"/>
  <c r="DG125" i="12"/>
  <c r="G106" i="11" l="1"/>
  <c r="G107" i="11"/>
  <c r="BO124" i="13"/>
  <c r="DL124" i="13" s="1"/>
  <c r="DM124" i="13" s="1"/>
  <c r="BL124" i="13"/>
  <c r="BW124" i="13" s="1"/>
  <c r="BX124" i="13" s="1"/>
  <c r="BN124" i="13"/>
  <c r="DB124" i="13" s="1"/>
  <c r="DC124" i="13" s="1"/>
  <c r="BM124" i="13"/>
  <c r="CR124" i="13" s="1"/>
  <c r="CM125" i="12"/>
  <c r="CL125" i="12"/>
  <c r="BB126" i="12" s="1"/>
  <c r="BE126" i="12" l="1"/>
  <c r="DO124" i="13"/>
  <c r="DP124" i="13"/>
  <c r="DN124" i="13"/>
  <c r="DU124" i="13"/>
  <c r="DY124" i="13" s="1"/>
  <c r="EC124" i="13" s="1"/>
  <c r="DQ124" i="13"/>
  <c r="CA124" i="13"/>
  <c r="CD124" i="13"/>
  <c r="BY124" i="13"/>
  <c r="CB124" i="13"/>
  <c r="CC124" i="13"/>
  <c r="BZ124" i="13"/>
  <c r="CI124" i="13"/>
  <c r="CK124" i="13" s="1"/>
  <c r="CH124" i="13"/>
  <c r="CE124" i="13"/>
  <c r="DT124" i="13"/>
  <c r="DX124" i="13" s="1"/>
  <c r="EB124" i="13" s="1"/>
  <c r="DE124" i="13"/>
  <c r="DD124" i="13"/>
  <c r="DF124" i="13"/>
  <c r="DG124" i="13"/>
  <c r="CS124" i="13"/>
  <c r="CW124" i="13" s="1"/>
  <c r="CL124" i="13" l="1"/>
  <c r="BB125" i="13" s="1"/>
  <c r="CM124" i="13"/>
  <c r="CV124" i="13"/>
  <c r="DS124" i="13"/>
  <c r="DW124" i="13" s="1"/>
  <c r="EA124" i="13" s="1"/>
  <c r="CT124" i="13"/>
  <c r="CU124" i="13"/>
  <c r="BC126" i="12"/>
  <c r="BE125" i="13" l="1"/>
  <c r="BD125" i="13"/>
  <c r="BF126" i="12"/>
  <c r="BG126" i="12"/>
  <c r="BK126" i="12"/>
  <c r="BH126" i="12"/>
  <c r="BI126" i="12"/>
  <c r="BC125" i="13" l="1"/>
  <c r="BN126" i="12"/>
  <c r="DB126" i="12" s="1"/>
  <c r="DC126" i="12" s="1"/>
  <c r="BL126" i="12"/>
  <c r="BW126" i="12" s="1"/>
  <c r="BX126" i="12" s="1"/>
  <c r="BO126" i="12"/>
  <c r="DL126" i="12" s="1"/>
  <c r="DM126" i="12" s="1"/>
  <c r="BM126" i="12"/>
  <c r="CR126" i="12" s="1"/>
  <c r="CS126" i="12" s="1"/>
  <c r="BH125" i="13" l="1"/>
  <c r="BG125" i="13"/>
  <c r="BF125" i="13"/>
  <c r="BK125" i="13"/>
  <c r="BI125" i="13"/>
  <c r="DT126" i="12"/>
  <c r="DX126" i="12" s="1"/>
  <c r="EB126" i="12" s="1"/>
  <c r="DD126" i="12"/>
  <c r="DE126" i="12"/>
  <c r="DF126" i="12"/>
  <c r="DG126" i="12"/>
  <c r="CI126" i="12"/>
  <c r="CK126" i="12" s="1"/>
  <c r="CA126" i="12"/>
  <c r="BZ126" i="12"/>
  <c r="CB126" i="12"/>
  <c r="BY126" i="12"/>
  <c r="CD126" i="12"/>
  <c r="CH126" i="12"/>
  <c r="CC126" i="12"/>
  <c r="CE126" i="12"/>
  <c r="DU126" i="12"/>
  <c r="DY126" i="12" s="1"/>
  <c r="EC126" i="12" s="1"/>
  <c r="DP126" i="12"/>
  <c r="DO126" i="12"/>
  <c r="DN126" i="12"/>
  <c r="DQ126" i="12"/>
  <c r="CU126" i="12"/>
  <c r="DS126" i="12"/>
  <c r="DW126" i="12" s="1"/>
  <c r="EA126" i="12" s="1"/>
  <c r="CT126" i="12"/>
  <c r="CV126" i="12"/>
  <c r="CW126" i="12"/>
  <c r="BO125" i="13" l="1"/>
  <c r="DL125" i="13" s="1"/>
  <c r="BN125" i="13"/>
  <c r="DB125" i="13" s="1"/>
  <c r="BM125" i="13"/>
  <c r="CR125" i="13" s="1"/>
  <c r="BL125" i="13"/>
  <c r="BW125" i="13" s="1"/>
  <c r="BX125" i="13" s="1"/>
  <c r="CM126" i="12"/>
  <c r="CL126" i="12"/>
  <c r="BB127" i="12" s="1"/>
  <c r="BE127" i="12" l="1"/>
  <c r="DM125" i="13"/>
  <c r="DQ125" i="13" s="1"/>
  <c r="DC125" i="13"/>
  <c r="DG125" i="13" s="1"/>
  <c r="CS125" i="13"/>
  <c r="CW125" i="13" s="1"/>
  <c r="BY125" i="13"/>
  <c r="CB125" i="13"/>
  <c r="CC125" i="13"/>
  <c r="CI125" i="13"/>
  <c r="CK125" i="13" s="1"/>
  <c r="CH125" i="13"/>
  <c r="CA125" i="13"/>
  <c r="CD125" i="13"/>
  <c r="BZ125" i="13"/>
  <c r="CE125" i="13"/>
  <c r="DO125" i="13" l="1"/>
  <c r="DP125" i="13"/>
  <c r="DU125" i="13"/>
  <c r="DY125" i="13" s="1"/>
  <c r="EC125" i="13" s="1"/>
  <c r="DN125" i="13"/>
  <c r="DD125" i="13"/>
  <c r="DF125" i="13"/>
  <c r="DT125" i="13"/>
  <c r="DX125" i="13" s="1"/>
  <c r="EB125" i="13" s="1"/>
  <c r="DE125" i="13"/>
  <c r="CT125" i="13"/>
  <c r="DS125" i="13"/>
  <c r="DW125" i="13" s="1"/>
  <c r="EA125" i="13" s="1"/>
  <c r="CV125" i="13"/>
  <c r="CU125" i="13"/>
  <c r="CL125" i="13"/>
  <c r="BB126" i="13" s="1"/>
  <c r="CM125" i="13"/>
  <c r="BC127" i="12"/>
  <c r="BE126" i="13" l="1"/>
  <c r="BD126" i="13"/>
  <c r="BG127" i="12"/>
  <c r="BF127" i="12"/>
  <c r="BH127" i="12"/>
  <c r="BK127" i="12"/>
  <c r="BI127" i="12"/>
  <c r="BC126" i="13" l="1"/>
  <c r="BL127" i="12"/>
  <c r="BW127" i="12" s="1"/>
  <c r="BX127" i="12" s="1"/>
  <c r="BN127" i="12"/>
  <c r="DB127" i="12" s="1"/>
  <c r="DC127" i="12" s="1"/>
  <c r="BO127" i="12"/>
  <c r="DL127" i="12" s="1"/>
  <c r="DM127" i="12" s="1"/>
  <c r="BM127" i="12"/>
  <c r="CR127" i="12" s="1"/>
  <c r="CS127" i="12" s="1"/>
  <c r="BF126" i="13" l="1"/>
  <c r="BH126" i="13"/>
  <c r="BK126" i="13"/>
  <c r="BG126" i="13"/>
  <c r="BI126" i="13"/>
  <c r="CB127" i="12"/>
  <c r="BZ127" i="12"/>
  <c r="BY127" i="12"/>
  <c r="CC127" i="12"/>
  <c r="CI127" i="12"/>
  <c r="CK127" i="12" s="1"/>
  <c r="CD127" i="12"/>
  <c r="CH127" i="12"/>
  <c r="CA127" i="12"/>
  <c r="CE127" i="12"/>
  <c r="DT127" i="12"/>
  <c r="DX127" i="12" s="1"/>
  <c r="EB127" i="12" s="1"/>
  <c r="DE127" i="12"/>
  <c r="DF127" i="12"/>
  <c r="DD127" i="12"/>
  <c r="DG127" i="12"/>
  <c r="DU127" i="12"/>
  <c r="DY127" i="12" s="1"/>
  <c r="EC127" i="12" s="1"/>
  <c r="G108" i="11" s="1"/>
  <c r="DO127" i="12"/>
  <c r="DP127" i="12"/>
  <c r="DN127" i="12"/>
  <c r="DQ127" i="12"/>
  <c r="DS127" i="12"/>
  <c r="DW127" i="12" s="1"/>
  <c r="EA127" i="12" s="1"/>
  <c r="CV127" i="12"/>
  <c r="CT127" i="12"/>
  <c r="CU127" i="12"/>
  <c r="CW127" i="12"/>
  <c r="BL126" i="13" l="1"/>
  <c r="BW126" i="13" s="1"/>
  <c r="BM126" i="13"/>
  <c r="CR126" i="13" s="1"/>
  <c r="BO126" i="13"/>
  <c r="DL126" i="13" s="1"/>
  <c r="BN126" i="13"/>
  <c r="DB126" i="13" s="1"/>
  <c r="CL127" i="12"/>
  <c r="BB128" i="12" s="1"/>
  <c r="CM127" i="12"/>
  <c r="BE128" i="12" l="1"/>
  <c r="BX126" i="13"/>
  <c r="CE126" i="13" s="1"/>
  <c r="CS126" i="13"/>
  <c r="CW126" i="13" s="1"/>
  <c r="DM126" i="13"/>
  <c r="DQ126" i="13" s="1"/>
  <c r="DC126" i="13"/>
  <c r="DG126" i="13" s="1"/>
  <c r="CI126" i="13" l="1"/>
  <c r="CK126" i="13" s="1"/>
  <c r="BZ126" i="13"/>
  <c r="CA126" i="13"/>
  <c r="CD126" i="13"/>
  <c r="BY126" i="13"/>
  <c r="CC126" i="13"/>
  <c r="CB126" i="13"/>
  <c r="CH126" i="13"/>
  <c r="CV126" i="13"/>
  <c r="DS126" i="13"/>
  <c r="DW126" i="13" s="1"/>
  <c r="EA126" i="13" s="1"/>
  <c r="CU126" i="13"/>
  <c r="CT126" i="13"/>
  <c r="DO126" i="13"/>
  <c r="DP126" i="13"/>
  <c r="DU126" i="13"/>
  <c r="DY126" i="13" s="1"/>
  <c r="EC126" i="13" s="1"/>
  <c r="DN126" i="13"/>
  <c r="DD126" i="13"/>
  <c r="DE126" i="13"/>
  <c r="DT126" i="13"/>
  <c r="DX126" i="13" s="1"/>
  <c r="EB126" i="13" s="1"/>
  <c r="DF126" i="13"/>
  <c r="BC128" i="12"/>
  <c r="CL126" i="13" l="1"/>
  <c r="BB127" i="13" s="1"/>
  <c r="CM126" i="13"/>
  <c r="BF128" i="12"/>
  <c r="BH128" i="12"/>
  <c r="BK128" i="12"/>
  <c r="BI128" i="12"/>
  <c r="BG128" i="12"/>
  <c r="BE127" i="13" l="1"/>
  <c r="BD127" i="13"/>
  <c r="BO128" i="12"/>
  <c r="DL128" i="12" s="1"/>
  <c r="BM128" i="12"/>
  <c r="CR128" i="12" s="1"/>
  <c r="BN128" i="12"/>
  <c r="DB128" i="12" s="1"/>
  <c r="DC128" i="12" s="1"/>
  <c r="DG128" i="12" s="1"/>
  <c r="BL128" i="12"/>
  <c r="BW128" i="12" s="1"/>
  <c r="BC127" i="13" l="1"/>
  <c r="BX128" i="12"/>
  <c r="DM128" i="12"/>
  <c r="DQ128" i="12" s="1"/>
  <c r="CS128" i="12"/>
  <c r="CW128" i="12" s="1"/>
  <c r="DF128" i="12"/>
  <c r="DD128" i="12"/>
  <c r="DE128" i="12"/>
  <c r="DT128" i="12"/>
  <c r="DX128" i="12" s="1"/>
  <c r="EB128" i="12" s="1"/>
  <c r="BI127" i="13" l="1"/>
  <c r="BG127" i="13"/>
  <c r="BK127" i="13"/>
  <c r="BN127" i="13" s="1"/>
  <c r="DB127" i="13" s="1"/>
  <c r="BF127" i="13"/>
  <c r="BH127" i="13"/>
  <c r="CE128" i="12"/>
  <c r="BY128" i="12"/>
  <c r="CB128" i="12"/>
  <c r="BZ128" i="12"/>
  <c r="CC128" i="12"/>
  <c r="CI128" i="12"/>
  <c r="CK128" i="12" s="1"/>
  <c r="CA128" i="12"/>
  <c r="CD128" i="12"/>
  <c r="CH128" i="12"/>
  <c r="DP128" i="12"/>
  <c r="DO128" i="12"/>
  <c r="DN128" i="12"/>
  <c r="DU128" i="12"/>
  <c r="DY128" i="12" s="1"/>
  <c r="EC128" i="12" s="1"/>
  <c r="G109" i="11" s="1"/>
  <c r="DS128" i="12"/>
  <c r="DW128" i="12" s="1"/>
  <c r="EA128" i="12" s="1"/>
  <c r="CU128" i="12"/>
  <c r="CT128" i="12"/>
  <c r="CV128" i="12"/>
  <c r="BL127" i="13" l="1"/>
  <c r="BW127" i="13" s="1"/>
  <c r="BX127" i="13" s="1"/>
  <c r="CE127" i="13" s="1"/>
  <c r="BO127" i="13"/>
  <c r="DL127" i="13" s="1"/>
  <c r="DM127" i="13" s="1"/>
  <c r="DQ127" i="13" s="1"/>
  <c r="BM127" i="13"/>
  <c r="CR127" i="13" s="1"/>
  <c r="CS127" i="13" s="1"/>
  <c r="CW127" i="13" s="1"/>
  <c r="DC127" i="13"/>
  <c r="DG127" i="13" s="1"/>
  <c r="CL128" i="12"/>
  <c r="BB129" i="12" s="1"/>
  <c r="CM128" i="12"/>
  <c r="BE129" i="12" l="1"/>
  <c r="CI127" i="13"/>
  <c r="CK127" i="13" s="1"/>
  <c r="CA127" i="13"/>
  <c r="CB127" i="13"/>
  <c r="CH127" i="13"/>
  <c r="CD127" i="13"/>
  <c r="CC127" i="13"/>
  <c r="BZ127" i="13"/>
  <c r="BY127" i="13"/>
  <c r="DU127" i="13"/>
  <c r="DY127" i="13" s="1"/>
  <c r="EC127" i="13" s="1"/>
  <c r="DO127" i="13"/>
  <c r="DN127" i="13"/>
  <c r="DP127" i="13"/>
  <c r="DT127" i="13"/>
  <c r="DX127" i="13" s="1"/>
  <c r="EB127" i="13" s="1"/>
  <c r="DE127" i="13"/>
  <c r="DF127" i="13"/>
  <c r="DD127" i="13"/>
  <c r="DS127" i="13"/>
  <c r="DW127" i="13" s="1"/>
  <c r="EA127" i="13" s="1"/>
  <c r="CV127" i="13"/>
  <c r="CU127" i="13"/>
  <c r="CT127" i="13"/>
  <c r="CL127" i="13" l="1"/>
  <c r="BB128" i="13" s="1"/>
  <c r="CM127" i="13"/>
  <c r="BC129" i="12"/>
  <c r="BK129" i="12" s="1"/>
  <c r="BE128" i="13" l="1"/>
  <c r="BD128" i="13"/>
  <c r="BH129" i="12"/>
  <c r="BF129" i="12"/>
  <c r="BG129" i="12"/>
  <c r="BI129" i="12"/>
  <c r="BO129" i="12"/>
  <c r="DL129" i="12" s="1"/>
  <c r="BM129" i="12"/>
  <c r="CR129" i="12" s="1"/>
  <c r="BN129" i="12"/>
  <c r="DB129" i="12" s="1"/>
  <c r="BL129" i="12"/>
  <c r="BW129" i="12" s="1"/>
  <c r="BC128" i="13" l="1"/>
  <c r="DM129" i="12"/>
  <c r="DQ129" i="12" s="1"/>
  <c r="CS129" i="12"/>
  <c r="CW129" i="12" s="1"/>
  <c r="DC129" i="12"/>
  <c r="DG129" i="12" s="1"/>
  <c r="BX129" i="12"/>
  <c r="CE129" i="12" s="1"/>
  <c r="BK128" i="13" l="1"/>
  <c r="BG128" i="13"/>
  <c r="BH128" i="13"/>
  <c r="BF128" i="13"/>
  <c r="BI128" i="13"/>
  <c r="DO129" i="12"/>
  <c r="DN129" i="12"/>
  <c r="DU129" i="12"/>
  <c r="DY129" i="12" s="1"/>
  <c r="EC129" i="12" s="1"/>
  <c r="G110" i="11" s="1"/>
  <c r="DP129" i="12"/>
  <c r="CV129" i="12"/>
  <c r="CU129" i="12"/>
  <c r="CT129" i="12"/>
  <c r="DS129" i="12"/>
  <c r="DW129" i="12" s="1"/>
  <c r="EA129" i="12" s="1"/>
  <c r="DE129" i="12"/>
  <c r="DD129" i="12"/>
  <c r="DT129" i="12"/>
  <c r="DX129" i="12" s="1"/>
  <c r="EB129" i="12" s="1"/>
  <c r="DF129" i="12"/>
  <c r="BZ129" i="12"/>
  <c r="CC129" i="12"/>
  <c r="BY129" i="12"/>
  <c r="CH129" i="12"/>
  <c r="CB129" i="12"/>
  <c r="CI129" i="12"/>
  <c r="CK129" i="12" s="1"/>
  <c r="CA129" i="12"/>
  <c r="CD129" i="12"/>
  <c r="BN128" i="13" l="1"/>
  <c r="DB128" i="13" s="1"/>
  <c r="BO128" i="13"/>
  <c r="DL128" i="13" s="1"/>
  <c r="BM128" i="13"/>
  <c r="CR128" i="13" s="1"/>
  <c r="BL128" i="13"/>
  <c r="BW128" i="13" s="1"/>
  <c r="CL129" i="12"/>
  <c r="BB130" i="12" s="1"/>
  <c r="CM129" i="12"/>
  <c r="BE130" i="12" l="1"/>
  <c r="DC128" i="13"/>
  <c r="DG128" i="13" s="1"/>
  <c r="DM128" i="13"/>
  <c r="DQ128" i="13" s="1"/>
  <c r="CS128" i="13"/>
  <c r="CW128" i="13" s="1"/>
  <c r="BX128" i="13"/>
  <c r="CE128" i="13" s="1"/>
  <c r="DT128" i="13" l="1"/>
  <c r="DX128" i="13" s="1"/>
  <c r="EB128" i="13" s="1"/>
  <c r="DD128" i="13"/>
  <c r="DF128" i="13"/>
  <c r="DE128" i="13"/>
  <c r="DO128" i="13"/>
  <c r="DN128" i="13"/>
  <c r="DU128" i="13"/>
  <c r="DY128" i="13" s="1"/>
  <c r="EC128" i="13" s="1"/>
  <c r="DP128" i="13"/>
  <c r="DS128" i="13"/>
  <c r="DW128" i="13" s="1"/>
  <c r="EA128" i="13" s="1"/>
  <c r="CU128" i="13"/>
  <c r="CT128" i="13"/>
  <c r="CV128" i="13"/>
  <c r="BZ128" i="13"/>
  <c r="BY128" i="13"/>
  <c r="CD128" i="13"/>
  <c r="CB128" i="13"/>
  <c r="CC128" i="13"/>
  <c r="CH128" i="13"/>
  <c r="CI128" i="13"/>
  <c r="CK128" i="13" s="1"/>
  <c r="CA128" i="13"/>
  <c r="BC130" i="12"/>
  <c r="CL128" i="13" l="1"/>
  <c r="BB129" i="13" s="1"/>
  <c r="CM128" i="13"/>
  <c r="BK130" i="12"/>
  <c r="BG130" i="12"/>
  <c r="BH130" i="12"/>
  <c r="BF130" i="12"/>
  <c r="BI130" i="12"/>
  <c r="BE129" i="13" l="1"/>
  <c r="BD129" i="13"/>
  <c r="BM130" i="12"/>
  <c r="CR130" i="12" s="1"/>
  <c r="BL130" i="12"/>
  <c r="BW130" i="12" s="1"/>
  <c r="BO130" i="12"/>
  <c r="DL130" i="12" s="1"/>
  <c r="BN130" i="12"/>
  <c r="DB130" i="12" s="1"/>
  <c r="BC129" i="13" l="1"/>
  <c r="CS130" i="12"/>
  <c r="CW130" i="12" s="1"/>
  <c r="BX130" i="12"/>
  <c r="CE130" i="12" s="1"/>
  <c r="DM130" i="12"/>
  <c r="DQ130" i="12" s="1"/>
  <c r="DC130" i="12"/>
  <c r="DG130" i="12" s="1"/>
  <c r="BH129" i="13" l="1"/>
  <c r="BK129" i="13"/>
  <c r="BG129" i="13"/>
  <c r="BF129" i="13"/>
  <c r="BI129" i="13"/>
  <c r="CU130" i="12"/>
  <c r="CV130" i="12"/>
  <c r="CT130" i="12"/>
  <c r="DS130" i="12"/>
  <c r="DW130" i="12" s="1"/>
  <c r="EA130" i="12" s="1"/>
  <c r="BY130" i="12"/>
  <c r="CA130" i="12"/>
  <c r="CC130" i="12"/>
  <c r="BZ130" i="12"/>
  <c r="CD130" i="12"/>
  <c r="CH130" i="12"/>
  <c r="CB130" i="12"/>
  <c r="CI130" i="12"/>
  <c r="CK130" i="12" s="1"/>
  <c r="DU130" i="12"/>
  <c r="DY130" i="12" s="1"/>
  <c r="EC130" i="12" s="1"/>
  <c r="G111" i="11" s="1"/>
  <c r="DN130" i="12"/>
  <c r="DP130" i="12"/>
  <c r="DO130" i="12"/>
  <c r="DE130" i="12"/>
  <c r="DT130" i="12"/>
  <c r="DX130" i="12" s="1"/>
  <c r="EB130" i="12" s="1"/>
  <c r="DD130" i="12"/>
  <c r="DF130" i="12"/>
  <c r="BN129" i="13" l="1"/>
  <c r="DB129" i="13" s="1"/>
  <c r="BO129" i="13"/>
  <c r="DL129" i="13" s="1"/>
  <c r="BM129" i="13"/>
  <c r="CR129" i="13" s="1"/>
  <c r="BL129" i="13"/>
  <c r="BW129" i="13" s="1"/>
  <c r="BX129" i="13" s="1"/>
  <c r="CL130" i="12"/>
  <c r="BB131" i="12" s="1"/>
  <c r="CM130" i="12"/>
  <c r="BE131" i="12" l="1"/>
  <c r="DC129" i="13"/>
  <c r="DG129" i="13" s="1"/>
  <c r="DM129" i="13"/>
  <c r="DQ129" i="13" s="1"/>
  <c r="CS129" i="13"/>
  <c r="CW129" i="13" s="1"/>
  <c r="CH129" i="13"/>
  <c r="CI129" i="13"/>
  <c r="CK129" i="13" s="1"/>
  <c r="CA129" i="13"/>
  <c r="CD129" i="13"/>
  <c r="BY129" i="13"/>
  <c r="CB129" i="13"/>
  <c r="CC129" i="13"/>
  <c r="BZ129" i="13"/>
  <c r="CE129" i="13"/>
  <c r="DF129" i="13" l="1"/>
  <c r="DD129" i="13"/>
  <c r="DE129" i="13"/>
  <c r="DT129" i="13"/>
  <c r="DX129" i="13" s="1"/>
  <c r="EB129" i="13" s="1"/>
  <c r="DP129" i="13"/>
  <c r="DU129" i="13"/>
  <c r="DY129" i="13" s="1"/>
  <c r="EC129" i="13" s="1"/>
  <c r="DN129" i="13"/>
  <c r="DO129" i="13"/>
  <c r="CU129" i="13"/>
  <c r="CT129" i="13"/>
  <c r="CV129" i="13"/>
  <c r="DS129" i="13"/>
  <c r="DW129" i="13" s="1"/>
  <c r="EA129" i="13" s="1"/>
  <c r="CL129" i="13"/>
  <c r="BB130" i="13" s="1"/>
  <c r="CM129" i="13"/>
  <c r="BC131" i="12"/>
  <c r="BE130" i="13" l="1"/>
  <c r="BD130" i="13"/>
  <c r="BH131" i="12"/>
  <c r="BF131" i="12"/>
  <c r="BG131" i="12"/>
  <c r="BK131" i="12"/>
  <c r="BI131" i="12"/>
  <c r="BC130" i="13" l="1"/>
  <c r="BN131" i="12"/>
  <c r="DB131" i="12" s="1"/>
  <c r="DC131" i="12" s="1"/>
  <c r="BO131" i="12"/>
  <c r="DL131" i="12" s="1"/>
  <c r="DM131" i="12" s="1"/>
  <c r="BL131" i="12"/>
  <c r="BW131" i="12" s="1"/>
  <c r="BX131" i="12" s="1"/>
  <c r="BM131" i="12"/>
  <c r="CR131" i="12" s="1"/>
  <c r="CS131" i="12" s="1"/>
  <c r="BF130" i="13" l="1"/>
  <c r="BH130" i="13"/>
  <c r="BK130" i="13"/>
  <c r="BG130" i="13"/>
  <c r="BI130" i="13"/>
  <c r="DT131" i="12"/>
  <c r="DX131" i="12" s="1"/>
  <c r="EB131" i="12" s="1"/>
  <c r="DF131" i="12"/>
  <c r="DD131" i="12"/>
  <c r="DE131" i="12"/>
  <c r="DG131" i="12"/>
  <c r="DP131" i="12"/>
  <c r="DN131" i="12"/>
  <c r="DO131" i="12"/>
  <c r="DU131" i="12"/>
  <c r="DY131" i="12" s="1"/>
  <c r="EC131" i="12" s="1"/>
  <c r="G112" i="11" s="1"/>
  <c r="DQ131" i="12"/>
  <c r="CH131" i="12"/>
  <c r="BZ131" i="12"/>
  <c r="CD131" i="12"/>
  <c r="BY131" i="12"/>
  <c r="CC131" i="12"/>
  <c r="CA131" i="12"/>
  <c r="CB131" i="12"/>
  <c r="CI131" i="12"/>
  <c r="CK131" i="12" s="1"/>
  <c r="CE131" i="12"/>
  <c r="DS131" i="12"/>
  <c r="DW131" i="12" s="1"/>
  <c r="EA131" i="12" s="1"/>
  <c r="CV131" i="12"/>
  <c r="CU131" i="12"/>
  <c r="CT131" i="12"/>
  <c r="CW131" i="12"/>
  <c r="BO130" i="13" l="1"/>
  <c r="DL130" i="13" s="1"/>
  <c r="BN130" i="13"/>
  <c r="DB130" i="13" s="1"/>
  <c r="BM130" i="13"/>
  <c r="CR130" i="13" s="1"/>
  <c r="BL130" i="13"/>
  <c r="BW130" i="13" s="1"/>
  <c r="BX130" i="13" s="1"/>
  <c r="CL131" i="12"/>
  <c r="BB132" i="12" s="1"/>
  <c r="CM131" i="12"/>
  <c r="BE132" i="12" l="1"/>
  <c r="DM130" i="13"/>
  <c r="DQ130" i="13" s="1"/>
  <c r="DC130" i="13"/>
  <c r="DG130" i="13" s="1"/>
  <c r="CS130" i="13"/>
  <c r="CW130" i="13" s="1"/>
  <c r="CH130" i="13"/>
  <c r="CI130" i="13"/>
  <c r="CK130" i="13" s="1"/>
  <c r="CD130" i="13"/>
  <c r="BY130" i="13"/>
  <c r="CB130" i="13"/>
  <c r="CC130" i="13"/>
  <c r="BZ130" i="13"/>
  <c r="CA130" i="13"/>
  <c r="CE130" i="13"/>
  <c r="DU130" i="13" l="1"/>
  <c r="DY130" i="13" s="1"/>
  <c r="EC130" i="13" s="1"/>
  <c r="DN130" i="13"/>
  <c r="DO130" i="13"/>
  <c r="DP130" i="13"/>
  <c r="DF130" i="13"/>
  <c r="DT130" i="13"/>
  <c r="DX130" i="13" s="1"/>
  <c r="EB130" i="13" s="1"/>
  <c r="DD130" i="13"/>
  <c r="DE130" i="13"/>
  <c r="CV130" i="13"/>
  <c r="DS130" i="13"/>
  <c r="DW130" i="13" s="1"/>
  <c r="EA130" i="13" s="1"/>
  <c r="CT130" i="13"/>
  <c r="CU130" i="13"/>
  <c r="CL130" i="13"/>
  <c r="BB131" i="13" s="1"/>
  <c r="CM130" i="13"/>
  <c r="BC132" i="12"/>
  <c r="BE131" i="13" l="1"/>
  <c r="BD131" i="13"/>
  <c r="BK132" i="12"/>
  <c r="BF132" i="12"/>
  <c r="BG132" i="12"/>
  <c r="BH132" i="12"/>
  <c r="BI132" i="12"/>
  <c r="BC131" i="13" l="1"/>
  <c r="BK131" i="13" s="1"/>
  <c r="BL132" i="12"/>
  <c r="BW132" i="12" s="1"/>
  <c r="BM132" i="12"/>
  <c r="CR132" i="12" s="1"/>
  <c r="BN132" i="12"/>
  <c r="DB132" i="12" s="1"/>
  <c r="BO132" i="12"/>
  <c r="DL132" i="12" s="1"/>
  <c r="BI131" i="13" l="1"/>
  <c r="BF131" i="13"/>
  <c r="BH131" i="13"/>
  <c r="BG131" i="13"/>
  <c r="BL131" i="13"/>
  <c r="BW131" i="13" s="1"/>
  <c r="BX131" i="13" s="1"/>
  <c r="BM131" i="13"/>
  <c r="CR131" i="13" s="1"/>
  <c r="BO131" i="13"/>
  <c r="DL131" i="13" s="1"/>
  <c r="BN131" i="13"/>
  <c r="DB131" i="13" s="1"/>
  <c r="BX132" i="12"/>
  <c r="CE132" i="12" s="1"/>
  <c r="CS132" i="12"/>
  <c r="CW132" i="12" s="1"/>
  <c r="DC132" i="12"/>
  <c r="DG132" i="12" s="1"/>
  <c r="DM132" i="12"/>
  <c r="DQ132" i="12" s="1"/>
  <c r="CI131" i="13" l="1"/>
  <c r="CK131" i="13" s="1"/>
  <c r="CH131" i="13"/>
  <c r="CA131" i="13"/>
  <c r="CD131" i="13"/>
  <c r="BY131" i="13"/>
  <c r="CC131" i="13"/>
  <c r="CB131" i="13"/>
  <c r="BZ131" i="13"/>
  <c r="CE131" i="13"/>
  <c r="CS131" i="13"/>
  <c r="CW131" i="13" s="1"/>
  <c r="DM131" i="13"/>
  <c r="DQ131" i="13" s="1"/>
  <c r="DC131" i="13"/>
  <c r="DG131" i="13" s="1"/>
  <c r="CD132" i="12"/>
  <c r="BZ132" i="12"/>
  <c r="CB132" i="12"/>
  <c r="CA132" i="12"/>
  <c r="CI132" i="12"/>
  <c r="CK132" i="12" s="1"/>
  <c r="CH132" i="12"/>
  <c r="CC132" i="12"/>
  <c r="BY132" i="12"/>
  <c r="CV132" i="12"/>
  <c r="DS132" i="12"/>
  <c r="DW132" i="12" s="1"/>
  <c r="EA132" i="12" s="1"/>
  <c r="CT132" i="12"/>
  <c r="CU132" i="12"/>
  <c r="DE132" i="12"/>
  <c r="DD132" i="12"/>
  <c r="DT132" i="12"/>
  <c r="DX132" i="12" s="1"/>
  <c r="EB132" i="12" s="1"/>
  <c r="DF132" i="12"/>
  <c r="DO132" i="12"/>
  <c r="DP132" i="12"/>
  <c r="DN132" i="12"/>
  <c r="DU132" i="12"/>
  <c r="DY132" i="12" s="1"/>
  <c r="EC132" i="12" s="1"/>
  <c r="G113" i="11" s="1"/>
  <c r="CL131" i="13" l="1"/>
  <c r="BB132" i="13" s="1"/>
  <c r="CM131" i="13"/>
  <c r="CV131" i="13"/>
  <c r="CU131" i="13"/>
  <c r="DS131" i="13"/>
  <c r="DW131" i="13" s="1"/>
  <c r="EA131" i="13" s="1"/>
  <c r="CT131" i="13"/>
  <c r="DO131" i="13"/>
  <c r="DP131" i="13"/>
  <c r="DU131" i="13"/>
  <c r="DY131" i="13" s="1"/>
  <c r="EC131" i="13" s="1"/>
  <c r="DN131" i="13"/>
  <c r="DE131" i="13"/>
  <c r="DF131" i="13"/>
  <c r="DT131" i="13"/>
  <c r="DX131" i="13" s="1"/>
  <c r="EB131" i="13" s="1"/>
  <c r="DD131" i="13"/>
  <c r="CM132" i="12"/>
  <c r="CL132" i="12"/>
  <c r="BB133" i="12" s="1"/>
  <c r="BE133" i="12" l="1"/>
  <c r="BE132" i="13"/>
  <c r="BD132" i="13"/>
  <c r="BC132" i="13" l="1"/>
  <c r="BK132" i="13" s="1"/>
  <c r="BC133" i="12"/>
  <c r="BI132" i="13" l="1"/>
  <c r="BG132" i="13"/>
  <c r="BH132" i="13"/>
  <c r="BF132" i="13"/>
  <c r="BL132" i="13"/>
  <c r="BW132" i="13" s="1"/>
  <c r="BX132" i="13" s="1"/>
  <c r="BO132" i="13"/>
  <c r="DL132" i="13" s="1"/>
  <c r="BM132" i="13"/>
  <c r="CR132" i="13" s="1"/>
  <c r="CS132" i="13" s="1"/>
  <c r="BN132" i="13"/>
  <c r="DB132" i="13" s="1"/>
  <c r="BI133" i="12"/>
  <c r="BH133" i="12"/>
  <c r="BG133" i="12"/>
  <c r="BK133" i="12"/>
  <c r="BF133" i="12"/>
  <c r="CA132" i="13" l="1"/>
  <c r="CD132" i="13"/>
  <c r="BY132" i="13"/>
  <c r="CB132" i="13"/>
  <c r="CC132" i="13"/>
  <c r="BZ132" i="13"/>
  <c r="CI132" i="13"/>
  <c r="CK132" i="13" s="1"/>
  <c r="CH132" i="13"/>
  <c r="CE132" i="13"/>
  <c r="DM132" i="13"/>
  <c r="DQ132" i="13" s="1"/>
  <c r="CT132" i="13"/>
  <c r="CU132" i="13"/>
  <c r="DS132" i="13"/>
  <c r="DW132" i="13" s="1"/>
  <c r="EA132" i="13" s="1"/>
  <c r="CV132" i="13"/>
  <c r="CW132" i="13"/>
  <c r="DC132" i="13"/>
  <c r="DG132" i="13" s="1"/>
  <c r="BL133" i="12"/>
  <c r="BW133" i="12" s="1"/>
  <c r="BM133" i="12"/>
  <c r="CR133" i="12" s="1"/>
  <c r="BO133" i="12"/>
  <c r="DL133" i="12" s="1"/>
  <c r="BN133" i="12"/>
  <c r="DB133" i="12" s="1"/>
  <c r="CM132" i="13" l="1"/>
  <c r="CL132" i="13"/>
  <c r="BB133" i="13" s="1"/>
  <c r="DO132" i="13"/>
  <c r="DP132" i="13"/>
  <c r="DU132" i="13"/>
  <c r="DY132" i="13" s="1"/>
  <c r="EC132" i="13" s="1"/>
  <c r="DN132" i="13"/>
  <c r="DF132" i="13"/>
  <c r="DT132" i="13"/>
  <c r="DX132" i="13" s="1"/>
  <c r="EB132" i="13" s="1"/>
  <c r="DD132" i="13"/>
  <c r="DE132" i="13"/>
  <c r="BX133" i="12"/>
  <c r="CE133" i="12" s="1"/>
  <c r="CS133" i="12"/>
  <c r="CW133" i="12" s="1"/>
  <c r="DM133" i="12"/>
  <c r="DQ133" i="12" s="1"/>
  <c r="DC133" i="12"/>
  <c r="DG133" i="12" s="1"/>
  <c r="BE133" i="13" l="1"/>
  <c r="BD133" i="13"/>
  <c r="CC133" i="12"/>
  <c r="CI133" i="12"/>
  <c r="CK133" i="12" s="1"/>
  <c r="CA133" i="12"/>
  <c r="CD133" i="12"/>
  <c r="CB133" i="12"/>
  <c r="BZ133" i="12"/>
  <c r="BY133" i="12"/>
  <c r="CH133" i="12"/>
  <c r="DS133" i="12"/>
  <c r="DW133" i="12" s="1"/>
  <c r="EA133" i="12" s="1"/>
  <c r="CT133" i="12"/>
  <c r="CU133" i="12"/>
  <c r="CV133" i="12"/>
  <c r="DN133" i="12"/>
  <c r="DP133" i="12"/>
  <c r="DU133" i="12"/>
  <c r="DY133" i="12" s="1"/>
  <c r="EC133" i="12" s="1"/>
  <c r="G114" i="11" s="1"/>
  <c r="DO133" i="12"/>
  <c r="DT133" i="12"/>
  <c r="DX133" i="12" s="1"/>
  <c r="EB133" i="12" s="1"/>
  <c r="DF133" i="12"/>
  <c r="DE133" i="12"/>
  <c r="DD133" i="12"/>
  <c r="BC133" i="13" l="1"/>
  <c r="CM133" i="12"/>
  <c r="CL133" i="12"/>
  <c r="BB134" i="12" s="1"/>
  <c r="BE134" i="12" l="1"/>
  <c r="BF133" i="13"/>
  <c r="BH133" i="13"/>
  <c r="BK133" i="13"/>
  <c r="BG133" i="13"/>
  <c r="BI133" i="13"/>
  <c r="BO133" i="13" l="1"/>
  <c r="DL133" i="13" s="1"/>
  <c r="BN133" i="13"/>
  <c r="DB133" i="13" s="1"/>
  <c r="BL133" i="13"/>
  <c r="BW133" i="13" s="1"/>
  <c r="BX133" i="13" s="1"/>
  <c r="BM133" i="13"/>
  <c r="CR133" i="13" s="1"/>
  <c r="BC134" i="12"/>
  <c r="DM133" i="13" l="1"/>
  <c r="DQ133" i="13" s="1"/>
  <c r="DC133" i="13"/>
  <c r="DG133" i="13" s="1"/>
  <c r="BY133" i="13"/>
  <c r="CC133" i="13"/>
  <c r="CB133" i="13"/>
  <c r="BZ133" i="13"/>
  <c r="CA133" i="13"/>
  <c r="CI133" i="13"/>
  <c r="CK133" i="13" s="1"/>
  <c r="CH133" i="13"/>
  <c r="CD133" i="13"/>
  <c r="CE133" i="13"/>
  <c r="CS133" i="13"/>
  <c r="CW133" i="13" s="1"/>
  <c r="BI134" i="12"/>
  <c r="BG134" i="12"/>
  <c r="BH134" i="12"/>
  <c r="BK134" i="12"/>
  <c r="BF134" i="12"/>
  <c r="DP133" i="13" l="1"/>
  <c r="DN133" i="13"/>
  <c r="DU133" i="13"/>
  <c r="DY133" i="13" s="1"/>
  <c r="EC133" i="13" s="1"/>
  <c r="DO133" i="13"/>
  <c r="DT133" i="13"/>
  <c r="DX133" i="13" s="1"/>
  <c r="EB133" i="13" s="1"/>
  <c r="DE133" i="13"/>
  <c r="DF133" i="13"/>
  <c r="DD133" i="13"/>
  <c r="CL133" i="13"/>
  <c r="BB134" i="13" s="1"/>
  <c r="CM133" i="13"/>
  <c r="CV133" i="13"/>
  <c r="DS133" i="13"/>
  <c r="DW133" i="13" s="1"/>
  <c r="EA133" i="13" s="1"/>
  <c r="CT133" i="13"/>
  <c r="CU133" i="13"/>
  <c r="BN134" i="12"/>
  <c r="DB134" i="12" s="1"/>
  <c r="BO134" i="12"/>
  <c r="DL134" i="12" s="1"/>
  <c r="BM134" i="12"/>
  <c r="CR134" i="12" s="1"/>
  <c r="BL134" i="12"/>
  <c r="BW134" i="12" s="1"/>
  <c r="BE134" i="13" l="1"/>
  <c r="BD134" i="13"/>
  <c r="DC134" i="12"/>
  <c r="DG134" i="12" s="1"/>
  <c r="DM134" i="12"/>
  <c r="DQ134" i="12" s="1"/>
  <c r="CS134" i="12"/>
  <c r="CW134" i="12" s="1"/>
  <c r="BX134" i="12"/>
  <c r="CE134" i="12" s="1"/>
  <c r="BC134" i="13" l="1"/>
  <c r="DF134" i="12"/>
  <c r="DD134" i="12"/>
  <c r="DT134" i="12"/>
  <c r="DX134" i="12" s="1"/>
  <c r="EB134" i="12" s="1"/>
  <c r="DE134" i="12"/>
  <c r="DO134" i="12"/>
  <c r="DP134" i="12"/>
  <c r="DN134" i="12"/>
  <c r="DU134" i="12"/>
  <c r="DY134" i="12" s="1"/>
  <c r="EC134" i="12" s="1"/>
  <c r="G115" i="11" s="1"/>
  <c r="DS134" i="12"/>
  <c r="DW134" i="12" s="1"/>
  <c r="EA134" i="12" s="1"/>
  <c r="CU134" i="12"/>
  <c r="CV134" i="12"/>
  <c r="CT134" i="12"/>
  <c r="CI134" i="12"/>
  <c r="CK134" i="12" s="1"/>
  <c r="BY134" i="12"/>
  <c r="CB134" i="12"/>
  <c r="CA134" i="12"/>
  <c r="BZ134" i="12"/>
  <c r="CD134" i="12"/>
  <c r="CH134" i="12"/>
  <c r="CC134" i="12"/>
  <c r="BG134" i="13" l="1"/>
  <c r="BK134" i="13"/>
  <c r="BL134" i="13" s="1"/>
  <c r="BW134" i="13" s="1"/>
  <c r="BX134" i="13" s="1"/>
  <c r="BI134" i="13"/>
  <c r="BF134" i="13"/>
  <c r="BH134" i="13"/>
  <c r="CM134" i="12"/>
  <c r="CL134" i="12"/>
  <c r="BB135" i="12" s="1"/>
  <c r="BE135" i="12" l="1"/>
  <c r="BN134" i="13"/>
  <c r="DB134" i="13" s="1"/>
  <c r="DC134" i="13" s="1"/>
  <c r="DG134" i="13" s="1"/>
  <c r="BO134" i="13"/>
  <c r="DL134" i="13" s="1"/>
  <c r="DM134" i="13" s="1"/>
  <c r="DQ134" i="13" s="1"/>
  <c r="BM134" i="13"/>
  <c r="CR134" i="13" s="1"/>
  <c r="CS134" i="13" s="1"/>
  <c r="CW134" i="13" s="1"/>
  <c r="CE134" i="13"/>
  <c r="CI134" i="13"/>
  <c r="CK134" i="13" s="1"/>
  <c r="CH134" i="13"/>
  <c r="CA134" i="13"/>
  <c r="BZ134" i="13"/>
  <c r="CC134" i="13"/>
  <c r="CB134" i="13"/>
  <c r="BY134" i="13"/>
  <c r="CD134" i="13"/>
  <c r="CV134" i="13" l="1"/>
  <c r="DS134" i="13"/>
  <c r="DW134" i="13" s="1"/>
  <c r="EA134" i="13" s="1"/>
  <c r="CT134" i="13"/>
  <c r="CU134" i="13"/>
  <c r="DD134" i="13"/>
  <c r="DT134" i="13"/>
  <c r="DX134" i="13" s="1"/>
  <c r="EB134" i="13" s="1"/>
  <c r="DE134" i="13"/>
  <c r="DF134" i="13"/>
  <c r="DU134" i="13"/>
  <c r="DY134" i="13" s="1"/>
  <c r="EC134" i="13" s="1"/>
  <c r="DN134" i="13"/>
  <c r="DO134" i="13"/>
  <c r="DP134" i="13"/>
  <c r="CM134" i="13"/>
  <c r="CL134" i="13"/>
  <c r="BB135" i="13" s="1"/>
  <c r="BC135" i="12"/>
  <c r="BD135" i="13" l="1"/>
  <c r="BE135" i="13"/>
  <c r="BF135" i="12"/>
  <c r="BH135" i="12"/>
  <c r="BI135" i="12"/>
  <c r="BG135" i="12"/>
  <c r="BK135" i="12"/>
  <c r="BC135" i="13" l="1"/>
  <c r="BO135" i="12"/>
  <c r="DL135" i="12" s="1"/>
  <c r="DM135" i="12" s="1"/>
  <c r="DQ135" i="12" s="1"/>
  <c r="BM135" i="12"/>
  <c r="CR135" i="12" s="1"/>
  <c r="CS135" i="12" s="1"/>
  <c r="CW135" i="12" s="1"/>
  <c r="BN135" i="12"/>
  <c r="DB135" i="12" s="1"/>
  <c r="DC135" i="12" s="1"/>
  <c r="DG135" i="12" s="1"/>
  <c r="BL135" i="12"/>
  <c r="BW135" i="12" s="1"/>
  <c r="BI135" i="13" l="1"/>
  <c r="BF135" i="13"/>
  <c r="BH135" i="13"/>
  <c r="BK135" i="13"/>
  <c r="BG135" i="13"/>
  <c r="BX135" i="12"/>
  <c r="CE135" i="12" s="1"/>
  <c r="DP135" i="12"/>
  <c r="DO135" i="12"/>
  <c r="DU135" i="12"/>
  <c r="DY135" i="12" s="1"/>
  <c r="EC135" i="12" s="1"/>
  <c r="DN135" i="12"/>
  <c r="DS135" i="12"/>
  <c r="DW135" i="12" s="1"/>
  <c r="EA135" i="12" s="1"/>
  <c r="CU135" i="12"/>
  <c r="CT135" i="12"/>
  <c r="CV135" i="12"/>
  <c r="DF135" i="12"/>
  <c r="DT135" i="12"/>
  <c r="DX135" i="12" s="1"/>
  <c r="EB135" i="12" s="1"/>
  <c r="DE135" i="12"/>
  <c r="DD135" i="12"/>
  <c r="BO135" i="13" l="1"/>
  <c r="DL135" i="13" s="1"/>
  <c r="BM135" i="13"/>
  <c r="CR135" i="13" s="1"/>
  <c r="BL135" i="13"/>
  <c r="BW135" i="13" s="1"/>
  <c r="BX135" i="13" s="1"/>
  <c r="CE135" i="13" s="1"/>
  <c r="BN135" i="13"/>
  <c r="DB135" i="13" s="1"/>
  <c r="CA135" i="12"/>
  <c r="BZ135" i="12"/>
  <c r="CH135" i="12"/>
  <c r="CD135" i="12"/>
  <c r="CC135" i="12"/>
  <c r="CB135" i="12"/>
  <c r="CI135" i="12"/>
  <c r="CK135" i="12" s="1"/>
  <c r="BY135" i="12"/>
  <c r="DM135" i="13" l="1"/>
  <c r="DQ135" i="13" s="1"/>
  <c r="CS135" i="13"/>
  <c r="CW135" i="13" s="1"/>
  <c r="DC135" i="13"/>
  <c r="DG135" i="13" s="1"/>
  <c r="CM135" i="12"/>
  <c r="CL135" i="12"/>
  <c r="BB136" i="12" s="1"/>
  <c r="BZ135" i="13"/>
  <c r="CB135" i="13"/>
  <c r="CC135" i="13"/>
  <c r="BY135" i="13"/>
  <c r="CD135" i="13"/>
  <c r="CA135" i="13"/>
  <c r="CI135" i="13"/>
  <c r="CK135" i="13" s="1"/>
  <c r="CH135" i="13"/>
  <c r="BE136" i="12" l="1"/>
  <c r="DP135" i="13"/>
  <c r="DU135" i="13"/>
  <c r="DY135" i="13" s="1"/>
  <c r="EC135" i="13" s="1"/>
  <c r="DN135" i="13"/>
  <c r="DO135" i="13"/>
  <c r="CV135" i="13"/>
  <c r="DS135" i="13"/>
  <c r="DW135" i="13" s="1"/>
  <c r="EA135" i="13" s="1"/>
  <c r="CT135" i="13"/>
  <c r="CU135" i="13"/>
  <c r="DF135" i="13"/>
  <c r="DT135" i="13"/>
  <c r="DX135" i="13" s="1"/>
  <c r="EB135" i="13" s="1"/>
  <c r="DD135" i="13"/>
  <c r="DE135" i="13"/>
  <c r="CL135" i="13"/>
  <c r="BB136" i="13" s="1"/>
  <c r="BD136" i="13" s="1"/>
  <c r="CM135" i="13"/>
  <c r="BC136" i="12" l="1"/>
  <c r="BE136" i="13"/>
  <c r="BI136" i="12" l="1"/>
  <c r="BK136" i="12"/>
  <c r="BF136" i="12"/>
  <c r="BG136" i="12"/>
  <c r="BH136" i="12"/>
  <c r="BC136" i="13"/>
  <c r="BO136" i="12" l="1"/>
  <c r="DL136" i="12" s="1"/>
  <c r="DM136" i="12" s="1"/>
  <c r="BL136" i="12"/>
  <c r="BW136" i="12" s="1"/>
  <c r="BX136" i="12" s="1"/>
  <c r="BN136" i="12"/>
  <c r="DB136" i="12" s="1"/>
  <c r="BM136" i="12"/>
  <c r="CR136" i="12" s="1"/>
  <c r="CS136" i="12" s="1"/>
  <c r="BI136" i="13"/>
  <c r="BF136" i="13"/>
  <c r="BH136" i="13"/>
  <c r="BK136" i="13"/>
  <c r="BG136" i="13"/>
  <c r="DC136" i="12" l="1"/>
  <c r="DG136" i="12" s="1"/>
  <c r="DQ136" i="12"/>
  <c r="DU136" i="12"/>
  <c r="DY136" i="12" s="1"/>
  <c r="EC136" i="12" s="1"/>
  <c r="DN136" i="12"/>
  <c r="DP136" i="12"/>
  <c r="DO136" i="12"/>
  <c r="CE136" i="12"/>
  <c r="CD136" i="12"/>
  <c r="CC136" i="12"/>
  <c r="CB136" i="12"/>
  <c r="CH136" i="12"/>
  <c r="BY136" i="12"/>
  <c r="BZ136" i="12"/>
  <c r="CA136" i="12"/>
  <c r="CI136" i="12"/>
  <c r="CK136" i="12" s="1"/>
  <c r="CW136" i="12"/>
  <c r="DS136" i="12"/>
  <c r="DW136" i="12" s="1"/>
  <c r="EA136" i="12" s="1"/>
  <c r="CT136" i="12"/>
  <c r="CV136" i="12"/>
  <c r="CU136" i="12"/>
  <c r="BL136" i="13"/>
  <c r="BW136" i="13" s="1"/>
  <c r="BM136" i="13"/>
  <c r="CR136" i="13" s="1"/>
  <c r="CS136" i="13" s="1"/>
  <c r="BN136" i="13"/>
  <c r="DB136" i="13" s="1"/>
  <c r="DC136" i="13" s="1"/>
  <c r="BO136" i="13"/>
  <c r="DL136" i="13" s="1"/>
  <c r="DM136" i="13" s="1"/>
  <c r="G116" i="11" l="1"/>
  <c r="G117" i="11"/>
  <c r="CM136" i="12"/>
  <c r="CL136" i="12"/>
  <c r="BB137" i="12" s="1"/>
  <c r="DT136" i="12"/>
  <c r="DX136" i="12" s="1"/>
  <c r="EB136" i="12" s="1"/>
  <c r="DD136" i="12"/>
  <c r="DE136" i="12"/>
  <c r="DF136" i="12"/>
  <c r="BX136" i="13"/>
  <c r="CE136" i="13" s="1"/>
  <c r="CU136" i="13"/>
  <c r="CT136" i="13"/>
  <c r="DS136" i="13"/>
  <c r="DW136" i="13" s="1"/>
  <c r="EA136" i="13" s="1"/>
  <c r="CV136" i="13"/>
  <c r="CW136" i="13"/>
  <c r="DE136" i="13"/>
  <c r="DD136" i="13"/>
  <c r="DT136" i="13"/>
  <c r="DX136" i="13" s="1"/>
  <c r="EB136" i="13" s="1"/>
  <c r="DF136" i="13"/>
  <c r="DG136" i="13"/>
  <c r="DO136" i="13"/>
  <c r="DN136" i="13"/>
  <c r="DU136" i="13"/>
  <c r="DY136" i="13" s="1"/>
  <c r="EC136" i="13" s="1"/>
  <c r="DP136" i="13"/>
  <c r="DQ136" i="13"/>
  <c r="BE137" i="12" l="1"/>
  <c r="CI136" i="13"/>
  <c r="CK136" i="13" s="1"/>
  <c r="CH136" i="13"/>
  <c r="CB136" i="13"/>
  <c r="CC136" i="13"/>
  <c r="BY136" i="13"/>
  <c r="CD136" i="13"/>
  <c r="BZ136" i="13"/>
  <c r="CA136" i="13"/>
  <c r="BC137" i="12" l="1"/>
  <c r="CM136" i="13"/>
  <c r="CL136" i="13"/>
  <c r="BB137" i="13" s="1"/>
  <c r="BD137" i="13" s="1"/>
  <c r="BK137" i="12" l="1"/>
  <c r="BH137" i="12"/>
  <c r="BG137" i="12"/>
  <c r="BF137" i="12"/>
  <c r="BI137" i="12"/>
  <c r="BE137" i="13"/>
  <c r="BN137" i="12" l="1"/>
  <c r="DB137" i="12" s="1"/>
  <c r="DC137" i="12" s="1"/>
  <c r="DG137" i="12" s="1"/>
  <c r="BL137" i="12"/>
  <c r="BW137" i="12" s="1"/>
  <c r="BX137" i="12" s="1"/>
  <c r="CE137" i="12" s="1"/>
  <c r="BM137" i="12"/>
  <c r="CR137" i="12" s="1"/>
  <c r="BO137" i="12"/>
  <c r="DL137" i="12" s="1"/>
  <c r="BC137" i="13"/>
  <c r="CS137" i="12" l="1"/>
  <c r="CW137" i="12" s="1"/>
  <c r="DM137" i="12"/>
  <c r="DQ137" i="12" s="1"/>
  <c r="DD137" i="12"/>
  <c r="DF137" i="12"/>
  <c r="DT137" i="12"/>
  <c r="DX137" i="12" s="1"/>
  <c r="EB137" i="12" s="1"/>
  <c r="DE137" i="12"/>
  <c r="CI137" i="12"/>
  <c r="CK137" i="12" s="1"/>
  <c r="CB137" i="12"/>
  <c r="BZ137" i="12"/>
  <c r="BY137" i="12"/>
  <c r="CC137" i="12"/>
  <c r="CA137" i="12"/>
  <c r="CH137" i="12"/>
  <c r="CD137" i="12"/>
  <c r="BK137" i="13"/>
  <c r="BG137" i="13"/>
  <c r="BH137" i="13"/>
  <c r="BF137" i="13"/>
  <c r="BI137" i="13"/>
  <c r="DN137" i="12" l="1"/>
  <c r="DP137" i="12"/>
  <c r="DO137" i="12"/>
  <c r="DU137" i="12"/>
  <c r="DY137" i="12" s="1"/>
  <c r="EC137" i="12" s="1"/>
  <c r="CT137" i="12"/>
  <c r="CU137" i="12"/>
  <c r="CV137" i="12"/>
  <c r="DS137" i="12"/>
  <c r="DW137" i="12" s="1"/>
  <c r="EA137" i="12" s="1"/>
  <c r="CM137" i="12"/>
  <c r="CL137" i="12"/>
  <c r="BB138" i="12" s="1"/>
  <c r="BM137" i="13"/>
  <c r="CR137" i="13" s="1"/>
  <c r="BL137" i="13"/>
  <c r="BW137" i="13" s="1"/>
  <c r="BX137" i="13" s="1"/>
  <c r="CE137" i="13" s="1"/>
  <c r="BO137" i="13"/>
  <c r="DL137" i="13" s="1"/>
  <c r="BN137" i="13"/>
  <c r="DB137" i="13" s="1"/>
  <c r="BE138" i="12" l="1"/>
  <c r="CS137" i="13"/>
  <c r="DM137" i="13"/>
  <c r="DQ137" i="13" s="1"/>
  <c r="DC137" i="13"/>
  <c r="DG137" i="13" s="1"/>
  <c r="BY137" i="13"/>
  <c r="CB137" i="13"/>
  <c r="BZ137" i="13"/>
  <c r="CI137" i="13"/>
  <c r="CK137" i="13" s="1"/>
  <c r="CH137" i="13"/>
  <c r="CA137" i="13"/>
  <c r="CC137" i="13"/>
  <c r="CD137" i="13"/>
  <c r="BC138" i="12" l="1"/>
  <c r="CW137" i="13"/>
  <c r="CV137" i="13"/>
  <c r="CT137" i="13"/>
  <c r="DS137" i="13"/>
  <c r="DW137" i="13" s="1"/>
  <c r="EA137" i="13" s="1"/>
  <c r="CU137" i="13"/>
  <c r="DO137" i="13"/>
  <c r="DU137" i="13"/>
  <c r="DY137" i="13" s="1"/>
  <c r="EC137" i="13" s="1"/>
  <c r="DP137" i="13"/>
  <c r="DN137" i="13"/>
  <c r="DE137" i="13"/>
  <c r="DF137" i="13"/>
  <c r="DD137" i="13"/>
  <c r="DT137" i="13"/>
  <c r="DX137" i="13" s="1"/>
  <c r="EB137" i="13" s="1"/>
  <c r="CL137" i="13"/>
  <c r="BB138" i="13" s="1"/>
  <c r="BD138" i="13" s="1"/>
  <c r="CM137" i="13"/>
  <c r="BF138" i="12" l="1"/>
  <c r="BH138" i="12"/>
  <c r="BG138" i="12"/>
  <c r="BK138" i="12"/>
  <c r="BI138" i="12"/>
  <c r="BE138" i="13"/>
  <c r="BC138" i="13" s="1"/>
  <c r="BL138" i="12" l="1"/>
  <c r="BW138" i="12" s="1"/>
  <c r="BN138" i="12"/>
  <c r="DB138" i="12" s="1"/>
  <c r="BO138" i="12"/>
  <c r="DL138" i="12" s="1"/>
  <c r="BM138" i="12"/>
  <c r="CR138" i="12" s="1"/>
  <c r="BG138" i="13"/>
  <c r="BK138" i="13"/>
  <c r="BH138" i="13"/>
  <c r="BF138" i="13"/>
  <c r="BI138" i="13"/>
  <c r="BX138" i="12" l="1"/>
  <c r="CE138" i="12" s="1"/>
  <c r="DC138" i="12"/>
  <c r="DG138" i="12" s="1"/>
  <c r="DM138" i="12"/>
  <c r="DQ138" i="12" s="1"/>
  <c r="CS138" i="12"/>
  <c r="CW138" i="12" s="1"/>
  <c r="BO138" i="13"/>
  <c r="DL138" i="13" s="1"/>
  <c r="DM138" i="13" s="1"/>
  <c r="BN138" i="13"/>
  <c r="DB138" i="13" s="1"/>
  <c r="DC138" i="13" s="1"/>
  <c r="BM138" i="13"/>
  <c r="CR138" i="13" s="1"/>
  <c r="CS138" i="13" s="1"/>
  <c r="BL138" i="13"/>
  <c r="BW138" i="13" s="1"/>
  <c r="BZ138" i="12" l="1"/>
  <c r="CA138" i="12"/>
  <c r="CB138" i="12"/>
  <c r="CC138" i="12"/>
  <c r="CI138" i="12"/>
  <c r="CK138" i="12" s="1"/>
  <c r="BY138" i="12"/>
  <c r="CH138" i="12"/>
  <c r="CD138" i="12"/>
  <c r="DE138" i="12"/>
  <c r="DT138" i="12"/>
  <c r="DX138" i="12" s="1"/>
  <c r="EB138" i="12" s="1"/>
  <c r="DF138" i="12"/>
  <c r="DD138" i="12"/>
  <c r="DO138" i="12"/>
  <c r="DN138" i="12"/>
  <c r="DU138" i="12"/>
  <c r="DY138" i="12" s="1"/>
  <c r="EC138" i="12" s="1"/>
  <c r="G118" i="11" s="1"/>
  <c r="DP138" i="12"/>
  <c r="DS138" i="12"/>
  <c r="DW138" i="12" s="1"/>
  <c r="EA138" i="12" s="1"/>
  <c r="CV138" i="12"/>
  <c r="CT138" i="12"/>
  <c r="CU138" i="12"/>
  <c r="DO138" i="13"/>
  <c r="DN138" i="13"/>
  <c r="DU138" i="13"/>
  <c r="DY138" i="13" s="1"/>
  <c r="EC138" i="13" s="1"/>
  <c r="DP138" i="13"/>
  <c r="DQ138" i="13"/>
  <c r="DD138" i="13"/>
  <c r="DT138" i="13"/>
  <c r="DX138" i="13" s="1"/>
  <c r="EB138" i="13" s="1"/>
  <c r="DF138" i="13"/>
  <c r="DE138" i="13"/>
  <c r="DG138" i="13"/>
  <c r="CV138" i="13"/>
  <c r="CU138" i="13"/>
  <c r="CT138" i="13"/>
  <c r="DS138" i="13"/>
  <c r="DW138" i="13" s="1"/>
  <c r="EA138" i="13" s="1"/>
  <c r="CW138" i="13"/>
  <c r="BX138" i="13"/>
  <c r="CE138" i="13" s="1"/>
  <c r="CM138" i="12" l="1"/>
  <c r="CL138" i="12"/>
  <c r="BB139" i="12" s="1"/>
  <c r="CA138" i="13"/>
  <c r="CH138" i="13"/>
  <c r="CI138" i="13"/>
  <c r="CK138" i="13" s="1"/>
  <c r="BZ138" i="13"/>
  <c r="CB138" i="13"/>
  <c r="CC138" i="13"/>
  <c r="BY138" i="13"/>
  <c r="CD138" i="13"/>
  <c r="BE139" i="12" l="1"/>
  <c r="CM138" i="13"/>
  <c r="CL138" i="13"/>
  <c r="BB139" i="13" s="1"/>
  <c r="BD139" i="13" s="1"/>
  <c r="BC139" i="12" l="1"/>
  <c r="BE139" i="13"/>
  <c r="BF139" i="12" l="1"/>
  <c r="BK139" i="12"/>
  <c r="BG139" i="12"/>
  <c r="BH139" i="12"/>
  <c r="BI139" i="12"/>
  <c r="BC139" i="13"/>
  <c r="BN139" i="12" l="1"/>
  <c r="DB139" i="12" s="1"/>
  <c r="DC139" i="12" s="1"/>
  <c r="BL139" i="12"/>
  <c r="BW139" i="12" s="1"/>
  <c r="BO139" i="12"/>
  <c r="DL139" i="12" s="1"/>
  <c r="BM139" i="12"/>
  <c r="CR139" i="12" s="1"/>
  <c r="CS139" i="12" s="1"/>
  <c r="BI139" i="13"/>
  <c r="BK139" i="13"/>
  <c r="BG139" i="13"/>
  <c r="BF139" i="13"/>
  <c r="BH139" i="13"/>
  <c r="DF139" i="12" l="1"/>
  <c r="DT139" i="12"/>
  <c r="DX139" i="12" s="1"/>
  <c r="EB139" i="12" s="1"/>
  <c r="DD139" i="12"/>
  <c r="DE139" i="12"/>
  <c r="DG139" i="12"/>
  <c r="BX139" i="12"/>
  <c r="CE139" i="12" s="1"/>
  <c r="DM139" i="12"/>
  <c r="DQ139" i="12" s="1"/>
  <c r="CT139" i="12"/>
  <c r="CU139" i="12"/>
  <c r="CV139" i="12"/>
  <c r="DS139" i="12"/>
  <c r="DW139" i="12" s="1"/>
  <c r="EA139" i="12" s="1"/>
  <c r="CW139" i="12"/>
  <c r="BO139" i="13"/>
  <c r="DL139" i="13" s="1"/>
  <c r="DM139" i="13" s="1"/>
  <c r="BM139" i="13"/>
  <c r="CR139" i="13" s="1"/>
  <c r="CS139" i="13" s="1"/>
  <c r="BL139" i="13"/>
  <c r="BW139" i="13" s="1"/>
  <c r="BX139" i="13" s="1"/>
  <c r="BN139" i="13"/>
  <c r="DB139" i="13" s="1"/>
  <c r="DC139" i="13" s="1"/>
  <c r="CD139" i="12" l="1"/>
  <c r="CC139" i="12"/>
  <c r="CB139" i="12"/>
  <c r="BZ139" i="12"/>
  <c r="BY139" i="12"/>
  <c r="CI139" i="12"/>
  <c r="CK139" i="12" s="1"/>
  <c r="CA139" i="12"/>
  <c r="CH139" i="12"/>
  <c r="DP139" i="12"/>
  <c r="DO139" i="12"/>
  <c r="DN139" i="12"/>
  <c r="DU139" i="12"/>
  <c r="DY139" i="12" s="1"/>
  <c r="EC139" i="12" s="1"/>
  <c r="G119" i="11" s="1"/>
  <c r="DO139" i="13"/>
  <c r="DN139" i="13"/>
  <c r="DU139" i="13"/>
  <c r="DY139" i="13" s="1"/>
  <c r="EC139" i="13" s="1"/>
  <c r="DP139" i="13"/>
  <c r="DQ139" i="13"/>
  <c r="CU139" i="13"/>
  <c r="CT139" i="13"/>
  <c r="DS139" i="13"/>
  <c r="DW139" i="13" s="1"/>
  <c r="EA139" i="13" s="1"/>
  <c r="CV139" i="13"/>
  <c r="CW139" i="13"/>
  <c r="BZ139" i="13"/>
  <c r="CC139" i="13"/>
  <c r="CB139" i="13"/>
  <c r="BY139" i="13"/>
  <c r="CD139" i="13"/>
  <c r="CA139" i="13"/>
  <c r="CI139" i="13"/>
  <c r="CK139" i="13" s="1"/>
  <c r="CH139" i="13"/>
  <c r="CE139" i="13"/>
  <c r="DE139" i="13"/>
  <c r="DD139" i="13"/>
  <c r="DT139" i="13"/>
  <c r="DX139" i="13" s="1"/>
  <c r="EB139" i="13" s="1"/>
  <c r="DF139" i="13"/>
  <c r="DG139" i="13"/>
  <c r="CL139" i="12" l="1"/>
  <c r="BB140" i="12" s="1"/>
  <c r="CM139" i="12"/>
  <c r="CL139" i="13"/>
  <c r="BB140" i="13" s="1"/>
  <c r="BD140" i="13" s="1"/>
  <c r="CM139" i="13"/>
  <c r="BE140" i="12" l="1"/>
  <c r="BE140" i="13"/>
  <c r="BC140" i="12" l="1"/>
  <c r="BC140" i="13"/>
  <c r="BH140" i="12" l="1"/>
  <c r="BK140" i="12"/>
  <c r="BG140" i="12"/>
  <c r="BI140" i="12"/>
  <c r="BF140" i="12"/>
  <c r="BI140" i="13"/>
  <c r="BF140" i="13"/>
  <c r="BH140" i="13"/>
  <c r="BK140" i="13"/>
  <c r="BG140" i="13"/>
  <c r="BO140" i="12" l="1"/>
  <c r="DL140" i="12" s="1"/>
  <c r="DM140" i="12" s="1"/>
  <c r="DQ140" i="12" s="1"/>
  <c r="BN140" i="12"/>
  <c r="DB140" i="12" s="1"/>
  <c r="DC140" i="12" s="1"/>
  <c r="DG140" i="12" s="1"/>
  <c r="BL140" i="12"/>
  <c r="BW140" i="12" s="1"/>
  <c r="BX140" i="12" s="1"/>
  <c r="CE140" i="12" s="1"/>
  <c r="BM140" i="12"/>
  <c r="CR140" i="12" s="1"/>
  <c r="CS140" i="12" s="1"/>
  <c r="CW140" i="12" s="1"/>
  <c r="BN140" i="13"/>
  <c r="DB140" i="13" s="1"/>
  <c r="DC140" i="13" s="1"/>
  <c r="BM140" i="13"/>
  <c r="CR140" i="13" s="1"/>
  <c r="CS140" i="13" s="1"/>
  <c r="BL140" i="13"/>
  <c r="BW140" i="13" s="1"/>
  <c r="BO140" i="13"/>
  <c r="DL140" i="13" s="1"/>
  <c r="DM140" i="13" s="1"/>
  <c r="DP140" i="12" l="1"/>
  <c r="DO140" i="12"/>
  <c r="DN140" i="12"/>
  <c r="DU140" i="12"/>
  <c r="DY140" i="12" s="1"/>
  <c r="EC140" i="12" s="1"/>
  <c r="G120" i="11" s="1"/>
  <c r="DD140" i="12"/>
  <c r="DF140" i="12"/>
  <c r="DE140" i="12"/>
  <c r="DT140" i="12"/>
  <c r="DX140" i="12" s="1"/>
  <c r="EB140" i="12" s="1"/>
  <c r="CB140" i="12"/>
  <c r="CH140" i="12"/>
  <c r="BZ140" i="12"/>
  <c r="CA140" i="12"/>
  <c r="CC140" i="12"/>
  <c r="BY140" i="12"/>
  <c r="CI140" i="12"/>
  <c r="CK140" i="12" s="1"/>
  <c r="CD140" i="12"/>
  <c r="CV140" i="12"/>
  <c r="CU140" i="12"/>
  <c r="CT140" i="12"/>
  <c r="DS140" i="12"/>
  <c r="DW140" i="12" s="1"/>
  <c r="EA140" i="12" s="1"/>
  <c r="DF140" i="13"/>
  <c r="DE140" i="13"/>
  <c r="DD140" i="13"/>
  <c r="DT140" i="13"/>
  <c r="DX140" i="13" s="1"/>
  <c r="EB140" i="13" s="1"/>
  <c r="DG140" i="13"/>
  <c r="CV140" i="13"/>
  <c r="CU140" i="13"/>
  <c r="CT140" i="13"/>
  <c r="DS140" i="13"/>
  <c r="DW140" i="13" s="1"/>
  <c r="EA140" i="13" s="1"/>
  <c r="CW140" i="13"/>
  <c r="BX140" i="13"/>
  <c r="CE140" i="13" s="1"/>
  <c r="DN140" i="13"/>
  <c r="DO140" i="13"/>
  <c r="DU140" i="13"/>
  <c r="DY140" i="13" s="1"/>
  <c r="EC140" i="13" s="1"/>
  <c r="DP140" i="13"/>
  <c r="DQ140" i="13"/>
  <c r="CL140" i="12" l="1"/>
  <c r="BB141" i="12" s="1"/>
  <c r="CM140" i="12"/>
  <c r="CH140" i="13"/>
  <c r="CI140" i="13"/>
  <c r="CK140" i="13" s="1"/>
  <c r="CB140" i="13"/>
  <c r="CC140" i="13"/>
  <c r="BY140" i="13"/>
  <c r="CD140" i="13"/>
  <c r="CA140" i="13"/>
  <c r="BZ140" i="13"/>
  <c r="BE141" i="12" l="1"/>
  <c r="CM140" i="13"/>
  <c r="CL140" i="13"/>
  <c r="BB141" i="13" s="1"/>
  <c r="BD141" i="13" s="1"/>
  <c r="BC141" i="12" l="1"/>
  <c r="BE141" i="13"/>
  <c r="BH141" i="12" l="1"/>
  <c r="BF141" i="12"/>
  <c r="BK141" i="12"/>
  <c r="BG141" i="12"/>
  <c r="BI141" i="12"/>
  <c r="BC141" i="13"/>
  <c r="BG141" i="13" s="1"/>
  <c r="BO141" i="12" l="1"/>
  <c r="DL141" i="12" s="1"/>
  <c r="DM141" i="12" s="1"/>
  <c r="BM141" i="12"/>
  <c r="CR141" i="12" s="1"/>
  <c r="CS141" i="12" s="1"/>
  <c r="BL141" i="12"/>
  <c r="BW141" i="12" s="1"/>
  <c r="BX141" i="12" s="1"/>
  <c r="BN141" i="12"/>
  <c r="DB141" i="12" s="1"/>
  <c r="DC141" i="12" s="1"/>
  <c r="BK141" i="13"/>
  <c r="BH141" i="13"/>
  <c r="BF141" i="13"/>
  <c r="BI141" i="13"/>
  <c r="DN141" i="12" l="1"/>
  <c r="DP141" i="12"/>
  <c r="DO141" i="12"/>
  <c r="DU141" i="12"/>
  <c r="DY141" i="12" s="1"/>
  <c r="EC141" i="12" s="1"/>
  <c r="G121" i="11" s="1"/>
  <c r="DQ141" i="12"/>
  <c r="DS141" i="12"/>
  <c r="DW141" i="12" s="1"/>
  <c r="EA141" i="12" s="1"/>
  <c r="CV141" i="12"/>
  <c r="CT141" i="12"/>
  <c r="CU141" i="12"/>
  <c r="CW141" i="12"/>
  <c r="CI141" i="12"/>
  <c r="CK141" i="12" s="1"/>
  <c r="CB141" i="12"/>
  <c r="CH141" i="12"/>
  <c r="CC141" i="12"/>
  <c r="CA141" i="12"/>
  <c r="CD141" i="12"/>
  <c r="BZ141" i="12"/>
  <c r="BY141" i="12"/>
  <c r="CE141" i="12"/>
  <c r="DE141" i="12"/>
  <c r="DD141" i="12"/>
  <c r="DT141" i="12"/>
  <c r="DX141" i="12" s="1"/>
  <c r="EB141" i="12" s="1"/>
  <c r="DF141" i="12"/>
  <c r="DG141" i="12"/>
  <c r="BM141" i="13"/>
  <c r="CR141" i="13" s="1"/>
  <c r="BN141" i="13"/>
  <c r="DB141" i="13" s="1"/>
  <c r="BO141" i="13"/>
  <c r="DL141" i="13" s="1"/>
  <c r="BL141" i="13"/>
  <c r="BW141" i="13" s="1"/>
  <c r="BX141" i="13" s="1"/>
  <c r="CE141" i="13" s="1"/>
  <c r="CL141" i="12" l="1"/>
  <c r="BB142" i="12" s="1"/>
  <c r="CM141" i="12"/>
  <c r="CS141" i="13"/>
  <c r="CW141" i="13" s="1"/>
  <c r="DC141" i="13"/>
  <c r="DG141" i="13" s="1"/>
  <c r="DM141" i="13"/>
  <c r="DQ141" i="13" s="1"/>
  <c r="BZ141" i="13"/>
  <c r="CB141" i="13"/>
  <c r="CC141" i="13"/>
  <c r="BY141" i="13"/>
  <c r="CD141" i="13"/>
  <c r="CA141" i="13"/>
  <c r="CH141" i="13"/>
  <c r="CI141" i="13"/>
  <c r="CK141" i="13" s="1"/>
  <c r="BE142" i="12" l="1"/>
  <c r="CV141" i="13"/>
  <c r="DS141" i="13"/>
  <c r="DW141" i="13" s="1"/>
  <c r="EA141" i="13" s="1"/>
  <c r="CT141" i="13"/>
  <c r="CU141" i="13"/>
  <c r="DF141" i="13"/>
  <c r="DT141" i="13"/>
  <c r="DX141" i="13" s="1"/>
  <c r="EB141" i="13" s="1"/>
  <c r="DD141" i="13"/>
  <c r="DE141" i="13"/>
  <c r="DP141" i="13"/>
  <c r="DU141" i="13"/>
  <c r="DY141" i="13" s="1"/>
  <c r="EC141" i="13" s="1"/>
  <c r="DN141" i="13"/>
  <c r="DO141" i="13"/>
  <c r="CM141" i="13"/>
  <c r="CL141" i="13"/>
  <c r="BB142" i="13" s="1"/>
  <c r="BD142" i="13" s="1"/>
  <c r="BC142" i="12" l="1"/>
  <c r="BE142" i="13"/>
  <c r="BK142" i="12" l="1"/>
  <c r="BH142" i="12"/>
  <c r="BF142" i="12"/>
  <c r="BG142" i="12"/>
  <c r="BI142" i="12"/>
  <c r="BC142" i="13"/>
  <c r="BM142" i="12" l="1"/>
  <c r="CR142" i="12" s="1"/>
  <c r="CS142" i="12" s="1"/>
  <c r="BO142" i="12"/>
  <c r="DL142" i="12" s="1"/>
  <c r="DM142" i="12" s="1"/>
  <c r="BL142" i="12"/>
  <c r="BW142" i="12" s="1"/>
  <c r="BX142" i="12" s="1"/>
  <c r="BN142" i="12"/>
  <c r="DB142" i="12" s="1"/>
  <c r="DC142" i="12" s="1"/>
  <c r="BK142" i="13"/>
  <c r="BH142" i="13"/>
  <c r="BF142" i="13"/>
  <c r="BG142" i="13"/>
  <c r="BI142" i="13"/>
  <c r="CV142" i="12" l="1"/>
  <c r="DS142" i="12"/>
  <c r="DW142" i="12" s="1"/>
  <c r="EA142" i="12" s="1"/>
  <c r="CU142" i="12"/>
  <c r="CT142" i="12"/>
  <c r="CW142" i="12"/>
  <c r="DO142" i="12"/>
  <c r="DP142" i="12"/>
  <c r="DN142" i="12"/>
  <c r="DU142" i="12"/>
  <c r="DY142" i="12" s="1"/>
  <c r="EC142" i="12" s="1"/>
  <c r="G122" i="11" s="1"/>
  <c r="DQ142" i="12"/>
  <c r="CB142" i="12"/>
  <c r="CD142" i="12"/>
  <c r="CI142" i="12"/>
  <c r="CK142" i="12" s="1"/>
  <c r="CH142" i="12"/>
  <c r="CC142" i="12"/>
  <c r="BY142" i="12"/>
  <c r="CA142" i="12"/>
  <c r="BZ142" i="12"/>
  <c r="CE142" i="12"/>
  <c r="DF142" i="12"/>
  <c r="DE142" i="12"/>
  <c r="DT142" i="12"/>
  <c r="DX142" i="12" s="1"/>
  <c r="EB142" i="12" s="1"/>
  <c r="DD142" i="12"/>
  <c r="DG142" i="12"/>
  <c r="BL142" i="13"/>
  <c r="BW142" i="13" s="1"/>
  <c r="BX142" i="13" s="1"/>
  <c r="CE142" i="13" s="1"/>
  <c r="BM142" i="13"/>
  <c r="CR142" i="13" s="1"/>
  <c r="BN142" i="13"/>
  <c r="DB142" i="13" s="1"/>
  <c r="BO142" i="13"/>
  <c r="DL142" i="13" s="1"/>
  <c r="CM142" i="12" l="1"/>
  <c r="CL142" i="12"/>
  <c r="BB143" i="12" s="1"/>
  <c r="CS142" i="13"/>
  <c r="CW142" i="13" s="1"/>
  <c r="DC142" i="13"/>
  <c r="DG142" i="13" s="1"/>
  <c r="DM142" i="13"/>
  <c r="DQ142" i="13" s="1"/>
  <c r="CB142" i="13"/>
  <c r="CC142" i="13"/>
  <c r="CD142" i="13"/>
  <c r="CA142" i="13"/>
  <c r="CH142" i="13"/>
  <c r="CI142" i="13"/>
  <c r="CK142" i="13" s="1"/>
  <c r="BZ142" i="13"/>
  <c r="BY142" i="13"/>
  <c r="BE143" i="12" l="1"/>
  <c r="CU142" i="13"/>
  <c r="DS142" i="13"/>
  <c r="DW142" i="13" s="1"/>
  <c r="EA142" i="13" s="1"/>
  <c r="CV142" i="13"/>
  <c r="CT142" i="13"/>
  <c r="DF142" i="13"/>
  <c r="DT142" i="13"/>
  <c r="DX142" i="13" s="1"/>
  <c r="EB142" i="13" s="1"/>
  <c r="DD142" i="13"/>
  <c r="DE142" i="13"/>
  <c r="DU142" i="13"/>
  <c r="DY142" i="13" s="1"/>
  <c r="EC142" i="13" s="1"/>
  <c r="DO142" i="13"/>
  <c r="DP142" i="13"/>
  <c r="DN142" i="13"/>
  <c r="CM142" i="13"/>
  <c r="CL142" i="13"/>
  <c r="BB143" i="13" s="1"/>
  <c r="BD143" i="13" s="1"/>
  <c r="BC143" i="12" l="1"/>
  <c r="BE143" i="13"/>
  <c r="BK143" i="12" l="1"/>
  <c r="BH143" i="12"/>
  <c r="BF143" i="12"/>
  <c r="BG143" i="12"/>
  <c r="BI143" i="12"/>
  <c r="BC143" i="13"/>
  <c r="BN143" i="12" l="1"/>
  <c r="DB143" i="12" s="1"/>
  <c r="BO143" i="12"/>
  <c r="DL143" i="12" s="1"/>
  <c r="BL143" i="12"/>
  <c r="BW143" i="12" s="1"/>
  <c r="BM143" i="12"/>
  <c r="CR143" i="12" s="1"/>
  <c r="BI143" i="13"/>
  <c r="BH143" i="13"/>
  <c r="BK143" i="13"/>
  <c r="BG143" i="13"/>
  <c r="BF143" i="13"/>
  <c r="DC143" i="12" l="1"/>
  <c r="DG143" i="12" s="1"/>
  <c r="DM143" i="12"/>
  <c r="DQ143" i="12" s="1"/>
  <c r="BX143" i="12"/>
  <c r="CE143" i="12" s="1"/>
  <c r="CS143" i="12"/>
  <c r="CW143" i="12" s="1"/>
  <c r="BO143" i="13"/>
  <c r="DL143" i="13" s="1"/>
  <c r="BN143" i="13"/>
  <c r="DB143" i="13" s="1"/>
  <c r="BL143" i="13"/>
  <c r="BW143" i="13" s="1"/>
  <c r="BM143" i="13"/>
  <c r="CR143" i="13" s="1"/>
  <c r="DF143" i="12" l="1"/>
  <c r="DE143" i="12"/>
  <c r="DD143" i="12"/>
  <c r="DT143" i="12"/>
  <c r="DX143" i="12" s="1"/>
  <c r="EB143" i="12" s="1"/>
  <c r="DU143" i="12"/>
  <c r="DY143" i="12" s="1"/>
  <c r="EC143" i="12" s="1"/>
  <c r="G123" i="11" s="1"/>
  <c r="DP143" i="12"/>
  <c r="DO143" i="12"/>
  <c r="DN143" i="12"/>
  <c r="BZ143" i="12"/>
  <c r="CD143" i="12"/>
  <c r="BY143" i="12"/>
  <c r="CC143" i="12"/>
  <c r="CA143" i="12"/>
  <c r="CI143" i="12"/>
  <c r="CK143" i="12" s="1"/>
  <c r="CB143" i="12"/>
  <c r="CH143" i="12"/>
  <c r="CV143" i="12"/>
  <c r="CU143" i="12"/>
  <c r="CT143" i="12"/>
  <c r="DS143" i="12"/>
  <c r="DW143" i="12" s="1"/>
  <c r="EA143" i="12" s="1"/>
  <c r="DM143" i="13"/>
  <c r="DQ143" i="13" s="1"/>
  <c r="DC143" i="13"/>
  <c r="DG143" i="13" s="1"/>
  <c r="BX143" i="13"/>
  <c r="CE143" i="13" s="1"/>
  <c r="CS143" i="13"/>
  <c r="CW143" i="13" s="1"/>
  <c r="CL143" i="12" l="1"/>
  <c r="BB144" i="12" s="1"/>
  <c r="CM143" i="12"/>
  <c r="DN143" i="13"/>
  <c r="DP143" i="13"/>
  <c r="DU143" i="13"/>
  <c r="DY143" i="13" s="1"/>
  <c r="EC143" i="13" s="1"/>
  <c r="DO143" i="13"/>
  <c r="DT143" i="13"/>
  <c r="DX143" i="13" s="1"/>
  <c r="EB143" i="13" s="1"/>
  <c r="DF143" i="13"/>
  <c r="DD143" i="13"/>
  <c r="DE143" i="13"/>
  <c r="CI143" i="13"/>
  <c r="CK143" i="13" s="1"/>
  <c r="CD143" i="13"/>
  <c r="CH143" i="13"/>
  <c r="BZ143" i="13"/>
  <c r="CC143" i="13"/>
  <c r="CB143" i="13"/>
  <c r="BY143" i="13"/>
  <c r="CA143" i="13"/>
  <c r="CT143" i="13"/>
  <c r="CV143" i="13"/>
  <c r="DS143" i="13"/>
  <c r="DW143" i="13" s="1"/>
  <c r="EA143" i="13" s="1"/>
  <c r="CU143" i="13"/>
  <c r="BE144" i="12" l="1"/>
  <c r="CL143" i="13"/>
  <c r="BB144" i="13" s="1"/>
  <c r="BD144" i="13" s="1"/>
  <c r="CM143" i="13"/>
  <c r="BC144" i="12" l="1"/>
  <c r="BE144" i="13"/>
  <c r="BF144" i="12" l="1"/>
  <c r="BG144" i="12"/>
  <c r="BI144" i="12"/>
  <c r="BH144" i="12"/>
  <c r="BK144" i="12"/>
  <c r="BC144" i="13"/>
  <c r="BO144" i="12" l="1"/>
  <c r="DL144" i="12" s="1"/>
  <c r="BM144" i="12"/>
  <c r="CR144" i="12" s="1"/>
  <c r="BN144" i="12"/>
  <c r="DB144" i="12" s="1"/>
  <c r="BL144" i="12"/>
  <c r="BW144" i="12" s="1"/>
  <c r="BX144" i="12" s="1"/>
  <c r="CE144" i="12" s="1"/>
  <c r="BH144" i="13"/>
  <c r="BK144" i="13"/>
  <c r="BG144" i="13"/>
  <c r="BF144" i="13"/>
  <c r="BI144" i="13"/>
  <c r="DM144" i="12" l="1"/>
  <c r="DQ144" i="12" s="1"/>
  <c r="CS144" i="12"/>
  <c r="CW144" i="12" s="1"/>
  <c r="DC144" i="12"/>
  <c r="DG144" i="12" s="1"/>
  <c r="CC144" i="12"/>
  <c r="CD144" i="12"/>
  <c r="CI144" i="12"/>
  <c r="CK144" i="12" s="1"/>
  <c r="CH144" i="12"/>
  <c r="BY144" i="12"/>
  <c r="BZ144" i="12"/>
  <c r="CB144" i="12"/>
  <c r="CA144" i="12"/>
  <c r="BN144" i="13"/>
  <c r="DB144" i="13" s="1"/>
  <c r="DC144" i="13" s="1"/>
  <c r="BL144" i="13"/>
  <c r="BW144" i="13" s="1"/>
  <c r="BX144" i="13" s="1"/>
  <c r="BO144" i="13"/>
  <c r="DL144" i="13" s="1"/>
  <c r="DM144" i="13" s="1"/>
  <c r="BM144" i="13"/>
  <c r="CR144" i="13" s="1"/>
  <c r="CS144" i="13" s="1"/>
  <c r="DO144" i="12" l="1"/>
  <c r="DP144" i="12"/>
  <c r="DN144" i="12"/>
  <c r="DU144" i="12"/>
  <c r="DY144" i="12" s="1"/>
  <c r="EC144" i="12" s="1"/>
  <c r="DS144" i="12"/>
  <c r="DW144" i="12" s="1"/>
  <c r="EA144" i="12" s="1"/>
  <c r="CT144" i="12"/>
  <c r="CV144" i="12"/>
  <c r="CU144" i="12"/>
  <c r="DT144" i="12"/>
  <c r="DX144" i="12" s="1"/>
  <c r="EB144" i="12" s="1"/>
  <c r="DF144" i="12"/>
  <c r="DE144" i="12"/>
  <c r="DD144" i="12"/>
  <c r="CM144" i="12"/>
  <c r="CL144" i="12"/>
  <c r="BB145" i="12" s="1"/>
  <c r="DE144" i="13"/>
  <c r="DD144" i="13"/>
  <c r="DT144" i="13"/>
  <c r="DX144" i="13" s="1"/>
  <c r="EB144" i="13" s="1"/>
  <c r="DF144" i="13"/>
  <c r="DG144" i="13"/>
  <c r="BZ144" i="13"/>
  <c r="CC144" i="13"/>
  <c r="BY144" i="13"/>
  <c r="CD144" i="13"/>
  <c r="CH144" i="13"/>
  <c r="CI144" i="13"/>
  <c r="CK144" i="13" s="1"/>
  <c r="CB144" i="13"/>
  <c r="CA144" i="13"/>
  <c r="CE144" i="13"/>
  <c r="DU144" i="13"/>
  <c r="DY144" i="13" s="1"/>
  <c r="EC144" i="13" s="1"/>
  <c r="DP144" i="13"/>
  <c r="DO144" i="13"/>
  <c r="DN144" i="13"/>
  <c r="DQ144" i="13"/>
  <c r="CU144" i="13"/>
  <c r="CT144" i="13"/>
  <c r="DS144" i="13"/>
  <c r="DW144" i="13" s="1"/>
  <c r="EA144" i="13" s="1"/>
  <c r="CV144" i="13"/>
  <c r="CW144" i="13"/>
  <c r="BE145" i="12" l="1"/>
  <c r="CM144" i="13"/>
  <c r="CL144" i="13"/>
  <c r="BB145" i="13" s="1"/>
  <c r="BD145" i="13" s="1"/>
  <c r="BC145" i="12" l="1"/>
  <c r="BE145" i="13"/>
  <c r="BI145" i="12" l="1"/>
  <c r="BF145" i="12"/>
  <c r="BK145" i="12"/>
  <c r="BH145" i="12"/>
  <c r="BG145" i="12"/>
  <c r="BC145" i="13"/>
  <c r="BL145" i="12" l="1"/>
  <c r="BW145" i="12" s="1"/>
  <c r="BO145" i="12"/>
  <c r="DL145" i="12" s="1"/>
  <c r="BM145" i="12"/>
  <c r="CR145" i="12" s="1"/>
  <c r="BN145" i="12"/>
  <c r="DB145" i="12" s="1"/>
  <c r="BK145" i="13"/>
  <c r="BH145" i="13"/>
  <c r="BF145" i="13"/>
  <c r="BG145" i="13"/>
  <c r="BI145" i="13"/>
  <c r="BX145" i="12" l="1"/>
  <c r="CE145" i="12" s="1"/>
  <c r="DM145" i="12"/>
  <c r="DQ145" i="12" s="1"/>
  <c r="CS145" i="12"/>
  <c r="CW145" i="12" s="1"/>
  <c r="DC145" i="12"/>
  <c r="DG145" i="12" s="1"/>
  <c r="BM145" i="13"/>
  <c r="CR145" i="13" s="1"/>
  <c r="BO145" i="13"/>
  <c r="DL145" i="13" s="1"/>
  <c r="BN145" i="13"/>
  <c r="DB145" i="13" s="1"/>
  <c r="BL145" i="13"/>
  <c r="BW145" i="13" s="1"/>
  <c r="BX145" i="13" s="1"/>
  <c r="CE145" i="13" s="1"/>
  <c r="BZ145" i="12" l="1"/>
  <c r="CB145" i="12"/>
  <c r="CC145" i="12"/>
  <c r="CH145" i="12"/>
  <c r="CD145" i="12"/>
  <c r="CI145" i="12"/>
  <c r="CK145" i="12" s="1"/>
  <c r="CA145" i="12"/>
  <c r="BY145" i="12"/>
  <c r="DU145" i="12"/>
  <c r="DY145" i="12" s="1"/>
  <c r="EC145" i="12" s="1"/>
  <c r="DO145" i="12"/>
  <c r="DP145" i="12"/>
  <c r="DN145" i="12"/>
  <c r="DS145" i="12"/>
  <c r="DW145" i="12" s="1"/>
  <c r="EA145" i="12" s="1"/>
  <c r="CT145" i="12"/>
  <c r="CU145" i="12"/>
  <c r="CV145" i="12"/>
  <c r="DD145" i="12"/>
  <c r="DF145" i="12"/>
  <c r="DE145" i="12"/>
  <c r="DT145" i="12"/>
  <c r="DX145" i="12" s="1"/>
  <c r="EB145" i="12" s="1"/>
  <c r="CS145" i="13"/>
  <c r="CW145" i="13" s="1"/>
  <c r="DM145" i="13"/>
  <c r="DQ145" i="13" s="1"/>
  <c r="DC145" i="13"/>
  <c r="DG145" i="13" s="1"/>
  <c r="BZ145" i="13"/>
  <c r="CB145" i="13"/>
  <c r="CC145" i="13"/>
  <c r="BY145" i="13"/>
  <c r="CD145" i="13"/>
  <c r="CA145" i="13"/>
  <c r="CH145" i="13"/>
  <c r="CI145" i="13"/>
  <c r="CK145" i="13" s="1"/>
  <c r="G124" i="11" l="1"/>
  <c r="G125" i="11"/>
  <c r="CL145" i="12"/>
  <c r="BB146" i="12" s="1"/>
  <c r="CM145" i="12"/>
  <c r="DS145" i="13"/>
  <c r="DW145" i="13" s="1"/>
  <c r="EA145" i="13" s="1"/>
  <c r="CT145" i="13"/>
  <c r="CU145" i="13"/>
  <c r="CV145" i="13"/>
  <c r="DP145" i="13"/>
  <c r="DN145" i="13"/>
  <c r="DU145" i="13"/>
  <c r="DY145" i="13" s="1"/>
  <c r="EC145" i="13" s="1"/>
  <c r="DO145" i="13"/>
  <c r="DF145" i="13"/>
  <c r="DT145" i="13"/>
  <c r="DX145" i="13" s="1"/>
  <c r="EB145" i="13" s="1"/>
  <c r="DD145" i="13"/>
  <c r="DE145" i="13"/>
  <c r="CL145" i="13"/>
  <c r="BB146" i="13" s="1"/>
  <c r="BD146" i="13" s="1"/>
  <c r="CM145" i="13"/>
  <c r="BE146" i="12" l="1"/>
  <c r="BE146" i="13"/>
  <c r="BC146" i="12" l="1"/>
  <c r="BC146" i="13"/>
  <c r="BF146" i="12" l="1"/>
  <c r="BK146" i="12"/>
  <c r="BH146" i="12"/>
  <c r="BG146" i="12"/>
  <c r="BI146" i="12"/>
  <c r="BI146" i="13"/>
  <c r="BG146" i="13"/>
  <c r="BF146" i="13"/>
  <c r="BH146" i="13"/>
  <c r="BK146" i="13"/>
  <c r="BO146" i="12" l="1"/>
  <c r="DL146" i="12" s="1"/>
  <c r="BM146" i="12"/>
  <c r="CR146" i="12" s="1"/>
  <c r="BN146" i="12"/>
  <c r="DB146" i="12" s="1"/>
  <c r="BL146" i="12"/>
  <c r="BW146" i="12" s="1"/>
  <c r="BL146" i="13"/>
  <c r="BW146" i="13" s="1"/>
  <c r="BN146" i="13"/>
  <c r="DB146" i="13" s="1"/>
  <c r="BO146" i="13"/>
  <c r="DL146" i="13" s="1"/>
  <c r="DM146" i="13" s="1"/>
  <c r="BM146" i="13"/>
  <c r="CR146" i="13" s="1"/>
  <c r="CS146" i="13" s="1"/>
  <c r="DM146" i="12" l="1"/>
  <c r="DQ146" i="12" s="1"/>
  <c r="CS146" i="12"/>
  <c r="CW146" i="12" s="1"/>
  <c r="DC146" i="12"/>
  <c r="DG146" i="12" s="1"/>
  <c r="BX146" i="12"/>
  <c r="CE146" i="12" s="1"/>
  <c r="BX146" i="13"/>
  <c r="CE146" i="13" s="1"/>
  <c r="DC146" i="13"/>
  <c r="DG146" i="13" s="1"/>
  <c r="DO146" i="13"/>
  <c r="DN146" i="13"/>
  <c r="DU146" i="13"/>
  <c r="DY146" i="13" s="1"/>
  <c r="EC146" i="13" s="1"/>
  <c r="DP146" i="13"/>
  <c r="DQ146" i="13"/>
  <c r="CU146" i="13"/>
  <c r="CT146" i="13"/>
  <c r="DS146" i="13"/>
  <c r="DW146" i="13" s="1"/>
  <c r="EA146" i="13" s="1"/>
  <c r="CV146" i="13"/>
  <c r="CW146" i="13"/>
  <c r="DU146" i="12" l="1"/>
  <c r="DY146" i="12" s="1"/>
  <c r="EC146" i="12" s="1"/>
  <c r="G126" i="11" s="1"/>
  <c r="DN146" i="12"/>
  <c r="DP146" i="12"/>
  <c r="DO146" i="12"/>
  <c r="CV146" i="12"/>
  <c r="CT146" i="12"/>
  <c r="CU146" i="12"/>
  <c r="DS146" i="12"/>
  <c r="DW146" i="12" s="1"/>
  <c r="EA146" i="12" s="1"/>
  <c r="DF146" i="12"/>
  <c r="DT146" i="12"/>
  <c r="DX146" i="12" s="1"/>
  <c r="EB146" i="12" s="1"/>
  <c r="DD146" i="12"/>
  <c r="DE146" i="12"/>
  <c r="BZ146" i="12"/>
  <c r="CD146" i="12"/>
  <c r="BY146" i="12"/>
  <c r="CI146" i="12"/>
  <c r="CK146" i="12" s="1"/>
  <c r="CH146" i="12"/>
  <c r="CA146" i="12"/>
  <c r="CB146" i="12"/>
  <c r="CC146" i="12"/>
  <c r="CC146" i="13"/>
  <c r="CB146" i="13"/>
  <c r="BY146" i="13"/>
  <c r="CD146" i="13"/>
  <c r="CA146" i="13"/>
  <c r="CI146" i="13"/>
  <c r="CK146" i="13" s="1"/>
  <c r="CH146" i="13"/>
  <c r="BZ146" i="13"/>
  <c r="DE146" i="13"/>
  <c r="DD146" i="13"/>
  <c r="DT146" i="13"/>
  <c r="DX146" i="13" s="1"/>
  <c r="EB146" i="13" s="1"/>
  <c r="DF146" i="13"/>
  <c r="CL146" i="12" l="1"/>
  <c r="BB147" i="12" s="1"/>
  <c r="CM146" i="12"/>
  <c r="CM146" i="13"/>
  <c r="CL146" i="13"/>
  <c r="BB147" i="13" s="1"/>
  <c r="BD147" i="13" s="1"/>
  <c r="BE147" i="12" l="1"/>
  <c r="BE147" i="13"/>
  <c r="BC147" i="12" l="1"/>
  <c r="BI147" i="12" s="1"/>
  <c r="BC147" i="13"/>
  <c r="BK147" i="12" l="1"/>
  <c r="BH147" i="12"/>
  <c r="BG147" i="12"/>
  <c r="BF147" i="12"/>
  <c r="BI147" i="13"/>
  <c r="BF147" i="13"/>
  <c r="BH147" i="13"/>
  <c r="BK147" i="13"/>
  <c r="BG147" i="13"/>
  <c r="BN147" i="12" l="1"/>
  <c r="DB147" i="12" s="1"/>
  <c r="DC147" i="12" s="1"/>
  <c r="BO147" i="12"/>
  <c r="DL147" i="12" s="1"/>
  <c r="DM147" i="12" s="1"/>
  <c r="BM147" i="12"/>
  <c r="CR147" i="12" s="1"/>
  <c r="CS147" i="12" s="1"/>
  <c r="BL147" i="12"/>
  <c r="BW147" i="12" s="1"/>
  <c r="BX147" i="12" s="1"/>
  <c r="BN147" i="13"/>
  <c r="DB147" i="13" s="1"/>
  <c r="DC147" i="13" s="1"/>
  <c r="BM147" i="13"/>
  <c r="CR147" i="13" s="1"/>
  <c r="CS147" i="13" s="1"/>
  <c r="BO147" i="13"/>
  <c r="DL147" i="13" s="1"/>
  <c r="DM147" i="13" s="1"/>
  <c r="BL147" i="13"/>
  <c r="BW147" i="13" s="1"/>
  <c r="DO147" i="12" l="1"/>
  <c r="DU147" i="12"/>
  <c r="DY147" i="12" s="1"/>
  <c r="EC147" i="12" s="1"/>
  <c r="DG147" i="12"/>
  <c r="DF147" i="12"/>
  <c r="DE147" i="12"/>
  <c r="DD147" i="12"/>
  <c r="DT147" i="12"/>
  <c r="DX147" i="12" s="1"/>
  <c r="EB147" i="12" s="1"/>
  <c r="DQ147" i="12"/>
  <c r="DP147" i="12"/>
  <c r="DN147" i="12"/>
  <c r="CW147" i="12"/>
  <c r="CU147" i="12"/>
  <c r="DS147" i="12"/>
  <c r="DW147" i="12" s="1"/>
  <c r="EA147" i="12" s="1"/>
  <c r="CT147" i="12"/>
  <c r="CV147" i="12"/>
  <c r="CE147" i="12"/>
  <c r="CD147" i="12"/>
  <c r="CC147" i="12"/>
  <c r="BY147" i="12"/>
  <c r="BZ147" i="12"/>
  <c r="CB147" i="12"/>
  <c r="CA147" i="12"/>
  <c r="CH147" i="12"/>
  <c r="CI147" i="12"/>
  <c r="CK147" i="12" s="1"/>
  <c r="DE147" i="13"/>
  <c r="DD147" i="13"/>
  <c r="DT147" i="13"/>
  <c r="DX147" i="13" s="1"/>
  <c r="EB147" i="13" s="1"/>
  <c r="DF147" i="13"/>
  <c r="DG147" i="13"/>
  <c r="CU147" i="13"/>
  <c r="CT147" i="13"/>
  <c r="DS147" i="13"/>
  <c r="DW147" i="13" s="1"/>
  <c r="EA147" i="13" s="1"/>
  <c r="CV147" i="13"/>
  <c r="CW147" i="13"/>
  <c r="DO147" i="13"/>
  <c r="DN147" i="13"/>
  <c r="DU147" i="13"/>
  <c r="DY147" i="13" s="1"/>
  <c r="EC147" i="13" s="1"/>
  <c r="DP147" i="13"/>
  <c r="DQ147" i="13"/>
  <c r="BX147" i="13"/>
  <c r="CE147" i="13" s="1"/>
  <c r="CM147" i="12" l="1"/>
  <c r="CL147" i="12"/>
  <c r="BB148" i="12" s="1"/>
  <c r="BY147" i="13"/>
  <c r="CD147" i="13"/>
  <c r="CH147" i="13"/>
  <c r="CA147" i="13"/>
  <c r="BZ147" i="13"/>
  <c r="CB147" i="13"/>
  <c r="CC147" i="13"/>
  <c r="CI147" i="13"/>
  <c r="CK147" i="13" s="1"/>
  <c r="BE148" i="12" l="1"/>
  <c r="CL147" i="13"/>
  <c r="BB148" i="13" s="1"/>
  <c r="BD148" i="13" s="1"/>
  <c r="CM147" i="13"/>
  <c r="BC148" i="12" l="1"/>
  <c r="BF148" i="12" s="1"/>
  <c r="BE148" i="13"/>
  <c r="BK148" i="12" l="1"/>
  <c r="BO148" i="12" s="1"/>
  <c r="DL148" i="12" s="1"/>
  <c r="DM148" i="12" s="1"/>
  <c r="DQ148" i="12" s="1"/>
  <c r="BH148" i="12"/>
  <c r="BI148" i="12"/>
  <c r="BG148" i="12"/>
  <c r="BC148" i="13"/>
  <c r="BM148" i="12" l="1"/>
  <c r="CR148" i="12" s="1"/>
  <c r="CS148" i="12" s="1"/>
  <c r="BL148" i="12"/>
  <c r="BW148" i="12" s="1"/>
  <c r="BX148" i="12" s="1"/>
  <c r="BN148" i="12"/>
  <c r="DB148" i="12" s="1"/>
  <c r="DC148" i="12" s="1"/>
  <c r="DG148" i="12" s="1"/>
  <c r="DN148" i="12"/>
  <c r="DU148" i="12"/>
  <c r="DY148" i="12" s="1"/>
  <c r="EC148" i="12" s="1"/>
  <c r="G127" i="11" s="1"/>
  <c r="DP148" i="12"/>
  <c r="DO148" i="12"/>
  <c r="BI148" i="13"/>
  <c r="BF148" i="13"/>
  <c r="BH148" i="13"/>
  <c r="BK148" i="13"/>
  <c r="BG148" i="13"/>
  <c r="CW148" i="12" l="1"/>
  <c r="DS148" i="12"/>
  <c r="DW148" i="12" s="1"/>
  <c r="EA148" i="12" s="1"/>
  <c r="CT148" i="12"/>
  <c r="CU148" i="12"/>
  <c r="CV148" i="12"/>
  <c r="CE148" i="12"/>
  <c r="CH148" i="12"/>
  <c r="CA148" i="12"/>
  <c r="DD148" i="12"/>
  <c r="DE148" i="12"/>
  <c r="DT148" i="12"/>
  <c r="DX148" i="12" s="1"/>
  <c r="EB148" i="12" s="1"/>
  <c r="DF148" i="12"/>
  <c r="CD148" i="12"/>
  <c r="CB148" i="12"/>
  <c r="CI148" i="12"/>
  <c r="CK148" i="12" s="1"/>
  <c r="CC148" i="12"/>
  <c r="BZ148" i="12"/>
  <c r="BY148" i="12"/>
  <c r="BM148" i="13"/>
  <c r="CR148" i="13" s="1"/>
  <c r="BN148" i="13"/>
  <c r="DB148" i="13" s="1"/>
  <c r="DC148" i="13" s="1"/>
  <c r="BL148" i="13"/>
  <c r="BW148" i="13" s="1"/>
  <c r="BO148" i="13"/>
  <c r="DL148" i="13" s="1"/>
  <c r="DM148" i="13" s="1"/>
  <c r="CL148" i="12" l="1"/>
  <c r="BB149" i="12" s="1"/>
  <c r="CM148" i="12"/>
  <c r="CS148" i="13"/>
  <c r="CW148" i="13" s="1"/>
  <c r="DD148" i="13"/>
  <c r="DT148" i="13"/>
  <c r="DX148" i="13" s="1"/>
  <c r="EB148" i="13" s="1"/>
  <c r="DF148" i="13"/>
  <c r="DE148" i="13"/>
  <c r="DG148" i="13"/>
  <c r="BX148" i="13"/>
  <c r="CE148" i="13" s="1"/>
  <c r="DO148" i="13"/>
  <c r="DN148" i="13"/>
  <c r="DU148" i="13"/>
  <c r="DY148" i="13" s="1"/>
  <c r="EC148" i="13" s="1"/>
  <c r="DP148" i="13"/>
  <c r="DQ148" i="13"/>
  <c r="BE149" i="12" l="1"/>
  <c r="CT148" i="13"/>
  <c r="DS148" i="13"/>
  <c r="DW148" i="13" s="1"/>
  <c r="EA148" i="13" s="1"/>
  <c r="CV148" i="13"/>
  <c r="CU148" i="13"/>
  <c r="BZ148" i="13"/>
  <c r="CC148" i="13"/>
  <c r="CB148" i="13"/>
  <c r="BY148" i="13"/>
  <c r="CD148" i="13"/>
  <c r="CA148" i="13"/>
  <c r="CH148" i="13"/>
  <c r="CI148" i="13"/>
  <c r="CK148" i="13" s="1"/>
  <c r="BC149" i="12" l="1"/>
  <c r="CM148" i="13"/>
  <c r="CL148" i="13"/>
  <c r="BB149" i="13" s="1"/>
  <c r="BD149" i="13" s="1"/>
  <c r="BI149" i="12" l="1"/>
  <c r="BK149" i="12"/>
  <c r="BF149" i="12"/>
  <c r="BG149" i="12"/>
  <c r="BH149" i="12"/>
  <c r="BE149" i="13"/>
  <c r="BL149" i="12" l="1"/>
  <c r="BW149" i="12" s="1"/>
  <c r="BX149" i="12" s="1"/>
  <c r="CE149" i="12" s="1"/>
  <c r="BN149" i="12"/>
  <c r="DB149" i="12" s="1"/>
  <c r="DC149" i="12" s="1"/>
  <c r="DG149" i="12" s="1"/>
  <c r="BM149" i="12"/>
  <c r="CR149" i="12" s="1"/>
  <c r="CS149" i="12" s="1"/>
  <c r="CW149" i="12" s="1"/>
  <c r="BO149" i="12"/>
  <c r="DL149" i="12" s="1"/>
  <c r="DM149" i="12" s="1"/>
  <c r="DQ149" i="12" s="1"/>
  <c r="BC149" i="13"/>
  <c r="BZ149" i="12" l="1"/>
  <c r="CH149" i="12"/>
  <c r="CI149" i="12"/>
  <c r="CK149" i="12" s="1"/>
  <c r="BY149" i="12"/>
  <c r="CD149" i="12"/>
  <c r="CA149" i="12"/>
  <c r="CC149" i="12"/>
  <c r="CB149" i="12"/>
  <c r="DF149" i="12"/>
  <c r="DE149" i="12"/>
  <c r="DD149" i="12"/>
  <c r="DT149" i="12"/>
  <c r="DX149" i="12" s="1"/>
  <c r="EB149" i="12" s="1"/>
  <c r="CV149" i="12"/>
  <c r="CU149" i="12"/>
  <c r="CT149" i="12"/>
  <c r="DS149" i="12"/>
  <c r="DW149" i="12" s="1"/>
  <c r="EA149" i="12" s="1"/>
  <c r="DU149" i="12"/>
  <c r="DY149" i="12" s="1"/>
  <c r="EC149" i="12" s="1"/>
  <c r="DN149" i="12"/>
  <c r="DO149" i="12"/>
  <c r="DP149" i="12"/>
  <c r="BI149" i="13"/>
  <c r="BF149" i="13"/>
  <c r="BH149" i="13"/>
  <c r="BK149" i="13"/>
  <c r="BG149" i="13"/>
  <c r="G128" i="11" l="1"/>
  <c r="G129" i="11"/>
  <c r="CL149" i="12"/>
  <c r="BB150" i="12" s="1"/>
  <c r="CM149" i="12"/>
  <c r="BL149" i="13"/>
  <c r="BW149" i="13" s="1"/>
  <c r="BN149" i="13"/>
  <c r="DB149" i="13" s="1"/>
  <c r="DC149" i="13" s="1"/>
  <c r="BM149" i="13"/>
  <c r="CR149" i="13" s="1"/>
  <c r="CS149" i="13" s="1"/>
  <c r="BO149" i="13"/>
  <c r="DL149" i="13" s="1"/>
  <c r="DM149" i="13" s="1"/>
  <c r="BE150" i="12" l="1"/>
  <c r="BX149" i="13"/>
  <c r="CE149" i="13" s="1"/>
  <c r="DE149" i="13"/>
  <c r="DD149" i="13"/>
  <c r="DT149" i="13"/>
  <c r="DX149" i="13" s="1"/>
  <c r="EB149" i="13" s="1"/>
  <c r="DF149" i="13"/>
  <c r="DG149" i="13"/>
  <c r="CT149" i="13"/>
  <c r="DS149" i="13"/>
  <c r="DW149" i="13" s="1"/>
  <c r="EA149" i="13" s="1"/>
  <c r="CU149" i="13"/>
  <c r="CV149" i="13"/>
  <c r="CW149" i="13"/>
  <c r="DP149" i="13"/>
  <c r="DO149" i="13"/>
  <c r="DN149" i="13"/>
  <c r="DU149" i="13"/>
  <c r="DY149" i="13" s="1"/>
  <c r="EC149" i="13" s="1"/>
  <c r="DQ149" i="13"/>
  <c r="BC150" i="12" l="1"/>
  <c r="BZ149" i="13"/>
  <c r="CB149" i="13"/>
  <c r="CC149" i="13"/>
  <c r="BY149" i="13"/>
  <c r="CD149" i="13"/>
  <c r="CA149" i="13"/>
  <c r="CH149" i="13"/>
  <c r="CI149" i="13"/>
  <c r="CK149" i="13" s="1"/>
  <c r="BH150" i="12" l="1"/>
  <c r="BF150" i="12"/>
  <c r="BK150" i="12"/>
  <c r="BG150" i="12"/>
  <c r="BI150" i="12"/>
  <c r="CL149" i="13"/>
  <c r="BB150" i="13" s="1"/>
  <c r="BD150" i="13" s="1"/>
  <c r="CM149" i="13"/>
  <c r="BO150" i="12" l="1"/>
  <c r="DL150" i="12" s="1"/>
  <c r="BN150" i="12"/>
  <c r="DB150" i="12" s="1"/>
  <c r="BL150" i="12"/>
  <c r="BW150" i="12" s="1"/>
  <c r="BM150" i="12"/>
  <c r="CR150" i="12" s="1"/>
  <c r="BE150" i="13"/>
  <c r="DM150" i="12" l="1"/>
  <c r="DQ150" i="12" s="1"/>
  <c r="DC150" i="12"/>
  <c r="DG150" i="12" s="1"/>
  <c r="BX150" i="12"/>
  <c r="CE150" i="12" s="1"/>
  <c r="CS150" i="12"/>
  <c r="CW150" i="12" s="1"/>
  <c r="BC150" i="13"/>
  <c r="DO150" i="12" l="1"/>
  <c r="DN150" i="12"/>
  <c r="DU150" i="12"/>
  <c r="DY150" i="12" s="1"/>
  <c r="EC150" i="12" s="1"/>
  <c r="DP150" i="12"/>
  <c r="DF150" i="12"/>
  <c r="DE150" i="12"/>
  <c r="DD150" i="12"/>
  <c r="DT150" i="12"/>
  <c r="DX150" i="12" s="1"/>
  <c r="EB150" i="12" s="1"/>
  <c r="CA150" i="12"/>
  <c r="BZ150" i="12"/>
  <c r="CD150" i="12"/>
  <c r="CH150" i="12"/>
  <c r="CB150" i="12"/>
  <c r="BY150" i="12"/>
  <c r="CI150" i="12"/>
  <c r="CK150" i="12" s="1"/>
  <c r="CC150" i="12"/>
  <c r="CT150" i="12"/>
  <c r="CV150" i="12"/>
  <c r="CU150" i="12"/>
  <c r="DS150" i="12"/>
  <c r="DW150" i="12" s="1"/>
  <c r="EA150" i="12" s="1"/>
  <c r="BI150" i="13"/>
  <c r="BF150" i="13"/>
  <c r="BH150" i="13"/>
  <c r="BK150" i="13"/>
  <c r="BG150" i="13"/>
  <c r="CL150" i="12" l="1"/>
  <c r="BB151" i="12" s="1"/>
  <c r="CM150" i="12"/>
  <c r="BN150" i="13"/>
  <c r="DB150" i="13" s="1"/>
  <c r="DC150" i="13" s="1"/>
  <c r="BO150" i="13"/>
  <c r="DL150" i="13" s="1"/>
  <c r="DM150" i="13" s="1"/>
  <c r="BM150" i="13"/>
  <c r="CR150" i="13" s="1"/>
  <c r="CS150" i="13" s="1"/>
  <c r="BL150" i="13"/>
  <c r="BW150" i="13" s="1"/>
  <c r="BX150" i="13" s="1"/>
  <c r="BE151" i="12" l="1"/>
  <c r="DE150" i="13"/>
  <c r="DF150" i="13"/>
  <c r="DD150" i="13"/>
  <c r="DT150" i="13"/>
  <c r="DX150" i="13" s="1"/>
  <c r="EB150" i="13" s="1"/>
  <c r="DG150" i="13"/>
  <c r="DP150" i="13"/>
  <c r="DO150" i="13"/>
  <c r="DN150" i="13"/>
  <c r="DU150" i="13"/>
  <c r="DY150" i="13" s="1"/>
  <c r="EC150" i="13" s="1"/>
  <c r="DQ150" i="13"/>
  <c r="CT150" i="13"/>
  <c r="DS150" i="13"/>
  <c r="DW150" i="13" s="1"/>
  <c r="EA150" i="13" s="1"/>
  <c r="CV150" i="13"/>
  <c r="CU150" i="13"/>
  <c r="CW150" i="13"/>
  <c r="CH150" i="13"/>
  <c r="CI150" i="13"/>
  <c r="CK150" i="13" s="1"/>
  <c r="BZ150" i="13"/>
  <c r="CC150" i="13"/>
  <c r="CB150" i="13"/>
  <c r="BY150" i="13"/>
  <c r="CD150" i="13"/>
  <c r="CA150" i="13"/>
  <c r="CE150" i="13"/>
  <c r="BC151" i="12" l="1"/>
  <c r="CL150" i="13"/>
  <c r="BB151" i="13" s="1"/>
  <c r="BD151" i="13" s="1"/>
  <c r="CM150" i="13"/>
  <c r="BK151" i="12" l="1"/>
  <c r="BF151" i="12"/>
  <c r="BG151" i="12"/>
  <c r="BH151" i="12"/>
  <c r="BI151" i="12"/>
  <c r="BE151" i="13"/>
  <c r="BO151" i="12" l="1"/>
  <c r="DL151" i="12" s="1"/>
  <c r="DM151" i="12" s="1"/>
  <c r="BM151" i="12"/>
  <c r="CR151" i="12" s="1"/>
  <c r="CS151" i="12" s="1"/>
  <c r="BL151" i="12"/>
  <c r="BW151" i="12" s="1"/>
  <c r="BN151" i="12"/>
  <c r="DB151" i="12" s="1"/>
  <c r="DC151" i="12" s="1"/>
  <c r="BC151" i="13"/>
  <c r="DN151" i="12" l="1"/>
  <c r="DO151" i="12"/>
  <c r="DU151" i="12"/>
  <c r="DY151" i="12" s="1"/>
  <c r="EC151" i="12" s="1"/>
  <c r="G130" i="11" s="1"/>
  <c r="DP151" i="12"/>
  <c r="DQ151" i="12"/>
  <c r="CV151" i="12"/>
  <c r="DS151" i="12"/>
  <c r="DW151" i="12" s="1"/>
  <c r="EA151" i="12" s="1"/>
  <c r="CT151" i="12"/>
  <c r="CU151" i="12"/>
  <c r="CW151" i="12"/>
  <c r="BX151" i="12"/>
  <c r="CE151" i="12" s="1"/>
  <c r="DT151" i="12"/>
  <c r="DX151" i="12" s="1"/>
  <c r="EB151" i="12" s="1"/>
  <c r="DE151" i="12"/>
  <c r="DF151" i="12"/>
  <c r="DD151" i="12"/>
  <c r="DG151" i="12"/>
  <c r="BI151" i="13"/>
  <c r="BG151" i="13"/>
  <c r="BF151" i="13"/>
  <c r="BH151" i="13"/>
  <c r="BK151" i="13"/>
  <c r="CC151" i="12" l="1"/>
  <c r="CH151" i="12"/>
  <c r="CI151" i="12"/>
  <c r="CK151" i="12" s="1"/>
  <c r="CD151" i="12"/>
  <c r="BY151" i="12"/>
  <c r="BZ151" i="12"/>
  <c r="CA151" i="12"/>
  <c r="CB151" i="12"/>
  <c r="BM151" i="13"/>
  <c r="CR151" i="13" s="1"/>
  <c r="CS151" i="13" s="1"/>
  <c r="BL151" i="13"/>
  <c r="BW151" i="13" s="1"/>
  <c r="BO151" i="13"/>
  <c r="DL151" i="13" s="1"/>
  <c r="DM151" i="13" s="1"/>
  <c r="BN151" i="13"/>
  <c r="DB151" i="13" s="1"/>
  <c r="DC151" i="13" s="1"/>
  <c r="CL151" i="12" l="1"/>
  <c r="BB152" i="12" s="1"/>
  <c r="CM151" i="12"/>
  <c r="CV151" i="13"/>
  <c r="CU151" i="13"/>
  <c r="CT151" i="13"/>
  <c r="DS151" i="13"/>
  <c r="DW151" i="13" s="1"/>
  <c r="EA151" i="13" s="1"/>
  <c r="CW151" i="13"/>
  <c r="BX151" i="13"/>
  <c r="CE151" i="13" s="1"/>
  <c r="DO151" i="13"/>
  <c r="DP151" i="13"/>
  <c r="DU151" i="13"/>
  <c r="DY151" i="13" s="1"/>
  <c r="EC151" i="13" s="1"/>
  <c r="DN151" i="13"/>
  <c r="DQ151" i="13"/>
  <c r="DE151" i="13"/>
  <c r="DF151" i="13"/>
  <c r="DD151" i="13"/>
  <c r="DT151" i="13"/>
  <c r="DX151" i="13" s="1"/>
  <c r="EB151" i="13" s="1"/>
  <c r="DG151" i="13"/>
  <c r="BE152" i="12" l="1"/>
  <c r="CC151" i="13"/>
  <c r="BY151" i="13"/>
  <c r="CD151" i="13"/>
  <c r="BZ151" i="13"/>
  <c r="CH151" i="13"/>
  <c r="CI151" i="13"/>
  <c r="CK151" i="13" s="1"/>
  <c r="CB151" i="13"/>
  <c r="CA151" i="13"/>
  <c r="BC152" i="12" l="1"/>
  <c r="CL151" i="13"/>
  <c r="BB152" i="13" s="1"/>
  <c r="BD152" i="13" s="1"/>
  <c r="CM151" i="13"/>
  <c r="BK152" i="12" l="1"/>
  <c r="BH152" i="12"/>
  <c r="BI152" i="12"/>
  <c r="BF152" i="12"/>
  <c r="BG152" i="12"/>
  <c r="BE152" i="13"/>
  <c r="BN152" i="12" l="1"/>
  <c r="DB152" i="12" s="1"/>
  <c r="DC152" i="12" s="1"/>
  <c r="DG152" i="12" s="1"/>
  <c r="BM152" i="12"/>
  <c r="CR152" i="12" s="1"/>
  <c r="CS152" i="12" s="1"/>
  <c r="CW152" i="12" s="1"/>
  <c r="BO152" i="12"/>
  <c r="DL152" i="12" s="1"/>
  <c r="DM152" i="12" s="1"/>
  <c r="DQ152" i="12" s="1"/>
  <c r="BL152" i="12"/>
  <c r="BW152" i="12" s="1"/>
  <c r="BX152" i="12" s="1"/>
  <c r="CE152" i="12" s="1"/>
  <c r="BC152" i="13"/>
  <c r="DS152" i="12" l="1"/>
  <c r="DW152" i="12" s="1"/>
  <c r="EA152" i="12" s="1"/>
  <c r="CT152" i="12"/>
  <c r="CU152" i="12"/>
  <c r="CV152" i="12"/>
  <c r="CH152" i="12"/>
  <c r="BY152" i="12"/>
  <c r="CB152" i="12"/>
  <c r="CC152" i="12"/>
  <c r="CA152" i="12"/>
  <c r="CI152" i="12"/>
  <c r="CK152" i="12" s="1"/>
  <c r="BZ152" i="12"/>
  <c r="CD152" i="12"/>
  <c r="DN152" i="12"/>
  <c r="DU152" i="12"/>
  <c r="DY152" i="12" s="1"/>
  <c r="EC152" i="12" s="1"/>
  <c r="G131" i="11" s="1"/>
  <c r="DO152" i="12"/>
  <c r="DP152" i="12"/>
  <c r="DT152" i="12"/>
  <c r="DX152" i="12" s="1"/>
  <c r="EB152" i="12" s="1"/>
  <c r="DE152" i="12"/>
  <c r="DF152" i="12"/>
  <c r="DD152" i="12"/>
  <c r="BI152" i="13"/>
  <c r="BG152" i="13"/>
  <c r="BF152" i="13"/>
  <c r="BK152" i="13"/>
  <c r="BH152" i="13"/>
  <c r="CL152" i="12" l="1"/>
  <c r="BB153" i="12" s="1"/>
  <c r="CM152" i="12"/>
  <c r="BL152" i="13"/>
  <c r="BW152" i="13" s="1"/>
  <c r="BN152" i="13"/>
  <c r="DB152" i="13" s="1"/>
  <c r="DC152" i="13" s="1"/>
  <c r="BM152" i="13"/>
  <c r="CR152" i="13" s="1"/>
  <c r="CS152" i="13" s="1"/>
  <c r="BO152" i="13"/>
  <c r="DL152" i="13" s="1"/>
  <c r="DM152" i="13" s="1"/>
  <c r="BE153" i="12" l="1"/>
  <c r="BX152" i="13"/>
  <c r="CE152" i="13" s="1"/>
  <c r="DD152" i="13"/>
  <c r="DT152" i="13"/>
  <c r="DX152" i="13" s="1"/>
  <c r="EB152" i="13" s="1"/>
  <c r="DF152" i="13"/>
  <c r="DE152" i="13"/>
  <c r="DG152" i="13"/>
  <c r="DS152" i="13"/>
  <c r="DW152" i="13" s="1"/>
  <c r="EA152" i="13" s="1"/>
  <c r="CT152" i="13"/>
  <c r="CV152" i="13"/>
  <c r="CU152" i="13"/>
  <c r="CW152" i="13"/>
  <c r="DO152" i="13"/>
  <c r="DP152" i="13"/>
  <c r="DU152" i="13"/>
  <c r="DY152" i="13" s="1"/>
  <c r="EC152" i="13" s="1"/>
  <c r="DN152" i="13"/>
  <c r="DQ152" i="13"/>
  <c r="BC153" i="12" l="1"/>
  <c r="CH152" i="13"/>
  <c r="CI152" i="13"/>
  <c r="CK152" i="13" s="1"/>
  <c r="BZ152" i="13"/>
  <c r="CA152" i="13"/>
  <c r="CC152" i="13"/>
  <c r="CB152" i="13"/>
  <c r="BY152" i="13"/>
  <c r="CD152" i="13"/>
  <c r="BF153" i="12" l="1"/>
  <c r="BH153" i="12"/>
  <c r="BG153" i="12"/>
  <c r="BK153" i="12"/>
  <c r="BI153" i="12"/>
  <c r="CL152" i="13"/>
  <c r="BB153" i="13" s="1"/>
  <c r="BD153" i="13" s="1"/>
  <c r="CM152" i="13"/>
  <c r="BM153" i="12" l="1"/>
  <c r="CR153" i="12" s="1"/>
  <c r="BO153" i="12"/>
  <c r="DL153" i="12" s="1"/>
  <c r="BN153" i="12"/>
  <c r="DB153" i="12" s="1"/>
  <c r="BL153" i="12"/>
  <c r="BW153" i="12" s="1"/>
  <c r="BE153" i="13"/>
  <c r="CS153" i="12" l="1"/>
  <c r="CW153" i="12" s="1"/>
  <c r="DM153" i="12"/>
  <c r="DQ153" i="12" s="1"/>
  <c r="DC153" i="12"/>
  <c r="DG153" i="12" s="1"/>
  <c r="BX153" i="12"/>
  <c r="CE153" i="12" s="1"/>
  <c r="BC153" i="13"/>
  <c r="DS153" i="12" l="1"/>
  <c r="DW153" i="12" s="1"/>
  <c r="EA153" i="12" s="1"/>
  <c r="CT153" i="12"/>
  <c r="CU153" i="12"/>
  <c r="CV153" i="12"/>
  <c r="DN153" i="12"/>
  <c r="DO153" i="12"/>
  <c r="DP153" i="12"/>
  <c r="DU153" i="12"/>
  <c r="DY153" i="12" s="1"/>
  <c r="EC153" i="12" s="1"/>
  <c r="G132" i="11" s="1"/>
  <c r="DF153" i="12"/>
  <c r="DE153" i="12"/>
  <c r="DD153" i="12"/>
  <c r="DT153" i="12"/>
  <c r="DX153" i="12" s="1"/>
  <c r="EB153" i="12" s="1"/>
  <c r="CI153" i="12"/>
  <c r="CK153" i="12" s="1"/>
  <c r="CC153" i="12"/>
  <c r="BZ153" i="12"/>
  <c r="CB153" i="12"/>
  <c r="CH153" i="12"/>
  <c r="CD153" i="12"/>
  <c r="CA153" i="12"/>
  <c r="BY153" i="12"/>
  <c r="BI153" i="13"/>
  <c r="BH153" i="13"/>
  <c r="BK153" i="13"/>
  <c r="BG153" i="13"/>
  <c r="BF153" i="13"/>
  <c r="CL153" i="12" l="1"/>
  <c r="BB154" i="12" s="1"/>
  <c r="CM153" i="12"/>
  <c r="BO153" i="13"/>
  <c r="DL153" i="13" s="1"/>
  <c r="BL153" i="13"/>
  <c r="BW153" i="13" s="1"/>
  <c r="BM153" i="13"/>
  <c r="CR153" i="13" s="1"/>
  <c r="BN153" i="13"/>
  <c r="DB153" i="13" s="1"/>
  <c r="DC153" i="13" s="1"/>
  <c r="BE154" i="12" l="1"/>
  <c r="DM153" i="13"/>
  <c r="DQ153" i="13" s="1"/>
  <c r="BX153" i="13"/>
  <c r="CE153" i="13" s="1"/>
  <c r="CS153" i="13"/>
  <c r="CW153" i="13" s="1"/>
  <c r="DF153" i="13"/>
  <c r="DT153" i="13"/>
  <c r="DX153" i="13" s="1"/>
  <c r="EB153" i="13" s="1"/>
  <c r="DE153" i="13"/>
  <c r="DD153" i="13"/>
  <c r="DG153" i="13"/>
  <c r="BC154" i="12" l="1"/>
  <c r="DO153" i="13"/>
  <c r="DP153" i="13"/>
  <c r="DN153" i="13"/>
  <c r="DU153" i="13"/>
  <c r="DY153" i="13" s="1"/>
  <c r="EC153" i="13" s="1"/>
  <c r="CI153" i="13"/>
  <c r="CK153" i="13" s="1"/>
  <c r="CH153" i="13"/>
  <c r="BY153" i="13"/>
  <c r="CD153" i="13"/>
  <c r="BZ153" i="13"/>
  <c r="CC153" i="13"/>
  <c r="CA153" i="13"/>
  <c r="CB153" i="13"/>
  <c r="CV153" i="13"/>
  <c r="CU153" i="13"/>
  <c r="CT153" i="13"/>
  <c r="DS153" i="13"/>
  <c r="DW153" i="13" s="1"/>
  <c r="EA153" i="13" s="1"/>
  <c r="BF154" i="12" l="1"/>
  <c r="BK154" i="12"/>
  <c r="BG154" i="12"/>
  <c r="BH154" i="12"/>
  <c r="BI154" i="12"/>
  <c r="CL153" i="13"/>
  <c r="BB154" i="13" s="1"/>
  <c r="BD154" i="13" s="1"/>
  <c r="CM153" i="13"/>
  <c r="BL154" i="12" l="1"/>
  <c r="BW154" i="12" s="1"/>
  <c r="BO154" i="12"/>
  <c r="DL154" i="12" s="1"/>
  <c r="BM154" i="12"/>
  <c r="CR154" i="12" s="1"/>
  <c r="BN154" i="12"/>
  <c r="DB154" i="12" s="1"/>
  <c r="BE154" i="13"/>
  <c r="BX154" i="12" l="1"/>
  <c r="CE154" i="12" s="1"/>
  <c r="DM154" i="12"/>
  <c r="DQ154" i="12" s="1"/>
  <c r="CS154" i="12"/>
  <c r="CW154" i="12" s="1"/>
  <c r="DC154" i="12"/>
  <c r="DG154" i="12" s="1"/>
  <c r="BC154" i="13"/>
  <c r="CB154" i="12" l="1"/>
  <c r="CH154" i="12"/>
  <c r="CC154" i="12"/>
  <c r="CD154" i="12"/>
  <c r="BZ154" i="12"/>
  <c r="BY154" i="12"/>
  <c r="CA154" i="12"/>
  <c r="CI154" i="12"/>
  <c r="CK154" i="12" s="1"/>
  <c r="DU154" i="12"/>
  <c r="DY154" i="12" s="1"/>
  <c r="EC154" i="12" s="1"/>
  <c r="G133" i="11" s="1"/>
  <c r="DN154" i="12"/>
  <c r="DP154" i="12"/>
  <c r="DO154" i="12"/>
  <c r="CV154" i="12"/>
  <c r="DS154" i="12"/>
  <c r="DW154" i="12" s="1"/>
  <c r="EA154" i="12" s="1"/>
  <c r="CU154" i="12"/>
  <c r="CT154" i="12"/>
  <c r="DF154" i="12"/>
  <c r="DD154" i="12"/>
  <c r="DE154" i="12"/>
  <c r="DT154" i="12"/>
  <c r="DX154" i="12" s="1"/>
  <c r="EB154" i="12" s="1"/>
  <c r="BG154" i="13"/>
  <c r="BH154" i="13"/>
  <c r="BK154" i="13"/>
  <c r="BF154" i="13"/>
  <c r="BI154" i="13"/>
  <c r="CL154" i="12" l="1"/>
  <c r="BB155" i="12" s="1"/>
  <c r="CM154" i="12"/>
  <c r="BN154" i="13"/>
  <c r="DB154" i="13" s="1"/>
  <c r="BM154" i="13"/>
  <c r="CR154" i="13" s="1"/>
  <c r="CS154" i="13" s="1"/>
  <c r="BO154" i="13"/>
  <c r="DL154" i="13" s="1"/>
  <c r="DM154" i="13" s="1"/>
  <c r="BL154" i="13"/>
  <c r="BW154" i="13" s="1"/>
  <c r="BE155" i="12" l="1"/>
  <c r="DC154" i="13"/>
  <c r="DG154" i="13" s="1"/>
  <c r="CU154" i="13"/>
  <c r="CT154" i="13"/>
  <c r="DS154" i="13"/>
  <c r="DW154" i="13" s="1"/>
  <c r="EA154" i="13" s="1"/>
  <c r="CV154" i="13"/>
  <c r="CW154" i="13"/>
  <c r="DP154" i="13"/>
  <c r="DO154" i="13"/>
  <c r="DN154" i="13"/>
  <c r="DU154" i="13"/>
  <c r="DY154" i="13" s="1"/>
  <c r="EC154" i="13" s="1"/>
  <c r="DQ154" i="13"/>
  <c r="BX154" i="13"/>
  <c r="CE154" i="13" s="1"/>
  <c r="BC155" i="12" l="1"/>
  <c r="BG155" i="12" s="1"/>
  <c r="DE154" i="13"/>
  <c r="DD154" i="13"/>
  <c r="DT154" i="13"/>
  <c r="DX154" i="13" s="1"/>
  <c r="EB154" i="13" s="1"/>
  <c r="DF154" i="13"/>
  <c r="BZ154" i="13"/>
  <c r="BY154" i="13"/>
  <c r="CB154" i="13"/>
  <c r="CC154" i="13"/>
  <c r="CD154" i="13"/>
  <c r="CA154" i="13"/>
  <c r="CH154" i="13"/>
  <c r="CI154" i="13"/>
  <c r="CK154" i="13" s="1"/>
  <c r="BK155" i="12" l="1"/>
  <c r="BI155" i="12"/>
  <c r="BF155" i="12"/>
  <c r="BH155" i="12"/>
  <c r="CM154" i="13"/>
  <c r="CL154" i="13"/>
  <c r="BB155" i="13" s="1"/>
  <c r="BD155" i="13" s="1"/>
  <c r="BL155" i="12" l="1"/>
  <c r="BW155" i="12" s="1"/>
  <c r="BN155" i="12"/>
  <c r="DB155" i="12" s="1"/>
  <c r="BO155" i="12"/>
  <c r="DL155" i="12" s="1"/>
  <c r="BM155" i="12"/>
  <c r="CR155" i="12" s="1"/>
  <c r="BE155" i="13"/>
  <c r="BX155" i="12" l="1"/>
  <c r="CE155" i="12" s="1"/>
  <c r="DC155" i="12"/>
  <c r="DG155" i="12" s="1"/>
  <c r="DM155" i="12"/>
  <c r="DQ155" i="12" s="1"/>
  <c r="CS155" i="12"/>
  <c r="CW155" i="12" s="1"/>
  <c r="BC155" i="13"/>
  <c r="BK155" i="13" s="1"/>
  <c r="CC155" i="12" l="1"/>
  <c r="CD155" i="12"/>
  <c r="CA155" i="12"/>
  <c r="CB155" i="12"/>
  <c r="BY155" i="12"/>
  <c r="CH155" i="12"/>
  <c r="CI155" i="12"/>
  <c r="CK155" i="12" s="1"/>
  <c r="BZ155" i="12"/>
  <c r="DF155" i="12"/>
  <c r="DD155" i="12"/>
  <c r="DE155" i="12"/>
  <c r="DT155" i="12"/>
  <c r="DX155" i="12" s="1"/>
  <c r="EB155" i="12" s="1"/>
  <c r="DN155" i="12"/>
  <c r="DP155" i="12"/>
  <c r="DU155" i="12"/>
  <c r="DY155" i="12" s="1"/>
  <c r="EC155" i="12" s="1"/>
  <c r="G134" i="11" s="1"/>
  <c r="DO155" i="12"/>
  <c r="CT155" i="12"/>
  <c r="CV155" i="12"/>
  <c r="DS155" i="12"/>
  <c r="DW155" i="12" s="1"/>
  <c r="EA155" i="12" s="1"/>
  <c r="CU155" i="12"/>
  <c r="BF155" i="13"/>
  <c r="BI155" i="13"/>
  <c r="BG155" i="13"/>
  <c r="BH155" i="13"/>
  <c r="BN155" i="13"/>
  <c r="DB155" i="13" s="1"/>
  <c r="DC155" i="13" s="1"/>
  <c r="BO155" i="13"/>
  <c r="DL155" i="13" s="1"/>
  <c r="DM155" i="13" s="1"/>
  <c r="BL155" i="13"/>
  <c r="BW155" i="13" s="1"/>
  <c r="BM155" i="13"/>
  <c r="CR155" i="13" s="1"/>
  <c r="CS155" i="13" s="1"/>
  <c r="CM155" i="12" l="1"/>
  <c r="CL155" i="12"/>
  <c r="BB156" i="12" s="1"/>
  <c r="DT155" i="13"/>
  <c r="DX155" i="13" s="1"/>
  <c r="EB155" i="13" s="1"/>
  <c r="DE155" i="13"/>
  <c r="DD155" i="13"/>
  <c r="DF155" i="13"/>
  <c r="DG155" i="13"/>
  <c r="DN155" i="13"/>
  <c r="DU155" i="13"/>
  <c r="DY155" i="13" s="1"/>
  <c r="EC155" i="13" s="1"/>
  <c r="DP155" i="13"/>
  <c r="DO155" i="13"/>
  <c r="DQ155" i="13"/>
  <c r="BX155" i="13"/>
  <c r="CE155" i="13" s="1"/>
  <c r="CU155" i="13"/>
  <c r="CT155" i="13"/>
  <c r="DS155" i="13"/>
  <c r="DW155" i="13" s="1"/>
  <c r="EA155" i="13" s="1"/>
  <c r="CV155" i="13"/>
  <c r="CW155" i="13"/>
  <c r="BE156" i="12" l="1"/>
  <c r="BZ155" i="13"/>
  <c r="CC155" i="13"/>
  <c r="CB155" i="13"/>
  <c r="BY155" i="13"/>
  <c r="CD155" i="13"/>
  <c r="CA155" i="13"/>
  <c r="CI155" i="13"/>
  <c r="CK155" i="13" s="1"/>
  <c r="CH155" i="13"/>
  <c r="BC156" i="12" l="1"/>
  <c r="BK156" i="12" s="1"/>
  <c r="CM155" i="13"/>
  <c r="CL155" i="13"/>
  <c r="BB156" i="13" s="1"/>
  <c r="BD156" i="13" s="1"/>
  <c r="BG156" i="12" l="1"/>
  <c r="BH156" i="12"/>
  <c r="BI156" i="12"/>
  <c r="BF156" i="12"/>
  <c r="BO156" i="12"/>
  <c r="DL156" i="12" s="1"/>
  <c r="DM156" i="12" s="1"/>
  <c r="DQ156" i="12" s="1"/>
  <c r="BL156" i="12"/>
  <c r="BW156" i="12" s="1"/>
  <c r="BX156" i="12" s="1"/>
  <c r="CE156" i="12" s="1"/>
  <c r="BM156" i="12"/>
  <c r="CR156" i="12" s="1"/>
  <c r="CS156" i="12" s="1"/>
  <c r="CW156" i="12" s="1"/>
  <c r="BN156" i="12"/>
  <c r="DB156" i="12" s="1"/>
  <c r="DC156" i="12" s="1"/>
  <c r="DG156" i="12" s="1"/>
  <c r="BE156" i="13"/>
  <c r="DT156" i="12" l="1"/>
  <c r="DX156" i="12" s="1"/>
  <c r="EB156" i="12" s="1"/>
  <c r="DD156" i="12"/>
  <c r="DE156" i="12"/>
  <c r="DF156" i="12"/>
  <c r="DU156" i="12"/>
  <c r="DY156" i="12" s="1"/>
  <c r="EC156" i="12" s="1"/>
  <c r="G135" i="11" s="1"/>
  <c r="DO156" i="12"/>
  <c r="DP156" i="12"/>
  <c r="DN156" i="12"/>
  <c r="CC156" i="12"/>
  <c r="CB156" i="12"/>
  <c r="BZ156" i="12"/>
  <c r="CH156" i="12"/>
  <c r="CA156" i="12"/>
  <c r="CI156" i="12"/>
  <c r="CK156" i="12" s="1"/>
  <c r="BY156" i="12"/>
  <c r="CD156" i="12"/>
  <c r="CT156" i="12"/>
  <c r="DS156" i="12"/>
  <c r="DW156" i="12" s="1"/>
  <c r="EA156" i="12" s="1"/>
  <c r="CV156" i="12"/>
  <c r="CU156" i="12"/>
  <c r="BC156" i="13"/>
  <c r="CL156" i="12" l="1"/>
  <c r="BB157" i="12" s="1"/>
  <c r="CM156" i="12"/>
  <c r="BF156" i="13"/>
  <c r="BH156" i="13"/>
  <c r="BK156" i="13"/>
  <c r="BG156" i="13"/>
  <c r="BI156" i="13"/>
  <c r="BE157" i="12" l="1"/>
  <c r="BO156" i="13"/>
  <c r="DL156" i="13" s="1"/>
  <c r="DM156" i="13" s="1"/>
  <c r="BM156" i="13"/>
  <c r="CR156" i="13" s="1"/>
  <c r="BL156" i="13"/>
  <c r="BW156" i="13" s="1"/>
  <c r="BN156" i="13"/>
  <c r="DB156" i="13" s="1"/>
  <c r="BC157" i="12" l="1"/>
  <c r="DO156" i="13"/>
  <c r="DP156" i="13"/>
  <c r="DU156" i="13"/>
  <c r="DY156" i="13" s="1"/>
  <c r="EC156" i="13" s="1"/>
  <c r="DN156" i="13"/>
  <c r="DQ156" i="13"/>
  <c r="CS156" i="13"/>
  <c r="CW156" i="13" s="1"/>
  <c r="BX156" i="13"/>
  <c r="CE156" i="13" s="1"/>
  <c r="DC156" i="13"/>
  <c r="DG156" i="13" s="1"/>
  <c r="BG157" i="12" l="1"/>
  <c r="BH157" i="12"/>
  <c r="BF157" i="12"/>
  <c r="BK157" i="12"/>
  <c r="BI157" i="12"/>
  <c r="CU156" i="13"/>
  <c r="DS156" i="13"/>
  <c r="DW156" i="13" s="1"/>
  <c r="EA156" i="13" s="1"/>
  <c r="CT156" i="13"/>
  <c r="CV156" i="13"/>
  <c r="BZ156" i="13"/>
  <c r="CC156" i="13"/>
  <c r="BY156" i="13"/>
  <c r="CD156" i="13"/>
  <c r="CB156" i="13"/>
  <c r="CA156" i="13"/>
  <c r="CI156" i="13"/>
  <c r="CK156" i="13" s="1"/>
  <c r="CH156" i="13"/>
  <c r="DE156" i="13"/>
  <c r="DT156" i="13"/>
  <c r="DX156" i="13" s="1"/>
  <c r="EB156" i="13" s="1"/>
  <c r="DF156" i="13"/>
  <c r="DD156" i="13"/>
  <c r="BN157" i="12" l="1"/>
  <c r="DB157" i="12" s="1"/>
  <c r="BL157" i="12"/>
  <c r="BW157" i="12" s="1"/>
  <c r="BO157" i="12"/>
  <c r="DL157" i="12" s="1"/>
  <c r="BM157" i="12"/>
  <c r="CR157" i="12" s="1"/>
  <c r="CM156" i="13"/>
  <c r="CL156" i="13"/>
  <c r="BB157" i="13" s="1"/>
  <c r="BD157" i="13" s="1"/>
  <c r="DC157" i="12" l="1"/>
  <c r="DG157" i="12" s="1"/>
  <c r="BX157" i="12"/>
  <c r="CE157" i="12" s="1"/>
  <c r="DM157" i="12"/>
  <c r="DQ157" i="12" s="1"/>
  <c r="CS157" i="12"/>
  <c r="CW157" i="12" s="1"/>
  <c r="BE157" i="13"/>
  <c r="DT157" i="12" l="1"/>
  <c r="DX157" i="12" s="1"/>
  <c r="EB157" i="12" s="1"/>
  <c r="DD157" i="12"/>
  <c r="DF157" i="12"/>
  <c r="DE157" i="12"/>
  <c r="BZ157" i="12"/>
  <c r="BY157" i="12"/>
  <c r="CA157" i="12"/>
  <c r="CB157" i="12"/>
  <c r="CC157" i="12"/>
  <c r="CD157" i="12"/>
  <c r="CI157" i="12"/>
  <c r="CK157" i="12" s="1"/>
  <c r="CH157" i="12"/>
  <c r="DP157" i="12"/>
  <c r="DN157" i="12"/>
  <c r="DU157" i="12"/>
  <c r="DY157" i="12" s="1"/>
  <c r="EC157" i="12" s="1"/>
  <c r="DO157" i="12"/>
  <c r="CV157" i="12"/>
  <c r="DS157" i="12"/>
  <c r="DW157" i="12" s="1"/>
  <c r="EA157" i="12" s="1"/>
  <c r="CU157" i="12"/>
  <c r="CT157" i="12"/>
  <c r="BC157" i="13"/>
  <c r="CL157" i="12" l="1"/>
  <c r="BB158" i="12" s="1"/>
  <c r="CM157" i="12"/>
  <c r="BH157" i="13"/>
  <c r="BK157" i="13"/>
  <c r="BG157" i="13"/>
  <c r="BF157" i="13"/>
  <c r="BI157" i="13"/>
  <c r="BE158" i="12" l="1"/>
  <c r="BN157" i="13"/>
  <c r="DB157" i="13" s="1"/>
  <c r="DC157" i="13" s="1"/>
  <c r="BM157" i="13"/>
  <c r="CR157" i="13" s="1"/>
  <c r="CS157" i="13" s="1"/>
  <c r="BL157" i="13"/>
  <c r="BW157" i="13" s="1"/>
  <c r="BO157" i="13"/>
  <c r="DL157" i="13" s="1"/>
  <c r="DM157" i="13" s="1"/>
  <c r="BC158" i="12" l="1"/>
  <c r="DT157" i="13"/>
  <c r="DX157" i="13" s="1"/>
  <c r="EB157" i="13" s="1"/>
  <c r="DD157" i="13"/>
  <c r="DF157" i="13"/>
  <c r="DE157" i="13"/>
  <c r="DG157" i="13"/>
  <c r="CU157" i="13"/>
  <c r="CV157" i="13"/>
  <c r="DS157" i="13"/>
  <c r="DW157" i="13" s="1"/>
  <c r="EA157" i="13" s="1"/>
  <c r="CT157" i="13"/>
  <c r="CW157" i="13"/>
  <c r="BX157" i="13"/>
  <c r="CE157" i="13" s="1"/>
  <c r="DP157" i="13"/>
  <c r="DN157" i="13"/>
  <c r="DU157" i="13"/>
  <c r="DY157" i="13" s="1"/>
  <c r="EC157" i="13" s="1"/>
  <c r="DO157" i="13"/>
  <c r="DQ157" i="13"/>
  <c r="BH158" i="12" l="1"/>
  <c r="BG158" i="12"/>
  <c r="BF158" i="12"/>
  <c r="BK158" i="12"/>
  <c r="BI158" i="12"/>
  <c r="BZ157" i="13"/>
  <c r="CB157" i="13"/>
  <c r="CC157" i="13"/>
  <c r="BY157" i="13"/>
  <c r="CD157" i="13"/>
  <c r="CA157" i="13"/>
  <c r="CH157" i="13"/>
  <c r="CI157" i="13"/>
  <c r="CK157" i="13" s="1"/>
  <c r="BO158" i="12" l="1"/>
  <c r="DL158" i="12" s="1"/>
  <c r="DM158" i="12" s="1"/>
  <c r="BM158" i="12"/>
  <c r="CR158" i="12" s="1"/>
  <c r="BL158" i="12"/>
  <c r="BW158" i="12" s="1"/>
  <c r="BX158" i="12" s="1"/>
  <c r="BN158" i="12"/>
  <c r="DB158" i="12" s="1"/>
  <c r="DC158" i="12" s="1"/>
  <c r="CM157" i="13"/>
  <c r="CL157" i="13"/>
  <c r="BB158" i="13" s="1"/>
  <c r="BD158" i="13" s="1"/>
  <c r="DO158" i="12" l="1"/>
  <c r="DU158" i="12"/>
  <c r="DY158" i="12" s="1"/>
  <c r="EC158" i="12" s="1"/>
  <c r="DN158" i="12"/>
  <c r="DP158" i="12"/>
  <c r="DQ158" i="12"/>
  <c r="CS158" i="12"/>
  <c r="CW158" i="12" s="1"/>
  <c r="CB158" i="12"/>
  <c r="BZ158" i="12"/>
  <c r="CD158" i="12"/>
  <c r="BY158" i="12"/>
  <c r="CI158" i="12"/>
  <c r="CK158" i="12" s="1"/>
  <c r="CC158" i="12"/>
  <c r="CH158" i="12"/>
  <c r="CA158" i="12"/>
  <c r="CE158" i="12"/>
  <c r="DE158" i="12"/>
  <c r="DF158" i="12"/>
  <c r="DT158" i="12"/>
  <c r="DX158" i="12" s="1"/>
  <c r="EB158" i="12" s="1"/>
  <c r="DD158" i="12"/>
  <c r="DG158" i="12"/>
  <c r="BE158" i="13"/>
  <c r="G136" i="11" l="1"/>
  <c r="G137" i="11"/>
  <c r="CT158" i="12"/>
  <c r="DS158" i="12"/>
  <c r="DW158" i="12" s="1"/>
  <c r="EA158" i="12" s="1"/>
  <c r="CV158" i="12"/>
  <c r="CU158" i="12"/>
  <c r="CL158" i="12"/>
  <c r="BB159" i="12" s="1"/>
  <c r="CM158" i="12"/>
  <c r="BC158" i="13"/>
  <c r="BE159" i="12" l="1"/>
  <c r="BG158" i="13"/>
  <c r="BF158" i="13"/>
  <c r="BH158" i="13"/>
  <c r="BK158" i="13"/>
  <c r="BI158" i="13"/>
  <c r="BC159" i="12" l="1"/>
  <c r="BO158" i="13"/>
  <c r="DL158" i="13" s="1"/>
  <c r="DM158" i="13" s="1"/>
  <c r="BN158" i="13"/>
  <c r="DB158" i="13" s="1"/>
  <c r="DC158" i="13" s="1"/>
  <c r="BM158" i="13"/>
  <c r="CR158" i="13" s="1"/>
  <c r="CS158" i="13" s="1"/>
  <c r="BL158" i="13"/>
  <c r="BW158" i="13" s="1"/>
  <c r="BX158" i="13" s="1"/>
  <c r="BI159" i="12" l="1"/>
  <c r="BH159" i="12"/>
  <c r="BF159" i="12"/>
  <c r="BK159" i="12"/>
  <c r="BG159" i="12"/>
  <c r="DO158" i="13"/>
  <c r="DN158" i="13"/>
  <c r="DU158" i="13"/>
  <c r="DY158" i="13" s="1"/>
  <c r="EC158" i="13" s="1"/>
  <c r="DP158" i="13"/>
  <c r="DQ158" i="13"/>
  <c r="DE158" i="13"/>
  <c r="DD158" i="13"/>
  <c r="DT158" i="13"/>
  <c r="DX158" i="13" s="1"/>
  <c r="EB158" i="13" s="1"/>
  <c r="DF158" i="13"/>
  <c r="DG158" i="13"/>
  <c r="CU158" i="13"/>
  <c r="DS158" i="13"/>
  <c r="DW158" i="13" s="1"/>
  <c r="EA158" i="13" s="1"/>
  <c r="CV158" i="13"/>
  <c r="CT158" i="13"/>
  <c r="CW158" i="13"/>
  <c r="BZ158" i="13"/>
  <c r="CI158" i="13"/>
  <c r="CK158" i="13" s="1"/>
  <c r="CH158" i="13"/>
  <c r="CC158" i="13"/>
  <c r="CB158" i="13"/>
  <c r="BY158" i="13"/>
  <c r="CD158" i="13"/>
  <c r="CA158" i="13"/>
  <c r="CE158" i="13"/>
  <c r="BM159" i="12" l="1"/>
  <c r="CR159" i="12" s="1"/>
  <c r="CS159" i="12" s="1"/>
  <c r="CW159" i="12" s="1"/>
  <c r="BO159" i="12"/>
  <c r="DL159" i="12" s="1"/>
  <c r="DM159" i="12" s="1"/>
  <c r="DQ159" i="12" s="1"/>
  <c r="BN159" i="12"/>
  <c r="DB159" i="12" s="1"/>
  <c r="BL159" i="12"/>
  <c r="BW159" i="12" s="1"/>
  <c r="BX159" i="12" s="1"/>
  <c r="CE159" i="12" s="1"/>
  <c r="CM158" i="13"/>
  <c r="CL158" i="13"/>
  <c r="BB159" i="13" s="1"/>
  <c r="BD159" i="13" s="1"/>
  <c r="DC159" i="12" l="1"/>
  <c r="DD159" i="12" s="1"/>
  <c r="CI159" i="12"/>
  <c r="CK159" i="12" s="1"/>
  <c r="CH159" i="12"/>
  <c r="CC159" i="12"/>
  <c r="BY159" i="12"/>
  <c r="CB159" i="12"/>
  <c r="CD159" i="12"/>
  <c r="BZ159" i="12"/>
  <c r="CA159" i="12"/>
  <c r="DU159" i="12"/>
  <c r="DY159" i="12" s="1"/>
  <c r="EC159" i="12" s="1"/>
  <c r="DN159" i="12"/>
  <c r="DP159" i="12"/>
  <c r="DO159" i="12"/>
  <c r="CV159" i="12"/>
  <c r="DS159" i="12"/>
  <c r="DW159" i="12" s="1"/>
  <c r="EA159" i="12" s="1"/>
  <c r="CT159" i="12"/>
  <c r="CU159" i="12"/>
  <c r="BE159" i="13"/>
  <c r="DT159" i="12" l="1"/>
  <c r="DX159" i="12" s="1"/>
  <c r="EB159" i="12" s="1"/>
  <c r="DE159" i="12"/>
  <c r="DF159" i="12"/>
  <c r="DG159" i="12"/>
  <c r="CM159" i="12"/>
  <c r="CL159" i="12"/>
  <c r="BB160" i="12" s="1"/>
  <c r="BC159" i="13"/>
  <c r="BE160" i="12" l="1"/>
  <c r="BK159" i="13"/>
  <c r="BG159" i="13"/>
  <c r="BH159" i="13"/>
  <c r="BF159" i="13"/>
  <c r="BI159" i="13"/>
  <c r="BC160" i="12" l="1"/>
  <c r="BL159" i="13"/>
  <c r="BW159" i="13" s="1"/>
  <c r="BM159" i="13"/>
  <c r="CR159" i="13" s="1"/>
  <c r="CS159" i="13" s="1"/>
  <c r="BN159" i="13"/>
  <c r="DB159" i="13" s="1"/>
  <c r="DC159" i="13" s="1"/>
  <c r="BO159" i="13"/>
  <c r="DL159" i="13" s="1"/>
  <c r="DM159" i="13" s="1"/>
  <c r="BK160" i="12" l="1"/>
  <c r="BG160" i="12"/>
  <c r="BH160" i="12"/>
  <c r="BF160" i="12"/>
  <c r="BI160" i="12"/>
  <c r="BX159" i="13"/>
  <c r="CE159" i="13" s="1"/>
  <c r="CU159" i="13"/>
  <c r="CT159" i="13"/>
  <c r="DS159" i="13"/>
  <c r="DW159" i="13" s="1"/>
  <c r="EA159" i="13" s="1"/>
  <c r="CV159" i="13"/>
  <c r="CW159" i="13"/>
  <c r="DE159" i="13"/>
  <c r="DD159" i="13"/>
  <c r="DT159" i="13"/>
  <c r="DX159" i="13" s="1"/>
  <c r="EB159" i="13" s="1"/>
  <c r="DF159" i="13"/>
  <c r="DG159" i="13"/>
  <c r="DU159" i="13"/>
  <c r="DY159" i="13" s="1"/>
  <c r="EC159" i="13" s="1"/>
  <c r="DP159" i="13"/>
  <c r="DO159" i="13"/>
  <c r="DN159" i="13"/>
  <c r="DQ159" i="13"/>
  <c r="BN160" i="12" l="1"/>
  <c r="DB160" i="12" s="1"/>
  <c r="BO160" i="12"/>
  <c r="DL160" i="12" s="1"/>
  <c r="BL160" i="12"/>
  <c r="BW160" i="12" s="1"/>
  <c r="BM160" i="12"/>
  <c r="CR160" i="12" s="1"/>
  <c r="CI159" i="13"/>
  <c r="CK159" i="13" s="1"/>
  <c r="CH159" i="13"/>
  <c r="BZ159" i="13"/>
  <c r="CC159" i="13"/>
  <c r="BY159" i="13"/>
  <c r="CA159" i="13"/>
  <c r="CB159" i="13"/>
  <c r="CD159" i="13"/>
  <c r="DC160" i="12" l="1"/>
  <c r="DG160" i="12" s="1"/>
  <c r="DM160" i="12"/>
  <c r="DQ160" i="12" s="1"/>
  <c r="BX160" i="12"/>
  <c r="CE160" i="12" s="1"/>
  <c r="CS160" i="12"/>
  <c r="CW160" i="12" s="1"/>
  <c r="CL159" i="13"/>
  <c r="BB160" i="13" s="1"/>
  <c r="BD160" i="13" s="1"/>
  <c r="CM159" i="13"/>
  <c r="DF160" i="12" l="1"/>
  <c r="DT160" i="12"/>
  <c r="DX160" i="12" s="1"/>
  <c r="EB160" i="12" s="1"/>
  <c r="DD160" i="12"/>
  <c r="DE160" i="12"/>
  <c r="DN160" i="12"/>
  <c r="DU160" i="12"/>
  <c r="DY160" i="12" s="1"/>
  <c r="EC160" i="12" s="1"/>
  <c r="G138" i="11" s="1"/>
  <c r="DP160" i="12"/>
  <c r="DO160" i="12"/>
  <c r="CB160" i="12"/>
  <c r="CD160" i="12"/>
  <c r="BZ160" i="12"/>
  <c r="CA160" i="12"/>
  <c r="CC160" i="12"/>
  <c r="CI160" i="12"/>
  <c r="CK160" i="12" s="1"/>
  <c r="CH160" i="12"/>
  <c r="BY160" i="12"/>
  <c r="DS160" i="12"/>
  <c r="DW160" i="12" s="1"/>
  <c r="EA160" i="12" s="1"/>
  <c r="CT160" i="12"/>
  <c r="CU160" i="12"/>
  <c r="CV160" i="12"/>
  <c r="BE160" i="13"/>
  <c r="CL160" i="12" l="1"/>
  <c r="BB161" i="12" s="1"/>
  <c r="CM160" i="12"/>
  <c r="BC160" i="13"/>
  <c r="BE161" i="12" l="1"/>
  <c r="BG160" i="13"/>
  <c r="BK160" i="13"/>
  <c r="BL160" i="13" s="1"/>
  <c r="BW160" i="13" s="1"/>
  <c r="BH160" i="13"/>
  <c r="BF160" i="13"/>
  <c r="BI160" i="13"/>
  <c r="BC161" i="12" l="1"/>
  <c r="BN160" i="13"/>
  <c r="DB160" i="13" s="1"/>
  <c r="BO160" i="13"/>
  <c r="DL160" i="13" s="1"/>
  <c r="BM160" i="13"/>
  <c r="CR160" i="13" s="1"/>
  <c r="BX160" i="13"/>
  <c r="CE160" i="13" s="1"/>
  <c r="BF161" i="12" l="1"/>
  <c r="BG161" i="12"/>
  <c r="BK161" i="12"/>
  <c r="BH161" i="12"/>
  <c r="BI161" i="12"/>
  <c r="DC160" i="13"/>
  <c r="DG160" i="13" s="1"/>
  <c r="DM160" i="13"/>
  <c r="DQ160" i="13" s="1"/>
  <c r="CS160" i="13"/>
  <c r="CW160" i="13" s="1"/>
  <c r="CD160" i="13"/>
  <c r="CA160" i="13"/>
  <c r="BZ160" i="13"/>
  <c r="CH160" i="13"/>
  <c r="CI160" i="13"/>
  <c r="CK160" i="13" s="1"/>
  <c r="CC160" i="13"/>
  <c r="CB160" i="13"/>
  <c r="BY160" i="13"/>
  <c r="BN161" i="12" l="1"/>
  <c r="DB161" i="12" s="1"/>
  <c r="BM161" i="12"/>
  <c r="CR161" i="12" s="1"/>
  <c r="BO161" i="12"/>
  <c r="DL161" i="12" s="1"/>
  <c r="BL161" i="12"/>
  <c r="BW161" i="12" s="1"/>
  <c r="DD160" i="13"/>
  <c r="DE160" i="13"/>
  <c r="DF160" i="13"/>
  <c r="DT160" i="13"/>
  <c r="DX160" i="13" s="1"/>
  <c r="EB160" i="13" s="1"/>
  <c r="DP160" i="13"/>
  <c r="DU160" i="13"/>
  <c r="DY160" i="13" s="1"/>
  <c r="EC160" i="13" s="1"/>
  <c r="DN160" i="13"/>
  <c r="DO160" i="13"/>
  <c r="CU160" i="13"/>
  <c r="CV160" i="13"/>
  <c r="DS160" i="13"/>
  <c r="DW160" i="13" s="1"/>
  <c r="EA160" i="13" s="1"/>
  <c r="CT160" i="13"/>
  <c r="CM160" i="13"/>
  <c r="CL160" i="13"/>
  <c r="BB161" i="13" s="1"/>
  <c r="BD161" i="13" s="1"/>
  <c r="DC161" i="12" l="1"/>
  <c r="DG161" i="12" s="1"/>
  <c r="CS161" i="12"/>
  <c r="CW161" i="12" s="1"/>
  <c r="DM161" i="12"/>
  <c r="DQ161" i="12" s="1"/>
  <c r="BX161" i="12"/>
  <c r="CE161" i="12" s="1"/>
  <c r="BE161" i="13"/>
  <c r="DE161" i="12" l="1"/>
  <c r="DF161" i="12"/>
  <c r="DD161" i="12"/>
  <c r="DT161" i="12"/>
  <c r="DX161" i="12" s="1"/>
  <c r="EB161" i="12" s="1"/>
  <c r="CT161" i="12"/>
  <c r="CU161" i="12"/>
  <c r="DS161" i="12"/>
  <c r="DW161" i="12" s="1"/>
  <c r="EA161" i="12" s="1"/>
  <c r="CV161" i="12"/>
  <c r="DP161" i="12"/>
  <c r="DO161" i="12"/>
  <c r="DN161" i="12"/>
  <c r="DU161" i="12"/>
  <c r="DY161" i="12" s="1"/>
  <c r="EC161" i="12" s="1"/>
  <c r="G139" i="11" s="1"/>
  <c r="CA161" i="12"/>
  <c r="CD161" i="12"/>
  <c r="BZ161" i="12"/>
  <c r="CH161" i="12"/>
  <c r="CC161" i="12"/>
  <c r="BY161" i="12"/>
  <c r="CB161" i="12"/>
  <c r="CI161" i="12"/>
  <c r="CK161" i="12" s="1"/>
  <c r="BC161" i="13"/>
  <c r="BG161" i="13" s="1"/>
  <c r="CM161" i="12" l="1"/>
  <c r="CL161" i="12"/>
  <c r="BB162" i="12" s="1"/>
  <c r="BK161" i="13"/>
  <c r="BH161" i="13"/>
  <c r="BF161" i="13"/>
  <c r="BI161" i="13"/>
  <c r="BE162" i="12" l="1"/>
  <c r="BO161" i="13"/>
  <c r="DL161" i="13" s="1"/>
  <c r="BL161" i="13"/>
  <c r="BW161" i="13" s="1"/>
  <c r="BM161" i="13"/>
  <c r="CR161" i="13" s="1"/>
  <c r="BN161" i="13"/>
  <c r="DB161" i="13" s="1"/>
  <c r="BC162" i="12" l="1"/>
  <c r="DM161" i="13"/>
  <c r="DQ161" i="13" s="1"/>
  <c r="BX161" i="13"/>
  <c r="CE161" i="13" s="1"/>
  <c r="CS161" i="13"/>
  <c r="CW161" i="13" s="1"/>
  <c r="DC161" i="13"/>
  <c r="DG161" i="13" s="1"/>
  <c r="BI162" i="12" l="1"/>
  <c r="BG162" i="12"/>
  <c r="BH162" i="12"/>
  <c r="BF162" i="12"/>
  <c r="BK162" i="12"/>
  <c r="DO161" i="13"/>
  <c r="DP161" i="13"/>
  <c r="DU161" i="13"/>
  <c r="DY161" i="13" s="1"/>
  <c r="EC161" i="13" s="1"/>
  <c r="DN161" i="13"/>
  <c r="CI161" i="13"/>
  <c r="CK161" i="13" s="1"/>
  <c r="CH161" i="13"/>
  <c r="CA161" i="13"/>
  <c r="CD161" i="13"/>
  <c r="BY161" i="13"/>
  <c r="CB161" i="13"/>
  <c r="CC161" i="13"/>
  <c r="BZ161" i="13"/>
  <c r="CU161" i="13"/>
  <c r="DS161" i="13"/>
  <c r="DW161" i="13" s="1"/>
  <c r="EA161" i="13" s="1"/>
  <c r="CT161" i="13"/>
  <c r="CV161" i="13"/>
  <c r="DF161" i="13"/>
  <c r="DT161" i="13"/>
  <c r="DX161" i="13" s="1"/>
  <c r="EB161" i="13" s="1"/>
  <c r="DD161" i="13"/>
  <c r="DE161" i="13"/>
  <c r="BO162" i="12" l="1"/>
  <c r="DL162" i="12" s="1"/>
  <c r="DM162" i="12" s="1"/>
  <c r="DQ162" i="12" s="1"/>
  <c r="BM162" i="12"/>
  <c r="CR162" i="12" s="1"/>
  <c r="CS162" i="12" s="1"/>
  <c r="CW162" i="12" s="1"/>
  <c r="BL162" i="12"/>
  <c r="BW162" i="12" s="1"/>
  <c r="BX162" i="12" s="1"/>
  <c r="CE162" i="12" s="1"/>
  <c r="BN162" i="12"/>
  <c r="DB162" i="12" s="1"/>
  <c r="DC162" i="12" s="1"/>
  <c r="DG162" i="12" s="1"/>
  <c r="CL161" i="13"/>
  <c r="BB162" i="13" s="1"/>
  <c r="CM161" i="13"/>
  <c r="DD162" i="12" l="1"/>
  <c r="DT162" i="12"/>
  <c r="DX162" i="12" s="1"/>
  <c r="EB162" i="12" s="1"/>
  <c r="DE162" i="12"/>
  <c r="DF162" i="12"/>
  <c r="DO162" i="12"/>
  <c r="DP162" i="12"/>
  <c r="DN162" i="12"/>
  <c r="DU162" i="12"/>
  <c r="DY162" i="12" s="1"/>
  <c r="EC162" i="12" s="1"/>
  <c r="G140" i="11" s="1"/>
  <c r="CU162" i="12"/>
  <c r="CT162" i="12"/>
  <c r="CV162" i="12"/>
  <c r="DS162" i="12"/>
  <c r="DW162" i="12" s="1"/>
  <c r="EA162" i="12" s="1"/>
  <c r="CA162" i="12"/>
  <c r="CB162" i="12"/>
  <c r="CD162" i="12"/>
  <c r="BZ162" i="12"/>
  <c r="CH162" i="12"/>
  <c r="CC162" i="12"/>
  <c r="BY162" i="12"/>
  <c r="CI162" i="12"/>
  <c r="CK162" i="12" s="1"/>
  <c r="BE162" i="13"/>
  <c r="BD162" i="13"/>
  <c r="CM162" i="12" l="1"/>
  <c r="CL162" i="12"/>
  <c r="BB163" i="12" s="1"/>
  <c r="BC162" i="13"/>
  <c r="BE163" i="12" l="1"/>
  <c r="BG162" i="13"/>
  <c r="BF162" i="13"/>
  <c r="BK162" i="13"/>
  <c r="BH162" i="13"/>
  <c r="BI162" i="13"/>
  <c r="BC163" i="12" l="1"/>
  <c r="BO162" i="13"/>
  <c r="DL162" i="13" s="1"/>
  <c r="DM162" i="13" s="1"/>
  <c r="DN162" i="13" s="1"/>
  <c r="BN162" i="13"/>
  <c r="DB162" i="13" s="1"/>
  <c r="DC162" i="13" s="1"/>
  <c r="BM162" i="13"/>
  <c r="CR162" i="13" s="1"/>
  <c r="BL162" i="13"/>
  <c r="BW162" i="13" s="1"/>
  <c r="BK163" i="12" l="1"/>
  <c r="BH163" i="12"/>
  <c r="BG163" i="12"/>
  <c r="BF163" i="12"/>
  <c r="BI163" i="12"/>
  <c r="DG162" i="13"/>
  <c r="DE162" i="13"/>
  <c r="DD162" i="13"/>
  <c r="DT162" i="13"/>
  <c r="DX162" i="13" s="1"/>
  <c r="EB162" i="13" s="1"/>
  <c r="DF162" i="13"/>
  <c r="CS162" i="13"/>
  <c r="CW162" i="13" s="1"/>
  <c r="BX162" i="13"/>
  <c r="CE162" i="13" s="1"/>
  <c r="DQ162" i="13"/>
  <c r="DU162" i="13"/>
  <c r="DY162" i="13" s="1"/>
  <c r="EC162" i="13" s="1"/>
  <c r="DP162" i="13"/>
  <c r="DO162" i="13"/>
  <c r="BM163" i="12" l="1"/>
  <c r="CR163" i="12" s="1"/>
  <c r="BL163" i="12"/>
  <c r="BW163" i="12" s="1"/>
  <c r="BO163" i="12"/>
  <c r="DL163" i="12" s="1"/>
  <c r="BN163" i="12"/>
  <c r="DB163" i="12" s="1"/>
  <c r="DS162" i="13"/>
  <c r="DW162" i="13" s="1"/>
  <c r="EA162" i="13" s="1"/>
  <c r="CT162" i="13"/>
  <c r="CU162" i="13"/>
  <c r="CV162" i="13"/>
  <c r="CC162" i="13"/>
  <c r="CI162" i="13"/>
  <c r="CK162" i="13" s="1"/>
  <c r="BY162" i="13"/>
  <c r="CB162" i="13"/>
  <c r="BZ162" i="13"/>
  <c r="CA162" i="13"/>
  <c r="CD162" i="13"/>
  <c r="CH162" i="13"/>
  <c r="CS163" i="12" l="1"/>
  <c r="CW163" i="12" s="1"/>
  <c r="BX163" i="12"/>
  <c r="CE163" i="12" s="1"/>
  <c r="DM163" i="12"/>
  <c r="DQ163" i="12" s="1"/>
  <c r="DC163" i="12"/>
  <c r="DG163" i="12" s="1"/>
  <c r="CL162" i="13"/>
  <c r="BB163" i="13" s="1"/>
  <c r="CM162" i="13"/>
  <c r="CU163" i="12" l="1"/>
  <c r="DS163" i="12"/>
  <c r="DW163" i="12" s="1"/>
  <c r="EA163" i="12" s="1"/>
  <c r="CV163" i="12"/>
  <c r="CT163" i="12"/>
  <c r="CD163" i="12"/>
  <c r="BY163" i="12"/>
  <c r="CB163" i="12"/>
  <c r="CI163" i="12"/>
  <c r="CK163" i="12" s="1"/>
  <c r="CC163" i="12"/>
  <c r="CH163" i="12"/>
  <c r="CA163" i="12"/>
  <c r="BZ163" i="12"/>
  <c r="DP163" i="12"/>
  <c r="DU163" i="12"/>
  <c r="DY163" i="12" s="1"/>
  <c r="EC163" i="12" s="1"/>
  <c r="G141" i="11" s="1"/>
  <c r="DO163" i="12"/>
  <c r="DN163" i="12"/>
  <c r="DT163" i="12"/>
  <c r="DX163" i="12" s="1"/>
  <c r="EB163" i="12" s="1"/>
  <c r="DF163" i="12"/>
  <c r="DE163" i="12"/>
  <c r="DD163" i="12"/>
  <c r="BE163" i="13"/>
  <c r="BD163" i="13"/>
  <c r="CM163" i="12" l="1"/>
  <c r="CL163" i="12"/>
  <c r="BB164" i="12" s="1"/>
  <c r="BC163" i="13"/>
  <c r="BE164" i="12" l="1"/>
  <c r="BH163" i="13"/>
  <c r="BK163" i="13"/>
  <c r="BF163" i="13"/>
  <c r="BG163" i="13"/>
  <c r="BI163" i="13"/>
  <c r="BC164" i="12" l="1"/>
  <c r="BN163" i="13"/>
  <c r="DB163" i="13" s="1"/>
  <c r="BL163" i="13"/>
  <c r="BW163" i="13" s="1"/>
  <c r="BX163" i="13" s="1"/>
  <c r="BO163" i="13"/>
  <c r="DL163" i="13" s="1"/>
  <c r="BM163" i="13"/>
  <c r="CR163" i="13" s="1"/>
  <c r="BH164" i="12" l="1"/>
  <c r="BG164" i="12"/>
  <c r="BK164" i="12"/>
  <c r="BF164" i="12"/>
  <c r="BI164" i="12"/>
  <c r="DC163" i="13"/>
  <c r="DG163" i="13" s="1"/>
  <c r="CI163" i="13"/>
  <c r="CK163" i="13" s="1"/>
  <c r="CH163" i="13"/>
  <c r="BY163" i="13"/>
  <c r="CC163" i="13"/>
  <c r="BZ163" i="13"/>
  <c r="CD163" i="13"/>
  <c r="CB163" i="13"/>
  <c r="CA163" i="13"/>
  <c r="CE163" i="13"/>
  <c r="DM163" i="13"/>
  <c r="DQ163" i="13" s="1"/>
  <c r="CS163" i="13"/>
  <c r="CW163" i="13" s="1"/>
  <c r="BM164" i="12" l="1"/>
  <c r="CR164" i="12" s="1"/>
  <c r="BN164" i="12"/>
  <c r="DB164" i="12" s="1"/>
  <c r="BO164" i="12"/>
  <c r="DL164" i="12" s="1"/>
  <c r="BL164" i="12"/>
  <c r="BW164" i="12" s="1"/>
  <c r="DT163" i="13"/>
  <c r="DX163" i="13" s="1"/>
  <c r="EB163" i="13" s="1"/>
  <c r="DE163" i="13"/>
  <c r="DD163" i="13"/>
  <c r="DF163" i="13"/>
  <c r="CM163" i="13"/>
  <c r="CL163" i="13"/>
  <c r="BB164" i="13" s="1"/>
  <c r="DU163" i="13"/>
  <c r="DY163" i="13" s="1"/>
  <c r="EC163" i="13" s="1"/>
  <c r="DO163" i="13"/>
  <c r="DP163" i="13"/>
  <c r="DN163" i="13"/>
  <c r="DS163" i="13"/>
  <c r="DW163" i="13" s="1"/>
  <c r="EA163" i="13" s="1"/>
  <c r="CT163" i="13"/>
  <c r="CV163" i="13"/>
  <c r="CU163" i="13"/>
  <c r="CS164" i="12" l="1"/>
  <c r="CW164" i="12" s="1"/>
  <c r="DC164" i="12"/>
  <c r="DG164" i="12" s="1"/>
  <c r="DM164" i="12"/>
  <c r="DQ164" i="12" s="1"/>
  <c r="BX164" i="12"/>
  <c r="CE164" i="12" s="1"/>
  <c r="BE164" i="13"/>
  <c r="BD164" i="13"/>
  <c r="CU164" i="12" l="1"/>
  <c r="CV164" i="12"/>
  <c r="CT164" i="12"/>
  <c r="DS164" i="12"/>
  <c r="DW164" i="12" s="1"/>
  <c r="EA164" i="12" s="1"/>
  <c r="DD164" i="12"/>
  <c r="DT164" i="12"/>
  <c r="DX164" i="12" s="1"/>
  <c r="EB164" i="12" s="1"/>
  <c r="DF164" i="12"/>
  <c r="DE164" i="12"/>
  <c r="DP164" i="12"/>
  <c r="DO164" i="12"/>
  <c r="DU164" i="12"/>
  <c r="DY164" i="12" s="1"/>
  <c r="EC164" i="12" s="1"/>
  <c r="G142" i="11" s="1"/>
  <c r="DN164" i="12"/>
  <c r="CD164" i="12"/>
  <c r="CH164" i="12"/>
  <c r="BZ164" i="12"/>
  <c r="CB164" i="12"/>
  <c r="BY164" i="12"/>
  <c r="CI164" i="12"/>
  <c r="CK164" i="12" s="1"/>
  <c r="CC164" i="12"/>
  <c r="CA164" i="12"/>
  <c r="BC164" i="13"/>
  <c r="CM164" i="12" l="1"/>
  <c r="CL164" i="12"/>
  <c r="BB165" i="12" s="1"/>
  <c r="BI164" i="13"/>
  <c r="BF164" i="13"/>
  <c r="BG164" i="13"/>
  <c r="BH164" i="13"/>
  <c r="BK164" i="13"/>
  <c r="BE165" i="12" l="1"/>
  <c r="BN164" i="13"/>
  <c r="DB164" i="13" s="1"/>
  <c r="BO164" i="13"/>
  <c r="DL164" i="13" s="1"/>
  <c r="DM164" i="13" s="1"/>
  <c r="BL164" i="13"/>
  <c r="BW164" i="13" s="1"/>
  <c r="BX164" i="13" s="1"/>
  <c r="BM164" i="13"/>
  <c r="CR164" i="13" s="1"/>
  <c r="BC165" i="12" l="1"/>
  <c r="CE164" i="13"/>
  <c r="BZ164" i="13"/>
  <c r="CA164" i="13"/>
  <c r="CB164" i="13"/>
  <c r="BY164" i="13"/>
  <c r="CD164" i="13"/>
  <c r="CI164" i="13"/>
  <c r="CK164" i="13" s="1"/>
  <c r="CH164" i="13"/>
  <c r="CC164" i="13"/>
  <c r="CS164" i="13"/>
  <c r="CW164" i="13" s="1"/>
  <c r="DC164" i="13"/>
  <c r="DQ164" i="13"/>
  <c r="DO164" i="13"/>
  <c r="DN164" i="13"/>
  <c r="DU164" i="13"/>
  <c r="DY164" i="13" s="1"/>
  <c r="EC164" i="13" s="1"/>
  <c r="DP164" i="13"/>
  <c r="BH165" i="12" l="1"/>
  <c r="BG165" i="12"/>
  <c r="BF165" i="12"/>
  <c r="BK165" i="12"/>
  <c r="BI165" i="12"/>
  <c r="CL164" i="13"/>
  <c r="BB165" i="13" s="1"/>
  <c r="CM164" i="13"/>
  <c r="DF164" i="13"/>
  <c r="DD164" i="13"/>
  <c r="DE164" i="13"/>
  <c r="CT164" i="13"/>
  <c r="CU164" i="13"/>
  <c r="CV164" i="13"/>
  <c r="DS164" i="13"/>
  <c r="DW164" i="13" s="1"/>
  <c r="EA164" i="13" s="1"/>
  <c r="DT164" i="13"/>
  <c r="DX164" i="13" s="1"/>
  <c r="EB164" i="13" s="1"/>
  <c r="DG164" i="13"/>
  <c r="BO165" i="12" l="1"/>
  <c r="DL165" i="12" s="1"/>
  <c r="BL165" i="12"/>
  <c r="BW165" i="12" s="1"/>
  <c r="BN165" i="12"/>
  <c r="DB165" i="12" s="1"/>
  <c r="BM165" i="12"/>
  <c r="CR165" i="12" s="1"/>
  <c r="BD165" i="13"/>
  <c r="BE165" i="13"/>
  <c r="DM165" i="12" l="1"/>
  <c r="DQ165" i="12" s="1"/>
  <c r="BX165" i="12"/>
  <c r="CE165" i="12" s="1"/>
  <c r="DC165" i="12"/>
  <c r="DG165" i="12" s="1"/>
  <c r="CS165" i="12"/>
  <c r="CW165" i="12" s="1"/>
  <c r="BC165" i="13"/>
  <c r="DU165" i="12" l="1"/>
  <c r="DY165" i="12" s="1"/>
  <c r="EC165" i="12" s="1"/>
  <c r="G143" i="11" s="1"/>
  <c r="DO165" i="12"/>
  <c r="DP165" i="12"/>
  <c r="DN165" i="12"/>
  <c r="CA165" i="12"/>
  <c r="BY165" i="12"/>
  <c r="CH165" i="12"/>
  <c r="CC165" i="12"/>
  <c r="CD165" i="12"/>
  <c r="CB165" i="12"/>
  <c r="BZ165" i="12"/>
  <c r="CI165" i="12"/>
  <c r="CK165" i="12" s="1"/>
  <c r="DD165" i="12"/>
  <c r="DT165" i="12"/>
  <c r="DX165" i="12" s="1"/>
  <c r="EB165" i="12" s="1"/>
  <c r="DF165" i="12"/>
  <c r="DE165" i="12"/>
  <c r="CU165" i="12"/>
  <c r="CT165" i="12"/>
  <c r="CV165" i="12"/>
  <c r="DS165" i="12"/>
  <c r="DW165" i="12" s="1"/>
  <c r="EA165" i="12" s="1"/>
  <c r="BI165" i="13"/>
  <c r="BF165" i="13"/>
  <c r="BG165" i="13"/>
  <c r="BK165" i="13"/>
  <c r="BH165" i="13"/>
  <c r="CM165" i="12" l="1"/>
  <c r="CL165" i="12"/>
  <c r="BB166" i="12" s="1"/>
  <c r="BN165" i="13"/>
  <c r="DB165" i="13" s="1"/>
  <c r="DC165" i="13" s="1"/>
  <c r="BM165" i="13"/>
  <c r="CR165" i="13" s="1"/>
  <c r="BO165" i="13"/>
  <c r="DL165" i="13" s="1"/>
  <c r="DM165" i="13" s="1"/>
  <c r="BL165" i="13"/>
  <c r="BW165" i="13" s="1"/>
  <c r="BX165" i="13" s="1"/>
  <c r="BE166" i="12" l="1"/>
  <c r="CS165" i="13"/>
  <c r="CW165" i="13" s="1"/>
  <c r="DG165" i="13"/>
  <c r="DD165" i="13"/>
  <c r="DT165" i="13"/>
  <c r="DX165" i="13" s="1"/>
  <c r="EB165" i="13" s="1"/>
  <c r="DF165" i="13"/>
  <c r="DE165" i="13"/>
  <c r="DQ165" i="13"/>
  <c r="DO165" i="13"/>
  <c r="DP165" i="13"/>
  <c r="DU165" i="13"/>
  <c r="DY165" i="13" s="1"/>
  <c r="EC165" i="13" s="1"/>
  <c r="DN165" i="13"/>
  <c r="CE165" i="13"/>
  <c r="CH165" i="13"/>
  <c r="CC165" i="13"/>
  <c r="CB165" i="13"/>
  <c r="BY165" i="13"/>
  <c r="CD165" i="13"/>
  <c r="CA165" i="13"/>
  <c r="CI165" i="13"/>
  <c r="CK165" i="13" s="1"/>
  <c r="BZ165" i="13"/>
  <c r="BC166" i="12" l="1"/>
  <c r="BF166" i="12" s="1"/>
  <c r="DS165" i="13"/>
  <c r="DW165" i="13" s="1"/>
  <c r="EA165" i="13" s="1"/>
  <c r="CT165" i="13"/>
  <c r="CV165" i="13"/>
  <c r="CU165" i="13"/>
  <c r="CM165" i="13"/>
  <c r="CL165" i="13"/>
  <c r="BB166" i="13" s="1"/>
  <c r="BH166" i="12" l="1"/>
  <c r="BG166" i="12"/>
  <c r="BI166" i="12"/>
  <c r="BK166" i="12"/>
  <c r="BD166" i="13"/>
  <c r="BE166" i="13"/>
  <c r="BN166" i="12" l="1"/>
  <c r="DB166" i="12" s="1"/>
  <c r="BO166" i="12"/>
  <c r="DL166" i="12" s="1"/>
  <c r="BL166" i="12"/>
  <c r="BW166" i="12" s="1"/>
  <c r="BM166" i="12"/>
  <c r="CR166" i="12" s="1"/>
  <c r="BC166" i="13"/>
  <c r="BI166" i="13" s="1"/>
  <c r="DC166" i="12" l="1"/>
  <c r="DG166" i="12" s="1"/>
  <c r="DM166" i="12"/>
  <c r="DQ166" i="12" s="1"/>
  <c r="CS166" i="12"/>
  <c r="CW166" i="12" s="1"/>
  <c r="BX166" i="12"/>
  <c r="CE166" i="12" s="1"/>
  <c r="BF166" i="13"/>
  <c r="BH166" i="13"/>
  <c r="BK166" i="13"/>
  <c r="BG166" i="13"/>
  <c r="DT166" i="12" l="1"/>
  <c r="DX166" i="12" s="1"/>
  <c r="EB166" i="12" s="1"/>
  <c r="DD166" i="12"/>
  <c r="DE166" i="12"/>
  <c r="DF166" i="12"/>
  <c r="DP166" i="12"/>
  <c r="DN166" i="12"/>
  <c r="DO166" i="12"/>
  <c r="DU166" i="12"/>
  <c r="DY166" i="12" s="1"/>
  <c r="EC166" i="12" s="1"/>
  <c r="G144" i="11" s="1"/>
  <c r="DS166" i="12"/>
  <c r="DW166" i="12" s="1"/>
  <c r="EA166" i="12" s="1"/>
  <c r="CV166" i="12"/>
  <c r="CU166" i="12"/>
  <c r="CT166" i="12"/>
  <c r="CD166" i="12"/>
  <c r="BZ166" i="12"/>
  <c r="CI166" i="12"/>
  <c r="CK166" i="12" s="1"/>
  <c r="CC166" i="12"/>
  <c r="CA166" i="12"/>
  <c r="CH166" i="12"/>
  <c r="BY166" i="12"/>
  <c r="CB166" i="12"/>
  <c r="BN166" i="13"/>
  <c r="DB166" i="13" s="1"/>
  <c r="BM166" i="13"/>
  <c r="CR166" i="13" s="1"/>
  <c r="CS166" i="13" s="1"/>
  <c r="BL166" i="13"/>
  <c r="BW166" i="13" s="1"/>
  <c r="BX166" i="13" s="1"/>
  <c r="CE166" i="13" s="1"/>
  <c r="BO166" i="13"/>
  <c r="DL166" i="13" s="1"/>
  <c r="CL166" i="12" l="1"/>
  <c r="BB167" i="12" s="1"/>
  <c r="CM166" i="12"/>
  <c r="DC166" i="13"/>
  <c r="DG166" i="13" s="1"/>
  <c r="CT166" i="13"/>
  <c r="CU166" i="13"/>
  <c r="DS166" i="13"/>
  <c r="DW166" i="13" s="1"/>
  <c r="EA166" i="13" s="1"/>
  <c r="CV166" i="13"/>
  <c r="CW166" i="13"/>
  <c r="DM166" i="13"/>
  <c r="DQ166" i="13" s="1"/>
  <c r="CB166" i="13"/>
  <c r="CD166" i="13"/>
  <c r="CH166" i="13"/>
  <c r="CC166" i="13"/>
  <c r="BY166" i="13"/>
  <c r="CA166" i="13"/>
  <c r="BZ166" i="13"/>
  <c r="CI166" i="13"/>
  <c r="CK166" i="13" s="1"/>
  <c r="BE167" i="12" l="1"/>
  <c r="DD166" i="13"/>
  <c r="DE166" i="13"/>
  <c r="DF166" i="13"/>
  <c r="DT166" i="13"/>
  <c r="DX166" i="13" s="1"/>
  <c r="EB166" i="13" s="1"/>
  <c r="DP166" i="13"/>
  <c r="DU166" i="13"/>
  <c r="DY166" i="13" s="1"/>
  <c r="EC166" i="13" s="1"/>
  <c r="DN166" i="13"/>
  <c r="DO166" i="13"/>
  <c r="CM166" i="13"/>
  <c r="CL166" i="13"/>
  <c r="BB167" i="13" s="1"/>
  <c r="BD167" i="13" s="1"/>
  <c r="BC167" i="12" l="1"/>
  <c r="BE167" i="13"/>
  <c r="BF167" i="12" l="1"/>
  <c r="BG167" i="12"/>
  <c r="BH167" i="12"/>
  <c r="BK167" i="12"/>
  <c r="BI167" i="12"/>
  <c r="BC167" i="13"/>
  <c r="BL167" i="12" l="1"/>
  <c r="BW167" i="12" s="1"/>
  <c r="BM167" i="12"/>
  <c r="CR167" i="12" s="1"/>
  <c r="BO167" i="12"/>
  <c r="DL167" i="12" s="1"/>
  <c r="DM167" i="12" s="1"/>
  <c r="BN167" i="12"/>
  <c r="DB167" i="12" s="1"/>
  <c r="BI167" i="13"/>
  <c r="BF167" i="13"/>
  <c r="BK167" i="13"/>
  <c r="BG167" i="13"/>
  <c r="BH167" i="13"/>
  <c r="BX167" i="12" l="1"/>
  <c r="CE167" i="12" s="1"/>
  <c r="CS167" i="12"/>
  <c r="CW167" i="12" s="1"/>
  <c r="DC167" i="12"/>
  <c r="DG167" i="12" s="1"/>
  <c r="DQ167" i="12"/>
  <c r="DU167" i="12"/>
  <c r="DY167" i="12" s="1"/>
  <c r="EC167" i="12" s="1"/>
  <c r="G145" i="11" s="1"/>
  <c r="DO167" i="12"/>
  <c r="DP167" i="12"/>
  <c r="DN167" i="12"/>
  <c r="BO167" i="13"/>
  <c r="DL167" i="13" s="1"/>
  <c r="DM167" i="13" s="1"/>
  <c r="BM167" i="13"/>
  <c r="CR167" i="13" s="1"/>
  <c r="CS167" i="13" s="1"/>
  <c r="BL167" i="13"/>
  <c r="BW167" i="13" s="1"/>
  <c r="BX167" i="13" s="1"/>
  <c r="BN167" i="13"/>
  <c r="DB167" i="13" s="1"/>
  <c r="DC167" i="13" s="1"/>
  <c r="CH167" i="12" l="1"/>
  <c r="CD167" i="12"/>
  <c r="CB167" i="12"/>
  <c r="CI167" i="12"/>
  <c r="CK167" i="12" s="1"/>
  <c r="CA167" i="12"/>
  <c r="BY167" i="12"/>
  <c r="BZ167" i="12"/>
  <c r="CC167" i="12"/>
  <c r="CT167" i="12"/>
  <c r="CV167" i="12"/>
  <c r="CU167" i="12"/>
  <c r="DS167" i="12"/>
  <c r="DW167" i="12" s="1"/>
  <c r="EA167" i="12" s="1"/>
  <c r="DE167" i="12"/>
  <c r="DD167" i="12"/>
  <c r="DF167" i="12"/>
  <c r="DT167" i="12"/>
  <c r="DX167" i="12" s="1"/>
  <c r="EB167" i="12" s="1"/>
  <c r="DU167" i="13"/>
  <c r="DY167" i="13" s="1"/>
  <c r="EC167" i="13" s="1"/>
  <c r="DO167" i="13"/>
  <c r="DN167" i="13"/>
  <c r="DP167" i="13"/>
  <c r="DQ167" i="13"/>
  <c r="CT167" i="13"/>
  <c r="CV167" i="13"/>
  <c r="DS167" i="13"/>
  <c r="DW167" i="13" s="1"/>
  <c r="EA167" i="13" s="1"/>
  <c r="CU167" i="13"/>
  <c r="CW167" i="13"/>
  <c r="BZ167" i="13"/>
  <c r="CH167" i="13"/>
  <c r="CA167" i="13"/>
  <c r="CI167" i="13"/>
  <c r="CK167" i="13" s="1"/>
  <c r="CB167" i="13"/>
  <c r="CC167" i="13"/>
  <c r="BY167" i="13"/>
  <c r="CD167" i="13"/>
  <c r="CE167" i="13"/>
  <c r="DF167" i="13"/>
  <c r="DE167" i="13"/>
  <c r="DT167" i="13"/>
  <c r="DX167" i="13" s="1"/>
  <c r="EB167" i="13" s="1"/>
  <c r="DD167" i="13"/>
  <c r="DG167" i="13"/>
  <c r="CL167" i="12" l="1"/>
  <c r="BB168" i="12" s="1"/>
  <c r="CM167" i="12"/>
  <c r="CL167" i="13"/>
  <c r="BB168" i="13" s="1"/>
  <c r="BD168" i="13" s="1"/>
  <c r="CM167" i="13"/>
  <c r="BE168" i="12" l="1"/>
  <c r="BE168" i="13"/>
  <c r="BC168" i="12" l="1"/>
  <c r="BI168" i="12" s="1"/>
  <c r="BC168" i="13"/>
  <c r="BK168" i="12" l="1"/>
  <c r="BG168" i="12"/>
  <c r="BH168" i="12"/>
  <c r="BF168" i="12"/>
  <c r="BI168" i="13"/>
  <c r="BH168" i="13"/>
  <c r="BK168" i="13"/>
  <c r="BG168" i="13"/>
  <c r="BF168" i="13"/>
  <c r="BO168" i="12" l="1"/>
  <c r="DL168" i="12" s="1"/>
  <c r="DM168" i="12" s="1"/>
  <c r="DQ168" i="12" s="1"/>
  <c r="BN168" i="12"/>
  <c r="DB168" i="12" s="1"/>
  <c r="DC168" i="12" s="1"/>
  <c r="DG168" i="12" s="1"/>
  <c r="BM168" i="12"/>
  <c r="CR168" i="12" s="1"/>
  <c r="CS168" i="12" s="1"/>
  <c r="CW168" i="12" s="1"/>
  <c r="BL168" i="12"/>
  <c r="BW168" i="12" s="1"/>
  <c r="BX168" i="12" s="1"/>
  <c r="CE168" i="12" s="1"/>
  <c r="BM168" i="13"/>
  <c r="CR168" i="13" s="1"/>
  <c r="CS168" i="13" s="1"/>
  <c r="BN168" i="13"/>
  <c r="DB168" i="13" s="1"/>
  <c r="DC168" i="13" s="1"/>
  <c r="BL168" i="13"/>
  <c r="BW168" i="13" s="1"/>
  <c r="BO168" i="13"/>
  <c r="DL168" i="13" s="1"/>
  <c r="DM168" i="13" s="1"/>
  <c r="DN168" i="12" l="1"/>
  <c r="DO168" i="12"/>
  <c r="DU168" i="12"/>
  <c r="DY168" i="12" s="1"/>
  <c r="EC168" i="12" s="1"/>
  <c r="DP168" i="12"/>
  <c r="CH168" i="12"/>
  <c r="CC168" i="12"/>
  <c r="BY168" i="12"/>
  <c r="CB168" i="12"/>
  <c r="CD168" i="12"/>
  <c r="CI168" i="12"/>
  <c r="CK168" i="12" s="1"/>
  <c r="BZ168" i="12"/>
  <c r="CA168" i="12"/>
  <c r="DD168" i="12"/>
  <c r="DT168" i="12"/>
  <c r="DX168" i="12" s="1"/>
  <c r="EB168" i="12" s="1"/>
  <c r="DF168" i="12"/>
  <c r="DE168" i="12"/>
  <c r="CV168" i="12"/>
  <c r="CT168" i="12"/>
  <c r="CU168" i="12"/>
  <c r="DS168" i="12"/>
  <c r="DW168" i="12" s="1"/>
  <c r="EA168" i="12" s="1"/>
  <c r="CU168" i="13"/>
  <c r="CT168" i="13"/>
  <c r="DS168" i="13"/>
  <c r="DW168" i="13" s="1"/>
  <c r="EA168" i="13" s="1"/>
  <c r="CV168" i="13"/>
  <c r="CW168" i="13"/>
  <c r="DE168" i="13"/>
  <c r="DD168" i="13"/>
  <c r="DT168" i="13"/>
  <c r="DX168" i="13" s="1"/>
  <c r="EB168" i="13" s="1"/>
  <c r="DF168" i="13"/>
  <c r="DG168" i="13"/>
  <c r="BX168" i="13"/>
  <c r="CE168" i="13" s="1"/>
  <c r="DO168" i="13"/>
  <c r="DN168" i="13"/>
  <c r="DU168" i="13"/>
  <c r="DY168" i="13" s="1"/>
  <c r="EC168" i="13" s="1"/>
  <c r="DP168" i="13"/>
  <c r="DQ168" i="13"/>
  <c r="CM168" i="12" l="1"/>
  <c r="CL168" i="12"/>
  <c r="BB169" i="12" s="1"/>
  <c r="CD168" i="13"/>
  <c r="CI168" i="13"/>
  <c r="CK168" i="13" s="1"/>
  <c r="BZ168" i="13"/>
  <c r="CB168" i="13"/>
  <c r="CC168" i="13"/>
  <c r="BY168" i="13"/>
  <c r="CA168" i="13"/>
  <c r="CH168" i="13"/>
  <c r="BE169" i="12" l="1"/>
  <c r="CL168" i="13"/>
  <c r="BB169" i="13" s="1"/>
  <c r="BD169" i="13" s="1"/>
  <c r="CM168" i="13"/>
  <c r="BC169" i="12" l="1"/>
  <c r="BE169" i="13"/>
  <c r="BI169" i="12" l="1"/>
  <c r="BH169" i="12"/>
  <c r="BK169" i="12"/>
  <c r="BL169" i="12" s="1"/>
  <c r="BW169" i="12" s="1"/>
  <c r="BX169" i="12" s="1"/>
  <c r="BG169" i="12"/>
  <c r="BF169" i="12"/>
  <c r="BC169" i="13"/>
  <c r="BN169" i="12" l="1"/>
  <c r="DB169" i="12" s="1"/>
  <c r="BO169" i="12"/>
  <c r="DL169" i="12" s="1"/>
  <c r="BM169" i="12"/>
  <c r="CR169" i="12" s="1"/>
  <c r="BZ169" i="12"/>
  <c r="CI169" i="12"/>
  <c r="CK169" i="12" s="1"/>
  <c r="CA169" i="12"/>
  <c r="BY169" i="12"/>
  <c r="CH169" i="12"/>
  <c r="CC169" i="12"/>
  <c r="CD169" i="12"/>
  <c r="CB169" i="12"/>
  <c r="CE169" i="12"/>
  <c r="BI169" i="13"/>
  <c r="BH169" i="13"/>
  <c r="BF169" i="13"/>
  <c r="BK169" i="13"/>
  <c r="BG169" i="13"/>
  <c r="DC169" i="12" l="1"/>
  <c r="DG169" i="12" s="1"/>
  <c r="DM169" i="12"/>
  <c r="DQ169" i="12" s="1"/>
  <c r="CS169" i="12"/>
  <c r="CW169" i="12" s="1"/>
  <c r="CL169" i="12"/>
  <c r="BB170" i="12" s="1"/>
  <c r="CM169" i="12"/>
  <c r="BO169" i="13"/>
  <c r="DL169" i="13" s="1"/>
  <c r="DM169" i="13" s="1"/>
  <c r="BM169" i="13"/>
  <c r="CR169" i="13" s="1"/>
  <c r="CS169" i="13" s="1"/>
  <c r="BL169" i="13"/>
  <c r="BW169" i="13" s="1"/>
  <c r="BN169" i="13"/>
  <c r="DB169" i="13" s="1"/>
  <c r="DC169" i="13" s="1"/>
  <c r="BE170" i="12" l="1"/>
  <c r="DD169" i="12"/>
  <c r="DE169" i="12"/>
  <c r="DT169" i="12"/>
  <c r="DX169" i="12" s="1"/>
  <c r="EB169" i="12" s="1"/>
  <c r="DF169" i="12"/>
  <c r="DO169" i="12"/>
  <c r="DN169" i="12"/>
  <c r="DP169" i="12"/>
  <c r="DU169" i="12"/>
  <c r="DY169" i="12" s="1"/>
  <c r="EC169" i="12" s="1"/>
  <c r="CU169" i="12"/>
  <c r="DS169" i="12"/>
  <c r="DW169" i="12" s="1"/>
  <c r="EA169" i="12" s="1"/>
  <c r="CT169" i="12"/>
  <c r="CV169" i="12"/>
  <c r="DO169" i="13"/>
  <c r="DN169" i="13"/>
  <c r="DU169" i="13"/>
  <c r="DY169" i="13" s="1"/>
  <c r="EC169" i="13" s="1"/>
  <c r="DP169" i="13"/>
  <c r="DQ169" i="13"/>
  <c r="CT169" i="13"/>
  <c r="DS169" i="13"/>
  <c r="DW169" i="13" s="1"/>
  <c r="EA169" i="13" s="1"/>
  <c r="CV169" i="13"/>
  <c r="CU169" i="13"/>
  <c r="CW169" i="13"/>
  <c r="BX169" i="13"/>
  <c r="CE169" i="13" s="1"/>
  <c r="DE169" i="13"/>
  <c r="DD169" i="13"/>
  <c r="DT169" i="13"/>
  <c r="DX169" i="13" s="1"/>
  <c r="EB169" i="13" s="1"/>
  <c r="DF169" i="13"/>
  <c r="DG169" i="13"/>
  <c r="G146" i="11" l="1"/>
  <c r="G147" i="11"/>
  <c r="BC170" i="12"/>
  <c r="BZ169" i="13"/>
  <c r="CB169" i="13"/>
  <c r="CC169" i="13"/>
  <c r="BY169" i="13"/>
  <c r="CD169" i="13"/>
  <c r="CA169" i="13"/>
  <c r="CH169" i="13"/>
  <c r="CI169" i="13"/>
  <c r="CK169" i="13" s="1"/>
  <c r="BI170" i="12" l="1"/>
  <c r="BF170" i="12"/>
  <c r="BG170" i="12"/>
  <c r="BH170" i="12"/>
  <c r="BK170" i="12"/>
  <c r="CM169" i="13"/>
  <c r="CL169" i="13"/>
  <c r="BB170" i="13" s="1"/>
  <c r="BD170" i="13" s="1"/>
  <c r="BO170" i="12" l="1"/>
  <c r="DL170" i="12" s="1"/>
  <c r="DM170" i="12" s="1"/>
  <c r="BN170" i="12"/>
  <c r="DB170" i="12" s="1"/>
  <c r="DC170" i="12" s="1"/>
  <c r="BM170" i="12"/>
  <c r="CR170" i="12" s="1"/>
  <c r="CS170" i="12" s="1"/>
  <c r="BL170" i="12"/>
  <c r="BW170" i="12" s="1"/>
  <c r="BX170" i="12" s="1"/>
  <c r="BE170" i="13"/>
  <c r="DU170" i="12" l="1"/>
  <c r="DY170" i="12" s="1"/>
  <c r="EC170" i="12" s="1"/>
  <c r="DO170" i="12"/>
  <c r="DP170" i="12"/>
  <c r="DN170" i="12"/>
  <c r="DQ170" i="12"/>
  <c r="DT170" i="12"/>
  <c r="DX170" i="12" s="1"/>
  <c r="EB170" i="12" s="1"/>
  <c r="DD170" i="12"/>
  <c r="DE170" i="12"/>
  <c r="DF170" i="12"/>
  <c r="DG170" i="12"/>
  <c r="CT170" i="12"/>
  <c r="CV170" i="12"/>
  <c r="CU170" i="12"/>
  <c r="DS170" i="12"/>
  <c r="DW170" i="12" s="1"/>
  <c r="EA170" i="12" s="1"/>
  <c r="CW170" i="12"/>
  <c r="CB170" i="12"/>
  <c r="CD170" i="12"/>
  <c r="CA170" i="12"/>
  <c r="CC170" i="12"/>
  <c r="BZ170" i="12"/>
  <c r="BY170" i="12"/>
  <c r="CH170" i="12"/>
  <c r="CI170" i="12"/>
  <c r="CK170" i="12" s="1"/>
  <c r="CE170" i="12"/>
  <c r="BC170" i="13"/>
  <c r="CL170" i="12" l="1"/>
  <c r="BB171" i="12" s="1"/>
  <c r="CM170" i="12"/>
  <c r="BK170" i="13"/>
  <c r="BF170" i="13"/>
  <c r="BG170" i="13"/>
  <c r="BI170" i="13"/>
  <c r="BH170" i="13"/>
  <c r="BE171" i="12" l="1"/>
  <c r="BO170" i="13"/>
  <c r="DL170" i="13" s="1"/>
  <c r="BM170" i="13"/>
  <c r="CR170" i="13" s="1"/>
  <c r="CS170" i="13" s="1"/>
  <c r="CW170" i="13" s="1"/>
  <c r="BL170" i="13"/>
  <c r="BW170" i="13" s="1"/>
  <c r="BX170" i="13" s="1"/>
  <c r="CE170" i="13" s="1"/>
  <c r="BN170" i="13"/>
  <c r="DB170" i="13" s="1"/>
  <c r="DC170" i="13" s="1"/>
  <c r="DG170" i="13" s="1"/>
  <c r="BC171" i="12" l="1"/>
  <c r="DM170" i="13"/>
  <c r="DQ170" i="13" s="1"/>
  <c r="CT170" i="13"/>
  <c r="CU170" i="13"/>
  <c r="CV170" i="13"/>
  <c r="DS170" i="13"/>
  <c r="DW170" i="13" s="1"/>
  <c r="EA170" i="13" s="1"/>
  <c r="CH170" i="13"/>
  <c r="CI170" i="13"/>
  <c r="CK170" i="13" s="1"/>
  <c r="CC170" i="13"/>
  <c r="CB170" i="13"/>
  <c r="BY170" i="13"/>
  <c r="CA170" i="13"/>
  <c r="BZ170" i="13"/>
  <c r="CD170" i="13"/>
  <c r="DE170" i="13"/>
  <c r="DD170" i="13"/>
  <c r="DT170" i="13"/>
  <c r="DX170" i="13" s="1"/>
  <c r="EB170" i="13" s="1"/>
  <c r="DF170" i="13"/>
  <c r="BF171" i="12" l="1"/>
  <c r="BK171" i="12"/>
  <c r="BG171" i="12"/>
  <c r="BH171" i="12"/>
  <c r="BI171" i="12"/>
  <c r="DO170" i="13"/>
  <c r="DP170" i="13"/>
  <c r="DU170" i="13"/>
  <c r="DY170" i="13" s="1"/>
  <c r="EC170" i="13" s="1"/>
  <c r="DN170" i="13"/>
  <c r="CM170" i="13"/>
  <c r="CL170" i="13"/>
  <c r="BB171" i="13" s="1"/>
  <c r="BD171" i="13" s="1"/>
  <c r="BO171" i="12" l="1"/>
  <c r="DL171" i="12" s="1"/>
  <c r="BM171" i="12"/>
  <c r="CR171" i="12" s="1"/>
  <c r="BL171" i="12"/>
  <c r="BW171" i="12" s="1"/>
  <c r="BX171" i="12" s="1"/>
  <c r="BN171" i="12"/>
  <c r="DB171" i="12" s="1"/>
  <c r="BE171" i="13"/>
  <c r="BC171" i="13" s="1"/>
  <c r="BI171" i="13" s="1"/>
  <c r="DM171" i="12" l="1"/>
  <c r="DQ171" i="12" s="1"/>
  <c r="CS171" i="12"/>
  <c r="CW171" i="12" s="1"/>
  <c r="CH171" i="12"/>
  <c r="CB171" i="12"/>
  <c r="BZ171" i="12"/>
  <c r="CI171" i="12"/>
  <c r="CK171" i="12" s="1"/>
  <c r="BY171" i="12"/>
  <c r="CC171" i="12"/>
  <c r="CA171" i="12"/>
  <c r="CD171" i="12"/>
  <c r="CE171" i="12"/>
  <c r="DC171" i="12"/>
  <c r="DG171" i="12" s="1"/>
  <c r="BG171" i="13"/>
  <c r="BK171" i="13"/>
  <c r="BH171" i="13"/>
  <c r="BF171" i="13"/>
  <c r="DU171" i="12" l="1"/>
  <c r="DY171" i="12" s="1"/>
  <c r="EC171" i="12" s="1"/>
  <c r="G148" i="11" s="1"/>
  <c r="DO171" i="12"/>
  <c r="DN171" i="12"/>
  <c r="DP171" i="12"/>
  <c r="CT171" i="12"/>
  <c r="CV171" i="12"/>
  <c r="CU171" i="12"/>
  <c r="DS171" i="12"/>
  <c r="DW171" i="12" s="1"/>
  <c r="EA171" i="12" s="1"/>
  <c r="CM171" i="12"/>
  <c r="CL171" i="12"/>
  <c r="BB172" i="12" s="1"/>
  <c r="DD171" i="12"/>
  <c r="DE171" i="12"/>
  <c r="DF171" i="12"/>
  <c r="DT171" i="12"/>
  <c r="DX171" i="12" s="1"/>
  <c r="EB171" i="12" s="1"/>
  <c r="BL171" i="13"/>
  <c r="BW171" i="13" s="1"/>
  <c r="BO171" i="13"/>
  <c r="DL171" i="13" s="1"/>
  <c r="DM171" i="13" s="1"/>
  <c r="BN171" i="13"/>
  <c r="DB171" i="13" s="1"/>
  <c r="DC171" i="13" s="1"/>
  <c r="BM171" i="13"/>
  <c r="CR171" i="13" s="1"/>
  <c r="CS171" i="13" s="1"/>
  <c r="BE172" i="12" l="1"/>
  <c r="BX171" i="13"/>
  <c r="CE171" i="13" s="1"/>
  <c r="DN171" i="13"/>
  <c r="DU171" i="13"/>
  <c r="DY171" i="13" s="1"/>
  <c r="EC171" i="13" s="1"/>
  <c r="DP171" i="13"/>
  <c r="DO171" i="13"/>
  <c r="DQ171" i="13"/>
  <c r="DE171" i="13"/>
  <c r="DD171" i="13"/>
  <c r="DT171" i="13"/>
  <c r="DX171" i="13" s="1"/>
  <c r="EB171" i="13" s="1"/>
  <c r="DF171" i="13"/>
  <c r="DG171" i="13"/>
  <c r="DS171" i="13"/>
  <c r="DW171" i="13" s="1"/>
  <c r="EA171" i="13" s="1"/>
  <c r="CV171" i="13"/>
  <c r="CU171" i="13"/>
  <c r="CT171" i="13"/>
  <c r="CW171" i="13"/>
  <c r="BC172" i="12" l="1"/>
  <c r="CC171" i="13"/>
  <c r="CB171" i="13"/>
  <c r="BY171" i="13"/>
  <c r="CD171" i="13"/>
  <c r="CA171" i="13"/>
  <c r="BZ171" i="13"/>
  <c r="CH171" i="13"/>
  <c r="CI171" i="13"/>
  <c r="CK171" i="13" s="1"/>
  <c r="BI172" i="12" l="1"/>
  <c r="BF172" i="12"/>
  <c r="BG172" i="12"/>
  <c r="BK172" i="12"/>
  <c r="BH172" i="12"/>
  <c r="CM171" i="13"/>
  <c r="CL171" i="13"/>
  <c r="BB172" i="13" s="1"/>
  <c r="BD172" i="13" s="1"/>
  <c r="BL172" i="12" l="1"/>
  <c r="BW172" i="12" s="1"/>
  <c r="BO172" i="12"/>
  <c r="DL172" i="12" s="1"/>
  <c r="BN172" i="12"/>
  <c r="DB172" i="12" s="1"/>
  <c r="BM172" i="12"/>
  <c r="CR172" i="12" s="1"/>
  <c r="BE172" i="13"/>
  <c r="BX172" i="12" l="1"/>
  <c r="CE172" i="12" s="1"/>
  <c r="DM172" i="12"/>
  <c r="DQ172" i="12" s="1"/>
  <c r="DC172" i="12"/>
  <c r="DG172" i="12" s="1"/>
  <c r="CS172" i="12"/>
  <c r="CW172" i="12" s="1"/>
  <c r="BC172" i="13"/>
  <c r="CA172" i="12" l="1"/>
  <c r="CC172" i="12"/>
  <c r="CH172" i="12"/>
  <c r="CD172" i="12"/>
  <c r="CI172" i="12"/>
  <c r="CK172" i="12" s="1"/>
  <c r="BY172" i="12"/>
  <c r="CB172" i="12"/>
  <c r="BZ172" i="12"/>
  <c r="DU172" i="12"/>
  <c r="DY172" i="12" s="1"/>
  <c r="EC172" i="12" s="1"/>
  <c r="G149" i="11" s="1"/>
  <c r="DP172" i="12"/>
  <c r="DN172" i="12"/>
  <c r="DO172" i="12"/>
  <c r="DE172" i="12"/>
  <c r="DD172" i="12"/>
  <c r="DT172" i="12"/>
  <c r="DX172" i="12" s="1"/>
  <c r="EB172" i="12" s="1"/>
  <c r="DF172" i="12"/>
  <c r="CT172" i="12"/>
  <c r="CU172" i="12"/>
  <c r="DS172" i="12"/>
  <c r="DW172" i="12" s="1"/>
  <c r="EA172" i="12" s="1"/>
  <c r="CV172" i="12"/>
  <c r="BI172" i="13"/>
  <c r="BF172" i="13"/>
  <c r="BG172" i="13"/>
  <c r="BH172" i="13"/>
  <c r="BK172" i="13"/>
  <c r="CL172" i="12" l="1"/>
  <c r="BB173" i="12" s="1"/>
  <c r="CM172" i="12"/>
  <c r="BM172" i="13"/>
  <c r="CR172" i="13" s="1"/>
  <c r="CS172" i="13" s="1"/>
  <c r="BO172" i="13"/>
  <c r="DL172" i="13" s="1"/>
  <c r="DM172" i="13" s="1"/>
  <c r="BN172" i="13"/>
  <c r="DB172" i="13" s="1"/>
  <c r="DC172" i="13" s="1"/>
  <c r="BL172" i="13"/>
  <c r="BW172" i="13" s="1"/>
  <c r="BE173" i="12" l="1"/>
  <c r="CU172" i="13"/>
  <c r="CV172" i="13"/>
  <c r="CT172" i="13"/>
  <c r="DS172" i="13"/>
  <c r="DW172" i="13" s="1"/>
  <c r="EA172" i="13" s="1"/>
  <c r="CW172" i="13"/>
  <c r="DO172" i="13"/>
  <c r="DP172" i="13"/>
  <c r="DN172" i="13"/>
  <c r="DU172" i="13"/>
  <c r="DY172" i="13" s="1"/>
  <c r="EC172" i="13" s="1"/>
  <c r="DQ172" i="13"/>
  <c r="DE172" i="13"/>
  <c r="DD172" i="13"/>
  <c r="DT172" i="13"/>
  <c r="DX172" i="13" s="1"/>
  <c r="EB172" i="13" s="1"/>
  <c r="DF172" i="13"/>
  <c r="DG172" i="13"/>
  <c r="BX172" i="13"/>
  <c r="CE172" i="13" s="1"/>
  <c r="BC173" i="12" l="1"/>
  <c r="BZ172" i="13"/>
  <c r="CC172" i="13"/>
  <c r="CB172" i="13"/>
  <c r="BY172" i="13"/>
  <c r="CD172" i="13"/>
  <c r="CA172" i="13"/>
  <c r="CI172" i="13"/>
  <c r="CK172" i="13" s="1"/>
  <c r="CH172" i="13"/>
  <c r="BH173" i="12" l="1"/>
  <c r="BF173" i="12"/>
  <c r="BK173" i="12"/>
  <c r="BG173" i="12"/>
  <c r="BI173" i="12"/>
  <c r="CM172" i="13"/>
  <c r="CL172" i="13"/>
  <c r="BB173" i="13" s="1"/>
  <c r="BD173" i="13" s="1"/>
  <c r="BL173" i="12" l="1"/>
  <c r="BW173" i="12" s="1"/>
  <c r="BN173" i="12"/>
  <c r="DB173" i="12" s="1"/>
  <c r="BM173" i="12"/>
  <c r="CR173" i="12" s="1"/>
  <c r="BO173" i="12"/>
  <c r="DL173" i="12" s="1"/>
  <c r="BE173" i="13"/>
  <c r="BX173" i="12" l="1"/>
  <c r="CE173" i="12" s="1"/>
  <c r="DC173" i="12"/>
  <c r="DG173" i="12" s="1"/>
  <c r="CS173" i="12"/>
  <c r="CW173" i="12" s="1"/>
  <c r="DM173" i="12"/>
  <c r="DQ173" i="12" s="1"/>
  <c r="BC173" i="13"/>
  <c r="BY173" i="12" l="1"/>
  <c r="CB173" i="12"/>
  <c r="CH173" i="12"/>
  <c r="BZ173" i="12"/>
  <c r="CI173" i="12"/>
  <c r="CK173" i="12" s="1"/>
  <c r="CC173" i="12"/>
  <c r="CD173" i="12"/>
  <c r="CA173" i="12"/>
  <c r="DE173" i="12"/>
  <c r="DT173" i="12"/>
  <c r="DX173" i="12" s="1"/>
  <c r="EB173" i="12" s="1"/>
  <c r="DF173" i="12"/>
  <c r="DD173" i="12"/>
  <c r="CU173" i="12"/>
  <c r="CT173" i="12"/>
  <c r="CV173" i="12"/>
  <c r="DS173" i="12"/>
  <c r="DW173" i="12" s="1"/>
  <c r="EA173" i="12" s="1"/>
  <c r="DO173" i="12"/>
  <c r="DU173" i="12"/>
  <c r="DY173" i="12" s="1"/>
  <c r="EC173" i="12" s="1"/>
  <c r="G150" i="11" s="1"/>
  <c r="DN173" i="12"/>
  <c r="DP173" i="12"/>
  <c r="BI173" i="13"/>
  <c r="BF173" i="13"/>
  <c r="BH173" i="13"/>
  <c r="BK173" i="13"/>
  <c r="BG173" i="13"/>
  <c r="CL173" i="12" l="1"/>
  <c r="BB174" i="12" s="1"/>
  <c r="CM173" i="12"/>
  <c r="BL173" i="13"/>
  <c r="BW173" i="13" s="1"/>
  <c r="BO173" i="13"/>
  <c r="DL173" i="13" s="1"/>
  <c r="BM173" i="13"/>
  <c r="CR173" i="13" s="1"/>
  <c r="CS173" i="13" s="1"/>
  <c r="BN173" i="13"/>
  <c r="DB173" i="13" s="1"/>
  <c r="BE174" i="12" l="1"/>
  <c r="BX173" i="13"/>
  <c r="CE173" i="13" s="1"/>
  <c r="DM173" i="13"/>
  <c r="DQ173" i="13" s="1"/>
  <c r="CU173" i="13"/>
  <c r="CT173" i="13"/>
  <c r="DS173" i="13"/>
  <c r="DW173" i="13" s="1"/>
  <c r="EA173" i="13" s="1"/>
  <c r="CV173" i="13"/>
  <c r="CW173" i="13"/>
  <c r="DC173" i="13"/>
  <c r="DG173" i="13" s="1"/>
  <c r="BC174" i="12" l="1"/>
  <c r="BG174" i="12" s="1"/>
  <c r="CH173" i="13"/>
  <c r="CB173" i="13"/>
  <c r="CA173" i="13"/>
  <c r="BZ173" i="13"/>
  <c r="CC173" i="13"/>
  <c r="BY173" i="13"/>
  <c r="CI173" i="13"/>
  <c r="CK173" i="13" s="1"/>
  <c r="CD173" i="13"/>
  <c r="DN173" i="13"/>
  <c r="DO173" i="13"/>
  <c r="DP173" i="13"/>
  <c r="DU173" i="13"/>
  <c r="DY173" i="13" s="1"/>
  <c r="EC173" i="13" s="1"/>
  <c r="DE173" i="13"/>
  <c r="DD173" i="13"/>
  <c r="DT173" i="13"/>
  <c r="DX173" i="13" s="1"/>
  <c r="EB173" i="13" s="1"/>
  <c r="DF173" i="13"/>
  <c r="BK174" i="12" l="1"/>
  <c r="BF174" i="12"/>
  <c r="BH174" i="12"/>
  <c r="BI174" i="12"/>
  <c r="CM173" i="13"/>
  <c r="CL173" i="13"/>
  <c r="BB174" i="13" s="1"/>
  <c r="BD174" i="13" s="1"/>
  <c r="BM174" i="12" l="1"/>
  <c r="CR174" i="12" s="1"/>
  <c r="CS174" i="12" s="1"/>
  <c r="CW174" i="12" s="1"/>
  <c r="BO174" i="12"/>
  <c r="DL174" i="12" s="1"/>
  <c r="DM174" i="12" s="1"/>
  <c r="DQ174" i="12" s="1"/>
  <c r="BL174" i="12"/>
  <c r="BW174" i="12" s="1"/>
  <c r="BX174" i="12" s="1"/>
  <c r="CE174" i="12" s="1"/>
  <c r="BN174" i="12"/>
  <c r="DB174" i="12" s="1"/>
  <c r="DC174" i="12" s="1"/>
  <c r="DG174" i="12" s="1"/>
  <c r="BE174" i="13"/>
  <c r="BC174" i="13" s="1"/>
  <c r="BI174" i="13" s="1"/>
  <c r="DS174" i="12" l="1"/>
  <c r="DW174" i="12" s="1"/>
  <c r="EA174" i="12" s="1"/>
  <c r="CV174" i="12"/>
  <c r="CT174" i="12"/>
  <c r="CU174" i="12"/>
  <c r="DP174" i="12"/>
  <c r="DO174" i="12"/>
  <c r="DN174" i="12"/>
  <c r="DU174" i="12"/>
  <c r="DY174" i="12" s="1"/>
  <c r="EC174" i="12" s="1"/>
  <c r="G151" i="11" s="1"/>
  <c r="CI174" i="12"/>
  <c r="CK174" i="12" s="1"/>
  <c r="CC174" i="12"/>
  <c r="CD174" i="12"/>
  <c r="CA174" i="12"/>
  <c r="BY174" i="12"/>
  <c r="CH174" i="12"/>
  <c r="BZ174" i="12"/>
  <c r="CB174" i="12"/>
  <c r="DE174" i="12"/>
  <c r="DF174" i="12"/>
  <c r="DD174" i="12"/>
  <c r="DT174" i="12"/>
  <c r="DX174" i="12" s="1"/>
  <c r="EB174" i="12" s="1"/>
  <c r="BG174" i="13"/>
  <c r="BK174" i="13"/>
  <c r="BH174" i="13"/>
  <c r="BF174" i="13"/>
  <c r="CM174" i="12" l="1"/>
  <c r="CL174" i="12"/>
  <c r="BB175" i="12" s="1"/>
  <c r="BO174" i="13"/>
  <c r="DL174" i="13" s="1"/>
  <c r="DM174" i="13" s="1"/>
  <c r="BM174" i="13"/>
  <c r="CR174" i="13" s="1"/>
  <c r="CS174" i="13" s="1"/>
  <c r="BN174" i="13"/>
  <c r="DB174" i="13" s="1"/>
  <c r="DC174" i="13" s="1"/>
  <c r="BL174" i="13"/>
  <c r="BW174" i="13" s="1"/>
  <c r="BX174" i="13" s="1"/>
  <c r="BE175" i="12" l="1"/>
  <c r="DN174" i="13"/>
  <c r="DU174" i="13"/>
  <c r="DY174" i="13" s="1"/>
  <c r="EC174" i="13" s="1"/>
  <c r="DP174" i="13"/>
  <c r="DO174" i="13"/>
  <c r="DQ174" i="13"/>
  <c r="CU174" i="13"/>
  <c r="CT174" i="13"/>
  <c r="DS174" i="13"/>
  <c r="DW174" i="13" s="1"/>
  <c r="EA174" i="13" s="1"/>
  <c r="CV174" i="13"/>
  <c r="CW174" i="13"/>
  <c r="DF174" i="13"/>
  <c r="DT174" i="13"/>
  <c r="DX174" i="13" s="1"/>
  <c r="EB174" i="13" s="1"/>
  <c r="DE174" i="13"/>
  <c r="DD174" i="13"/>
  <c r="DG174" i="13"/>
  <c r="BZ174" i="13"/>
  <c r="CC174" i="13"/>
  <c r="CD174" i="13"/>
  <c r="CI174" i="13"/>
  <c r="CK174" i="13" s="1"/>
  <c r="CB174" i="13"/>
  <c r="BY174" i="13"/>
  <c r="CA174" i="13"/>
  <c r="CH174" i="13"/>
  <c r="CE174" i="13"/>
  <c r="BC175" i="12" l="1"/>
  <c r="CM174" i="13"/>
  <c r="CL174" i="13"/>
  <c r="BB175" i="13" s="1"/>
  <c r="BD175" i="13" s="1"/>
  <c r="BI175" i="12" l="1"/>
  <c r="BH175" i="12"/>
  <c r="BG175" i="12"/>
  <c r="BF175" i="12"/>
  <c r="BK175" i="12"/>
  <c r="BE175" i="13"/>
  <c r="BM175" i="12" l="1"/>
  <c r="CR175" i="12" s="1"/>
  <c r="BO175" i="12"/>
  <c r="DL175" i="12" s="1"/>
  <c r="BN175" i="12"/>
  <c r="DB175" i="12" s="1"/>
  <c r="BL175" i="12"/>
  <c r="BW175" i="12" s="1"/>
  <c r="BC175" i="13"/>
  <c r="CS175" i="12" l="1"/>
  <c r="CW175" i="12" s="1"/>
  <c r="DM175" i="12"/>
  <c r="DQ175" i="12" s="1"/>
  <c r="DC175" i="12"/>
  <c r="DG175" i="12" s="1"/>
  <c r="BX175" i="12"/>
  <c r="CE175" i="12" s="1"/>
  <c r="BI175" i="13"/>
  <c r="BF175" i="13"/>
  <c r="BH175" i="13"/>
  <c r="BK175" i="13"/>
  <c r="BG175" i="13"/>
  <c r="CT175" i="12" l="1"/>
  <c r="CV175" i="12"/>
  <c r="DS175" i="12"/>
  <c r="DW175" i="12" s="1"/>
  <c r="EA175" i="12" s="1"/>
  <c r="CU175" i="12"/>
  <c r="DU175" i="12"/>
  <c r="DY175" i="12" s="1"/>
  <c r="EC175" i="12" s="1"/>
  <c r="G152" i="11" s="1"/>
  <c r="DN175" i="12"/>
  <c r="DO175" i="12"/>
  <c r="DP175" i="12"/>
  <c r="DD175" i="12"/>
  <c r="DE175" i="12"/>
  <c r="DF175" i="12"/>
  <c r="DT175" i="12"/>
  <c r="DX175" i="12" s="1"/>
  <c r="EB175" i="12" s="1"/>
  <c r="CC175" i="12"/>
  <c r="BZ175" i="12"/>
  <c r="CH175" i="12"/>
  <c r="CD175" i="12"/>
  <c r="CA175" i="12"/>
  <c r="BY175" i="12"/>
  <c r="CB175" i="12"/>
  <c r="CI175" i="12"/>
  <c r="CK175" i="12" s="1"/>
  <c r="BM175" i="13"/>
  <c r="CR175" i="13" s="1"/>
  <c r="CS175" i="13" s="1"/>
  <c r="BO175" i="13"/>
  <c r="DL175" i="13" s="1"/>
  <c r="DM175" i="13" s="1"/>
  <c r="BL175" i="13"/>
  <c r="BW175" i="13" s="1"/>
  <c r="BX175" i="13" s="1"/>
  <c r="BN175" i="13"/>
  <c r="DB175" i="13" s="1"/>
  <c r="DC175" i="13" s="1"/>
  <c r="CM175" i="12" l="1"/>
  <c r="CL175" i="12"/>
  <c r="BB176" i="12" s="1"/>
  <c r="CU175" i="13"/>
  <c r="CT175" i="13"/>
  <c r="DS175" i="13"/>
  <c r="DW175" i="13" s="1"/>
  <c r="EA175" i="13" s="1"/>
  <c r="CV175" i="13"/>
  <c r="CW175" i="13"/>
  <c r="DN175" i="13"/>
  <c r="DU175" i="13"/>
  <c r="DY175" i="13" s="1"/>
  <c r="EC175" i="13" s="1"/>
  <c r="DP175" i="13"/>
  <c r="DO175" i="13"/>
  <c r="DQ175" i="13"/>
  <c r="CB175" i="13"/>
  <c r="CC175" i="13"/>
  <c r="CD175" i="13"/>
  <c r="CA175" i="13"/>
  <c r="BZ175" i="13"/>
  <c r="BY175" i="13"/>
  <c r="CI175" i="13"/>
  <c r="CK175" i="13" s="1"/>
  <c r="CH175" i="13"/>
  <c r="CE175" i="13"/>
  <c r="DE175" i="13"/>
  <c r="DD175" i="13"/>
  <c r="DT175" i="13"/>
  <c r="DX175" i="13" s="1"/>
  <c r="EB175" i="13" s="1"/>
  <c r="DF175" i="13"/>
  <c r="DG175" i="13"/>
  <c r="BE176" i="12" l="1"/>
  <c r="CL175" i="13"/>
  <c r="BB176" i="13" s="1"/>
  <c r="BD176" i="13" s="1"/>
  <c r="CM175" i="13"/>
  <c r="BC176" i="12" l="1"/>
  <c r="BE176" i="13"/>
  <c r="BH176" i="12" l="1"/>
  <c r="BF176" i="12"/>
  <c r="BK176" i="12"/>
  <c r="BG176" i="12"/>
  <c r="BI176" i="12"/>
  <c r="BC176" i="13"/>
  <c r="BM176" i="12" l="1"/>
  <c r="CR176" i="12" s="1"/>
  <c r="CS176" i="12" s="1"/>
  <c r="BO176" i="12"/>
  <c r="DL176" i="12" s="1"/>
  <c r="DM176" i="12" s="1"/>
  <c r="BL176" i="12"/>
  <c r="BW176" i="12" s="1"/>
  <c r="BX176" i="12" s="1"/>
  <c r="BN176" i="12"/>
  <c r="DB176" i="12" s="1"/>
  <c r="DC176" i="12" s="1"/>
  <c r="BI176" i="13"/>
  <c r="BF176" i="13"/>
  <c r="BH176" i="13"/>
  <c r="BK176" i="13"/>
  <c r="BG176" i="13"/>
  <c r="DS176" i="12" l="1"/>
  <c r="DW176" i="12" s="1"/>
  <c r="EA176" i="12" s="1"/>
  <c r="CV176" i="12"/>
  <c r="CU176" i="12"/>
  <c r="CT176" i="12"/>
  <c r="CW176" i="12"/>
  <c r="DU176" i="12"/>
  <c r="DY176" i="12" s="1"/>
  <c r="EC176" i="12" s="1"/>
  <c r="G153" i="11" s="1"/>
  <c r="DN176" i="12"/>
  <c r="DP176" i="12"/>
  <c r="DO176" i="12"/>
  <c r="DQ176" i="12"/>
  <c r="CD176" i="12"/>
  <c r="CB176" i="12"/>
  <c r="BZ176" i="12"/>
  <c r="CI176" i="12"/>
  <c r="CK176" i="12" s="1"/>
  <c r="CC176" i="12"/>
  <c r="BY176" i="12"/>
  <c r="CA176" i="12"/>
  <c r="CH176" i="12"/>
  <c r="CE176" i="12"/>
  <c r="DT176" i="12"/>
  <c r="DX176" i="12" s="1"/>
  <c r="EB176" i="12" s="1"/>
  <c r="DD176" i="12"/>
  <c r="DE176" i="12"/>
  <c r="DF176" i="12"/>
  <c r="DG176" i="12"/>
  <c r="BM176" i="13"/>
  <c r="CR176" i="13" s="1"/>
  <c r="CS176" i="13" s="1"/>
  <c r="BO176" i="13"/>
  <c r="DL176" i="13" s="1"/>
  <c r="DM176" i="13" s="1"/>
  <c r="BN176" i="13"/>
  <c r="DB176" i="13" s="1"/>
  <c r="DC176" i="13" s="1"/>
  <c r="BL176" i="13"/>
  <c r="BW176" i="13" s="1"/>
  <c r="CL176" i="12" l="1"/>
  <c r="BB177" i="12" s="1"/>
  <c r="CM176" i="12"/>
  <c r="CT176" i="13"/>
  <c r="DS176" i="13"/>
  <c r="DW176" i="13" s="1"/>
  <c r="EA176" i="13" s="1"/>
  <c r="CV176" i="13"/>
  <c r="CU176" i="13"/>
  <c r="CW176" i="13"/>
  <c r="DO176" i="13"/>
  <c r="DN176" i="13"/>
  <c r="DU176" i="13"/>
  <c r="DY176" i="13" s="1"/>
  <c r="EC176" i="13" s="1"/>
  <c r="DP176" i="13"/>
  <c r="DQ176" i="13"/>
  <c r="DD176" i="13"/>
  <c r="DE176" i="13"/>
  <c r="DT176" i="13"/>
  <c r="DX176" i="13" s="1"/>
  <c r="EB176" i="13" s="1"/>
  <c r="DF176" i="13"/>
  <c r="DG176" i="13"/>
  <c r="BX176" i="13"/>
  <c r="CE176" i="13" s="1"/>
  <c r="BE177" i="12" l="1"/>
  <c r="CD176" i="13"/>
  <c r="BZ176" i="13"/>
  <c r="CC176" i="13"/>
  <c r="CB176" i="13"/>
  <c r="BY176" i="13"/>
  <c r="CA176" i="13"/>
  <c r="CI176" i="13"/>
  <c r="CK176" i="13" s="1"/>
  <c r="CH176" i="13"/>
  <c r="BC177" i="12" l="1"/>
  <c r="BI177" i="12" s="1"/>
  <c r="CM176" i="13"/>
  <c r="CL176" i="13"/>
  <c r="BB177" i="13" s="1"/>
  <c r="BD177" i="13" s="1"/>
  <c r="BK177" i="12" l="1"/>
  <c r="BM177" i="12" s="1"/>
  <c r="CR177" i="12" s="1"/>
  <c r="CS177" i="12" s="1"/>
  <c r="BF177" i="12"/>
  <c r="BG177" i="12"/>
  <c r="BH177" i="12"/>
  <c r="BE177" i="13"/>
  <c r="BC177" i="13" s="1"/>
  <c r="BO177" i="12" l="1"/>
  <c r="DL177" i="12" s="1"/>
  <c r="BL177" i="12"/>
  <c r="BW177" i="12" s="1"/>
  <c r="BN177" i="12"/>
  <c r="DB177" i="12" s="1"/>
  <c r="DC177" i="12" s="1"/>
  <c r="DT177" i="12" s="1"/>
  <c r="DX177" i="12" s="1"/>
  <c r="EB177" i="12" s="1"/>
  <c r="CT177" i="12"/>
  <c r="CU177" i="12"/>
  <c r="CV177" i="12"/>
  <c r="DS177" i="12"/>
  <c r="DW177" i="12" s="1"/>
  <c r="EA177" i="12" s="1"/>
  <c r="CW177" i="12"/>
  <c r="BK177" i="13"/>
  <c r="BF177" i="13"/>
  <c r="BG177" i="13"/>
  <c r="BH177" i="13"/>
  <c r="BI177" i="13"/>
  <c r="DM177" i="12" l="1"/>
  <c r="DQ177" i="12" s="1"/>
  <c r="BX177" i="12"/>
  <c r="CE177" i="12" s="1"/>
  <c r="DG177" i="12"/>
  <c r="DE177" i="12"/>
  <c r="DF177" i="12"/>
  <c r="DD177" i="12"/>
  <c r="BN177" i="13"/>
  <c r="DB177" i="13" s="1"/>
  <c r="DC177" i="13" s="1"/>
  <c r="BO177" i="13"/>
  <c r="DL177" i="13" s="1"/>
  <c r="DM177" i="13" s="1"/>
  <c r="BM177" i="13"/>
  <c r="CR177" i="13" s="1"/>
  <c r="CS177" i="13" s="1"/>
  <c r="BL177" i="13"/>
  <c r="BW177" i="13" s="1"/>
  <c r="DO177" i="12" l="1"/>
  <c r="DN177" i="12"/>
  <c r="DU177" i="12"/>
  <c r="DY177" i="12" s="1"/>
  <c r="EC177" i="12" s="1"/>
  <c r="DP177" i="12"/>
  <c r="CH177" i="12"/>
  <c r="CA177" i="12"/>
  <c r="BZ177" i="12"/>
  <c r="CB177" i="12"/>
  <c r="CI177" i="12"/>
  <c r="CK177" i="12" s="1"/>
  <c r="CC177" i="12"/>
  <c r="BY177" i="12"/>
  <c r="CD177" i="12"/>
  <c r="DT177" i="13"/>
  <c r="DX177" i="13" s="1"/>
  <c r="EB177" i="13" s="1"/>
  <c r="DF177" i="13"/>
  <c r="DE177" i="13"/>
  <c r="DD177" i="13"/>
  <c r="DG177" i="13"/>
  <c r="DN177" i="13"/>
  <c r="DU177" i="13"/>
  <c r="DY177" i="13" s="1"/>
  <c r="EC177" i="13" s="1"/>
  <c r="DO177" i="13"/>
  <c r="DP177" i="13"/>
  <c r="DQ177" i="13"/>
  <c r="CU177" i="13"/>
  <c r="CT177" i="13"/>
  <c r="DS177" i="13"/>
  <c r="DW177" i="13" s="1"/>
  <c r="EA177" i="13" s="1"/>
  <c r="CV177" i="13"/>
  <c r="CW177" i="13"/>
  <c r="BX177" i="13"/>
  <c r="CE177" i="13" s="1"/>
  <c r="CM177" i="12" l="1"/>
  <c r="CL177" i="12"/>
  <c r="BB178" i="12" s="1"/>
  <c r="CI177" i="13"/>
  <c r="CK177" i="13" s="1"/>
  <c r="CH177" i="13"/>
  <c r="BZ177" i="13"/>
  <c r="CC177" i="13"/>
  <c r="CB177" i="13"/>
  <c r="BY177" i="13"/>
  <c r="CD177" i="13"/>
  <c r="CA177" i="13"/>
  <c r="BE178" i="12" l="1"/>
  <c r="CM177" i="13"/>
  <c r="CL177" i="13"/>
  <c r="BB178" i="13" s="1"/>
  <c r="BD178" i="13" s="1"/>
  <c r="BC178" i="12" l="1"/>
  <c r="BE178" i="13"/>
  <c r="BF178" i="12" l="1"/>
  <c r="BI178" i="12"/>
  <c r="BG178" i="12"/>
  <c r="BK178" i="12"/>
  <c r="BH178" i="12"/>
  <c r="BC178" i="13"/>
  <c r="BO178" i="12" l="1"/>
  <c r="DL178" i="12" s="1"/>
  <c r="BM178" i="12"/>
  <c r="CR178" i="12" s="1"/>
  <c r="BL178" i="12"/>
  <c r="BW178" i="12" s="1"/>
  <c r="BN178" i="12"/>
  <c r="DB178" i="12" s="1"/>
  <c r="BI178" i="13"/>
  <c r="BH178" i="13"/>
  <c r="BK178" i="13"/>
  <c r="BG178" i="13"/>
  <c r="BF178" i="13"/>
  <c r="DM178" i="12" l="1"/>
  <c r="DQ178" i="12" s="1"/>
  <c r="CS178" i="12"/>
  <c r="CW178" i="12" s="1"/>
  <c r="BX178" i="12"/>
  <c r="CE178" i="12" s="1"/>
  <c r="DC178" i="12"/>
  <c r="DG178" i="12" s="1"/>
  <c r="BM178" i="13"/>
  <c r="CR178" i="13" s="1"/>
  <c r="CS178" i="13" s="1"/>
  <c r="BN178" i="13"/>
  <c r="DB178" i="13" s="1"/>
  <c r="DC178" i="13" s="1"/>
  <c r="BL178" i="13"/>
  <c r="BW178" i="13" s="1"/>
  <c r="BX178" i="13" s="1"/>
  <c r="BO178" i="13"/>
  <c r="DL178" i="13" s="1"/>
  <c r="DM178" i="13" s="1"/>
  <c r="DP178" i="12" l="1"/>
  <c r="DN178" i="12"/>
  <c r="DO178" i="12"/>
  <c r="DU178" i="12"/>
  <c r="DY178" i="12" s="1"/>
  <c r="EC178" i="12" s="1"/>
  <c r="CV178" i="12"/>
  <c r="DS178" i="12"/>
  <c r="DW178" i="12" s="1"/>
  <c r="EA178" i="12" s="1"/>
  <c r="CU178" i="12"/>
  <c r="CT178" i="12"/>
  <c r="CH178" i="12"/>
  <c r="BZ178" i="12"/>
  <c r="CA178" i="12"/>
  <c r="BY178" i="12"/>
  <c r="CI178" i="12"/>
  <c r="CK178" i="12" s="1"/>
  <c r="CB178" i="12"/>
  <c r="CD178" i="12"/>
  <c r="CC178" i="12"/>
  <c r="DF178" i="12"/>
  <c r="DE178" i="12"/>
  <c r="DD178" i="12"/>
  <c r="DT178" i="12"/>
  <c r="DX178" i="12" s="1"/>
  <c r="EB178" i="12" s="1"/>
  <c r="DS178" i="13"/>
  <c r="DW178" i="13" s="1"/>
  <c r="EA178" i="13" s="1"/>
  <c r="CU178" i="13"/>
  <c r="CT178" i="13"/>
  <c r="CV178" i="13"/>
  <c r="CW178" i="13"/>
  <c r="DE178" i="13"/>
  <c r="DF178" i="13"/>
  <c r="DD178" i="13"/>
  <c r="DT178" i="13"/>
  <c r="DX178" i="13" s="1"/>
  <c r="EB178" i="13" s="1"/>
  <c r="DG178" i="13"/>
  <c r="CC178" i="13"/>
  <c r="CA178" i="13"/>
  <c r="CH178" i="13"/>
  <c r="CD178" i="13"/>
  <c r="CB178" i="13"/>
  <c r="BZ178" i="13"/>
  <c r="BY178" i="13"/>
  <c r="CI178" i="13"/>
  <c r="CK178" i="13" s="1"/>
  <c r="CE178" i="13"/>
  <c r="DU178" i="13"/>
  <c r="DY178" i="13" s="1"/>
  <c r="EC178" i="13" s="1"/>
  <c r="DN178" i="13"/>
  <c r="DP178" i="13"/>
  <c r="DO178" i="13"/>
  <c r="DQ178" i="13"/>
  <c r="G155" i="11" l="1"/>
  <c r="G154" i="11"/>
  <c r="CM178" i="12"/>
  <c r="CL178" i="12"/>
  <c r="BB179" i="12" s="1"/>
  <c r="CM178" i="13"/>
  <c r="CL178" i="13"/>
  <c r="BB179" i="13" s="1"/>
  <c r="BD179" i="13" s="1"/>
  <c r="BE179" i="12" l="1"/>
  <c r="BE179" i="13"/>
  <c r="BC179" i="12" l="1"/>
  <c r="BC179" i="13"/>
  <c r="BI179" i="12" l="1"/>
  <c r="BH179" i="12"/>
  <c r="BG179" i="12"/>
  <c r="BK179" i="12"/>
  <c r="BF179" i="12"/>
  <c r="BI179" i="13"/>
  <c r="BH179" i="13"/>
  <c r="BK179" i="13"/>
  <c r="BF179" i="13"/>
  <c r="BG179" i="13"/>
  <c r="BN179" i="12" l="1"/>
  <c r="DB179" i="12" s="1"/>
  <c r="BO179" i="12"/>
  <c r="DL179" i="12" s="1"/>
  <c r="BM179" i="12"/>
  <c r="CR179" i="12" s="1"/>
  <c r="BL179" i="12"/>
  <c r="BW179" i="12" s="1"/>
  <c r="BM179" i="13"/>
  <c r="CR179" i="13" s="1"/>
  <c r="CS179" i="13" s="1"/>
  <c r="BN179" i="13"/>
  <c r="DB179" i="13" s="1"/>
  <c r="DC179" i="13" s="1"/>
  <c r="BO179" i="13"/>
  <c r="DL179" i="13" s="1"/>
  <c r="DM179" i="13" s="1"/>
  <c r="BL179" i="13"/>
  <c r="BW179" i="13" s="1"/>
  <c r="DC179" i="12" l="1"/>
  <c r="DG179" i="12" s="1"/>
  <c r="DM179" i="12"/>
  <c r="DQ179" i="12" s="1"/>
  <c r="CS179" i="12"/>
  <c r="CW179" i="12" s="1"/>
  <c r="BX179" i="12"/>
  <c r="CE179" i="12" s="1"/>
  <c r="CU179" i="13"/>
  <c r="CT179" i="13"/>
  <c r="DS179" i="13"/>
  <c r="DW179" i="13" s="1"/>
  <c r="EA179" i="13" s="1"/>
  <c r="CV179" i="13"/>
  <c r="CW179" i="13"/>
  <c r="DT179" i="13"/>
  <c r="DX179" i="13" s="1"/>
  <c r="EB179" i="13" s="1"/>
  <c r="DE179" i="13"/>
  <c r="DF179" i="13"/>
  <c r="DD179" i="13"/>
  <c r="DG179" i="13"/>
  <c r="DN179" i="13"/>
  <c r="DP179" i="13"/>
  <c r="DU179" i="13"/>
  <c r="DY179" i="13" s="1"/>
  <c r="EC179" i="13" s="1"/>
  <c r="DO179" i="13"/>
  <c r="DQ179" i="13"/>
  <c r="BX179" i="13"/>
  <c r="CE179" i="13" s="1"/>
  <c r="DF179" i="12" l="1"/>
  <c r="DE179" i="12"/>
  <c r="DD179" i="12"/>
  <c r="DT179" i="12"/>
  <c r="DX179" i="12" s="1"/>
  <c r="EB179" i="12" s="1"/>
  <c r="DN179" i="12"/>
  <c r="DP179" i="12"/>
  <c r="DU179" i="12"/>
  <c r="DY179" i="12" s="1"/>
  <c r="EC179" i="12" s="1"/>
  <c r="G156" i="11" s="1"/>
  <c r="DO179" i="12"/>
  <c r="CT179" i="12"/>
  <c r="CU179" i="12"/>
  <c r="CV179" i="12"/>
  <c r="DS179" i="12"/>
  <c r="DW179" i="12" s="1"/>
  <c r="EA179" i="12" s="1"/>
  <c r="CH179" i="12"/>
  <c r="CA179" i="12"/>
  <c r="CI179" i="12"/>
  <c r="CK179" i="12" s="1"/>
  <c r="CD179" i="12"/>
  <c r="CC179" i="12"/>
  <c r="CB179" i="12"/>
  <c r="BZ179" i="12"/>
  <c r="BY179" i="12"/>
  <c r="BZ179" i="13"/>
  <c r="CD179" i="13"/>
  <c r="CI179" i="13"/>
  <c r="CK179" i="13" s="1"/>
  <c r="CB179" i="13"/>
  <c r="CA179" i="13"/>
  <c r="BY179" i="13"/>
  <c r="CH179" i="13"/>
  <c r="CC179" i="13"/>
  <c r="CL179" i="12" l="1"/>
  <c r="BB180" i="12" s="1"/>
  <c r="CM179" i="12"/>
  <c r="CL179" i="13"/>
  <c r="BB180" i="13" s="1"/>
  <c r="BD180" i="13" s="1"/>
  <c r="CM179" i="13"/>
  <c r="BE180" i="12" l="1"/>
  <c r="BE180" i="13"/>
  <c r="BC180" i="12" l="1"/>
  <c r="BC180" i="13"/>
  <c r="BF180" i="12" l="1"/>
  <c r="BK180" i="12"/>
  <c r="BG180" i="12"/>
  <c r="BH180" i="12"/>
  <c r="BI180" i="12"/>
  <c r="BI180" i="13"/>
  <c r="BF180" i="13"/>
  <c r="BH180" i="13"/>
  <c r="BK180" i="13"/>
  <c r="BG180" i="13"/>
  <c r="BO180" i="12" l="1"/>
  <c r="DL180" i="12" s="1"/>
  <c r="BL180" i="12"/>
  <c r="BW180" i="12" s="1"/>
  <c r="BN180" i="12"/>
  <c r="DB180" i="12" s="1"/>
  <c r="BM180" i="12"/>
  <c r="CR180" i="12" s="1"/>
  <c r="BN180" i="13"/>
  <c r="DB180" i="13" s="1"/>
  <c r="DC180" i="13" s="1"/>
  <c r="BM180" i="13"/>
  <c r="CR180" i="13" s="1"/>
  <c r="CS180" i="13" s="1"/>
  <c r="BO180" i="13"/>
  <c r="DL180" i="13" s="1"/>
  <c r="DM180" i="13" s="1"/>
  <c r="BL180" i="13"/>
  <c r="BW180" i="13" s="1"/>
  <c r="DM180" i="12" l="1"/>
  <c r="DQ180" i="12" s="1"/>
  <c r="BX180" i="12"/>
  <c r="CE180" i="12" s="1"/>
  <c r="DC180" i="12"/>
  <c r="DG180" i="12" s="1"/>
  <c r="CS180" i="12"/>
  <c r="CW180" i="12" s="1"/>
  <c r="DF180" i="13"/>
  <c r="DD180" i="13"/>
  <c r="DT180" i="13"/>
  <c r="DX180" i="13" s="1"/>
  <c r="EB180" i="13" s="1"/>
  <c r="DE180" i="13"/>
  <c r="DG180" i="13"/>
  <c r="CT180" i="13"/>
  <c r="DS180" i="13"/>
  <c r="DW180" i="13" s="1"/>
  <c r="EA180" i="13" s="1"/>
  <c r="CV180" i="13"/>
  <c r="CU180" i="13"/>
  <c r="CW180" i="13"/>
  <c r="DU180" i="13"/>
  <c r="DY180" i="13" s="1"/>
  <c r="EC180" i="13" s="1"/>
  <c r="DP180" i="13"/>
  <c r="DO180" i="13"/>
  <c r="DN180" i="13"/>
  <c r="DQ180" i="13"/>
  <c r="BX180" i="13"/>
  <c r="CE180" i="13" s="1"/>
  <c r="DU180" i="12" l="1"/>
  <c r="DY180" i="12" s="1"/>
  <c r="EC180" i="12" s="1"/>
  <c r="DO180" i="12"/>
  <c r="DN180" i="12"/>
  <c r="DP180" i="12"/>
  <c r="CA180" i="12"/>
  <c r="CC180" i="12"/>
  <c r="BY180" i="12"/>
  <c r="BZ180" i="12"/>
  <c r="CB180" i="12"/>
  <c r="CH180" i="12"/>
  <c r="CD180" i="12"/>
  <c r="CI180" i="12"/>
  <c r="CK180" i="12" s="1"/>
  <c r="DT180" i="12"/>
  <c r="DX180" i="12" s="1"/>
  <c r="EB180" i="12" s="1"/>
  <c r="DD180" i="12"/>
  <c r="DE180" i="12"/>
  <c r="DF180" i="12"/>
  <c r="DS180" i="12"/>
  <c r="DW180" i="12" s="1"/>
  <c r="EA180" i="12" s="1"/>
  <c r="CT180" i="12"/>
  <c r="CV180" i="12"/>
  <c r="CU180" i="12"/>
  <c r="CH180" i="13"/>
  <c r="CI180" i="13"/>
  <c r="CK180" i="13" s="1"/>
  <c r="BZ180" i="13"/>
  <c r="CB180" i="13"/>
  <c r="CC180" i="13"/>
  <c r="BY180" i="13"/>
  <c r="CD180" i="13"/>
  <c r="CA180" i="13"/>
  <c r="CM180" i="12" l="1"/>
  <c r="CL180" i="12"/>
  <c r="BB181" i="12" s="1"/>
  <c r="CL180" i="13"/>
  <c r="BB181" i="13" s="1"/>
  <c r="BD181" i="13" s="1"/>
  <c r="CM180" i="13"/>
  <c r="BE181" i="12" l="1"/>
  <c r="BE181" i="13"/>
  <c r="BC181" i="13" s="1"/>
  <c r="BC181" i="12" l="1"/>
  <c r="BK181" i="12" s="1"/>
  <c r="BG181" i="13"/>
  <c r="BK181" i="13"/>
  <c r="BH181" i="13"/>
  <c r="BF181" i="13"/>
  <c r="BI181" i="13"/>
  <c r="BG181" i="12" l="1"/>
  <c r="BH181" i="12"/>
  <c r="BI181" i="12"/>
  <c r="BF181" i="12"/>
  <c r="BN181" i="12"/>
  <c r="DB181" i="12" s="1"/>
  <c r="BL181" i="12"/>
  <c r="BW181" i="12" s="1"/>
  <c r="BO181" i="12"/>
  <c r="DL181" i="12" s="1"/>
  <c r="DM181" i="12" s="1"/>
  <c r="BM181" i="12"/>
  <c r="CR181" i="12" s="1"/>
  <c r="BL181" i="13"/>
  <c r="BW181" i="13" s="1"/>
  <c r="BN181" i="13"/>
  <c r="DB181" i="13" s="1"/>
  <c r="DC181" i="13" s="1"/>
  <c r="BO181" i="13"/>
  <c r="DL181" i="13" s="1"/>
  <c r="DM181" i="13" s="1"/>
  <c r="BM181" i="13"/>
  <c r="CR181" i="13" s="1"/>
  <c r="CS181" i="13" s="1"/>
  <c r="DC181" i="12" l="1"/>
  <c r="DG181" i="12" s="1"/>
  <c r="BX181" i="12"/>
  <c r="CE181" i="12" s="1"/>
  <c r="DU181" i="12"/>
  <c r="DY181" i="12" s="1"/>
  <c r="EC181" i="12" s="1"/>
  <c r="G157" i="11" s="1"/>
  <c r="DO181" i="12"/>
  <c r="DN181" i="12"/>
  <c r="DP181" i="12"/>
  <c r="DQ181" i="12"/>
  <c r="CS181" i="12"/>
  <c r="CW181" i="12" s="1"/>
  <c r="BX181" i="13"/>
  <c r="CE181" i="13" s="1"/>
  <c r="DE181" i="13"/>
  <c r="DD181" i="13"/>
  <c r="DT181" i="13"/>
  <c r="DX181" i="13" s="1"/>
  <c r="EB181" i="13" s="1"/>
  <c r="DF181" i="13"/>
  <c r="DG181" i="13"/>
  <c r="DN181" i="13"/>
  <c r="DU181" i="13"/>
  <c r="DY181" i="13" s="1"/>
  <c r="EC181" i="13" s="1"/>
  <c r="DP181" i="13"/>
  <c r="DO181" i="13"/>
  <c r="DQ181" i="13"/>
  <c r="CV181" i="13"/>
  <c r="CT181" i="13"/>
  <c r="DS181" i="13"/>
  <c r="DW181" i="13" s="1"/>
  <c r="EA181" i="13" s="1"/>
  <c r="CU181" i="13"/>
  <c r="CW181" i="13"/>
  <c r="DT181" i="12" l="1"/>
  <c r="DX181" i="12" s="1"/>
  <c r="EB181" i="12" s="1"/>
  <c r="DE181" i="12"/>
  <c r="DD181" i="12"/>
  <c r="DF181" i="12"/>
  <c r="CI181" i="12"/>
  <c r="CK181" i="12" s="1"/>
  <c r="CA181" i="12"/>
  <c r="CD181" i="12"/>
  <c r="CC181" i="12"/>
  <c r="CB181" i="12"/>
  <c r="BZ181" i="12"/>
  <c r="BY181" i="12"/>
  <c r="CH181" i="12"/>
  <c r="CV181" i="12"/>
  <c r="CU181" i="12"/>
  <c r="CT181" i="12"/>
  <c r="DS181" i="12"/>
  <c r="DW181" i="12" s="1"/>
  <c r="EA181" i="12" s="1"/>
  <c r="CH181" i="13"/>
  <c r="CC181" i="13"/>
  <c r="CB181" i="13"/>
  <c r="BY181" i="13"/>
  <c r="CD181" i="13"/>
  <c r="CA181" i="13"/>
  <c r="BZ181" i="13"/>
  <c r="CI181" i="13"/>
  <c r="CK181" i="13" s="1"/>
  <c r="CM181" i="12" l="1"/>
  <c r="CL181" i="12"/>
  <c r="BB182" i="12" s="1"/>
  <c r="CM181" i="13"/>
  <c r="CL181" i="13"/>
  <c r="BB182" i="13" s="1"/>
  <c r="BD182" i="13" s="1"/>
  <c r="BE182" i="12" l="1"/>
  <c r="BE182" i="13"/>
  <c r="BC182" i="12" l="1"/>
  <c r="BC182" i="13"/>
  <c r="BK182" i="12" l="1"/>
  <c r="BH182" i="12"/>
  <c r="BF182" i="12"/>
  <c r="BG182" i="12"/>
  <c r="BI182" i="12"/>
  <c r="BI182" i="13"/>
  <c r="BG182" i="13"/>
  <c r="BK182" i="13"/>
  <c r="BH182" i="13"/>
  <c r="BF182" i="13"/>
  <c r="BO182" i="12" l="1"/>
  <c r="DL182" i="12" s="1"/>
  <c r="DM182" i="12" s="1"/>
  <c r="BL182" i="12"/>
  <c r="BW182" i="12" s="1"/>
  <c r="BN182" i="12"/>
  <c r="DB182" i="12" s="1"/>
  <c r="BM182" i="12"/>
  <c r="CR182" i="12" s="1"/>
  <c r="BO182" i="13"/>
  <c r="DL182" i="13" s="1"/>
  <c r="BL182" i="13"/>
  <c r="BW182" i="13" s="1"/>
  <c r="BX182" i="13" s="1"/>
  <c r="CE182" i="13" s="1"/>
  <c r="BM182" i="13"/>
  <c r="CR182" i="13" s="1"/>
  <c r="BN182" i="13"/>
  <c r="DB182" i="13" s="1"/>
  <c r="DP182" i="12" l="1"/>
  <c r="DO182" i="12"/>
  <c r="DN182" i="12"/>
  <c r="DU182" i="12"/>
  <c r="DY182" i="12" s="1"/>
  <c r="EC182" i="12" s="1"/>
  <c r="DQ182" i="12"/>
  <c r="BX182" i="12"/>
  <c r="CE182" i="12" s="1"/>
  <c r="DC182" i="12"/>
  <c r="DG182" i="12" s="1"/>
  <c r="CS182" i="12"/>
  <c r="CW182" i="12" s="1"/>
  <c r="DM182" i="13"/>
  <c r="DQ182" i="13" s="1"/>
  <c r="CS182" i="13"/>
  <c r="CT182" i="13" s="1"/>
  <c r="DC182" i="13"/>
  <c r="CH182" i="13"/>
  <c r="CI182" i="13"/>
  <c r="CK182" i="13" s="1"/>
  <c r="BZ182" i="13"/>
  <c r="CB182" i="13"/>
  <c r="CC182" i="13"/>
  <c r="BY182" i="13"/>
  <c r="CD182" i="13"/>
  <c r="CA182" i="13"/>
  <c r="G159" i="11" l="1"/>
  <c r="G158" i="11"/>
  <c r="BZ182" i="12"/>
  <c r="CA182" i="12"/>
  <c r="CI182" i="12"/>
  <c r="CK182" i="12" s="1"/>
  <c r="CB182" i="12"/>
  <c r="CH182" i="12"/>
  <c r="BY182" i="12"/>
  <c r="CC182" i="12"/>
  <c r="CD182" i="12"/>
  <c r="DF182" i="12"/>
  <c r="DD182" i="12"/>
  <c r="DE182" i="12"/>
  <c r="DT182" i="12"/>
  <c r="DX182" i="12" s="1"/>
  <c r="EB182" i="12" s="1"/>
  <c r="CU182" i="12"/>
  <c r="CV182" i="12"/>
  <c r="CT182" i="12"/>
  <c r="DS182" i="12"/>
  <c r="DW182" i="12" s="1"/>
  <c r="EA182" i="12" s="1"/>
  <c r="CW182" i="13"/>
  <c r="CU182" i="13"/>
  <c r="DO182" i="13"/>
  <c r="DP182" i="13"/>
  <c r="DN182" i="13"/>
  <c r="DU182" i="13"/>
  <c r="DY182" i="13" s="1"/>
  <c r="EC182" i="13" s="1"/>
  <c r="CV182" i="13"/>
  <c r="DS182" i="13"/>
  <c r="DW182" i="13" s="1"/>
  <c r="EA182" i="13" s="1"/>
  <c r="DG182" i="13"/>
  <c r="DE182" i="13"/>
  <c r="DD182" i="13"/>
  <c r="DF182" i="13"/>
  <c r="DT182" i="13"/>
  <c r="DX182" i="13" s="1"/>
  <c r="EB182" i="13" s="1"/>
  <c r="CM182" i="13"/>
  <c r="CL182" i="13"/>
  <c r="BB183" i="13" s="1"/>
  <c r="BD183" i="13" s="1"/>
  <c r="CM182" i="12" l="1"/>
  <c r="CL182" i="12"/>
  <c r="BB183" i="12" s="1"/>
  <c r="BE183" i="13"/>
  <c r="BC183" i="13" s="1"/>
  <c r="BE183" i="12" l="1"/>
  <c r="BG183" i="13"/>
  <c r="BK183" i="13"/>
  <c r="BH183" i="13"/>
  <c r="BF183" i="13"/>
  <c r="BI183" i="13"/>
  <c r="BC183" i="12" l="1"/>
  <c r="BL183" i="13"/>
  <c r="BW183" i="13" s="1"/>
  <c r="BM183" i="13"/>
  <c r="CR183" i="13" s="1"/>
  <c r="CS183" i="13" s="1"/>
  <c r="BN183" i="13"/>
  <c r="DB183" i="13" s="1"/>
  <c r="DC183" i="13" s="1"/>
  <c r="BO183" i="13"/>
  <c r="DL183" i="13" s="1"/>
  <c r="DM183" i="13" s="1"/>
  <c r="BF183" i="12" l="1"/>
  <c r="BK183" i="12"/>
  <c r="BH183" i="12"/>
  <c r="BG183" i="12"/>
  <c r="BI183" i="12"/>
  <c r="BX183" i="13"/>
  <c r="CE183" i="13" s="1"/>
  <c r="CT183" i="13"/>
  <c r="CV183" i="13"/>
  <c r="DS183" i="13"/>
  <c r="DW183" i="13" s="1"/>
  <c r="EA183" i="13" s="1"/>
  <c r="CU183" i="13"/>
  <c r="CW183" i="13"/>
  <c r="DF183" i="13"/>
  <c r="DE183" i="13"/>
  <c r="DD183" i="13"/>
  <c r="DT183" i="13"/>
  <c r="DX183" i="13" s="1"/>
  <c r="EB183" i="13" s="1"/>
  <c r="DG183" i="13"/>
  <c r="DO183" i="13"/>
  <c r="DN183" i="13"/>
  <c r="DP183" i="13"/>
  <c r="DU183" i="13"/>
  <c r="DY183" i="13" s="1"/>
  <c r="EC183" i="13" s="1"/>
  <c r="DQ183" i="13"/>
  <c r="BO183" i="12" l="1"/>
  <c r="DL183" i="12" s="1"/>
  <c r="DM183" i="12" s="1"/>
  <c r="BN183" i="12"/>
  <c r="DB183" i="12" s="1"/>
  <c r="DC183" i="12" s="1"/>
  <c r="BL183" i="12"/>
  <c r="BW183" i="12" s="1"/>
  <c r="BX183" i="12" s="1"/>
  <c r="BM183" i="12"/>
  <c r="CR183" i="12" s="1"/>
  <c r="CB183" i="13"/>
  <c r="CH183" i="13"/>
  <c r="CA183" i="13"/>
  <c r="CC183" i="13"/>
  <c r="BY183" i="13"/>
  <c r="CD183" i="13"/>
  <c r="BZ183" i="13"/>
  <c r="CI183" i="13"/>
  <c r="CK183" i="13" s="1"/>
  <c r="DU183" i="12" l="1"/>
  <c r="DY183" i="12" s="1"/>
  <c r="EC183" i="12" s="1"/>
  <c r="DN183" i="12"/>
  <c r="DP183" i="12"/>
  <c r="DO183" i="12"/>
  <c r="DQ183" i="12"/>
  <c r="DE183" i="12"/>
  <c r="DD183" i="12"/>
  <c r="DF183" i="12"/>
  <c r="DT183" i="12"/>
  <c r="DX183" i="12" s="1"/>
  <c r="EB183" i="12" s="1"/>
  <c r="DG183" i="12"/>
  <c r="BZ183" i="12"/>
  <c r="CB183" i="12"/>
  <c r="CC183" i="12"/>
  <c r="CD183" i="12"/>
  <c r="CH183" i="12"/>
  <c r="CI183" i="12"/>
  <c r="CK183" i="12" s="1"/>
  <c r="CA183" i="12"/>
  <c r="BY183" i="12"/>
  <c r="CE183" i="12"/>
  <c r="CS183" i="12"/>
  <c r="CW183" i="12" s="1"/>
  <c r="CM183" i="13"/>
  <c r="CL183" i="13"/>
  <c r="BB184" i="13" s="1"/>
  <c r="BD184" i="13" s="1"/>
  <c r="CL183" i="12" l="1"/>
  <c r="BB184" i="12" s="1"/>
  <c r="CM183" i="12"/>
  <c r="CV183" i="12"/>
  <c r="DS183" i="12"/>
  <c r="DW183" i="12" s="1"/>
  <c r="EA183" i="12" s="1"/>
  <c r="CU183" i="12"/>
  <c r="CT183" i="12"/>
  <c r="BE184" i="13"/>
  <c r="BC184" i="13" s="1"/>
  <c r="BE184" i="12" l="1"/>
  <c r="BG184" i="13"/>
  <c r="BK184" i="13"/>
  <c r="BH184" i="13"/>
  <c r="BF184" i="13"/>
  <c r="BI184" i="13"/>
  <c r="BC184" i="12" l="1"/>
  <c r="BM184" i="13"/>
  <c r="CR184" i="13" s="1"/>
  <c r="CS184" i="13" s="1"/>
  <c r="BL184" i="13"/>
  <c r="BW184" i="13" s="1"/>
  <c r="BN184" i="13"/>
  <c r="DB184" i="13" s="1"/>
  <c r="DC184" i="13" s="1"/>
  <c r="BO184" i="13"/>
  <c r="DL184" i="13" s="1"/>
  <c r="DM184" i="13" s="1"/>
  <c r="BI184" i="12" l="1"/>
  <c r="BH184" i="12"/>
  <c r="BF184" i="12"/>
  <c r="BK184" i="12"/>
  <c r="BG184" i="12"/>
  <c r="CV184" i="13"/>
  <c r="CU184" i="13"/>
  <c r="CT184" i="13"/>
  <c r="DS184" i="13"/>
  <c r="DW184" i="13" s="1"/>
  <c r="EA184" i="13" s="1"/>
  <c r="CW184" i="13"/>
  <c r="BX184" i="13"/>
  <c r="CE184" i="13" s="1"/>
  <c r="DE184" i="13"/>
  <c r="DD184" i="13"/>
  <c r="DT184" i="13"/>
  <c r="DX184" i="13" s="1"/>
  <c r="EB184" i="13" s="1"/>
  <c r="DF184" i="13"/>
  <c r="DG184" i="13"/>
  <c r="DN184" i="13"/>
  <c r="DP184" i="13"/>
  <c r="DO184" i="13"/>
  <c r="DU184" i="13"/>
  <c r="DY184" i="13" s="1"/>
  <c r="EC184" i="13" s="1"/>
  <c r="DQ184" i="13"/>
  <c r="BN184" i="12" l="1"/>
  <c r="DB184" i="12" s="1"/>
  <c r="DC184" i="12" s="1"/>
  <c r="DG184" i="12" s="1"/>
  <c r="BO184" i="12"/>
  <c r="DL184" i="12" s="1"/>
  <c r="DM184" i="12" s="1"/>
  <c r="DQ184" i="12" s="1"/>
  <c r="BL184" i="12"/>
  <c r="BW184" i="12" s="1"/>
  <c r="BX184" i="12" s="1"/>
  <c r="CE184" i="12" s="1"/>
  <c r="BM184" i="12"/>
  <c r="CR184" i="12" s="1"/>
  <c r="CS184" i="12" s="1"/>
  <c r="CW184" i="12" s="1"/>
  <c r="CH184" i="13"/>
  <c r="CI184" i="13"/>
  <c r="CK184" i="13" s="1"/>
  <c r="BZ184" i="13"/>
  <c r="CA184" i="13"/>
  <c r="CC184" i="13"/>
  <c r="CB184" i="13"/>
  <c r="BY184" i="13"/>
  <c r="CD184" i="13"/>
  <c r="DP184" i="12" l="1"/>
  <c r="DN184" i="12"/>
  <c r="DU184" i="12"/>
  <c r="DY184" i="12" s="1"/>
  <c r="EC184" i="12" s="1"/>
  <c r="G160" i="11" s="1"/>
  <c r="DO184" i="12"/>
  <c r="CA184" i="12"/>
  <c r="CB184" i="12"/>
  <c r="CC184" i="12"/>
  <c r="CD184" i="12"/>
  <c r="CI184" i="12"/>
  <c r="CK184" i="12" s="1"/>
  <c r="CH184" i="12"/>
  <c r="BY184" i="12"/>
  <c r="BZ184" i="12"/>
  <c r="DS184" i="12"/>
  <c r="DW184" i="12" s="1"/>
  <c r="EA184" i="12" s="1"/>
  <c r="CT184" i="12"/>
  <c r="CU184" i="12"/>
  <c r="CV184" i="12"/>
  <c r="DF184" i="12"/>
  <c r="DE184" i="12"/>
  <c r="DT184" i="12"/>
  <c r="DX184" i="12" s="1"/>
  <c r="EB184" i="12" s="1"/>
  <c r="DD184" i="12"/>
  <c r="CL184" i="13"/>
  <c r="BB185" i="13" s="1"/>
  <c r="BD185" i="13" s="1"/>
  <c r="CM184" i="13"/>
  <c r="CL184" i="12" l="1"/>
  <c r="BB185" i="12" s="1"/>
  <c r="CM184" i="12"/>
  <c r="BE185" i="13"/>
  <c r="BC185" i="13" s="1"/>
  <c r="BE185" i="12" l="1"/>
  <c r="BG185" i="13"/>
  <c r="BK185" i="13"/>
  <c r="BH185" i="13"/>
  <c r="BF185" i="13"/>
  <c r="BI185" i="13"/>
  <c r="BC185" i="12" l="1"/>
  <c r="BL185" i="13"/>
  <c r="BW185" i="13" s="1"/>
  <c r="BO185" i="13"/>
  <c r="DL185" i="13" s="1"/>
  <c r="DM185" i="13" s="1"/>
  <c r="BM185" i="13"/>
  <c r="CR185" i="13" s="1"/>
  <c r="CS185" i="13" s="1"/>
  <c r="BN185" i="13"/>
  <c r="DB185" i="13" s="1"/>
  <c r="DC185" i="13" s="1"/>
  <c r="BI185" i="12" l="1"/>
  <c r="BK185" i="12"/>
  <c r="BF185" i="12"/>
  <c r="BG185" i="12"/>
  <c r="BH185" i="12"/>
  <c r="BX185" i="13"/>
  <c r="CE185" i="13" s="1"/>
  <c r="DO185" i="13"/>
  <c r="DN185" i="13"/>
  <c r="DU185" i="13"/>
  <c r="DY185" i="13" s="1"/>
  <c r="EC185" i="13" s="1"/>
  <c r="DP185" i="13"/>
  <c r="DQ185" i="13"/>
  <c r="CU185" i="13"/>
  <c r="CT185" i="13"/>
  <c r="DS185" i="13"/>
  <c r="DW185" i="13" s="1"/>
  <c r="EA185" i="13" s="1"/>
  <c r="CV185" i="13"/>
  <c r="CW185" i="13"/>
  <c r="DE185" i="13"/>
  <c r="DD185" i="13"/>
  <c r="DT185" i="13"/>
  <c r="DX185" i="13" s="1"/>
  <c r="EB185" i="13" s="1"/>
  <c r="DF185" i="13"/>
  <c r="DG185" i="13"/>
  <c r="BO185" i="12" l="1"/>
  <c r="DL185" i="12" s="1"/>
  <c r="DM185" i="12" s="1"/>
  <c r="DQ185" i="12" s="1"/>
  <c r="BL185" i="12"/>
  <c r="BW185" i="12" s="1"/>
  <c r="BX185" i="12" s="1"/>
  <c r="CE185" i="12" s="1"/>
  <c r="BM185" i="12"/>
  <c r="CR185" i="12" s="1"/>
  <c r="CS185" i="12" s="1"/>
  <c r="CW185" i="12" s="1"/>
  <c r="BN185" i="12"/>
  <c r="DB185" i="12" s="1"/>
  <c r="DC185" i="12" s="1"/>
  <c r="DG185" i="12" s="1"/>
  <c r="CH185" i="13"/>
  <c r="CI185" i="13"/>
  <c r="CK185" i="13" s="1"/>
  <c r="CC185" i="13"/>
  <c r="CB185" i="13"/>
  <c r="BY185" i="13"/>
  <c r="CD185" i="13"/>
  <c r="CA185" i="13"/>
  <c r="BZ185" i="13"/>
  <c r="DN185" i="12" l="1"/>
  <c r="DO185" i="12"/>
  <c r="DP185" i="12"/>
  <c r="DU185" i="12"/>
  <c r="DY185" i="12" s="1"/>
  <c r="EC185" i="12" s="1"/>
  <c r="G161" i="11" s="1"/>
  <c r="BY185" i="12"/>
  <c r="CA185" i="12"/>
  <c r="CH185" i="12"/>
  <c r="CB185" i="12"/>
  <c r="CC185" i="12"/>
  <c r="BZ185" i="12"/>
  <c r="CD185" i="12"/>
  <c r="CI185" i="12"/>
  <c r="CK185" i="12" s="1"/>
  <c r="CT185" i="12"/>
  <c r="CV185" i="12"/>
  <c r="DS185" i="12"/>
  <c r="DW185" i="12" s="1"/>
  <c r="EA185" i="12" s="1"/>
  <c r="CU185" i="12"/>
  <c r="DF185" i="12"/>
  <c r="DE185" i="12"/>
  <c r="DD185" i="12"/>
  <c r="DT185" i="12"/>
  <c r="DX185" i="12" s="1"/>
  <c r="EB185" i="12" s="1"/>
  <c r="CM185" i="13"/>
  <c r="CL185" i="13"/>
  <c r="BB186" i="13" s="1"/>
  <c r="BD186" i="13" s="1"/>
  <c r="CM185" i="12" l="1"/>
  <c r="CL185" i="12"/>
  <c r="BB186" i="12" s="1"/>
  <c r="BE186" i="13"/>
  <c r="BC186" i="13" s="1"/>
  <c r="BE186" i="12" l="1"/>
  <c r="BG186" i="13"/>
  <c r="BK186" i="13"/>
  <c r="BF186" i="13"/>
  <c r="BH186" i="13"/>
  <c r="BI186" i="13"/>
  <c r="BC186" i="12" l="1"/>
  <c r="BL186" i="13"/>
  <c r="BW186" i="13" s="1"/>
  <c r="BX186" i="13" s="1"/>
  <c r="BM186" i="13"/>
  <c r="CR186" i="13" s="1"/>
  <c r="CS186" i="13" s="1"/>
  <c r="BO186" i="13"/>
  <c r="DL186" i="13" s="1"/>
  <c r="DM186" i="13" s="1"/>
  <c r="BN186" i="13"/>
  <c r="DB186" i="13" s="1"/>
  <c r="DC186" i="13" s="1"/>
  <c r="BK186" i="12" l="1"/>
  <c r="BH186" i="12"/>
  <c r="BG186" i="12"/>
  <c r="BF186" i="12"/>
  <c r="BI186" i="12"/>
  <c r="BZ186" i="13"/>
  <c r="CB186" i="13"/>
  <c r="CC186" i="13"/>
  <c r="BY186" i="13"/>
  <c r="CD186" i="13"/>
  <c r="CA186" i="13"/>
  <c r="CH186" i="13"/>
  <c r="CI186" i="13"/>
  <c r="CK186" i="13" s="1"/>
  <c r="CE186" i="13"/>
  <c r="CU186" i="13"/>
  <c r="CT186" i="13"/>
  <c r="DS186" i="13"/>
  <c r="DW186" i="13" s="1"/>
  <c r="EA186" i="13" s="1"/>
  <c r="CV186" i="13"/>
  <c r="CW186" i="13"/>
  <c r="DO186" i="13"/>
  <c r="DN186" i="13"/>
  <c r="DU186" i="13"/>
  <c r="DY186" i="13" s="1"/>
  <c r="EC186" i="13" s="1"/>
  <c r="DP186" i="13"/>
  <c r="DQ186" i="13"/>
  <c r="DE186" i="13"/>
  <c r="DD186" i="13"/>
  <c r="DT186" i="13"/>
  <c r="DX186" i="13" s="1"/>
  <c r="EB186" i="13" s="1"/>
  <c r="DF186" i="13"/>
  <c r="DG186" i="13"/>
  <c r="BO186" i="12" l="1"/>
  <c r="DL186" i="12" s="1"/>
  <c r="DM186" i="12" s="1"/>
  <c r="BN186" i="12"/>
  <c r="DB186" i="12" s="1"/>
  <c r="DC186" i="12" s="1"/>
  <c r="BM186" i="12"/>
  <c r="CR186" i="12" s="1"/>
  <c r="CS186" i="12" s="1"/>
  <c r="BL186" i="12"/>
  <c r="BW186" i="12" s="1"/>
  <c r="BX186" i="12" s="1"/>
  <c r="CM186" i="13"/>
  <c r="CL186" i="13"/>
  <c r="BB187" i="13" s="1"/>
  <c r="BD187" i="13" s="1"/>
  <c r="DO186" i="12" l="1"/>
  <c r="DU186" i="12"/>
  <c r="DY186" i="12" s="1"/>
  <c r="EC186" i="12" s="1"/>
  <c r="G162" i="11" s="1"/>
  <c r="DP186" i="12"/>
  <c r="DN186" i="12"/>
  <c r="DQ186" i="12"/>
  <c r="DT186" i="12"/>
  <c r="DX186" i="12" s="1"/>
  <c r="EB186" i="12" s="1"/>
  <c r="DD186" i="12"/>
  <c r="DF186" i="12"/>
  <c r="DE186" i="12"/>
  <c r="DG186" i="12"/>
  <c r="CT186" i="12"/>
  <c r="DS186" i="12"/>
  <c r="DW186" i="12" s="1"/>
  <c r="EA186" i="12" s="1"/>
  <c r="CV186" i="12"/>
  <c r="CU186" i="12"/>
  <c r="CW186" i="12"/>
  <c r="BZ186" i="12"/>
  <c r="BY186" i="12"/>
  <c r="CD186" i="12"/>
  <c r="CA186" i="12"/>
  <c r="CH186" i="12"/>
  <c r="CC186" i="12"/>
  <c r="CB186" i="12"/>
  <c r="CI186" i="12"/>
  <c r="CK186" i="12" s="1"/>
  <c r="CE186" i="12"/>
  <c r="BE187" i="13"/>
  <c r="CM186" i="12" l="1"/>
  <c r="CL186" i="12"/>
  <c r="BB187" i="12" s="1"/>
  <c r="BC187" i="13"/>
  <c r="BE187" i="12" l="1"/>
  <c r="BF187" i="13"/>
  <c r="BH187" i="13"/>
  <c r="BG187" i="13"/>
  <c r="BK187" i="13"/>
  <c r="BI187" i="13"/>
  <c r="BC187" i="12" l="1"/>
  <c r="BN187" i="13"/>
  <c r="DB187" i="13" s="1"/>
  <c r="BL187" i="13"/>
  <c r="BW187" i="13" s="1"/>
  <c r="BM187" i="13"/>
  <c r="CR187" i="13" s="1"/>
  <c r="BO187" i="13"/>
  <c r="DL187" i="13" s="1"/>
  <c r="BI187" i="12" l="1"/>
  <c r="BH187" i="12"/>
  <c r="BG187" i="12"/>
  <c r="BK187" i="12"/>
  <c r="BF187" i="12"/>
  <c r="DC187" i="13"/>
  <c r="DG187" i="13" s="1"/>
  <c r="BX187" i="13"/>
  <c r="CS187" i="13"/>
  <c r="CW187" i="13" s="1"/>
  <c r="DM187" i="13"/>
  <c r="DQ187" i="13" s="1"/>
  <c r="BM187" i="12" l="1"/>
  <c r="CR187" i="12" s="1"/>
  <c r="CS187" i="12" s="1"/>
  <c r="BO187" i="12"/>
  <c r="DL187" i="12" s="1"/>
  <c r="DM187" i="12" s="1"/>
  <c r="BL187" i="12"/>
  <c r="BW187" i="12" s="1"/>
  <c r="BX187" i="12" s="1"/>
  <c r="BN187" i="12"/>
  <c r="DB187" i="12" s="1"/>
  <c r="DC187" i="12" s="1"/>
  <c r="BZ187" i="13"/>
  <c r="CE187" i="13"/>
  <c r="DF187" i="13"/>
  <c r="DE187" i="13"/>
  <c r="DT187" i="13"/>
  <c r="DX187" i="13" s="1"/>
  <c r="EB187" i="13" s="1"/>
  <c r="DD187" i="13"/>
  <c r="CI187" i="13"/>
  <c r="CK187" i="13" s="1"/>
  <c r="CH187" i="13"/>
  <c r="CA187" i="13"/>
  <c r="CD187" i="13"/>
  <c r="BY187" i="13"/>
  <c r="CC187" i="13"/>
  <c r="CB187" i="13"/>
  <c r="CV187" i="13"/>
  <c r="DS187" i="13"/>
  <c r="DW187" i="13" s="1"/>
  <c r="EA187" i="13" s="1"/>
  <c r="CT187" i="13"/>
  <c r="CU187" i="13"/>
  <c r="DO187" i="13"/>
  <c r="DP187" i="13"/>
  <c r="DU187" i="13"/>
  <c r="DY187" i="13" s="1"/>
  <c r="EC187" i="13" s="1"/>
  <c r="DN187" i="13"/>
  <c r="CV187" i="12" l="1"/>
  <c r="CU187" i="12"/>
  <c r="CT187" i="12"/>
  <c r="DS187" i="12"/>
  <c r="DW187" i="12" s="1"/>
  <c r="EA187" i="12" s="1"/>
  <c r="CW187" i="12"/>
  <c r="DP187" i="12"/>
  <c r="DU187" i="12"/>
  <c r="DY187" i="12" s="1"/>
  <c r="EC187" i="12" s="1"/>
  <c r="G163" i="11" s="1"/>
  <c r="DN187" i="12"/>
  <c r="DO187" i="12"/>
  <c r="DQ187" i="12"/>
  <c r="BZ187" i="12"/>
  <c r="CC187" i="12"/>
  <c r="CI187" i="12"/>
  <c r="CK187" i="12" s="1"/>
  <c r="BY187" i="12"/>
  <c r="CB187" i="12"/>
  <c r="CA187" i="12"/>
  <c r="CH187" i="12"/>
  <c r="CD187" i="12"/>
  <c r="CE187" i="12"/>
  <c r="DT187" i="12"/>
  <c r="DX187" i="12" s="1"/>
  <c r="EB187" i="12" s="1"/>
  <c r="DF187" i="12"/>
  <c r="DE187" i="12"/>
  <c r="DD187" i="12"/>
  <c r="DG187" i="12"/>
  <c r="CL187" i="13"/>
  <c r="BB188" i="13" s="1"/>
  <c r="CM187" i="13"/>
  <c r="CM187" i="12" l="1"/>
  <c r="CL187" i="12"/>
  <c r="BB188" i="12" s="1"/>
  <c r="BE188" i="13"/>
  <c r="BD188" i="13"/>
  <c r="BE188" i="12" l="1"/>
  <c r="BC188" i="13"/>
  <c r="BC188" i="12" l="1"/>
  <c r="BH188" i="13"/>
  <c r="BF188" i="13"/>
  <c r="BI188" i="13"/>
  <c r="BG188" i="13"/>
  <c r="BK188" i="13"/>
  <c r="BI188" i="12" l="1"/>
  <c r="BG188" i="12"/>
  <c r="BF188" i="12"/>
  <c r="BK188" i="12"/>
  <c r="BH188" i="12"/>
  <c r="BO188" i="13"/>
  <c r="DL188" i="13" s="1"/>
  <c r="BM188" i="13"/>
  <c r="CR188" i="13" s="1"/>
  <c r="BN188" i="13"/>
  <c r="DB188" i="13" s="1"/>
  <c r="BL188" i="13"/>
  <c r="BW188" i="13" s="1"/>
  <c r="BM188" i="12" l="1"/>
  <c r="CR188" i="12" s="1"/>
  <c r="BO188" i="12"/>
  <c r="DL188" i="12" s="1"/>
  <c r="BL188" i="12"/>
  <c r="BW188" i="12" s="1"/>
  <c r="BN188" i="12"/>
  <c r="DB188" i="12" s="1"/>
  <c r="DM188" i="13"/>
  <c r="DQ188" i="13" s="1"/>
  <c r="CS188" i="13"/>
  <c r="CW188" i="13" s="1"/>
  <c r="DC188" i="13"/>
  <c r="DG188" i="13" s="1"/>
  <c r="BX188" i="13"/>
  <c r="CE188" i="13" s="1"/>
  <c r="CS188" i="12" l="1"/>
  <c r="CW188" i="12" s="1"/>
  <c r="DM188" i="12"/>
  <c r="DQ188" i="12" s="1"/>
  <c r="BX188" i="12"/>
  <c r="CE188" i="12" s="1"/>
  <c r="DC188" i="12"/>
  <c r="DG188" i="12" s="1"/>
  <c r="DP188" i="13"/>
  <c r="DU188" i="13"/>
  <c r="DY188" i="13" s="1"/>
  <c r="EC188" i="13" s="1"/>
  <c r="DN188" i="13"/>
  <c r="DO188" i="13"/>
  <c r="DS188" i="13"/>
  <c r="DW188" i="13" s="1"/>
  <c r="EA188" i="13" s="1"/>
  <c r="CT188" i="13"/>
  <c r="CU188" i="13"/>
  <c r="CV188" i="13"/>
  <c r="DT188" i="13"/>
  <c r="DX188" i="13" s="1"/>
  <c r="EB188" i="13" s="1"/>
  <c r="DD188" i="13"/>
  <c r="DE188" i="13"/>
  <c r="DF188" i="13"/>
  <c r="BY188" i="13"/>
  <c r="CC188" i="13"/>
  <c r="BZ188" i="13"/>
  <c r="CA188" i="13"/>
  <c r="CD188" i="13"/>
  <c r="CB188" i="13"/>
  <c r="CI188" i="13"/>
  <c r="CK188" i="13" s="1"/>
  <c r="CH188" i="13"/>
  <c r="CT188" i="12" l="1"/>
  <c r="DS188" i="12"/>
  <c r="DW188" i="12" s="1"/>
  <c r="EA188" i="12" s="1"/>
  <c r="CV188" i="12"/>
  <c r="CU188" i="12"/>
  <c r="CH188" i="12"/>
  <c r="CA188" i="12"/>
  <c r="CC188" i="12"/>
  <c r="CB188" i="12"/>
  <c r="CD188" i="12"/>
  <c r="DO188" i="12"/>
  <c r="DU188" i="12"/>
  <c r="DY188" i="12" s="1"/>
  <c r="EC188" i="12" s="1"/>
  <c r="G164" i="11" s="1"/>
  <c r="DP188" i="12"/>
  <c r="DN188" i="12"/>
  <c r="CI188" i="12"/>
  <c r="CK188" i="12" s="1"/>
  <c r="BY188" i="12"/>
  <c r="BZ188" i="12"/>
  <c r="DE188" i="12"/>
  <c r="DT188" i="12"/>
  <c r="DX188" i="12" s="1"/>
  <c r="EB188" i="12" s="1"/>
  <c r="DD188" i="12"/>
  <c r="DF188" i="12"/>
  <c r="CL188" i="13"/>
  <c r="BB189" i="13" s="1"/>
  <c r="CM188" i="13"/>
  <c r="CL188" i="12" l="1"/>
  <c r="BB189" i="12" s="1"/>
  <c r="CM188" i="12"/>
  <c r="BE189" i="13"/>
  <c r="BD189" i="13"/>
  <c r="BE189" i="12" l="1"/>
  <c r="BC189" i="13"/>
  <c r="BC189" i="12" l="1"/>
  <c r="BG189" i="13"/>
  <c r="BF189" i="13"/>
  <c r="BH189" i="13"/>
  <c r="BK189" i="13"/>
  <c r="BI189" i="13"/>
  <c r="BI189" i="12" l="1"/>
  <c r="BG189" i="12"/>
  <c r="BF189" i="12"/>
  <c r="BK189" i="12"/>
  <c r="BH189" i="12"/>
  <c r="BM189" i="13"/>
  <c r="CR189" i="13" s="1"/>
  <c r="BO189" i="13"/>
  <c r="DL189" i="13" s="1"/>
  <c r="BN189" i="13"/>
  <c r="DB189" i="13" s="1"/>
  <c r="BL189" i="13"/>
  <c r="BW189" i="13" s="1"/>
  <c r="BX189" i="13" s="1"/>
  <c r="BN189" i="12" l="1"/>
  <c r="DB189" i="12" s="1"/>
  <c r="BO189" i="12"/>
  <c r="DL189" i="12" s="1"/>
  <c r="BM189" i="12"/>
  <c r="CR189" i="12" s="1"/>
  <c r="BL189" i="12"/>
  <c r="BW189" i="12" s="1"/>
  <c r="CS189" i="13"/>
  <c r="CW189" i="13" s="1"/>
  <c r="DM189" i="13"/>
  <c r="DQ189" i="13" s="1"/>
  <c r="DC189" i="13"/>
  <c r="DG189" i="13" s="1"/>
  <c r="CH189" i="13"/>
  <c r="CA189" i="13"/>
  <c r="CD189" i="13"/>
  <c r="CI189" i="13"/>
  <c r="CK189" i="13" s="1"/>
  <c r="BY189" i="13"/>
  <c r="CB189" i="13"/>
  <c r="CC189" i="13"/>
  <c r="BZ189" i="13"/>
  <c r="CE189" i="13"/>
  <c r="DC189" i="12" l="1"/>
  <c r="DG189" i="12" s="1"/>
  <c r="DM189" i="12"/>
  <c r="DQ189" i="12" s="1"/>
  <c r="CS189" i="12"/>
  <c r="CW189" i="12" s="1"/>
  <c r="BX189" i="12"/>
  <c r="CE189" i="12" s="1"/>
  <c r="CV189" i="13"/>
  <c r="DS189" i="13"/>
  <c r="DW189" i="13" s="1"/>
  <c r="EA189" i="13" s="1"/>
  <c r="CT189" i="13"/>
  <c r="CU189" i="13"/>
  <c r="DN189" i="13"/>
  <c r="DP189" i="13"/>
  <c r="DU189" i="13"/>
  <c r="DY189" i="13" s="1"/>
  <c r="EC189" i="13" s="1"/>
  <c r="DO189" i="13"/>
  <c r="DE189" i="13"/>
  <c r="DF189" i="13"/>
  <c r="DT189" i="13"/>
  <c r="DX189" i="13" s="1"/>
  <c r="EB189" i="13" s="1"/>
  <c r="DD189" i="13"/>
  <c r="CL189" i="13"/>
  <c r="BB190" i="13" s="1"/>
  <c r="CM189" i="13"/>
  <c r="DF189" i="12" l="1"/>
  <c r="DE189" i="12"/>
  <c r="DD189" i="12"/>
  <c r="DT189" i="12"/>
  <c r="DX189" i="12" s="1"/>
  <c r="EB189" i="12" s="1"/>
  <c r="DP189" i="12"/>
  <c r="DO189" i="12"/>
  <c r="DU189" i="12"/>
  <c r="DY189" i="12" s="1"/>
  <c r="EC189" i="12" s="1"/>
  <c r="G165" i="11" s="1"/>
  <c r="DN189" i="12"/>
  <c r="CT189" i="12"/>
  <c r="CU189" i="12"/>
  <c r="CV189" i="12"/>
  <c r="DS189" i="12"/>
  <c r="DW189" i="12" s="1"/>
  <c r="EA189" i="12" s="1"/>
  <c r="BY189" i="12"/>
  <c r="CB189" i="12"/>
  <c r="CD189" i="12"/>
  <c r="BZ189" i="12"/>
  <c r="CA189" i="12"/>
  <c r="CH189" i="12"/>
  <c r="CI189" i="12"/>
  <c r="CK189" i="12" s="1"/>
  <c r="CC189" i="12"/>
  <c r="BE190" i="13"/>
  <c r="BD190" i="13"/>
  <c r="CL189" i="12" l="1"/>
  <c r="BB190" i="12" s="1"/>
  <c r="CM189" i="12"/>
  <c r="BC190" i="13"/>
  <c r="BE190" i="12" l="1"/>
  <c r="BH190" i="13"/>
  <c r="BF190" i="13"/>
  <c r="BG190" i="13"/>
  <c r="BK190" i="13"/>
  <c r="BI190" i="13"/>
  <c r="BC190" i="12" l="1"/>
  <c r="BM190" i="13"/>
  <c r="CR190" i="13" s="1"/>
  <c r="BN190" i="13"/>
  <c r="DB190" i="13" s="1"/>
  <c r="BO190" i="13"/>
  <c r="DL190" i="13" s="1"/>
  <c r="BL190" i="13"/>
  <c r="BW190" i="13" s="1"/>
  <c r="BH190" i="12" l="1"/>
  <c r="BG190" i="12"/>
  <c r="BF190" i="12"/>
  <c r="BK190" i="12"/>
  <c r="BI190" i="12"/>
  <c r="CS190" i="13"/>
  <c r="CW190" i="13" s="1"/>
  <c r="DC190" i="13"/>
  <c r="DG190" i="13" s="1"/>
  <c r="DM190" i="13"/>
  <c r="DQ190" i="13" s="1"/>
  <c r="BX190" i="13"/>
  <c r="CE190" i="13" s="1"/>
  <c r="BO190" i="12" l="1"/>
  <c r="DL190" i="12" s="1"/>
  <c r="DM190" i="12" s="1"/>
  <c r="BN190" i="12"/>
  <c r="DB190" i="12" s="1"/>
  <c r="DC190" i="12" s="1"/>
  <c r="BL190" i="12"/>
  <c r="BW190" i="12" s="1"/>
  <c r="BM190" i="12"/>
  <c r="CR190" i="12" s="1"/>
  <c r="CS190" i="12" s="1"/>
  <c r="CV190" i="13"/>
  <c r="DS190" i="13"/>
  <c r="DW190" i="13" s="1"/>
  <c r="EA190" i="13" s="1"/>
  <c r="CT190" i="13"/>
  <c r="CU190" i="13"/>
  <c r="DF190" i="13"/>
  <c r="DT190" i="13"/>
  <c r="DX190" i="13" s="1"/>
  <c r="EB190" i="13" s="1"/>
  <c r="DD190" i="13"/>
  <c r="DE190" i="13"/>
  <c r="DO190" i="13"/>
  <c r="DP190" i="13"/>
  <c r="DU190" i="13"/>
  <c r="DY190" i="13" s="1"/>
  <c r="EC190" i="13" s="1"/>
  <c r="DN190" i="13"/>
  <c r="CA190" i="13"/>
  <c r="CD190" i="13"/>
  <c r="BY190" i="13"/>
  <c r="CB190" i="13"/>
  <c r="CC190" i="13"/>
  <c r="BZ190" i="13"/>
  <c r="CH190" i="13"/>
  <c r="CI190" i="13"/>
  <c r="CK190" i="13" s="1"/>
  <c r="DO190" i="12" l="1"/>
  <c r="DN190" i="12"/>
  <c r="DU190" i="12"/>
  <c r="DY190" i="12" s="1"/>
  <c r="EC190" i="12" s="1"/>
  <c r="DP190" i="12"/>
  <c r="DQ190" i="12"/>
  <c r="DF190" i="12"/>
  <c r="DT190" i="12"/>
  <c r="DX190" i="12" s="1"/>
  <c r="EB190" i="12" s="1"/>
  <c r="DE190" i="12"/>
  <c r="DD190" i="12"/>
  <c r="DG190" i="12"/>
  <c r="BX190" i="12"/>
  <c r="CE190" i="12" s="1"/>
  <c r="DS190" i="12"/>
  <c r="DW190" i="12" s="1"/>
  <c r="EA190" i="12" s="1"/>
  <c r="CU190" i="12"/>
  <c r="CV190" i="12"/>
  <c r="CT190" i="12"/>
  <c r="CW190" i="12"/>
  <c r="CM190" i="13"/>
  <c r="CL190" i="13"/>
  <c r="BB191" i="13" s="1"/>
  <c r="CH190" i="12" l="1"/>
  <c r="CI190" i="12"/>
  <c r="CK190" i="12" s="1"/>
  <c r="BY190" i="12"/>
  <c r="CA190" i="12"/>
  <c r="CC190" i="12"/>
  <c r="BZ190" i="12"/>
  <c r="CD190" i="12"/>
  <c r="CB190" i="12"/>
  <c r="BE191" i="13"/>
  <c r="BD191" i="13"/>
  <c r="CM190" i="12" l="1"/>
  <c r="CL190" i="12"/>
  <c r="BB191" i="12" s="1"/>
  <c r="BC191" i="13"/>
  <c r="BE191" i="12" l="1"/>
  <c r="BG191" i="13"/>
  <c r="BF191" i="13"/>
  <c r="BH191" i="13"/>
  <c r="BK191" i="13"/>
  <c r="BI191" i="13"/>
  <c r="BC191" i="12" l="1"/>
  <c r="BN191" i="13"/>
  <c r="DB191" i="13" s="1"/>
  <c r="BM191" i="13"/>
  <c r="CR191" i="13" s="1"/>
  <c r="BO191" i="13"/>
  <c r="DL191" i="13" s="1"/>
  <c r="BL191" i="13"/>
  <c r="BW191" i="13" s="1"/>
  <c r="BX191" i="13" s="1"/>
  <c r="BK191" i="12" l="1"/>
  <c r="BH191" i="12"/>
  <c r="BF191" i="12"/>
  <c r="BG191" i="12"/>
  <c r="BI191" i="12"/>
  <c r="DC191" i="13"/>
  <c r="DG191" i="13" s="1"/>
  <c r="CS191" i="13"/>
  <c r="CW191" i="13" s="1"/>
  <c r="DM191" i="13"/>
  <c r="DQ191" i="13" s="1"/>
  <c r="CI191" i="13"/>
  <c r="CK191" i="13" s="1"/>
  <c r="CH191" i="13"/>
  <c r="CA191" i="13"/>
  <c r="CD191" i="13"/>
  <c r="BY191" i="13"/>
  <c r="CB191" i="13"/>
  <c r="CC191" i="13"/>
  <c r="BZ191" i="13"/>
  <c r="CE191" i="13"/>
  <c r="BM191" i="12" l="1"/>
  <c r="CR191" i="12" s="1"/>
  <c r="CS191" i="12" s="1"/>
  <c r="BN191" i="12"/>
  <c r="DB191" i="12" s="1"/>
  <c r="DC191" i="12" s="1"/>
  <c r="BL191" i="12"/>
  <c r="BW191" i="12" s="1"/>
  <c r="BX191" i="12" s="1"/>
  <c r="BO191" i="12"/>
  <c r="DL191" i="12" s="1"/>
  <c r="DM191" i="12" s="1"/>
  <c r="DT191" i="13"/>
  <c r="DX191" i="13" s="1"/>
  <c r="EB191" i="13" s="1"/>
  <c r="DF191" i="13"/>
  <c r="DD191" i="13"/>
  <c r="DE191" i="13"/>
  <c r="CV191" i="13"/>
  <c r="DS191" i="13"/>
  <c r="DW191" i="13" s="1"/>
  <c r="EA191" i="13" s="1"/>
  <c r="CT191" i="13"/>
  <c r="CU191" i="13"/>
  <c r="DP191" i="13"/>
  <c r="DU191" i="13"/>
  <c r="DY191" i="13" s="1"/>
  <c r="EC191" i="13" s="1"/>
  <c r="DN191" i="13"/>
  <c r="DO191" i="13"/>
  <c r="CL191" i="13"/>
  <c r="BB192" i="13" s="1"/>
  <c r="CM191" i="13"/>
  <c r="CU191" i="12" l="1"/>
  <c r="CT191" i="12"/>
  <c r="DS191" i="12"/>
  <c r="DW191" i="12" s="1"/>
  <c r="EA191" i="12" s="1"/>
  <c r="CV191" i="12"/>
  <c r="CW191" i="12"/>
  <c r="DT191" i="12"/>
  <c r="DX191" i="12" s="1"/>
  <c r="EB191" i="12" s="1"/>
  <c r="DD191" i="12"/>
  <c r="DE191" i="12"/>
  <c r="DF191" i="12"/>
  <c r="DG191" i="12"/>
  <c r="CH191" i="12"/>
  <c r="CI191" i="12"/>
  <c r="CK191" i="12" s="1"/>
  <c r="CD191" i="12"/>
  <c r="CB191" i="12"/>
  <c r="BZ191" i="12"/>
  <c r="BY191" i="12"/>
  <c r="CA191" i="12"/>
  <c r="CC191" i="12"/>
  <c r="CE191" i="12"/>
  <c r="DP191" i="12"/>
  <c r="DU191" i="12"/>
  <c r="DY191" i="12" s="1"/>
  <c r="EC191" i="12" s="1"/>
  <c r="DN191" i="12"/>
  <c r="DO191" i="12"/>
  <c r="DQ191" i="12"/>
  <c r="BE192" i="13"/>
  <c r="BD192" i="13"/>
  <c r="G166" i="11" l="1"/>
  <c r="G167" i="11"/>
  <c r="CM191" i="12"/>
  <c r="CL191" i="12"/>
  <c r="BB192" i="12" s="1"/>
  <c r="BC192" i="13"/>
  <c r="BI192" i="13" s="1"/>
  <c r="BE192" i="12" l="1"/>
  <c r="BH192" i="13"/>
  <c r="BF192" i="13"/>
  <c r="BG192" i="13"/>
  <c r="BK192" i="13"/>
  <c r="BC192" i="12" l="1"/>
  <c r="BM192" i="13"/>
  <c r="CR192" i="13" s="1"/>
  <c r="BL192" i="13"/>
  <c r="BW192" i="13" s="1"/>
  <c r="BX192" i="13" s="1"/>
  <c r="CE192" i="13" s="1"/>
  <c r="BO192" i="13"/>
  <c r="DL192" i="13" s="1"/>
  <c r="BN192" i="13"/>
  <c r="DB192" i="13" s="1"/>
  <c r="BK192" i="12" l="1"/>
  <c r="BF192" i="12"/>
  <c r="BG192" i="12"/>
  <c r="BH192" i="12"/>
  <c r="BI192" i="12"/>
  <c r="CS192" i="13"/>
  <c r="CW192" i="13" s="1"/>
  <c r="DM192" i="13"/>
  <c r="DQ192" i="13" s="1"/>
  <c r="DC192" i="13"/>
  <c r="DG192" i="13" s="1"/>
  <c r="CA192" i="13"/>
  <c r="CH192" i="13"/>
  <c r="BZ192" i="13"/>
  <c r="CI192" i="13"/>
  <c r="CK192" i="13" s="1"/>
  <c r="CD192" i="13"/>
  <c r="CC192" i="13"/>
  <c r="CB192" i="13"/>
  <c r="BY192" i="13"/>
  <c r="BO192" i="12" l="1"/>
  <c r="DL192" i="12" s="1"/>
  <c r="DM192" i="12" s="1"/>
  <c r="BM192" i="12"/>
  <c r="CR192" i="12" s="1"/>
  <c r="CS192" i="12" s="1"/>
  <c r="BN192" i="12"/>
  <c r="DB192" i="12" s="1"/>
  <c r="DC192" i="12" s="1"/>
  <c r="BL192" i="12"/>
  <c r="BW192" i="12" s="1"/>
  <c r="BX192" i="12" s="1"/>
  <c r="CU192" i="13"/>
  <c r="DS192" i="13"/>
  <c r="DW192" i="13" s="1"/>
  <c r="EA192" i="13" s="1"/>
  <c r="CT192" i="13"/>
  <c r="CV192" i="13"/>
  <c r="DO192" i="13"/>
  <c r="DP192" i="13"/>
  <c r="DU192" i="13"/>
  <c r="DY192" i="13" s="1"/>
  <c r="EC192" i="13" s="1"/>
  <c r="DN192" i="13"/>
  <c r="DE192" i="13"/>
  <c r="DT192" i="13"/>
  <c r="DX192" i="13" s="1"/>
  <c r="EB192" i="13" s="1"/>
  <c r="DD192" i="13"/>
  <c r="DF192" i="13"/>
  <c r="CL192" i="13"/>
  <c r="BB193" i="13" s="1"/>
  <c r="CM192" i="13"/>
  <c r="DP192" i="12" l="1"/>
  <c r="DU192" i="12"/>
  <c r="DY192" i="12" s="1"/>
  <c r="EC192" i="12" s="1"/>
  <c r="DO192" i="12"/>
  <c r="DN192" i="12"/>
  <c r="DQ192" i="12"/>
  <c r="CV192" i="12"/>
  <c r="DS192" i="12"/>
  <c r="DW192" i="12" s="1"/>
  <c r="EA192" i="12" s="1"/>
  <c r="CT192" i="12"/>
  <c r="CU192" i="12"/>
  <c r="CW192" i="12"/>
  <c r="DD192" i="12"/>
  <c r="DE192" i="12"/>
  <c r="DF192" i="12"/>
  <c r="DT192" i="12"/>
  <c r="DX192" i="12" s="1"/>
  <c r="EB192" i="12" s="1"/>
  <c r="DG192" i="12"/>
  <c r="CI192" i="12"/>
  <c r="CK192" i="12" s="1"/>
  <c r="CC192" i="12"/>
  <c r="CA192" i="12"/>
  <c r="CH192" i="12"/>
  <c r="CB192" i="12"/>
  <c r="CD192" i="12"/>
  <c r="BY192" i="12"/>
  <c r="BZ192" i="12"/>
  <c r="CE192" i="12"/>
  <c r="BE193" i="13"/>
  <c r="BD193" i="13"/>
  <c r="CM192" i="12" l="1"/>
  <c r="CL192" i="12"/>
  <c r="BB193" i="12" s="1"/>
  <c r="BC193" i="13"/>
  <c r="BE193" i="12" l="1"/>
  <c r="BI193" i="13"/>
  <c r="BG193" i="13"/>
  <c r="BK193" i="13"/>
  <c r="BH193" i="13"/>
  <c r="BF193" i="13"/>
  <c r="BC193" i="12" l="1"/>
  <c r="BM193" i="13"/>
  <c r="CR193" i="13" s="1"/>
  <c r="BN193" i="13"/>
  <c r="DB193" i="13" s="1"/>
  <c r="BO193" i="13"/>
  <c r="DL193" i="13" s="1"/>
  <c r="BL193" i="13"/>
  <c r="BW193" i="13" s="1"/>
  <c r="BX193" i="13" s="1"/>
  <c r="BF193" i="12" l="1"/>
  <c r="BH193" i="12"/>
  <c r="BK193" i="12"/>
  <c r="BI193" i="12"/>
  <c r="BG193" i="12"/>
  <c r="CS193" i="13"/>
  <c r="CW193" i="13" s="1"/>
  <c r="DC193" i="13"/>
  <c r="DG193" i="13" s="1"/>
  <c r="DM193" i="13"/>
  <c r="DQ193" i="13" s="1"/>
  <c r="CA193" i="13"/>
  <c r="CD193" i="13"/>
  <c r="CC193" i="13"/>
  <c r="CI193" i="13"/>
  <c r="CK193" i="13" s="1"/>
  <c r="CH193" i="13"/>
  <c r="BZ193" i="13"/>
  <c r="CB193" i="13"/>
  <c r="BY193" i="13"/>
  <c r="CE193" i="13"/>
  <c r="BL193" i="12" l="1"/>
  <c r="BW193" i="12" s="1"/>
  <c r="BM193" i="12"/>
  <c r="CR193" i="12" s="1"/>
  <c r="BN193" i="12"/>
  <c r="DB193" i="12" s="1"/>
  <c r="BO193" i="12"/>
  <c r="DL193" i="12" s="1"/>
  <c r="DS193" i="13"/>
  <c r="DW193" i="13" s="1"/>
  <c r="EA193" i="13" s="1"/>
  <c r="CU193" i="13"/>
  <c r="CV193" i="13"/>
  <c r="CT193" i="13"/>
  <c r="DD193" i="13"/>
  <c r="DE193" i="13"/>
  <c r="DF193" i="13"/>
  <c r="DT193" i="13"/>
  <c r="DX193" i="13" s="1"/>
  <c r="EB193" i="13" s="1"/>
  <c r="DU193" i="13"/>
  <c r="DY193" i="13" s="1"/>
  <c r="EC193" i="13" s="1"/>
  <c r="DN193" i="13"/>
  <c r="DP193" i="13"/>
  <c r="DO193" i="13"/>
  <c r="CL193" i="13"/>
  <c r="BB194" i="13" s="1"/>
  <c r="CM193" i="13"/>
  <c r="BX193" i="12" l="1"/>
  <c r="CE193" i="12" s="1"/>
  <c r="CS193" i="12"/>
  <c r="CW193" i="12" s="1"/>
  <c r="DC193" i="12"/>
  <c r="DG193" i="12" s="1"/>
  <c r="DM193" i="12"/>
  <c r="DQ193" i="12" s="1"/>
  <c r="BE194" i="13"/>
  <c r="BD194" i="13"/>
  <c r="CC193" i="12" l="1"/>
  <c r="CD193" i="12"/>
  <c r="CI193" i="12"/>
  <c r="CK193" i="12" s="1"/>
  <c r="CH193" i="12"/>
  <c r="BY193" i="12"/>
  <c r="CA193" i="12"/>
  <c r="CB193" i="12"/>
  <c r="BZ193" i="12"/>
  <c r="CV193" i="12"/>
  <c r="CU193" i="12"/>
  <c r="DS193" i="12"/>
  <c r="DW193" i="12" s="1"/>
  <c r="EA193" i="12" s="1"/>
  <c r="CT193" i="12"/>
  <c r="DD193" i="12"/>
  <c r="DF193" i="12"/>
  <c r="DT193" i="12"/>
  <c r="DX193" i="12" s="1"/>
  <c r="EB193" i="12" s="1"/>
  <c r="DE193" i="12"/>
  <c r="DU193" i="12"/>
  <c r="DY193" i="12" s="1"/>
  <c r="EC193" i="12" s="1"/>
  <c r="G168" i="11" s="1"/>
  <c r="DO193" i="12"/>
  <c r="DP193" i="12"/>
  <c r="DN193" i="12"/>
  <c r="BC194" i="13"/>
  <c r="CM193" i="12" l="1"/>
  <c r="CL193" i="12"/>
  <c r="BB194" i="12" s="1"/>
  <c r="BK194" i="13"/>
  <c r="BH194" i="13"/>
  <c r="BF194" i="13"/>
  <c r="BG194" i="13"/>
  <c r="BI194" i="13"/>
  <c r="BE194" i="12" l="1"/>
  <c r="BO194" i="13"/>
  <c r="DL194" i="13" s="1"/>
  <c r="BL194" i="13"/>
  <c r="BW194" i="13" s="1"/>
  <c r="BN194" i="13"/>
  <c r="DB194" i="13" s="1"/>
  <c r="BM194" i="13"/>
  <c r="CR194" i="13" s="1"/>
  <c r="BC194" i="12" l="1"/>
  <c r="DM194" i="13"/>
  <c r="DQ194" i="13" s="1"/>
  <c r="BX194" i="13"/>
  <c r="CE194" i="13" s="1"/>
  <c r="DC194" i="13"/>
  <c r="DG194" i="13" s="1"/>
  <c r="CS194" i="13"/>
  <c r="CW194" i="13" s="1"/>
  <c r="BG194" i="12" l="1"/>
  <c r="BH194" i="12"/>
  <c r="BK194" i="12"/>
  <c r="BF194" i="12"/>
  <c r="BI194" i="12"/>
  <c r="DP194" i="13"/>
  <c r="DU194" i="13"/>
  <c r="DY194" i="13" s="1"/>
  <c r="EC194" i="13" s="1"/>
  <c r="DN194" i="13"/>
  <c r="DO194" i="13"/>
  <c r="CA194" i="13"/>
  <c r="BZ194" i="13"/>
  <c r="CD194" i="13"/>
  <c r="BY194" i="13"/>
  <c r="CC194" i="13"/>
  <c r="CB194" i="13"/>
  <c r="CI194" i="13"/>
  <c r="CK194" i="13" s="1"/>
  <c r="CH194" i="13"/>
  <c r="DF194" i="13"/>
  <c r="DT194" i="13"/>
  <c r="DX194" i="13" s="1"/>
  <c r="EB194" i="13" s="1"/>
  <c r="DD194" i="13"/>
  <c r="DE194" i="13"/>
  <c r="CT194" i="13"/>
  <c r="CU194" i="13"/>
  <c r="CV194" i="13"/>
  <c r="DS194" i="13"/>
  <c r="DW194" i="13" s="1"/>
  <c r="EA194" i="13" s="1"/>
  <c r="BM194" i="12" l="1"/>
  <c r="CR194" i="12" s="1"/>
  <c r="CS194" i="12" s="1"/>
  <c r="BL194" i="12"/>
  <c r="BW194" i="12" s="1"/>
  <c r="BX194" i="12" s="1"/>
  <c r="BN194" i="12"/>
  <c r="DB194" i="12" s="1"/>
  <c r="DC194" i="12" s="1"/>
  <c r="BO194" i="12"/>
  <c r="DL194" i="12" s="1"/>
  <c r="DM194" i="12" s="1"/>
  <c r="CM194" i="13"/>
  <c r="CL194" i="13"/>
  <c r="BB195" i="13" s="1"/>
  <c r="DS194" i="12" l="1"/>
  <c r="DW194" i="12" s="1"/>
  <c r="EA194" i="12" s="1"/>
  <c r="CV194" i="12"/>
  <c r="CU194" i="12"/>
  <c r="CT194" i="12"/>
  <c r="CW194" i="12"/>
  <c r="CI194" i="12"/>
  <c r="CK194" i="12" s="1"/>
  <c r="CB194" i="12"/>
  <c r="BZ194" i="12"/>
  <c r="CC194" i="12"/>
  <c r="BY194" i="12"/>
  <c r="CH194" i="12"/>
  <c r="CA194" i="12"/>
  <c r="CD194" i="12"/>
  <c r="CE194" i="12"/>
  <c r="DD194" i="12"/>
  <c r="DE194" i="12"/>
  <c r="DF194" i="12"/>
  <c r="DT194" i="12"/>
  <c r="DX194" i="12" s="1"/>
  <c r="EB194" i="12" s="1"/>
  <c r="DG194" i="12"/>
  <c r="DU194" i="12"/>
  <c r="DY194" i="12" s="1"/>
  <c r="EC194" i="12" s="1"/>
  <c r="G169" i="11" s="1"/>
  <c r="DN194" i="12"/>
  <c r="DP194" i="12"/>
  <c r="DO194" i="12"/>
  <c r="DQ194" i="12"/>
  <c r="BE195" i="13"/>
  <c r="BD195" i="13"/>
  <c r="CL194" i="12" l="1"/>
  <c r="BB195" i="12" s="1"/>
  <c r="CM194" i="12"/>
  <c r="BC195" i="13"/>
  <c r="BE195" i="12" l="1"/>
  <c r="BF195" i="13"/>
  <c r="BG195" i="13"/>
  <c r="BH195" i="13"/>
  <c r="BK195" i="13"/>
  <c r="BI195" i="13"/>
  <c r="BC195" i="12" l="1"/>
  <c r="BN195" i="13"/>
  <c r="DB195" i="13" s="1"/>
  <c r="BM195" i="13"/>
  <c r="CR195" i="13" s="1"/>
  <c r="BL195" i="13"/>
  <c r="BW195" i="13" s="1"/>
  <c r="BX195" i="13" s="1"/>
  <c r="BO195" i="13"/>
  <c r="DL195" i="13" s="1"/>
  <c r="BI195" i="12" l="1"/>
  <c r="BF195" i="12"/>
  <c r="BK195" i="12"/>
  <c r="BG195" i="12"/>
  <c r="BH195" i="12"/>
  <c r="DC195" i="13"/>
  <c r="DG195" i="13" s="1"/>
  <c r="CS195" i="13"/>
  <c r="CW195" i="13" s="1"/>
  <c r="CD195" i="13"/>
  <c r="BY195" i="13"/>
  <c r="CA195" i="13"/>
  <c r="CB195" i="13"/>
  <c r="CC195" i="13"/>
  <c r="BZ195" i="13"/>
  <c r="CI195" i="13"/>
  <c r="CK195" i="13" s="1"/>
  <c r="CH195" i="13"/>
  <c r="CE195" i="13"/>
  <c r="DM195" i="13"/>
  <c r="DQ195" i="13" s="1"/>
  <c r="BO195" i="12" l="1"/>
  <c r="DL195" i="12" s="1"/>
  <c r="DM195" i="12" s="1"/>
  <c r="BN195" i="12"/>
  <c r="DB195" i="12" s="1"/>
  <c r="DC195" i="12" s="1"/>
  <c r="BM195" i="12"/>
  <c r="CR195" i="12" s="1"/>
  <c r="CS195" i="12" s="1"/>
  <c r="BL195" i="12"/>
  <c r="BW195" i="12" s="1"/>
  <c r="BX195" i="12" s="1"/>
  <c r="DE195" i="13"/>
  <c r="DD195" i="13"/>
  <c r="DF195" i="13"/>
  <c r="DT195" i="13"/>
  <c r="DX195" i="13" s="1"/>
  <c r="EB195" i="13" s="1"/>
  <c r="CV195" i="13"/>
  <c r="DS195" i="13"/>
  <c r="DW195" i="13" s="1"/>
  <c r="EA195" i="13" s="1"/>
  <c r="CT195" i="13"/>
  <c r="CU195" i="13"/>
  <c r="CM195" i="13"/>
  <c r="CL195" i="13"/>
  <c r="BB196" i="13" s="1"/>
  <c r="DP195" i="13"/>
  <c r="DN195" i="13"/>
  <c r="DU195" i="13"/>
  <c r="DY195" i="13" s="1"/>
  <c r="EC195" i="13" s="1"/>
  <c r="DO195" i="13"/>
  <c r="DN195" i="12" l="1"/>
  <c r="DU195" i="12"/>
  <c r="DY195" i="12" s="1"/>
  <c r="EC195" i="12" s="1"/>
  <c r="G170" i="11" s="1"/>
  <c r="DO195" i="12"/>
  <c r="DP195" i="12"/>
  <c r="DQ195" i="12"/>
  <c r="DF195" i="12"/>
  <c r="DE195" i="12"/>
  <c r="DD195" i="12"/>
  <c r="DT195" i="12"/>
  <c r="DX195" i="12" s="1"/>
  <c r="EB195" i="12" s="1"/>
  <c r="DG195" i="12"/>
  <c r="CT195" i="12"/>
  <c r="CU195" i="12"/>
  <c r="CV195" i="12"/>
  <c r="DS195" i="12"/>
  <c r="DW195" i="12" s="1"/>
  <c r="EA195" i="12" s="1"/>
  <c r="CW195" i="12"/>
  <c r="CI195" i="12"/>
  <c r="CK195" i="12" s="1"/>
  <c r="CB195" i="12"/>
  <c r="BY195" i="12"/>
  <c r="BZ195" i="12"/>
  <c r="CD195" i="12"/>
  <c r="CC195" i="12"/>
  <c r="CH195" i="12"/>
  <c r="CA195" i="12"/>
  <c r="CE195" i="12"/>
  <c r="BE196" i="13"/>
  <c r="BD196" i="13"/>
  <c r="CL195" i="12" l="1"/>
  <c r="BB196" i="12" s="1"/>
  <c r="CM195" i="12"/>
  <c r="BC196" i="13"/>
  <c r="BE196" i="12" l="1"/>
  <c r="BF196" i="13"/>
  <c r="BH196" i="13"/>
  <c r="BK196" i="13"/>
  <c r="BG196" i="13"/>
  <c r="BI196" i="13"/>
  <c r="BC196" i="12" l="1"/>
  <c r="BL196" i="13"/>
  <c r="BW196" i="13" s="1"/>
  <c r="BX196" i="13" s="1"/>
  <c r="BO196" i="13"/>
  <c r="DL196" i="13" s="1"/>
  <c r="BM196" i="13"/>
  <c r="CR196" i="13" s="1"/>
  <c r="BN196" i="13"/>
  <c r="DB196" i="13" s="1"/>
  <c r="BF196" i="12" l="1"/>
  <c r="BG196" i="12"/>
  <c r="BH196" i="12"/>
  <c r="BK196" i="12"/>
  <c r="BI196" i="12"/>
  <c r="BZ196" i="13"/>
  <c r="CA196" i="13"/>
  <c r="CD196" i="13"/>
  <c r="CC196" i="13"/>
  <c r="CI196" i="13"/>
  <c r="CK196" i="13" s="1"/>
  <c r="CH196" i="13"/>
  <c r="CB196" i="13"/>
  <c r="BY196" i="13"/>
  <c r="CE196" i="13"/>
  <c r="DM196" i="13"/>
  <c r="DQ196" i="13" s="1"/>
  <c r="CS196" i="13"/>
  <c r="CW196" i="13" s="1"/>
  <c r="DC196" i="13"/>
  <c r="DG196" i="13" s="1"/>
  <c r="BM196" i="12" l="1"/>
  <c r="CR196" i="12" s="1"/>
  <c r="BL196" i="12"/>
  <c r="BW196" i="12" s="1"/>
  <c r="BO196" i="12"/>
  <c r="DL196" i="12" s="1"/>
  <c r="BN196" i="12"/>
  <c r="DB196" i="12" s="1"/>
  <c r="CL196" i="13"/>
  <c r="BB197" i="13" s="1"/>
  <c r="CM196" i="13"/>
  <c r="DN196" i="13"/>
  <c r="DO196" i="13"/>
  <c r="DP196" i="13"/>
  <c r="DU196" i="13"/>
  <c r="DY196" i="13" s="1"/>
  <c r="EC196" i="13" s="1"/>
  <c r="CV196" i="13"/>
  <c r="DS196" i="13"/>
  <c r="DW196" i="13" s="1"/>
  <c r="EA196" i="13" s="1"/>
  <c r="CT196" i="13"/>
  <c r="CU196" i="13"/>
  <c r="DF196" i="13"/>
  <c r="DT196" i="13"/>
  <c r="DX196" i="13" s="1"/>
  <c r="EB196" i="13" s="1"/>
  <c r="DD196" i="13"/>
  <c r="DE196" i="13"/>
  <c r="CS196" i="12" l="1"/>
  <c r="CW196" i="12" s="1"/>
  <c r="BX196" i="12"/>
  <c r="CE196" i="12" s="1"/>
  <c r="DM196" i="12"/>
  <c r="DQ196" i="12" s="1"/>
  <c r="DC196" i="12"/>
  <c r="DG196" i="12" s="1"/>
  <c r="BE197" i="13"/>
  <c r="BD197" i="13"/>
  <c r="CV196" i="12" l="1"/>
  <c r="CT196" i="12"/>
  <c r="CU196" i="12"/>
  <c r="DS196" i="12"/>
  <c r="DW196" i="12" s="1"/>
  <c r="EA196" i="12" s="1"/>
  <c r="CD196" i="12"/>
  <c r="CH196" i="12"/>
  <c r="CB196" i="12"/>
  <c r="CI196" i="12"/>
  <c r="CK196" i="12" s="1"/>
  <c r="BZ196" i="12"/>
  <c r="BY196" i="12"/>
  <c r="CA196" i="12"/>
  <c r="CC196" i="12"/>
  <c r="DO196" i="12"/>
  <c r="DP196" i="12"/>
  <c r="DN196" i="12"/>
  <c r="DU196" i="12"/>
  <c r="DY196" i="12" s="1"/>
  <c r="EC196" i="12" s="1"/>
  <c r="G171" i="11" s="1"/>
  <c r="DD196" i="12"/>
  <c r="DE196" i="12"/>
  <c r="DF196" i="12"/>
  <c r="DT196" i="12"/>
  <c r="DX196" i="12" s="1"/>
  <c r="EB196" i="12" s="1"/>
  <c r="BC197" i="13"/>
  <c r="CM196" i="12" l="1"/>
  <c r="CL196" i="12"/>
  <c r="BB197" i="12" s="1"/>
  <c r="BH197" i="13"/>
  <c r="BG197" i="13"/>
  <c r="BK197" i="13"/>
  <c r="BF197" i="13"/>
  <c r="BI197" i="13"/>
  <c r="BE197" i="12" l="1"/>
  <c r="BN197" i="13"/>
  <c r="DB197" i="13" s="1"/>
  <c r="BL197" i="13"/>
  <c r="BW197" i="13" s="1"/>
  <c r="BX197" i="13" s="1"/>
  <c r="BM197" i="13"/>
  <c r="CR197" i="13" s="1"/>
  <c r="BO197" i="13"/>
  <c r="DL197" i="13" s="1"/>
  <c r="DM197" i="13" s="1"/>
  <c r="BC197" i="12" l="1"/>
  <c r="BH197" i="12" s="1"/>
  <c r="DC197" i="13"/>
  <c r="DG197" i="13" s="1"/>
  <c r="CH197" i="13"/>
  <c r="CI197" i="13"/>
  <c r="CK197" i="13" s="1"/>
  <c r="CD197" i="13"/>
  <c r="BY197" i="13"/>
  <c r="CB197" i="13"/>
  <c r="BZ197" i="13"/>
  <c r="CC197" i="13"/>
  <c r="CA197" i="13"/>
  <c r="CE197" i="13"/>
  <c r="CS197" i="13"/>
  <c r="CW197" i="13" s="1"/>
  <c r="DN197" i="13"/>
  <c r="DO197" i="13"/>
  <c r="DU197" i="13"/>
  <c r="DY197" i="13" s="1"/>
  <c r="EC197" i="13" s="1"/>
  <c r="DP197" i="13"/>
  <c r="DQ197" i="13"/>
  <c r="BK197" i="12" l="1"/>
  <c r="BL197" i="12" s="1"/>
  <c r="BW197" i="12" s="1"/>
  <c r="BF197" i="12"/>
  <c r="BG197" i="12"/>
  <c r="BI197" i="12"/>
  <c r="DT197" i="13"/>
  <c r="DX197" i="13" s="1"/>
  <c r="EB197" i="13" s="1"/>
  <c r="DE197" i="13"/>
  <c r="DD197" i="13"/>
  <c r="DF197" i="13"/>
  <c r="CL197" i="13"/>
  <c r="BB198" i="13" s="1"/>
  <c r="CM197" i="13"/>
  <c r="CT197" i="13"/>
  <c r="CV197" i="13"/>
  <c r="DS197" i="13"/>
  <c r="DW197" i="13" s="1"/>
  <c r="EA197" i="13" s="1"/>
  <c r="CU197" i="13"/>
  <c r="BN197" i="12" l="1"/>
  <c r="DB197" i="12" s="1"/>
  <c r="DC197" i="12" s="1"/>
  <c r="DG197" i="12" s="1"/>
  <c r="BO197" i="12"/>
  <c r="DL197" i="12" s="1"/>
  <c r="DM197" i="12" s="1"/>
  <c r="DQ197" i="12" s="1"/>
  <c r="BM197" i="12"/>
  <c r="CR197" i="12" s="1"/>
  <c r="CS197" i="12" s="1"/>
  <c r="CW197" i="12" s="1"/>
  <c r="BX197" i="12"/>
  <c r="CE197" i="12" s="1"/>
  <c r="BE198" i="13"/>
  <c r="BD198" i="13"/>
  <c r="DT197" i="12" l="1"/>
  <c r="DX197" i="12" s="1"/>
  <c r="EB197" i="12" s="1"/>
  <c r="DD197" i="12"/>
  <c r="DF197" i="12"/>
  <c r="DE197" i="12"/>
  <c r="BY197" i="12"/>
  <c r="CB197" i="12"/>
  <c r="CA197" i="12"/>
  <c r="CD197" i="12"/>
  <c r="CC197" i="12"/>
  <c r="CH197" i="12"/>
  <c r="BZ197" i="12"/>
  <c r="CI197" i="12"/>
  <c r="CK197" i="12" s="1"/>
  <c r="DP197" i="12"/>
  <c r="DO197" i="12"/>
  <c r="DU197" i="12"/>
  <c r="DY197" i="12" s="1"/>
  <c r="EC197" i="12" s="1"/>
  <c r="G172" i="11" s="1"/>
  <c r="DN197" i="12"/>
  <c r="CU197" i="12"/>
  <c r="CT197" i="12"/>
  <c r="CV197" i="12"/>
  <c r="DS197" i="12"/>
  <c r="DW197" i="12" s="1"/>
  <c r="EA197" i="12" s="1"/>
  <c r="BC198" i="13"/>
  <c r="CM197" i="12" l="1"/>
  <c r="CL197" i="12"/>
  <c r="BB198" i="12" s="1"/>
  <c r="BF198" i="13"/>
  <c r="BK198" i="13"/>
  <c r="BH198" i="13"/>
  <c r="BG198" i="13"/>
  <c r="BI198" i="13"/>
  <c r="BE198" i="12" l="1"/>
  <c r="BO198" i="13"/>
  <c r="DL198" i="13" s="1"/>
  <c r="BN198" i="13"/>
  <c r="DB198" i="13" s="1"/>
  <c r="BM198" i="13"/>
  <c r="CR198" i="13" s="1"/>
  <c r="BL198" i="13"/>
  <c r="BW198" i="13" s="1"/>
  <c r="BX198" i="13" s="1"/>
  <c r="BC198" i="12" l="1"/>
  <c r="DM198" i="13"/>
  <c r="DQ198" i="13" s="1"/>
  <c r="DC198" i="13"/>
  <c r="DG198" i="13" s="1"/>
  <c r="CS198" i="13"/>
  <c r="CW198" i="13" s="1"/>
  <c r="BZ198" i="13"/>
  <c r="CA198" i="13"/>
  <c r="CD198" i="13"/>
  <c r="BY198" i="13"/>
  <c r="CB198" i="13"/>
  <c r="CC198" i="13"/>
  <c r="CH198" i="13"/>
  <c r="CI198" i="13"/>
  <c r="CK198" i="13" s="1"/>
  <c r="CE198" i="13"/>
  <c r="BG198" i="12" l="1"/>
  <c r="BF198" i="12"/>
  <c r="BH198" i="12"/>
  <c r="BK198" i="12"/>
  <c r="BI198" i="12"/>
  <c r="DO198" i="13"/>
  <c r="DP198" i="13"/>
  <c r="DN198" i="13"/>
  <c r="DU198" i="13"/>
  <c r="DY198" i="13" s="1"/>
  <c r="EC198" i="13" s="1"/>
  <c r="DF198" i="13"/>
  <c r="DT198" i="13"/>
  <c r="DX198" i="13" s="1"/>
  <c r="EB198" i="13" s="1"/>
  <c r="DD198" i="13"/>
  <c r="DE198" i="13"/>
  <c r="CT198" i="13"/>
  <c r="CV198" i="13"/>
  <c r="DS198" i="13"/>
  <c r="DW198" i="13" s="1"/>
  <c r="EA198" i="13" s="1"/>
  <c r="CU198" i="13"/>
  <c r="CM198" i="13"/>
  <c r="CL198" i="13"/>
  <c r="BB199" i="13" s="1"/>
  <c r="BO198" i="12" l="1"/>
  <c r="DL198" i="12" s="1"/>
  <c r="DM198" i="12" s="1"/>
  <c r="BN198" i="12"/>
  <c r="DB198" i="12" s="1"/>
  <c r="DC198" i="12" s="1"/>
  <c r="BM198" i="12"/>
  <c r="CR198" i="12" s="1"/>
  <c r="CS198" i="12" s="1"/>
  <c r="BL198" i="12"/>
  <c r="BW198" i="12" s="1"/>
  <c r="BX198" i="12" s="1"/>
  <c r="BE199" i="13"/>
  <c r="BD199" i="13"/>
  <c r="DU198" i="12" l="1"/>
  <c r="DY198" i="12" s="1"/>
  <c r="EC198" i="12" s="1"/>
  <c r="G173" i="11" s="1"/>
  <c r="DP198" i="12"/>
  <c r="DO198" i="12"/>
  <c r="DN198" i="12"/>
  <c r="DQ198" i="12"/>
  <c r="DF198" i="12"/>
  <c r="DT198" i="12"/>
  <c r="DX198" i="12" s="1"/>
  <c r="EB198" i="12" s="1"/>
  <c r="DD198" i="12"/>
  <c r="DE198" i="12"/>
  <c r="DG198" i="12"/>
  <c r="CV198" i="12"/>
  <c r="CT198" i="12"/>
  <c r="CU198" i="12"/>
  <c r="DS198" i="12"/>
  <c r="DW198" i="12" s="1"/>
  <c r="EA198" i="12" s="1"/>
  <c r="CW198" i="12"/>
  <c r="CD198" i="12"/>
  <c r="CC198" i="12"/>
  <c r="BZ198" i="12"/>
  <c r="CB198" i="12"/>
  <c r="BY198" i="12"/>
  <c r="CH198" i="12"/>
  <c r="CA198" i="12"/>
  <c r="CI198" i="12"/>
  <c r="CK198" i="12" s="1"/>
  <c r="CE198" i="12"/>
  <c r="BC199" i="13"/>
  <c r="CL198" i="12" l="1"/>
  <c r="BB199" i="12" s="1"/>
  <c r="CM198" i="12"/>
  <c r="BF199" i="13"/>
  <c r="BH199" i="13"/>
  <c r="BK199" i="13"/>
  <c r="BG199" i="13"/>
  <c r="BI199" i="13"/>
  <c r="BE199" i="12" l="1"/>
  <c r="BL199" i="13"/>
  <c r="BW199" i="13" s="1"/>
  <c r="BX199" i="13" s="1"/>
  <c r="BM199" i="13"/>
  <c r="CR199" i="13" s="1"/>
  <c r="BN199" i="13"/>
  <c r="DB199" i="13" s="1"/>
  <c r="BO199" i="13"/>
  <c r="DL199" i="13" s="1"/>
  <c r="BC199" i="12" l="1"/>
  <c r="BY199" i="13"/>
  <c r="CB199" i="13"/>
  <c r="CC199" i="13"/>
  <c r="BZ199" i="13"/>
  <c r="CI199" i="13"/>
  <c r="CK199" i="13" s="1"/>
  <c r="CH199" i="13"/>
  <c r="CA199" i="13"/>
  <c r="CD199" i="13"/>
  <c r="CE199" i="13"/>
  <c r="CS199" i="13"/>
  <c r="CW199" i="13" s="1"/>
  <c r="DC199" i="13"/>
  <c r="DG199" i="13" s="1"/>
  <c r="DM199" i="13"/>
  <c r="DQ199" i="13" s="1"/>
  <c r="BH199" i="12" l="1"/>
  <c r="BG199" i="12"/>
  <c r="BK199" i="12"/>
  <c r="BF199" i="12"/>
  <c r="BI199" i="12"/>
  <c r="CL199" i="13"/>
  <c r="BB200" i="13" s="1"/>
  <c r="CM199" i="13"/>
  <c r="CV199" i="13"/>
  <c r="DS199" i="13"/>
  <c r="DW199" i="13" s="1"/>
  <c r="EA199" i="13" s="1"/>
  <c r="CT199" i="13"/>
  <c r="CU199" i="13"/>
  <c r="DF199" i="13"/>
  <c r="DT199" i="13"/>
  <c r="DX199" i="13" s="1"/>
  <c r="EB199" i="13" s="1"/>
  <c r="DD199" i="13"/>
  <c r="DE199" i="13"/>
  <c r="DP199" i="13"/>
  <c r="DU199" i="13"/>
  <c r="DY199" i="13" s="1"/>
  <c r="EC199" i="13" s="1"/>
  <c r="DN199" i="13"/>
  <c r="DO199" i="13"/>
  <c r="BO199" i="12" l="1"/>
  <c r="DL199" i="12" s="1"/>
  <c r="DM199" i="12" s="1"/>
  <c r="BM199" i="12"/>
  <c r="CR199" i="12" s="1"/>
  <c r="CS199" i="12" s="1"/>
  <c r="BL199" i="12"/>
  <c r="BW199" i="12" s="1"/>
  <c r="BX199" i="12" s="1"/>
  <c r="BN199" i="12"/>
  <c r="DB199" i="12" s="1"/>
  <c r="DC199" i="12" s="1"/>
  <c r="BE200" i="13"/>
  <c r="BD200" i="13"/>
  <c r="DQ199" i="12" l="1"/>
  <c r="DO199" i="12"/>
  <c r="DN199" i="12"/>
  <c r="DP199" i="12"/>
  <c r="DU199" i="12"/>
  <c r="DY199" i="12" s="1"/>
  <c r="EC199" i="12" s="1"/>
  <c r="G174" i="11" s="1"/>
  <c r="CW199" i="12"/>
  <c r="CT199" i="12"/>
  <c r="CU199" i="12"/>
  <c r="CV199" i="12"/>
  <c r="DS199" i="12"/>
  <c r="DW199" i="12" s="1"/>
  <c r="EA199" i="12" s="1"/>
  <c r="CE199" i="12"/>
  <c r="CD199" i="12"/>
  <c r="CB199" i="12"/>
  <c r="BY199" i="12"/>
  <c r="CI199" i="12"/>
  <c r="CK199" i="12" s="1"/>
  <c r="BZ199" i="12"/>
  <c r="CC199" i="12"/>
  <c r="CA199" i="12"/>
  <c r="CH199" i="12"/>
  <c r="DG199" i="12"/>
  <c r="DD199" i="12"/>
  <c r="DT199" i="12"/>
  <c r="DX199" i="12" s="1"/>
  <c r="EB199" i="12" s="1"/>
  <c r="DF199" i="12"/>
  <c r="DE199" i="12"/>
  <c r="BC200" i="13"/>
  <c r="CL199" i="12" l="1"/>
  <c r="BB200" i="12" s="1"/>
  <c r="CM199" i="12"/>
  <c r="BI200" i="13"/>
  <c r="BF200" i="13"/>
  <c r="BH200" i="13"/>
  <c r="BK200" i="13"/>
  <c r="BG200" i="13"/>
  <c r="BE200" i="12" l="1"/>
  <c r="BN200" i="13"/>
  <c r="DB200" i="13" s="1"/>
  <c r="DC200" i="13" s="1"/>
  <c r="DG200" i="13" s="1"/>
  <c r="BL200" i="13"/>
  <c r="BW200" i="13" s="1"/>
  <c r="BM200" i="13"/>
  <c r="CR200" i="13" s="1"/>
  <c r="CS200" i="13" s="1"/>
  <c r="CW200" i="13" s="1"/>
  <c r="BO200" i="13"/>
  <c r="DL200" i="13" s="1"/>
  <c r="DM200" i="13" s="1"/>
  <c r="DQ200" i="13" s="1"/>
  <c r="BC200" i="12" l="1"/>
  <c r="BI200" i="12" s="1"/>
  <c r="BX200" i="13"/>
  <c r="CE200" i="13" s="1"/>
  <c r="DS200" i="13"/>
  <c r="DW200" i="13" s="1"/>
  <c r="EA200" i="13" s="1"/>
  <c r="CU200" i="13"/>
  <c r="CV200" i="13"/>
  <c r="CT200" i="13"/>
  <c r="DO200" i="13"/>
  <c r="DP200" i="13"/>
  <c r="DU200" i="13"/>
  <c r="DY200" i="13" s="1"/>
  <c r="EC200" i="13" s="1"/>
  <c r="DN200" i="13"/>
  <c r="DT200" i="13"/>
  <c r="DX200" i="13" s="1"/>
  <c r="EB200" i="13" s="1"/>
  <c r="DE200" i="13"/>
  <c r="DF200" i="13"/>
  <c r="DD200" i="13"/>
  <c r="BH200" i="12" l="1"/>
  <c r="BK200" i="12"/>
  <c r="BF200" i="12"/>
  <c r="BG200" i="12"/>
  <c r="CI200" i="13"/>
  <c r="CK200" i="13" s="1"/>
  <c r="CH200" i="13"/>
  <c r="BZ200" i="13"/>
  <c r="CA200" i="13"/>
  <c r="CD200" i="13"/>
  <c r="BY200" i="13"/>
  <c r="CC200" i="13"/>
  <c r="CB200" i="13"/>
  <c r="BO200" i="12" l="1"/>
  <c r="DL200" i="12" s="1"/>
  <c r="DM200" i="12" s="1"/>
  <c r="BL200" i="12"/>
  <c r="BW200" i="12" s="1"/>
  <c r="BX200" i="12" s="1"/>
  <c r="BN200" i="12"/>
  <c r="DB200" i="12" s="1"/>
  <c r="DC200" i="12" s="1"/>
  <c r="BM200" i="12"/>
  <c r="CR200" i="12" s="1"/>
  <c r="CS200" i="12" s="1"/>
  <c r="CL200" i="13"/>
  <c r="BB201" i="13" s="1"/>
  <c r="CM200" i="13"/>
  <c r="DQ200" i="12" l="1"/>
  <c r="DP200" i="12"/>
  <c r="DU200" i="12"/>
  <c r="DY200" i="12" s="1"/>
  <c r="EC200" i="12" s="1"/>
  <c r="G175" i="11" s="1"/>
  <c r="DO200" i="12"/>
  <c r="DN200" i="12"/>
  <c r="CE200" i="12"/>
  <c r="CB200" i="12"/>
  <c r="BY200" i="12"/>
  <c r="CH200" i="12"/>
  <c r="BZ200" i="12"/>
  <c r="CC200" i="12"/>
  <c r="CA200" i="12"/>
  <c r="CI200" i="12"/>
  <c r="CK200" i="12" s="1"/>
  <c r="CD200" i="12"/>
  <c r="DG200" i="12"/>
  <c r="DT200" i="12"/>
  <c r="DX200" i="12" s="1"/>
  <c r="EB200" i="12" s="1"/>
  <c r="DF200" i="12"/>
  <c r="DE200" i="12"/>
  <c r="DD200" i="12"/>
  <c r="CW200" i="12"/>
  <c r="DS200" i="12"/>
  <c r="DW200" i="12" s="1"/>
  <c r="EA200" i="12" s="1"/>
  <c r="CU200" i="12"/>
  <c r="CT200" i="12"/>
  <c r="CV200" i="12"/>
  <c r="BD201" i="13"/>
  <c r="BE201" i="13"/>
  <c r="CL200" i="12" l="1"/>
  <c r="BB201" i="12" s="1"/>
  <c r="CM200" i="12"/>
  <c r="BC201" i="13"/>
  <c r="BI201" i="13" s="1"/>
  <c r="BE201" i="12" l="1"/>
  <c r="BK201" i="13"/>
  <c r="BG201" i="13"/>
  <c r="BF201" i="13"/>
  <c r="BH201" i="13"/>
  <c r="BC201" i="12" l="1"/>
  <c r="BN201" i="13"/>
  <c r="DB201" i="13" s="1"/>
  <c r="DC201" i="13" s="1"/>
  <c r="DG201" i="13" s="1"/>
  <c r="BL201" i="13"/>
  <c r="BW201" i="13" s="1"/>
  <c r="BM201" i="13"/>
  <c r="CR201" i="13" s="1"/>
  <c r="BO201" i="13"/>
  <c r="DL201" i="13" s="1"/>
  <c r="DM201" i="13" s="1"/>
  <c r="DQ201" i="13" s="1"/>
  <c r="BI201" i="12" l="1"/>
  <c r="BH201" i="12"/>
  <c r="BK201" i="12"/>
  <c r="BG201" i="12"/>
  <c r="BF201" i="12"/>
  <c r="BX201" i="13"/>
  <c r="CE201" i="13" s="1"/>
  <c r="CS201" i="13"/>
  <c r="DT201" i="13"/>
  <c r="DX201" i="13" s="1"/>
  <c r="EB201" i="13" s="1"/>
  <c r="DF201" i="13"/>
  <c r="DE201" i="13"/>
  <c r="DD201" i="13"/>
  <c r="DN201" i="13"/>
  <c r="DU201" i="13"/>
  <c r="DY201" i="13" s="1"/>
  <c r="EC201" i="13" s="1"/>
  <c r="DP201" i="13"/>
  <c r="DO201" i="13"/>
  <c r="BL201" i="12" l="1"/>
  <c r="BW201" i="12" s="1"/>
  <c r="BX201" i="12" s="1"/>
  <c r="BN201" i="12"/>
  <c r="DB201" i="12" s="1"/>
  <c r="DC201" i="12" s="1"/>
  <c r="BM201" i="12"/>
  <c r="CR201" i="12" s="1"/>
  <c r="CS201" i="12" s="1"/>
  <c r="BO201" i="12"/>
  <c r="DL201" i="12" s="1"/>
  <c r="DM201" i="12" s="1"/>
  <c r="CI201" i="13"/>
  <c r="CK201" i="13" s="1"/>
  <c r="CH201" i="13"/>
  <c r="BZ201" i="13"/>
  <c r="CB201" i="13"/>
  <c r="BY201" i="13"/>
  <c r="CA201" i="13"/>
  <c r="CC201" i="13"/>
  <c r="CD201" i="13"/>
  <c r="CW201" i="13"/>
  <c r="CV201" i="13"/>
  <c r="DS201" i="13"/>
  <c r="DW201" i="13" s="1"/>
  <c r="EA201" i="13" s="1"/>
  <c r="CU201" i="13"/>
  <c r="CT201" i="13"/>
  <c r="CE201" i="12" l="1"/>
  <c r="CB201" i="12"/>
  <c r="CH201" i="12"/>
  <c r="BZ201" i="12"/>
  <c r="CI201" i="12"/>
  <c r="CK201" i="12" s="1"/>
  <c r="CA201" i="12"/>
  <c r="CD201" i="12"/>
  <c r="CC201" i="12"/>
  <c r="BY201" i="12"/>
  <c r="DG201" i="12"/>
  <c r="DT201" i="12"/>
  <c r="DX201" i="12" s="1"/>
  <c r="EB201" i="12" s="1"/>
  <c r="DE201" i="12"/>
  <c r="DD201" i="12"/>
  <c r="DF201" i="12"/>
  <c r="CW201" i="12"/>
  <c r="DS201" i="12"/>
  <c r="DW201" i="12" s="1"/>
  <c r="EA201" i="12" s="1"/>
  <c r="CT201" i="12"/>
  <c r="CU201" i="12"/>
  <c r="CV201" i="12"/>
  <c r="DQ201" i="12"/>
  <c r="DO201" i="12"/>
  <c r="DP201" i="12"/>
  <c r="DN201" i="12"/>
  <c r="DU201" i="12"/>
  <c r="DY201" i="12" s="1"/>
  <c r="EC201" i="12" s="1"/>
  <c r="CL201" i="13"/>
  <c r="BB202" i="13" s="1"/>
  <c r="CM201" i="13"/>
  <c r="CM201" i="12" l="1"/>
  <c r="CL201" i="12"/>
  <c r="BB202" i="12" s="1"/>
  <c r="BD202" i="13"/>
  <c r="BE202" i="13"/>
  <c r="BE202" i="12" l="1"/>
  <c r="BC202" i="13"/>
  <c r="BC202" i="12" l="1"/>
  <c r="BH202" i="13"/>
  <c r="BI202" i="13"/>
  <c r="BF202" i="13"/>
  <c r="BG202" i="13"/>
  <c r="BK202" i="13"/>
  <c r="BH202" i="12" l="1"/>
  <c r="BF202" i="12"/>
  <c r="BI202" i="12"/>
  <c r="BK202" i="12"/>
  <c r="BG202" i="12"/>
  <c r="BM202" i="13"/>
  <c r="CR202" i="13" s="1"/>
  <c r="CS202" i="13" s="1"/>
  <c r="BL202" i="13"/>
  <c r="BW202" i="13" s="1"/>
  <c r="BX202" i="13" s="1"/>
  <c r="CE202" i="13" s="1"/>
  <c r="BN202" i="13"/>
  <c r="DB202" i="13" s="1"/>
  <c r="DC202" i="13" s="1"/>
  <c r="BO202" i="13"/>
  <c r="DL202" i="13" s="1"/>
  <c r="DM202" i="13" s="1"/>
  <c r="BL202" i="12" l="1"/>
  <c r="BW202" i="12" s="1"/>
  <c r="BX202" i="12" s="1"/>
  <c r="BN202" i="12"/>
  <c r="DB202" i="12" s="1"/>
  <c r="DC202" i="12" s="1"/>
  <c r="BO202" i="12"/>
  <c r="DL202" i="12" s="1"/>
  <c r="DM202" i="12" s="1"/>
  <c r="BM202" i="12"/>
  <c r="CR202" i="12" s="1"/>
  <c r="CS202" i="12" s="1"/>
  <c r="CW202" i="13"/>
  <c r="CT202" i="13"/>
  <c r="CU202" i="13"/>
  <c r="CV202" i="13"/>
  <c r="DS202" i="13"/>
  <c r="DW202" i="13" s="1"/>
  <c r="EA202" i="13" s="1"/>
  <c r="DG202" i="13"/>
  <c r="DE202" i="13"/>
  <c r="DD202" i="13"/>
  <c r="DF202" i="13"/>
  <c r="DT202" i="13"/>
  <c r="DX202" i="13" s="1"/>
  <c r="EB202" i="13" s="1"/>
  <c r="DQ202" i="13"/>
  <c r="DN202" i="13"/>
  <c r="DU202" i="13"/>
  <c r="DY202" i="13" s="1"/>
  <c r="EC202" i="13" s="1"/>
  <c r="DP202" i="13"/>
  <c r="DO202" i="13"/>
  <c r="CI202" i="13"/>
  <c r="CK202" i="13" s="1"/>
  <c r="CH202" i="13"/>
  <c r="CA202" i="13"/>
  <c r="BY202" i="13"/>
  <c r="CC202" i="13"/>
  <c r="BZ202" i="13"/>
  <c r="CD202" i="13"/>
  <c r="CB202" i="13"/>
  <c r="CE202" i="12" l="1"/>
  <c r="CH202" i="12"/>
  <c r="CC202" i="12"/>
  <c r="CA202" i="12"/>
  <c r="CI202" i="12"/>
  <c r="CK202" i="12" s="1"/>
  <c r="CD202" i="12"/>
  <c r="BY202" i="12"/>
  <c r="BZ202" i="12"/>
  <c r="CB202" i="12"/>
  <c r="DG202" i="12"/>
  <c r="DF202" i="12"/>
  <c r="DE202" i="12"/>
  <c r="DD202" i="12"/>
  <c r="DT202" i="12"/>
  <c r="DX202" i="12" s="1"/>
  <c r="EB202" i="12" s="1"/>
  <c r="DO202" i="12"/>
  <c r="DP202" i="12"/>
  <c r="CW202" i="12"/>
  <c r="CU202" i="12"/>
  <c r="CV202" i="12"/>
  <c r="DS202" i="12"/>
  <c r="DW202" i="12" s="1"/>
  <c r="EA202" i="12" s="1"/>
  <c r="CT202" i="12"/>
  <c r="DQ202" i="12"/>
  <c r="DN202" i="12"/>
  <c r="DU202" i="12"/>
  <c r="DY202" i="12" s="1"/>
  <c r="EC202" i="12" s="1"/>
  <c r="CL202" i="13"/>
  <c r="BB203" i="13" s="1"/>
  <c r="CM202" i="13"/>
  <c r="G177" i="11" l="1"/>
  <c r="G176" i="11"/>
  <c r="CL202" i="12"/>
  <c r="BB203" i="12" s="1"/>
  <c r="CM202" i="12"/>
  <c r="BE203" i="13"/>
  <c r="BD203" i="13"/>
  <c r="BE203" i="12" l="1"/>
  <c r="BC203" i="13"/>
  <c r="BF203" i="13" s="1"/>
  <c r="BC203" i="12" l="1"/>
  <c r="BI203" i="13"/>
  <c r="BK203" i="13"/>
  <c r="BG203" i="13"/>
  <c r="BH203" i="13"/>
  <c r="BK203" i="12" l="1"/>
  <c r="BO203" i="12" s="1"/>
  <c r="DL203" i="12" s="1"/>
  <c r="BI203" i="12"/>
  <c r="BG203" i="12"/>
  <c r="BH203" i="12"/>
  <c r="BF203" i="12"/>
  <c r="BM203" i="13"/>
  <c r="CR203" i="13" s="1"/>
  <c r="BN203" i="13"/>
  <c r="DB203" i="13" s="1"/>
  <c r="BO203" i="13"/>
  <c r="DL203" i="13" s="1"/>
  <c r="BL203" i="13"/>
  <c r="BW203" i="13" s="1"/>
  <c r="BN203" i="12" l="1"/>
  <c r="DB203" i="12" s="1"/>
  <c r="DC203" i="12" s="1"/>
  <c r="DG203" i="12" s="1"/>
  <c r="BL203" i="12"/>
  <c r="BW203" i="12" s="1"/>
  <c r="BX203" i="12" s="1"/>
  <c r="CE203" i="12" s="1"/>
  <c r="BM203" i="12"/>
  <c r="CR203" i="12" s="1"/>
  <c r="CS203" i="12" s="1"/>
  <c r="CW203" i="12" s="1"/>
  <c r="DM203" i="12"/>
  <c r="DQ203" i="12" s="1"/>
  <c r="CS203" i="13"/>
  <c r="CW203" i="13" s="1"/>
  <c r="DC203" i="13"/>
  <c r="DG203" i="13" s="1"/>
  <c r="DM203" i="13"/>
  <c r="DQ203" i="13" s="1"/>
  <c r="BX203" i="13"/>
  <c r="CE203" i="13" s="1"/>
  <c r="DE203" i="12" l="1"/>
  <c r="DT203" i="12"/>
  <c r="DX203" i="12" s="1"/>
  <c r="EB203" i="12" s="1"/>
  <c r="DF203" i="12"/>
  <c r="DD203" i="12"/>
  <c r="CH203" i="12"/>
  <c r="BZ203" i="12"/>
  <c r="CC203" i="12"/>
  <c r="BY203" i="12"/>
  <c r="CI203" i="12"/>
  <c r="CK203" i="12" s="1"/>
  <c r="CB203" i="12"/>
  <c r="CD203" i="12"/>
  <c r="CA203" i="12"/>
  <c r="CT203" i="12"/>
  <c r="DS203" i="12"/>
  <c r="DW203" i="12" s="1"/>
  <c r="EA203" i="12" s="1"/>
  <c r="CU203" i="12"/>
  <c r="CV203" i="12"/>
  <c r="DU203" i="12"/>
  <c r="DY203" i="12" s="1"/>
  <c r="EC203" i="12" s="1"/>
  <c r="DP203" i="12"/>
  <c r="DO203" i="12"/>
  <c r="DN203" i="12"/>
  <c r="CU203" i="13"/>
  <c r="CV203" i="13"/>
  <c r="CT203" i="13"/>
  <c r="DS203" i="13"/>
  <c r="DW203" i="13" s="1"/>
  <c r="EA203" i="13" s="1"/>
  <c r="DE203" i="13"/>
  <c r="DT203" i="13"/>
  <c r="DX203" i="13" s="1"/>
  <c r="EB203" i="13" s="1"/>
  <c r="DD203" i="13"/>
  <c r="DF203" i="13"/>
  <c r="DP203" i="13"/>
  <c r="DN203" i="13"/>
  <c r="DO203" i="13"/>
  <c r="DU203" i="13"/>
  <c r="DY203" i="13" s="1"/>
  <c r="EC203" i="13" s="1"/>
  <c r="BY203" i="13"/>
  <c r="CB203" i="13"/>
  <c r="CH203" i="13"/>
  <c r="CI203" i="13"/>
  <c r="CK203" i="13" s="1"/>
  <c r="CA203" i="13"/>
  <c r="CD203" i="13"/>
  <c r="BZ203" i="13"/>
  <c r="CC203" i="13"/>
  <c r="CM203" i="12" l="1"/>
  <c r="CL203" i="12"/>
  <c r="BB204" i="12" s="1"/>
  <c r="CL203" i="13"/>
  <c r="BB204" i="13" s="1"/>
  <c r="CM203" i="13"/>
  <c r="BE204" i="12" l="1"/>
  <c r="BD204" i="13"/>
  <c r="BE204" i="13"/>
  <c r="BC204" i="12" l="1"/>
  <c r="BH204" i="12" s="1"/>
  <c r="BC204" i="13"/>
  <c r="BF204" i="12" l="1"/>
  <c r="BK204" i="12"/>
  <c r="BL204" i="12" s="1"/>
  <c r="BW204" i="12" s="1"/>
  <c r="BI204" i="12"/>
  <c r="BG204" i="12"/>
  <c r="BI204" i="13"/>
  <c r="BG204" i="13"/>
  <c r="BK204" i="13"/>
  <c r="BF204" i="13"/>
  <c r="BH204" i="13"/>
  <c r="BN204" i="12" l="1"/>
  <c r="DB204" i="12" s="1"/>
  <c r="BM204" i="12"/>
  <c r="CR204" i="12" s="1"/>
  <c r="CS204" i="12" s="1"/>
  <c r="CW204" i="12" s="1"/>
  <c r="BO204" i="12"/>
  <c r="DL204" i="12" s="1"/>
  <c r="DM204" i="12" s="1"/>
  <c r="DQ204" i="12" s="1"/>
  <c r="BX204" i="12"/>
  <c r="CE204" i="12" s="1"/>
  <c r="BN204" i="13"/>
  <c r="DB204" i="13" s="1"/>
  <c r="DC204" i="13" s="1"/>
  <c r="BO204" i="13"/>
  <c r="DL204" i="13" s="1"/>
  <c r="DM204" i="13" s="1"/>
  <c r="BM204" i="13"/>
  <c r="CR204" i="13" s="1"/>
  <c r="CS204" i="13" s="1"/>
  <c r="CV204" i="13" s="1"/>
  <c r="BL204" i="13"/>
  <c r="BW204" i="13" s="1"/>
  <c r="DC204" i="12" l="1"/>
  <c r="CI204" i="12"/>
  <c r="CK204" i="12" s="1"/>
  <c r="BZ204" i="12"/>
  <c r="CA204" i="12"/>
  <c r="CD204" i="12"/>
  <c r="CH204" i="12"/>
  <c r="CB204" i="12"/>
  <c r="CC204" i="12"/>
  <c r="BY204" i="12"/>
  <c r="CT204" i="12"/>
  <c r="CU204" i="12"/>
  <c r="CV204" i="12"/>
  <c r="DS204" i="12"/>
  <c r="DW204" i="12" s="1"/>
  <c r="EA204" i="12" s="1"/>
  <c r="DP204" i="12"/>
  <c r="DN204" i="12"/>
  <c r="DO204" i="12"/>
  <c r="DU204" i="12"/>
  <c r="DY204" i="12" s="1"/>
  <c r="EC204" i="12" s="1"/>
  <c r="G178" i="11" s="1"/>
  <c r="DQ204" i="13"/>
  <c r="DP204" i="13"/>
  <c r="DO204" i="13"/>
  <c r="DU204" i="13"/>
  <c r="DY204" i="13" s="1"/>
  <c r="EC204" i="13" s="1"/>
  <c r="DN204" i="13"/>
  <c r="CW204" i="13"/>
  <c r="DS204" i="13"/>
  <c r="DW204" i="13" s="1"/>
  <c r="EA204" i="13" s="1"/>
  <c r="CT204" i="13"/>
  <c r="CU204" i="13"/>
  <c r="BX204" i="13"/>
  <c r="CE204" i="13" s="1"/>
  <c r="DG204" i="13"/>
  <c r="DF204" i="13"/>
  <c r="DT204" i="13"/>
  <c r="DX204" i="13" s="1"/>
  <c r="EB204" i="13" s="1"/>
  <c r="DD204" i="13"/>
  <c r="DE204" i="13"/>
  <c r="DF204" i="12" l="1"/>
  <c r="DE204" i="12"/>
  <c r="DD204" i="12"/>
  <c r="DT204" i="12"/>
  <c r="DX204" i="12" s="1"/>
  <c r="EB204" i="12" s="1"/>
  <c r="DG204" i="12"/>
  <c r="CL204" i="12"/>
  <c r="BB205" i="12" s="1"/>
  <c r="CM204" i="12"/>
  <c r="BY204" i="13"/>
  <c r="CB204" i="13"/>
  <c r="CA204" i="13"/>
  <c r="CI204" i="13"/>
  <c r="CK204" i="13" s="1"/>
  <c r="CC204" i="13"/>
  <c r="BZ204" i="13"/>
  <c r="CD204" i="13"/>
  <c r="CH204" i="13"/>
  <c r="BE205" i="12" l="1"/>
  <c r="CM204" i="13"/>
  <c r="CL204" i="13"/>
  <c r="BB205" i="13" s="1"/>
  <c r="BC205" i="12" l="1"/>
  <c r="BH205" i="12" s="1"/>
  <c r="BD205" i="13"/>
  <c r="BE205" i="13"/>
  <c r="BG205" i="12" l="1"/>
  <c r="BF205" i="12"/>
  <c r="BK205" i="12"/>
  <c r="BI205" i="12"/>
  <c r="BC205" i="13"/>
  <c r="BL205" i="12" l="1"/>
  <c r="BW205" i="12" s="1"/>
  <c r="BX205" i="12" s="1"/>
  <c r="CE205" i="12" s="1"/>
  <c r="BN205" i="12"/>
  <c r="DB205" i="12" s="1"/>
  <c r="DC205" i="12" s="1"/>
  <c r="DG205" i="12" s="1"/>
  <c r="BM205" i="12"/>
  <c r="CR205" i="12" s="1"/>
  <c r="CS205" i="12" s="1"/>
  <c r="CW205" i="12" s="1"/>
  <c r="BO205" i="12"/>
  <c r="DL205" i="12" s="1"/>
  <c r="DM205" i="12" s="1"/>
  <c r="DQ205" i="12" s="1"/>
  <c r="BK205" i="13"/>
  <c r="BF205" i="13"/>
  <c r="BG205" i="13"/>
  <c r="BH205" i="13"/>
  <c r="BI205" i="13"/>
  <c r="CD205" i="12" l="1"/>
  <c r="CH205" i="12"/>
  <c r="CA205" i="12"/>
  <c r="CI205" i="12"/>
  <c r="CK205" i="12" s="1"/>
  <c r="BZ205" i="12"/>
  <c r="BY205" i="12"/>
  <c r="CC205" i="12"/>
  <c r="CB205" i="12"/>
  <c r="DE205" i="12"/>
  <c r="DT205" i="12"/>
  <c r="DX205" i="12" s="1"/>
  <c r="EB205" i="12" s="1"/>
  <c r="DF205" i="12"/>
  <c r="DD205" i="12"/>
  <c r="DP205" i="12"/>
  <c r="DO205" i="12"/>
  <c r="DN205" i="12"/>
  <c r="DU205" i="12"/>
  <c r="DY205" i="12" s="1"/>
  <c r="EC205" i="12" s="1"/>
  <c r="G179" i="11" s="1"/>
  <c r="CV205" i="12"/>
  <c r="DS205" i="12"/>
  <c r="DW205" i="12" s="1"/>
  <c r="EA205" i="12" s="1"/>
  <c r="CT205" i="12"/>
  <c r="CU205" i="12"/>
  <c r="BN205" i="13"/>
  <c r="DB205" i="13" s="1"/>
  <c r="BM205" i="13"/>
  <c r="CR205" i="13" s="1"/>
  <c r="CS205" i="13" s="1"/>
  <c r="BO205" i="13"/>
  <c r="DL205" i="13" s="1"/>
  <c r="BL205" i="13"/>
  <c r="BW205" i="13" s="1"/>
  <c r="CM205" i="12" l="1"/>
  <c r="CL205" i="12"/>
  <c r="BB206" i="12" s="1"/>
  <c r="DC205" i="13"/>
  <c r="DG205" i="13" s="1"/>
  <c r="CT205" i="13"/>
  <c r="CV205" i="13"/>
  <c r="CU205" i="13"/>
  <c r="DS205" i="13"/>
  <c r="DW205" i="13" s="1"/>
  <c r="EA205" i="13" s="1"/>
  <c r="CW205" i="13"/>
  <c r="DM205" i="13"/>
  <c r="DQ205" i="13" s="1"/>
  <c r="BX205" i="13"/>
  <c r="CE205" i="13" s="1"/>
  <c r="BE206" i="12" l="1"/>
  <c r="DF205" i="13"/>
  <c r="DT205" i="13"/>
  <c r="DX205" i="13" s="1"/>
  <c r="EB205" i="13" s="1"/>
  <c r="DD205" i="13"/>
  <c r="DE205" i="13"/>
  <c r="DP205" i="13"/>
  <c r="DU205" i="13"/>
  <c r="DY205" i="13" s="1"/>
  <c r="EC205" i="13" s="1"/>
  <c r="DN205" i="13"/>
  <c r="DO205" i="13"/>
  <c r="CI205" i="13"/>
  <c r="CK205" i="13" s="1"/>
  <c r="CB205" i="13"/>
  <c r="BZ205" i="13"/>
  <c r="CA205" i="13"/>
  <c r="CD205" i="13"/>
  <c r="BY205" i="13"/>
  <c r="CC205" i="13"/>
  <c r="CH205" i="13"/>
  <c r="BC206" i="12" l="1"/>
  <c r="CL205" i="13"/>
  <c r="BB206" i="13" s="1"/>
  <c r="CM205" i="13"/>
  <c r="BG206" i="12" l="1"/>
  <c r="BF206" i="12"/>
  <c r="BH206" i="12"/>
  <c r="BK206" i="12"/>
  <c r="BI206" i="12"/>
  <c r="BE206" i="13"/>
  <c r="BD206" i="13"/>
  <c r="BN206" i="12" l="1"/>
  <c r="DB206" i="12" s="1"/>
  <c r="BL206" i="12"/>
  <c r="BW206" i="12" s="1"/>
  <c r="BO206" i="12"/>
  <c r="DL206" i="12" s="1"/>
  <c r="BM206" i="12"/>
  <c r="CR206" i="12" s="1"/>
  <c r="BC206" i="13"/>
  <c r="DC206" i="12" l="1"/>
  <c r="DG206" i="12" s="1"/>
  <c r="BX206" i="12"/>
  <c r="CE206" i="12" s="1"/>
  <c r="DM206" i="12"/>
  <c r="DQ206" i="12" s="1"/>
  <c r="CS206" i="12"/>
  <c r="CW206" i="12" s="1"/>
  <c r="BK206" i="13"/>
  <c r="BG206" i="13"/>
  <c r="BF206" i="13"/>
  <c r="BH206" i="13"/>
  <c r="BI206" i="13"/>
  <c r="DE206" i="12" l="1"/>
  <c r="DF206" i="12"/>
  <c r="DD206" i="12"/>
  <c r="DT206" i="12"/>
  <c r="DX206" i="12" s="1"/>
  <c r="EB206" i="12" s="1"/>
  <c r="BZ206" i="12"/>
  <c r="CC206" i="12"/>
  <c r="CA206" i="12"/>
  <c r="CI206" i="12"/>
  <c r="CK206" i="12" s="1"/>
  <c r="CH206" i="12"/>
  <c r="BY206" i="12"/>
  <c r="CB206" i="12"/>
  <c r="CD206" i="12"/>
  <c r="DP206" i="12"/>
  <c r="DN206" i="12"/>
  <c r="DU206" i="12"/>
  <c r="DY206" i="12" s="1"/>
  <c r="EC206" i="12" s="1"/>
  <c r="DO206" i="12"/>
  <c r="CT206" i="12"/>
  <c r="CU206" i="12"/>
  <c r="CV206" i="12"/>
  <c r="DS206" i="12"/>
  <c r="DW206" i="12" s="1"/>
  <c r="EA206" i="12" s="1"/>
  <c r="BO206" i="13"/>
  <c r="DL206" i="13" s="1"/>
  <c r="BN206" i="13"/>
  <c r="DB206" i="13" s="1"/>
  <c r="BM206" i="13"/>
  <c r="CR206" i="13" s="1"/>
  <c r="CS206" i="13" s="1"/>
  <c r="BL206" i="13"/>
  <c r="BW206" i="13" s="1"/>
  <c r="BX206" i="13" s="1"/>
  <c r="G180" i="11" l="1"/>
  <c r="G181" i="11"/>
  <c r="G183" i="11"/>
  <c r="G182" i="11"/>
  <c r="G184" i="11"/>
  <c r="G185" i="11"/>
  <c r="G186" i="11"/>
  <c r="G187" i="11"/>
  <c r="G188" i="11"/>
  <c r="G189" i="11"/>
  <c r="G190" i="11"/>
  <c r="G192" i="11"/>
  <c r="G191" i="11"/>
  <c r="G193" i="11"/>
  <c r="G194" i="11"/>
  <c r="G195" i="11"/>
  <c r="G197" i="11"/>
  <c r="G196" i="11"/>
  <c r="G198" i="11"/>
  <c r="G199" i="11"/>
  <c r="G200" i="11"/>
  <c r="G201" i="11"/>
  <c r="G203" i="11"/>
  <c r="G202" i="11"/>
  <c r="G204" i="11"/>
  <c r="G205" i="11"/>
  <c r="G207" i="11"/>
  <c r="G206" i="11"/>
  <c r="G208" i="11"/>
  <c r="CM206" i="12"/>
  <c r="CL206" i="12"/>
  <c r="DM206" i="13"/>
  <c r="DQ206" i="13" s="1"/>
  <c r="DC206" i="13"/>
  <c r="DG206" i="13" s="1"/>
  <c r="CU206" i="13"/>
  <c r="CV206" i="13"/>
  <c r="DS206" i="13"/>
  <c r="DW206" i="13" s="1"/>
  <c r="EA206" i="13" s="1"/>
  <c r="CT206" i="13"/>
  <c r="CW206" i="13"/>
  <c r="CH206" i="13"/>
  <c r="CA206" i="13"/>
  <c r="CC206" i="13"/>
  <c r="BY206" i="13"/>
  <c r="CD206" i="13"/>
  <c r="CB206" i="13"/>
  <c r="BZ206" i="13"/>
  <c r="CI206" i="13"/>
  <c r="CK206" i="13" s="1"/>
  <c r="CE206" i="13"/>
  <c r="DO206" i="13" l="1"/>
  <c r="DU206" i="13"/>
  <c r="DY206" i="13" s="1"/>
  <c r="EC206" i="13" s="1"/>
  <c r="DN206" i="13"/>
  <c r="DP206" i="13"/>
  <c r="DF206" i="13"/>
  <c r="DD206" i="13"/>
  <c r="DT206" i="13"/>
  <c r="DX206" i="13" s="1"/>
  <c r="EB206" i="13" s="1"/>
  <c r="DE206" i="13"/>
  <c r="CM206" i="13"/>
  <c r="CL206" i="13"/>
</calcChain>
</file>

<file path=xl/sharedStrings.xml><?xml version="1.0" encoding="utf-8"?>
<sst xmlns="http://schemas.openxmlformats.org/spreadsheetml/2006/main" count="2397" uniqueCount="503">
  <si>
    <t>武器id</t>
  </si>
  <si>
    <t>武器</t>
  </si>
  <si>
    <t>武器品质</t>
  </si>
  <si>
    <t>是否特殊投放</t>
  </si>
  <si>
    <t>解锁</t>
  </si>
  <si>
    <t>升级消耗</t>
  </si>
  <si>
    <t>累积</t>
  </si>
  <si>
    <t>彩虹飞弹</t>
  </si>
  <si>
    <t>绿</t>
  </si>
  <si>
    <t>初始解锁</t>
  </si>
  <si>
    <t>等级</t>
  </si>
  <si>
    <t>蓝</t>
  </si>
  <si>
    <t>紫</t>
  </si>
  <si>
    <t>橙</t>
  </si>
  <si>
    <t>雪糕刺客</t>
  </si>
  <si>
    <t>老婆飞饼</t>
  </si>
  <si>
    <t>牛皮糖</t>
  </si>
  <si>
    <t>半桶水</t>
  </si>
  <si>
    <t>角色等级50级解锁</t>
  </si>
  <si>
    <t>汽水炸弹</t>
  </si>
  <si>
    <t>制导激光</t>
  </si>
  <si>
    <t>是</t>
  </si>
  <si>
    <t>无人机</t>
  </si>
  <si>
    <t>角色等级20级解锁</t>
  </si>
  <si>
    <t>暴风雪</t>
  </si>
  <si>
    <t>龙卷风</t>
  </si>
  <si>
    <t>通关第六关解锁</t>
  </si>
  <si>
    <t>窜天猴</t>
  </si>
  <si>
    <t>榴莲</t>
  </si>
  <si>
    <t>签到任务送</t>
  </si>
  <si>
    <t>粘粘手掌</t>
  </si>
  <si>
    <t>第二关通关解锁</t>
  </si>
  <si>
    <t>通关第十关解锁</t>
  </si>
  <si>
    <t>除颤器</t>
  </si>
  <si>
    <t>通关第十四关解锁</t>
  </si>
  <si>
    <t>创口贴</t>
  </si>
  <si>
    <t>蝌蚪</t>
  </si>
  <si>
    <t>角色等级110级解锁</t>
  </si>
  <si>
    <t>一根毛</t>
  </si>
  <si>
    <t>角色等级170级解锁</t>
  </si>
  <si>
    <t>卫星风暴</t>
  </si>
  <si>
    <t>角色等级230级解锁</t>
  </si>
  <si>
    <t>激光手术刀</t>
  </si>
  <si>
    <t>本草纲目</t>
  </si>
  <si>
    <t>通过碎片解锁</t>
  </si>
  <si>
    <t>电蚊拍</t>
  </si>
  <si>
    <t>液氮机</t>
  </si>
  <si>
    <t>轮盘</t>
  </si>
  <si>
    <t>通风</t>
  </si>
  <si>
    <t>3绿6蓝</t>
  </si>
  <si>
    <t>签到</t>
  </si>
  <si>
    <t>关卡</t>
  </si>
  <si>
    <t>天数</t>
  </si>
  <si>
    <t>钻石</t>
  </si>
  <si>
    <t>金币</t>
  </si>
  <si>
    <t>绿色碎片</t>
  </si>
  <si>
    <t>蓝色碎片</t>
  </si>
  <si>
    <t>紫色碎片</t>
  </si>
  <si>
    <t>体力</t>
  </si>
  <si>
    <t>宝箱等级</t>
  </si>
  <si>
    <t>攻击力</t>
  </si>
  <si>
    <t>暴击率</t>
  </si>
  <si>
    <t>冷却</t>
  </si>
  <si>
    <t>难度</t>
  </si>
  <si>
    <t>关卡系数</t>
  </si>
  <si>
    <t>一个小时能玩1关</t>
  </si>
  <si>
    <t>自然恢复</t>
  </si>
  <si>
    <t>min</t>
  </si>
  <si>
    <t>挂机奖励：
8个小时=4倍扫荡    金币额外*2.5</t>
  </si>
  <si>
    <t>满体力时间</t>
  </si>
  <si>
    <t>h</t>
  </si>
  <si>
    <t>第一个宝箱</t>
  </si>
  <si>
    <t>第二个宝箱</t>
  </si>
  <si>
    <t>第三个宝箱</t>
  </si>
  <si>
    <t>商城</t>
  </si>
  <si>
    <t>扫荡价值</t>
  </si>
  <si>
    <t>通关价值</t>
  </si>
  <si>
    <t>道具</t>
  </si>
  <si>
    <t>道具数</t>
  </si>
  <si>
    <t>价值</t>
  </si>
  <si>
    <t>每日免费</t>
  </si>
  <si>
    <t>武器榴莲</t>
  </si>
  <si>
    <t>武器手电筒</t>
  </si>
  <si>
    <t>困难模式（通关9）</t>
  </si>
  <si>
    <t>地狱模式（通关16）</t>
  </si>
  <si>
    <t>价值钻石</t>
  </si>
  <si>
    <t>获得道具</t>
  </si>
  <si>
    <t>获得数量</t>
  </si>
  <si>
    <t>单个广告价值</t>
  </si>
  <si>
    <t>总产出价值</t>
  </si>
  <si>
    <t>品质</t>
  </si>
  <si>
    <t>数量</t>
  </si>
  <si>
    <t>开启普通宝箱</t>
  </si>
  <si>
    <t>开启高级宝箱</t>
  </si>
  <si>
    <t>扫荡</t>
  </si>
  <si>
    <t>宝箱</t>
  </si>
  <si>
    <t>索引</t>
  </si>
  <si>
    <t>开启钻石</t>
  </si>
  <si>
    <t>碎片价值</t>
  </si>
  <si>
    <t>升级经验</t>
  </si>
  <si>
    <t>累积钻石</t>
  </si>
  <si>
    <t>开启次数</t>
  </si>
  <si>
    <t>普通宝箱</t>
  </si>
  <si>
    <t>钻石宝箱</t>
  </si>
  <si>
    <t>属性</t>
  </si>
  <si>
    <t>金币消耗</t>
  </si>
  <si>
    <t>初始战力</t>
  </si>
  <si>
    <t>阶段</t>
  </si>
  <si>
    <t>升哪个</t>
  </si>
  <si>
    <t>总金币消耗</t>
  </si>
  <si>
    <t>攻击力系数</t>
  </si>
  <si>
    <t>暴击率系数</t>
  </si>
  <si>
    <t>冷却系数</t>
  </si>
  <si>
    <t>战力</t>
  </si>
  <si>
    <t>战力=100*攻击力系数*暴击率系数*冷却系数</t>
  </si>
  <si>
    <t>初始攻击力</t>
  </si>
  <si>
    <t>初始暴击率
（万分比）</t>
  </si>
  <si>
    <t>初始冷却
（万分比）</t>
  </si>
  <si>
    <t>暴击率系数
（万分比）</t>
  </si>
  <si>
    <t>冷却系数
（万分比）</t>
  </si>
  <si>
    <t>金币初始值1</t>
  </si>
  <si>
    <t>金币初始值2</t>
  </si>
  <si>
    <t>金币初始值3</t>
  </si>
  <si>
    <t>金币消耗系数1</t>
  </si>
  <si>
    <t>金币消耗系数2</t>
  </si>
  <si>
    <t>金币消耗系数3</t>
  </si>
  <si>
    <t>奖励</t>
  </si>
  <si>
    <t>效果</t>
  </si>
  <si>
    <t>绿色碎片*10</t>
  </si>
  <si>
    <t>武器*1</t>
  </si>
  <si>
    <t>攻击力系数=攻击力值/10</t>
  </si>
  <si>
    <t>进阶</t>
  </si>
  <si>
    <t>暴击率系数=1+暴击率/10000</t>
  </si>
  <si>
    <t>钻石*50</t>
  </si>
  <si>
    <t>冷却系数=1+冷却/10000</t>
  </si>
  <si>
    <t>紫色碎片*5</t>
  </si>
  <si>
    <t>鸿运当头</t>
  </si>
  <si>
    <t>高品质词条刷新概率+5%</t>
  </si>
  <si>
    <t>钻石*150</t>
  </si>
  <si>
    <t>钻石*200</t>
  </si>
  <si>
    <t>赏金猎人</t>
  </si>
  <si>
    <t>对局奖励+10%</t>
  </si>
  <si>
    <t>紫色碎片*10</t>
  </si>
  <si>
    <t>钻石*250</t>
  </si>
  <si>
    <t>钻石*300</t>
  </si>
  <si>
    <t>钻石*350</t>
  </si>
  <si>
    <t>完美开局</t>
  </si>
  <si>
    <t>钻石*400</t>
  </si>
  <si>
    <t>钻石*450</t>
  </si>
  <si>
    <t>钻石*500</t>
  </si>
  <si>
    <t>钻石*550</t>
  </si>
  <si>
    <t>钻石*600</t>
  </si>
  <si>
    <t>钻石*650</t>
  </si>
  <si>
    <t>钻石*700</t>
  </si>
  <si>
    <t>钻石*750</t>
  </si>
  <si>
    <t>钻石*800</t>
  </si>
  <si>
    <t>钻石*1000</t>
  </si>
  <si>
    <t>钻石*1500</t>
  </si>
  <si>
    <t>钻石*1600</t>
  </si>
  <si>
    <t>钻石*1700</t>
  </si>
  <si>
    <t>钻石*1800</t>
  </si>
  <si>
    <t>钻石*1900</t>
  </si>
  <si>
    <t>钻石*2000</t>
  </si>
  <si>
    <t>钻石*2100</t>
  </si>
  <si>
    <t>钻石*2200</t>
  </si>
  <si>
    <t>钻石*2300</t>
  </si>
  <si>
    <t>钻石*2400</t>
  </si>
  <si>
    <t>钻石*2500</t>
  </si>
  <si>
    <t>钻石*2600</t>
  </si>
  <si>
    <t>钻石*2700</t>
  </si>
  <si>
    <t>钻石*2800</t>
  </si>
  <si>
    <t>钻石*3000</t>
  </si>
  <si>
    <t>104,5|105,2|1,100</t>
  </si>
  <si>
    <t>1,200</t>
  </si>
  <si>
    <t>1,400|4,6</t>
  </si>
  <si>
    <t>104,12|105,8|3,100</t>
  </si>
  <si>
    <t>104,3|105,1|1,125</t>
  </si>
  <si>
    <t>通关奖励
道具id,数量|道具id,数量</t>
  </si>
  <si>
    <t>通关解锁武器类型id</t>
  </si>
  <si>
    <t>宝箱奖励1
道具id,数量</t>
  </si>
  <si>
    <t>宝箱奖励2
道具id,数量</t>
  </si>
  <si>
    <t>宝箱奖励3
道具id,数量</t>
  </si>
  <si>
    <t>挂机奖励
道具id,数量|道具id2,数量2</t>
  </si>
  <si>
    <t>副本产出</t>
    <phoneticPr fontId="11" type="noConversion"/>
  </si>
  <si>
    <t>无尽模式</t>
    <phoneticPr fontId="11" type="noConversion"/>
  </si>
  <si>
    <t>20次</t>
    <phoneticPr fontId="11" type="noConversion"/>
  </si>
  <si>
    <t>金币</t>
    <phoneticPr fontId="11" type="noConversion"/>
  </si>
  <si>
    <t>价值</t>
    <phoneticPr fontId="11" type="noConversion"/>
  </si>
  <si>
    <t>手调</t>
    <phoneticPr fontId="11" type="noConversion"/>
  </si>
  <si>
    <t>难度1</t>
    <phoneticPr fontId="11" type="noConversion"/>
  </si>
  <si>
    <t>难度2</t>
    <phoneticPr fontId="11" type="noConversion"/>
  </si>
  <si>
    <t>难度3</t>
  </si>
  <si>
    <t>难度4</t>
  </si>
  <si>
    <t>难度5</t>
  </si>
  <si>
    <t>推荐战力</t>
    <phoneticPr fontId="11" type="noConversion"/>
  </si>
  <si>
    <t>橙色碎片</t>
    <phoneticPr fontId="11" type="noConversion"/>
  </si>
  <si>
    <t>每次通关/扫荡</t>
    <phoneticPr fontId="11" type="noConversion"/>
  </si>
  <si>
    <t>商城购买</t>
    <phoneticPr fontId="11" type="noConversion"/>
  </si>
  <si>
    <t>签到</t>
    <phoneticPr fontId="11" type="noConversion"/>
  </si>
  <si>
    <t>副本</t>
    <phoneticPr fontId="11" type="noConversion"/>
  </si>
  <si>
    <t>皮肤</t>
    <phoneticPr fontId="11" type="noConversion"/>
  </si>
  <si>
    <t>商城宝箱</t>
    <phoneticPr fontId="11" type="noConversion"/>
  </si>
  <si>
    <t>图鉴产出</t>
    <phoneticPr fontId="11" type="noConversion"/>
  </si>
  <si>
    <t>关卡等级</t>
    <phoneticPr fontId="11" type="noConversion"/>
  </si>
  <si>
    <t>单局时间</t>
    <phoneticPr fontId="11" type="noConversion"/>
  </si>
  <si>
    <t>挑战次数</t>
    <phoneticPr fontId="11" type="noConversion"/>
  </si>
  <si>
    <t>游戏时间/h</t>
    <phoneticPr fontId="11" type="noConversion"/>
  </si>
  <si>
    <t>解锁系统</t>
    <phoneticPr fontId="11" type="noConversion"/>
  </si>
  <si>
    <t>解锁武器</t>
    <phoneticPr fontId="11" type="noConversion"/>
  </si>
  <si>
    <t>荧光棒</t>
    <phoneticPr fontId="11" type="noConversion"/>
  </si>
  <si>
    <t>棒棒冰</t>
    <phoneticPr fontId="11" type="noConversion"/>
  </si>
  <si>
    <t>泡泡机</t>
    <phoneticPr fontId="11" type="noConversion"/>
  </si>
  <si>
    <t>竹蜻蜓</t>
    <phoneticPr fontId="11" type="noConversion"/>
  </si>
  <si>
    <t>武器副本</t>
    <phoneticPr fontId="11" type="noConversion"/>
  </si>
  <si>
    <t>角色系统</t>
    <phoneticPr fontId="11" type="noConversion"/>
  </si>
  <si>
    <t>困难模式</t>
    <phoneticPr fontId="11" type="noConversion"/>
  </si>
  <si>
    <t>地狱模式</t>
    <phoneticPr fontId="11" type="noConversion"/>
  </si>
  <si>
    <t>道具模式</t>
    <phoneticPr fontId="11" type="noConversion"/>
  </si>
  <si>
    <t>抽卡模式</t>
    <phoneticPr fontId="11" type="noConversion"/>
  </si>
  <si>
    <t>宝箱模式</t>
    <phoneticPr fontId="11" type="noConversion"/>
  </si>
  <si>
    <t>BOSS模式</t>
    <phoneticPr fontId="11" type="noConversion"/>
  </si>
  <si>
    <t>备注</t>
    <phoneticPr fontId="11" type="noConversion"/>
  </si>
  <si>
    <t>20牙签 
50跳跳糖
110无人机
170摔炮
230半桶水</t>
    <phoneticPr fontId="11" type="noConversion"/>
  </si>
  <si>
    <t>宠物系统</t>
    <phoneticPr fontId="11" type="noConversion"/>
  </si>
  <si>
    <t>签到/皮肤</t>
    <phoneticPr fontId="11" type="noConversion"/>
  </si>
  <si>
    <t>每日任务</t>
    <phoneticPr fontId="11" type="noConversion"/>
  </si>
  <si>
    <t>难度</t>
    <phoneticPr fontId="11" type="noConversion"/>
  </si>
  <si>
    <t>改成引导策略性玩法
开局弹出引导图片
删除地狱宝箱  增加技能概率</t>
    <phoneticPr fontId="11" type="noConversion"/>
  </si>
  <si>
    <r>
      <t xml:space="preserve">通关产出皮肤碎片——皮肤碎片每关1个
15个碎片解锁    
当前战力能推到困难6关  
</t>
    </r>
    <r>
      <rPr>
        <b/>
        <sz val="11"/>
        <color rgb="FFFF0000"/>
        <rFont val="等线"/>
        <family val="3"/>
        <charset val="134"/>
        <scheme val="minor"/>
      </rPr>
      <t xml:space="preserve">主线17关    困难15关解锁皮肤 </t>
    </r>
    <r>
      <rPr>
        <sz val="11"/>
        <color theme="1"/>
        <rFont val="等线"/>
        <family val="3"/>
        <charset val="134"/>
        <scheme val="minor"/>
      </rPr>
      <t xml:space="preserve">   总100关升到8级</t>
    </r>
    <phoneticPr fontId="11" type="noConversion"/>
  </si>
  <si>
    <r>
      <t xml:space="preserve">通关产出皮肤碎片+宠物抽卡券——皮肤碎片+抽卡券每关1个
当前战力可以推到地狱10关
</t>
    </r>
    <r>
      <rPr>
        <b/>
        <sz val="11"/>
        <color rgb="FFFF0000"/>
        <rFont val="等线"/>
        <family val="3"/>
        <charset val="134"/>
        <scheme val="minor"/>
      </rPr>
      <t>主线20关   地狱15关解锁皮肤</t>
    </r>
    <phoneticPr fontId="11" type="noConversion"/>
  </si>
  <si>
    <t>关卡按钮/图鉴</t>
    <phoneticPr fontId="11" type="noConversion"/>
  </si>
  <si>
    <t>宠物</t>
    <phoneticPr fontId="11" type="noConversion"/>
  </si>
  <si>
    <t>角色</t>
    <phoneticPr fontId="11" type="noConversion"/>
  </si>
  <si>
    <t>绿</t>
    <phoneticPr fontId="11" type="noConversion"/>
  </si>
  <si>
    <t>蓝</t>
    <phoneticPr fontId="11" type="noConversion"/>
  </si>
  <si>
    <t>紫</t>
    <phoneticPr fontId="11" type="noConversion"/>
  </si>
  <si>
    <t>平均等级</t>
    <phoneticPr fontId="11" type="noConversion"/>
  </si>
  <si>
    <t>商城广告</t>
    <phoneticPr fontId="11" type="noConversion"/>
  </si>
  <si>
    <t>引导任务</t>
    <phoneticPr fontId="11" type="noConversion"/>
  </si>
  <si>
    <t>关卡图鉴</t>
    <phoneticPr fontId="11" type="noConversion"/>
  </si>
  <si>
    <t>金币副本</t>
    <phoneticPr fontId="11" type="noConversion"/>
  </si>
  <si>
    <t>无尽副本</t>
    <phoneticPr fontId="11" type="noConversion"/>
  </si>
  <si>
    <t>橙武副本</t>
    <phoneticPr fontId="11" type="noConversion"/>
  </si>
  <si>
    <t>通关宝箱(普通)</t>
    <phoneticPr fontId="11" type="noConversion"/>
  </si>
  <si>
    <t>通关宝箱(困难)</t>
    <phoneticPr fontId="11" type="noConversion"/>
  </si>
  <si>
    <t>通关宝箱(地狱)</t>
    <phoneticPr fontId="11" type="noConversion"/>
  </si>
  <si>
    <t>邀请</t>
    <phoneticPr fontId="11" type="noConversion"/>
  </si>
  <si>
    <t>单关价值</t>
    <phoneticPr fontId="11" type="noConversion"/>
  </si>
  <si>
    <t>绿色碎片</t>
    <phoneticPr fontId="11" type="noConversion"/>
  </si>
  <si>
    <t>蓝色碎片</t>
    <phoneticPr fontId="11" type="noConversion"/>
  </si>
  <si>
    <t>紫色碎片</t>
    <phoneticPr fontId="11" type="noConversion"/>
  </si>
  <si>
    <t>体力</t>
    <phoneticPr fontId="11" type="noConversion"/>
  </si>
  <si>
    <t>钻石</t>
    <phoneticPr fontId="11" type="noConversion"/>
  </si>
  <si>
    <t>普通</t>
    <phoneticPr fontId="11" type="noConversion"/>
  </si>
  <si>
    <t>困难</t>
    <phoneticPr fontId="11" type="noConversion"/>
  </si>
  <si>
    <t>地狱</t>
    <phoneticPr fontId="11" type="noConversion"/>
  </si>
  <si>
    <t>宝箱产出</t>
    <phoneticPr fontId="11" type="noConversion"/>
  </si>
  <si>
    <t>汇总产出</t>
    <phoneticPr fontId="11" type="noConversion"/>
  </si>
  <si>
    <t>模式</t>
    <phoneticPr fontId="11" type="noConversion"/>
  </si>
  <si>
    <t>通关产出</t>
    <phoneticPr fontId="11" type="noConversion"/>
  </si>
  <si>
    <t>累积产出</t>
    <phoneticPr fontId="11" type="noConversion"/>
  </si>
  <si>
    <t>皮肤碎片</t>
    <phoneticPr fontId="11" type="noConversion"/>
  </si>
  <si>
    <t>宠物抽卡券</t>
    <phoneticPr fontId="11" type="noConversion"/>
  </si>
  <si>
    <t>道具id</t>
    <phoneticPr fontId="11" type="noConversion"/>
  </si>
  <si>
    <t>✔</t>
  </si>
  <si>
    <t>金币价格</t>
    <phoneticPr fontId="11" type="noConversion"/>
  </si>
  <si>
    <t>钻石价格</t>
    <phoneticPr fontId="11" type="noConversion"/>
  </si>
  <si>
    <t>折扣</t>
    <phoneticPr fontId="11" type="noConversion"/>
  </si>
  <si>
    <t>概率</t>
    <phoneticPr fontId="11" type="noConversion"/>
  </si>
  <si>
    <t>权重</t>
    <phoneticPr fontId="11" type="noConversion"/>
  </si>
  <si>
    <t>期望</t>
    <phoneticPr fontId="11" type="noConversion"/>
  </si>
  <si>
    <t>次数</t>
    <phoneticPr fontId="11" type="noConversion"/>
  </si>
  <si>
    <t>折扣概率</t>
    <phoneticPr fontId="11" type="noConversion"/>
  </si>
  <si>
    <t>道具价值</t>
    <phoneticPr fontId="11" type="noConversion"/>
  </si>
  <si>
    <t>单日总广告数</t>
    <phoneticPr fontId="11" type="noConversion"/>
  </si>
  <si>
    <t>其他广告位</t>
    <phoneticPr fontId="11" type="noConversion"/>
  </si>
  <si>
    <t>随主线关卡钻石转金币增加</t>
    <phoneticPr fontId="11" type="noConversion"/>
  </si>
  <si>
    <t>图鉴</t>
    <phoneticPr fontId="11" type="noConversion"/>
  </si>
  <si>
    <t>黑铁III</t>
  </si>
  <si>
    <t>黑铁II</t>
  </si>
  <si>
    <t>黑铁I</t>
  </si>
  <si>
    <t>青铜III</t>
  </si>
  <si>
    <t>青铜II</t>
  </si>
  <si>
    <t>青铜I</t>
  </si>
  <si>
    <t>白银III</t>
  </si>
  <si>
    <t>白银II</t>
  </si>
  <si>
    <t>白银I</t>
  </si>
  <si>
    <t>黄金III</t>
  </si>
  <si>
    <t>黄金II</t>
  </si>
  <si>
    <t>黄金I</t>
  </si>
  <si>
    <t>铂金III</t>
  </si>
  <si>
    <t>铂金II</t>
  </si>
  <si>
    <t>铂金I</t>
  </si>
  <si>
    <t>星耀III</t>
  </si>
  <si>
    <t>星耀II</t>
  </si>
  <si>
    <t>星耀I</t>
  </si>
  <si>
    <t>大师III</t>
  </si>
  <si>
    <t>大师II</t>
  </si>
  <si>
    <t>大师I</t>
  </si>
  <si>
    <t>宗师III</t>
  </si>
  <si>
    <t>宗师II</t>
  </si>
  <si>
    <t>宗师I</t>
  </si>
  <si>
    <t>王者1阶</t>
  </si>
  <si>
    <t>王者2阶</t>
  </si>
  <si>
    <t>王者3阶</t>
  </si>
  <si>
    <t>王者4阶</t>
  </si>
  <si>
    <t>王者5阶</t>
  </si>
  <si>
    <t>王者6阶</t>
  </si>
  <si>
    <t>王者7阶</t>
  </si>
  <si>
    <t>王者8阶</t>
  </si>
  <si>
    <t>王者9阶</t>
  </si>
  <si>
    <t>遥控飞机*1</t>
    <phoneticPr fontId="11" type="noConversion"/>
  </si>
  <si>
    <t>摔炮*1</t>
    <phoneticPr fontId="11" type="noConversion"/>
  </si>
  <si>
    <t>跳跳糖*1</t>
    <phoneticPr fontId="11" type="noConversion"/>
  </si>
  <si>
    <t>泡泡机*1</t>
    <phoneticPr fontId="11" type="noConversion"/>
  </si>
  <si>
    <t>半桶水*1</t>
    <phoneticPr fontId="11" type="noConversion"/>
  </si>
  <si>
    <t>对局奖励增加</t>
    <phoneticPr fontId="11" type="noConversion"/>
  </si>
  <si>
    <t>高品质概率增加</t>
    <phoneticPr fontId="11" type="noConversion"/>
  </si>
  <si>
    <t>对局奖励增加效果  只影响通关时的金币</t>
    <phoneticPr fontId="11" type="noConversion"/>
  </si>
  <si>
    <t>加成值</t>
    <phoneticPr fontId="11" type="noConversion"/>
  </si>
  <si>
    <t>奖励id</t>
    <phoneticPr fontId="11" type="noConversion"/>
  </si>
  <si>
    <t>奖励内容</t>
    <phoneticPr fontId="11" type="noConversion"/>
  </si>
  <si>
    <t>进阶</t>
    <phoneticPr fontId="11" type="noConversion"/>
  </si>
  <si>
    <t>道具值</t>
    <phoneticPr fontId="11" type="noConversion"/>
  </si>
  <si>
    <t>道具类型</t>
    <phoneticPr fontId="11" type="noConversion"/>
  </si>
  <si>
    <t>产出模式</t>
    <phoneticPr fontId="11" type="noConversion"/>
  </si>
  <si>
    <t>初始加成</t>
    <phoneticPr fontId="11" type="noConversion"/>
  </si>
  <si>
    <t>丧尸id</t>
  </si>
  <si>
    <t>丧尸获得产出</t>
    <phoneticPr fontId="11" type="noConversion"/>
  </si>
  <si>
    <t>难度系数</t>
    <phoneticPr fontId="11" type="noConversion"/>
  </si>
  <si>
    <t>普通模式</t>
    <phoneticPr fontId="11" type="noConversion"/>
  </si>
  <si>
    <t>难度曲线</t>
    <phoneticPr fontId="11" type="noConversion"/>
  </si>
  <si>
    <t>计算</t>
    <phoneticPr fontId="11" type="noConversion"/>
  </si>
  <si>
    <t>推荐战力（修正)</t>
    <phoneticPr fontId="11" type="noConversion"/>
  </si>
  <si>
    <t>通关对比</t>
    <phoneticPr fontId="11" type="noConversion"/>
  </si>
  <si>
    <t>产出钻石</t>
    <phoneticPr fontId="11" type="noConversion"/>
  </si>
  <si>
    <t>奖励增加buff</t>
    <phoneticPr fontId="11" type="noConversion"/>
  </si>
  <si>
    <t>预期产出</t>
    <phoneticPr fontId="11" type="noConversion"/>
  </si>
  <si>
    <t>最大产出</t>
    <phoneticPr fontId="11" type="noConversion"/>
  </si>
  <si>
    <t>通关价值</t>
    <phoneticPr fontId="11" type="noConversion"/>
  </si>
  <si>
    <t>玩家行为预期</t>
    <phoneticPr fontId="11" type="noConversion"/>
  </si>
  <si>
    <t>1、平均玩家行为按照30体力计算=每日50分钟</t>
    <phoneticPr fontId="11" type="noConversion"/>
  </si>
  <si>
    <t>3、解锁武器副本后4次常规关卡、4次副本、2次金币</t>
    <phoneticPr fontId="11" type="noConversion"/>
  </si>
  <si>
    <t>总生命周期</t>
    <phoneticPr fontId="11" type="noConversion"/>
  </si>
  <si>
    <t>每日体力</t>
    <phoneticPr fontId="11" type="noConversion"/>
  </si>
  <si>
    <t>每关体力</t>
    <phoneticPr fontId="11" type="noConversion"/>
  </si>
  <si>
    <t>天数</t>
    <phoneticPr fontId="11" type="noConversion"/>
  </si>
  <si>
    <t>2、解锁金币副本后每天挑战2次</t>
    <phoneticPr fontId="11" type="noConversion"/>
  </si>
  <si>
    <t>关卡次数</t>
    <phoneticPr fontId="11" type="noConversion"/>
  </si>
  <si>
    <t>总次数</t>
    <phoneticPr fontId="11" type="noConversion"/>
  </si>
  <si>
    <t>玩家节奏</t>
    <phoneticPr fontId="11" type="noConversion"/>
  </si>
  <si>
    <t>关卡对应关系</t>
    <phoneticPr fontId="11" type="noConversion"/>
  </si>
  <si>
    <t>丧尸id</t>
    <phoneticPr fontId="11" type="noConversion"/>
  </si>
  <si>
    <t>丧尸解锁</t>
    <phoneticPr fontId="11" type="noConversion"/>
  </si>
  <si>
    <t>丧尸等级</t>
    <phoneticPr fontId="11" type="noConversion"/>
  </si>
  <si>
    <t>关卡进度</t>
    <phoneticPr fontId="11" type="noConversion"/>
  </si>
  <si>
    <t>解锁规划</t>
    <phoneticPr fontId="11" type="noConversion"/>
  </si>
  <si>
    <t>普通模式产出</t>
    <phoneticPr fontId="11" type="noConversion"/>
  </si>
  <si>
    <t>困难模式产出</t>
    <phoneticPr fontId="11" type="noConversion"/>
  </si>
  <si>
    <t>地狱模式产出</t>
    <phoneticPr fontId="11" type="noConversion"/>
  </si>
  <si>
    <t>实际产出</t>
    <phoneticPr fontId="11" type="noConversion"/>
  </si>
  <si>
    <t>配置</t>
    <phoneticPr fontId="11" type="noConversion"/>
  </si>
  <si>
    <t>初始奖励</t>
    <phoneticPr fontId="11" type="noConversion"/>
  </si>
  <si>
    <t>升级奖励</t>
    <phoneticPr fontId="11" type="noConversion"/>
  </si>
  <si>
    <t>*2对应通关宝箱</t>
    <phoneticPr fontId="11" type="noConversion"/>
  </si>
  <si>
    <t>橙武碎片</t>
    <phoneticPr fontId="11" type="noConversion"/>
  </si>
  <si>
    <t>困难皮肤</t>
    <phoneticPr fontId="11" type="noConversion"/>
  </si>
  <si>
    <t>地狱皮肤</t>
    <phoneticPr fontId="11" type="noConversion"/>
  </si>
  <si>
    <t>副本增加体力消耗</t>
    <phoneticPr fontId="11" type="noConversion"/>
  </si>
  <si>
    <t>图鉴产出/8小时</t>
    <phoneticPr fontId="11" type="noConversion"/>
  </si>
  <si>
    <t>预计通关次数</t>
    <phoneticPr fontId="11" type="noConversion"/>
  </si>
  <si>
    <t>图鉴产出/8小时(累积）</t>
    <phoneticPr fontId="11" type="noConversion"/>
  </si>
  <si>
    <t>橙武副本(累积）</t>
    <phoneticPr fontId="11" type="noConversion"/>
  </si>
  <si>
    <t>免费金币</t>
    <phoneticPr fontId="11" type="noConversion"/>
  </si>
  <si>
    <t>免费钻石</t>
    <phoneticPr fontId="11" type="noConversion"/>
  </si>
  <si>
    <t>升级产出</t>
    <phoneticPr fontId="11" type="noConversion"/>
  </si>
  <si>
    <t>商城免费</t>
    <phoneticPr fontId="11" type="noConversion"/>
  </si>
  <si>
    <t>商城免费(累积)</t>
    <phoneticPr fontId="11" type="noConversion"/>
  </si>
  <si>
    <t>关卡宝箱产出</t>
    <phoneticPr fontId="11" type="noConversion"/>
  </si>
  <si>
    <t>最高关卡</t>
    <phoneticPr fontId="11" type="noConversion"/>
  </si>
  <si>
    <t>通关产出(累积)</t>
    <phoneticPr fontId="11" type="noConversion"/>
  </si>
  <si>
    <t>通关宝箱</t>
    <phoneticPr fontId="11" type="noConversion"/>
  </si>
  <si>
    <t>商城领取</t>
    <phoneticPr fontId="11" type="noConversion"/>
  </si>
  <si>
    <t>总值</t>
    <phoneticPr fontId="11" type="noConversion"/>
  </si>
  <si>
    <t>关卡宝箱</t>
    <phoneticPr fontId="11" type="noConversion"/>
  </si>
  <si>
    <t>通关</t>
    <phoneticPr fontId="11" type="noConversion"/>
  </si>
  <si>
    <t>钻石转换</t>
    <phoneticPr fontId="11" type="noConversion"/>
  </si>
  <si>
    <t>钻石转商城宝箱</t>
    <phoneticPr fontId="11" type="noConversion"/>
  </si>
  <si>
    <t>宝箱挡位</t>
    <phoneticPr fontId="11" type="noConversion"/>
  </si>
  <si>
    <t>本级获得</t>
    <phoneticPr fontId="11" type="noConversion"/>
  </si>
  <si>
    <t>累积获得</t>
    <phoneticPr fontId="11" type="noConversion"/>
  </si>
  <si>
    <t>金币转角色等级</t>
    <phoneticPr fontId="11" type="noConversion"/>
  </si>
  <si>
    <t>角色等级</t>
    <phoneticPr fontId="11" type="noConversion"/>
  </si>
  <si>
    <t>角色战力</t>
    <phoneticPr fontId="11" type="noConversion"/>
  </si>
  <si>
    <t>关卡战力</t>
    <phoneticPr fontId="11" type="noConversion"/>
  </si>
  <si>
    <t>越战</t>
    <phoneticPr fontId="11" type="noConversion"/>
  </si>
  <si>
    <t>关卡</t>
    <phoneticPr fontId="11" type="noConversion"/>
  </si>
  <si>
    <t>角色等级产出</t>
    <phoneticPr fontId="11" type="noConversion"/>
  </si>
  <si>
    <t>晚一天</t>
    <phoneticPr fontId="11" type="noConversion"/>
  </si>
  <si>
    <t>受角色加成影响</t>
    <phoneticPr fontId="11" type="noConversion"/>
  </si>
  <si>
    <t>绿色武器碎片</t>
    <phoneticPr fontId="11" type="noConversion"/>
  </si>
  <si>
    <t>蓝色武器碎片</t>
    <phoneticPr fontId="11" type="noConversion"/>
  </si>
  <si>
    <t>紫色武器碎片</t>
    <phoneticPr fontId="11" type="noConversion"/>
  </si>
  <si>
    <t>武器战力汇总</t>
    <phoneticPr fontId="11" type="noConversion"/>
  </si>
  <si>
    <t>绿色</t>
    <phoneticPr fontId="11" type="noConversion"/>
  </si>
  <si>
    <t>蓝色</t>
    <phoneticPr fontId="11" type="noConversion"/>
  </si>
  <si>
    <t>紫色</t>
    <phoneticPr fontId="11" type="noConversion"/>
  </si>
  <si>
    <t>橙色</t>
    <phoneticPr fontId="11" type="noConversion"/>
  </si>
  <si>
    <t>等级</t>
    <phoneticPr fontId="11" type="noConversion"/>
  </si>
  <si>
    <t>真实战力</t>
    <phoneticPr fontId="11" type="noConversion"/>
  </si>
  <si>
    <t>升级dps</t>
    <phoneticPr fontId="11" type="noConversion"/>
  </si>
  <si>
    <t>橙色武器升级消耗增加</t>
    <phoneticPr fontId="11" type="noConversion"/>
  </si>
  <si>
    <t>武器攻击力系数调整</t>
    <phoneticPr fontId="11" type="noConversion"/>
  </si>
  <si>
    <t>1、玩家行为按照每日3小时   局外广告看满</t>
    <phoneticPr fontId="11" type="noConversion"/>
  </si>
  <si>
    <t>2、解锁金币副本后每天挑战36次</t>
    <phoneticPr fontId="11" type="noConversion"/>
  </si>
  <si>
    <t>4、每关挑战2次</t>
    <phoneticPr fontId="11" type="noConversion"/>
  </si>
  <si>
    <t>3、解锁武器副本后16次常规关卡、16次副本、5次金币</t>
    <phoneticPr fontId="11" type="noConversion"/>
  </si>
  <si>
    <t>300关  1关3次  1天5次</t>
    <phoneticPr fontId="11" type="noConversion"/>
  </si>
  <si>
    <t>300关1天16次  1关2次</t>
    <phoneticPr fontId="11" type="noConversion"/>
  </si>
  <si>
    <t>图鉴产出/24小时(累积）</t>
    <phoneticPr fontId="11" type="noConversion"/>
  </si>
  <si>
    <t>每天看满广告</t>
    <phoneticPr fontId="11" type="noConversion"/>
  </si>
  <si>
    <t>额外+10次扫荡</t>
    <phoneticPr fontId="11" type="noConversion"/>
  </si>
  <si>
    <t>图鉴产出/24小时</t>
    <phoneticPr fontId="11" type="noConversion"/>
  </si>
  <si>
    <t>关卡战力调整</t>
    <phoneticPr fontId="11" type="noConversion"/>
  </si>
  <si>
    <t>取消紫色武器除5的计算</t>
    <phoneticPr fontId="11" type="noConversion"/>
  </si>
  <si>
    <t>天</t>
    <phoneticPr fontId="11" type="noConversion"/>
  </si>
  <si>
    <t>打龙模式</t>
    <phoneticPr fontId="11" type="noConversion"/>
  </si>
  <si>
    <t>人质模式</t>
    <phoneticPr fontId="11" type="noConversion"/>
  </si>
  <si>
    <t>制导激光</t>
    <phoneticPr fontId="11" type="noConversion"/>
  </si>
  <si>
    <t>龙卷风</t>
    <phoneticPr fontId="11" type="noConversion"/>
  </si>
  <si>
    <t>牙签</t>
    <phoneticPr fontId="11" type="noConversion"/>
  </si>
  <si>
    <t>跳跳糖</t>
    <phoneticPr fontId="11" type="noConversion"/>
  </si>
  <si>
    <t>无人机</t>
    <phoneticPr fontId="11" type="noConversion"/>
  </si>
  <si>
    <t>摔炮</t>
    <phoneticPr fontId="11" type="noConversion"/>
  </si>
  <si>
    <t>感电螺丝</t>
    <phoneticPr fontId="11" type="noConversion"/>
  </si>
  <si>
    <t>签到皮肤</t>
    <phoneticPr fontId="11" type="noConversion"/>
  </si>
  <si>
    <t>获得时间</t>
    <phoneticPr fontId="11" type="noConversion"/>
  </si>
  <si>
    <t>属性</t>
    <phoneticPr fontId="11" type="noConversion"/>
  </si>
  <si>
    <t>属性值</t>
    <phoneticPr fontId="11" type="noConversion"/>
  </si>
  <si>
    <t>14日</t>
    <phoneticPr fontId="11" type="noConversion"/>
  </si>
  <si>
    <t>攻击5%</t>
    <phoneticPr fontId="11" type="noConversion"/>
  </si>
  <si>
    <t>子弹伤害加成</t>
    <phoneticPr fontId="11" type="noConversion"/>
  </si>
  <si>
    <t>困难15关</t>
    <phoneticPr fontId="11" type="noConversion"/>
  </si>
  <si>
    <t>CD10%</t>
    <phoneticPr fontId="11" type="noConversion"/>
  </si>
  <si>
    <t>全紫色武器攻击力加成</t>
    <phoneticPr fontId="11" type="noConversion"/>
  </si>
  <si>
    <t>地狱15关</t>
    <phoneticPr fontId="11" type="noConversion"/>
  </si>
  <si>
    <t>暴击率10%</t>
    <phoneticPr fontId="11" type="noConversion"/>
  </si>
  <si>
    <t>全橙色武器攻击力加成</t>
    <phoneticPr fontId="11" type="noConversion"/>
  </si>
  <si>
    <t>邀请皮肤</t>
    <phoneticPr fontId="11" type="noConversion"/>
  </si>
  <si>
    <t>邀请10个玩家</t>
    <phoneticPr fontId="11" type="noConversion"/>
  </si>
  <si>
    <t>攻击10%</t>
    <phoneticPr fontId="11" type="noConversion"/>
  </si>
  <si>
    <t>角色攻击力加成</t>
    <phoneticPr fontId="11" type="noConversion"/>
  </si>
  <si>
    <t>攻击力1</t>
    <phoneticPr fontId="11" type="noConversion"/>
  </si>
  <si>
    <t>攻击力2</t>
    <phoneticPr fontId="11" type="noConversion"/>
  </si>
  <si>
    <t>消耗碎片数</t>
  </si>
  <si>
    <t>碎片汇总</t>
  </si>
  <si>
    <t>属性比例</t>
  </si>
  <si>
    <t>品质</t>
    <phoneticPr fontId="11" type="noConversion"/>
  </si>
  <si>
    <t>加成比例</t>
    <phoneticPr fontId="11" type="noConversion"/>
  </si>
  <si>
    <t>累积碎片</t>
  </si>
  <si>
    <t>宠物来源</t>
    <phoneticPr fontId="11" type="noConversion"/>
  </si>
  <si>
    <t>单抽</t>
    <phoneticPr fontId="11" type="noConversion"/>
  </si>
  <si>
    <t>广告抽卡</t>
    <phoneticPr fontId="11" type="noConversion"/>
  </si>
  <si>
    <t>每日3次</t>
    <phoneticPr fontId="11" type="noConversion"/>
  </si>
  <si>
    <t>十连抽卡</t>
    <phoneticPr fontId="11" type="noConversion"/>
  </si>
  <si>
    <t>每日免费1次</t>
    <phoneticPr fontId="11" type="noConversion"/>
  </si>
  <si>
    <t>真实概率</t>
    <phoneticPr fontId="11" type="noConversion"/>
  </si>
  <si>
    <t>总价值</t>
    <phoneticPr fontId="11" type="noConversion"/>
  </si>
  <si>
    <t>困难属性</t>
    <phoneticPr fontId="11" type="noConversion"/>
  </si>
  <si>
    <t>地狱属性</t>
    <phoneticPr fontId="11" type="noConversion"/>
  </si>
  <si>
    <t>困难等级</t>
    <phoneticPr fontId="11" type="noConversion"/>
  </si>
  <si>
    <t>地狱等级</t>
    <phoneticPr fontId="11" type="noConversion"/>
  </si>
  <si>
    <t>皮肤战力</t>
    <phoneticPr fontId="11" type="noConversion"/>
  </si>
  <si>
    <t>宠物战力</t>
    <phoneticPr fontId="11" type="noConversion"/>
  </si>
  <si>
    <t>额外困难碎片</t>
    <phoneticPr fontId="11" type="noConversion"/>
  </si>
  <si>
    <t>额外地狱碎片</t>
    <phoneticPr fontId="11" type="noConversion"/>
  </si>
  <si>
    <t>钻石次数</t>
    <phoneticPr fontId="11" type="noConversion"/>
  </si>
  <si>
    <t>地狱获得</t>
    <phoneticPr fontId="11" type="noConversion"/>
  </si>
  <si>
    <t>每日免费</t>
    <phoneticPr fontId="11" type="noConversion"/>
  </si>
  <si>
    <t>免费</t>
    <phoneticPr fontId="11" type="noConversion"/>
  </si>
  <si>
    <t>普通抽卡次数</t>
    <phoneticPr fontId="11" type="noConversion"/>
  </si>
  <si>
    <t>碎片数</t>
    <phoneticPr fontId="11" type="noConversion"/>
  </si>
  <si>
    <t>武器</t>
    <phoneticPr fontId="11" type="noConversion"/>
  </si>
  <si>
    <t>总倍数</t>
    <phoneticPr fontId="11" type="noConversion"/>
  </si>
  <si>
    <t>总DPS倍数</t>
    <phoneticPr fontId="11" type="noConversion"/>
  </si>
  <si>
    <t>宠物用钻石</t>
    <phoneticPr fontId="11" type="noConversion"/>
  </si>
  <si>
    <t>总钻石</t>
    <phoneticPr fontId="11" type="noConversion"/>
  </si>
  <si>
    <t>难度加成1</t>
    <phoneticPr fontId="11" type="noConversion"/>
  </si>
  <si>
    <t>难度加成2</t>
    <phoneticPr fontId="11" type="noConversion"/>
  </si>
  <si>
    <t>玩家1</t>
    <phoneticPr fontId="11" type="noConversion"/>
  </si>
  <si>
    <t>玩家2</t>
    <phoneticPr fontId="11" type="noConversion"/>
  </si>
  <si>
    <t>难度平滑</t>
    <phoneticPr fontId="11" type="noConversion"/>
  </si>
  <si>
    <t>实际难度系数</t>
    <phoneticPr fontId="11" type="noConversion"/>
  </si>
  <si>
    <t>关卡难度组</t>
    <phoneticPr fontId="11" type="noConversion"/>
  </si>
  <si>
    <t>怪物血量</t>
    <phoneticPr fontId="11" type="noConversion"/>
  </si>
  <si>
    <t>通关解锁</t>
    <phoneticPr fontId="11" type="noConversion"/>
  </si>
  <si>
    <t>丧尸工厂</t>
    <phoneticPr fontId="11" type="noConversion"/>
  </si>
  <si>
    <t>弹超值赠礼</t>
    <phoneticPr fontId="11" type="noConversion"/>
  </si>
  <si>
    <t>升级武器</t>
    <phoneticPr fontId="11" type="noConversion"/>
  </si>
  <si>
    <t>解锁荧光棒</t>
    <phoneticPr fontId="11" type="noConversion"/>
  </si>
  <si>
    <t>调整系数</t>
    <phoneticPr fontId="11" type="noConversion"/>
  </si>
  <si>
    <t>104,3|105,1|106,1|1,138</t>
  </si>
  <si>
    <t>商店金币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</si>
</sst>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.0%"/>
  </numFmts>
  <fonts count="24" x14ac:knownFonts="1">
    <font>
      <sz val="11"/>
      <color theme="1"/>
      <name val="等线"/>
      <charset val="134"/>
      <scheme val="minor"/>
    </font>
    <font>
      <sz val="11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b/>
      <sz val="11"/>
      <color rgb="FFFFFFFF"/>
      <name val="微软雅黑"/>
      <family val="2"/>
      <charset val="134"/>
    </font>
    <font>
      <b/>
      <sz val="11"/>
      <color theme="0"/>
      <name val="等线"/>
      <family val="3"/>
      <charset val="134"/>
      <scheme val="minor"/>
    </font>
    <font>
      <b/>
      <sz val="11"/>
      <color theme="0"/>
      <name val="微软雅黑"/>
      <family val="2"/>
      <charset val="134"/>
    </font>
    <font>
      <sz val="11"/>
      <name val="等线"/>
      <family val="3"/>
      <charset val="134"/>
    </font>
    <font>
      <sz val="10"/>
      <color theme="1"/>
      <name val="等线"/>
      <family val="3"/>
      <charset val="134"/>
    </font>
    <font>
      <sz val="11"/>
      <color theme="1"/>
      <name val="等线"/>
      <family val="3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sz val="11"/>
      <color theme="0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11"/>
      <name val="等线 Light"/>
      <family val="3"/>
      <charset val="134"/>
      <scheme val="major"/>
    </font>
    <font>
      <sz val="11"/>
      <color theme="1"/>
      <name val="等线"/>
      <family val="3"/>
      <charset val="134"/>
      <scheme val="minor"/>
    </font>
    <font>
      <b/>
      <sz val="20"/>
      <color rgb="FF0070C0"/>
      <name val="等线"/>
      <family val="3"/>
      <charset val="134"/>
      <scheme val="minor"/>
    </font>
    <font>
      <sz val="10"/>
      <color theme="1"/>
      <name val="等线"/>
      <family val="3"/>
      <charset val="134"/>
      <scheme val="minor"/>
    </font>
    <font>
      <b/>
      <sz val="10"/>
      <color rgb="FFFFFFFF"/>
      <name val="微软雅黑"/>
      <family val="2"/>
      <charset val="134"/>
    </font>
    <font>
      <b/>
      <sz val="10"/>
      <color theme="0"/>
      <name val="等线"/>
      <family val="3"/>
      <charset val="134"/>
      <scheme val="minor"/>
    </font>
    <font>
      <sz val="10"/>
      <color rgb="FF00B050"/>
      <name val="等线"/>
      <family val="3"/>
      <charset val="134"/>
    </font>
    <font>
      <sz val="11"/>
      <name val="等线"/>
      <family val="3"/>
      <charset val="134"/>
      <scheme val="minor"/>
    </font>
    <font>
      <b/>
      <sz val="22"/>
      <color rgb="FF0070C0"/>
      <name val="等线"/>
      <family val="3"/>
      <charset val="134"/>
      <scheme val="minor"/>
    </font>
    <font>
      <b/>
      <sz val="18"/>
      <color rgb="FF0070C0"/>
      <name val="等线"/>
      <family val="3"/>
      <charset val="134"/>
      <scheme val="minor"/>
    </font>
    <font>
      <sz val="18"/>
      <color theme="1"/>
      <name val="等线"/>
      <family val="3"/>
      <charset val="134"/>
      <scheme val="minor"/>
    </font>
    <font>
      <b/>
      <sz val="10"/>
      <color rgb="FFFF0000"/>
      <name val="等线"/>
      <family val="3"/>
      <charset val="134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56BE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73ACE6"/>
        <bgColor indexed="64"/>
      </patternFill>
    </fill>
    <fill>
      <patternFill patternType="solid">
        <fgColor rgb="FF73E673"/>
        <bgColor indexed="64"/>
      </patternFill>
    </fill>
    <fill>
      <patternFill patternType="solid">
        <fgColor rgb="FFE6E673"/>
        <bgColor indexed="64"/>
      </patternFill>
    </fill>
    <fill>
      <patternFill patternType="solid">
        <fgColor rgb="FFE6AC73"/>
        <bgColor indexed="64"/>
      </patternFill>
    </fill>
    <fill>
      <patternFill patternType="solid">
        <fgColor rgb="FFE67373"/>
        <bgColor indexed="64"/>
      </patternFill>
    </fill>
    <fill>
      <patternFill patternType="solid">
        <fgColor rgb="FF7030A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</borders>
  <cellStyleXfs count="4">
    <xf numFmtId="0" fontId="0" fillId="0" borderId="0"/>
    <xf numFmtId="0" fontId="10" fillId="4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6" fillId="16" borderId="1">
      <alignment horizontal="left" vertical="center"/>
    </xf>
  </cellStyleXfs>
  <cellXfs count="196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0" fontId="2" fillId="0" borderId="0" xfId="0" applyFont="1" applyAlignment="1">
      <alignment horizontal="left"/>
    </xf>
    <xf numFmtId="0" fontId="3" fillId="3" borderId="1" xfId="0" applyFont="1" applyFill="1" applyBorder="1" applyAlignment="1">
      <alignment horizontal="left" vertical="center"/>
    </xf>
    <xf numFmtId="0" fontId="4" fillId="4" borderId="1" xfId="1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3" fillId="3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9" fontId="0" fillId="0" borderId="0" xfId="0" applyNumberFormat="1"/>
    <xf numFmtId="0" fontId="7" fillId="0" borderId="0" xfId="0" applyFont="1" applyAlignment="1">
      <alignment horizontal="center" vertical="center"/>
    </xf>
    <xf numFmtId="49" fontId="0" fillId="0" borderId="0" xfId="0" applyNumberFormat="1"/>
    <xf numFmtId="0" fontId="0" fillId="0" borderId="1" xfId="0" applyBorder="1"/>
    <xf numFmtId="0" fontId="0" fillId="0" borderId="0" xfId="0" applyAlignment="1">
      <alignment wrapText="1"/>
    </xf>
    <xf numFmtId="0" fontId="3" fillId="3" borderId="10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0" fillId="2" borderId="1" xfId="0" applyFill="1" applyBorder="1"/>
    <xf numFmtId="0" fontId="8" fillId="0" borderId="1" xfId="0" applyFont="1" applyBorder="1"/>
    <xf numFmtId="0" fontId="8" fillId="0" borderId="0" xfId="0" applyFont="1"/>
    <xf numFmtId="0" fontId="0" fillId="0" borderId="3" xfId="0" applyBorder="1"/>
    <xf numFmtId="0" fontId="4" fillId="4" borderId="0" xfId="1" applyFont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7" borderId="1" xfId="0" applyFill="1" applyBorder="1" applyAlignment="1">
      <alignment horizontal="left" vertical="center"/>
    </xf>
    <xf numFmtId="0" fontId="0" fillId="8" borderId="1" xfId="0" applyFill="1" applyBorder="1" applyAlignment="1">
      <alignment horizontal="left" vertical="center"/>
    </xf>
    <xf numFmtId="0" fontId="0" fillId="9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left" vertical="center"/>
    </xf>
    <xf numFmtId="0" fontId="0" fillId="8" borderId="1" xfId="0" applyFill="1" applyBorder="1"/>
    <xf numFmtId="0" fontId="0" fillId="9" borderId="1" xfId="0" applyFill="1" applyBorder="1"/>
    <xf numFmtId="0" fontId="12" fillId="0" borderId="0" xfId="0" applyFont="1" applyAlignment="1">
      <alignment horizontal="center" vertical="center"/>
    </xf>
    <xf numFmtId="0" fontId="0" fillId="0" borderId="13" xfId="0" applyBorder="1"/>
    <xf numFmtId="0" fontId="0" fillId="0" borderId="12" xfId="0" applyBorder="1"/>
    <xf numFmtId="0" fontId="4" fillId="4" borderId="13" xfId="1" applyFont="1" applyBorder="1" applyAlignment="1">
      <alignment horizontal="left" vertical="center"/>
    </xf>
    <xf numFmtId="0" fontId="8" fillId="0" borderId="13" xfId="0" applyFont="1" applyBorder="1"/>
    <xf numFmtId="0" fontId="4" fillId="4" borderId="12" xfId="1" applyFont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left" vertical="center"/>
    </xf>
    <xf numFmtId="176" fontId="0" fillId="0" borderId="0" xfId="0" applyNumberFormat="1"/>
    <xf numFmtId="0" fontId="8" fillId="2" borderId="0" xfId="0" applyFont="1" applyFill="1"/>
    <xf numFmtId="0" fontId="8" fillId="0" borderId="0" xfId="0" applyFont="1" applyAlignment="1">
      <alignment wrapText="1"/>
    </xf>
    <xf numFmtId="0" fontId="9" fillId="0" borderId="0" xfId="0" applyFont="1"/>
    <xf numFmtId="0" fontId="3" fillId="3" borderId="15" xfId="0" applyFont="1" applyFill="1" applyBorder="1" applyAlignment="1">
      <alignment horizontal="left" vertical="center"/>
    </xf>
    <xf numFmtId="0" fontId="0" fillId="0" borderId="15" xfId="0" applyBorder="1"/>
    <xf numFmtId="0" fontId="3" fillId="3" borderId="18" xfId="0" applyFont="1" applyFill="1" applyBorder="1" applyAlignment="1">
      <alignment horizontal="left" vertical="center"/>
    </xf>
    <xf numFmtId="0" fontId="0" fillId="0" borderId="18" xfId="0" applyBorder="1"/>
    <xf numFmtId="0" fontId="0" fillId="2" borderId="18" xfId="0" applyFill="1" applyBorder="1"/>
    <xf numFmtId="0" fontId="0" fillId="2" borderId="15" xfId="0" applyFill="1" applyBorder="1"/>
    <xf numFmtId="0" fontId="4" fillId="4" borderId="14" xfId="1" applyFont="1" applyBorder="1" applyAlignment="1">
      <alignment horizontal="left" vertical="center"/>
    </xf>
    <xf numFmtId="0" fontId="0" fillId="0" borderId="19" xfId="0" applyBorder="1"/>
    <xf numFmtId="0" fontId="0" fillId="0" borderId="10" xfId="0" applyBorder="1"/>
    <xf numFmtId="0" fontId="3" fillId="3" borderId="20" xfId="0" applyFont="1" applyFill="1" applyBorder="1" applyAlignment="1">
      <alignment horizontal="left" vertical="center"/>
    </xf>
    <xf numFmtId="0" fontId="0" fillId="0" borderId="20" xfId="0" applyBorder="1"/>
    <xf numFmtId="0" fontId="0" fillId="2" borderId="20" xfId="0" applyFill="1" applyBorder="1"/>
    <xf numFmtId="0" fontId="0" fillId="0" borderId="21" xfId="0" applyBorder="1" applyAlignment="1">
      <alignment horizontal="left" vertical="center"/>
    </xf>
    <xf numFmtId="0" fontId="0" fillId="0" borderId="21" xfId="0" applyBorder="1"/>
    <xf numFmtId="0" fontId="0" fillId="0" borderId="22" xfId="0" applyBorder="1"/>
    <xf numFmtId="0" fontId="0" fillId="0" borderId="26" xfId="0" applyBorder="1" applyAlignment="1">
      <alignment horizontal="left" vertical="center"/>
    </xf>
    <xf numFmtId="0" fontId="0" fillId="0" borderId="26" xfId="0" applyBorder="1"/>
    <xf numFmtId="0" fontId="0" fillId="0" borderId="27" xfId="0" applyBorder="1"/>
    <xf numFmtId="0" fontId="0" fillId="0" borderId="31" xfId="0" applyBorder="1"/>
    <xf numFmtId="0" fontId="8" fillId="0" borderId="1" xfId="0" applyFont="1" applyBorder="1" applyAlignment="1">
      <alignment horizontal="left" vertical="center"/>
    </xf>
    <xf numFmtId="0" fontId="14" fillId="0" borderId="0" xfId="0" applyFont="1"/>
    <xf numFmtId="0" fontId="0" fillId="0" borderId="32" xfId="0" applyBorder="1"/>
    <xf numFmtId="0" fontId="15" fillId="0" borderId="0" xfId="0" applyFont="1"/>
    <xf numFmtId="0" fontId="15" fillId="0" borderId="1" xfId="0" applyFont="1" applyBorder="1"/>
    <xf numFmtId="0" fontId="16" fillId="3" borderId="1" xfId="0" applyFont="1" applyFill="1" applyBorder="1" applyAlignment="1">
      <alignment horizontal="left" vertical="center"/>
    </xf>
    <xf numFmtId="0" fontId="17" fillId="4" borderId="1" xfId="1" applyFont="1" applyBorder="1" applyAlignment="1">
      <alignment horizontal="left" vertical="center"/>
    </xf>
    <xf numFmtId="0" fontId="7" fillId="10" borderId="1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177" fontId="0" fillId="0" borderId="0" xfId="2" applyNumberFormat="1" applyFont="1" applyAlignme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11" borderId="1" xfId="0" applyFont="1" applyFill="1" applyBorder="1" applyAlignment="1">
      <alignment horizontal="left" vertical="center"/>
    </xf>
    <xf numFmtId="0" fontId="19" fillId="12" borderId="1" xfId="0" applyFont="1" applyFill="1" applyBorder="1" applyAlignment="1">
      <alignment horizontal="left" vertical="center"/>
    </xf>
    <xf numFmtId="0" fontId="19" fillId="13" borderId="1" xfId="0" applyFont="1" applyFill="1" applyBorder="1" applyAlignment="1">
      <alignment horizontal="left" vertical="center"/>
    </xf>
    <xf numFmtId="0" fontId="19" fillId="14" borderId="1" xfId="0" applyFont="1" applyFill="1" applyBorder="1" applyAlignment="1">
      <alignment horizontal="left" vertical="center"/>
    </xf>
    <xf numFmtId="0" fontId="19" fillId="15" borderId="1" xfId="0" applyFont="1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3" fillId="3" borderId="14" xfId="0" applyFont="1" applyFill="1" applyBorder="1" applyAlignment="1">
      <alignment horizontal="left" vertical="center"/>
    </xf>
    <xf numFmtId="0" fontId="20" fillId="0" borderId="0" xfId="0" applyFont="1"/>
    <xf numFmtId="0" fontId="20" fillId="0" borderId="12" xfId="0" applyFont="1" applyBorder="1"/>
    <xf numFmtId="0" fontId="8" fillId="0" borderId="18" xfId="0" applyFont="1" applyBorder="1" applyAlignment="1">
      <alignment horizontal="left" vertical="center"/>
    </xf>
    <xf numFmtId="0" fontId="16" fillId="3" borderId="11" xfId="0" applyFont="1" applyFill="1" applyBorder="1" applyAlignment="1">
      <alignment horizontal="left" vertical="center"/>
    </xf>
    <xf numFmtId="0" fontId="15" fillId="0" borderId="12" xfId="0" applyFont="1" applyBorder="1"/>
    <xf numFmtId="0" fontId="15" fillId="0" borderId="13" xfId="0" applyFont="1" applyBorder="1"/>
    <xf numFmtId="0" fontId="15" fillId="0" borderId="0" xfId="0" applyFont="1" applyAlignment="1">
      <alignment horizontal="left"/>
    </xf>
    <xf numFmtId="0" fontId="16" fillId="3" borderId="20" xfId="0" applyFont="1" applyFill="1" applyBorder="1" applyAlignment="1">
      <alignment horizontal="left" vertical="center"/>
    </xf>
    <xf numFmtId="0" fontId="16" fillId="3" borderId="18" xfId="0" applyFont="1" applyFill="1" applyBorder="1" applyAlignment="1">
      <alignment horizontal="left" vertical="center"/>
    </xf>
    <xf numFmtId="0" fontId="16" fillId="3" borderId="15" xfId="0" applyFont="1" applyFill="1" applyBorder="1" applyAlignment="1">
      <alignment horizontal="left" vertical="center"/>
    </xf>
    <xf numFmtId="0" fontId="16" fillId="3" borderId="14" xfId="0" applyFont="1" applyFill="1" applyBorder="1" applyAlignment="1">
      <alignment horizontal="left" vertical="center"/>
    </xf>
    <xf numFmtId="0" fontId="17" fillId="4" borderId="14" xfId="1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15" fillId="0" borderId="14" xfId="0" applyFont="1" applyBorder="1"/>
    <xf numFmtId="0" fontId="21" fillId="0" borderId="0" xfId="0" applyFont="1"/>
    <xf numFmtId="0" fontId="15" fillId="0" borderId="18" xfId="0" applyFont="1" applyBorder="1"/>
    <xf numFmtId="0" fontId="15" fillId="0" borderId="11" xfId="0" applyFont="1" applyBorder="1"/>
    <xf numFmtId="0" fontId="15" fillId="0" borderId="15" xfId="0" applyFont="1" applyBorder="1"/>
    <xf numFmtId="0" fontId="15" fillId="0" borderId="16" xfId="0" applyFont="1" applyBorder="1"/>
    <xf numFmtId="0" fontId="16" fillId="3" borderId="17" xfId="0" applyFont="1" applyFill="1" applyBorder="1" applyAlignment="1">
      <alignment horizontal="left" vertical="center"/>
    </xf>
    <xf numFmtId="0" fontId="15" fillId="0" borderId="17" xfId="0" applyFont="1" applyBorder="1"/>
    <xf numFmtId="0" fontId="21" fillId="0" borderId="12" xfId="0" applyFont="1" applyBorder="1"/>
    <xf numFmtId="0" fontId="22" fillId="0" borderId="0" xfId="0" applyFont="1"/>
    <xf numFmtId="0" fontId="22" fillId="0" borderId="13" xfId="0" applyFont="1" applyBorder="1"/>
    <xf numFmtId="0" fontId="16" fillId="3" borderId="33" xfId="0" applyFont="1" applyFill="1" applyBorder="1" applyAlignment="1">
      <alignment horizontal="left" vertical="center"/>
    </xf>
    <xf numFmtId="0" fontId="15" fillId="0" borderId="33" xfId="0" applyFont="1" applyBorder="1"/>
    <xf numFmtId="0" fontId="17" fillId="4" borderId="19" xfId="1" applyFont="1" applyBorder="1" applyAlignment="1">
      <alignment horizontal="left" vertical="center"/>
    </xf>
    <xf numFmtId="0" fontId="23" fillId="0" borderId="1" xfId="0" applyFont="1" applyBorder="1"/>
    <xf numFmtId="0" fontId="23" fillId="0" borderId="15" xfId="0" applyFont="1" applyBorder="1"/>
    <xf numFmtId="177" fontId="15" fillId="0" borderId="1" xfId="2" applyNumberFormat="1" applyFont="1" applyBorder="1" applyAlignment="1"/>
    <xf numFmtId="177" fontId="15" fillId="0" borderId="0" xfId="2" applyNumberFormat="1" applyFont="1" applyBorder="1" applyAlignment="1"/>
    <xf numFmtId="0" fontId="15" fillId="0" borderId="19" xfId="0" applyFont="1" applyBorder="1"/>
    <xf numFmtId="176" fontId="15" fillId="0" borderId="0" xfId="0" applyNumberFormat="1" applyFont="1"/>
    <xf numFmtId="176" fontId="16" fillId="3" borderId="1" xfId="0" applyNumberFormat="1" applyFont="1" applyFill="1" applyBorder="1" applyAlignment="1">
      <alignment horizontal="left" vertical="center"/>
    </xf>
    <xf numFmtId="176" fontId="15" fillId="0" borderId="1" xfId="0" applyNumberFormat="1" applyFont="1" applyBorder="1"/>
    <xf numFmtId="0" fontId="15" fillId="0" borderId="2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24" xfId="0" applyFont="1" applyBorder="1"/>
    <xf numFmtId="0" fontId="15" fillId="0" borderId="21" xfId="0" applyFont="1" applyBorder="1"/>
    <xf numFmtId="0" fontId="23" fillId="0" borderId="21" xfId="0" applyFont="1" applyBorder="1"/>
    <xf numFmtId="0" fontId="15" fillId="0" borderId="4" xfId="0" applyFont="1" applyBorder="1"/>
    <xf numFmtId="0" fontId="15" fillId="0" borderId="25" xfId="0" applyFont="1" applyBorder="1"/>
    <xf numFmtId="0" fontId="15" fillId="0" borderId="2" xfId="0" applyFont="1" applyBorder="1"/>
    <xf numFmtId="0" fontId="15" fillId="0" borderId="23" xfId="0" applyFont="1" applyBorder="1"/>
    <xf numFmtId="0" fontId="15" fillId="0" borderId="34" xfId="0" applyFont="1" applyBorder="1"/>
    <xf numFmtId="177" fontId="15" fillId="0" borderId="21" xfId="2" applyNumberFormat="1" applyFont="1" applyBorder="1" applyAlignment="1"/>
    <xf numFmtId="176" fontId="15" fillId="0" borderId="21" xfId="0" applyNumberFormat="1" applyFont="1" applyBorder="1"/>
    <xf numFmtId="0" fontId="15" fillId="0" borderId="26" xfId="0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0" fontId="15" fillId="0" borderId="32" xfId="0" applyFont="1" applyBorder="1" applyAlignment="1">
      <alignment horizontal="left" vertical="center"/>
    </xf>
    <xf numFmtId="0" fontId="15" fillId="0" borderId="29" xfId="0" applyFont="1" applyBorder="1"/>
    <xf numFmtId="0" fontId="15" fillId="0" borderId="26" xfId="0" applyFont="1" applyBorder="1"/>
    <xf numFmtId="0" fontId="15" fillId="0" borderId="31" xfId="0" applyFont="1" applyBorder="1"/>
    <xf numFmtId="0" fontId="23" fillId="0" borderId="26" xfId="0" applyFont="1" applyBorder="1"/>
    <xf numFmtId="0" fontId="15" fillId="0" borderId="36" xfId="0" applyFont="1" applyBorder="1"/>
    <xf numFmtId="0" fontId="15" fillId="0" borderId="30" xfId="0" applyFont="1" applyBorder="1"/>
    <xf numFmtId="0" fontId="15" fillId="0" borderId="35" xfId="0" applyFont="1" applyBorder="1"/>
    <xf numFmtId="0" fontId="15" fillId="0" borderId="28" xfId="0" applyFont="1" applyBorder="1"/>
    <xf numFmtId="0" fontId="15" fillId="0" borderId="37" xfId="0" applyFont="1" applyBorder="1"/>
    <xf numFmtId="177" fontId="15" fillId="0" borderId="26" xfId="2" applyNumberFormat="1" applyFont="1" applyBorder="1" applyAlignment="1"/>
    <xf numFmtId="177" fontId="15" fillId="0" borderId="31" xfId="2" applyNumberFormat="1" applyFont="1" applyBorder="1" applyAlignment="1"/>
    <xf numFmtId="176" fontId="15" fillId="0" borderId="26" xfId="0" applyNumberFormat="1" applyFont="1" applyBorder="1"/>
    <xf numFmtId="0" fontId="15" fillId="0" borderId="38" xfId="0" applyFont="1" applyBorder="1"/>
    <xf numFmtId="0" fontId="15" fillId="0" borderId="20" xfId="0" applyFont="1" applyBorder="1"/>
    <xf numFmtId="0" fontId="15" fillId="0" borderId="3" xfId="0" applyFont="1" applyBorder="1"/>
    <xf numFmtId="0" fontId="15" fillId="0" borderId="32" xfId="0" applyFont="1" applyBorder="1"/>
    <xf numFmtId="0" fontId="22" fillId="0" borderId="12" xfId="0" applyFont="1" applyBorder="1"/>
    <xf numFmtId="0" fontId="8" fillId="2" borderId="1" xfId="0" applyFont="1" applyFill="1" applyBorder="1"/>
    <xf numFmtId="0" fontId="3" fillId="3" borderId="2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10" fontId="0" fillId="0" borderId="1" xfId="0" applyNumberFormat="1" applyBorder="1"/>
    <xf numFmtId="177" fontId="8" fillId="0" borderId="0" xfId="0" applyNumberFormat="1" applyFont="1"/>
    <xf numFmtId="9" fontId="0" fillId="0" borderId="1" xfId="0" applyNumberFormat="1" applyBorder="1"/>
    <xf numFmtId="0" fontId="15" fillId="0" borderId="39" xfId="0" applyFont="1" applyBorder="1"/>
    <xf numFmtId="49" fontId="1" fillId="0" borderId="0" xfId="0" applyNumberFormat="1" applyFont="1" applyAlignment="1">
      <alignment horizontal="center"/>
    </xf>
    <xf numFmtId="0" fontId="3" fillId="3" borderId="10" xfId="0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center" wrapText="1"/>
    </xf>
    <xf numFmtId="0" fontId="15" fillId="0" borderId="11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14" xfId="0" applyFont="1" applyBorder="1" applyAlignment="1">
      <alignment horizontal="center"/>
    </xf>
  </cellXfs>
  <cellStyles count="4">
    <cellStyle name="百分比" xfId="2" builtinId="5"/>
    <cellStyle name="常规" xfId="0" builtinId="0"/>
    <cellStyle name="样式 1" xfId="3" xr:uid="{415065D9-AFBC-47BC-958C-7BAE54910CB1}"/>
    <cellStyle name="着色 2" xfId="1" builtinId="33"/>
  </cellStyles>
  <dxfs count="0"/>
  <tableStyles count="0" defaultTableStyle="TableStyleMedium2" defaultPivotStyle="PivotStyleLight16"/>
  <colors>
    <mruColors>
      <color rgb="FF0D47A1"/>
      <color rgb="FFE3F2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209551</xdr:colOff>
      <xdr:row>12</xdr:row>
      <xdr:rowOff>11253</xdr:rowOff>
    </xdr:from>
    <xdr:to>
      <xdr:col>14</xdr:col>
      <xdr:colOff>323851</xdr:colOff>
      <xdr:row>26</xdr:row>
      <xdr:rowOff>87787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3500F70F-B73E-8A6F-7D18-59CEBD594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05901" y="3802203"/>
          <a:ext cx="5886450" cy="29626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136071</xdr:colOff>
      <xdr:row>48</xdr:row>
      <xdr:rowOff>111579</xdr:rowOff>
    </xdr:from>
    <xdr:to>
      <xdr:col>3</xdr:col>
      <xdr:colOff>364257</xdr:colOff>
      <xdr:row>73</xdr:row>
      <xdr:rowOff>153295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2A151095-E263-8125-C83F-3B2826B7C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71" y="9210222"/>
          <a:ext cx="3312472" cy="4296610"/>
        </a:xfrm>
        <a:prstGeom prst="rect">
          <a:avLst/>
        </a:prstGeom>
      </xdr:spPr>
    </xdr:pic>
    <xdr:clientData/>
  </xdr:twoCellAnchor>
  <xdr:twoCellAnchor editAs="oneCell">
    <xdr:from>
      <xdr:col>8</xdr:col>
      <xdr:colOff>218621</xdr:colOff>
      <xdr:row>48</xdr:row>
      <xdr:rowOff>98879</xdr:rowOff>
    </xdr:from>
    <xdr:to>
      <xdr:col>13</xdr:col>
      <xdr:colOff>914392</xdr:colOff>
      <xdr:row>89</xdr:row>
      <xdr:rowOff>46127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C002D5EF-D039-6C5E-48C4-5EED88A32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85050" y="9197522"/>
          <a:ext cx="3689342" cy="6918838"/>
        </a:xfrm>
        <a:prstGeom prst="rect">
          <a:avLst/>
        </a:prstGeom>
      </xdr:spPr>
    </xdr:pic>
    <xdr:clientData/>
  </xdr:twoCellAnchor>
  <xdr:twoCellAnchor editAs="oneCell">
    <xdr:from>
      <xdr:col>3</xdr:col>
      <xdr:colOff>506185</xdr:colOff>
      <xdr:row>48</xdr:row>
      <xdr:rowOff>138793</xdr:rowOff>
    </xdr:from>
    <xdr:to>
      <xdr:col>8</xdr:col>
      <xdr:colOff>163270</xdr:colOff>
      <xdr:row>98</xdr:row>
      <xdr:rowOff>5385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51B6B363-8642-C133-4679-6FCE84C28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90471" y="9237436"/>
          <a:ext cx="3739228" cy="8366914"/>
        </a:xfrm>
        <a:prstGeom prst="rect">
          <a:avLst/>
        </a:prstGeom>
      </xdr:spPr>
    </xdr:pic>
    <xdr:clientData/>
  </xdr:twoCellAnchor>
  <xdr:twoCellAnchor editAs="oneCell">
    <xdr:from>
      <xdr:col>19</xdr:col>
      <xdr:colOff>118835</xdr:colOff>
      <xdr:row>48</xdr:row>
      <xdr:rowOff>49893</xdr:rowOff>
    </xdr:from>
    <xdr:to>
      <xdr:col>25</xdr:col>
      <xdr:colOff>34439</xdr:colOff>
      <xdr:row>97</xdr:row>
      <xdr:rowOff>24994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34278A4D-6089-5B06-71A7-E357CCE97F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104835" y="9148536"/>
          <a:ext cx="3888890" cy="8309771"/>
        </a:xfrm>
        <a:prstGeom prst="rect">
          <a:avLst/>
        </a:prstGeom>
      </xdr:spPr>
    </xdr:pic>
    <xdr:clientData/>
  </xdr:twoCellAnchor>
  <xdr:twoCellAnchor editAs="oneCell">
    <xdr:from>
      <xdr:col>13</xdr:col>
      <xdr:colOff>1058689</xdr:colOff>
      <xdr:row>48</xdr:row>
      <xdr:rowOff>103522</xdr:rowOff>
    </xdr:from>
    <xdr:to>
      <xdr:col>18</xdr:col>
      <xdr:colOff>642725</xdr:colOff>
      <xdr:row>94</xdr:row>
      <xdr:rowOff>47979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CABDE51B-12B2-B8A1-A88F-8E1E271B6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18689" y="9202165"/>
          <a:ext cx="3747822" cy="7767972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BD9D7-2D9C-42DD-AA8E-F6B3A01C70CB}">
  <sheetPr codeName="Sheet1">
    <tabColor rgb="FF00B050"/>
  </sheetPr>
  <dimension ref="A1:M202"/>
  <sheetViews>
    <sheetView workbookViewId="0">
      <selection activeCell="H14" sqref="H14"/>
    </sheetView>
  </sheetViews>
  <sheetFormatPr defaultRowHeight="13.8" x14ac:dyDescent="0.25"/>
  <cols>
    <col min="2" max="3" width="8.6640625" hidden="1" customWidth="1"/>
    <col min="4" max="4" width="10.77734375" style="63" bestFit="1" customWidth="1"/>
    <col min="6" max="6" width="9.77734375" bestFit="1" customWidth="1"/>
    <col min="7" max="7" width="9.5546875" customWidth="1"/>
    <col min="8" max="8" width="52.109375" customWidth="1"/>
    <col min="9" max="9" width="8.6640625" bestFit="1" customWidth="1"/>
    <col min="11" max="11" width="49.77734375" customWidth="1"/>
  </cols>
  <sheetData>
    <row r="1" spans="1:13" x14ac:dyDescent="0.25">
      <c r="I1" s="44" t="s">
        <v>226</v>
      </c>
    </row>
    <row r="2" spans="1:13" ht="16.2" x14ac:dyDescent="0.25">
      <c r="A2" s="9" t="s">
        <v>203</v>
      </c>
      <c r="B2" s="9" t="s">
        <v>204</v>
      </c>
      <c r="C2" s="9" t="s">
        <v>205</v>
      </c>
      <c r="D2" s="62" t="s">
        <v>206</v>
      </c>
      <c r="E2" s="40" t="s">
        <v>208</v>
      </c>
      <c r="F2" s="40" t="s">
        <v>207</v>
      </c>
      <c r="G2" s="40" t="s">
        <v>199</v>
      </c>
      <c r="H2" s="40" t="s">
        <v>221</v>
      </c>
      <c r="I2" s="24" t="s">
        <v>495</v>
      </c>
      <c r="J2" s="24"/>
    </row>
    <row r="3" spans="1:13" x14ac:dyDescent="0.25">
      <c r="A3">
        <v>1</v>
      </c>
      <c r="B3">
        <v>3</v>
      </c>
      <c r="C3">
        <v>1.05</v>
      </c>
      <c r="D3" s="63">
        <f>SUMPRODUCT($B$3:B3,$C$3:C3)/60</f>
        <v>5.2500000000000005E-2</v>
      </c>
      <c r="F3" s="44" t="s">
        <v>224</v>
      </c>
      <c r="I3" s="44" t="s">
        <v>496</v>
      </c>
      <c r="J3" s="44" t="s">
        <v>497</v>
      </c>
    </row>
    <row r="4" spans="1:13" ht="69" x14ac:dyDescent="0.25">
      <c r="A4">
        <v>2</v>
      </c>
      <c r="B4">
        <v>5</v>
      </c>
      <c r="C4">
        <v>1.2</v>
      </c>
      <c r="D4" s="63">
        <f>SUMPRODUCT($B$3:B4,$C$3:C4)/60</f>
        <v>0.1525</v>
      </c>
      <c r="E4" s="44" t="s">
        <v>209</v>
      </c>
      <c r="F4" s="44" t="s">
        <v>214</v>
      </c>
      <c r="G4" s="65"/>
      <c r="H4" s="65" t="s">
        <v>222</v>
      </c>
      <c r="I4" s="65" t="s">
        <v>498</v>
      </c>
      <c r="J4" s="65" t="s">
        <v>499</v>
      </c>
    </row>
    <row r="5" spans="1:13" x14ac:dyDescent="0.25">
      <c r="A5">
        <v>3</v>
      </c>
      <c r="B5">
        <v>5</v>
      </c>
      <c r="C5">
        <v>2</v>
      </c>
      <c r="D5" s="63">
        <f>SUMPRODUCT($B$3:B5,$C$3:C5)/60</f>
        <v>0.31916666666666665</v>
      </c>
      <c r="F5" s="44" t="s">
        <v>230</v>
      </c>
    </row>
    <row r="6" spans="1:13" ht="41.4" x14ac:dyDescent="0.25">
      <c r="A6">
        <v>4</v>
      </c>
      <c r="B6">
        <v>5</v>
      </c>
      <c r="C6">
        <v>3</v>
      </c>
      <c r="D6" s="63">
        <f>SUMPRODUCT($B$3:B6,$C$3:C6)/60</f>
        <v>0.5691666666666666</v>
      </c>
      <c r="G6" s="64" t="s">
        <v>213</v>
      </c>
      <c r="H6" s="65" t="s">
        <v>227</v>
      </c>
    </row>
    <row r="7" spans="1:13" x14ac:dyDescent="0.25">
      <c r="A7">
        <v>5</v>
      </c>
      <c r="B7">
        <v>5</v>
      </c>
      <c r="C7">
        <v>3</v>
      </c>
      <c r="D7" s="63">
        <f>SUMPRODUCT($B$3:B7,$C$3:C7)/60</f>
        <v>0.8191666666666666</v>
      </c>
      <c r="M7" s="44"/>
    </row>
    <row r="8" spans="1:13" x14ac:dyDescent="0.25">
      <c r="A8">
        <v>6</v>
      </c>
      <c r="B8">
        <v>5</v>
      </c>
      <c r="C8">
        <v>4</v>
      </c>
      <c r="D8" s="63">
        <f>SUMPRODUCT($B$3:B8,$C$3:C8)/60</f>
        <v>1.1525000000000001</v>
      </c>
      <c r="E8" s="44" t="s">
        <v>210</v>
      </c>
    </row>
    <row r="9" spans="1:13" x14ac:dyDescent="0.25">
      <c r="A9">
        <v>7</v>
      </c>
      <c r="B9">
        <v>5</v>
      </c>
      <c r="C9">
        <v>4</v>
      </c>
      <c r="D9" s="63">
        <f>SUMPRODUCT($B$3:B9,$C$3:C9)/60</f>
        <v>1.4858333333333333</v>
      </c>
    </row>
    <row r="10" spans="1:13" x14ac:dyDescent="0.25">
      <c r="A10">
        <v>8</v>
      </c>
      <c r="B10">
        <v>5</v>
      </c>
      <c r="C10">
        <v>4</v>
      </c>
      <c r="D10" s="63">
        <f>SUMPRODUCT($B$3:B10,$C$3:C10)/60</f>
        <v>1.8191666666666668</v>
      </c>
      <c r="F10" s="44" t="s">
        <v>225</v>
      </c>
    </row>
    <row r="11" spans="1:13" ht="55.2" x14ac:dyDescent="0.25">
      <c r="A11">
        <v>9</v>
      </c>
      <c r="B11">
        <v>5</v>
      </c>
      <c r="C11">
        <v>4</v>
      </c>
      <c r="D11" s="63">
        <f>SUMPRODUCT($B$3:B11,$C$3:C11)/60</f>
        <v>2.1525000000000003</v>
      </c>
      <c r="F11" s="64" t="s">
        <v>215</v>
      </c>
      <c r="H11" s="65" t="s">
        <v>228</v>
      </c>
      <c r="K11" s="65"/>
    </row>
    <row r="12" spans="1:13" x14ac:dyDescent="0.25">
      <c r="A12">
        <v>10</v>
      </c>
      <c r="B12">
        <v>5</v>
      </c>
      <c r="C12">
        <v>5</v>
      </c>
      <c r="D12" s="63">
        <f>SUMPRODUCT($B$3:B12,$C$3:C12)/60</f>
        <v>2.5691666666666668</v>
      </c>
      <c r="E12" s="44" t="s">
        <v>211</v>
      </c>
      <c r="G12" s="44" t="s">
        <v>184</v>
      </c>
    </row>
    <row r="13" spans="1:13" x14ac:dyDescent="0.25">
      <c r="A13">
        <v>11</v>
      </c>
      <c r="B13">
        <v>5</v>
      </c>
      <c r="C13">
        <v>5</v>
      </c>
      <c r="D13" s="63">
        <f>SUMPRODUCT($B$3:B13,$C$3:C13)/60</f>
        <v>2.9858333333333333</v>
      </c>
    </row>
    <row r="14" spans="1:13" x14ac:dyDescent="0.25">
      <c r="A14">
        <v>12</v>
      </c>
      <c r="B14">
        <v>5</v>
      </c>
      <c r="C14">
        <v>5</v>
      </c>
      <c r="D14" s="63">
        <f>SUMPRODUCT($B$3:B14,$C$3:C14)/60</f>
        <v>3.4025000000000003</v>
      </c>
    </row>
    <row r="15" spans="1:13" x14ac:dyDescent="0.25">
      <c r="A15">
        <v>13</v>
      </c>
      <c r="B15">
        <v>5</v>
      </c>
      <c r="C15">
        <v>5</v>
      </c>
      <c r="D15" s="63">
        <f>SUMPRODUCT($B$3:B15,$C$3:C15)/60</f>
        <v>3.8191666666666668</v>
      </c>
    </row>
    <row r="16" spans="1:13" x14ac:dyDescent="0.25">
      <c r="A16">
        <v>14</v>
      </c>
      <c r="B16">
        <v>5</v>
      </c>
      <c r="C16">
        <v>5</v>
      </c>
      <c r="D16" s="63">
        <f>SUMPRODUCT($B$3:B16,$C$3:C16)/60</f>
        <v>4.2358333333333338</v>
      </c>
      <c r="E16" s="44" t="s">
        <v>212</v>
      </c>
    </row>
    <row r="17" spans="1:13" x14ac:dyDescent="0.25">
      <c r="A17">
        <v>15</v>
      </c>
      <c r="B17">
        <v>5</v>
      </c>
      <c r="C17">
        <v>5</v>
      </c>
      <c r="D17" s="63">
        <f>SUMPRODUCT($B$3:B17,$C$3:C17)/60</f>
        <v>4.6524999999999999</v>
      </c>
    </row>
    <row r="18" spans="1:13" ht="55.2" x14ac:dyDescent="0.25">
      <c r="A18">
        <v>16</v>
      </c>
      <c r="B18">
        <v>5</v>
      </c>
      <c r="C18">
        <v>5</v>
      </c>
      <c r="D18" s="63">
        <f>SUMPRODUCT($B$3:B18,$C$3:C18)/60</f>
        <v>5.0691666666666659</v>
      </c>
      <c r="F18" s="64" t="s">
        <v>216</v>
      </c>
      <c r="H18" s="65" t="s">
        <v>229</v>
      </c>
    </row>
    <row r="19" spans="1:13" x14ac:dyDescent="0.25">
      <c r="A19">
        <v>17</v>
      </c>
      <c r="B19">
        <v>5</v>
      </c>
      <c r="C19">
        <v>5</v>
      </c>
      <c r="D19" s="63">
        <f>SUMPRODUCT($B$3:B19,$C$3:C19)/60</f>
        <v>5.4858333333333329</v>
      </c>
      <c r="K19" s="44"/>
      <c r="M19" s="44"/>
    </row>
    <row r="20" spans="1:13" x14ac:dyDescent="0.25">
      <c r="A20">
        <v>18</v>
      </c>
      <c r="B20">
        <v>5</v>
      </c>
      <c r="C20">
        <v>5</v>
      </c>
      <c r="D20" s="63">
        <f>SUMPRODUCT($B$3:B20,$C$3:C20)/60</f>
        <v>5.9024999999999999</v>
      </c>
    </row>
    <row r="21" spans="1:13" x14ac:dyDescent="0.25">
      <c r="A21">
        <v>19</v>
      </c>
      <c r="B21">
        <v>5</v>
      </c>
      <c r="C21">
        <v>5</v>
      </c>
      <c r="D21" s="63">
        <f>SUMPRODUCT($B$3:B21,$C$3:C21)/60</f>
        <v>6.3191666666666659</v>
      </c>
    </row>
    <row r="22" spans="1:13" x14ac:dyDescent="0.25">
      <c r="A22">
        <v>20</v>
      </c>
      <c r="B22">
        <v>5</v>
      </c>
      <c r="C22">
        <v>5</v>
      </c>
      <c r="D22" s="63">
        <f>SUMPRODUCT($B$3:B22,$C$3:C22)/60</f>
        <v>6.7358333333333329</v>
      </c>
      <c r="F22" s="64" t="s">
        <v>223</v>
      </c>
      <c r="G22" s="44" t="s">
        <v>217</v>
      </c>
    </row>
    <row r="23" spans="1:13" x14ac:dyDescent="0.25">
      <c r="A23">
        <v>21</v>
      </c>
      <c r="B23">
        <v>5</v>
      </c>
      <c r="C23">
        <v>5</v>
      </c>
      <c r="D23" s="63">
        <f>SUMPRODUCT($B$3:B23,$C$3:C23)/60</f>
        <v>7.1524999999999999</v>
      </c>
    </row>
    <row r="24" spans="1:13" x14ac:dyDescent="0.25">
      <c r="A24">
        <v>22</v>
      </c>
      <c r="B24">
        <v>5</v>
      </c>
      <c r="C24">
        <v>5</v>
      </c>
      <c r="D24" s="63">
        <f>SUMPRODUCT($B$3:B24,$C$3:C24)/60</f>
        <v>7.5691666666666659</v>
      </c>
    </row>
    <row r="25" spans="1:13" x14ac:dyDescent="0.25">
      <c r="A25">
        <v>23</v>
      </c>
      <c r="B25">
        <v>5</v>
      </c>
      <c r="C25">
        <v>5</v>
      </c>
      <c r="D25" s="63">
        <f>SUMPRODUCT($B$3:B25,$C$3:C25)/60</f>
        <v>7.9858333333333329</v>
      </c>
    </row>
    <row r="26" spans="1:13" x14ac:dyDescent="0.25">
      <c r="A26">
        <v>24</v>
      </c>
      <c r="B26">
        <v>5</v>
      </c>
      <c r="C26">
        <v>5</v>
      </c>
      <c r="D26" s="63">
        <f>SUMPRODUCT($B$3:B26,$C$3:C26)/60</f>
        <v>8.4024999999999999</v>
      </c>
    </row>
    <row r="27" spans="1:13" x14ac:dyDescent="0.25">
      <c r="A27">
        <v>25</v>
      </c>
      <c r="B27">
        <v>5</v>
      </c>
      <c r="C27">
        <v>5</v>
      </c>
      <c r="D27" s="63">
        <f>SUMPRODUCT($B$3:B27,$C$3:C27)/60</f>
        <v>8.8191666666666659</v>
      </c>
      <c r="G27" s="44" t="s">
        <v>218</v>
      </c>
    </row>
    <row r="28" spans="1:13" x14ac:dyDescent="0.25">
      <c r="A28">
        <v>26</v>
      </c>
      <c r="B28">
        <v>5</v>
      </c>
      <c r="C28">
        <v>5</v>
      </c>
      <c r="D28" s="63">
        <f>SUMPRODUCT($B$3:B28,$C$3:C28)/60</f>
        <v>9.2358333333333338</v>
      </c>
    </row>
    <row r="29" spans="1:13" x14ac:dyDescent="0.25">
      <c r="A29">
        <v>27</v>
      </c>
      <c r="B29">
        <v>5</v>
      </c>
      <c r="C29">
        <v>5</v>
      </c>
      <c r="D29" s="63">
        <f>SUMPRODUCT($B$3:B29,$C$3:C29)/60</f>
        <v>9.6524999999999999</v>
      </c>
    </row>
    <row r="30" spans="1:13" x14ac:dyDescent="0.25">
      <c r="A30">
        <v>28</v>
      </c>
      <c r="B30">
        <v>5</v>
      </c>
      <c r="C30">
        <v>5</v>
      </c>
      <c r="D30" s="63">
        <f>SUMPRODUCT($B$3:B30,$C$3:C30)/60</f>
        <v>10.069166666666666</v>
      </c>
    </row>
    <row r="31" spans="1:13" x14ac:dyDescent="0.25">
      <c r="A31">
        <v>29</v>
      </c>
      <c r="B31">
        <v>5</v>
      </c>
      <c r="C31">
        <v>5</v>
      </c>
      <c r="D31" s="63">
        <f>SUMPRODUCT($B$3:B31,$C$3:C31)/60</f>
        <v>10.485833333333334</v>
      </c>
    </row>
    <row r="32" spans="1:13" x14ac:dyDescent="0.25">
      <c r="A32">
        <v>30</v>
      </c>
      <c r="B32">
        <v>5</v>
      </c>
      <c r="C32">
        <v>5</v>
      </c>
      <c r="D32" s="63">
        <f>SUMPRODUCT($B$3:B32,$C$3:C32)/60</f>
        <v>10.9025</v>
      </c>
      <c r="G32" s="44" t="s">
        <v>219</v>
      </c>
    </row>
    <row r="33" spans="1:7" x14ac:dyDescent="0.25">
      <c r="A33">
        <v>31</v>
      </c>
      <c r="B33">
        <v>5</v>
      </c>
      <c r="C33">
        <v>5</v>
      </c>
      <c r="D33" s="63">
        <f>SUMPRODUCT($B$3:B33,$C$3:C33)/60</f>
        <v>11.319166666666666</v>
      </c>
    </row>
    <row r="34" spans="1:7" x14ac:dyDescent="0.25">
      <c r="A34">
        <v>32</v>
      </c>
      <c r="B34">
        <v>5</v>
      </c>
      <c r="C34">
        <v>5</v>
      </c>
      <c r="D34" s="63">
        <f>SUMPRODUCT($B$3:B34,$C$3:C34)/60</f>
        <v>11.735833333333334</v>
      </c>
    </row>
    <row r="35" spans="1:7" x14ac:dyDescent="0.25">
      <c r="A35">
        <v>33</v>
      </c>
      <c r="B35">
        <v>5</v>
      </c>
      <c r="C35">
        <v>5</v>
      </c>
      <c r="D35" s="63">
        <f>SUMPRODUCT($B$3:B35,$C$3:C35)/60</f>
        <v>12.1525</v>
      </c>
    </row>
    <row r="36" spans="1:7" x14ac:dyDescent="0.25">
      <c r="A36">
        <v>34</v>
      </c>
      <c r="B36">
        <v>5</v>
      </c>
      <c r="C36">
        <v>5</v>
      </c>
      <c r="D36" s="63">
        <f>SUMPRODUCT($B$3:B36,$C$3:C36)/60</f>
        <v>12.569166666666666</v>
      </c>
    </row>
    <row r="37" spans="1:7" x14ac:dyDescent="0.25">
      <c r="A37">
        <v>35</v>
      </c>
      <c r="B37">
        <v>5</v>
      </c>
      <c r="C37">
        <v>5</v>
      </c>
      <c r="D37" s="63">
        <f>SUMPRODUCT($B$3:B37,$C$3:C37)/60</f>
        <v>12.985833333333334</v>
      </c>
      <c r="G37" s="44" t="s">
        <v>220</v>
      </c>
    </row>
    <row r="38" spans="1:7" x14ac:dyDescent="0.25">
      <c r="A38">
        <v>36</v>
      </c>
      <c r="B38">
        <v>5</v>
      </c>
      <c r="C38">
        <v>5</v>
      </c>
      <c r="D38" s="63">
        <f>SUMPRODUCT($B$3:B38,$C$3:C38)/60</f>
        <v>13.4025</v>
      </c>
    </row>
    <row r="39" spans="1:7" x14ac:dyDescent="0.25">
      <c r="A39">
        <v>37</v>
      </c>
      <c r="B39">
        <v>5</v>
      </c>
      <c r="C39">
        <v>5</v>
      </c>
      <c r="D39" s="63">
        <f>SUMPRODUCT($B$3:B39,$C$3:C39)/60</f>
        <v>13.819166666666666</v>
      </c>
    </row>
    <row r="40" spans="1:7" x14ac:dyDescent="0.25">
      <c r="A40">
        <v>38</v>
      </c>
      <c r="B40">
        <v>5</v>
      </c>
      <c r="C40">
        <v>5</v>
      </c>
      <c r="D40" s="63">
        <f>SUMPRODUCT($B$3:B40,$C$3:C40)/60</f>
        <v>14.235833333333334</v>
      </c>
    </row>
    <row r="41" spans="1:7" x14ac:dyDescent="0.25">
      <c r="A41">
        <v>39</v>
      </c>
      <c r="B41">
        <v>5</v>
      </c>
      <c r="C41">
        <v>5</v>
      </c>
      <c r="D41" s="63">
        <f>SUMPRODUCT($B$3:B41,$C$3:C41)/60</f>
        <v>14.6525</v>
      </c>
    </row>
    <row r="42" spans="1:7" x14ac:dyDescent="0.25">
      <c r="A42">
        <v>40</v>
      </c>
      <c r="B42">
        <v>5</v>
      </c>
      <c r="C42">
        <v>5</v>
      </c>
      <c r="D42" s="63">
        <f>SUMPRODUCT($B$3:B42,$C$3:C42)/60</f>
        <v>15.069166666666666</v>
      </c>
      <c r="G42" s="44" t="s">
        <v>427</v>
      </c>
    </row>
    <row r="43" spans="1:7" x14ac:dyDescent="0.25">
      <c r="A43">
        <v>41</v>
      </c>
      <c r="B43">
        <v>5</v>
      </c>
      <c r="C43">
        <v>5</v>
      </c>
      <c r="D43" s="63">
        <f>SUMPRODUCT($B$3:B43,$C$3:C43)/60</f>
        <v>15.485833333333334</v>
      </c>
    </row>
    <row r="44" spans="1:7" x14ac:dyDescent="0.25">
      <c r="A44">
        <v>42</v>
      </c>
      <c r="B44">
        <v>5</v>
      </c>
      <c r="C44">
        <v>5</v>
      </c>
      <c r="D44" s="63">
        <f>SUMPRODUCT($B$3:B44,$C$3:C44)/60</f>
        <v>15.9025</v>
      </c>
    </row>
    <row r="45" spans="1:7" x14ac:dyDescent="0.25">
      <c r="A45">
        <v>43</v>
      </c>
      <c r="B45">
        <v>5</v>
      </c>
      <c r="C45">
        <v>5</v>
      </c>
      <c r="D45" s="63">
        <f>SUMPRODUCT($B$3:B45,$C$3:C45)/60</f>
        <v>16.319166666666668</v>
      </c>
    </row>
    <row r="46" spans="1:7" x14ac:dyDescent="0.25">
      <c r="A46">
        <v>44</v>
      </c>
      <c r="B46">
        <v>5</v>
      </c>
      <c r="C46">
        <v>5</v>
      </c>
      <c r="D46" s="63">
        <f>SUMPRODUCT($B$3:B46,$C$3:C46)/60</f>
        <v>16.735833333333332</v>
      </c>
    </row>
    <row r="47" spans="1:7" x14ac:dyDescent="0.25">
      <c r="A47">
        <v>45</v>
      </c>
      <c r="B47">
        <v>5</v>
      </c>
      <c r="C47">
        <v>5</v>
      </c>
      <c r="D47" s="63">
        <f>SUMPRODUCT($B$3:B47,$C$3:C47)/60</f>
        <v>17.1525</v>
      </c>
      <c r="G47" s="44" t="s">
        <v>426</v>
      </c>
    </row>
    <row r="48" spans="1:7" x14ac:dyDescent="0.25">
      <c r="A48">
        <v>46</v>
      </c>
      <c r="B48">
        <v>5</v>
      </c>
      <c r="C48">
        <v>5</v>
      </c>
      <c r="D48" s="63">
        <f>SUMPRODUCT($B$3:B48,$C$3:C48)/60</f>
        <v>17.569166666666668</v>
      </c>
    </row>
    <row r="49" spans="1:4" x14ac:dyDescent="0.25">
      <c r="A49">
        <v>47</v>
      </c>
      <c r="B49">
        <v>5</v>
      </c>
      <c r="C49">
        <v>5</v>
      </c>
      <c r="D49" s="63">
        <f>SUMPRODUCT($B$3:B49,$C$3:C49)/60</f>
        <v>17.985833333333336</v>
      </c>
    </row>
    <row r="50" spans="1:4" x14ac:dyDescent="0.25">
      <c r="A50">
        <v>48</v>
      </c>
      <c r="B50">
        <v>5</v>
      </c>
      <c r="C50">
        <v>5</v>
      </c>
      <c r="D50" s="63">
        <f>SUMPRODUCT($B$3:B50,$C$3:C50)/60</f>
        <v>18.4025</v>
      </c>
    </row>
    <row r="51" spans="1:4" x14ac:dyDescent="0.25">
      <c r="A51">
        <v>49</v>
      </c>
      <c r="B51">
        <v>5</v>
      </c>
      <c r="C51">
        <v>5</v>
      </c>
      <c r="D51" s="63">
        <f>SUMPRODUCT($B$3:B51,$C$3:C51)/60</f>
        <v>18.819166666666668</v>
      </c>
    </row>
    <row r="52" spans="1:4" x14ac:dyDescent="0.25">
      <c r="A52">
        <v>50</v>
      </c>
      <c r="B52">
        <v>5</v>
      </c>
      <c r="C52">
        <v>5</v>
      </c>
      <c r="D52" s="63">
        <f>SUMPRODUCT($B$3:B52,$C$3:C52)/60</f>
        <v>19.235833333333336</v>
      </c>
    </row>
    <row r="53" spans="1:4" x14ac:dyDescent="0.25">
      <c r="A53">
        <v>51</v>
      </c>
      <c r="B53">
        <v>5</v>
      </c>
      <c r="C53">
        <v>5</v>
      </c>
      <c r="D53" s="63">
        <f>SUMPRODUCT($B$3:B53,$C$3:C53)/60</f>
        <v>19.6525</v>
      </c>
    </row>
    <row r="54" spans="1:4" x14ac:dyDescent="0.25">
      <c r="A54">
        <v>52</v>
      </c>
      <c r="B54">
        <v>5</v>
      </c>
      <c r="C54">
        <v>5</v>
      </c>
      <c r="D54" s="63">
        <f>SUMPRODUCT($B$3:B54,$C$3:C54)/60</f>
        <v>20.069166666666668</v>
      </c>
    </row>
    <row r="55" spans="1:4" x14ac:dyDescent="0.25">
      <c r="A55">
        <v>53</v>
      </c>
      <c r="B55">
        <v>5</v>
      </c>
      <c r="C55">
        <v>5</v>
      </c>
      <c r="D55" s="63">
        <f>SUMPRODUCT($B$3:B55,$C$3:C55)/60</f>
        <v>20.485833333333336</v>
      </c>
    </row>
    <row r="56" spans="1:4" x14ac:dyDescent="0.25">
      <c r="A56">
        <v>54</v>
      </c>
      <c r="B56">
        <v>5</v>
      </c>
      <c r="C56">
        <v>5</v>
      </c>
      <c r="D56" s="63">
        <f>SUMPRODUCT($B$3:B56,$C$3:C56)/60</f>
        <v>20.9025</v>
      </c>
    </row>
    <row r="57" spans="1:4" x14ac:dyDescent="0.25">
      <c r="A57">
        <v>55</v>
      </c>
      <c r="B57">
        <v>5</v>
      </c>
      <c r="C57">
        <v>5</v>
      </c>
      <c r="D57" s="63">
        <f>SUMPRODUCT($B$3:B57,$C$3:C57)/60</f>
        <v>21.319166666666668</v>
      </c>
    </row>
    <row r="58" spans="1:4" x14ac:dyDescent="0.25">
      <c r="A58">
        <v>56</v>
      </c>
      <c r="B58">
        <v>5</v>
      </c>
      <c r="C58">
        <v>5</v>
      </c>
      <c r="D58" s="63">
        <f>SUMPRODUCT($B$3:B58,$C$3:C58)/60</f>
        <v>21.735833333333336</v>
      </c>
    </row>
    <row r="59" spans="1:4" x14ac:dyDescent="0.25">
      <c r="A59">
        <v>57</v>
      </c>
      <c r="B59">
        <v>5</v>
      </c>
      <c r="C59">
        <v>5</v>
      </c>
      <c r="D59" s="63">
        <f>SUMPRODUCT($B$3:B59,$C$3:C59)/60</f>
        <v>22.1525</v>
      </c>
    </row>
    <row r="60" spans="1:4" x14ac:dyDescent="0.25">
      <c r="A60">
        <v>58</v>
      </c>
      <c r="B60">
        <v>5</v>
      </c>
      <c r="C60">
        <v>5</v>
      </c>
      <c r="D60" s="63">
        <f>SUMPRODUCT($B$3:B60,$C$3:C60)/60</f>
        <v>22.569166666666668</v>
      </c>
    </row>
    <row r="61" spans="1:4" x14ac:dyDescent="0.25">
      <c r="A61">
        <v>59</v>
      </c>
      <c r="B61">
        <v>5</v>
      </c>
      <c r="C61">
        <v>5</v>
      </c>
      <c r="D61" s="63">
        <f>SUMPRODUCT($B$3:B61,$C$3:C61)/60</f>
        <v>22.985833333333336</v>
      </c>
    </row>
    <row r="62" spans="1:4" x14ac:dyDescent="0.25">
      <c r="A62">
        <v>60</v>
      </c>
      <c r="B62">
        <v>5</v>
      </c>
      <c r="C62">
        <v>5</v>
      </c>
      <c r="D62" s="63">
        <f>SUMPRODUCT($B$3:B62,$C$3:C62)/60</f>
        <v>23.4025</v>
      </c>
    </row>
    <row r="63" spans="1:4" x14ac:dyDescent="0.25">
      <c r="A63">
        <v>61</v>
      </c>
      <c r="B63">
        <v>5</v>
      </c>
      <c r="C63">
        <v>5</v>
      </c>
      <c r="D63" s="63">
        <f>SUMPRODUCT($B$3:B63,$C$3:C63)/60</f>
        <v>23.819166666666668</v>
      </c>
    </row>
    <row r="64" spans="1:4" x14ac:dyDescent="0.25">
      <c r="A64">
        <v>62</v>
      </c>
      <c r="B64">
        <v>5</v>
      </c>
      <c r="C64">
        <v>5</v>
      </c>
      <c r="D64" s="63">
        <f>SUMPRODUCT($B$3:B64,$C$3:C64)/60</f>
        <v>24.235833333333336</v>
      </c>
    </row>
    <row r="65" spans="1:4" x14ac:dyDescent="0.25">
      <c r="A65">
        <v>63</v>
      </c>
      <c r="B65">
        <v>5</v>
      </c>
      <c r="C65">
        <v>5</v>
      </c>
      <c r="D65" s="63">
        <f>SUMPRODUCT($B$3:B65,$C$3:C65)/60</f>
        <v>24.6525</v>
      </c>
    </row>
    <row r="66" spans="1:4" x14ac:dyDescent="0.25">
      <c r="A66">
        <v>64</v>
      </c>
      <c r="B66">
        <v>5</v>
      </c>
      <c r="C66">
        <v>5</v>
      </c>
      <c r="D66" s="63">
        <f>SUMPRODUCT($B$3:B66,$C$3:C66)/60</f>
        <v>25.069166666666668</v>
      </c>
    </row>
    <row r="67" spans="1:4" x14ac:dyDescent="0.25">
      <c r="A67">
        <v>65</v>
      </c>
      <c r="B67">
        <v>5</v>
      </c>
      <c r="C67">
        <v>5</v>
      </c>
      <c r="D67" s="63">
        <f>SUMPRODUCT($B$3:B67,$C$3:C67)/60</f>
        <v>25.485833333333336</v>
      </c>
    </row>
    <row r="68" spans="1:4" x14ac:dyDescent="0.25">
      <c r="A68">
        <v>66</v>
      </c>
      <c r="B68">
        <v>5</v>
      </c>
      <c r="C68">
        <v>5</v>
      </c>
      <c r="D68" s="63">
        <f>SUMPRODUCT($B$3:B68,$C$3:C68)/60</f>
        <v>25.9025</v>
      </c>
    </row>
    <row r="69" spans="1:4" x14ac:dyDescent="0.25">
      <c r="A69">
        <v>67</v>
      </c>
      <c r="B69">
        <v>5</v>
      </c>
      <c r="C69">
        <v>5</v>
      </c>
      <c r="D69" s="63">
        <f>SUMPRODUCT($B$3:B69,$C$3:C69)/60</f>
        <v>26.319166666666668</v>
      </c>
    </row>
    <row r="70" spans="1:4" x14ac:dyDescent="0.25">
      <c r="A70">
        <v>68</v>
      </c>
      <c r="B70">
        <v>5</v>
      </c>
      <c r="C70">
        <v>5</v>
      </c>
      <c r="D70" s="63">
        <f>SUMPRODUCT($B$3:B70,$C$3:C70)/60</f>
        <v>26.735833333333336</v>
      </c>
    </row>
    <row r="71" spans="1:4" x14ac:dyDescent="0.25">
      <c r="A71">
        <v>69</v>
      </c>
      <c r="B71">
        <v>5</v>
      </c>
      <c r="C71">
        <v>5</v>
      </c>
      <c r="D71" s="63">
        <f>SUMPRODUCT($B$3:B71,$C$3:C71)/60</f>
        <v>27.1525</v>
      </c>
    </row>
    <row r="72" spans="1:4" x14ac:dyDescent="0.25">
      <c r="A72">
        <v>70</v>
      </c>
      <c r="B72">
        <v>5</v>
      </c>
      <c r="C72">
        <v>5</v>
      </c>
      <c r="D72" s="63">
        <f>SUMPRODUCT($B$3:B72,$C$3:C72)/60</f>
        <v>27.569166666666668</v>
      </c>
    </row>
    <row r="73" spans="1:4" x14ac:dyDescent="0.25">
      <c r="A73">
        <v>71</v>
      </c>
      <c r="B73">
        <v>5</v>
      </c>
      <c r="C73">
        <v>5</v>
      </c>
      <c r="D73" s="63">
        <f>SUMPRODUCT($B$3:B73,$C$3:C73)/60</f>
        <v>27.985833333333336</v>
      </c>
    </row>
    <row r="74" spans="1:4" x14ac:dyDescent="0.25">
      <c r="A74">
        <v>72</v>
      </c>
      <c r="B74">
        <v>5</v>
      </c>
      <c r="C74">
        <v>5</v>
      </c>
      <c r="D74" s="63">
        <f>SUMPRODUCT($B$3:B74,$C$3:C74)/60</f>
        <v>28.4025</v>
      </c>
    </row>
    <row r="75" spans="1:4" x14ac:dyDescent="0.25">
      <c r="A75">
        <v>73</v>
      </c>
      <c r="B75">
        <v>5</v>
      </c>
      <c r="C75">
        <v>5</v>
      </c>
      <c r="D75" s="63">
        <f>SUMPRODUCT($B$3:B75,$C$3:C75)/60</f>
        <v>28.819166666666668</v>
      </c>
    </row>
    <row r="76" spans="1:4" x14ac:dyDescent="0.25">
      <c r="A76">
        <v>74</v>
      </c>
      <c r="B76">
        <v>5</v>
      </c>
      <c r="C76">
        <v>5</v>
      </c>
      <c r="D76" s="63">
        <f>SUMPRODUCT($B$3:B76,$C$3:C76)/60</f>
        <v>29.235833333333336</v>
      </c>
    </row>
    <row r="77" spans="1:4" x14ac:dyDescent="0.25">
      <c r="A77">
        <v>75</v>
      </c>
      <c r="B77">
        <v>5</v>
      </c>
      <c r="C77">
        <v>5</v>
      </c>
      <c r="D77" s="63">
        <f>SUMPRODUCT($B$3:B77,$C$3:C77)/60</f>
        <v>29.6525</v>
      </c>
    </row>
    <row r="78" spans="1:4" x14ac:dyDescent="0.25">
      <c r="A78">
        <v>76</v>
      </c>
      <c r="B78">
        <v>5</v>
      </c>
      <c r="C78">
        <v>5</v>
      </c>
      <c r="D78" s="63">
        <f>SUMPRODUCT($B$3:B78,$C$3:C78)/60</f>
        <v>30.069166666666668</v>
      </c>
    </row>
    <row r="79" spans="1:4" x14ac:dyDescent="0.25">
      <c r="A79">
        <v>77</v>
      </c>
      <c r="B79">
        <v>5</v>
      </c>
      <c r="C79">
        <v>5</v>
      </c>
      <c r="D79" s="63">
        <f>SUMPRODUCT($B$3:B79,$C$3:C79)/60</f>
        <v>30.485833333333336</v>
      </c>
    </row>
    <row r="80" spans="1:4" x14ac:dyDescent="0.25">
      <c r="A80">
        <v>78</v>
      </c>
      <c r="B80">
        <v>5</v>
      </c>
      <c r="C80">
        <v>5</v>
      </c>
      <c r="D80" s="63">
        <f>SUMPRODUCT($B$3:B80,$C$3:C80)/60</f>
        <v>30.9025</v>
      </c>
    </row>
    <row r="81" spans="1:4" x14ac:dyDescent="0.25">
      <c r="A81">
        <v>79</v>
      </c>
      <c r="B81">
        <v>5</v>
      </c>
      <c r="C81">
        <v>5</v>
      </c>
      <c r="D81" s="63">
        <f>SUMPRODUCT($B$3:B81,$C$3:C81)/60</f>
        <v>31.319166666666668</v>
      </c>
    </row>
    <row r="82" spans="1:4" x14ac:dyDescent="0.25">
      <c r="A82">
        <v>80</v>
      </c>
      <c r="B82">
        <v>5</v>
      </c>
      <c r="C82">
        <v>5</v>
      </c>
      <c r="D82" s="63">
        <f>SUMPRODUCT($B$3:B82,$C$3:C82)/60</f>
        <v>31.735833333333336</v>
      </c>
    </row>
    <row r="83" spans="1:4" x14ac:dyDescent="0.25">
      <c r="A83">
        <v>81</v>
      </c>
      <c r="B83">
        <v>5</v>
      </c>
      <c r="C83">
        <v>5</v>
      </c>
      <c r="D83" s="63">
        <f>SUMPRODUCT($B$3:B83,$C$3:C83)/60</f>
        <v>32.152500000000003</v>
      </c>
    </row>
    <row r="84" spans="1:4" x14ac:dyDescent="0.25">
      <c r="A84">
        <v>82</v>
      </c>
      <c r="B84">
        <v>5</v>
      </c>
      <c r="C84">
        <v>5</v>
      </c>
      <c r="D84" s="63">
        <f>SUMPRODUCT($B$3:B84,$C$3:C84)/60</f>
        <v>32.569166666666668</v>
      </c>
    </row>
    <row r="85" spans="1:4" x14ac:dyDescent="0.25">
      <c r="A85">
        <v>83</v>
      </c>
      <c r="B85">
        <v>5</v>
      </c>
      <c r="C85">
        <v>5</v>
      </c>
      <c r="D85" s="63">
        <f>SUMPRODUCT($B$3:B85,$C$3:C85)/60</f>
        <v>32.985833333333332</v>
      </c>
    </row>
    <row r="86" spans="1:4" x14ac:dyDescent="0.25">
      <c r="A86">
        <v>84</v>
      </c>
      <c r="B86">
        <v>5</v>
      </c>
      <c r="C86">
        <v>5</v>
      </c>
      <c r="D86" s="63">
        <f>SUMPRODUCT($B$3:B86,$C$3:C86)/60</f>
        <v>33.402500000000003</v>
      </c>
    </row>
    <row r="87" spans="1:4" x14ac:dyDescent="0.25">
      <c r="A87">
        <v>85</v>
      </c>
      <c r="B87">
        <v>5</v>
      </c>
      <c r="C87">
        <v>5</v>
      </c>
      <c r="D87" s="63">
        <f>SUMPRODUCT($B$3:B87,$C$3:C87)/60</f>
        <v>33.819166666666668</v>
      </c>
    </row>
    <row r="88" spans="1:4" x14ac:dyDescent="0.25">
      <c r="A88">
        <v>86</v>
      </c>
      <c r="B88">
        <v>5</v>
      </c>
      <c r="C88">
        <v>5</v>
      </c>
      <c r="D88" s="63">
        <f>SUMPRODUCT($B$3:B88,$C$3:C88)/60</f>
        <v>34.235833333333332</v>
      </c>
    </row>
    <row r="89" spans="1:4" x14ac:dyDescent="0.25">
      <c r="A89">
        <v>87</v>
      </c>
      <c r="B89">
        <v>5</v>
      </c>
      <c r="C89">
        <v>5</v>
      </c>
      <c r="D89" s="63">
        <f>SUMPRODUCT($B$3:B89,$C$3:C89)/60</f>
        <v>34.652500000000003</v>
      </c>
    </row>
    <row r="90" spans="1:4" x14ac:dyDescent="0.25">
      <c r="A90">
        <v>88</v>
      </c>
      <c r="B90">
        <v>5</v>
      </c>
      <c r="C90">
        <v>5</v>
      </c>
      <c r="D90" s="63">
        <f>SUMPRODUCT($B$3:B90,$C$3:C90)/60</f>
        <v>35.069166666666668</v>
      </c>
    </row>
    <row r="91" spans="1:4" x14ac:dyDescent="0.25">
      <c r="A91">
        <v>89</v>
      </c>
      <c r="B91">
        <v>5</v>
      </c>
      <c r="C91">
        <v>5</v>
      </c>
      <c r="D91" s="63">
        <f>SUMPRODUCT($B$3:B91,$C$3:C91)/60</f>
        <v>35.485833333333332</v>
      </c>
    </row>
    <row r="92" spans="1:4" x14ac:dyDescent="0.25">
      <c r="A92">
        <v>90</v>
      </c>
      <c r="B92">
        <v>5</v>
      </c>
      <c r="C92">
        <v>5</v>
      </c>
      <c r="D92" s="63">
        <f>SUMPRODUCT($B$3:B92,$C$3:C92)/60</f>
        <v>35.902500000000003</v>
      </c>
    </row>
    <row r="93" spans="1:4" x14ac:dyDescent="0.25">
      <c r="A93">
        <v>91</v>
      </c>
      <c r="B93">
        <v>5</v>
      </c>
      <c r="C93">
        <v>5</v>
      </c>
      <c r="D93" s="63">
        <f>SUMPRODUCT($B$3:B93,$C$3:C93)/60</f>
        <v>36.319166666666668</v>
      </c>
    </row>
    <row r="94" spans="1:4" x14ac:dyDescent="0.25">
      <c r="A94">
        <v>92</v>
      </c>
      <c r="B94">
        <v>5</v>
      </c>
      <c r="C94">
        <v>5</v>
      </c>
      <c r="D94" s="63">
        <f>SUMPRODUCT($B$3:B94,$C$3:C94)/60</f>
        <v>36.735833333333332</v>
      </c>
    </row>
    <row r="95" spans="1:4" x14ac:dyDescent="0.25">
      <c r="A95">
        <v>93</v>
      </c>
      <c r="B95">
        <v>5</v>
      </c>
      <c r="C95">
        <v>5</v>
      </c>
      <c r="D95" s="63">
        <f>SUMPRODUCT($B$3:B95,$C$3:C95)/60</f>
        <v>37.152500000000003</v>
      </c>
    </row>
    <row r="96" spans="1:4" x14ac:dyDescent="0.25">
      <c r="A96">
        <v>94</v>
      </c>
      <c r="B96">
        <v>5</v>
      </c>
      <c r="C96">
        <v>5</v>
      </c>
      <c r="D96" s="63">
        <f>SUMPRODUCT($B$3:B96,$C$3:C96)/60</f>
        <v>37.569166666666668</v>
      </c>
    </row>
    <row r="97" spans="1:4" x14ac:dyDescent="0.25">
      <c r="A97">
        <v>95</v>
      </c>
      <c r="B97">
        <v>5</v>
      </c>
      <c r="C97">
        <v>5</v>
      </c>
      <c r="D97" s="63">
        <f>SUMPRODUCT($B$3:B97,$C$3:C97)/60</f>
        <v>37.985833333333332</v>
      </c>
    </row>
    <row r="98" spans="1:4" x14ac:dyDescent="0.25">
      <c r="A98">
        <v>96</v>
      </c>
      <c r="B98">
        <v>5</v>
      </c>
      <c r="C98">
        <v>5</v>
      </c>
      <c r="D98" s="63">
        <f>SUMPRODUCT($B$3:B98,$C$3:C98)/60</f>
        <v>38.402500000000003</v>
      </c>
    </row>
    <row r="99" spans="1:4" x14ac:dyDescent="0.25">
      <c r="A99">
        <v>97</v>
      </c>
      <c r="B99">
        <v>5</v>
      </c>
      <c r="C99">
        <v>5</v>
      </c>
      <c r="D99" s="63">
        <f>SUMPRODUCT($B$3:B99,$C$3:C99)/60</f>
        <v>38.819166666666668</v>
      </c>
    </row>
    <row r="100" spans="1:4" x14ac:dyDescent="0.25">
      <c r="A100">
        <v>98</v>
      </c>
      <c r="B100">
        <v>5</v>
      </c>
      <c r="C100">
        <v>5</v>
      </c>
      <c r="D100" s="63">
        <f>SUMPRODUCT($B$3:B100,$C$3:C100)/60</f>
        <v>39.235833333333332</v>
      </c>
    </row>
    <row r="101" spans="1:4" x14ac:dyDescent="0.25">
      <c r="A101">
        <v>99</v>
      </c>
      <c r="B101">
        <v>5</v>
      </c>
      <c r="C101">
        <v>5</v>
      </c>
      <c r="D101" s="63">
        <f>SUMPRODUCT($B$3:B101,$C$3:C101)/60</f>
        <v>39.652500000000003</v>
      </c>
    </row>
    <row r="102" spans="1:4" x14ac:dyDescent="0.25">
      <c r="A102">
        <v>100</v>
      </c>
      <c r="B102">
        <v>5</v>
      </c>
      <c r="C102">
        <v>5</v>
      </c>
      <c r="D102" s="63">
        <f>SUMPRODUCT($B$3:B102,$C$3:C102)/60</f>
        <v>40.069166666666668</v>
      </c>
    </row>
    <row r="103" spans="1:4" x14ac:dyDescent="0.25">
      <c r="A103">
        <v>101</v>
      </c>
      <c r="B103">
        <v>5</v>
      </c>
      <c r="C103">
        <v>5</v>
      </c>
      <c r="D103" s="63">
        <f>SUMPRODUCT($B$3:B103,$C$3:C103)/60</f>
        <v>40.485833333333332</v>
      </c>
    </row>
    <row r="104" spans="1:4" x14ac:dyDescent="0.25">
      <c r="A104">
        <v>102</v>
      </c>
      <c r="B104">
        <v>5</v>
      </c>
      <c r="C104">
        <v>5</v>
      </c>
      <c r="D104" s="63">
        <f>SUMPRODUCT($B$3:B104,$C$3:C104)/60</f>
        <v>40.902500000000003</v>
      </c>
    </row>
    <row r="105" spans="1:4" x14ac:dyDescent="0.25">
      <c r="A105">
        <v>103</v>
      </c>
      <c r="B105">
        <v>5</v>
      </c>
      <c r="C105">
        <v>5</v>
      </c>
      <c r="D105" s="63">
        <f>SUMPRODUCT($B$3:B105,$C$3:C105)/60</f>
        <v>41.319166666666668</v>
      </c>
    </row>
    <row r="106" spans="1:4" x14ac:dyDescent="0.25">
      <c r="A106">
        <v>104</v>
      </c>
      <c r="B106">
        <v>5</v>
      </c>
      <c r="C106">
        <v>5</v>
      </c>
      <c r="D106" s="63">
        <f>SUMPRODUCT($B$3:B106,$C$3:C106)/60</f>
        <v>41.735833333333332</v>
      </c>
    </row>
    <row r="107" spans="1:4" x14ac:dyDescent="0.25">
      <c r="A107">
        <v>105</v>
      </c>
      <c r="B107">
        <v>5</v>
      </c>
      <c r="C107">
        <v>5</v>
      </c>
      <c r="D107" s="63">
        <f>SUMPRODUCT($B$3:B107,$C$3:C107)/60</f>
        <v>42.152500000000003</v>
      </c>
    </row>
    <row r="108" spans="1:4" x14ac:dyDescent="0.25">
      <c r="A108">
        <v>106</v>
      </c>
      <c r="B108">
        <v>5</v>
      </c>
      <c r="C108">
        <v>5</v>
      </c>
      <c r="D108" s="63">
        <f>SUMPRODUCT($B$3:B108,$C$3:C108)/60</f>
        <v>42.569166666666668</v>
      </c>
    </row>
    <row r="109" spans="1:4" x14ac:dyDescent="0.25">
      <c r="A109">
        <v>107</v>
      </c>
      <c r="B109">
        <v>5</v>
      </c>
      <c r="C109">
        <v>5</v>
      </c>
      <c r="D109" s="63">
        <f>SUMPRODUCT($B$3:B109,$C$3:C109)/60</f>
        <v>42.985833333333332</v>
      </c>
    </row>
    <row r="110" spans="1:4" x14ac:dyDescent="0.25">
      <c r="A110">
        <v>108</v>
      </c>
      <c r="B110">
        <v>5</v>
      </c>
      <c r="C110">
        <v>5</v>
      </c>
      <c r="D110" s="63">
        <f>SUMPRODUCT($B$3:B110,$C$3:C110)/60</f>
        <v>43.402500000000003</v>
      </c>
    </row>
    <row r="111" spans="1:4" x14ac:dyDescent="0.25">
      <c r="A111">
        <v>109</v>
      </c>
      <c r="B111">
        <v>5</v>
      </c>
      <c r="C111">
        <v>5</v>
      </c>
      <c r="D111" s="63">
        <f>SUMPRODUCT($B$3:B111,$C$3:C111)/60</f>
        <v>43.819166666666668</v>
      </c>
    </row>
    <row r="112" spans="1:4" x14ac:dyDescent="0.25">
      <c r="A112">
        <v>110</v>
      </c>
      <c r="B112">
        <v>5</v>
      </c>
      <c r="C112">
        <v>5</v>
      </c>
      <c r="D112" s="63">
        <f>SUMPRODUCT($B$3:B112,$C$3:C112)/60</f>
        <v>44.235833333333332</v>
      </c>
    </row>
    <row r="113" spans="1:4" x14ac:dyDescent="0.25">
      <c r="A113">
        <v>111</v>
      </c>
      <c r="B113">
        <v>5</v>
      </c>
      <c r="C113">
        <v>5</v>
      </c>
      <c r="D113" s="63">
        <f>SUMPRODUCT($B$3:B113,$C$3:C113)/60</f>
        <v>44.652500000000003</v>
      </c>
    </row>
    <row r="114" spans="1:4" x14ac:dyDescent="0.25">
      <c r="A114">
        <v>112</v>
      </c>
      <c r="B114">
        <v>5</v>
      </c>
      <c r="C114">
        <v>5</v>
      </c>
      <c r="D114" s="63">
        <f>SUMPRODUCT($B$3:B114,$C$3:C114)/60</f>
        <v>45.069166666666668</v>
      </c>
    </row>
    <row r="115" spans="1:4" x14ac:dyDescent="0.25">
      <c r="A115">
        <v>113</v>
      </c>
      <c r="B115">
        <v>5</v>
      </c>
      <c r="C115">
        <v>5</v>
      </c>
      <c r="D115" s="63">
        <f>SUMPRODUCT($B$3:B115,$C$3:C115)/60</f>
        <v>45.485833333333332</v>
      </c>
    </row>
    <row r="116" spans="1:4" x14ac:dyDescent="0.25">
      <c r="A116">
        <v>114</v>
      </c>
      <c r="B116">
        <v>5</v>
      </c>
      <c r="C116">
        <v>5</v>
      </c>
      <c r="D116" s="63">
        <f>SUMPRODUCT($B$3:B116,$C$3:C116)/60</f>
        <v>45.902500000000003</v>
      </c>
    </row>
    <row r="117" spans="1:4" x14ac:dyDescent="0.25">
      <c r="A117">
        <v>115</v>
      </c>
      <c r="B117">
        <v>5</v>
      </c>
      <c r="C117">
        <v>5</v>
      </c>
      <c r="D117" s="63">
        <f>SUMPRODUCT($B$3:B117,$C$3:C117)/60</f>
        <v>46.319166666666668</v>
      </c>
    </row>
    <row r="118" spans="1:4" x14ac:dyDescent="0.25">
      <c r="A118">
        <v>116</v>
      </c>
      <c r="B118">
        <v>5</v>
      </c>
      <c r="C118">
        <v>5</v>
      </c>
      <c r="D118" s="63">
        <f>SUMPRODUCT($B$3:B118,$C$3:C118)/60</f>
        <v>46.735833333333332</v>
      </c>
    </row>
    <row r="119" spans="1:4" x14ac:dyDescent="0.25">
      <c r="A119">
        <v>117</v>
      </c>
      <c r="B119">
        <v>5</v>
      </c>
      <c r="C119">
        <v>5</v>
      </c>
      <c r="D119" s="63">
        <f>SUMPRODUCT($B$3:B119,$C$3:C119)/60</f>
        <v>47.152500000000003</v>
      </c>
    </row>
    <row r="120" spans="1:4" x14ac:dyDescent="0.25">
      <c r="A120">
        <v>118</v>
      </c>
      <c r="B120">
        <v>5</v>
      </c>
      <c r="C120">
        <v>5</v>
      </c>
      <c r="D120" s="63">
        <f>SUMPRODUCT($B$3:B120,$C$3:C120)/60</f>
        <v>47.569166666666668</v>
      </c>
    </row>
    <row r="121" spans="1:4" x14ac:dyDescent="0.25">
      <c r="A121">
        <v>119</v>
      </c>
      <c r="B121">
        <v>5</v>
      </c>
      <c r="C121">
        <v>5</v>
      </c>
      <c r="D121" s="63">
        <f>SUMPRODUCT($B$3:B121,$C$3:C121)/60</f>
        <v>47.985833333333332</v>
      </c>
    </row>
    <row r="122" spans="1:4" x14ac:dyDescent="0.25">
      <c r="A122">
        <v>120</v>
      </c>
      <c r="B122">
        <v>5</v>
      </c>
      <c r="C122">
        <v>5</v>
      </c>
      <c r="D122" s="63">
        <f>SUMPRODUCT($B$3:B122,$C$3:C122)/60</f>
        <v>48.402500000000003</v>
      </c>
    </row>
    <row r="123" spans="1:4" x14ac:dyDescent="0.25">
      <c r="A123">
        <v>121</v>
      </c>
      <c r="B123">
        <v>5</v>
      </c>
      <c r="C123">
        <v>5</v>
      </c>
      <c r="D123" s="63">
        <f>SUMPRODUCT($B$3:B123,$C$3:C123)/60</f>
        <v>48.819166666666668</v>
      </c>
    </row>
    <row r="124" spans="1:4" x14ac:dyDescent="0.25">
      <c r="A124">
        <v>122</v>
      </c>
      <c r="B124">
        <v>5</v>
      </c>
      <c r="C124">
        <v>5</v>
      </c>
      <c r="D124" s="63">
        <f>SUMPRODUCT($B$3:B124,$C$3:C124)/60</f>
        <v>49.235833333333332</v>
      </c>
    </row>
    <row r="125" spans="1:4" x14ac:dyDescent="0.25">
      <c r="A125">
        <v>123</v>
      </c>
      <c r="B125">
        <v>5</v>
      </c>
      <c r="C125">
        <v>5</v>
      </c>
      <c r="D125" s="63">
        <f>SUMPRODUCT($B$3:B125,$C$3:C125)/60</f>
        <v>49.652500000000003</v>
      </c>
    </row>
    <row r="126" spans="1:4" x14ac:dyDescent="0.25">
      <c r="A126">
        <v>124</v>
      </c>
      <c r="B126">
        <v>5</v>
      </c>
      <c r="C126">
        <v>5</v>
      </c>
      <c r="D126" s="63">
        <f>SUMPRODUCT($B$3:B126,$C$3:C126)/60</f>
        <v>50.069166666666668</v>
      </c>
    </row>
    <row r="127" spans="1:4" x14ac:dyDescent="0.25">
      <c r="A127">
        <v>125</v>
      </c>
      <c r="B127">
        <v>5</v>
      </c>
      <c r="C127">
        <v>5</v>
      </c>
      <c r="D127" s="63">
        <f>SUMPRODUCT($B$3:B127,$C$3:C127)/60</f>
        <v>50.485833333333332</v>
      </c>
    </row>
    <row r="128" spans="1:4" x14ac:dyDescent="0.25">
      <c r="A128">
        <v>126</v>
      </c>
      <c r="B128">
        <v>5</v>
      </c>
      <c r="C128">
        <v>5</v>
      </c>
      <c r="D128" s="63">
        <f>SUMPRODUCT($B$3:B128,$C$3:C128)/60</f>
        <v>50.902500000000003</v>
      </c>
    </row>
    <row r="129" spans="1:4" x14ac:dyDescent="0.25">
      <c r="A129">
        <v>127</v>
      </c>
      <c r="B129">
        <v>5</v>
      </c>
      <c r="C129">
        <v>5</v>
      </c>
      <c r="D129" s="63">
        <f>SUMPRODUCT($B$3:B129,$C$3:C129)/60</f>
        <v>51.319166666666668</v>
      </c>
    </row>
    <row r="130" spans="1:4" x14ac:dyDescent="0.25">
      <c r="A130">
        <v>128</v>
      </c>
      <c r="B130">
        <v>5</v>
      </c>
      <c r="C130">
        <v>5</v>
      </c>
      <c r="D130" s="63">
        <f>SUMPRODUCT($B$3:B130,$C$3:C130)/60</f>
        <v>51.735833333333332</v>
      </c>
    </row>
    <row r="131" spans="1:4" x14ac:dyDescent="0.25">
      <c r="A131">
        <v>129</v>
      </c>
      <c r="B131">
        <v>5</v>
      </c>
      <c r="C131">
        <v>5</v>
      </c>
      <c r="D131" s="63">
        <f>SUMPRODUCT($B$3:B131,$C$3:C131)/60</f>
        <v>52.152500000000003</v>
      </c>
    </row>
    <row r="132" spans="1:4" x14ac:dyDescent="0.25">
      <c r="A132">
        <v>130</v>
      </c>
      <c r="B132">
        <v>5</v>
      </c>
      <c r="C132">
        <v>5</v>
      </c>
      <c r="D132" s="63">
        <f>SUMPRODUCT($B$3:B132,$C$3:C132)/60</f>
        <v>52.569166666666668</v>
      </c>
    </row>
    <row r="133" spans="1:4" x14ac:dyDescent="0.25">
      <c r="A133">
        <v>131</v>
      </c>
      <c r="B133">
        <v>5</v>
      </c>
      <c r="C133">
        <v>5</v>
      </c>
      <c r="D133" s="63">
        <f>SUMPRODUCT($B$3:B133,$C$3:C133)/60</f>
        <v>52.985833333333332</v>
      </c>
    </row>
    <row r="134" spans="1:4" x14ac:dyDescent="0.25">
      <c r="A134">
        <v>132</v>
      </c>
      <c r="B134">
        <v>5</v>
      </c>
      <c r="C134">
        <v>5</v>
      </c>
      <c r="D134" s="63">
        <f>SUMPRODUCT($B$3:B134,$C$3:C134)/60</f>
        <v>53.402500000000003</v>
      </c>
    </row>
    <row r="135" spans="1:4" x14ac:dyDescent="0.25">
      <c r="A135">
        <v>133</v>
      </c>
      <c r="B135">
        <v>5</v>
      </c>
      <c r="C135">
        <v>5</v>
      </c>
      <c r="D135" s="63">
        <f>SUMPRODUCT($B$3:B135,$C$3:C135)/60</f>
        <v>53.819166666666668</v>
      </c>
    </row>
    <row r="136" spans="1:4" x14ac:dyDescent="0.25">
      <c r="A136">
        <v>134</v>
      </c>
      <c r="B136">
        <v>5</v>
      </c>
      <c r="C136">
        <v>5</v>
      </c>
      <c r="D136" s="63">
        <f>SUMPRODUCT($B$3:B136,$C$3:C136)/60</f>
        <v>54.235833333333332</v>
      </c>
    </row>
    <row r="137" spans="1:4" x14ac:dyDescent="0.25">
      <c r="A137">
        <v>135</v>
      </c>
      <c r="B137">
        <v>5</v>
      </c>
      <c r="C137">
        <v>5</v>
      </c>
      <c r="D137" s="63">
        <f>SUMPRODUCT($B$3:B137,$C$3:C137)/60</f>
        <v>54.652500000000003</v>
      </c>
    </row>
    <row r="138" spans="1:4" x14ac:dyDescent="0.25">
      <c r="A138">
        <v>136</v>
      </c>
      <c r="B138">
        <v>5</v>
      </c>
      <c r="C138">
        <v>5</v>
      </c>
      <c r="D138" s="63">
        <f>SUMPRODUCT($B$3:B138,$C$3:C138)/60</f>
        <v>55.069166666666668</v>
      </c>
    </row>
    <row r="139" spans="1:4" x14ac:dyDescent="0.25">
      <c r="A139">
        <v>137</v>
      </c>
      <c r="B139">
        <v>5</v>
      </c>
      <c r="C139">
        <v>5</v>
      </c>
      <c r="D139" s="63">
        <f>SUMPRODUCT($B$3:B139,$C$3:C139)/60</f>
        <v>55.485833333333332</v>
      </c>
    </row>
    <row r="140" spans="1:4" x14ac:dyDescent="0.25">
      <c r="A140">
        <v>138</v>
      </c>
      <c r="B140">
        <v>5</v>
      </c>
      <c r="C140">
        <v>5</v>
      </c>
      <c r="D140" s="63">
        <f>SUMPRODUCT($B$3:B140,$C$3:C140)/60</f>
        <v>55.902500000000003</v>
      </c>
    </row>
    <row r="141" spans="1:4" x14ac:dyDescent="0.25">
      <c r="A141">
        <v>139</v>
      </c>
      <c r="B141">
        <v>5</v>
      </c>
      <c r="C141">
        <v>5</v>
      </c>
      <c r="D141" s="63">
        <f>SUMPRODUCT($B$3:B141,$C$3:C141)/60</f>
        <v>56.319166666666668</v>
      </c>
    </row>
    <row r="142" spans="1:4" x14ac:dyDescent="0.25">
      <c r="A142">
        <v>140</v>
      </c>
      <c r="B142">
        <v>5</v>
      </c>
      <c r="C142">
        <v>5</v>
      </c>
      <c r="D142" s="63">
        <f>SUMPRODUCT($B$3:B142,$C$3:C142)/60</f>
        <v>56.735833333333332</v>
      </c>
    </row>
    <row r="143" spans="1:4" x14ac:dyDescent="0.25">
      <c r="A143">
        <v>141</v>
      </c>
      <c r="B143">
        <v>5</v>
      </c>
      <c r="C143">
        <v>5</v>
      </c>
      <c r="D143" s="63">
        <f>SUMPRODUCT($B$3:B143,$C$3:C143)/60</f>
        <v>57.152500000000003</v>
      </c>
    </row>
    <row r="144" spans="1:4" x14ac:dyDescent="0.25">
      <c r="A144">
        <v>142</v>
      </c>
      <c r="B144">
        <v>5</v>
      </c>
      <c r="C144">
        <v>5</v>
      </c>
      <c r="D144" s="63">
        <f>SUMPRODUCT($B$3:B144,$C$3:C144)/60</f>
        <v>57.569166666666668</v>
      </c>
    </row>
    <row r="145" spans="1:4" x14ac:dyDescent="0.25">
      <c r="A145">
        <v>143</v>
      </c>
      <c r="B145">
        <v>5</v>
      </c>
      <c r="C145">
        <v>5</v>
      </c>
      <c r="D145" s="63">
        <f>SUMPRODUCT($B$3:B145,$C$3:C145)/60</f>
        <v>57.985833333333332</v>
      </c>
    </row>
    <row r="146" spans="1:4" x14ac:dyDescent="0.25">
      <c r="A146">
        <v>144</v>
      </c>
      <c r="B146">
        <v>5</v>
      </c>
      <c r="C146">
        <v>5</v>
      </c>
      <c r="D146" s="63">
        <f>SUMPRODUCT($B$3:B146,$C$3:C146)/60</f>
        <v>58.402500000000003</v>
      </c>
    </row>
    <row r="147" spans="1:4" x14ac:dyDescent="0.25">
      <c r="A147">
        <v>145</v>
      </c>
      <c r="B147">
        <v>5</v>
      </c>
      <c r="C147">
        <v>5</v>
      </c>
      <c r="D147" s="63">
        <f>SUMPRODUCT($B$3:B147,$C$3:C147)/60</f>
        <v>58.819166666666668</v>
      </c>
    </row>
    <row r="148" spans="1:4" x14ac:dyDescent="0.25">
      <c r="A148">
        <v>146</v>
      </c>
      <c r="B148">
        <v>5</v>
      </c>
      <c r="C148">
        <v>5</v>
      </c>
      <c r="D148" s="63">
        <f>SUMPRODUCT($B$3:B148,$C$3:C148)/60</f>
        <v>59.235833333333332</v>
      </c>
    </row>
    <row r="149" spans="1:4" x14ac:dyDescent="0.25">
      <c r="A149">
        <v>147</v>
      </c>
      <c r="B149">
        <v>5</v>
      </c>
      <c r="C149">
        <v>5</v>
      </c>
      <c r="D149" s="63">
        <f>SUMPRODUCT($B$3:B149,$C$3:C149)/60</f>
        <v>59.652500000000003</v>
      </c>
    </row>
    <row r="150" spans="1:4" x14ac:dyDescent="0.25">
      <c r="A150">
        <v>148</v>
      </c>
      <c r="B150">
        <v>5</v>
      </c>
      <c r="C150">
        <v>5</v>
      </c>
      <c r="D150" s="63">
        <f>SUMPRODUCT($B$3:B150,$C$3:C150)/60</f>
        <v>60.069166666666668</v>
      </c>
    </row>
    <row r="151" spans="1:4" x14ac:dyDescent="0.25">
      <c r="A151">
        <v>149</v>
      </c>
      <c r="B151">
        <v>5</v>
      </c>
      <c r="C151">
        <v>5</v>
      </c>
      <c r="D151" s="63">
        <f>SUMPRODUCT($B$3:B151,$C$3:C151)/60</f>
        <v>60.485833333333332</v>
      </c>
    </row>
    <row r="152" spans="1:4" x14ac:dyDescent="0.25">
      <c r="A152">
        <v>150</v>
      </c>
      <c r="B152">
        <v>5</v>
      </c>
      <c r="C152">
        <v>5</v>
      </c>
      <c r="D152" s="63">
        <f>SUMPRODUCT($B$3:B152,$C$3:C152)/60</f>
        <v>60.902500000000003</v>
      </c>
    </row>
    <row r="153" spans="1:4" x14ac:dyDescent="0.25">
      <c r="A153">
        <v>151</v>
      </c>
      <c r="B153">
        <v>5</v>
      </c>
      <c r="C153">
        <v>5</v>
      </c>
      <c r="D153" s="63">
        <f>SUMPRODUCT($B$3:B153,$C$3:C153)/60</f>
        <v>61.319166666666668</v>
      </c>
    </row>
    <row r="154" spans="1:4" x14ac:dyDescent="0.25">
      <c r="A154">
        <v>152</v>
      </c>
      <c r="B154">
        <v>5</v>
      </c>
      <c r="C154">
        <v>5</v>
      </c>
      <c r="D154" s="63">
        <f>SUMPRODUCT($B$3:B154,$C$3:C154)/60</f>
        <v>61.735833333333332</v>
      </c>
    </row>
    <row r="155" spans="1:4" x14ac:dyDescent="0.25">
      <c r="A155">
        <v>153</v>
      </c>
      <c r="B155">
        <v>5</v>
      </c>
      <c r="C155">
        <v>5</v>
      </c>
      <c r="D155" s="63">
        <f>SUMPRODUCT($B$3:B155,$C$3:C155)/60</f>
        <v>62.152500000000003</v>
      </c>
    </row>
    <row r="156" spans="1:4" x14ac:dyDescent="0.25">
      <c r="A156">
        <v>154</v>
      </c>
      <c r="B156">
        <v>5</v>
      </c>
      <c r="C156">
        <v>5</v>
      </c>
      <c r="D156" s="63">
        <f>SUMPRODUCT($B$3:B156,$C$3:C156)/60</f>
        <v>62.569166666666668</v>
      </c>
    </row>
    <row r="157" spans="1:4" x14ac:dyDescent="0.25">
      <c r="A157">
        <v>155</v>
      </c>
      <c r="B157">
        <v>5</v>
      </c>
      <c r="C157">
        <v>5</v>
      </c>
      <c r="D157" s="63">
        <f>SUMPRODUCT($B$3:B157,$C$3:C157)/60</f>
        <v>62.985833333333332</v>
      </c>
    </row>
    <row r="158" spans="1:4" x14ac:dyDescent="0.25">
      <c r="A158">
        <v>156</v>
      </c>
      <c r="B158">
        <v>5</v>
      </c>
      <c r="C158">
        <v>5</v>
      </c>
      <c r="D158" s="63">
        <f>SUMPRODUCT($B$3:B158,$C$3:C158)/60</f>
        <v>63.402500000000003</v>
      </c>
    </row>
    <row r="159" spans="1:4" x14ac:dyDescent="0.25">
      <c r="A159">
        <v>157</v>
      </c>
      <c r="B159">
        <v>5</v>
      </c>
      <c r="C159">
        <v>5</v>
      </c>
      <c r="D159" s="63">
        <f>SUMPRODUCT($B$3:B159,$C$3:C159)/60</f>
        <v>63.819166666666668</v>
      </c>
    </row>
    <row r="160" spans="1:4" x14ac:dyDescent="0.25">
      <c r="A160">
        <v>158</v>
      </c>
      <c r="B160">
        <v>5</v>
      </c>
      <c r="C160">
        <v>5</v>
      </c>
      <c r="D160" s="63">
        <f>SUMPRODUCT($B$3:B160,$C$3:C160)/60</f>
        <v>64.235833333333332</v>
      </c>
    </row>
    <row r="161" spans="1:4" x14ac:dyDescent="0.25">
      <c r="A161">
        <v>159</v>
      </c>
      <c r="B161">
        <v>5</v>
      </c>
      <c r="C161">
        <v>5</v>
      </c>
      <c r="D161" s="63">
        <f>SUMPRODUCT($B$3:B161,$C$3:C161)/60</f>
        <v>64.652500000000003</v>
      </c>
    </row>
    <row r="162" spans="1:4" x14ac:dyDescent="0.25">
      <c r="A162">
        <v>160</v>
      </c>
      <c r="B162">
        <v>5</v>
      </c>
      <c r="C162">
        <v>5</v>
      </c>
      <c r="D162" s="63">
        <f>SUMPRODUCT($B$3:B162,$C$3:C162)/60</f>
        <v>65.069166666666675</v>
      </c>
    </row>
    <row r="163" spans="1:4" x14ac:dyDescent="0.25">
      <c r="A163">
        <v>161</v>
      </c>
      <c r="B163">
        <v>5</v>
      </c>
      <c r="C163">
        <v>5</v>
      </c>
      <c r="D163" s="63">
        <f>SUMPRODUCT($B$3:B163,$C$3:C163)/60</f>
        <v>65.485833333333332</v>
      </c>
    </row>
    <row r="164" spans="1:4" x14ac:dyDescent="0.25">
      <c r="A164">
        <v>162</v>
      </c>
      <c r="B164">
        <v>5</v>
      </c>
      <c r="C164">
        <v>5</v>
      </c>
      <c r="D164" s="63">
        <f>SUMPRODUCT($B$3:B164,$C$3:C164)/60</f>
        <v>65.902500000000003</v>
      </c>
    </row>
    <row r="165" spans="1:4" x14ac:dyDescent="0.25">
      <c r="A165">
        <v>163</v>
      </c>
      <c r="B165">
        <v>5</v>
      </c>
      <c r="C165">
        <v>5</v>
      </c>
      <c r="D165" s="63">
        <f>SUMPRODUCT($B$3:B165,$C$3:C165)/60</f>
        <v>66.319166666666675</v>
      </c>
    </row>
    <row r="166" spans="1:4" x14ac:dyDescent="0.25">
      <c r="A166">
        <v>164</v>
      </c>
      <c r="B166">
        <v>5</v>
      </c>
      <c r="C166">
        <v>5</v>
      </c>
      <c r="D166" s="63">
        <f>SUMPRODUCT($B$3:B166,$C$3:C166)/60</f>
        <v>66.735833333333332</v>
      </c>
    </row>
    <row r="167" spans="1:4" x14ac:dyDescent="0.25">
      <c r="A167">
        <v>165</v>
      </c>
      <c r="B167">
        <v>5</v>
      </c>
      <c r="C167">
        <v>5</v>
      </c>
      <c r="D167" s="63">
        <f>SUMPRODUCT($B$3:B167,$C$3:C167)/60</f>
        <v>67.152500000000003</v>
      </c>
    </row>
    <row r="168" spans="1:4" x14ac:dyDescent="0.25">
      <c r="A168">
        <v>166</v>
      </c>
      <c r="B168">
        <v>5</v>
      </c>
      <c r="C168">
        <v>5</v>
      </c>
      <c r="D168" s="63">
        <f>SUMPRODUCT($B$3:B168,$C$3:C168)/60</f>
        <v>67.569166666666675</v>
      </c>
    </row>
    <row r="169" spans="1:4" x14ac:dyDescent="0.25">
      <c r="A169">
        <v>167</v>
      </c>
      <c r="B169">
        <v>5</v>
      </c>
      <c r="C169">
        <v>5</v>
      </c>
      <c r="D169" s="63">
        <f>SUMPRODUCT($B$3:B169,$C$3:C169)/60</f>
        <v>67.985833333333332</v>
      </c>
    </row>
    <row r="170" spans="1:4" x14ac:dyDescent="0.25">
      <c r="A170">
        <v>168</v>
      </c>
      <c r="B170">
        <v>5</v>
      </c>
      <c r="C170">
        <v>5</v>
      </c>
      <c r="D170" s="63">
        <f>SUMPRODUCT($B$3:B170,$C$3:C170)/60</f>
        <v>68.402499999999989</v>
      </c>
    </row>
    <row r="171" spans="1:4" x14ac:dyDescent="0.25">
      <c r="A171">
        <v>169</v>
      </c>
      <c r="B171">
        <v>5</v>
      </c>
      <c r="C171">
        <v>5</v>
      </c>
      <c r="D171" s="63">
        <f>SUMPRODUCT($B$3:B171,$C$3:C171)/60</f>
        <v>68.819166666666661</v>
      </c>
    </row>
    <row r="172" spans="1:4" x14ac:dyDescent="0.25">
      <c r="A172">
        <v>170</v>
      </c>
      <c r="B172">
        <v>5</v>
      </c>
      <c r="C172">
        <v>5</v>
      </c>
      <c r="D172" s="63">
        <f>SUMPRODUCT($B$3:B172,$C$3:C172)/60</f>
        <v>69.235833333333332</v>
      </c>
    </row>
    <row r="173" spans="1:4" x14ac:dyDescent="0.25">
      <c r="A173">
        <v>171</v>
      </c>
      <c r="B173">
        <v>5</v>
      </c>
      <c r="C173">
        <v>5</v>
      </c>
      <c r="D173" s="63">
        <f>SUMPRODUCT($B$3:B173,$C$3:C173)/60</f>
        <v>69.652499999999989</v>
      </c>
    </row>
    <row r="174" spans="1:4" x14ac:dyDescent="0.25">
      <c r="A174">
        <v>172</v>
      </c>
      <c r="B174">
        <v>5</v>
      </c>
      <c r="C174">
        <v>5</v>
      </c>
      <c r="D174" s="63">
        <f>SUMPRODUCT($B$3:B174,$C$3:C174)/60</f>
        <v>70.069166666666661</v>
      </c>
    </row>
    <row r="175" spans="1:4" x14ac:dyDescent="0.25">
      <c r="A175">
        <v>173</v>
      </c>
      <c r="B175">
        <v>5</v>
      </c>
      <c r="C175">
        <v>5</v>
      </c>
      <c r="D175" s="63">
        <f>SUMPRODUCT($B$3:B175,$C$3:C175)/60</f>
        <v>70.485833333333332</v>
      </c>
    </row>
    <row r="176" spans="1:4" x14ac:dyDescent="0.25">
      <c r="A176">
        <v>174</v>
      </c>
      <c r="B176">
        <v>5</v>
      </c>
      <c r="C176">
        <v>5</v>
      </c>
      <c r="D176" s="63">
        <f>SUMPRODUCT($B$3:B176,$C$3:C176)/60</f>
        <v>70.902499999999989</v>
      </c>
    </row>
    <row r="177" spans="1:4" x14ac:dyDescent="0.25">
      <c r="A177">
        <v>175</v>
      </c>
      <c r="B177">
        <v>5</v>
      </c>
      <c r="C177">
        <v>5</v>
      </c>
      <c r="D177" s="63">
        <f>SUMPRODUCT($B$3:B177,$C$3:C177)/60</f>
        <v>71.319166666666661</v>
      </c>
    </row>
    <row r="178" spans="1:4" x14ac:dyDescent="0.25">
      <c r="A178">
        <v>176</v>
      </c>
      <c r="B178">
        <v>5</v>
      </c>
      <c r="C178">
        <v>5</v>
      </c>
      <c r="D178" s="63">
        <f>SUMPRODUCT($B$3:B178,$C$3:C178)/60</f>
        <v>71.735833333333332</v>
      </c>
    </row>
    <row r="179" spans="1:4" x14ac:dyDescent="0.25">
      <c r="A179">
        <v>177</v>
      </c>
      <c r="B179">
        <v>5</v>
      </c>
      <c r="C179">
        <v>5</v>
      </c>
      <c r="D179" s="63">
        <f>SUMPRODUCT($B$3:B179,$C$3:C179)/60</f>
        <v>72.152499999999989</v>
      </c>
    </row>
    <row r="180" spans="1:4" x14ac:dyDescent="0.25">
      <c r="A180">
        <v>178</v>
      </c>
      <c r="B180">
        <v>5</v>
      </c>
      <c r="C180">
        <v>5</v>
      </c>
      <c r="D180" s="63">
        <f>SUMPRODUCT($B$3:B180,$C$3:C180)/60</f>
        <v>72.569166666666661</v>
      </c>
    </row>
    <row r="181" spans="1:4" x14ac:dyDescent="0.25">
      <c r="A181">
        <v>179</v>
      </c>
      <c r="B181">
        <v>5</v>
      </c>
      <c r="C181">
        <v>5</v>
      </c>
      <c r="D181" s="63">
        <f>SUMPRODUCT($B$3:B181,$C$3:C181)/60</f>
        <v>72.985833333333332</v>
      </c>
    </row>
    <row r="182" spans="1:4" x14ac:dyDescent="0.25">
      <c r="A182">
        <v>180</v>
      </c>
      <c r="B182">
        <v>5</v>
      </c>
      <c r="C182">
        <v>5</v>
      </c>
      <c r="D182" s="63">
        <f>SUMPRODUCT($B$3:B182,$C$3:C182)/60</f>
        <v>73.402499999999989</v>
      </c>
    </row>
    <row r="183" spans="1:4" x14ac:dyDescent="0.25">
      <c r="A183">
        <v>181</v>
      </c>
      <c r="B183">
        <v>5</v>
      </c>
      <c r="C183">
        <v>5</v>
      </c>
      <c r="D183" s="63">
        <f>SUMPRODUCT($B$3:B183,$C$3:C183)/60</f>
        <v>73.819166666666661</v>
      </c>
    </row>
    <row r="184" spans="1:4" x14ac:dyDescent="0.25">
      <c r="A184">
        <v>182</v>
      </c>
      <c r="B184">
        <v>5</v>
      </c>
      <c r="C184">
        <v>5</v>
      </c>
      <c r="D184" s="63">
        <f>SUMPRODUCT($B$3:B184,$C$3:C184)/60</f>
        <v>74.235833333333332</v>
      </c>
    </row>
    <row r="185" spans="1:4" x14ac:dyDescent="0.25">
      <c r="A185">
        <v>183</v>
      </c>
      <c r="B185">
        <v>5</v>
      </c>
      <c r="C185">
        <v>5</v>
      </c>
      <c r="D185" s="63">
        <f>SUMPRODUCT($B$3:B185,$C$3:C185)/60</f>
        <v>74.652499999999989</v>
      </c>
    </row>
    <row r="186" spans="1:4" x14ac:dyDescent="0.25">
      <c r="A186">
        <v>184</v>
      </c>
      <c r="B186">
        <v>5</v>
      </c>
      <c r="C186">
        <v>5</v>
      </c>
      <c r="D186" s="63">
        <f>SUMPRODUCT($B$3:B186,$C$3:C186)/60</f>
        <v>75.069166666666661</v>
      </c>
    </row>
    <row r="187" spans="1:4" x14ac:dyDescent="0.25">
      <c r="A187">
        <v>185</v>
      </c>
      <c r="B187">
        <v>5</v>
      </c>
      <c r="C187">
        <v>5</v>
      </c>
      <c r="D187" s="63">
        <f>SUMPRODUCT($B$3:B187,$C$3:C187)/60</f>
        <v>75.485833333333332</v>
      </c>
    </row>
    <row r="188" spans="1:4" x14ac:dyDescent="0.25">
      <c r="A188">
        <v>186</v>
      </c>
      <c r="B188">
        <v>5</v>
      </c>
      <c r="C188">
        <v>5</v>
      </c>
      <c r="D188" s="63">
        <f>SUMPRODUCT($B$3:B188,$C$3:C188)/60</f>
        <v>75.902499999999989</v>
      </c>
    </row>
    <row r="189" spans="1:4" x14ac:dyDescent="0.25">
      <c r="A189">
        <v>187</v>
      </c>
      <c r="B189">
        <v>5</v>
      </c>
      <c r="C189">
        <v>5</v>
      </c>
      <c r="D189" s="63">
        <f>SUMPRODUCT($B$3:B189,$C$3:C189)/60</f>
        <v>76.319166666666661</v>
      </c>
    </row>
    <row r="190" spans="1:4" x14ac:dyDescent="0.25">
      <c r="A190">
        <v>188</v>
      </c>
      <c r="B190">
        <v>5</v>
      </c>
      <c r="C190">
        <v>5</v>
      </c>
      <c r="D190" s="63">
        <f>SUMPRODUCT($B$3:B190,$C$3:C190)/60</f>
        <v>76.735833333333332</v>
      </c>
    </row>
    <row r="191" spans="1:4" x14ac:dyDescent="0.25">
      <c r="A191">
        <v>189</v>
      </c>
      <c r="B191">
        <v>5</v>
      </c>
      <c r="C191">
        <v>5</v>
      </c>
      <c r="D191" s="63">
        <f>SUMPRODUCT($B$3:B191,$C$3:C191)/60</f>
        <v>77.152499999999989</v>
      </c>
    </row>
    <row r="192" spans="1:4" x14ac:dyDescent="0.25">
      <c r="A192">
        <v>190</v>
      </c>
      <c r="B192">
        <v>5</v>
      </c>
      <c r="C192">
        <v>5</v>
      </c>
      <c r="D192" s="63">
        <f>SUMPRODUCT($B$3:B192,$C$3:C192)/60</f>
        <v>77.569166666666661</v>
      </c>
    </row>
    <row r="193" spans="1:4" x14ac:dyDescent="0.25">
      <c r="A193">
        <v>191</v>
      </c>
      <c r="B193">
        <v>5</v>
      </c>
      <c r="C193">
        <v>5</v>
      </c>
      <c r="D193" s="63">
        <f>SUMPRODUCT($B$3:B193,$C$3:C193)/60</f>
        <v>77.985833333333332</v>
      </c>
    </row>
    <row r="194" spans="1:4" x14ac:dyDescent="0.25">
      <c r="A194">
        <v>192</v>
      </c>
      <c r="B194">
        <v>5</v>
      </c>
      <c r="C194">
        <v>5</v>
      </c>
      <c r="D194" s="63">
        <f>SUMPRODUCT($B$3:B194,$C$3:C194)/60</f>
        <v>78.402499999999989</v>
      </c>
    </row>
    <row r="195" spans="1:4" x14ac:dyDescent="0.25">
      <c r="A195">
        <v>193</v>
      </c>
      <c r="B195">
        <v>5</v>
      </c>
      <c r="C195">
        <v>5</v>
      </c>
      <c r="D195" s="63">
        <f>SUMPRODUCT($B$3:B195,$C$3:C195)/60</f>
        <v>78.819166666666661</v>
      </c>
    </row>
    <row r="196" spans="1:4" x14ac:dyDescent="0.25">
      <c r="A196">
        <v>194</v>
      </c>
      <c r="B196">
        <v>5</v>
      </c>
      <c r="C196">
        <v>5</v>
      </c>
      <c r="D196" s="63">
        <f>SUMPRODUCT($B$3:B196,$C$3:C196)/60</f>
        <v>79.235833333333332</v>
      </c>
    </row>
    <row r="197" spans="1:4" x14ac:dyDescent="0.25">
      <c r="A197">
        <v>195</v>
      </c>
      <c r="B197">
        <v>5</v>
      </c>
      <c r="C197">
        <v>5</v>
      </c>
      <c r="D197" s="63">
        <f>SUMPRODUCT($B$3:B197,$C$3:C197)/60</f>
        <v>79.652499999999989</v>
      </c>
    </row>
    <row r="198" spans="1:4" x14ac:dyDescent="0.25">
      <c r="A198">
        <v>196</v>
      </c>
      <c r="B198">
        <v>5</v>
      </c>
      <c r="C198">
        <v>5</v>
      </c>
      <c r="D198" s="63">
        <f>SUMPRODUCT($B$3:B198,$C$3:C198)/60</f>
        <v>80.069166666666661</v>
      </c>
    </row>
    <row r="199" spans="1:4" x14ac:dyDescent="0.25">
      <c r="A199">
        <v>197</v>
      </c>
      <c r="B199">
        <v>5</v>
      </c>
      <c r="C199">
        <v>5</v>
      </c>
      <c r="D199" s="63">
        <f>SUMPRODUCT($B$3:B199,$C$3:C199)/60</f>
        <v>80.485833333333332</v>
      </c>
    </row>
    <row r="200" spans="1:4" x14ac:dyDescent="0.25">
      <c r="A200">
        <v>198</v>
      </c>
      <c r="B200">
        <v>5</v>
      </c>
      <c r="C200">
        <v>5</v>
      </c>
      <c r="D200" s="63">
        <f>SUMPRODUCT($B$3:B200,$C$3:C200)/60</f>
        <v>80.902499999999989</v>
      </c>
    </row>
    <row r="201" spans="1:4" x14ac:dyDescent="0.25">
      <c r="A201">
        <v>199</v>
      </c>
      <c r="B201">
        <v>5</v>
      </c>
      <c r="C201">
        <v>5</v>
      </c>
      <c r="D201" s="63">
        <f>SUMPRODUCT($B$3:B201,$C$3:C201)/60</f>
        <v>81.319166666666661</v>
      </c>
    </row>
    <row r="202" spans="1:4" x14ac:dyDescent="0.25">
      <c r="A202">
        <v>200</v>
      </c>
      <c r="B202">
        <v>5</v>
      </c>
      <c r="C202">
        <v>5</v>
      </c>
      <c r="D202" s="63">
        <f>SUMPRODUCT($B$3:B202,$C$3:C202)/60</f>
        <v>81.735833333333332</v>
      </c>
    </row>
  </sheetData>
  <phoneticPr fontId="1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F3C26-79B4-4473-A854-8F9E21AC309E}">
  <sheetPr codeName="Sheet2">
    <tabColor rgb="FF00B050"/>
  </sheetPr>
  <dimension ref="A1:R46"/>
  <sheetViews>
    <sheetView workbookViewId="0">
      <selection activeCell="D21" sqref="D21"/>
    </sheetView>
  </sheetViews>
  <sheetFormatPr defaultColWidth="8.6640625" defaultRowHeight="13.2" x14ac:dyDescent="0.25"/>
  <cols>
    <col min="1" max="1" width="12.33203125" style="89" bestFit="1" customWidth="1"/>
    <col min="2" max="4" width="14.109375" style="89" bestFit="1" customWidth="1"/>
    <col min="5" max="5" width="13.44140625" style="89" bestFit="1" customWidth="1"/>
    <col min="6" max="8" width="8.6640625" style="89"/>
    <col min="9" max="9" width="5" style="89" bestFit="1" customWidth="1"/>
    <col min="10" max="10" width="8.6640625" style="89" bestFit="1" customWidth="1"/>
    <col min="11" max="11" width="8.6640625" style="89" customWidth="1"/>
    <col min="12" max="13" width="8.44140625" style="89" bestFit="1" customWidth="1"/>
    <col min="14" max="14" width="19.77734375" style="89" bestFit="1" customWidth="1"/>
    <col min="15" max="17" width="8.6640625" style="89" customWidth="1"/>
    <col min="18" max="16384" width="8.6640625" style="89"/>
  </cols>
  <sheetData>
    <row r="1" spans="1:18" ht="15.6" x14ac:dyDescent="0.25">
      <c r="A1" s="90"/>
      <c r="B1" s="91" t="s">
        <v>243</v>
      </c>
      <c r="C1" s="91" t="s">
        <v>244</v>
      </c>
      <c r="D1" s="91" t="s">
        <v>245</v>
      </c>
      <c r="E1" s="91" t="s">
        <v>196</v>
      </c>
      <c r="F1" s="91" t="s">
        <v>197</v>
      </c>
      <c r="G1" s="92" t="s">
        <v>201</v>
      </c>
      <c r="H1" s="92" t="s">
        <v>237</v>
      </c>
      <c r="I1" s="92" t="s">
        <v>198</v>
      </c>
      <c r="J1" s="92" t="s">
        <v>202</v>
      </c>
      <c r="K1" s="92" t="s">
        <v>225</v>
      </c>
      <c r="L1" s="92" t="s">
        <v>241</v>
      </c>
      <c r="M1" s="92" t="s">
        <v>240</v>
      </c>
      <c r="N1" s="92" t="s">
        <v>242</v>
      </c>
      <c r="O1" s="91" t="s">
        <v>239</v>
      </c>
      <c r="P1" s="91" t="s">
        <v>232</v>
      </c>
      <c r="Q1" s="91" t="s">
        <v>238</v>
      </c>
      <c r="R1" s="91" t="s">
        <v>246</v>
      </c>
    </row>
    <row r="2" spans="1:18" x14ac:dyDescent="0.25">
      <c r="A2" s="93" t="s">
        <v>252</v>
      </c>
      <c r="B2" s="94" t="s">
        <v>264</v>
      </c>
      <c r="C2" s="94" t="s">
        <v>264</v>
      </c>
      <c r="D2" s="90"/>
      <c r="E2" s="90"/>
      <c r="F2" s="90"/>
      <c r="G2" s="90"/>
      <c r="H2" s="94" t="s">
        <v>264</v>
      </c>
      <c r="I2" s="94" t="s">
        <v>264</v>
      </c>
      <c r="J2" s="90"/>
      <c r="K2" s="94" t="s">
        <v>264</v>
      </c>
      <c r="L2" s="90"/>
      <c r="M2" s="90"/>
      <c r="N2" s="94" t="s">
        <v>264</v>
      </c>
      <c r="O2" s="94" t="s">
        <v>264</v>
      </c>
      <c r="P2" s="94" t="s">
        <v>264</v>
      </c>
      <c r="Q2" s="94" t="s">
        <v>264</v>
      </c>
      <c r="R2" s="94" t="s">
        <v>264</v>
      </c>
    </row>
    <row r="3" spans="1:18" x14ac:dyDescent="0.25">
      <c r="A3" s="93" t="s">
        <v>186</v>
      </c>
      <c r="B3" s="94" t="s">
        <v>264</v>
      </c>
      <c r="C3" s="94" t="s">
        <v>264</v>
      </c>
      <c r="D3" s="94" t="s">
        <v>264</v>
      </c>
      <c r="E3" s="94" t="s">
        <v>264</v>
      </c>
      <c r="F3" s="90"/>
      <c r="G3" s="94" t="s">
        <v>264</v>
      </c>
      <c r="H3" s="94" t="s">
        <v>264</v>
      </c>
      <c r="I3" s="94" t="s">
        <v>264</v>
      </c>
      <c r="J3" s="94" t="s">
        <v>264</v>
      </c>
      <c r="K3" s="94" t="s">
        <v>264</v>
      </c>
      <c r="L3" s="94" t="s">
        <v>264</v>
      </c>
      <c r="M3" s="94" t="s">
        <v>264</v>
      </c>
      <c r="N3" s="94" t="s">
        <v>264</v>
      </c>
      <c r="O3" s="90"/>
      <c r="P3" s="90"/>
      <c r="Q3" s="94" t="s">
        <v>264</v>
      </c>
      <c r="R3" s="94" t="s">
        <v>264</v>
      </c>
    </row>
    <row r="4" spans="1:18" x14ac:dyDescent="0.25">
      <c r="A4" s="93" t="s">
        <v>251</v>
      </c>
      <c r="B4" s="94" t="s">
        <v>264</v>
      </c>
      <c r="C4" s="94" t="s">
        <v>264</v>
      </c>
      <c r="D4" s="94" t="s">
        <v>264</v>
      </c>
      <c r="E4" s="90"/>
      <c r="F4" s="90"/>
      <c r="G4" s="90"/>
      <c r="H4" s="94" t="s">
        <v>264</v>
      </c>
      <c r="I4" s="90"/>
      <c r="J4" s="90"/>
      <c r="K4" s="94" t="s">
        <v>264</v>
      </c>
      <c r="L4" s="90"/>
      <c r="M4" s="90"/>
      <c r="N4" s="90"/>
      <c r="O4" s="90"/>
      <c r="P4" s="90"/>
      <c r="Q4" s="90"/>
      <c r="R4" s="90"/>
    </row>
    <row r="5" spans="1:18" x14ac:dyDescent="0.25">
      <c r="A5" s="93" t="s">
        <v>248</v>
      </c>
      <c r="B5" s="94" t="s">
        <v>264</v>
      </c>
      <c r="C5" s="94" t="s">
        <v>264</v>
      </c>
      <c r="D5" s="94" t="s">
        <v>264</v>
      </c>
      <c r="E5" s="94" t="s">
        <v>264</v>
      </c>
      <c r="F5" s="90"/>
      <c r="G5" s="94" t="s">
        <v>264</v>
      </c>
      <c r="H5" s="90"/>
      <c r="I5" s="94" t="s">
        <v>264</v>
      </c>
      <c r="J5" s="94" t="s">
        <v>264</v>
      </c>
      <c r="K5" s="90"/>
      <c r="L5" s="94" t="s">
        <v>264</v>
      </c>
      <c r="M5" s="90"/>
      <c r="N5" s="90"/>
      <c r="O5" s="90"/>
      <c r="P5" s="90"/>
      <c r="Q5" s="90"/>
      <c r="R5" s="90"/>
    </row>
    <row r="6" spans="1:18" x14ac:dyDescent="0.25">
      <c r="A6" s="93" t="s">
        <v>249</v>
      </c>
      <c r="B6" s="94" t="s">
        <v>264</v>
      </c>
      <c r="C6" s="94" t="s">
        <v>264</v>
      </c>
      <c r="D6" s="94" t="s">
        <v>264</v>
      </c>
      <c r="E6" s="94" t="s">
        <v>264</v>
      </c>
      <c r="F6" s="94" t="s">
        <v>264</v>
      </c>
      <c r="G6" s="94" t="s">
        <v>264</v>
      </c>
      <c r="H6" s="90"/>
      <c r="I6" s="94" t="s">
        <v>264</v>
      </c>
      <c r="J6" s="94" t="s">
        <v>264</v>
      </c>
      <c r="K6" s="94" t="s">
        <v>264</v>
      </c>
      <c r="L6" s="94" t="s">
        <v>264</v>
      </c>
      <c r="M6" s="90"/>
      <c r="N6" s="90"/>
      <c r="O6" s="90"/>
      <c r="P6" s="90"/>
      <c r="Q6" s="90"/>
      <c r="R6" s="90"/>
    </row>
    <row r="7" spans="1:18" x14ac:dyDescent="0.25">
      <c r="A7" s="93" t="s">
        <v>250</v>
      </c>
      <c r="B7" s="94" t="s">
        <v>264</v>
      </c>
      <c r="C7" s="94" t="s">
        <v>264</v>
      </c>
      <c r="D7" s="94" t="s">
        <v>264</v>
      </c>
      <c r="E7" s="94" t="s">
        <v>264</v>
      </c>
      <c r="F7" s="94" t="s">
        <v>264</v>
      </c>
      <c r="G7" s="94" t="s">
        <v>264</v>
      </c>
      <c r="H7" s="90"/>
      <c r="I7" s="94" t="s">
        <v>264</v>
      </c>
      <c r="J7" s="94" t="s">
        <v>264</v>
      </c>
      <c r="K7" s="94" t="s">
        <v>264</v>
      </c>
      <c r="L7" s="94" t="s">
        <v>264</v>
      </c>
      <c r="M7" s="90"/>
      <c r="N7" s="90"/>
      <c r="O7" s="90"/>
      <c r="P7" s="90"/>
      <c r="Q7" s="90"/>
      <c r="R7" s="94" t="s">
        <v>264</v>
      </c>
    </row>
    <row r="8" spans="1:18" x14ac:dyDescent="0.25">
      <c r="A8" s="93" t="s">
        <v>195</v>
      </c>
      <c r="B8" s="90"/>
      <c r="C8" s="90"/>
      <c r="D8" s="90"/>
      <c r="E8" s="90"/>
      <c r="F8" s="90"/>
      <c r="G8" s="90"/>
      <c r="H8" s="90"/>
      <c r="I8" s="90"/>
      <c r="J8" s="90"/>
      <c r="K8" s="90"/>
      <c r="L8" s="90"/>
      <c r="M8" s="90"/>
      <c r="N8" s="94" t="s">
        <v>264</v>
      </c>
      <c r="O8" s="90"/>
      <c r="P8" s="90"/>
      <c r="Q8" s="90"/>
      <c r="R8" s="90"/>
    </row>
    <row r="9" spans="1:18" x14ac:dyDescent="0.25">
      <c r="A9" s="93" t="s">
        <v>200</v>
      </c>
      <c r="B9" s="90"/>
      <c r="C9" s="94" t="s">
        <v>264</v>
      </c>
      <c r="D9" s="94" t="s">
        <v>264</v>
      </c>
      <c r="E9" s="90"/>
      <c r="F9" s="90"/>
      <c r="G9" s="90"/>
      <c r="H9" s="90"/>
      <c r="I9" s="94" t="s">
        <v>264</v>
      </c>
      <c r="J9" s="90"/>
      <c r="K9" s="90"/>
      <c r="L9" s="90"/>
      <c r="M9" s="90"/>
      <c r="N9" s="90"/>
      <c r="O9" s="90"/>
      <c r="P9" s="90"/>
      <c r="Q9" s="90"/>
      <c r="R9" s="94" t="s">
        <v>264</v>
      </c>
    </row>
    <row r="10" spans="1:18" x14ac:dyDescent="0.25">
      <c r="A10" s="93" t="s">
        <v>231</v>
      </c>
      <c r="B10" s="90"/>
      <c r="C10" s="90"/>
      <c r="D10" s="94" t="s">
        <v>264</v>
      </c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</row>
    <row r="40" spans="1:1" x14ac:dyDescent="0.25">
      <c r="A40" s="89" t="s">
        <v>424</v>
      </c>
    </row>
    <row r="41" spans="1:1" x14ac:dyDescent="0.25">
      <c r="A41" s="89" t="s">
        <v>423</v>
      </c>
    </row>
    <row r="42" spans="1:1" x14ac:dyDescent="0.25">
      <c r="A42" s="89" t="s">
        <v>412</v>
      </c>
    </row>
    <row r="43" spans="1:1" x14ac:dyDescent="0.25">
      <c r="A43" s="89" t="s">
        <v>411</v>
      </c>
    </row>
    <row r="44" spans="1:1" x14ac:dyDescent="0.25">
      <c r="A44" s="89" t="s">
        <v>368</v>
      </c>
    </row>
    <row r="45" spans="1:1" x14ac:dyDescent="0.25">
      <c r="A45" s="89" t="s">
        <v>318</v>
      </c>
    </row>
    <row r="46" spans="1:1" x14ac:dyDescent="0.25">
      <c r="A46" s="89" t="s">
        <v>276</v>
      </c>
    </row>
  </sheetData>
  <phoneticPr fontId="1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590B5-336F-4D40-985D-3016B6059A2D}">
  <sheetPr>
    <tabColor rgb="FF0070C0"/>
  </sheetPr>
  <dimension ref="A1:FG206"/>
  <sheetViews>
    <sheetView workbookViewId="0">
      <pane xSplit="16" ySplit="6" topLeftCell="EU40" activePane="bottomRight" state="frozen"/>
      <selection pane="topRight" activeCell="Q1" sqref="Q1"/>
      <selection pane="bottomLeft" activeCell="A7" sqref="A7"/>
      <selection pane="bottomRight" activeCell="A57" sqref="A57:XFD57"/>
    </sheetView>
  </sheetViews>
  <sheetFormatPr defaultColWidth="8.6640625" defaultRowHeight="13.2" x14ac:dyDescent="0.25"/>
  <cols>
    <col min="1" max="1" width="12.5546875" style="89" customWidth="1"/>
    <col min="2" max="3" width="5.109375" style="89" bestFit="1" customWidth="1"/>
    <col min="4" max="4" width="6.6640625" style="89" bestFit="1" customWidth="1"/>
    <col min="5" max="5" width="7.77734375" style="89" bestFit="1" customWidth="1"/>
    <col min="6" max="6" width="8.77734375" style="115" bestFit="1" customWidth="1"/>
    <col min="7" max="8" width="8.77734375" style="89" bestFit="1" customWidth="1"/>
    <col min="9" max="9" width="8.6640625" style="89"/>
    <col min="10" max="10" width="5.77734375" style="115" customWidth="1"/>
    <col min="11" max="11" width="4.44140625" style="89" customWidth="1"/>
    <col min="12" max="12" width="8.77734375" style="89" customWidth="1"/>
    <col min="13" max="13" width="7.77734375" style="89" bestFit="1" customWidth="1"/>
    <col min="14" max="14" width="5.109375" style="89" bestFit="1" customWidth="1"/>
    <col min="15" max="15" width="4.44140625" style="89" bestFit="1" customWidth="1"/>
    <col min="16" max="16" width="4.44140625" style="116" bestFit="1" customWidth="1"/>
    <col min="17" max="17" width="8.5546875" style="89" bestFit="1" customWidth="1"/>
    <col min="18" max="18" width="8.21875" style="89" bestFit="1" customWidth="1"/>
    <col min="19" max="21" width="8.77734375" style="89" bestFit="1" customWidth="1"/>
    <col min="22" max="22" width="5.109375" style="116" bestFit="1" customWidth="1"/>
    <col min="23" max="25" width="8.77734375" style="89" hidden="1" customWidth="1"/>
    <col min="26" max="26" width="8.77734375" style="116" hidden="1" customWidth="1"/>
    <col min="27" max="30" width="8.77734375" style="89" customWidth="1"/>
    <col min="31" max="33" width="8.77734375" style="89" hidden="1" customWidth="1"/>
    <col min="34" max="34" width="5.77734375" style="89" hidden="1" customWidth="1"/>
    <col min="35" max="35" width="7.77734375" style="115" bestFit="1" customWidth="1"/>
    <col min="36" max="37" width="7.77734375" style="89" bestFit="1" customWidth="1"/>
    <col min="38" max="38" width="7.5546875" style="116" bestFit="1" customWidth="1"/>
    <col min="39" max="39" width="14.21875" style="131" customWidth="1"/>
    <col min="40" max="40" width="8.44140625" style="89" hidden="1" customWidth="1"/>
    <col min="41" max="41" width="5" style="89" hidden="1" customWidth="1"/>
    <col min="42" max="42" width="7.77734375" style="89" hidden="1" customWidth="1"/>
    <col min="43" max="43" width="8.6640625" style="115" customWidth="1"/>
    <col min="44" max="45" width="8.6640625" style="89" customWidth="1"/>
    <col min="46" max="46" width="8.6640625" style="115" customWidth="1"/>
    <col min="47" max="47" width="8.6640625" style="89" customWidth="1"/>
    <col min="48" max="48" width="8.6640625" style="115" customWidth="1"/>
    <col min="49" max="50" width="8.6640625" style="89" customWidth="1"/>
    <col min="51" max="51" width="8.6640625" style="115" customWidth="1"/>
    <col min="52" max="54" width="8.6640625" style="89" customWidth="1"/>
    <col min="55" max="57" width="8.6640625" style="89"/>
    <col min="58" max="62" width="8.6640625" style="89" customWidth="1"/>
    <col min="63" max="63" width="8.6640625" style="115" customWidth="1"/>
    <col min="64" max="68" width="8.6640625" style="89" customWidth="1"/>
    <col min="69" max="69" width="8.6640625" style="115" customWidth="1"/>
    <col min="70" max="84" width="8.6640625" style="89" customWidth="1"/>
    <col min="85" max="85" width="8.6640625" style="115" customWidth="1"/>
    <col min="86" max="88" width="10.6640625" style="89" bestFit="1" customWidth="1"/>
    <col min="89" max="89" width="4.6640625" style="145" bestFit="1" customWidth="1"/>
    <col min="90" max="90" width="8.6640625" style="115" customWidth="1"/>
    <col min="91" max="91" width="10.6640625" style="89" bestFit="1" customWidth="1"/>
    <col min="92" max="92" width="8.6640625" style="89" customWidth="1"/>
    <col min="93" max="93" width="8.6640625" style="115" customWidth="1"/>
    <col min="94" max="96" width="10.6640625" style="89" bestFit="1" customWidth="1"/>
    <col min="97" max="102" width="8.6640625" style="89" customWidth="1"/>
    <col min="103" max="103" width="8.6640625" style="115" customWidth="1"/>
    <col min="104" max="106" width="10.6640625" style="89" bestFit="1" customWidth="1"/>
    <col min="107" max="111" width="8.6640625" style="89" customWidth="1"/>
    <col min="112" max="112" width="8.6640625" style="89"/>
    <col min="113" max="113" width="8.6640625" style="115"/>
    <col min="114" max="116" width="10.6640625" style="89" bestFit="1" customWidth="1"/>
    <col min="117" max="122" width="8.6640625" style="89"/>
    <col min="123" max="123" width="8.33203125" style="115" customWidth="1"/>
    <col min="124" max="124" width="8.77734375" style="89" bestFit="1" customWidth="1"/>
    <col min="125" max="126" width="7.77734375" style="89" bestFit="1" customWidth="1"/>
    <col min="127" max="128" width="4.44140625" style="89" bestFit="1" customWidth="1"/>
    <col min="129" max="129" width="7.77734375" style="89" bestFit="1" customWidth="1"/>
    <col min="130" max="130" width="4.44140625" style="89" bestFit="1" customWidth="1"/>
    <col min="131" max="134" width="7.77734375" style="89" customWidth="1"/>
    <col min="135" max="135" width="8.6640625" style="89"/>
    <col min="136" max="136" width="8.77734375" style="115" bestFit="1" customWidth="1"/>
    <col min="137" max="137" width="8.77734375" style="89" customWidth="1"/>
    <col min="138" max="139" width="11.21875" style="89" bestFit="1" customWidth="1"/>
    <col min="140" max="143" width="8.77734375" style="89" customWidth="1"/>
    <col min="144" max="144" width="8.6640625" style="89"/>
    <col min="145" max="145" width="10.6640625" style="115" bestFit="1" customWidth="1"/>
    <col min="146" max="147" width="8.6640625" style="89"/>
    <col min="148" max="148" width="9.44140625" style="89" bestFit="1" customWidth="1"/>
    <col min="149" max="149" width="11.21875" style="89" bestFit="1" customWidth="1"/>
    <col min="150" max="16384" width="8.6640625" style="89"/>
  </cols>
  <sheetData>
    <row r="1" spans="1:163" ht="22.8" x14ac:dyDescent="0.4">
      <c r="A1" s="114" t="s">
        <v>340</v>
      </c>
      <c r="F1" s="119" t="s">
        <v>345</v>
      </c>
      <c r="G1" s="89">
        <v>3</v>
      </c>
      <c r="J1" s="134" t="s">
        <v>350</v>
      </c>
      <c r="K1" s="135"/>
      <c r="L1" s="135"/>
      <c r="M1" s="135"/>
      <c r="N1" s="135"/>
      <c r="O1" s="135"/>
      <c r="P1" s="136"/>
      <c r="Q1" s="127" t="s">
        <v>378</v>
      </c>
      <c r="R1" s="135"/>
      <c r="S1" s="135"/>
      <c r="T1" s="135"/>
      <c r="U1" s="135"/>
      <c r="V1" s="136"/>
      <c r="W1" s="127" t="s">
        <v>259</v>
      </c>
      <c r="X1" s="135"/>
      <c r="Y1" s="135"/>
      <c r="Z1" s="136"/>
      <c r="AA1" s="127" t="s">
        <v>380</v>
      </c>
      <c r="AB1" s="135"/>
      <c r="AC1" s="135"/>
      <c r="AD1" s="135"/>
      <c r="AE1" s="135"/>
      <c r="AF1" s="135"/>
      <c r="AG1" s="135"/>
      <c r="AH1" s="135"/>
      <c r="AI1" s="127" t="s">
        <v>371</v>
      </c>
      <c r="AJ1" s="135"/>
      <c r="AK1" s="135"/>
      <c r="AL1" s="136"/>
      <c r="AM1" s="127" t="s">
        <v>240</v>
      </c>
      <c r="AN1" s="135"/>
      <c r="AO1" s="135"/>
      <c r="AP1" s="135"/>
      <c r="AQ1" s="134" t="s">
        <v>372</v>
      </c>
      <c r="AR1" s="135"/>
      <c r="AT1" s="134" t="s">
        <v>376</v>
      </c>
      <c r="AU1" s="134"/>
      <c r="AV1" s="134" t="s">
        <v>377</v>
      </c>
      <c r="AW1" s="134"/>
      <c r="AY1" s="134" t="s">
        <v>252</v>
      </c>
      <c r="BK1" s="134" t="s">
        <v>387</v>
      </c>
      <c r="BQ1" s="134" t="s">
        <v>186</v>
      </c>
      <c r="CG1" s="134" t="s">
        <v>391</v>
      </c>
      <c r="CL1" s="134" t="s">
        <v>397</v>
      </c>
      <c r="CO1" s="134" t="s">
        <v>400</v>
      </c>
      <c r="CY1" s="134" t="s">
        <v>401</v>
      </c>
      <c r="DI1" s="134" t="s">
        <v>402</v>
      </c>
      <c r="DS1" s="134" t="s">
        <v>403</v>
      </c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F1" s="134"/>
      <c r="EO1" s="134"/>
      <c r="FD1" s="89" t="s">
        <v>484</v>
      </c>
    </row>
    <row r="2" spans="1:163" ht="15.6" x14ac:dyDescent="0.25">
      <c r="A2" s="117" t="s">
        <v>341</v>
      </c>
      <c r="F2" s="119" t="s">
        <v>344</v>
      </c>
      <c r="G2" s="89">
        <v>30</v>
      </c>
    </row>
    <row r="3" spans="1:163" ht="15.6" x14ac:dyDescent="0.25">
      <c r="A3" s="117" t="s">
        <v>347</v>
      </c>
      <c r="F3" s="119" t="s">
        <v>343</v>
      </c>
      <c r="G3" s="89">
        <f>300*3/5</f>
        <v>180</v>
      </c>
      <c r="H3" s="89" t="s">
        <v>425</v>
      </c>
      <c r="EC3" s="89">
        <f>EC4/EB4</f>
        <v>1.4666666666666668</v>
      </c>
      <c r="ED3" s="89">
        <f>ED4/EC4</f>
        <v>1.3636363636363635</v>
      </c>
    </row>
    <row r="4" spans="1:163" x14ac:dyDescent="0.25">
      <c r="A4" s="117" t="s">
        <v>342</v>
      </c>
      <c r="G4" s="89" t="s">
        <v>417</v>
      </c>
      <c r="EA4" s="89">
        <v>0.6</v>
      </c>
      <c r="EB4" s="89">
        <v>0.75</v>
      </c>
      <c r="EC4" s="89">
        <v>1.1000000000000001</v>
      </c>
      <c r="ED4" s="89">
        <v>1.5</v>
      </c>
    </row>
    <row r="5" spans="1:163" x14ac:dyDescent="0.25">
      <c r="F5" s="115" t="s">
        <v>370</v>
      </c>
      <c r="N5" s="89" t="s">
        <v>379</v>
      </c>
      <c r="Z5" s="116" t="s">
        <v>399</v>
      </c>
      <c r="AE5" s="89" t="s">
        <v>369</v>
      </c>
      <c r="AN5" s="89" t="s">
        <v>242</v>
      </c>
      <c r="BB5" s="89" t="s">
        <v>398</v>
      </c>
      <c r="BD5" s="89">
        <v>0.5</v>
      </c>
      <c r="BK5" s="115">
        <v>200</v>
      </c>
      <c r="DS5" s="115">
        <v>3</v>
      </c>
      <c r="DT5" s="89">
        <v>6</v>
      </c>
      <c r="DU5" s="89">
        <v>9</v>
      </c>
      <c r="DV5" s="89">
        <v>1</v>
      </c>
      <c r="DW5" s="192" t="s">
        <v>408</v>
      </c>
      <c r="DX5" s="192"/>
      <c r="DY5" s="192"/>
      <c r="DZ5" s="192"/>
      <c r="EA5" s="193" t="s">
        <v>409</v>
      </c>
      <c r="EB5" s="194"/>
      <c r="EC5" s="194"/>
      <c r="ED5" s="195"/>
      <c r="FD5" s="89" t="s">
        <v>482</v>
      </c>
    </row>
    <row r="6" spans="1:163" ht="16.2" x14ac:dyDescent="0.25">
      <c r="A6" s="91" t="s">
        <v>253</v>
      </c>
      <c r="B6" s="91" t="s">
        <v>254</v>
      </c>
      <c r="C6" s="114" t="s">
        <v>255</v>
      </c>
      <c r="D6" s="118" t="s">
        <v>349</v>
      </c>
      <c r="E6" s="118" t="s">
        <v>205</v>
      </c>
      <c r="F6" s="119" t="s">
        <v>348</v>
      </c>
      <c r="G6" s="91" t="s">
        <v>242</v>
      </c>
      <c r="H6" s="91" t="s">
        <v>240</v>
      </c>
      <c r="J6" s="119" t="s">
        <v>346</v>
      </c>
      <c r="K6" s="91" t="s">
        <v>396</v>
      </c>
      <c r="L6" s="91" t="s">
        <v>242</v>
      </c>
      <c r="M6" s="91" t="s">
        <v>240</v>
      </c>
      <c r="N6" s="122" t="s">
        <v>253</v>
      </c>
      <c r="O6" s="122" t="s">
        <v>254</v>
      </c>
      <c r="P6" s="139" t="s">
        <v>255</v>
      </c>
      <c r="Q6" s="121" t="s">
        <v>252</v>
      </c>
      <c r="R6" s="91" t="s">
        <v>186</v>
      </c>
      <c r="S6" s="91" t="s">
        <v>248</v>
      </c>
      <c r="T6" s="91" t="s">
        <v>249</v>
      </c>
      <c r="U6" s="91" t="s">
        <v>250</v>
      </c>
      <c r="V6" s="120" t="s">
        <v>251</v>
      </c>
      <c r="W6" s="110" t="s">
        <v>55</v>
      </c>
      <c r="X6" s="91" t="s">
        <v>249</v>
      </c>
      <c r="Y6" s="91" t="s">
        <v>250</v>
      </c>
      <c r="Z6" s="120" t="s">
        <v>186</v>
      </c>
      <c r="AA6" s="110" t="s">
        <v>55</v>
      </c>
      <c r="AB6" s="91" t="s">
        <v>249</v>
      </c>
      <c r="AC6" s="91" t="s">
        <v>250</v>
      </c>
      <c r="AD6" s="91" t="s">
        <v>186</v>
      </c>
      <c r="AE6" s="121" t="s">
        <v>248</v>
      </c>
      <c r="AF6" s="91" t="s">
        <v>249</v>
      </c>
      <c r="AG6" s="91" t="s">
        <v>250</v>
      </c>
      <c r="AH6" s="114" t="s">
        <v>186</v>
      </c>
      <c r="AI6" s="119" t="s">
        <v>248</v>
      </c>
      <c r="AJ6" s="91" t="s">
        <v>249</v>
      </c>
      <c r="AK6" s="91" t="s">
        <v>250</v>
      </c>
      <c r="AL6" s="120" t="s">
        <v>186</v>
      </c>
      <c r="AM6" s="132" t="s">
        <v>186</v>
      </c>
      <c r="AN6" s="121" t="s">
        <v>186</v>
      </c>
      <c r="AO6" s="91" t="s">
        <v>252</v>
      </c>
      <c r="AP6" s="114" t="s">
        <v>365</v>
      </c>
      <c r="AQ6" s="137" t="s">
        <v>186</v>
      </c>
      <c r="AR6" s="121" t="s">
        <v>252</v>
      </c>
      <c r="AS6" s="114" t="s">
        <v>365</v>
      </c>
      <c r="AT6" s="119" t="s">
        <v>373</v>
      </c>
      <c r="AU6" s="114" t="s">
        <v>374</v>
      </c>
      <c r="AV6" s="119" t="s">
        <v>373</v>
      </c>
      <c r="AW6" s="114" t="s">
        <v>374</v>
      </c>
      <c r="AY6" s="119" t="s">
        <v>381</v>
      </c>
      <c r="AZ6" s="91" t="s">
        <v>242</v>
      </c>
      <c r="BA6" s="91" t="s">
        <v>382</v>
      </c>
      <c r="BB6" s="121" t="s">
        <v>392</v>
      </c>
      <c r="BC6" s="122" t="s">
        <v>383</v>
      </c>
      <c r="BD6" s="91" t="s">
        <v>485</v>
      </c>
      <c r="BE6" s="91" t="s">
        <v>486</v>
      </c>
      <c r="BF6" s="91" t="s">
        <v>381</v>
      </c>
      <c r="BG6" s="91" t="s">
        <v>242</v>
      </c>
      <c r="BH6" s="91" t="s">
        <v>382</v>
      </c>
      <c r="BI6" s="121" t="s">
        <v>392</v>
      </c>
      <c r="BJ6" s="143"/>
      <c r="BK6" s="119" t="s">
        <v>388</v>
      </c>
      <c r="BL6" s="91" t="s">
        <v>186</v>
      </c>
      <c r="BM6" s="91" t="s">
        <v>248</v>
      </c>
      <c r="BN6" s="91" t="s">
        <v>249</v>
      </c>
      <c r="BO6" s="91" t="s">
        <v>250</v>
      </c>
      <c r="BQ6" s="119" t="s">
        <v>384</v>
      </c>
      <c r="BR6" s="91" t="s">
        <v>385</v>
      </c>
      <c r="BS6" s="91" t="s">
        <v>277</v>
      </c>
      <c r="BT6" s="91" t="s">
        <v>240</v>
      </c>
      <c r="BU6" s="91" t="s">
        <v>242</v>
      </c>
      <c r="BV6" s="91" t="s">
        <v>376</v>
      </c>
      <c r="BW6" s="91" t="s">
        <v>386</v>
      </c>
      <c r="BX6" s="92" t="s">
        <v>383</v>
      </c>
      <c r="BY6" s="91" t="s">
        <v>384</v>
      </c>
      <c r="BZ6" s="91" t="s">
        <v>385</v>
      </c>
      <c r="CA6" s="91" t="s">
        <v>277</v>
      </c>
      <c r="CB6" s="91" t="s">
        <v>240</v>
      </c>
      <c r="CC6" s="91" t="s">
        <v>242</v>
      </c>
      <c r="CD6" s="91" t="s">
        <v>376</v>
      </c>
      <c r="CE6" s="91" t="s">
        <v>386</v>
      </c>
      <c r="CG6" s="119" t="s">
        <v>396</v>
      </c>
      <c r="CH6" s="91" t="s">
        <v>392</v>
      </c>
      <c r="CI6" s="91" t="s">
        <v>393</v>
      </c>
      <c r="CJ6" s="91" t="s">
        <v>394</v>
      </c>
      <c r="CK6" s="146" t="s">
        <v>395</v>
      </c>
      <c r="CL6" s="119" t="s">
        <v>335</v>
      </c>
      <c r="CM6" s="91" t="s">
        <v>336</v>
      </c>
      <c r="CO6" s="119" t="s">
        <v>384</v>
      </c>
      <c r="CP6" s="91" t="s">
        <v>385</v>
      </c>
      <c r="CQ6" s="91" t="s">
        <v>277</v>
      </c>
      <c r="CR6" s="91" t="s">
        <v>386</v>
      </c>
      <c r="CS6" s="92" t="s">
        <v>383</v>
      </c>
      <c r="CT6" s="91" t="s">
        <v>384</v>
      </c>
      <c r="CU6" s="91" t="s">
        <v>385</v>
      </c>
      <c r="CV6" s="91" t="s">
        <v>277</v>
      </c>
      <c r="CW6" s="91" t="s">
        <v>386</v>
      </c>
      <c r="CY6" s="119" t="s">
        <v>384</v>
      </c>
      <c r="CZ6" s="91" t="s">
        <v>385</v>
      </c>
      <c r="DA6" s="91" t="s">
        <v>277</v>
      </c>
      <c r="DB6" s="91" t="s">
        <v>386</v>
      </c>
      <c r="DC6" s="92" t="s">
        <v>383</v>
      </c>
      <c r="DD6" s="91" t="s">
        <v>384</v>
      </c>
      <c r="DE6" s="91" t="s">
        <v>385</v>
      </c>
      <c r="DF6" s="91" t="s">
        <v>277</v>
      </c>
      <c r="DG6" s="91" t="s">
        <v>386</v>
      </c>
      <c r="DI6" s="119" t="s">
        <v>384</v>
      </c>
      <c r="DJ6" s="91" t="s">
        <v>385</v>
      </c>
      <c r="DK6" s="91" t="s">
        <v>277</v>
      </c>
      <c r="DL6" s="91" t="s">
        <v>386</v>
      </c>
      <c r="DM6" s="92" t="s">
        <v>383</v>
      </c>
      <c r="DN6" s="91" t="s">
        <v>384</v>
      </c>
      <c r="DO6" s="91" t="s">
        <v>385</v>
      </c>
      <c r="DP6" s="91" t="s">
        <v>277</v>
      </c>
      <c r="DQ6" s="91" t="s">
        <v>386</v>
      </c>
      <c r="DS6" s="119" t="s">
        <v>248</v>
      </c>
      <c r="DT6" s="91" t="s">
        <v>249</v>
      </c>
      <c r="DU6" s="91" t="s">
        <v>250</v>
      </c>
      <c r="DV6" s="114" t="s">
        <v>195</v>
      </c>
      <c r="DW6" s="91" t="s">
        <v>404</v>
      </c>
      <c r="DX6" s="91" t="s">
        <v>405</v>
      </c>
      <c r="DY6" s="91" t="s">
        <v>406</v>
      </c>
      <c r="DZ6" s="91" t="s">
        <v>407</v>
      </c>
      <c r="EA6" s="91" t="s">
        <v>404</v>
      </c>
      <c r="EB6" s="91" t="s">
        <v>405</v>
      </c>
      <c r="EC6" s="91" t="s">
        <v>406</v>
      </c>
      <c r="ED6" s="91" t="s">
        <v>407</v>
      </c>
      <c r="EF6" s="119"/>
      <c r="EG6" s="91"/>
      <c r="EH6" s="91"/>
      <c r="EI6" s="91"/>
      <c r="EJ6" s="91"/>
      <c r="EK6" s="91"/>
      <c r="EL6" s="91"/>
      <c r="EM6" s="91"/>
      <c r="EO6" s="119"/>
      <c r="EP6" s="91"/>
      <c r="EQ6" s="91"/>
      <c r="ER6" s="91"/>
      <c r="ES6" s="91"/>
      <c r="ET6" s="182"/>
      <c r="EU6" s="182"/>
      <c r="EV6" s="182"/>
      <c r="EW6" s="182"/>
      <c r="EX6" s="182"/>
      <c r="EY6" s="182"/>
      <c r="EZ6" s="182"/>
      <c r="FA6" s="182"/>
      <c r="FB6" s="182"/>
      <c r="FD6" s="91" t="s">
        <v>406</v>
      </c>
      <c r="FE6" s="91"/>
      <c r="FF6" s="91"/>
      <c r="FG6" s="91" t="s">
        <v>483</v>
      </c>
    </row>
    <row r="7" spans="1:163" x14ac:dyDescent="0.25">
      <c r="A7" s="123">
        <v>1</v>
      </c>
      <c r="B7" s="123"/>
      <c r="C7" s="124"/>
      <c r="D7" s="125">
        <f>A7*E7+B7*E7+C7*E7</f>
        <v>1</v>
      </c>
      <c r="E7" s="125">
        <v>1</v>
      </c>
      <c r="F7" s="128">
        <v>7</v>
      </c>
      <c r="G7" s="90">
        <v>0</v>
      </c>
      <c r="H7" s="90">
        <v>0</v>
      </c>
      <c r="J7" s="128">
        <v>1</v>
      </c>
      <c r="K7" s="90">
        <v>10</v>
      </c>
      <c r="L7" s="90">
        <v>0</v>
      </c>
      <c r="M7" s="90">
        <v>0</v>
      </c>
      <c r="N7" s="140">
        <f>INDEX($A:$A,MATCH(10,$D:$D,1))</f>
        <v>4</v>
      </c>
      <c r="O7" s="140">
        <v>0</v>
      </c>
      <c r="P7" s="141">
        <v>0</v>
      </c>
      <c r="Q7" s="126">
        <f>_xlfn.MAXIFS(关卡产出!X:X,关卡产出!$A:$A,玩家节奏1!$N$6,关卡产出!$B:$B,玩家节奏1!$N7)+_xlfn.MAXIFS(关卡产出!X:X,关卡产出!$A:$A,玩家节奏1!$O$6,关卡产出!$B:$B,玩家节奏1!$O7)+_xlfn.MAXIFS(关卡产出!X:X,关卡产出!$A:$A,玩家节奏1!$P$6,关卡产出!$B:$B,玩家节奏1!$P7)</f>
        <v>400</v>
      </c>
      <c r="R7" s="90">
        <f>_xlfn.MAXIFS(关卡产出!Y:Y,关卡产出!$A:$A,玩家节奏1!$N$6,关卡产出!$B:$B,玩家节奏1!$N7)+_xlfn.MAXIFS(关卡产出!Y:Y,关卡产出!$A:$A,玩家节奏1!$O$6,关卡产出!$B:$B,玩家节奏1!$O7)+_xlfn.MAXIFS(关卡产出!Y:Y,关卡产出!$A:$A,玩家节奏1!$P$6,关卡产出!$B:$B,玩家节奏1!$P7)</f>
        <v>4200</v>
      </c>
      <c r="S7" s="90">
        <f>_xlfn.MAXIFS(关卡产出!Z:Z,关卡产出!$A:$A,玩家节奏1!$N$6,关卡产出!$B:$B,玩家节奏1!$N7)+_xlfn.MAXIFS(关卡产出!Z:Z,关卡产出!$A:$A,玩家节奏1!$O$6,关卡产出!$B:$B,玩家节奏1!$O7)+_xlfn.MAXIFS(关卡产出!Z:Z,关卡产出!$A:$A,玩家节奏1!$P$6,关卡产出!$B:$B,玩家节奏1!$P7)</f>
        <v>60</v>
      </c>
      <c r="T7" s="90">
        <f>_xlfn.MAXIFS(关卡产出!AA:AA,关卡产出!$A:$A,玩家节奏1!$N$6,关卡产出!$B:$B,玩家节奏1!$N7)+_xlfn.MAXIFS(关卡产出!AA:AA,关卡产出!$A:$A,玩家节奏1!$O$6,关卡产出!$B:$B,玩家节奏1!$O7)+_xlfn.MAXIFS(关卡产出!AA:AA,关卡产出!$A:$A,玩家节奏1!$P$6,关卡产出!$B:$B,玩家节奏1!$P7)</f>
        <v>32</v>
      </c>
      <c r="U7" s="90">
        <f>_xlfn.MAXIFS(关卡产出!AB:AB,关卡产出!$A:$A,玩家节奏1!$N$6,关卡产出!$B:$B,玩家节奏1!$N7)+_xlfn.MAXIFS(关卡产出!AB:AB,关卡产出!$A:$A,玩家节奏1!$O$6,关卡产出!$B:$B,玩家节奏1!$O7)+_xlfn.MAXIFS(关卡产出!AB:AB,关卡产出!$A:$A,玩家节奏1!$P$6,关卡产出!$B:$B,玩家节奏1!$P7)</f>
        <v>1</v>
      </c>
      <c r="V7" s="130">
        <f>_xlfn.MAXIFS(关卡产出!AC:AC,关卡产出!$A:$A,玩家节奏1!$N$6,关卡产出!$B:$B,玩家节奏1!$N7)+_xlfn.MAXIFS(关卡产出!AC:AC,关卡产出!$A:$A,玩家节奏1!$O$6,关卡产出!$B:$B,玩家节奏1!$O7)+_xlfn.MAXIFS(关卡产出!AC:AC,关卡产出!$A:$A,玩家节奏1!$P$6,关卡产出!$B:$B,玩家节奏1!$P7)</f>
        <v>24</v>
      </c>
      <c r="W7" s="126">
        <f>INDEX(关卡产出!C$8:C$207,MATCH(玩家节奏1!$N7,关卡产出!$B$8:$B$207,0))*$K7</f>
        <v>50</v>
      </c>
      <c r="X7" s="126">
        <f>INDEX(关卡产出!D$8:D$207,MATCH(玩家节奏1!$N7,关卡产出!$B$8:$B$207,0))*$K7</f>
        <v>20</v>
      </c>
      <c r="Y7" s="126">
        <f>INDEX(关卡产出!E$8:E$207,MATCH(玩家节奏1!$N7,关卡产出!$B$8:$B$207,0))*$K7</f>
        <v>10</v>
      </c>
      <c r="Z7" s="144">
        <f>INDEX(关卡产出!F$8:F$207,MATCH(玩家节奏1!$N7,关卡产出!$B$8:$B$207,0))*$K7</f>
        <v>1100</v>
      </c>
      <c r="AA7" s="126">
        <f>SUM(W$7:W7)</f>
        <v>50</v>
      </c>
      <c r="AB7" s="126">
        <f>SUM(X$7:X7)</f>
        <v>20</v>
      </c>
      <c r="AC7" s="126">
        <f>SUM(Y$7:Y7)</f>
        <v>10</v>
      </c>
      <c r="AD7" s="126">
        <f>SUM(Z$7:Z7)</f>
        <v>1100</v>
      </c>
      <c r="AE7" s="126">
        <f>INDEX(图鉴!AQ:AQ,MATCH($N7,图鉴!$S:$S,0))*8</f>
        <v>24</v>
      </c>
      <c r="AF7" s="90">
        <f>INDEX(图鉴!AR:AR,MATCH($N7,图鉴!$S:$S,0))*8</f>
        <v>8</v>
      </c>
      <c r="AG7" s="90">
        <f>INDEX(图鉴!AS:AS,MATCH($N7,图鉴!$S:$S,0))*8</f>
        <v>0</v>
      </c>
      <c r="AH7" s="129">
        <f ca="1">INDEX(图鉴!AT:AT,MATCH($N7,图鉴!$S:$S,0))*8</f>
        <v>960</v>
      </c>
      <c r="AI7" s="128">
        <f>SUM(AE$7:AE7)</f>
        <v>24</v>
      </c>
      <c r="AJ7" s="90">
        <f>SUM(AF$7:AF7)</f>
        <v>8</v>
      </c>
      <c r="AK7" s="90">
        <f>SUM(AG$7:AG7)</f>
        <v>0</v>
      </c>
      <c r="AL7" s="130">
        <f ca="1">SUM(AH$7:AH7)</f>
        <v>960</v>
      </c>
      <c r="AM7" s="133">
        <f>IF(M7=0,0,INDEX(关卡产出!$AU$11:$AU$15,MATCH(玩家节奏1!N7,关卡产出!$AW$11:$AW$15,1))*M7)</f>
        <v>0</v>
      </c>
      <c r="AN7" s="126">
        <f>IF(L7=0,0,$L7*关卡产出!AU$21)</f>
        <v>0</v>
      </c>
      <c r="AO7" s="90">
        <f>IF(M7=0,0,$L7*关卡产出!AV$21)</f>
        <v>0</v>
      </c>
      <c r="AP7" s="129">
        <f>IF(N7=0,0,$L7*关卡产出!AW$21)</f>
        <v>0</v>
      </c>
      <c r="AQ7" s="138">
        <f>SUM(AN$7:AN7)</f>
        <v>0</v>
      </c>
      <c r="AR7" s="126">
        <f>SUM(AO$7:AO7)</f>
        <v>0</v>
      </c>
      <c r="AS7" s="129">
        <f>SUM(AP$7:AP7)</f>
        <v>0</v>
      </c>
      <c r="AT7" s="128">
        <v>500</v>
      </c>
      <c r="AU7" s="129">
        <v>100</v>
      </c>
      <c r="AV7" s="128">
        <f>SUM(AT$7:AT7)</f>
        <v>500</v>
      </c>
      <c r="AW7" s="90">
        <f>SUM(AU$7:AU7)</f>
        <v>100</v>
      </c>
      <c r="AY7" s="128">
        <f>Q7</f>
        <v>400</v>
      </c>
      <c r="AZ7" s="90">
        <f>AR7</f>
        <v>0</v>
      </c>
      <c r="BA7" s="90">
        <f>AW7</f>
        <v>100</v>
      </c>
      <c r="BB7" s="90">
        <v>0</v>
      </c>
      <c r="BC7" s="90">
        <f>SUM(AY7:BB7)</f>
        <v>500</v>
      </c>
      <c r="BD7" s="90"/>
      <c r="BE7" s="90">
        <f>SUM(AY7:BB7)</f>
        <v>500</v>
      </c>
      <c r="BF7" s="142">
        <f>AY7/$BC7</f>
        <v>0.8</v>
      </c>
      <c r="BG7" s="142">
        <f>AZ7/$BC7</f>
        <v>0</v>
      </c>
      <c r="BH7" s="142">
        <f>BA7/$BC7</f>
        <v>0.2</v>
      </c>
      <c r="BI7" s="142">
        <f>BB7/$BC7</f>
        <v>0</v>
      </c>
      <c r="BJ7" s="143"/>
      <c r="BK7" s="128">
        <f>INDEX(商城宝箱!$L:$L,MATCH(BC7,商城宝箱!$N:$N,1))</f>
        <v>1</v>
      </c>
      <c r="BL7" s="90">
        <f>_xlfn.IFNA(INDEX(商城宝箱!T:T,MATCH(玩家节奏1!$BK7,商城宝箱!$L:$L,0)),0)+($BC7-INDEX(商城宝箱!$N:$N,MATCH(玩家节奏1!$BK7,商城宝箱!$L:$L,0)))/$BK$5*INDEX(商城宝箱!E$23:E$42,MATCH(玩家节奏1!$BK7+1,商城宝箱!$C$23:$C$42,0))</f>
        <v>1250</v>
      </c>
      <c r="BM7" s="90">
        <f>_xlfn.IFNA(INDEX(商城宝箱!U:U,MATCH(玩家节奏1!$BK7,商城宝箱!$L:$L,0)),0)+($BC7-INDEX(商城宝箱!$N:$N,MATCH(玩家节奏1!$BK7,商城宝箱!$L:$L,0)))/$BK$5*INDEX(商城宝箱!F$23:F$42,MATCH(玩家节奏1!$BK7+1,商城宝箱!$C$23:$C$42,0))</f>
        <v>115</v>
      </c>
      <c r="BN7" s="90">
        <f>_xlfn.IFNA(INDEX(商城宝箱!V:V,MATCH(玩家节奏1!$BK7,商城宝箱!$L:$L,0)),0)+($BC7-INDEX(商城宝箱!$N:$N,MATCH(玩家节奏1!$BK7,商城宝箱!$L:$L,0)))/$BK$5*INDEX(商城宝箱!G$23:G$42,MATCH(玩家节奏1!$BK7+1,商城宝箱!$C$23:$C$42,0))</f>
        <v>21</v>
      </c>
      <c r="BO7" s="90">
        <f>_xlfn.IFNA(INDEX(商城宝箱!W:W,MATCH(玩家节奏1!$BK7,商城宝箱!$L:$L,0)),0)+($BC7-INDEX(商城宝箱!$N:$N,MATCH(玩家节奏1!$BK7,商城宝箱!$L:$L,0)))/$BK$5*INDEX(商城宝箱!H$23:H$42,MATCH(玩家节奏1!$BK7+1,商城宝箱!$C$23:$C$42,0))</f>
        <v>0</v>
      </c>
      <c r="BQ7" s="128">
        <f t="shared" ref="BQ7:BQ38" si="0">R7</f>
        <v>4200</v>
      </c>
      <c r="BR7" s="90">
        <f t="shared" ref="BR7:BR38" si="1">AD7</f>
        <v>1100</v>
      </c>
      <c r="BS7" s="90">
        <f t="shared" ref="BS7:BS38" ca="1" si="2">AL7</f>
        <v>960</v>
      </c>
      <c r="BT7" s="90">
        <f t="shared" ref="BT7:BT38" si="3">AM7</f>
        <v>0</v>
      </c>
      <c r="BU7" s="90">
        <f t="shared" ref="BU7:BU38" si="4">AQ7</f>
        <v>0</v>
      </c>
      <c r="BV7" s="90">
        <f t="shared" ref="BV7:BV38" si="5">AV7</f>
        <v>500</v>
      </c>
      <c r="BW7" s="90">
        <f>BL7</f>
        <v>1250</v>
      </c>
      <c r="BX7" s="90">
        <f ca="1">SUM(BQ7:BW7)</f>
        <v>8010</v>
      </c>
      <c r="BY7" s="142">
        <f ca="1">BQ7/$BX7</f>
        <v>0.52434456928838946</v>
      </c>
      <c r="BZ7" s="142">
        <f t="shared" ref="BZ7:CE7" ca="1" si="6">BR7/$BX7</f>
        <v>0.13732833957553059</v>
      </c>
      <c r="CA7" s="142">
        <f t="shared" ca="1" si="6"/>
        <v>0.1198501872659176</v>
      </c>
      <c r="CB7" s="142">
        <f t="shared" ca="1" si="6"/>
        <v>0</v>
      </c>
      <c r="CC7" s="142">
        <f t="shared" ca="1" si="6"/>
        <v>0</v>
      </c>
      <c r="CD7" s="142">
        <f t="shared" ca="1" si="6"/>
        <v>6.2421972534332085E-2</v>
      </c>
      <c r="CE7" s="142">
        <f t="shared" ca="1" si="6"/>
        <v>0.1560549313358302</v>
      </c>
      <c r="CG7" s="128">
        <f>N7</f>
        <v>4</v>
      </c>
      <c r="CH7" s="90">
        <f ca="1">INDEX(角色升级!$A:$A,MATCH(玩家节奏1!$BX7,角色升级!$J:$J,1))</f>
        <v>23</v>
      </c>
      <c r="CI7" s="90">
        <f ca="1">INDEX(角色升级!$O:$O,MATCH(玩家节奏1!$BX7,角色升级!$J:$J,1))</f>
        <v>191.90170999999995</v>
      </c>
      <c r="CJ7" s="90">
        <f>INDEX(关卡对比!$J:$J,MATCH(玩家节奏1!N7,关卡对比!$A:$A,0))</f>
        <v>200</v>
      </c>
      <c r="CK7" s="147">
        <f ca="1">CJ7/CI7</f>
        <v>1.0422001971738555</v>
      </c>
      <c r="CL7" s="128">
        <f ca="1">INDEX(角色升级!P:P,MATCH(玩家节奏1!$CH7,角色升级!$A:$A,0))</f>
        <v>0</v>
      </c>
      <c r="CM7" s="90">
        <f ca="1">INDEX(角色升级!Q:Q,MATCH(玩家节奏1!$CH7,角色升级!$A:$A,0))</f>
        <v>0</v>
      </c>
      <c r="CO7" s="128">
        <f>S7</f>
        <v>60</v>
      </c>
      <c r="CP7" s="90">
        <f>AA7</f>
        <v>50</v>
      </c>
      <c r="CQ7" s="90">
        <f>AI7</f>
        <v>24</v>
      </c>
      <c r="CR7" s="90">
        <f>BM7</f>
        <v>115</v>
      </c>
      <c r="CS7" s="90">
        <f>SUM(CO7:CR7)</f>
        <v>249</v>
      </c>
      <c r="CT7" s="142">
        <f>CO7/$CS7</f>
        <v>0.24096385542168675</v>
      </c>
      <c r="CU7" s="142">
        <f t="shared" ref="CU7:CW7" si="7">CP7/$CS7</f>
        <v>0.20080321285140562</v>
      </c>
      <c r="CV7" s="142">
        <f t="shared" si="7"/>
        <v>9.6385542168674704E-2</v>
      </c>
      <c r="CW7" s="142">
        <f t="shared" si="7"/>
        <v>0.46184738955823296</v>
      </c>
      <c r="CY7" s="128">
        <f>T7</f>
        <v>32</v>
      </c>
      <c r="CZ7" s="90">
        <f>AB7</f>
        <v>20</v>
      </c>
      <c r="DA7" s="90">
        <f>AJ7</f>
        <v>8</v>
      </c>
      <c r="DB7" s="90">
        <f>BN7</f>
        <v>21</v>
      </c>
      <c r="DC7" s="90">
        <f>SUM(CY7:DB7)</f>
        <v>81</v>
      </c>
      <c r="DD7" s="142">
        <f>CY7/$DC7</f>
        <v>0.39506172839506171</v>
      </c>
      <c r="DE7" s="142">
        <f t="shared" ref="DE7:DG7" si="8">CZ7/$DC7</f>
        <v>0.24691358024691357</v>
      </c>
      <c r="DF7" s="142">
        <f t="shared" si="8"/>
        <v>9.8765432098765427E-2</v>
      </c>
      <c r="DG7" s="142">
        <f t="shared" si="8"/>
        <v>0.25925925925925924</v>
      </c>
      <c r="DI7" s="128">
        <f>U7</f>
        <v>1</v>
      </c>
      <c r="DJ7" s="90">
        <f>AC7</f>
        <v>10</v>
      </c>
      <c r="DK7" s="90">
        <f>AK7</f>
        <v>0</v>
      </c>
      <c r="DL7" s="90">
        <f>BO7</f>
        <v>0</v>
      </c>
      <c r="DM7" s="90">
        <f>SUM(DI7:DL7)</f>
        <v>11</v>
      </c>
      <c r="DN7" s="142">
        <f>DI7/$DM7</f>
        <v>9.0909090909090912E-2</v>
      </c>
      <c r="DO7" s="142">
        <f t="shared" ref="DO7:DQ7" si="9">DJ7/$DM7</f>
        <v>0.90909090909090906</v>
      </c>
      <c r="DP7" s="142">
        <f t="shared" si="9"/>
        <v>0</v>
      </c>
      <c r="DQ7" s="142">
        <f t="shared" si="9"/>
        <v>0</v>
      </c>
      <c r="DS7" s="128">
        <f>CS7</f>
        <v>249</v>
      </c>
      <c r="DT7" s="90">
        <f>DC7</f>
        <v>81</v>
      </c>
      <c r="DU7" s="90">
        <f>DM7</f>
        <v>11</v>
      </c>
      <c r="DV7" s="90">
        <f>AS7</f>
        <v>0</v>
      </c>
      <c r="DW7" s="176">
        <f>_xlfn.IFNA(INDEX(武器升级消耗!$H:$H,MATCH(玩家节奏1!DS7/玩家节奏1!DS$5,武器升级消耗!M:M,1)),0)</f>
        <v>3</v>
      </c>
      <c r="DX7" s="176">
        <f>_xlfn.IFNA(INDEX(武器升级消耗!$H:$H,MATCH(玩家节奏1!DT7/玩家节奏1!DT$5,武器升级消耗!N:N,1)),0)</f>
        <v>2</v>
      </c>
      <c r="DY7" s="176">
        <f>_xlfn.IFNA(INDEX(武器升级消耗!$H:$H,MATCH(玩家节奏1!DU7/玩家节奏1!DU$5,武器升级消耗!O:O,1)),0)</f>
        <v>0</v>
      </c>
      <c r="DZ7" s="176">
        <f>_xlfn.IFNA(INDEX(武器升级消耗!$H:$H,MATCH(玩家节奏1!DV7/玩家节奏1!DV$5,武器升级消耗!P:P,1)),0)</f>
        <v>0</v>
      </c>
      <c r="EA7" s="90">
        <f>_xlfn.IFNA(INDEX(武器升级消耗!$Q:$Q,MATCH(玩家节奏1!DW7,武器升级消耗!$H:$H,0))*2*EA$4,0)</f>
        <v>0.84</v>
      </c>
      <c r="EB7" s="90">
        <f>_xlfn.IFNA(INDEX(武器升级消耗!$Q:$Q,MATCH(玩家节奏1!DX7,武器升级消耗!$H:$H,0))*2*EB$4,0)</f>
        <v>0.89999999999999991</v>
      </c>
      <c r="EC7" s="90">
        <f>_xlfn.IFNA(INDEX(武器升级消耗!$Q:$Q,MATCH(玩家节奏1!DY7,武器升级消耗!$H:$H,0))*2*EC$4,1)</f>
        <v>1</v>
      </c>
      <c r="ED7" s="90">
        <f>_xlfn.IFNA(INDEX(武器升级消耗!$Q:$Q,MATCH(玩家节奏1!DZ7,武器升级消耗!$H:$H,0))*2*ED$4,0)</f>
        <v>0</v>
      </c>
      <c r="EF7" s="128"/>
      <c r="EG7" s="90"/>
      <c r="EH7" s="90"/>
      <c r="EI7" s="90"/>
      <c r="EJ7" s="90"/>
      <c r="EK7" s="90"/>
      <c r="EL7" s="90"/>
      <c r="EM7" s="90"/>
      <c r="EO7" s="128"/>
      <c r="EP7" s="90"/>
      <c r="EQ7" s="90"/>
      <c r="ER7" s="90"/>
      <c r="ES7" s="90"/>
      <c r="ET7" s="90"/>
      <c r="EU7" s="90"/>
      <c r="EV7" s="90"/>
      <c r="EW7" s="90"/>
      <c r="EX7" s="90"/>
      <c r="EY7" s="90"/>
      <c r="EZ7" s="90"/>
      <c r="FA7" s="90"/>
      <c r="FB7" s="90"/>
      <c r="FD7" s="90">
        <f>EC7</f>
        <v>1</v>
      </c>
      <c r="FE7" s="90"/>
      <c r="FF7" s="90"/>
      <c r="FG7" s="90">
        <f>FF7*FE7*FD7</f>
        <v>0</v>
      </c>
    </row>
    <row r="8" spans="1:163" x14ac:dyDescent="0.25">
      <c r="A8" s="123">
        <v>2</v>
      </c>
      <c r="B8" s="123"/>
      <c r="C8" s="124"/>
      <c r="D8" s="125">
        <v>2.5</v>
      </c>
      <c r="E8" s="125">
        <v>1.5</v>
      </c>
      <c r="F8" s="128">
        <v>7</v>
      </c>
      <c r="G8" s="90">
        <v>0</v>
      </c>
      <c r="H8" s="90">
        <v>0</v>
      </c>
      <c r="J8" s="128">
        <v>2</v>
      </c>
      <c r="K8" s="90">
        <f t="shared" ref="K8:K39" si="10">INDEX($F:$F,MATCH(N7,$A:$A,0))</f>
        <v>7</v>
      </c>
      <c r="L8" s="90">
        <f t="shared" ref="L8:L39" si="11">INDEX($G:$G,MATCH(N7,$A:$A,0))</f>
        <v>0</v>
      </c>
      <c r="M8" s="90">
        <f t="shared" ref="M8:M39" si="12">INDEX($H:$H,MATCH(N7,$A:$A,0))</f>
        <v>0</v>
      </c>
      <c r="N8" s="140">
        <f>INDEX($A:$A,MATCH(SUM($K$7:K8),$D:$D,1))</f>
        <v>7</v>
      </c>
      <c r="O8" s="140">
        <v>0</v>
      </c>
      <c r="P8" s="141">
        <v>0</v>
      </c>
      <c r="Q8" s="126">
        <f>_xlfn.MAXIFS(关卡产出!X:X,关卡产出!$A:$A,玩家节奏1!$N$6,关卡产出!$B:$B,玩家节奏1!$N8)+_xlfn.MAXIFS(关卡产出!X:X,关卡产出!$A:$A,玩家节奏1!$O$6,关卡产出!$B:$B,玩家节奏1!$O8)+_xlfn.MAXIFS(关卡产出!X:X,关卡产出!$A:$A,玩家节奏1!$P$6,关卡产出!$B:$B,玩家节奏1!$P8)</f>
        <v>700</v>
      </c>
      <c r="R8" s="90">
        <f>_xlfn.MAXIFS(关卡产出!Y:Y,关卡产出!$A:$A,玩家节奏1!$N$6,关卡产出!$B:$B,玩家节奏1!$N8)+_xlfn.MAXIFS(关卡产出!Y:Y,关卡产出!$A:$A,玩家节奏1!$O$6,关卡产出!$B:$B,玩家节奏1!$O8)+_xlfn.MAXIFS(关卡产出!Y:Y,关卡产出!$A:$A,玩家节奏1!$P$6,关卡产出!$B:$B,玩家节奏1!$P8)</f>
        <v>10500</v>
      </c>
      <c r="S8" s="90">
        <f>_xlfn.MAXIFS(关卡产出!Z:Z,关卡产出!$A:$A,玩家节奏1!$N$6,关卡产出!$B:$B,玩家节奏1!$N8)+_xlfn.MAXIFS(关卡产出!Z:Z,关卡产出!$A:$A,玩家节奏1!$O$6,关卡产出!$B:$B,玩家节奏1!$O8)+_xlfn.MAXIFS(关卡产出!Z:Z,关卡产出!$A:$A,玩家节奏1!$P$6,关卡产出!$B:$B,玩家节奏1!$P8)</f>
        <v>122</v>
      </c>
      <c r="T8" s="90">
        <f>_xlfn.MAXIFS(关卡产出!AA:AA,关卡产出!$A:$A,玩家节奏1!$N$6,关卡产出!$B:$B,玩家节奏1!$N8)+_xlfn.MAXIFS(关卡产出!AA:AA,关卡产出!$A:$A,玩家节奏1!$O$6,关卡产出!$B:$B,玩家节奏1!$O8)+_xlfn.MAXIFS(关卡产出!AA:AA,关卡产出!$A:$A,玩家节奏1!$P$6,关卡产出!$B:$B,玩家节奏1!$P8)</f>
        <v>62</v>
      </c>
      <c r="U8" s="90">
        <f>_xlfn.MAXIFS(关卡产出!AB:AB,关卡产出!$A:$A,玩家节奏1!$N$6,关卡产出!$B:$B,玩家节奏1!$N8)+_xlfn.MAXIFS(关卡产出!AB:AB,关卡产出!$A:$A,玩家节奏1!$O$6,关卡产出!$B:$B,玩家节奏1!$O8)+_xlfn.MAXIFS(关卡产出!AB:AB,关卡产出!$A:$A,玩家节奏1!$P$6,关卡产出!$B:$B,玩家节奏1!$P8)</f>
        <v>6</v>
      </c>
      <c r="V8" s="130">
        <f>_xlfn.MAXIFS(关卡产出!AC:AC,关卡产出!$A:$A,玩家节奏1!$N$6,关卡产出!$B:$B,玩家节奏1!$N8)+_xlfn.MAXIFS(关卡产出!AC:AC,关卡产出!$A:$A,玩家节奏1!$O$6,关卡产出!$B:$B,玩家节奏1!$O8)+_xlfn.MAXIFS(关卡产出!AC:AC,关卡产出!$A:$A,玩家节奏1!$P$6,关卡产出!$B:$B,玩家节奏1!$P8)</f>
        <v>42</v>
      </c>
      <c r="W8" s="126">
        <f>INDEX(关卡产出!C$8:C$207,MATCH(玩家节奏1!$N8,关卡产出!$B$8:$B$207,0))*$K8</f>
        <v>49</v>
      </c>
      <c r="X8" s="126">
        <f>INDEX(关卡产出!D$8:D$207,MATCH(玩家节奏1!$N8,关卡产出!$B$8:$B$207,0))*$K8</f>
        <v>21</v>
      </c>
      <c r="Y8" s="126">
        <f>INDEX(关卡产出!E$8:E$207,MATCH(玩家节奏1!$N8,关卡产出!$B$8:$B$207,0))*$K8</f>
        <v>7</v>
      </c>
      <c r="Z8" s="144">
        <f>INDEX(关卡产出!F$8:F$207,MATCH(玩家节奏1!$N8,关卡产出!$B$8:$B$207,0))*$K8</f>
        <v>910</v>
      </c>
      <c r="AA8" s="126">
        <f>SUM(W$7:W8)</f>
        <v>99</v>
      </c>
      <c r="AB8" s="126">
        <f>SUM(X$7:X8)</f>
        <v>41</v>
      </c>
      <c r="AC8" s="126">
        <f>SUM(Y$7:Y8)</f>
        <v>17</v>
      </c>
      <c r="AD8" s="126">
        <f>SUM(Z$7:Z8)</f>
        <v>2010</v>
      </c>
      <c r="AE8" s="126">
        <f>INDEX(图鉴!AQ:AQ,MATCH($N8,图鉴!$S:$S,0))*8</f>
        <v>40</v>
      </c>
      <c r="AF8" s="90">
        <f>INDEX(图鉴!AR:AR,MATCH($N8,图鉴!$S:$S,0))*8</f>
        <v>8</v>
      </c>
      <c r="AG8" s="90">
        <f>INDEX(图鉴!AS:AS,MATCH($N8,图鉴!$S:$S,0))*8</f>
        <v>0</v>
      </c>
      <c r="AH8" s="129">
        <f ca="1">INDEX(图鉴!AT:AT,MATCH($N8,图鉴!$S:$S,0))*8</f>
        <v>1024</v>
      </c>
      <c r="AI8" s="128">
        <f>SUM($AE$7:AE8)</f>
        <v>64</v>
      </c>
      <c r="AJ8" s="90">
        <f>SUM(AF$7:AF8)</f>
        <v>16</v>
      </c>
      <c r="AK8" s="90">
        <f>SUM(AG$7:AG8)</f>
        <v>0</v>
      </c>
      <c r="AL8" s="130">
        <f ca="1">SUM(AH$7:AH8)</f>
        <v>1984</v>
      </c>
      <c r="AM8" s="133">
        <f>IF(M8=0,0,INDEX(关卡产出!$AU$11:$AU$15,MATCH(玩家节奏1!N8,关卡产出!$AW$11:$AW$15,1))*M8)</f>
        <v>0</v>
      </c>
      <c r="AN8" s="126">
        <f>IF(L8=0,0,$L8*关卡产出!AU$21)</f>
        <v>0</v>
      </c>
      <c r="AO8" s="90">
        <f>IF(M8=0,0,$L8*关卡产出!AV$21)</f>
        <v>0</v>
      </c>
      <c r="AP8" s="129">
        <f>IF(N8=0,0,$L8*关卡产出!AW$21)</f>
        <v>0</v>
      </c>
      <c r="AQ8" s="138">
        <f>SUM(AN$7:AN8)</f>
        <v>0</v>
      </c>
      <c r="AR8" s="126">
        <f>SUM(AO$7:AO8)</f>
        <v>0</v>
      </c>
      <c r="AS8" s="129">
        <f>SUM(AP$7:AP8)</f>
        <v>0</v>
      </c>
      <c r="AT8" s="128">
        <v>500</v>
      </c>
      <c r="AU8" s="129">
        <v>100</v>
      </c>
      <c r="AV8" s="128">
        <f>SUM(AT$7:AT8)</f>
        <v>1000</v>
      </c>
      <c r="AW8" s="90">
        <f>SUM(AU$7:AU8)</f>
        <v>200</v>
      </c>
      <c r="AY8" s="128">
        <f t="shared" ref="AY8:AY71" si="13">Q8</f>
        <v>700</v>
      </c>
      <c r="AZ8" s="90">
        <f t="shared" ref="AZ8:AZ71" si="14">AR8</f>
        <v>0</v>
      </c>
      <c r="BA8" s="90">
        <f t="shared" ref="BA8:BA71" si="15">AW8</f>
        <v>200</v>
      </c>
      <c r="BB8" s="90">
        <f ca="1">CL7</f>
        <v>0</v>
      </c>
      <c r="BC8" s="90">
        <f t="shared" ref="BC8" ca="1" si="16">SUM(AY8:BB8)</f>
        <v>900</v>
      </c>
      <c r="BD8" s="90"/>
      <c r="BE8" s="90">
        <f t="shared" ref="BE8:BE71" ca="1" si="17">SUM(AY8:BB8)</f>
        <v>900</v>
      </c>
      <c r="BF8" s="142">
        <f t="shared" ref="BF8:BF71" ca="1" si="18">AY8/$BC8</f>
        <v>0.77777777777777779</v>
      </c>
      <c r="BG8" s="142">
        <f t="shared" ref="BG8:BG71" ca="1" si="19">AZ8/$BC8</f>
        <v>0</v>
      </c>
      <c r="BH8" s="142">
        <f t="shared" ref="BH8:BH39" ca="1" si="20">BA8/$BC8</f>
        <v>0.22222222222222221</v>
      </c>
      <c r="BI8" s="142">
        <f t="shared" ref="BI8:BI39" ca="1" si="21">BB8/$BC8</f>
        <v>0</v>
      </c>
      <c r="BJ8" s="143"/>
      <c r="BK8" s="128">
        <f ca="1">INDEX(商城宝箱!$L:$L,MATCH(BC8,商城宝箱!$N:$N,1))</f>
        <v>1</v>
      </c>
      <c r="BL8" s="90">
        <f ca="1">_xlfn.IFNA(INDEX(商城宝箱!T:T,MATCH(玩家节奏1!$BK8,商城宝箱!$L:$L,0)),0)+($BC8-INDEX(商城宝箱!$N:$N,MATCH(玩家节奏1!$BK8,商城宝箱!$L:$L,0)))/$BK$5*INDEX(商城宝箱!E$23:E$42,MATCH(玩家节奏1!$BK8+1,商城宝箱!$C$23:$C$42,0))</f>
        <v>2250</v>
      </c>
      <c r="BM8" s="90">
        <f ca="1">_xlfn.IFNA(INDEX(商城宝箱!U:U,MATCH(玩家节奏1!$BK8,商城宝箱!$L:$L,0)),0)+($BC8-INDEX(商城宝箱!$N:$N,MATCH(玩家节奏1!$BK8,商城宝箱!$L:$L,0)))/$BK$5*INDEX(商城宝箱!F$23:F$42,MATCH(玩家节奏1!$BK8+1,商城宝箱!$C$23:$C$42,0))</f>
        <v>219</v>
      </c>
      <c r="BN8" s="90">
        <f ca="1">_xlfn.IFNA(INDEX(商城宝箱!V:V,MATCH(玩家节奏1!$BK8,商城宝箱!$L:$L,0)),0)+($BC8-INDEX(商城宝箱!$N:$N,MATCH(玩家节奏1!$BK8,商城宝箱!$L:$L,0)))/$BK$5*INDEX(商城宝箱!G$23:G$42,MATCH(玩家节奏1!$BK8+1,商城宝箱!$C$23:$C$42,0))</f>
        <v>45</v>
      </c>
      <c r="BO8" s="90">
        <f ca="1">_xlfn.IFNA(INDEX(商城宝箱!W:W,MATCH(玩家节奏1!$BK8,商城宝箱!$L:$L,0)),0)+($BC8-INDEX(商城宝箱!$N:$N,MATCH(玩家节奏1!$BK8,商城宝箱!$L:$L,0)))/$BK$5*INDEX(商城宝箱!H$23:H$42,MATCH(玩家节奏1!$BK8+1,商城宝箱!$C$23:$C$42,0))</f>
        <v>0</v>
      </c>
      <c r="BQ8" s="128">
        <f t="shared" si="0"/>
        <v>10500</v>
      </c>
      <c r="BR8" s="90">
        <f t="shared" si="1"/>
        <v>2010</v>
      </c>
      <c r="BS8" s="90">
        <f t="shared" ca="1" si="2"/>
        <v>1984</v>
      </c>
      <c r="BT8" s="90">
        <f t="shared" si="3"/>
        <v>0</v>
      </c>
      <c r="BU8" s="90">
        <f t="shared" si="4"/>
        <v>0</v>
      </c>
      <c r="BV8" s="90">
        <f t="shared" si="5"/>
        <v>1000</v>
      </c>
      <c r="BW8" s="90">
        <f t="shared" ref="BW8:BW71" ca="1" si="22">BL8</f>
        <v>2250</v>
      </c>
      <c r="BX8" s="90">
        <f t="shared" ref="BX8:BX71" ca="1" si="23">SUM(BQ8:BW8)</f>
        <v>17744</v>
      </c>
      <c r="BY8" s="142">
        <f t="shared" ref="BY8:BY71" ca="1" si="24">BQ8/$BX8</f>
        <v>0.59174932371505862</v>
      </c>
      <c r="BZ8" s="142">
        <f t="shared" ref="BZ8:BZ71" ca="1" si="25">BR8/$BX8</f>
        <v>0.11327772768259693</v>
      </c>
      <c r="CA8" s="142">
        <f t="shared" ref="CA8:CA71" ca="1" si="26">BS8/$BX8</f>
        <v>0.11181244364292155</v>
      </c>
      <c r="CB8" s="142">
        <f t="shared" ref="CB8:CB71" ca="1" si="27">BT8/$BX8</f>
        <v>0</v>
      </c>
      <c r="CC8" s="142">
        <f t="shared" ref="CC8:CC71" ca="1" si="28">BU8/$BX8</f>
        <v>0</v>
      </c>
      <c r="CD8" s="142">
        <f t="shared" ref="CD8:CD71" ca="1" si="29">BV8/$BX8</f>
        <v>5.6357078449053202E-2</v>
      </c>
      <c r="CE8" s="142">
        <f t="shared" ref="CE8:CE71" ca="1" si="30">BW8/$BX8</f>
        <v>0.12680342651036972</v>
      </c>
      <c r="CG8" s="128">
        <f t="shared" ref="CG8:CG71" si="31">N8</f>
        <v>7</v>
      </c>
      <c r="CH8" s="90">
        <f ca="1">INDEX(角色升级!$A:$A,MATCH(玩家节奏1!$BX8,角色升级!$J:$J,1))</f>
        <v>36</v>
      </c>
      <c r="CI8" s="90">
        <f ca="1">INDEX(角色升级!$O:$O,MATCH(玩家节奏1!$BX8,角色升级!$J:$J,1))</f>
        <v>304.06214999999997</v>
      </c>
      <c r="CJ8" s="90">
        <f>INDEX(关卡对比!$J:$J,MATCH(玩家节奏1!N8,关卡对比!$A:$A,0))</f>
        <v>350</v>
      </c>
      <c r="CK8" s="147">
        <f t="shared" ref="CK8:CK71" ca="1" si="32">CJ8/CI8</f>
        <v>1.1510804616753516</v>
      </c>
      <c r="CL8" s="128">
        <f ca="1">INDEX(角色升级!$P:$P,MATCH(玩家节奏1!$CH8,角色升级!$A:$A,0))</f>
        <v>0</v>
      </c>
      <c r="CM8" s="90">
        <f ca="1">INDEX(角色升级!Q:Q,MATCH(玩家节奏1!$CH8,角色升级!$A:$A,0))</f>
        <v>0</v>
      </c>
      <c r="CO8" s="128">
        <f t="shared" ref="CO8:CO71" si="33">S8</f>
        <v>122</v>
      </c>
      <c r="CP8" s="90">
        <f t="shared" ref="CP8:CP71" si="34">AA8</f>
        <v>99</v>
      </c>
      <c r="CQ8" s="90">
        <f t="shared" ref="CQ8:CQ71" si="35">AI8</f>
        <v>64</v>
      </c>
      <c r="CR8" s="90">
        <f t="shared" ref="CR8:CR71" ca="1" si="36">BM8</f>
        <v>219</v>
      </c>
      <c r="CS8" s="90">
        <f t="shared" ref="CS8:CS71" ca="1" si="37">SUM(CO8:CR8)</f>
        <v>504</v>
      </c>
      <c r="CT8" s="142">
        <f t="shared" ref="CT8:CT71" ca="1" si="38">CO8/$CS8</f>
        <v>0.24206349206349206</v>
      </c>
      <c r="CU8" s="142">
        <f t="shared" ref="CU8:CU71" ca="1" si="39">CP8/$CS8</f>
        <v>0.19642857142857142</v>
      </c>
      <c r="CV8" s="142">
        <f t="shared" ref="CV8:CV71" ca="1" si="40">CQ8/$CS8</f>
        <v>0.12698412698412698</v>
      </c>
      <c r="CW8" s="142">
        <f t="shared" ref="CW8:CW71" ca="1" si="41">CR8/$CS8</f>
        <v>0.43452380952380953</v>
      </c>
      <c r="CY8" s="128">
        <f t="shared" ref="CY8:CY71" si="42">T8</f>
        <v>62</v>
      </c>
      <c r="CZ8" s="90">
        <f t="shared" ref="CZ8:CZ71" si="43">AB8</f>
        <v>41</v>
      </c>
      <c r="DA8" s="90">
        <f t="shared" ref="DA8:DA71" si="44">AJ8</f>
        <v>16</v>
      </c>
      <c r="DB8" s="90">
        <f ca="1">BN8</f>
        <v>45</v>
      </c>
      <c r="DC8" s="90">
        <f t="shared" ref="DC8:DC71" ca="1" si="45">SUM(CY8:DB8)</f>
        <v>164</v>
      </c>
      <c r="DD8" s="142">
        <f t="shared" ref="DD8:DD71" ca="1" si="46">CY8/$DC8</f>
        <v>0.37804878048780488</v>
      </c>
      <c r="DE8" s="142">
        <f t="shared" ref="DE8:DE71" ca="1" si="47">CZ8/$DC8</f>
        <v>0.25</v>
      </c>
      <c r="DF8" s="142">
        <f t="shared" ref="DF8:DF71" ca="1" si="48">DA8/$DC8</f>
        <v>9.7560975609756101E-2</v>
      </c>
      <c r="DG8" s="142">
        <f t="shared" ref="DG8:DG71" ca="1" si="49">DB8/$DC8</f>
        <v>0.27439024390243905</v>
      </c>
      <c r="DI8" s="128">
        <f t="shared" ref="DI8:DI71" si="50">U8</f>
        <v>6</v>
      </c>
      <c r="DJ8" s="90">
        <f t="shared" ref="DJ8:DJ71" si="51">AC8</f>
        <v>17</v>
      </c>
      <c r="DK8" s="90">
        <f t="shared" ref="DK8:DK71" si="52">AK8</f>
        <v>0</v>
      </c>
      <c r="DL8" s="90">
        <f t="shared" ref="DL8:DL71" ca="1" si="53">BO8</f>
        <v>0</v>
      </c>
      <c r="DM8" s="90">
        <f t="shared" ref="DM8:DM71" ca="1" si="54">SUM(DI8:DL8)</f>
        <v>23</v>
      </c>
      <c r="DN8" s="142">
        <f t="shared" ref="DN8:DN71" ca="1" si="55">DI8/$DM8</f>
        <v>0.2608695652173913</v>
      </c>
      <c r="DO8" s="142">
        <f t="shared" ref="DO8:DO71" ca="1" si="56">DJ8/$DM8</f>
        <v>0.73913043478260865</v>
      </c>
      <c r="DP8" s="142">
        <f t="shared" ref="DP8:DP71" ca="1" si="57">DK8/$DM8</f>
        <v>0</v>
      </c>
      <c r="DQ8" s="142">
        <f t="shared" ref="DQ8:DQ71" ca="1" si="58">DL8/$DM8</f>
        <v>0</v>
      </c>
      <c r="DS8" s="128">
        <f t="shared" ref="DS8:DS71" ca="1" si="59">CS8</f>
        <v>504</v>
      </c>
      <c r="DT8" s="90">
        <f t="shared" ref="DT8:DT71" ca="1" si="60">DC8</f>
        <v>164</v>
      </c>
      <c r="DU8" s="90">
        <f t="shared" ref="DU8:DU71" ca="1" si="61">DM8</f>
        <v>23</v>
      </c>
      <c r="DV8" s="90">
        <f t="shared" ref="DV8:DV71" si="62">AS8</f>
        <v>0</v>
      </c>
      <c r="DW8" s="90">
        <f ca="1">_xlfn.IFNA(INDEX(武器升级消耗!$H:$H,MATCH(玩家节奏1!DS8/玩家节奏1!DS$5,武器升级消耗!M:M,1)),0)</f>
        <v>4</v>
      </c>
      <c r="DX8" s="90">
        <f ca="1">_xlfn.IFNA(INDEX(武器升级消耗!$H:$H,MATCH(玩家节奏1!DT8/玩家节奏1!DT$5,武器升级消耗!N:N,1)),0)</f>
        <v>2</v>
      </c>
      <c r="DY8" s="90" t="str">
        <f ca="1">_xlfn.IFNA(INDEX(武器升级消耗!$H:$H,MATCH(玩家节奏1!DU8/玩家节奏1!DU$5,武器升级消耗!O:O,1)),0)</f>
        <v>升级消耗</v>
      </c>
      <c r="DZ8" s="90">
        <f>_xlfn.IFNA(INDEX(武器升级消耗!$H:$H,MATCH(玩家节奏1!DV8/玩家节奏1!DV$5,武器升级消耗!P:P,1)),0)</f>
        <v>0</v>
      </c>
      <c r="EA8" s="90">
        <f ca="1">_xlfn.IFNA(INDEX(武器升级消耗!$Q:$Q,MATCH(玩家节奏1!DW8,武器升级消耗!$H:$H,0))*2*EA$4,0)</f>
        <v>0.96</v>
      </c>
      <c r="EB8" s="90">
        <f ca="1">_xlfn.IFNA(INDEX(武器升级消耗!$Q:$Q,MATCH(玩家节奏1!DX8,武器升级消耗!$H:$H,0))*2*EB$4,0)</f>
        <v>0.89999999999999991</v>
      </c>
      <c r="EC8" s="90">
        <f ca="1">_xlfn.IFNA(INDEX(武器升级消耗!$Q:$Q,MATCH(玩家节奏1!DY8,武器升级消耗!$H:$H,0))*2*EC$4,1)</f>
        <v>0</v>
      </c>
      <c r="ED8" s="90">
        <f>_xlfn.IFNA(INDEX(武器升级消耗!$Q:$Q,MATCH(玩家节奏1!DZ8,武器升级消耗!$H:$H,0))*2*ED$4,0)</f>
        <v>0</v>
      </c>
      <c r="EF8" s="128"/>
      <c r="EG8" s="90"/>
      <c r="EH8" s="90"/>
      <c r="EI8" s="90"/>
      <c r="EJ8" s="90"/>
      <c r="EK8" s="90"/>
      <c r="EL8" s="90"/>
      <c r="EM8" s="90"/>
      <c r="EO8" s="128"/>
      <c r="EP8" s="90"/>
      <c r="EQ8" s="90"/>
      <c r="ER8" s="90"/>
      <c r="ES8" s="90"/>
      <c r="ET8" s="90"/>
      <c r="EU8" s="90"/>
      <c r="EV8" s="90"/>
      <c r="EW8" s="90"/>
      <c r="EX8" s="90"/>
      <c r="EY8" s="90"/>
      <c r="EZ8" s="90"/>
      <c r="FA8" s="90"/>
      <c r="FB8" s="90"/>
      <c r="FD8" s="90">
        <f t="shared" ref="FD8:FD71" ca="1" si="63">EC8</f>
        <v>0</v>
      </c>
      <c r="FE8" s="90"/>
      <c r="FF8" s="90"/>
      <c r="FG8" s="90">
        <f t="shared" ref="FG8:FG71" ca="1" si="64">FF8*FE8*FD8</f>
        <v>0</v>
      </c>
    </row>
    <row r="9" spans="1:163" x14ac:dyDescent="0.25">
      <c r="A9" s="123">
        <v>3</v>
      </c>
      <c r="B9" s="123"/>
      <c r="C9" s="124"/>
      <c r="D9" s="125">
        <v>4.5</v>
      </c>
      <c r="E9" s="125">
        <v>2</v>
      </c>
      <c r="F9" s="128">
        <v>7</v>
      </c>
      <c r="G9" s="90">
        <v>0</v>
      </c>
      <c r="H9" s="90">
        <v>0</v>
      </c>
      <c r="J9" s="128">
        <v>3</v>
      </c>
      <c r="K9" s="90">
        <f t="shared" si="10"/>
        <v>7</v>
      </c>
      <c r="L9" s="90">
        <f t="shared" si="11"/>
        <v>0</v>
      </c>
      <c r="M9" s="90">
        <f t="shared" si="12"/>
        <v>0</v>
      </c>
      <c r="N9" s="140">
        <f>INDEX($A:$A,MATCH(SUM($K$7:K9),$D:$D,1))</f>
        <v>9</v>
      </c>
      <c r="O9" s="140">
        <v>0</v>
      </c>
      <c r="P9" s="141">
        <v>0</v>
      </c>
      <c r="Q9" s="126">
        <f>_xlfn.MAXIFS(关卡产出!X:X,关卡产出!$A:$A,玩家节奏1!$N$6,关卡产出!$B:$B,玩家节奏1!$N9)+_xlfn.MAXIFS(关卡产出!X:X,关卡产出!$A:$A,玩家节奏1!$O$6,关卡产出!$B:$B,玩家节奏1!$O9)+_xlfn.MAXIFS(关卡产出!X:X,关卡产出!$A:$A,玩家节奏1!$P$6,关卡产出!$B:$B,玩家节奏1!$P9)</f>
        <v>900</v>
      </c>
      <c r="R9" s="90">
        <f>_xlfn.MAXIFS(关卡产出!Y:Y,关卡产出!$A:$A,玩家节奏1!$N$6,关卡产出!$B:$B,玩家节奏1!$N9)+_xlfn.MAXIFS(关卡产出!Y:Y,关卡产出!$A:$A,玩家节奏1!$O$6,关卡产出!$B:$B,玩家节奏1!$O9)+_xlfn.MAXIFS(关卡产出!Y:Y,关卡产出!$A:$A,玩家节奏1!$P$6,关卡产出!$B:$B,玩家节奏1!$P9)</f>
        <v>16300</v>
      </c>
      <c r="S9" s="90">
        <f>_xlfn.MAXIFS(关卡产出!Z:Z,关卡产出!$A:$A,玩家节奏1!$N$6,关卡产出!$B:$B,玩家节奏1!$N9)+_xlfn.MAXIFS(关卡产出!Z:Z,关卡产出!$A:$A,玩家节奏1!$O$6,关卡产出!$B:$B,玩家节奏1!$O9)+_xlfn.MAXIFS(关卡产出!Z:Z,关卡产出!$A:$A,玩家节奏1!$P$6,关卡产出!$B:$B,玩家节奏1!$P9)</f>
        <v>174</v>
      </c>
      <c r="T9" s="90">
        <f>_xlfn.MAXIFS(关卡产出!AA:AA,关卡产出!$A:$A,玩家节奏1!$N$6,关卡产出!$B:$B,玩家节奏1!$N9)+_xlfn.MAXIFS(关卡产出!AA:AA,关卡产出!$A:$A,玩家节奏1!$O$6,关卡产出!$B:$B,玩家节奏1!$O9)+_xlfn.MAXIFS(关卡产出!AA:AA,关卡产出!$A:$A,玩家节奏1!$P$6,关卡产出!$B:$B,玩家节奏1!$P9)</f>
        <v>88</v>
      </c>
      <c r="U9" s="90">
        <f>_xlfn.MAXIFS(关卡产出!AB:AB,关卡产出!$A:$A,玩家节奏1!$N$6,关卡产出!$B:$B,玩家节奏1!$N9)+_xlfn.MAXIFS(关卡产出!AB:AB,关卡产出!$A:$A,玩家节奏1!$O$6,关卡产出!$B:$B,玩家节奏1!$O9)+_xlfn.MAXIFS(关卡产出!AB:AB,关卡产出!$A:$A,玩家节奏1!$P$6,关卡产出!$B:$B,玩家节奏1!$P9)</f>
        <v>13</v>
      </c>
      <c r="V9" s="130">
        <f>_xlfn.MAXIFS(关卡产出!AC:AC,关卡产出!$A:$A,玩家节奏1!$N$6,关卡产出!$B:$B,玩家节奏1!$N9)+_xlfn.MAXIFS(关卡产出!AC:AC,关卡产出!$A:$A,玩家节奏1!$O$6,关卡产出!$B:$B,玩家节奏1!$O9)+_xlfn.MAXIFS(关卡产出!AC:AC,关卡产出!$A:$A,玩家节奏1!$P$6,关卡产出!$B:$B,玩家节奏1!$P9)</f>
        <v>54</v>
      </c>
      <c r="W9" s="126">
        <f>INDEX(关卡产出!C$8:C$207,MATCH(玩家节奏1!$N9,关卡产出!$B$8:$B$207,0))*$K9</f>
        <v>56</v>
      </c>
      <c r="X9" s="126">
        <f>INDEX(关卡产出!D$8:D$207,MATCH(玩家节奏1!$N9,关卡产出!$B$8:$B$207,0))*$K9</f>
        <v>28</v>
      </c>
      <c r="Y9" s="126">
        <f>INDEX(关卡产出!E$8:E$207,MATCH(玩家节奏1!$N9,关卡产出!$B$8:$B$207,0))*$K9</f>
        <v>7</v>
      </c>
      <c r="Z9" s="144">
        <f>INDEX(关卡产出!F$8:F$207,MATCH(玩家节奏1!$N9,关卡产出!$B$8:$B$207,0))*$K9</f>
        <v>1050</v>
      </c>
      <c r="AA9" s="126">
        <f>SUM(W$7:W9)</f>
        <v>155</v>
      </c>
      <c r="AB9" s="126">
        <f>SUM(X$7:X9)</f>
        <v>69</v>
      </c>
      <c r="AC9" s="126">
        <f>SUM(Y$7:Y9)</f>
        <v>24</v>
      </c>
      <c r="AD9" s="126">
        <f>SUM(Z$7:Z9)</f>
        <v>3060</v>
      </c>
      <c r="AE9" s="126">
        <f>INDEX(图鉴!AQ:AQ,MATCH($N9,图鉴!$S:$S,0))*8</f>
        <v>40</v>
      </c>
      <c r="AF9" s="90">
        <f>INDEX(图鉴!AR:AR,MATCH($N9,图鉴!$S:$S,0))*8</f>
        <v>16</v>
      </c>
      <c r="AG9" s="90">
        <f>INDEX(图鉴!AS:AS,MATCH($N9,图鉴!$S:$S,0))*8</f>
        <v>0</v>
      </c>
      <c r="AH9" s="129">
        <f ca="1">INDEX(图鉴!AT:AT,MATCH($N9,图鉴!$S:$S,0))*8</f>
        <v>1056</v>
      </c>
      <c r="AI9" s="128">
        <f>SUM($AE$7:AE9)</f>
        <v>104</v>
      </c>
      <c r="AJ9" s="90">
        <f>SUM(AF$7:AF9)</f>
        <v>32</v>
      </c>
      <c r="AK9" s="90">
        <f>SUM(AG$7:AG9)</f>
        <v>0</v>
      </c>
      <c r="AL9" s="130">
        <f ca="1">SUM(AH$7:AH9)</f>
        <v>3040</v>
      </c>
      <c r="AM9" s="133">
        <f>IF(M9=0,0,INDEX(关卡产出!$AU$11:$AU$15,MATCH(玩家节奏1!N9,关卡产出!$AW$11:$AW$15,1))*M9)</f>
        <v>0</v>
      </c>
      <c r="AN9" s="126">
        <f>IF(L9=0,0,$L9*关卡产出!AU$21)</f>
        <v>0</v>
      </c>
      <c r="AO9" s="90">
        <f>IF(M9=0,0,$L9*关卡产出!AV$21)</f>
        <v>0</v>
      </c>
      <c r="AP9" s="129">
        <f>IF(N9=0,0,$L9*关卡产出!AW$21)</f>
        <v>0</v>
      </c>
      <c r="AQ9" s="138">
        <f>SUM(AN$7:AN9)</f>
        <v>0</v>
      </c>
      <c r="AR9" s="126">
        <f>SUM(AO$7:AO9)</f>
        <v>0</v>
      </c>
      <c r="AS9" s="129">
        <f>SUM(AP$7:AP9)</f>
        <v>0</v>
      </c>
      <c r="AT9" s="128">
        <v>500</v>
      </c>
      <c r="AU9" s="129">
        <v>100</v>
      </c>
      <c r="AV9" s="128">
        <f>SUM(AT$7:AT9)</f>
        <v>1500</v>
      </c>
      <c r="AW9" s="90">
        <f>SUM(AU$7:AU9)</f>
        <v>300</v>
      </c>
      <c r="AY9" s="128">
        <f t="shared" si="13"/>
        <v>900</v>
      </c>
      <c r="AZ9" s="90">
        <f t="shared" si="14"/>
        <v>0</v>
      </c>
      <c r="BA9" s="90">
        <f t="shared" si="15"/>
        <v>300</v>
      </c>
      <c r="BB9" s="90">
        <f t="shared" ref="BB9:BB72" ca="1" si="65">CL8</f>
        <v>0</v>
      </c>
      <c r="BC9" s="90">
        <f ca="1">SUM(AY9:BB9)</f>
        <v>1200</v>
      </c>
      <c r="BD9" s="90"/>
      <c r="BE9" s="90">
        <f t="shared" ca="1" si="17"/>
        <v>1200</v>
      </c>
      <c r="BF9" s="142">
        <f t="shared" ca="1" si="18"/>
        <v>0.75</v>
      </c>
      <c r="BG9" s="142">
        <f t="shared" ca="1" si="19"/>
        <v>0</v>
      </c>
      <c r="BH9" s="142">
        <f t="shared" ca="1" si="20"/>
        <v>0.25</v>
      </c>
      <c r="BI9" s="142">
        <f t="shared" ca="1" si="21"/>
        <v>0</v>
      </c>
      <c r="BJ9" s="143"/>
      <c r="BK9" s="128">
        <f ca="1">INDEX(商城宝箱!$L:$L,MATCH(BC9,商城宝箱!$N:$N,1))</f>
        <v>1</v>
      </c>
      <c r="BL9" s="90">
        <f ca="1">_xlfn.IFNA(INDEX(商城宝箱!T:T,MATCH(玩家节奏1!$BK9,商城宝箱!$L:$L,0)),0)+($BC9-INDEX(商城宝箱!$N:$N,MATCH(玩家节奏1!$BK9,商城宝箱!$L:$L,0)))/$BK$5*INDEX(商城宝箱!E$23:E$42,MATCH(玩家节奏1!$BK9+1,商城宝箱!$C$23:$C$42,0))</f>
        <v>3000</v>
      </c>
      <c r="BM9" s="90">
        <f ca="1">_xlfn.IFNA(INDEX(商城宝箱!U:U,MATCH(玩家节奏1!$BK9,商城宝箱!$L:$L,0)),0)+($BC9-INDEX(商城宝箱!$N:$N,MATCH(玩家节奏1!$BK9,商城宝箱!$L:$L,0)))/$BK$5*INDEX(商城宝箱!F$23:F$42,MATCH(玩家节奏1!$BK9+1,商城宝箱!$C$23:$C$42,0))</f>
        <v>297</v>
      </c>
      <c r="BN9" s="90">
        <f ca="1">_xlfn.IFNA(INDEX(商城宝箱!V:V,MATCH(玩家节奏1!$BK9,商城宝箱!$L:$L,0)),0)+($BC9-INDEX(商城宝箱!$N:$N,MATCH(玩家节奏1!$BK9,商城宝箱!$L:$L,0)))/$BK$5*INDEX(商城宝箱!G$23:G$42,MATCH(玩家节奏1!$BK9+1,商城宝箱!$C$23:$C$42,0))</f>
        <v>63</v>
      </c>
      <c r="BO9" s="90">
        <f ca="1">_xlfn.IFNA(INDEX(商城宝箱!W:W,MATCH(玩家节奏1!$BK9,商城宝箱!$L:$L,0)),0)+($BC9-INDEX(商城宝箱!$N:$N,MATCH(玩家节奏1!$BK9,商城宝箱!$L:$L,0)))/$BK$5*INDEX(商城宝箱!H$23:H$42,MATCH(玩家节奏1!$BK9+1,商城宝箱!$C$23:$C$42,0))</f>
        <v>0</v>
      </c>
      <c r="BQ9" s="128">
        <f t="shared" si="0"/>
        <v>16300</v>
      </c>
      <c r="BR9" s="90">
        <f t="shared" si="1"/>
        <v>3060</v>
      </c>
      <c r="BS9" s="90">
        <f t="shared" ca="1" si="2"/>
        <v>3040</v>
      </c>
      <c r="BT9" s="90">
        <f t="shared" si="3"/>
        <v>0</v>
      </c>
      <c r="BU9" s="90">
        <f t="shared" si="4"/>
        <v>0</v>
      </c>
      <c r="BV9" s="90">
        <f t="shared" si="5"/>
        <v>1500</v>
      </c>
      <c r="BW9" s="90">
        <f t="shared" ca="1" si="22"/>
        <v>3000</v>
      </c>
      <c r="BX9" s="90">
        <f t="shared" ca="1" si="23"/>
        <v>26900</v>
      </c>
      <c r="BY9" s="142">
        <f t="shared" ca="1" si="24"/>
        <v>0.60594795539033453</v>
      </c>
      <c r="BZ9" s="142">
        <f t="shared" ca="1" si="25"/>
        <v>0.1137546468401487</v>
      </c>
      <c r="CA9" s="142">
        <f t="shared" ca="1" si="26"/>
        <v>0.11301115241635688</v>
      </c>
      <c r="CB9" s="142">
        <f t="shared" ca="1" si="27"/>
        <v>0</v>
      </c>
      <c r="CC9" s="142">
        <f t="shared" ca="1" si="28"/>
        <v>0</v>
      </c>
      <c r="CD9" s="142">
        <f t="shared" ca="1" si="29"/>
        <v>5.5762081784386616E-2</v>
      </c>
      <c r="CE9" s="142">
        <f t="shared" ca="1" si="30"/>
        <v>0.11152416356877323</v>
      </c>
      <c r="CG9" s="128">
        <f t="shared" si="31"/>
        <v>9</v>
      </c>
      <c r="CH9" s="90">
        <f ca="1">INDEX(角色升级!$A:$A,MATCH(玩家节奏1!$BX9,角色升级!$J:$J,1))</f>
        <v>47</v>
      </c>
      <c r="CI9" s="90">
        <f ca="1">INDEX(角色升级!$O:$O,MATCH(玩家节奏1!$BX9,角色升级!$J:$J,1))</f>
        <v>387.81735999999995</v>
      </c>
      <c r="CJ9" s="90">
        <f>INDEX(关卡对比!$J:$J,MATCH(玩家节奏1!N9,关卡对比!$A:$A,0))</f>
        <v>450</v>
      </c>
      <c r="CK9" s="147">
        <f t="shared" ca="1" si="32"/>
        <v>1.1603400115972118</v>
      </c>
      <c r="CL9" s="128">
        <f ca="1">INDEX(角色升级!$P:$P,MATCH(玩家节奏1!$CH9,角色升级!$A:$A,0))</f>
        <v>50</v>
      </c>
      <c r="CM9" s="90">
        <f ca="1">INDEX(角色升级!Q:Q,MATCH(玩家节奏1!$CH9,角色升级!$A:$A,0))</f>
        <v>0</v>
      </c>
      <c r="CO9" s="128">
        <f t="shared" si="33"/>
        <v>174</v>
      </c>
      <c r="CP9" s="90">
        <f t="shared" si="34"/>
        <v>155</v>
      </c>
      <c r="CQ9" s="90">
        <f t="shared" si="35"/>
        <v>104</v>
      </c>
      <c r="CR9" s="90">
        <f t="shared" ca="1" si="36"/>
        <v>297</v>
      </c>
      <c r="CS9" s="90">
        <f t="shared" ca="1" si="37"/>
        <v>730</v>
      </c>
      <c r="CT9" s="142">
        <f t="shared" ca="1" si="38"/>
        <v>0.23835616438356164</v>
      </c>
      <c r="CU9" s="142">
        <f t="shared" ca="1" si="39"/>
        <v>0.21232876712328766</v>
      </c>
      <c r="CV9" s="142">
        <f t="shared" ca="1" si="40"/>
        <v>0.14246575342465753</v>
      </c>
      <c r="CW9" s="142">
        <f t="shared" ca="1" si="41"/>
        <v>0.40684931506849314</v>
      </c>
      <c r="CY9" s="128">
        <f t="shared" si="42"/>
        <v>88</v>
      </c>
      <c r="CZ9" s="90">
        <f t="shared" si="43"/>
        <v>69</v>
      </c>
      <c r="DA9" s="90">
        <f t="shared" si="44"/>
        <v>32</v>
      </c>
      <c r="DB9" s="90">
        <f t="shared" ref="DB9:DB71" ca="1" si="66">BN9</f>
        <v>63</v>
      </c>
      <c r="DC9" s="90">
        <f t="shared" ca="1" si="45"/>
        <v>252</v>
      </c>
      <c r="DD9" s="142">
        <f t="shared" ca="1" si="46"/>
        <v>0.34920634920634919</v>
      </c>
      <c r="DE9" s="142">
        <f t="shared" ca="1" si="47"/>
        <v>0.27380952380952384</v>
      </c>
      <c r="DF9" s="142">
        <f t="shared" ca="1" si="48"/>
        <v>0.12698412698412698</v>
      </c>
      <c r="DG9" s="142">
        <f t="shared" ca="1" si="49"/>
        <v>0.25</v>
      </c>
      <c r="DI9" s="128">
        <f t="shared" si="50"/>
        <v>13</v>
      </c>
      <c r="DJ9" s="90">
        <f t="shared" si="51"/>
        <v>24</v>
      </c>
      <c r="DK9" s="90">
        <f t="shared" si="52"/>
        <v>0</v>
      </c>
      <c r="DL9" s="90">
        <f t="shared" ca="1" si="53"/>
        <v>0</v>
      </c>
      <c r="DM9" s="90">
        <f t="shared" ca="1" si="54"/>
        <v>37</v>
      </c>
      <c r="DN9" s="142">
        <f t="shared" ca="1" si="55"/>
        <v>0.35135135135135137</v>
      </c>
      <c r="DO9" s="142">
        <f t="shared" ca="1" si="56"/>
        <v>0.64864864864864868</v>
      </c>
      <c r="DP9" s="142">
        <f t="shared" ca="1" si="57"/>
        <v>0</v>
      </c>
      <c r="DQ9" s="142">
        <f t="shared" ca="1" si="58"/>
        <v>0</v>
      </c>
      <c r="DS9" s="128">
        <f t="shared" ca="1" si="59"/>
        <v>730</v>
      </c>
      <c r="DT9" s="90">
        <f t="shared" ca="1" si="60"/>
        <v>252</v>
      </c>
      <c r="DU9" s="90">
        <f t="shared" ca="1" si="61"/>
        <v>37</v>
      </c>
      <c r="DV9" s="90">
        <f t="shared" si="62"/>
        <v>0</v>
      </c>
      <c r="DW9" s="90">
        <f ca="1">_xlfn.IFNA(INDEX(武器升级消耗!$H:$H,MATCH(玩家节奏1!DS9/玩家节奏1!DS$5,武器升级消耗!M:M,1)),0)</f>
        <v>5</v>
      </c>
      <c r="DX9" s="90">
        <f ca="1">_xlfn.IFNA(INDEX(武器升级消耗!$H:$H,MATCH(玩家节奏1!DT9/玩家节奏1!DT$5,武器升级消耗!N:N,1)),0)</f>
        <v>3</v>
      </c>
      <c r="DY9" s="90">
        <f ca="1">_xlfn.IFNA(INDEX(武器升级消耗!$H:$H,MATCH(玩家节奏1!DU9/玩家节奏1!DU$5,武器升级消耗!O:O,1)),0)</f>
        <v>1</v>
      </c>
      <c r="DZ9" s="90">
        <f>_xlfn.IFNA(INDEX(武器升级消耗!$H:$H,MATCH(玩家节奏1!DV9/玩家节奏1!DV$5,武器升级消耗!P:P,1)),0)</f>
        <v>0</v>
      </c>
      <c r="EA9" s="90">
        <f ca="1">_xlfn.IFNA(INDEX(武器升级消耗!$Q:$Q,MATCH(玩家节奏1!DW9,武器升级消耗!$H:$H,0))*2*EA$4,0)</f>
        <v>1.08</v>
      </c>
      <c r="EB9" s="90">
        <f ca="1">_xlfn.IFNA(INDEX(武器升级消耗!$Q:$Q,MATCH(玩家节奏1!DX9,武器升级消耗!$H:$H,0))*2*EB$4,0)</f>
        <v>1.0499999999999998</v>
      </c>
      <c r="EC9" s="90">
        <f ca="1">_xlfn.IFNA(INDEX(武器升级消耗!$Q:$Q,MATCH(玩家节奏1!DY9,武器升级消耗!$H:$H,0))*2*EC$4,1)</f>
        <v>1.1000000000000001</v>
      </c>
      <c r="ED9" s="90">
        <f>_xlfn.IFNA(INDEX(武器升级消耗!$Q:$Q,MATCH(玩家节奏1!DZ9,武器升级消耗!$H:$H,0))*2*ED$4,0)</f>
        <v>0</v>
      </c>
      <c r="EF9" s="128"/>
      <c r="EG9" s="90"/>
      <c r="EH9" s="90"/>
      <c r="EI9" s="90"/>
      <c r="EJ9" s="90"/>
      <c r="EK9" s="90"/>
      <c r="EL9" s="90"/>
      <c r="EM9" s="90"/>
      <c r="EO9" s="128"/>
      <c r="EP9" s="90"/>
      <c r="EQ9" s="90"/>
      <c r="ER9" s="90"/>
      <c r="ES9" s="90"/>
      <c r="ET9" s="90"/>
      <c r="EU9" s="90"/>
      <c r="EV9" s="90"/>
      <c r="EW9" s="90"/>
      <c r="EX9" s="90"/>
      <c r="EY9" s="90"/>
      <c r="EZ9" s="90"/>
      <c r="FA9" s="90"/>
      <c r="FB9" s="90"/>
      <c r="FD9" s="90">
        <f t="shared" ca="1" si="63"/>
        <v>1.1000000000000001</v>
      </c>
      <c r="FE9" s="90"/>
      <c r="FF9" s="90"/>
      <c r="FG9" s="90">
        <f t="shared" ca="1" si="64"/>
        <v>0</v>
      </c>
    </row>
    <row r="10" spans="1:163" x14ac:dyDescent="0.25">
      <c r="A10" s="123">
        <v>4</v>
      </c>
      <c r="B10" s="123"/>
      <c r="C10" s="124"/>
      <c r="D10" s="125">
        <f>A10*E10+B10*E10+C10*E10-4.5</f>
        <v>7.5</v>
      </c>
      <c r="E10" s="125">
        <v>3</v>
      </c>
      <c r="F10" s="128">
        <v>7</v>
      </c>
      <c r="G10" s="90">
        <v>0</v>
      </c>
      <c r="H10" s="90">
        <v>0</v>
      </c>
      <c r="J10" s="128">
        <v>4</v>
      </c>
      <c r="K10" s="90">
        <f t="shared" si="10"/>
        <v>7</v>
      </c>
      <c r="L10" s="90">
        <f t="shared" si="11"/>
        <v>0</v>
      </c>
      <c r="M10" s="90">
        <f t="shared" si="12"/>
        <v>0</v>
      </c>
      <c r="N10" s="140">
        <f>INDEX($A:$A,MATCH(SUM($K$7:K10),$D:$D,1))</f>
        <v>10</v>
      </c>
      <c r="O10" s="140">
        <v>0</v>
      </c>
      <c r="P10" s="141">
        <v>0</v>
      </c>
      <c r="Q10" s="126">
        <f>_xlfn.MAXIFS(关卡产出!X:X,关卡产出!$A:$A,玩家节奏1!$N$6,关卡产出!$B:$B,玩家节奏1!$N10)+_xlfn.MAXIFS(关卡产出!X:X,关卡产出!$A:$A,玩家节奏1!$O$6,关卡产出!$B:$B,玩家节奏1!$O10)+_xlfn.MAXIFS(关卡产出!X:X,关卡产出!$A:$A,玩家节奏1!$P$6,关卡产出!$B:$B,玩家节奏1!$P10)</f>
        <v>1000</v>
      </c>
      <c r="R10" s="90">
        <f>_xlfn.MAXIFS(关卡产出!Y:Y,关卡产出!$A:$A,玩家节奏1!$N$6,关卡产出!$B:$B,玩家节奏1!$N10)+_xlfn.MAXIFS(关卡产出!Y:Y,关卡产出!$A:$A,玩家节奏1!$O$6,关卡产出!$B:$B,玩家节奏1!$O10)+_xlfn.MAXIFS(关卡产出!Y:Y,关卡产出!$A:$A,玩家节奏1!$P$6,关卡产出!$B:$B,玩家节奏1!$P10)</f>
        <v>20000</v>
      </c>
      <c r="S10" s="90">
        <f>_xlfn.MAXIFS(关卡产出!Z:Z,关卡产出!$A:$A,玩家节奏1!$N$6,关卡产出!$B:$B,玩家节奏1!$N10)+_xlfn.MAXIFS(关卡产出!Z:Z,关卡产出!$A:$A,玩家节奏1!$O$6,关卡产出!$B:$B,玩家节奏1!$O10)+_xlfn.MAXIFS(关卡产出!Z:Z,关卡产出!$A:$A,玩家节奏1!$P$6,关卡产出!$B:$B,玩家节奏1!$P10)</f>
        <v>206</v>
      </c>
      <c r="T10" s="90">
        <f>_xlfn.MAXIFS(关卡产出!AA:AA,关卡产出!$A:$A,玩家节奏1!$N$6,关卡产出!$B:$B,玩家节奏1!$N10)+_xlfn.MAXIFS(关卡产出!AA:AA,关卡产出!$A:$A,玩家节奏1!$O$6,关卡产出!$B:$B,玩家节奏1!$O10)+_xlfn.MAXIFS(关卡产出!AA:AA,关卡产出!$A:$A,玩家节奏1!$P$6,关卡产出!$B:$B,玩家节奏1!$P10)</f>
        <v>104</v>
      </c>
      <c r="U10" s="90">
        <f>_xlfn.MAXIFS(关卡产出!AB:AB,关卡产出!$A:$A,玩家节奏1!$N$6,关卡产出!$B:$B,玩家节奏1!$N10)+_xlfn.MAXIFS(关卡产出!AB:AB,关卡产出!$A:$A,玩家节奏1!$O$6,关卡产出!$B:$B,玩家节奏1!$O10)+_xlfn.MAXIFS(关卡产出!AB:AB,关卡产出!$A:$A,玩家节奏1!$P$6,关卡产出!$B:$B,玩家节奏1!$P10)</f>
        <v>18</v>
      </c>
      <c r="V10" s="130">
        <f>_xlfn.MAXIFS(关卡产出!AC:AC,关卡产出!$A:$A,玩家节奏1!$N$6,关卡产出!$B:$B,玩家节奏1!$N10)+_xlfn.MAXIFS(关卡产出!AC:AC,关卡产出!$A:$A,玩家节奏1!$O$6,关卡产出!$B:$B,玩家节奏1!$O10)+_xlfn.MAXIFS(关卡产出!AC:AC,关卡产出!$A:$A,玩家节奏1!$P$6,关卡产出!$B:$B,玩家节奏1!$P10)</f>
        <v>60</v>
      </c>
      <c r="W10" s="126">
        <f>INDEX(关卡产出!C$8:C$207,MATCH(玩家节奏1!$N10,关卡产出!$B$8:$B$207,0))*$K10</f>
        <v>56</v>
      </c>
      <c r="X10" s="126">
        <f>INDEX(关卡产出!D$8:D$207,MATCH(玩家节奏1!$N10,关卡产出!$B$8:$B$207,0))*$K10</f>
        <v>28</v>
      </c>
      <c r="Y10" s="126">
        <f>INDEX(关卡产出!E$8:E$207,MATCH(玩家节奏1!$N10,关卡产出!$B$8:$B$207,0))*$K10</f>
        <v>7</v>
      </c>
      <c r="Z10" s="144">
        <f>INDEX(关卡产出!F$8:F$207,MATCH(玩家节奏1!$N10,关卡产出!$B$8:$B$207,0))*$K10</f>
        <v>1050</v>
      </c>
      <c r="AA10" s="126">
        <f>SUM(W$7:W10)</f>
        <v>211</v>
      </c>
      <c r="AB10" s="126">
        <f>SUM(X$7:X10)</f>
        <v>97</v>
      </c>
      <c r="AC10" s="126">
        <f>SUM(Y$7:Y10)</f>
        <v>31</v>
      </c>
      <c r="AD10" s="126">
        <f>SUM(Z$7:Z10)</f>
        <v>4110</v>
      </c>
      <c r="AE10" s="126">
        <f>INDEX(图鉴!AQ:AQ,MATCH($N10,图鉴!$S:$S,0))*8</f>
        <v>72</v>
      </c>
      <c r="AF10" s="90">
        <f>INDEX(图鉴!AR:AR,MATCH($N10,图鉴!$S:$S,0))*8</f>
        <v>24</v>
      </c>
      <c r="AG10" s="90">
        <f>INDEX(图鉴!AS:AS,MATCH($N10,图鉴!$S:$S,0))*8</f>
        <v>0</v>
      </c>
      <c r="AH10" s="129">
        <f ca="1">INDEX(图鉴!AT:AT,MATCH($N10,图鉴!$S:$S,0))*8</f>
        <v>2048</v>
      </c>
      <c r="AI10" s="128">
        <f>SUM($AE$7:AE10)</f>
        <v>176</v>
      </c>
      <c r="AJ10" s="90">
        <f>SUM(AF$7:AF10)</f>
        <v>56</v>
      </c>
      <c r="AK10" s="90">
        <f>SUM(AG$7:AG10)</f>
        <v>0</v>
      </c>
      <c r="AL10" s="130">
        <f ca="1">SUM(AH$7:AH10)</f>
        <v>5088</v>
      </c>
      <c r="AM10" s="133">
        <f>IF(M10=0,0,INDEX(关卡产出!$AU$11:$AU$15,MATCH(玩家节奏1!N10,关卡产出!$AW$11:$AW$15,1))*M10)</f>
        <v>0</v>
      </c>
      <c r="AN10" s="126">
        <f>IF(L10=0,0,$L10*关卡产出!AU$21)</f>
        <v>0</v>
      </c>
      <c r="AO10" s="90">
        <f>IF(M10=0,0,$L10*关卡产出!AV$21)</f>
        <v>0</v>
      </c>
      <c r="AP10" s="129">
        <f>IF(N10=0,0,$L10*关卡产出!AW$21)</f>
        <v>0</v>
      </c>
      <c r="AQ10" s="138">
        <f>SUM(AN$7:AN10)</f>
        <v>0</v>
      </c>
      <c r="AR10" s="126">
        <f>SUM(AO$7:AO10)</f>
        <v>0</v>
      </c>
      <c r="AS10" s="129">
        <f>SUM(AP$7:AP10)</f>
        <v>0</v>
      </c>
      <c r="AT10" s="128">
        <v>500</v>
      </c>
      <c r="AU10" s="129">
        <v>100</v>
      </c>
      <c r="AV10" s="128">
        <f>SUM(AT$7:AT10)</f>
        <v>2000</v>
      </c>
      <c r="AW10" s="90">
        <f>SUM(AU$7:AU10)</f>
        <v>400</v>
      </c>
      <c r="AY10" s="128">
        <f t="shared" si="13"/>
        <v>1000</v>
      </c>
      <c r="AZ10" s="90">
        <f t="shared" si="14"/>
        <v>0</v>
      </c>
      <c r="BA10" s="90">
        <f t="shared" si="15"/>
        <v>400</v>
      </c>
      <c r="BB10" s="90">
        <f t="shared" ca="1" si="65"/>
        <v>50</v>
      </c>
      <c r="BC10" s="90">
        <f ca="1">BE10-BD10</f>
        <v>1450</v>
      </c>
      <c r="BD10" s="90"/>
      <c r="BE10" s="90">
        <f t="shared" ca="1" si="17"/>
        <v>1450</v>
      </c>
      <c r="BF10" s="142">
        <f t="shared" ca="1" si="18"/>
        <v>0.68965517241379315</v>
      </c>
      <c r="BG10" s="142">
        <f t="shared" ca="1" si="19"/>
        <v>0</v>
      </c>
      <c r="BH10" s="142">
        <f t="shared" ca="1" si="20"/>
        <v>0.27586206896551724</v>
      </c>
      <c r="BI10" s="142">
        <f t="shared" ca="1" si="21"/>
        <v>3.4482758620689655E-2</v>
      </c>
      <c r="BJ10" s="143"/>
      <c r="BK10" s="128">
        <f ca="1">INDEX(商城宝箱!$L:$L,MATCH(BC10,商城宝箱!$N:$N,1))</f>
        <v>1</v>
      </c>
      <c r="BL10" s="90">
        <f ca="1">_xlfn.IFNA(INDEX(商城宝箱!T:T,MATCH(玩家节奏1!$BK10,商城宝箱!$L:$L,0)),0)+($BC10-INDEX(商城宝箱!$N:$N,MATCH(玩家节奏1!$BK10,商城宝箱!$L:$L,0)))/$BK$5*INDEX(商城宝箱!E$23:E$42,MATCH(玩家节奏1!$BK10+1,商城宝箱!$C$23:$C$42,0))</f>
        <v>3625</v>
      </c>
      <c r="BM10" s="90">
        <f ca="1">_xlfn.IFNA(INDEX(商城宝箱!U:U,MATCH(玩家节奏1!$BK10,商城宝箱!$L:$L,0)),0)+($BC10-INDEX(商城宝箱!$N:$N,MATCH(玩家节奏1!$BK10,商城宝箱!$L:$L,0)))/$BK$5*INDEX(商城宝箱!F$23:F$42,MATCH(玩家节奏1!$BK10+1,商城宝箱!$C$23:$C$42,0))</f>
        <v>362</v>
      </c>
      <c r="BN10" s="90">
        <f ca="1">_xlfn.IFNA(INDEX(商城宝箱!V:V,MATCH(玩家节奏1!$BK10,商城宝箱!$L:$L,0)),0)+($BC10-INDEX(商城宝箱!$N:$N,MATCH(玩家节奏1!$BK10,商城宝箱!$L:$L,0)))/$BK$5*INDEX(商城宝箱!G$23:G$42,MATCH(玩家节奏1!$BK10+1,商城宝箱!$C$23:$C$42,0))</f>
        <v>78</v>
      </c>
      <c r="BO10" s="90">
        <f ca="1">_xlfn.IFNA(INDEX(商城宝箱!W:W,MATCH(玩家节奏1!$BK10,商城宝箱!$L:$L,0)),0)+($BC10-INDEX(商城宝箱!$N:$N,MATCH(玩家节奏1!$BK10,商城宝箱!$L:$L,0)))/$BK$5*INDEX(商城宝箱!H$23:H$42,MATCH(玩家节奏1!$BK10+1,商城宝箱!$C$23:$C$42,0))</f>
        <v>0</v>
      </c>
      <c r="BQ10" s="128">
        <f t="shared" si="0"/>
        <v>20000</v>
      </c>
      <c r="BR10" s="90">
        <f t="shared" si="1"/>
        <v>4110</v>
      </c>
      <c r="BS10" s="90">
        <f t="shared" ca="1" si="2"/>
        <v>5088</v>
      </c>
      <c r="BT10" s="90">
        <f t="shared" si="3"/>
        <v>0</v>
      </c>
      <c r="BU10" s="90">
        <f t="shared" si="4"/>
        <v>0</v>
      </c>
      <c r="BV10" s="90">
        <f t="shared" si="5"/>
        <v>2000</v>
      </c>
      <c r="BW10" s="90">
        <f t="shared" ca="1" si="22"/>
        <v>3625</v>
      </c>
      <c r="BX10" s="90">
        <f t="shared" ca="1" si="23"/>
        <v>34823</v>
      </c>
      <c r="BY10" s="142">
        <f t="shared" ca="1" si="24"/>
        <v>0.57433305573902305</v>
      </c>
      <c r="BZ10" s="142">
        <f t="shared" ca="1" si="25"/>
        <v>0.11802544295436924</v>
      </c>
      <c r="CA10" s="142">
        <f t="shared" ca="1" si="26"/>
        <v>0.14611032938000745</v>
      </c>
      <c r="CB10" s="142">
        <f t="shared" ca="1" si="27"/>
        <v>0</v>
      </c>
      <c r="CC10" s="142">
        <f t="shared" ca="1" si="28"/>
        <v>0</v>
      </c>
      <c r="CD10" s="142">
        <f t="shared" ca="1" si="29"/>
        <v>5.7433305573902305E-2</v>
      </c>
      <c r="CE10" s="142">
        <f t="shared" ca="1" si="30"/>
        <v>0.10409786635269792</v>
      </c>
      <c r="CG10" s="128">
        <f t="shared" si="31"/>
        <v>10</v>
      </c>
      <c r="CH10" s="90">
        <f ca="1">INDEX(角色升级!$A:$A,MATCH(玩家节奏1!$BX10,角色升级!$J:$J,1))</f>
        <v>61</v>
      </c>
      <c r="CI10" s="90">
        <f ca="1">INDEX(角色升级!$O:$O,MATCH(玩家节奏1!$BX10,角色升级!$J:$J,1))</f>
        <v>411.47219999999999</v>
      </c>
      <c r="CJ10" s="90">
        <f>INDEX(关卡对比!$J:$J,MATCH(玩家节奏1!N10,关卡对比!$A:$A,0))</f>
        <v>500</v>
      </c>
      <c r="CK10" s="147">
        <f t="shared" ca="1" si="32"/>
        <v>1.2151489213609086</v>
      </c>
      <c r="CL10" s="128">
        <f ca="1">INDEX(角色升级!$P:$P,MATCH(玩家节奏1!$CH10,角色升级!$A:$A,0))</f>
        <v>50</v>
      </c>
      <c r="CM10" s="90">
        <f ca="1">INDEX(角色升级!Q:Q,MATCH(玩家节奏1!$CH10,角色升级!$A:$A,0))</f>
        <v>0</v>
      </c>
      <c r="CO10" s="128">
        <f t="shared" si="33"/>
        <v>206</v>
      </c>
      <c r="CP10" s="90">
        <f t="shared" si="34"/>
        <v>211</v>
      </c>
      <c r="CQ10" s="90">
        <f t="shared" si="35"/>
        <v>176</v>
      </c>
      <c r="CR10" s="90">
        <f t="shared" ca="1" si="36"/>
        <v>362</v>
      </c>
      <c r="CS10" s="90">
        <f t="shared" ca="1" si="37"/>
        <v>955</v>
      </c>
      <c r="CT10" s="142">
        <f t="shared" ca="1" si="38"/>
        <v>0.21570680628272251</v>
      </c>
      <c r="CU10" s="142">
        <f t="shared" ca="1" si="39"/>
        <v>0.22094240837696336</v>
      </c>
      <c r="CV10" s="142">
        <f t="shared" ca="1" si="40"/>
        <v>0.18429319371727748</v>
      </c>
      <c r="CW10" s="142">
        <f t="shared" ca="1" si="41"/>
        <v>0.37905759162303665</v>
      </c>
      <c r="CY10" s="128">
        <f t="shared" si="42"/>
        <v>104</v>
      </c>
      <c r="CZ10" s="90">
        <f t="shared" si="43"/>
        <v>97</v>
      </c>
      <c r="DA10" s="90">
        <f t="shared" si="44"/>
        <v>56</v>
      </c>
      <c r="DB10" s="90">
        <f t="shared" ca="1" si="66"/>
        <v>78</v>
      </c>
      <c r="DC10" s="90">
        <f t="shared" ca="1" si="45"/>
        <v>335</v>
      </c>
      <c r="DD10" s="142">
        <f t="shared" ca="1" si="46"/>
        <v>0.31044776119402984</v>
      </c>
      <c r="DE10" s="142">
        <f t="shared" ca="1" si="47"/>
        <v>0.28955223880597014</v>
      </c>
      <c r="DF10" s="142">
        <f t="shared" ca="1" si="48"/>
        <v>0.16716417910447762</v>
      </c>
      <c r="DG10" s="142">
        <f t="shared" ca="1" si="49"/>
        <v>0.23283582089552238</v>
      </c>
      <c r="DI10" s="128">
        <f t="shared" si="50"/>
        <v>18</v>
      </c>
      <c r="DJ10" s="90">
        <f t="shared" si="51"/>
        <v>31</v>
      </c>
      <c r="DK10" s="90">
        <f t="shared" si="52"/>
        <v>0</v>
      </c>
      <c r="DL10" s="90">
        <f t="shared" ca="1" si="53"/>
        <v>0</v>
      </c>
      <c r="DM10" s="90">
        <f t="shared" ca="1" si="54"/>
        <v>49</v>
      </c>
      <c r="DN10" s="142">
        <f t="shared" ca="1" si="55"/>
        <v>0.36734693877551022</v>
      </c>
      <c r="DO10" s="142">
        <f t="shared" ca="1" si="56"/>
        <v>0.63265306122448983</v>
      </c>
      <c r="DP10" s="142">
        <f t="shared" ca="1" si="57"/>
        <v>0</v>
      </c>
      <c r="DQ10" s="142">
        <f t="shared" ca="1" si="58"/>
        <v>0</v>
      </c>
      <c r="DS10" s="128">
        <f t="shared" ca="1" si="59"/>
        <v>955</v>
      </c>
      <c r="DT10" s="90">
        <f t="shared" ca="1" si="60"/>
        <v>335</v>
      </c>
      <c r="DU10" s="90">
        <f t="shared" ca="1" si="61"/>
        <v>49</v>
      </c>
      <c r="DV10" s="90">
        <f t="shared" si="62"/>
        <v>0</v>
      </c>
      <c r="DW10" s="90">
        <f ca="1">_xlfn.IFNA(INDEX(武器升级消耗!$H:$H,MATCH(玩家节奏1!DS10/玩家节奏1!DS$5,武器升级消耗!M:M,1)),0)</f>
        <v>5</v>
      </c>
      <c r="DX10" s="90">
        <f ca="1">_xlfn.IFNA(INDEX(武器升级消耗!$H:$H,MATCH(玩家节奏1!DT10/玩家节奏1!DT$5,武器升级消耗!N:N,1)),0)</f>
        <v>3</v>
      </c>
      <c r="DY10" s="90">
        <f ca="1">_xlfn.IFNA(INDEX(武器升级消耗!$H:$H,MATCH(玩家节奏1!DU10/玩家节奏1!DU$5,武器升级消耗!O:O,1)),0)</f>
        <v>1</v>
      </c>
      <c r="DZ10" s="90">
        <f>_xlfn.IFNA(INDEX(武器升级消耗!$H:$H,MATCH(玩家节奏1!DV10/玩家节奏1!DV$5,武器升级消耗!P:P,1)),0)</f>
        <v>0</v>
      </c>
      <c r="EA10" s="90">
        <f ca="1">_xlfn.IFNA(INDEX(武器升级消耗!$Q:$Q,MATCH(玩家节奏1!DW10,武器升级消耗!$H:$H,0))*2*EA$4,0)</f>
        <v>1.08</v>
      </c>
      <c r="EB10" s="90">
        <f ca="1">_xlfn.IFNA(INDEX(武器升级消耗!$Q:$Q,MATCH(玩家节奏1!DX10,武器升级消耗!$H:$H,0))*2*EB$4,0)</f>
        <v>1.0499999999999998</v>
      </c>
      <c r="EC10" s="90">
        <f ca="1">_xlfn.IFNA(INDEX(武器升级消耗!$Q:$Q,MATCH(玩家节奏1!DY10,武器升级消耗!$H:$H,0))*2*EC$4,1)</f>
        <v>1.1000000000000001</v>
      </c>
      <c r="ED10" s="90">
        <f>_xlfn.IFNA(INDEX(武器升级消耗!$Q:$Q,MATCH(玩家节奏1!DZ10,武器升级消耗!$H:$H,0))*2*ED$4,0)</f>
        <v>0</v>
      </c>
      <c r="EF10" s="128"/>
      <c r="EG10" s="90"/>
      <c r="EH10" s="90"/>
      <c r="EI10" s="90"/>
      <c r="EJ10" s="90"/>
      <c r="EK10" s="90"/>
      <c r="EL10" s="90"/>
      <c r="EM10" s="90"/>
      <c r="EO10" s="128"/>
      <c r="EP10" s="90"/>
      <c r="EQ10" s="90"/>
      <c r="ER10" s="90"/>
      <c r="ES10" s="90"/>
      <c r="ET10" s="90"/>
      <c r="EU10" s="90"/>
      <c r="EV10" s="90"/>
      <c r="EW10" s="90"/>
      <c r="EX10" s="90"/>
      <c r="EY10" s="90"/>
      <c r="EZ10" s="90"/>
      <c r="FA10" s="90"/>
      <c r="FB10" s="90"/>
      <c r="FD10" s="90">
        <f t="shared" ca="1" si="63"/>
        <v>1.1000000000000001</v>
      </c>
      <c r="FE10" s="90"/>
      <c r="FF10" s="90"/>
      <c r="FG10" s="90">
        <f t="shared" ca="1" si="64"/>
        <v>0</v>
      </c>
    </row>
    <row r="11" spans="1:163" x14ac:dyDescent="0.25">
      <c r="A11" s="123">
        <v>5</v>
      </c>
      <c r="B11" s="123"/>
      <c r="C11" s="124"/>
      <c r="D11" s="125">
        <f t="shared" ref="D11:D15" si="67">A11*E11+B11*E11+C11*E11-4.5</f>
        <v>10.5</v>
      </c>
      <c r="E11" s="125">
        <v>3</v>
      </c>
      <c r="F11" s="128">
        <v>7</v>
      </c>
      <c r="G11" s="90">
        <v>0</v>
      </c>
      <c r="H11" s="90">
        <v>0</v>
      </c>
      <c r="J11" s="128">
        <v>5</v>
      </c>
      <c r="K11" s="90">
        <f t="shared" si="10"/>
        <v>6</v>
      </c>
      <c r="L11" s="90">
        <f t="shared" si="11"/>
        <v>0</v>
      </c>
      <c r="M11" s="90">
        <f t="shared" si="12"/>
        <v>1</v>
      </c>
      <c r="N11" s="140">
        <f>INDEX($A:$A,MATCH(SUM($K$7:K11),$D:$D,1))</f>
        <v>11</v>
      </c>
      <c r="O11" s="140">
        <v>0</v>
      </c>
      <c r="P11" s="141">
        <v>0</v>
      </c>
      <c r="Q11" s="126">
        <f>_xlfn.MAXIFS(关卡产出!X:X,关卡产出!$A:$A,玩家节奏1!$N$6,关卡产出!$B:$B,玩家节奏1!$N11)+_xlfn.MAXIFS(关卡产出!X:X,关卡产出!$A:$A,玩家节奏1!$O$6,关卡产出!$B:$B,玩家节奏1!$O11)+_xlfn.MAXIFS(关卡产出!X:X,关卡产出!$A:$A,玩家节奏1!$P$6,关卡产出!$B:$B,玩家节奏1!$P11)</f>
        <v>1150</v>
      </c>
      <c r="R11" s="90">
        <f>_xlfn.MAXIFS(关卡产出!Y:Y,关卡产出!$A:$A,玩家节奏1!$N$6,关卡产出!$B:$B,玩家节奏1!$N11)+_xlfn.MAXIFS(关卡产出!Y:Y,关卡产出!$A:$A,玩家节奏1!$O$6,关卡产出!$B:$B,玩家节奏1!$O11)+_xlfn.MAXIFS(关卡产出!Y:Y,关卡产出!$A:$A,玩家节奏1!$P$6,关卡产出!$B:$B,玩家节奏1!$P11)</f>
        <v>24300</v>
      </c>
      <c r="S11" s="90">
        <f>_xlfn.MAXIFS(关卡产出!Z:Z,关卡产出!$A:$A,玩家节奏1!$N$6,关卡产出!$B:$B,玩家节奏1!$N11)+_xlfn.MAXIFS(关卡产出!Z:Z,关卡产出!$A:$A,玩家节奏1!$O$6,关卡产出!$B:$B,玩家节奏1!$O11)+_xlfn.MAXIFS(关卡产出!Z:Z,关卡产出!$A:$A,玩家节奏1!$P$6,关卡产出!$B:$B,玩家节奏1!$P11)</f>
        <v>242</v>
      </c>
      <c r="T11" s="90">
        <f>_xlfn.MAXIFS(关卡产出!AA:AA,关卡产出!$A:$A,玩家节奏1!$N$6,关卡产出!$B:$B,玩家节奏1!$N11)+_xlfn.MAXIFS(关卡产出!AA:AA,关卡产出!$A:$A,玩家节奏1!$O$6,关卡产出!$B:$B,玩家节奏1!$O11)+_xlfn.MAXIFS(关卡产出!AA:AA,关卡产出!$A:$A,玩家节奏1!$P$6,关卡产出!$B:$B,玩家节奏1!$P11)</f>
        <v>122</v>
      </c>
      <c r="U11" s="90">
        <f>_xlfn.MAXIFS(关卡产出!AB:AB,关卡产出!$A:$A,玩家节奏1!$N$6,关卡产出!$B:$B,玩家节奏1!$N11)+_xlfn.MAXIFS(关卡产出!AB:AB,关卡产出!$A:$A,玩家节奏1!$O$6,关卡产出!$B:$B,玩家节奏1!$O11)+_xlfn.MAXIFS(关卡产出!AB:AB,关卡产出!$A:$A,玩家节奏1!$P$6,关卡产出!$B:$B,玩家节奏1!$P11)</f>
        <v>24</v>
      </c>
      <c r="V11" s="130">
        <f>_xlfn.MAXIFS(关卡产出!AC:AC,关卡产出!$A:$A,玩家节奏1!$N$6,关卡产出!$B:$B,玩家节奏1!$N11)+_xlfn.MAXIFS(关卡产出!AC:AC,关卡产出!$A:$A,玩家节奏1!$O$6,关卡产出!$B:$B,玩家节奏1!$O11)+_xlfn.MAXIFS(关卡产出!AC:AC,关卡产出!$A:$A,玩家节奏1!$P$6,关卡产出!$B:$B,玩家节奏1!$P11)</f>
        <v>66</v>
      </c>
      <c r="W11" s="126">
        <f>INDEX(关卡产出!C$8:C$207,MATCH(玩家节奏1!$N11,关卡产出!$B$8:$B$207,0))*$K11</f>
        <v>54</v>
      </c>
      <c r="X11" s="126">
        <f>INDEX(关卡产出!D$8:D$207,MATCH(玩家节奏1!$N11,关卡产出!$B$8:$B$207,0))*$K11</f>
        <v>24</v>
      </c>
      <c r="Y11" s="126">
        <f>INDEX(关卡产出!E$8:E$207,MATCH(玩家节奏1!$N11,关卡产出!$B$8:$B$207,0))*$K11</f>
        <v>6</v>
      </c>
      <c r="Z11" s="144">
        <f>INDEX(关卡产出!F$8:F$207,MATCH(玩家节奏1!$N11,关卡产出!$B$8:$B$207,0))*$K11</f>
        <v>1020</v>
      </c>
      <c r="AA11" s="126">
        <f>SUM(W$7:W11)</f>
        <v>265</v>
      </c>
      <c r="AB11" s="126">
        <f>SUM(X$7:X11)</f>
        <v>121</v>
      </c>
      <c r="AC11" s="126">
        <f>SUM(Y$7:Y11)</f>
        <v>37</v>
      </c>
      <c r="AD11" s="126">
        <f>SUM(Z$7:Z11)</f>
        <v>5130</v>
      </c>
      <c r="AE11" s="126">
        <f>INDEX(图鉴!AQ:AQ,MATCH($N11,图鉴!$S:$S,0))*8</f>
        <v>72</v>
      </c>
      <c r="AF11" s="90">
        <f>INDEX(图鉴!AR:AR,MATCH($N11,图鉴!$S:$S,0))*8</f>
        <v>24</v>
      </c>
      <c r="AG11" s="90">
        <f>INDEX(图鉴!AS:AS,MATCH($N11,图鉴!$S:$S,0))*8</f>
        <v>0</v>
      </c>
      <c r="AH11" s="129">
        <f ca="1">INDEX(图鉴!AT:AT,MATCH($N11,图鉴!$S:$S,0))*8</f>
        <v>2128</v>
      </c>
      <c r="AI11" s="128">
        <f>SUM($AE$7:AE11)</f>
        <v>248</v>
      </c>
      <c r="AJ11" s="90">
        <f>SUM(AF$7:AF11)</f>
        <v>80</v>
      </c>
      <c r="AK11" s="90">
        <f>SUM(AG$7:AG11)</f>
        <v>0</v>
      </c>
      <c r="AL11" s="130">
        <f ca="1">SUM(AH$7:AH11)</f>
        <v>7216</v>
      </c>
      <c r="AM11" s="133">
        <f>IF(M11=0,0,INDEX(关卡产出!$AU$11:$AU$15,MATCH(玩家节奏1!N11,关卡产出!$AW$11:$AW$15,1))*M11)</f>
        <v>2400</v>
      </c>
      <c r="AN11" s="126">
        <f>IF(L11=0,0,$L11*关卡产出!AU$21)</f>
        <v>0</v>
      </c>
      <c r="AO11" s="90">
        <f>IF(M11=0,0,$L11*关卡产出!AV$21)</f>
        <v>0</v>
      </c>
      <c r="AP11" s="129">
        <f>IF(N11=0,0,$L11*关卡产出!AW$21)</f>
        <v>0</v>
      </c>
      <c r="AQ11" s="138">
        <f>SUM(AN$7:AN11)</f>
        <v>0</v>
      </c>
      <c r="AR11" s="126">
        <f>SUM(AO$7:AO11)</f>
        <v>0</v>
      </c>
      <c r="AS11" s="129">
        <f>SUM(AP$7:AP11)</f>
        <v>0</v>
      </c>
      <c r="AT11" s="128">
        <v>500</v>
      </c>
      <c r="AU11" s="129">
        <v>100</v>
      </c>
      <c r="AV11" s="128">
        <f>SUM(AT$7:AT11)</f>
        <v>2500</v>
      </c>
      <c r="AW11" s="90">
        <f>SUM(AU$7:AU11)</f>
        <v>500</v>
      </c>
      <c r="AY11" s="128">
        <f t="shared" si="13"/>
        <v>1150</v>
      </c>
      <c r="AZ11" s="90">
        <f t="shared" si="14"/>
        <v>0</v>
      </c>
      <c r="BA11" s="90">
        <f t="shared" si="15"/>
        <v>500</v>
      </c>
      <c r="BB11" s="90">
        <f t="shared" ca="1" si="65"/>
        <v>50</v>
      </c>
      <c r="BC11" s="90">
        <f t="shared" ref="BC11:BC74" ca="1" si="68">BE11-BD11</f>
        <v>1700</v>
      </c>
      <c r="BD11" s="90"/>
      <c r="BE11" s="90">
        <f ca="1">SUM(AY11:BB11)</f>
        <v>1700</v>
      </c>
      <c r="BF11" s="142">
        <f t="shared" ca="1" si="18"/>
        <v>0.67647058823529416</v>
      </c>
      <c r="BG11" s="142">
        <f t="shared" ca="1" si="19"/>
        <v>0</v>
      </c>
      <c r="BH11" s="142">
        <f t="shared" ca="1" si="20"/>
        <v>0.29411764705882354</v>
      </c>
      <c r="BI11" s="142">
        <f t="shared" ca="1" si="21"/>
        <v>2.9411764705882353E-2</v>
      </c>
      <c r="BJ11" s="143"/>
      <c r="BK11" s="128">
        <f ca="1">INDEX(商城宝箱!$L:$L,MATCH(BC11,商城宝箱!$N:$N,1))</f>
        <v>2</v>
      </c>
      <c r="BL11" s="90">
        <f ca="1">_xlfn.IFNA(INDEX(商城宝箱!T:T,MATCH(玩家节奏1!$BK11,商城宝箱!$L:$L,0)),0)+($BC11-INDEX(商城宝箱!$N:$N,MATCH(玩家节奏1!$BK11,商城宝箱!$L:$L,0)))/$BK$5*INDEX(商城宝箱!E$23:E$42,MATCH(玩家节奏1!$BK11+1,商城宝箱!$C$23:$C$42,0))</f>
        <v>4250</v>
      </c>
      <c r="BM11" s="90">
        <f ca="1">_xlfn.IFNA(INDEX(商城宝箱!U:U,MATCH(玩家节奏1!$BK11,商城宝箱!$L:$L,0)),0)+($BC11-INDEX(商城宝箱!$N:$N,MATCH(玩家节奏1!$BK11,商城宝箱!$L:$L,0)))/$BK$5*INDEX(商城宝箱!F$23:F$42,MATCH(玩家节奏1!$BK11+1,商城宝箱!$C$23:$C$42,0))</f>
        <v>450</v>
      </c>
      <c r="BN11" s="90">
        <f ca="1">_xlfn.IFNA(INDEX(商城宝箱!V:V,MATCH(玩家节奏1!$BK11,商城宝箱!$L:$L,0)),0)+($BC11-INDEX(商城宝箱!$N:$N,MATCH(玩家节奏1!$BK11,商城宝箱!$L:$L,0)))/$BK$5*INDEX(商城宝箱!G$23:G$42,MATCH(玩家节奏1!$BK11+1,商城宝箱!$C$23:$C$42,0))</f>
        <v>103</v>
      </c>
      <c r="BO11" s="90">
        <f ca="1">_xlfn.IFNA(INDEX(商城宝箱!W:W,MATCH(玩家节奏1!$BK11,商城宝箱!$L:$L,0)),0)+($BC11-INDEX(商城宝箱!$N:$N,MATCH(玩家节奏1!$BK11,商城宝箱!$L:$L,0)))/$BK$5*INDEX(商城宝箱!H$23:H$42,MATCH(玩家节奏1!$BK11+1,商城宝箱!$C$23:$C$42,0))</f>
        <v>3</v>
      </c>
      <c r="BQ11" s="128">
        <f t="shared" si="0"/>
        <v>24300</v>
      </c>
      <c r="BR11" s="90">
        <f t="shared" si="1"/>
        <v>5130</v>
      </c>
      <c r="BS11" s="90">
        <f t="shared" ca="1" si="2"/>
        <v>7216</v>
      </c>
      <c r="BT11" s="90">
        <f t="shared" si="3"/>
        <v>2400</v>
      </c>
      <c r="BU11" s="90">
        <f t="shared" si="4"/>
        <v>0</v>
      </c>
      <c r="BV11" s="90">
        <f t="shared" si="5"/>
        <v>2500</v>
      </c>
      <c r="BW11" s="90">
        <f t="shared" ca="1" si="22"/>
        <v>4250</v>
      </c>
      <c r="BX11" s="90">
        <f t="shared" ca="1" si="23"/>
        <v>45796</v>
      </c>
      <c r="BY11" s="142">
        <f t="shared" ca="1" si="24"/>
        <v>0.53061402742597608</v>
      </c>
      <c r="BZ11" s="142">
        <f t="shared" ca="1" si="25"/>
        <v>0.11201851690103939</v>
      </c>
      <c r="CA11" s="142">
        <f t="shared" ca="1" si="26"/>
        <v>0.15756834658048738</v>
      </c>
      <c r="CB11" s="142">
        <f t="shared" ca="1" si="27"/>
        <v>5.2406323696392698E-2</v>
      </c>
      <c r="CC11" s="142">
        <f t="shared" ca="1" si="28"/>
        <v>0</v>
      </c>
      <c r="CD11" s="142">
        <f t="shared" ca="1" si="29"/>
        <v>5.458992051707573E-2</v>
      </c>
      <c r="CE11" s="142">
        <f t="shared" ca="1" si="30"/>
        <v>9.2802864879028737E-2</v>
      </c>
      <c r="CG11" s="128">
        <f t="shared" si="31"/>
        <v>11</v>
      </c>
      <c r="CH11" s="90">
        <f ca="1">INDEX(角色升级!$A:$A,MATCH(玩家节奏1!$BX11,角色升级!$J:$J,1))</f>
        <v>66</v>
      </c>
      <c r="CI11" s="90">
        <f ca="1">INDEX(角色升级!$O:$O,MATCH(玩家节奏1!$BX11,角色升级!$J:$J,1))</f>
        <v>565.77427499999999</v>
      </c>
      <c r="CJ11" s="90">
        <f>INDEX(关卡对比!$J:$J,MATCH(玩家节奏1!N11,关卡对比!$A:$A,0))</f>
        <v>600</v>
      </c>
      <c r="CK11" s="147">
        <f t="shared" ca="1" si="32"/>
        <v>1.0604936040967929</v>
      </c>
      <c r="CL11" s="128">
        <f ca="1">INDEX(角色升级!$P:$P,MATCH(玩家节奏1!$CH11,角色升级!$A:$A,0))</f>
        <v>50</v>
      </c>
      <c r="CM11" s="90">
        <f ca="1">INDEX(角色升级!Q:Q,MATCH(玩家节奏1!$CH11,角色升级!$A:$A,0))</f>
        <v>0</v>
      </c>
      <c r="CO11" s="128">
        <f t="shared" si="33"/>
        <v>242</v>
      </c>
      <c r="CP11" s="90">
        <f t="shared" si="34"/>
        <v>265</v>
      </c>
      <c r="CQ11" s="90">
        <f t="shared" si="35"/>
        <v>248</v>
      </c>
      <c r="CR11" s="90">
        <f t="shared" ca="1" si="36"/>
        <v>450</v>
      </c>
      <c r="CS11" s="90">
        <f t="shared" ca="1" si="37"/>
        <v>1205</v>
      </c>
      <c r="CT11" s="142">
        <f t="shared" ca="1" si="38"/>
        <v>0.20082987551867221</v>
      </c>
      <c r="CU11" s="142">
        <f t="shared" ca="1" si="39"/>
        <v>0.21991701244813278</v>
      </c>
      <c r="CV11" s="142">
        <f t="shared" ca="1" si="40"/>
        <v>0.20580912863070538</v>
      </c>
      <c r="CW11" s="142">
        <f t="shared" ca="1" si="41"/>
        <v>0.37344398340248963</v>
      </c>
      <c r="CY11" s="128">
        <f t="shared" si="42"/>
        <v>122</v>
      </c>
      <c r="CZ11" s="90">
        <f t="shared" si="43"/>
        <v>121</v>
      </c>
      <c r="DA11" s="90">
        <f t="shared" si="44"/>
        <v>80</v>
      </c>
      <c r="DB11" s="90">
        <f t="shared" ca="1" si="66"/>
        <v>103</v>
      </c>
      <c r="DC11" s="90">
        <f t="shared" ca="1" si="45"/>
        <v>426</v>
      </c>
      <c r="DD11" s="142">
        <f t="shared" ca="1" si="46"/>
        <v>0.28638497652582162</v>
      </c>
      <c r="DE11" s="142">
        <f t="shared" ca="1" si="47"/>
        <v>0.284037558685446</v>
      </c>
      <c r="DF11" s="142">
        <f t="shared" ca="1" si="48"/>
        <v>0.18779342723004694</v>
      </c>
      <c r="DG11" s="142">
        <f t="shared" ca="1" si="49"/>
        <v>0.24178403755868544</v>
      </c>
      <c r="DI11" s="128">
        <f t="shared" si="50"/>
        <v>24</v>
      </c>
      <c r="DJ11" s="90">
        <f t="shared" si="51"/>
        <v>37</v>
      </c>
      <c r="DK11" s="90">
        <f t="shared" si="52"/>
        <v>0</v>
      </c>
      <c r="DL11" s="90">
        <f t="shared" ca="1" si="53"/>
        <v>3</v>
      </c>
      <c r="DM11" s="90">
        <f t="shared" ca="1" si="54"/>
        <v>64</v>
      </c>
      <c r="DN11" s="142">
        <f t="shared" ca="1" si="55"/>
        <v>0.375</v>
      </c>
      <c r="DO11" s="142">
        <f t="shared" ca="1" si="56"/>
        <v>0.578125</v>
      </c>
      <c r="DP11" s="142">
        <f t="shared" ca="1" si="57"/>
        <v>0</v>
      </c>
      <c r="DQ11" s="142">
        <f t="shared" ca="1" si="58"/>
        <v>4.6875E-2</v>
      </c>
      <c r="DS11" s="128">
        <f t="shared" ca="1" si="59"/>
        <v>1205</v>
      </c>
      <c r="DT11" s="90">
        <f t="shared" ca="1" si="60"/>
        <v>426</v>
      </c>
      <c r="DU11" s="90">
        <f t="shared" ca="1" si="61"/>
        <v>64</v>
      </c>
      <c r="DV11" s="90">
        <f t="shared" si="62"/>
        <v>0</v>
      </c>
      <c r="DW11" s="90">
        <f ca="1">_xlfn.IFNA(INDEX(武器升级消耗!$H:$H,MATCH(玩家节奏1!DS11/玩家节奏1!DS$5,武器升级消耗!M:M,1)),0)</f>
        <v>5</v>
      </c>
      <c r="DX11" s="90">
        <f ca="1">_xlfn.IFNA(INDEX(武器升级消耗!$H:$H,MATCH(玩家节奏1!DT11/玩家节奏1!DT$5,武器升级消耗!N:N,1)),0)</f>
        <v>3</v>
      </c>
      <c r="DY11" s="90">
        <f ca="1">_xlfn.IFNA(INDEX(武器升级消耗!$H:$H,MATCH(玩家节奏1!DU11/玩家节奏1!DU$5,武器升级消耗!O:O,1)),0)</f>
        <v>1</v>
      </c>
      <c r="DZ11" s="90">
        <f>_xlfn.IFNA(INDEX(武器升级消耗!$H:$H,MATCH(玩家节奏1!DV11/玩家节奏1!DV$5,武器升级消耗!P:P,1)),0)</f>
        <v>0</v>
      </c>
      <c r="EA11" s="90">
        <f ca="1">_xlfn.IFNA(INDEX(武器升级消耗!$Q:$Q,MATCH(玩家节奏1!DW11,武器升级消耗!$H:$H,0))*2*EA$4,0)</f>
        <v>1.08</v>
      </c>
      <c r="EB11" s="90">
        <f ca="1">_xlfn.IFNA(INDEX(武器升级消耗!$Q:$Q,MATCH(玩家节奏1!DX11,武器升级消耗!$H:$H,0))*2*EB$4,0)</f>
        <v>1.0499999999999998</v>
      </c>
      <c r="EC11" s="90">
        <f ca="1">_xlfn.IFNA(INDEX(武器升级消耗!$Q:$Q,MATCH(玩家节奏1!DY11,武器升级消耗!$H:$H,0))*2*EC$4,1)</f>
        <v>1.1000000000000001</v>
      </c>
      <c r="ED11" s="90">
        <f>_xlfn.IFNA(INDEX(武器升级消耗!$Q:$Q,MATCH(玩家节奏1!DZ11,武器升级消耗!$H:$H,0))*2*ED$4,0)</f>
        <v>0</v>
      </c>
      <c r="EF11" s="128"/>
      <c r="EG11" s="90"/>
      <c r="EH11" s="90"/>
      <c r="EI11" s="90"/>
      <c r="EJ11" s="90"/>
      <c r="EK11" s="90"/>
      <c r="EL11" s="90"/>
      <c r="EM11" s="90"/>
      <c r="EO11" s="128"/>
      <c r="EP11" s="90"/>
      <c r="EQ11" s="90"/>
      <c r="ER11" s="90"/>
      <c r="ES11" s="90"/>
      <c r="ET11" s="90"/>
      <c r="EU11" s="90"/>
      <c r="EV11" s="90"/>
      <c r="EW11" s="90"/>
      <c r="EX11" s="90"/>
      <c r="EY11" s="90"/>
      <c r="EZ11" s="90"/>
      <c r="FA11" s="90"/>
      <c r="FB11" s="90"/>
      <c r="FD11" s="90">
        <f t="shared" ca="1" si="63"/>
        <v>1.1000000000000001</v>
      </c>
      <c r="FE11" s="90"/>
      <c r="FF11" s="90"/>
      <c r="FG11" s="90">
        <f t="shared" ca="1" si="64"/>
        <v>0</v>
      </c>
    </row>
    <row r="12" spans="1:163" x14ac:dyDescent="0.25">
      <c r="A12" s="123">
        <v>6</v>
      </c>
      <c r="B12" s="123"/>
      <c r="C12" s="124"/>
      <c r="D12" s="125">
        <f t="shared" si="67"/>
        <v>13.5</v>
      </c>
      <c r="E12" s="125">
        <v>3</v>
      </c>
      <c r="F12" s="128">
        <v>7</v>
      </c>
      <c r="G12" s="90">
        <v>0</v>
      </c>
      <c r="H12" s="90">
        <v>0</v>
      </c>
      <c r="J12" s="128">
        <v>6</v>
      </c>
      <c r="K12" s="90">
        <f t="shared" si="10"/>
        <v>6</v>
      </c>
      <c r="L12" s="90">
        <f t="shared" si="11"/>
        <v>0</v>
      </c>
      <c r="M12" s="90">
        <f t="shared" si="12"/>
        <v>1</v>
      </c>
      <c r="N12" s="140">
        <f>INDEX($A:$A,MATCH(SUM($K$7:K12),$D:$D,1))</f>
        <v>12</v>
      </c>
      <c r="O12" s="140">
        <v>0</v>
      </c>
      <c r="P12" s="141">
        <v>0</v>
      </c>
      <c r="Q12" s="126">
        <f>_xlfn.MAXIFS(关卡产出!X:X,关卡产出!$A:$A,玩家节奏1!$N$6,关卡产出!$B:$B,玩家节奏1!$N12)+_xlfn.MAXIFS(关卡产出!X:X,关卡产出!$A:$A,玩家节奏1!$O$6,关卡产出!$B:$B,玩家节奏1!$O12)+_xlfn.MAXIFS(关卡产出!X:X,关卡产出!$A:$A,玩家节奏1!$P$6,关卡产出!$B:$B,玩家节奏1!$P12)</f>
        <v>1300</v>
      </c>
      <c r="R12" s="90">
        <f>_xlfn.MAXIFS(关卡产出!Y:Y,关卡产出!$A:$A,玩家节奏1!$N$6,关卡产出!$B:$B,玩家节奏1!$N12)+_xlfn.MAXIFS(关卡产出!Y:Y,关卡产出!$A:$A,玩家节奏1!$O$6,关卡产出!$B:$B,玩家节奏1!$O12)+_xlfn.MAXIFS(关卡产出!Y:Y,关卡产出!$A:$A,玩家节奏1!$P$6,关卡产出!$B:$B,玩家节奏1!$P12)</f>
        <v>29200</v>
      </c>
      <c r="S12" s="90">
        <f>_xlfn.MAXIFS(关卡产出!Z:Z,关卡产出!$A:$A,玩家节奏1!$N$6,关卡产出!$B:$B,玩家节奏1!$N12)+_xlfn.MAXIFS(关卡产出!Z:Z,关卡产出!$A:$A,玩家节奏1!$O$6,关卡产出!$B:$B,玩家节奏1!$O12)+_xlfn.MAXIFS(关卡产出!Z:Z,关卡产出!$A:$A,玩家节奏1!$P$6,关卡产出!$B:$B,玩家节奏1!$P12)</f>
        <v>282</v>
      </c>
      <c r="T12" s="90">
        <f>_xlfn.MAXIFS(关卡产出!AA:AA,关卡产出!$A:$A,玩家节奏1!$N$6,关卡产出!$B:$B,玩家节奏1!$N12)+_xlfn.MAXIFS(关卡产出!AA:AA,关卡产出!$A:$A,玩家节奏1!$O$6,关卡产出!$B:$B,玩家节奏1!$O12)+_xlfn.MAXIFS(关卡产出!AA:AA,关卡产出!$A:$A,玩家节奏1!$P$6,关卡产出!$B:$B,玩家节奏1!$P12)</f>
        <v>142</v>
      </c>
      <c r="U12" s="90">
        <f>_xlfn.MAXIFS(关卡产出!AB:AB,关卡产出!$A:$A,玩家节奏1!$N$6,关卡产出!$B:$B,玩家节奏1!$N12)+_xlfn.MAXIFS(关卡产出!AB:AB,关卡产出!$A:$A,玩家节奏1!$O$6,关卡产出!$B:$B,玩家节奏1!$O12)+_xlfn.MAXIFS(关卡产出!AB:AB,关卡产出!$A:$A,玩家节奏1!$P$6,关卡产出!$B:$B,玩家节奏1!$P12)</f>
        <v>31</v>
      </c>
      <c r="V12" s="130">
        <f>_xlfn.MAXIFS(关卡产出!AC:AC,关卡产出!$A:$A,玩家节奏1!$N$6,关卡产出!$B:$B,玩家节奏1!$N12)+_xlfn.MAXIFS(关卡产出!AC:AC,关卡产出!$A:$A,玩家节奏1!$O$6,关卡产出!$B:$B,玩家节奏1!$O12)+_xlfn.MAXIFS(关卡产出!AC:AC,关卡产出!$A:$A,玩家节奏1!$P$6,关卡产出!$B:$B,玩家节奏1!$P12)</f>
        <v>72</v>
      </c>
      <c r="W12" s="126">
        <f>INDEX(关卡产出!C$8:C$207,MATCH(玩家节奏1!$N12,关卡产出!$B$8:$B$207,0))*$K12</f>
        <v>54</v>
      </c>
      <c r="X12" s="126">
        <f>INDEX(关卡产出!D$8:D$207,MATCH(玩家节奏1!$N12,关卡产出!$B$8:$B$207,0))*$K12</f>
        <v>24</v>
      </c>
      <c r="Y12" s="126">
        <f>INDEX(关卡产出!E$8:E$207,MATCH(玩家节奏1!$N12,关卡产出!$B$8:$B$207,0))*$K12</f>
        <v>6</v>
      </c>
      <c r="Z12" s="144">
        <f>INDEX(关卡产出!F$8:F$207,MATCH(玩家节奏1!$N12,关卡产出!$B$8:$B$207,0))*$K12</f>
        <v>1020</v>
      </c>
      <c r="AA12" s="126">
        <f>SUM(W$7:W12)</f>
        <v>319</v>
      </c>
      <c r="AB12" s="126">
        <f>SUM(X$7:X12)</f>
        <v>145</v>
      </c>
      <c r="AC12" s="126">
        <f>SUM(Y$7:Y12)</f>
        <v>43</v>
      </c>
      <c r="AD12" s="126">
        <f>SUM(Z$7:Z12)</f>
        <v>6150</v>
      </c>
      <c r="AE12" s="126">
        <f>INDEX(图鉴!AQ:AQ,MATCH($N12,图鉴!$S:$S,0))*8</f>
        <v>72</v>
      </c>
      <c r="AF12" s="90">
        <f>INDEX(图鉴!AR:AR,MATCH($N12,图鉴!$S:$S,0))*8</f>
        <v>24</v>
      </c>
      <c r="AG12" s="90">
        <f>INDEX(图鉴!AS:AS,MATCH($N12,图鉴!$S:$S,0))*8</f>
        <v>8</v>
      </c>
      <c r="AH12" s="129">
        <f ca="1">INDEX(图鉴!AT:AT,MATCH($N12,图鉴!$S:$S,0))*8</f>
        <v>2112</v>
      </c>
      <c r="AI12" s="128">
        <f>SUM($AE$7:AE12)</f>
        <v>320</v>
      </c>
      <c r="AJ12" s="90">
        <f>SUM(AF$7:AF12)</f>
        <v>104</v>
      </c>
      <c r="AK12" s="90">
        <f>SUM(AG$7:AG12)</f>
        <v>8</v>
      </c>
      <c r="AL12" s="130">
        <f ca="1">SUM(AH$7:AH12)</f>
        <v>9328</v>
      </c>
      <c r="AM12" s="133">
        <f>IF(M12=0,0,INDEX(关卡产出!$AU$11:$AU$15,MATCH(玩家节奏1!N12,关卡产出!$AW$11:$AW$15,1))*M12)</f>
        <v>2400</v>
      </c>
      <c r="AN12" s="126">
        <f>IF(L12=0,0,$L12*关卡产出!AU$21)</f>
        <v>0</v>
      </c>
      <c r="AO12" s="90">
        <f>IF(M12=0,0,$L12*关卡产出!AV$21)</f>
        <v>0</v>
      </c>
      <c r="AP12" s="129">
        <f>IF(N12=0,0,$L12*关卡产出!AW$21)</f>
        <v>0</v>
      </c>
      <c r="AQ12" s="138">
        <f>SUM(AN$7:AN12)</f>
        <v>0</v>
      </c>
      <c r="AR12" s="126">
        <f>SUM(AO$7:AO12)</f>
        <v>0</v>
      </c>
      <c r="AS12" s="129">
        <f>SUM(AP$7:AP12)</f>
        <v>0</v>
      </c>
      <c r="AT12" s="128">
        <v>500</v>
      </c>
      <c r="AU12" s="129">
        <v>100</v>
      </c>
      <c r="AV12" s="128">
        <f>SUM(AT$7:AT12)</f>
        <v>3000</v>
      </c>
      <c r="AW12" s="90">
        <f>SUM(AU$7:AU12)</f>
        <v>600</v>
      </c>
      <c r="AY12" s="128">
        <f t="shared" si="13"/>
        <v>1300</v>
      </c>
      <c r="AZ12" s="90">
        <f t="shared" si="14"/>
        <v>0</v>
      </c>
      <c r="BA12" s="90">
        <f t="shared" si="15"/>
        <v>600</v>
      </c>
      <c r="BB12" s="90">
        <f t="shared" ca="1" si="65"/>
        <v>50</v>
      </c>
      <c r="BC12" s="90">
        <f t="shared" ca="1" si="68"/>
        <v>1950</v>
      </c>
      <c r="BD12" s="90"/>
      <c r="BE12" s="90">
        <f t="shared" ca="1" si="17"/>
        <v>1950</v>
      </c>
      <c r="BF12" s="142">
        <f t="shared" ca="1" si="18"/>
        <v>0.66666666666666663</v>
      </c>
      <c r="BG12" s="142">
        <f t="shared" ca="1" si="19"/>
        <v>0</v>
      </c>
      <c r="BH12" s="142">
        <f t="shared" ca="1" si="20"/>
        <v>0.30769230769230771</v>
      </c>
      <c r="BI12" s="142">
        <f t="shared" ca="1" si="21"/>
        <v>2.564102564102564E-2</v>
      </c>
      <c r="BJ12" s="143"/>
      <c r="BK12" s="128">
        <f ca="1">INDEX(商城宝箱!$L:$L,MATCH(BC12,商城宝箱!$N:$N,1))</f>
        <v>2</v>
      </c>
      <c r="BL12" s="90">
        <f ca="1">_xlfn.IFNA(INDEX(商城宝箱!T:T,MATCH(玩家节奏1!$BK12,商城宝箱!$L:$L,0)),0)+($BC12-INDEX(商城宝箱!$N:$N,MATCH(玩家节奏1!$BK12,商城宝箱!$L:$L,0)))/$BK$5*INDEX(商城宝箱!E$23:E$42,MATCH(玩家节奏1!$BK12+1,商城宝箱!$C$23:$C$42,0))</f>
        <v>4875</v>
      </c>
      <c r="BM12" s="90">
        <f ca="1">_xlfn.IFNA(INDEX(商城宝箱!U:U,MATCH(玩家节奏1!$BK12,商城宝箱!$L:$L,0)),0)+($BC12-INDEX(商城宝箱!$N:$N,MATCH(玩家节奏1!$BK12,商城宝箱!$L:$L,0)))/$BK$5*INDEX(商城宝箱!F$23:F$42,MATCH(玩家节奏1!$BK12+1,商城宝箱!$C$23:$C$42,0))</f>
        <v>543.75</v>
      </c>
      <c r="BN12" s="90">
        <f ca="1">_xlfn.IFNA(INDEX(商城宝箱!V:V,MATCH(玩家节奏1!$BK12,商城宝箱!$L:$L,0)),0)+($BC12-INDEX(商城宝箱!$N:$N,MATCH(玩家节奏1!$BK12,商城宝箱!$L:$L,0)))/$BK$5*INDEX(商城宝箱!G$23:G$42,MATCH(玩家节奏1!$BK12+1,商城宝箱!$C$23:$C$42,0))</f>
        <v>130.5</v>
      </c>
      <c r="BO12" s="90">
        <f ca="1">_xlfn.IFNA(INDEX(商城宝箱!W:W,MATCH(玩家节奏1!$BK12,商城宝箱!$L:$L,0)),0)+($BC12-INDEX(商城宝箱!$N:$N,MATCH(玩家节奏1!$BK12,商城宝箱!$L:$L,0)))/$BK$5*INDEX(商城宝箱!H$23:H$42,MATCH(玩家节奏1!$BK12+1,商城宝箱!$C$23:$C$42,0))</f>
        <v>6.75</v>
      </c>
      <c r="BQ12" s="128">
        <f t="shared" si="0"/>
        <v>29200</v>
      </c>
      <c r="BR12" s="90">
        <f t="shared" si="1"/>
        <v>6150</v>
      </c>
      <c r="BS12" s="90">
        <f t="shared" ca="1" si="2"/>
        <v>9328</v>
      </c>
      <c r="BT12" s="90">
        <f t="shared" si="3"/>
        <v>2400</v>
      </c>
      <c r="BU12" s="90">
        <f t="shared" si="4"/>
        <v>0</v>
      </c>
      <c r="BV12" s="90">
        <f t="shared" si="5"/>
        <v>3000</v>
      </c>
      <c r="BW12" s="90">
        <f t="shared" ca="1" si="22"/>
        <v>4875</v>
      </c>
      <c r="BX12" s="90">
        <f t="shared" ca="1" si="23"/>
        <v>54953</v>
      </c>
      <c r="BY12" s="142">
        <f t="shared" ca="1" si="24"/>
        <v>0.53136316488635749</v>
      </c>
      <c r="BZ12" s="142">
        <f t="shared" ca="1" si="25"/>
        <v>0.11191381726202392</v>
      </c>
      <c r="CA12" s="142">
        <f t="shared" ca="1" si="26"/>
        <v>0.16974505486506652</v>
      </c>
      <c r="CB12" s="142">
        <f t="shared" ca="1" si="27"/>
        <v>4.3673684785180064E-2</v>
      </c>
      <c r="CC12" s="142">
        <f t="shared" ca="1" si="28"/>
        <v>0</v>
      </c>
      <c r="CD12" s="142">
        <f t="shared" ca="1" si="29"/>
        <v>5.4592105981475077E-2</v>
      </c>
      <c r="CE12" s="142">
        <f t="shared" ca="1" si="30"/>
        <v>8.8712172219897009E-2</v>
      </c>
      <c r="CG12" s="128">
        <f t="shared" si="31"/>
        <v>12</v>
      </c>
      <c r="CH12" s="90">
        <f ca="1">INDEX(角色升级!$A:$A,MATCH(玩家节奏1!$BX12,角色升级!$J:$J,1))</f>
        <v>69</v>
      </c>
      <c r="CI12" s="90">
        <f ca="1">INDEX(角色升级!$O:$O,MATCH(玩家节奏1!$BX12,角色升级!$J:$J,1))</f>
        <v>658.35551999999996</v>
      </c>
      <c r="CJ12" s="90">
        <f>INDEX(关卡对比!$J:$J,MATCH(玩家节奏1!N12,关卡对比!$A:$A,0))</f>
        <v>650</v>
      </c>
      <c r="CK12" s="147">
        <f t="shared" ca="1" si="32"/>
        <v>0.98730849860573822</v>
      </c>
      <c r="CL12" s="128">
        <f ca="1">INDEX(角色升级!$P:$P,MATCH(玩家节奏1!$CH12,角色升级!$A:$A,0))</f>
        <v>50</v>
      </c>
      <c r="CM12" s="90">
        <f ca="1">INDEX(角色升级!Q:Q,MATCH(玩家节奏1!$CH12,角色升级!$A:$A,0))</f>
        <v>0</v>
      </c>
      <c r="CO12" s="128">
        <f t="shared" si="33"/>
        <v>282</v>
      </c>
      <c r="CP12" s="90">
        <f t="shared" si="34"/>
        <v>319</v>
      </c>
      <c r="CQ12" s="90">
        <f t="shared" si="35"/>
        <v>320</v>
      </c>
      <c r="CR12" s="90">
        <f t="shared" ca="1" si="36"/>
        <v>543.75</v>
      </c>
      <c r="CS12" s="90">
        <f t="shared" ca="1" si="37"/>
        <v>1464.75</v>
      </c>
      <c r="CT12" s="142">
        <f t="shared" ca="1" si="38"/>
        <v>0.19252432155657961</v>
      </c>
      <c r="CU12" s="142">
        <f t="shared" ca="1" si="39"/>
        <v>0.21778460488137907</v>
      </c>
      <c r="CV12" s="142">
        <f t="shared" ca="1" si="40"/>
        <v>0.21846731524150878</v>
      </c>
      <c r="CW12" s="142">
        <f t="shared" ca="1" si="41"/>
        <v>0.3712237583205325</v>
      </c>
      <c r="CY12" s="128">
        <f t="shared" si="42"/>
        <v>142</v>
      </c>
      <c r="CZ12" s="90">
        <f t="shared" si="43"/>
        <v>145</v>
      </c>
      <c r="DA12" s="90">
        <f t="shared" si="44"/>
        <v>104</v>
      </c>
      <c r="DB12" s="90">
        <f t="shared" ca="1" si="66"/>
        <v>130.5</v>
      </c>
      <c r="DC12" s="90">
        <f t="shared" ca="1" si="45"/>
        <v>521.5</v>
      </c>
      <c r="DD12" s="142">
        <f t="shared" ca="1" si="46"/>
        <v>0.27229146692233941</v>
      </c>
      <c r="DE12" s="142">
        <f t="shared" ca="1" si="47"/>
        <v>0.27804410354745923</v>
      </c>
      <c r="DF12" s="142">
        <f t="shared" ca="1" si="48"/>
        <v>0.19942473633748803</v>
      </c>
      <c r="DG12" s="142">
        <f t="shared" ca="1" si="49"/>
        <v>0.25023969319271333</v>
      </c>
      <c r="DI12" s="128">
        <f t="shared" si="50"/>
        <v>31</v>
      </c>
      <c r="DJ12" s="90">
        <f t="shared" si="51"/>
        <v>43</v>
      </c>
      <c r="DK12" s="90">
        <f t="shared" si="52"/>
        <v>8</v>
      </c>
      <c r="DL12" s="90">
        <f t="shared" ca="1" si="53"/>
        <v>6.75</v>
      </c>
      <c r="DM12" s="90">
        <f t="shared" ca="1" si="54"/>
        <v>88.75</v>
      </c>
      <c r="DN12" s="142">
        <f t="shared" ca="1" si="55"/>
        <v>0.3492957746478873</v>
      </c>
      <c r="DO12" s="142">
        <f t="shared" ca="1" si="56"/>
        <v>0.48450704225352115</v>
      </c>
      <c r="DP12" s="142">
        <f t="shared" ca="1" si="57"/>
        <v>9.014084507042254E-2</v>
      </c>
      <c r="DQ12" s="142">
        <f t="shared" ca="1" si="58"/>
        <v>7.605633802816901E-2</v>
      </c>
      <c r="DS12" s="128">
        <f t="shared" ca="1" si="59"/>
        <v>1464.75</v>
      </c>
      <c r="DT12" s="90">
        <f t="shared" ca="1" si="60"/>
        <v>521.5</v>
      </c>
      <c r="DU12" s="90">
        <f t="shared" ca="1" si="61"/>
        <v>88.75</v>
      </c>
      <c r="DV12" s="90">
        <f t="shared" si="62"/>
        <v>0</v>
      </c>
      <c r="DW12" s="90">
        <f ca="1">_xlfn.IFNA(INDEX(武器升级消耗!$H:$H,MATCH(玩家节奏1!DS12/玩家节奏1!DS$5,武器升级消耗!M:M,1)),0)</f>
        <v>6</v>
      </c>
      <c r="DX12" s="90">
        <f ca="1">_xlfn.IFNA(INDEX(武器升级消耗!$H:$H,MATCH(玩家节奏1!DT12/玩家节奏1!DT$5,武器升级消耗!N:N,1)),0)</f>
        <v>4</v>
      </c>
      <c r="DY12" s="90">
        <f ca="1">_xlfn.IFNA(INDEX(武器升级消耗!$H:$H,MATCH(玩家节奏1!DU12/玩家节奏1!DU$5,武器升级消耗!O:O,1)),0)</f>
        <v>2</v>
      </c>
      <c r="DZ12" s="90">
        <f>_xlfn.IFNA(INDEX(武器升级消耗!$H:$H,MATCH(玩家节奏1!DV12/玩家节奏1!DV$5,武器升级消耗!P:P,1)),0)</f>
        <v>0</v>
      </c>
      <c r="EA12" s="90">
        <f ca="1">_xlfn.IFNA(INDEX(武器升级消耗!$Q:$Q,MATCH(玩家节奏1!DW12,武器升级消耗!$H:$H,0))*2*EA$4,0)</f>
        <v>1.2</v>
      </c>
      <c r="EB12" s="90">
        <f ca="1">_xlfn.IFNA(INDEX(武器升级消耗!$Q:$Q,MATCH(玩家节奏1!DX12,武器升级消耗!$H:$H,0))*2*EB$4,0)</f>
        <v>1.2000000000000002</v>
      </c>
      <c r="EC12" s="90">
        <f ca="1">_xlfn.IFNA(INDEX(武器升级消耗!$Q:$Q,MATCH(玩家节奏1!DY12,武器升级消耗!$H:$H,0))*2*EC$4,1)</f>
        <v>1.32</v>
      </c>
      <c r="ED12" s="90">
        <f>_xlfn.IFNA(INDEX(武器升级消耗!$Q:$Q,MATCH(玩家节奏1!DZ12,武器升级消耗!$H:$H,0))*2*ED$4,0)</f>
        <v>0</v>
      </c>
      <c r="EF12" s="128"/>
      <c r="EG12" s="90"/>
      <c r="EH12" s="90"/>
      <c r="EI12" s="90"/>
      <c r="EJ12" s="90"/>
      <c r="EK12" s="90"/>
      <c r="EL12" s="90"/>
      <c r="EM12" s="90"/>
      <c r="EO12" s="128"/>
      <c r="EP12" s="90"/>
      <c r="EQ12" s="90"/>
      <c r="ER12" s="90"/>
      <c r="ES12" s="90"/>
      <c r="ET12" s="90"/>
      <c r="EU12" s="90"/>
      <c r="EV12" s="90"/>
      <c r="EW12" s="90"/>
      <c r="EX12" s="90"/>
      <c r="EY12" s="90"/>
      <c r="EZ12" s="90"/>
      <c r="FA12" s="90"/>
      <c r="FB12" s="90"/>
      <c r="FD12" s="90">
        <f t="shared" ca="1" si="63"/>
        <v>1.32</v>
      </c>
      <c r="FE12" s="90"/>
      <c r="FF12" s="90"/>
      <c r="FG12" s="90">
        <f t="shared" ca="1" si="64"/>
        <v>0</v>
      </c>
    </row>
    <row r="13" spans="1:163" x14ac:dyDescent="0.25">
      <c r="A13" s="123">
        <v>7</v>
      </c>
      <c r="B13" s="123"/>
      <c r="C13" s="124"/>
      <c r="D13" s="125">
        <f t="shared" si="67"/>
        <v>16.5</v>
      </c>
      <c r="E13" s="125">
        <v>3</v>
      </c>
      <c r="F13" s="128">
        <v>7</v>
      </c>
      <c r="G13" s="90">
        <v>0</v>
      </c>
      <c r="H13" s="90">
        <v>0</v>
      </c>
      <c r="J13" s="128">
        <v>7</v>
      </c>
      <c r="K13" s="90">
        <f t="shared" si="10"/>
        <v>6</v>
      </c>
      <c r="L13" s="90">
        <f t="shared" si="11"/>
        <v>0</v>
      </c>
      <c r="M13" s="90">
        <f t="shared" si="12"/>
        <v>1</v>
      </c>
      <c r="N13" s="140">
        <f>INDEX($A:$A,MATCH(SUM($K$7:K13),$D:$D,1))</f>
        <v>14</v>
      </c>
      <c r="O13" s="140">
        <v>0</v>
      </c>
      <c r="P13" s="141">
        <v>0</v>
      </c>
      <c r="Q13" s="126">
        <f>_xlfn.MAXIFS(关卡产出!X:X,关卡产出!$A:$A,玩家节奏1!$N$6,关卡产出!$B:$B,玩家节奏1!$N13)+_xlfn.MAXIFS(关卡产出!X:X,关卡产出!$A:$A,玩家节奏1!$O$6,关卡产出!$B:$B,玩家节奏1!$O13)+_xlfn.MAXIFS(关卡产出!X:X,关卡产出!$A:$A,玩家节奏1!$P$6,关卡产出!$B:$B,玩家节奏1!$P13)</f>
        <v>1600</v>
      </c>
      <c r="R13" s="90">
        <f>_xlfn.MAXIFS(关卡产出!Y:Y,关卡产出!$A:$A,玩家节奏1!$N$6,关卡产出!$B:$B,玩家节奏1!$N13)+_xlfn.MAXIFS(关卡产出!Y:Y,关卡产出!$A:$A,玩家节奏1!$O$6,关卡产出!$B:$B,玩家节奏1!$O13)+_xlfn.MAXIFS(关卡产出!Y:Y,关卡产出!$A:$A,玩家节奏1!$P$6,关卡产出!$B:$B,玩家节奏1!$P13)</f>
        <v>40800</v>
      </c>
      <c r="S13" s="90">
        <f>_xlfn.MAXIFS(关卡产出!Z:Z,关卡产出!$A:$A,玩家节奏1!$N$6,关卡产出!$B:$B,玩家节奏1!$N13)+_xlfn.MAXIFS(关卡产出!Z:Z,关卡产出!$A:$A,玩家节奏1!$O$6,关卡产出!$B:$B,玩家节奏1!$O13)+_xlfn.MAXIFS(关卡产出!Z:Z,关卡产出!$A:$A,玩家节奏1!$P$6,关卡产出!$B:$B,玩家节奏1!$P13)</f>
        <v>374</v>
      </c>
      <c r="T13" s="90">
        <f>_xlfn.MAXIFS(关卡产出!AA:AA,关卡产出!$A:$A,玩家节奏1!$N$6,关卡产出!$B:$B,玩家节奏1!$N13)+_xlfn.MAXIFS(关卡产出!AA:AA,关卡产出!$A:$A,玩家节奏1!$O$6,关卡产出!$B:$B,玩家节奏1!$O13)+_xlfn.MAXIFS(关卡产出!AA:AA,关卡产出!$A:$A,玩家节奏1!$P$6,关卡产出!$B:$B,玩家节奏1!$P13)</f>
        <v>188</v>
      </c>
      <c r="U13" s="90">
        <f>_xlfn.MAXIFS(关卡产出!AB:AB,关卡产出!$A:$A,玩家节奏1!$N$6,关卡产出!$B:$B,玩家节奏1!$N13)+_xlfn.MAXIFS(关卡产出!AB:AB,关卡产出!$A:$A,玩家节奏1!$O$6,关卡产出!$B:$B,玩家节奏1!$O13)+_xlfn.MAXIFS(关卡产出!AB:AB,关卡产出!$A:$A,玩家节奏1!$P$6,关卡产出!$B:$B,玩家节奏1!$P13)</f>
        <v>48</v>
      </c>
      <c r="V13" s="130">
        <f>_xlfn.MAXIFS(关卡产出!AC:AC,关卡产出!$A:$A,玩家节奏1!$N$6,关卡产出!$B:$B,玩家节奏1!$N13)+_xlfn.MAXIFS(关卡产出!AC:AC,关卡产出!$A:$A,玩家节奏1!$O$6,关卡产出!$B:$B,玩家节奏1!$O13)+_xlfn.MAXIFS(关卡产出!AC:AC,关卡产出!$A:$A,玩家节奏1!$P$6,关卡产出!$B:$B,玩家节奏1!$P13)</f>
        <v>84</v>
      </c>
      <c r="W13" s="126">
        <f>INDEX(关卡产出!C$8:C$207,MATCH(玩家节奏1!$N13,关卡产出!$B$8:$B$207,0))*$K13</f>
        <v>60</v>
      </c>
      <c r="X13" s="126">
        <f>INDEX(关卡产出!D$8:D$207,MATCH(玩家节奏1!$N13,关卡产出!$B$8:$B$207,0))*$K13</f>
        <v>30</v>
      </c>
      <c r="Y13" s="126">
        <f>INDEX(关卡产出!E$8:E$207,MATCH(玩家节奏1!$N13,关卡产出!$B$8:$B$207,0))*$K13</f>
        <v>6</v>
      </c>
      <c r="Z13" s="144">
        <f>INDEX(关卡产出!F$8:F$207,MATCH(玩家节奏1!$N13,关卡产出!$B$8:$B$207,0))*$K13</f>
        <v>1140</v>
      </c>
      <c r="AA13" s="126">
        <f>SUM(W$7:W13)</f>
        <v>379</v>
      </c>
      <c r="AB13" s="126">
        <f>SUM(X$7:X13)</f>
        <v>175</v>
      </c>
      <c r="AC13" s="126">
        <f>SUM(Y$7:Y13)</f>
        <v>49</v>
      </c>
      <c r="AD13" s="126">
        <f>SUM(Z$7:Z13)</f>
        <v>7290</v>
      </c>
      <c r="AE13" s="126">
        <f>INDEX(图鉴!AQ:AQ,MATCH($N13,图鉴!$S:$S,0))*8</f>
        <v>104</v>
      </c>
      <c r="AF13" s="90">
        <f>INDEX(图鉴!AR:AR,MATCH($N13,图鉴!$S:$S,0))*8</f>
        <v>32</v>
      </c>
      <c r="AG13" s="90">
        <f>INDEX(图鉴!AS:AS,MATCH($N13,图鉴!$S:$S,0))*8</f>
        <v>8</v>
      </c>
      <c r="AH13" s="129">
        <f ca="1">INDEX(图鉴!AT:AT,MATCH($N13,图鉴!$S:$S,0))*8</f>
        <v>3216</v>
      </c>
      <c r="AI13" s="128">
        <f>SUM($AE$7:AE13)</f>
        <v>424</v>
      </c>
      <c r="AJ13" s="90">
        <f>SUM(AF$7:AF13)</f>
        <v>136</v>
      </c>
      <c r="AK13" s="90">
        <f>SUM(AG$7:AG13)</f>
        <v>16</v>
      </c>
      <c r="AL13" s="130">
        <f ca="1">SUM(AH$7:AH13)</f>
        <v>12544</v>
      </c>
      <c r="AM13" s="133">
        <f>IF(M13=0,0,INDEX(关卡产出!$AU$11:$AU$15,MATCH(玩家节奏1!N13,关卡产出!$AW$11:$AW$15,1))*M13)</f>
        <v>2400</v>
      </c>
      <c r="AN13" s="126">
        <f>IF(L13=0,0,$L13*关卡产出!AU$21)</f>
        <v>0</v>
      </c>
      <c r="AO13" s="90">
        <f>IF(M13=0,0,$L13*关卡产出!AV$21)</f>
        <v>0</v>
      </c>
      <c r="AP13" s="129">
        <f>IF(N13=0,0,$L13*关卡产出!AW$21)</f>
        <v>0</v>
      </c>
      <c r="AQ13" s="138">
        <f>SUM(AN$7:AN13)</f>
        <v>0</v>
      </c>
      <c r="AR13" s="126">
        <f>SUM(AO$7:AO13)</f>
        <v>0</v>
      </c>
      <c r="AS13" s="129">
        <f>SUM(AP$7:AP13)</f>
        <v>0</v>
      </c>
      <c r="AT13" s="128">
        <v>500</v>
      </c>
      <c r="AU13" s="129">
        <v>100</v>
      </c>
      <c r="AV13" s="128">
        <f>SUM(AT$7:AT13)</f>
        <v>3500</v>
      </c>
      <c r="AW13" s="90">
        <f>SUM(AU$7:AU13)</f>
        <v>700</v>
      </c>
      <c r="AY13" s="128">
        <f t="shared" si="13"/>
        <v>1600</v>
      </c>
      <c r="AZ13" s="90">
        <f t="shared" si="14"/>
        <v>0</v>
      </c>
      <c r="BA13" s="90">
        <f t="shared" si="15"/>
        <v>700</v>
      </c>
      <c r="BB13" s="90">
        <f t="shared" ca="1" si="65"/>
        <v>50</v>
      </c>
      <c r="BC13" s="90">
        <f t="shared" ca="1" si="68"/>
        <v>2350</v>
      </c>
      <c r="BD13" s="90"/>
      <c r="BE13" s="90">
        <f t="shared" ca="1" si="17"/>
        <v>2350</v>
      </c>
      <c r="BF13" s="142">
        <f t="shared" ca="1" si="18"/>
        <v>0.68085106382978722</v>
      </c>
      <c r="BG13" s="142">
        <f t="shared" ca="1" si="19"/>
        <v>0</v>
      </c>
      <c r="BH13" s="142">
        <f t="shared" ca="1" si="20"/>
        <v>0.2978723404255319</v>
      </c>
      <c r="BI13" s="142">
        <f t="shared" ca="1" si="21"/>
        <v>2.1276595744680851E-2</v>
      </c>
      <c r="BJ13" s="143"/>
      <c r="BK13" s="128">
        <f ca="1">INDEX(商城宝箱!$L:$L,MATCH(BC13,商城宝箱!$N:$N,1))</f>
        <v>2</v>
      </c>
      <c r="BL13" s="90">
        <f ca="1">_xlfn.IFNA(INDEX(商城宝箱!T:T,MATCH(玩家节奏1!$BK13,商城宝箱!$L:$L,0)),0)+($BC13-INDEX(商城宝箱!$N:$N,MATCH(玩家节奏1!$BK13,商城宝箱!$L:$L,0)))/$BK$5*INDEX(商城宝箱!E$23:E$42,MATCH(玩家节奏1!$BK13+1,商城宝箱!$C$23:$C$42,0))</f>
        <v>5875</v>
      </c>
      <c r="BM13" s="90">
        <f ca="1">_xlfn.IFNA(INDEX(商城宝箱!U:U,MATCH(玩家节奏1!$BK13,商城宝箱!$L:$L,0)),0)+($BC13-INDEX(商城宝箱!$N:$N,MATCH(玩家节奏1!$BK13,商城宝箱!$L:$L,0)))/$BK$5*INDEX(商城宝箱!F$23:F$42,MATCH(玩家节奏1!$BK13+1,商城宝箱!$C$23:$C$42,0))</f>
        <v>693.75</v>
      </c>
      <c r="BN13" s="90">
        <f ca="1">_xlfn.IFNA(INDEX(商城宝箱!V:V,MATCH(玩家节奏1!$BK13,商城宝箱!$L:$L,0)),0)+($BC13-INDEX(商城宝箱!$N:$N,MATCH(玩家节奏1!$BK13,商城宝箱!$L:$L,0)))/$BK$5*INDEX(商城宝箱!G$23:G$42,MATCH(玩家节奏1!$BK13+1,商城宝箱!$C$23:$C$42,0))</f>
        <v>174.5</v>
      </c>
      <c r="BO13" s="90">
        <f ca="1">_xlfn.IFNA(INDEX(商城宝箱!W:W,MATCH(玩家节奏1!$BK13,商城宝箱!$L:$L,0)),0)+($BC13-INDEX(商城宝箱!$N:$N,MATCH(玩家节奏1!$BK13,商城宝箱!$L:$L,0)))/$BK$5*INDEX(商城宝箱!H$23:H$42,MATCH(玩家节奏1!$BK13+1,商城宝箱!$C$23:$C$42,0))</f>
        <v>12.75</v>
      </c>
      <c r="BQ13" s="128">
        <f t="shared" si="0"/>
        <v>40800</v>
      </c>
      <c r="BR13" s="90">
        <f t="shared" si="1"/>
        <v>7290</v>
      </c>
      <c r="BS13" s="90">
        <f t="shared" ca="1" si="2"/>
        <v>12544</v>
      </c>
      <c r="BT13" s="90">
        <f t="shared" si="3"/>
        <v>2400</v>
      </c>
      <c r="BU13" s="90">
        <f t="shared" si="4"/>
        <v>0</v>
      </c>
      <c r="BV13" s="90">
        <f t="shared" si="5"/>
        <v>3500</v>
      </c>
      <c r="BW13" s="90">
        <f t="shared" ca="1" si="22"/>
        <v>5875</v>
      </c>
      <c r="BX13" s="90">
        <f t="shared" ca="1" si="23"/>
        <v>72409</v>
      </c>
      <c r="BY13" s="142">
        <f t="shared" ca="1" si="24"/>
        <v>0.56346586750265848</v>
      </c>
      <c r="BZ13" s="142">
        <f t="shared" ca="1" si="25"/>
        <v>0.10067809250231324</v>
      </c>
      <c r="CA13" s="142">
        <f t="shared" ca="1" si="26"/>
        <v>0.17323813338120952</v>
      </c>
      <c r="CB13" s="142">
        <f t="shared" ca="1" si="27"/>
        <v>3.3145051029568148E-2</v>
      </c>
      <c r="CC13" s="142">
        <f t="shared" ca="1" si="28"/>
        <v>0</v>
      </c>
      <c r="CD13" s="142">
        <f t="shared" ca="1" si="29"/>
        <v>4.8336532751453547E-2</v>
      </c>
      <c r="CE13" s="142">
        <f t="shared" ca="1" si="30"/>
        <v>8.1136322832797023E-2</v>
      </c>
      <c r="CG13" s="128">
        <f t="shared" si="31"/>
        <v>14</v>
      </c>
      <c r="CH13" s="90">
        <f ca="1">INDEX(角色升级!$A:$A,MATCH(玩家节奏1!$BX13,角色升级!$J:$J,1))</f>
        <v>90</v>
      </c>
      <c r="CI13" s="90">
        <f ca="1">INDEX(角色升级!$O:$O,MATCH(玩家节奏1!$BX13,角色升级!$J:$J,1))</f>
        <v>699.42673499999989</v>
      </c>
      <c r="CJ13" s="90">
        <f>INDEX(关卡对比!$J:$J,MATCH(玩家节奏1!N13,关卡对比!$A:$A,0))</f>
        <v>750</v>
      </c>
      <c r="CK13" s="147">
        <f t="shared" ca="1" si="32"/>
        <v>1.072306737030863</v>
      </c>
      <c r="CL13" s="128">
        <f ca="1">INDEX(角色升级!$P:$P,MATCH(玩家节奏1!$CH13,角色升级!$A:$A,0))</f>
        <v>50</v>
      </c>
      <c r="CM13" s="90">
        <f ca="1">INDEX(角色升级!Q:Q,MATCH(玩家节奏1!$CH13,角色升级!$A:$A,0))</f>
        <v>0</v>
      </c>
      <c r="CO13" s="128">
        <f t="shared" si="33"/>
        <v>374</v>
      </c>
      <c r="CP13" s="90">
        <f t="shared" si="34"/>
        <v>379</v>
      </c>
      <c r="CQ13" s="90">
        <f t="shared" si="35"/>
        <v>424</v>
      </c>
      <c r="CR13" s="90">
        <f t="shared" ca="1" si="36"/>
        <v>693.75</v>
      </c>
      <c r="CS13" s="90">
        <f t="shared" ca="1" si="37"/>
        <v>1870.75</v>
      </c>
      <c r="CT13" s="142">
        <f t="shared" ca="1" si="38"/>
        <v>0.19991981825471067</v>
      </c>
      <c r="CU13" s="142">
        <f t="shared" ca="1" si="39"/>
        <v>0.20259254309768809</v>
      </c>
      <c r="CV13" s="142">
        <f t="shared" ca="1" si="40"/>
        <v>0.22664706668448484</v>
      </c>
      <c r="CW13" s="142">
        <f t="shared" ca="1" si="41"/>
        <v>0.37084057196311637</v>
      </c>
      <c r="CY13" s="128">
        <f t="shared" si="42"/>
        <v>188</v>
      </c>
      <c r="CZ13" s="90">
        <f t="shared" si="43"/>
        <v>175</v>
      </c>
      <c r="DA13" s="90">
        <f t="shared" si="44"/>
        <v>136</v>
      </c>
      <c r="DB13" s="90">
        <f t="shared" ca="1" si="66"/>
        <v>174.5</v>
      </c>
      <c r="DC13" s="90">
        <f t="shared" ca="1" si="45"/>
        <v>673.5</v>
      </c>
      <c r="DD13" s="142">
        <f ca="1">CY13/$DC13</f>
        <v>0.27913882702301412</v>
      </c>
      <c r="DE13" s="142">
        <f t="shared" ca="1" si="47"/>
        <v>0.25983667409057165</v>
      </c>
      <c r="DF13" s="142">
        <f t="shared" ca="1" si="48"/>
        <v>0.20193021529324426</v>
      </c>
      <c r="DG13" s="142">
        <f t="shared" ca="1" si="49"/>
        <v>0.25909428359316999</v>
      </c>
      <c r="DI13" s="128">
        <f t="shared" si="50"/>
        <v>48</v>
      </c>
      <c r="DJ13" s="90">
        <f t="shared" si="51"/>
        <v>49</v>
      </c>
      <c r="DK13" s="90">
        <f t="shared" si="52"/>
        <v>16</v>
      </c>
      <c r="DL13" s="90">
        <f t="shared" ca="1" si="53"/>
        <v>12.75</v>
      </c>
      <c r="DM13" s="90">
        <f t="shared" ca="1" si="54"/>
        <v>125.75</v>
      </c>
      <c r="DN13" s="142">
        <f t="shared" ca="1" si="55"/>
        <v>0.38170974155069581</v>
      </c>
      <c r="DO13" s="142">
        <f t="shared" ca="1" si="56"/>
        <v>0.38966202783300197</v>
      </c>
      <c r="DP13" s="142">
        <f t="shared" ca="1" si="57"/>
        <v>0.1272365805168986</v>
      </c>
      <c r="DQ13" s="142">
        <f t="shared" ca="1" si="58"/>
        <v>0.10139165009940358</v>
      </c>
      <c r="DS13" s="128">
        <f t="shared" ca="1" si="59"/>
        <v>1870.75</v>
      </c>
      <c r="DT13" s="90">
        <f t="shared" ca="1" si="60"/>
        <v>673.5</v>
      </c>
      <c r="DU13" s="90">
        <f t="shared" ca="1" si="61"/>
        <v>125.75</v>
      </c>
      <c r="DV13" s="90">
        <f t="shared" si="62"/>
        <v>0</v>
      </c>
      <c r="DW13" s="90">
        <f ca="1">_xlfn.IFNA(INDEX(武器升级消耗!$H:$H,MATCH(玩家节奏1!DS13/玩家节奏1!DS$5,武器升级消耗!M:M,1)),0)</f>
        <v>6</v>
      </c>
      <c r="DX13" s="90">
        <f ca="1">_xlfn.IFNA(INDEX(武器升级消耗!$H:$H,MATCH(玩家节奏1!DT13/玩家节奏1!DT$5,武器升级消耗!N:N,1)),0)</f>
        <v>4</v>
      </c>
      <c r="DY13" s="90">
        <f ca="1">_xlfn.IFNA(INDEX(武器升级消耗!$H:$H,MATCH(玩家节奏1!DU13/玩家节奏1!DU$5,武器升级消耗!O:O,1)),0)</f>
        <v>2</v>
      </c>
      <c r="DZ13" s="90">
        <f>_xlfn.IFNA(INDEX(武器升级消耗!$H:$H,MATCH(玩家节奏1!DV13/玩家节奏1!DV$5,武器升级消耗!P:P,1)),0)</f>
        <v>0</v>
      </c>
      <c r="EA13" s="90">
        <f ca="1">_xlfn.IFNA(INDEX(武器升级消耗!$Q:$Q,MATCH(玩家节奏1!DW13,武器升级消耗!$H:$H,0))*2*EA$4,0)</f>
        <v>1.2</v>
      </c>
      <c r="EB13" s="90">
        <f ca="1">_xlfn.IFNA(INDEX(武器升级消耗!$Q:$Q,MATCH(玩家节奏1!DX13,武器升级消耗!$H:$H,0))*2*EB$4,0)</f>
        <v>1.2000000000000002</v>
      </c>
      <c r="EC13" s="90">
        <f ca="1">_xlfn.IFNA(INDEX(武器升级消耗!$Q:$Q,MATCH(玩家节奏1!DY13,武器升级消耗!$H:$H,0))*2*EC$4,1)</f>
        <v>1.32</v>
      </c>
      <c r="ED13" s="90">
        <f>_xlfn.IFNA(INDEX(武器升级消耗!$Q:$Q,MATCH(玩家节奏1!DZ13,武器升级消耗!$H:$H,0))*2*ED$4,0)</f>
        <v>0</v>
      </c>
      <c r="EF13" s="128"/>
      <c r="EG13" s="90"/>
      <c r="EH13" s="90"/>
      <c r="EI13" s="90"/>
      <c r="EJ13" s="90"/>
      <c r="EK13" s="90"/>
      <c r="EL13" s="90"/>
      <c r="EM13" s="90"/>
      <c r="EO13" s="128"/>
      <c r="EP13" s="90"/>
      <c r="EQ13" s="90"/>
      <c r="ER13" s="90"/>
      <c r="ES13" s="90"/>
      <c r="ET13" s="90"/>
      <c r="EU13" s="90"/>
      <c r="EV13" s="90"/>
      <c r="EW13" s="90"/>
      <c r="EX13" s="90"/>
      <c r="EY13" s="90"/>
      <c r="EZ13" s="90"/>
      <c r="FA13" s="90"/>
      <c r="FB13" s="90"/>
      <c r="FD13" s="90">
        <f t="shared" ca="1" si="63"/>
        <v>1.32</v>
      </c>
      <c r="FE13" s="90"/>
      <c r="FF13" s="90"/>
      <c r="FG13" s="90">
        <f t="shared" ca="1" si="64"/>
        <v>0</v>
      </c>
    </row>
    <row r="14" spans="1:163" x14ac:dyDescent="0.25">
      <c r="A14" s="123">
        <v>8</v>
      </c>
      <c r="B14" s="123"/>
      <c r="C14" s="124"/>
      <c r="D14" s="125">
        <f t="shared" si="67"/>
        <v>19.5</v>
      </c>
      <c r="E14" s="125">
        <v>3</v>
      </c>
      <c r="F14" s="128">
        <v>7</v>
      </c>
      <c r="G14" s="90">
        <v>0</v>
      </c>
      <c r="H14" s="90">
        <v>0</v>
      </c>
      <c r="J14" s="128">
        <v>8</v>
      </c>
      <c r="K14" s="90">
        <f t="shared" si="10"/>
        <v>6</v>
      </c>
      <c r="L14" s="90">
        <f t="shared" si="11"/>
        <v>0</v>
      </c>
      <c r="M14" s="90">
        <f t="shared" si="12"/>
        <v>1</v>
      </c>
      <c r="N14" s="140">
        <f>INDEX($A:$A,MATCH(SUM($K$7:K14),$D:$D,1))</f>
        <v>14</v>
      </c>
      <c r="O14" s="140">
        <v>0</v>
      </c>
      <c r="P14" s="141">
        <v>0</v>
      </c>
      <c r="Q14" s="126">
        <f>_xlfn.MAXIFS(关卡产出!X:X,关卡产出!$A:$A,玩家节奏1!$N$6,关卡产出!$B:$B,玩家节奏1!$N14)+_xlfn.MAXIFS(关卡产出!X:X,关卡产出!$A:$A,玩家节奏1!$O$6,关卡产出!$B:$B,玩家节奏1!$O14)+_xlfn.MAXIFS(关卡产出!X:X,关卡产出!$A:$A,玩家节奏1!$P$6,关卡产出!$B:$B,玩家节奏1!$P14)</f>
        <v>1600</v>
      </c>
      <c r="R14" s="90">
        <f>_xlfn.MAXIFS(关卡产出!Y:Y,关卡产出!$A:$A,玩家节奏1!$N$6,关卡产出!$B:$B,玩家节奏1!$N14)+_xlfn.MAXIFS(关卡产出!Y:Y,关卡产出!$A:$A,玩家节奏1!$O$6,关卡产出!$B:$B,玩家节奏1!$O14)+_xlfn.MAXIFS(关卡产出!Y:Y,关卡产出!$A:$A,玩家节奏1!$P$6,关卡产出!$B:$B,玩家节奏1!$P14)</f>
        <v>40800</v>
      </c>
      <c r="S14" s="90">
        <f>_xlfn.MAXIFS(关卡产出!Z:Z,关卡产出!$A:$A,玩家节奏1!$N$6,关卡产出!$B:$B,玩家节奏1!$N14)+_xlfn.MAXIFS(关卡产出!Z:Z,关卡产出!$A:$A,玩家节奏1!$O$6,关卡产出!$B:$B,玩家节奏1!$O14)+_xlfn.MAXIFS(关卡产出!Z:Z,关卡产出!$A:$A,玩家节奏1!$P$6,关卡产出!$B:$B,玩家节奏1!$P14)</f>
        <v>374</v>
      </c>
      <c r="T14" s="90">
        <f>_xlfn.MAXIFS(关卡产出!AA:AA,关卡产出!$A:$A,玩家节奏1!$N$6,关卡产出!$B:$B,玩家节奏1!$N14)+_xlfn.MAXIFS(关卡产出!AA:AA,关卡产出!$A:$A,玩家节奏1!$O$6,关卡产出!$B:$B,玩家节奏1!$O14)+_xlfn.MAXIFS(关卡产出!AA:AA,关卡产出!$A:$A,玩家节奏1!$P$6,关卡产出!$B:$B,玩家节奏1!$P14)</f>
        <v>188</v>
      </c>
      <c r="U14" s="90">
        <f>_xlfn.MAXIFS(关卡产出!AB:AB,关卡产出!$A:$A,玩家节奏1!$N$6,关卡产出!$B:$B,玩家节奏1!$N14)+_xlfn.MAXIFS(关卡产出!AB:AB,关卡产出!$A:$A,玩家节奏1!$O$6,关卡产出!$B:$B,玩家节奏1!$O14)+_xlfn.MAXIFS(关卡产出!AB:AB,关卡产出!$A:$A,玩家节奏1!$P$6,关卡产出!$B:$B,玩家节奏1!$P14)</f>
        <v>48</v>
      </c>
      <c r="V14" s="130">
        <f>_xlfn.MAXIFS(关卡产出!AC:AC,关卡产出!$A:$A,玩家节奏1!$N$6,关卡产出!$B:$B,玩家节奏1!$N14)+_xlfn.MAXIFS(关卡产出!AC:AC,关卡产出!$A:$A,玩家节奏1!$O$6,关卡产出!$B:$B,玩家节奏1!$O14)+_xlfn.MAXIFS(关卡产出!AC:AC,关卡产出!$A:$A,玩家节奏1!$P$6,关卡产出!$B:$B,玩家节奏1!$P14)</f>
        <v>84</v>
      </c>
      <c r="W14" s="126">
        <f>INDEX(关卡产出!C$8:C$207,MATCH(玩家节奏1!$N14,关卡产出!$B$8:$B$207,0))*$K14</f>
        <v>60</v>
      </c>
      <c r="X14" s="126">
        <f>INDEX(关卡产出!D$8:D$207,MATCH(玩家节奏1!$N14,关卡产出!$B$8:$B$207,0))*$K14</f>
        <v>30</v>
      </c>
      <c r="Y14" s="126">
        <f>INDEX(关卡产出!E$8:E$207,MATCH(玩家节奏1!$N14,关卡产出!$B$8:$B$207,0))*$K14</f>
        <v>6</v>
      </c>
      <c r="Z14" s="144">
        <f>INDEX(关卡产出!F$8:F$207,MATCH(玩家节奏1!$N14,关卡产出!$B$8:$B$207,0))*$K14</f>
        <v>1140</v>
      </c>
      <c r="AA14" s="126">
        <f>SUM(W$7:W14)</f>
        <v>439</v>
      </c>
      <c r="AB14" s="126">
        <f>SUM(X$7:X14)</f>
        <v>205</v>
      </c>
      <c r="AC14" s="126">
        <f>SUM(Y$7:Y14)</f>
        <v>55</v>
      </c>
      <c r="AD14" s="126">
        <f>SUM(Z$7:Z14)</f>
        <v>8430</v>
      </c>
      <c r="AE14" s="126">
        <f>INDEX(图鉴!AQ:AQ,MATCH($N14,图鉴!$S:$S,0))*8</f>
        <v>104</v>
      </c>
      <c r="AF14" s="90">
        <f>INDEX(图鉴!AR:AR,MATCH($N14,图鉴!$S:$S,0))*8</f>
        <v>32</v>
      </c>
      <c r="AG14" s="90">
        <f>INDEX(图鉴!AS:AS,MATCH($N14,图鉴!$S:$S,0))*8</f>
        <v>8</v>
      </c>
      <c r="AH14" s="129">
        <f ca="1">INDEX(图鉴!AT:AT,MATCH($N14,图鉴!$S:$S,0))*8</f>
        <v>3216</v>
      </c>
      <c r="AI14" s="128">
        <f>SUM($AE$7:AE14)</f>
        <v>528</v>
      </c>
      <c r="AJ14" s="90">
        <f>SUM(AF$7:AF14)</f>
        <v>168</v>
      </c>
      <c r="AK14" s="90">
        <f>SUM(AG$7:AG14)</f>
        <v>24</v>
      </c>
      <c r="AL14" s="130">
        <f ca="1">SUM(AH$7:AH14)</f>
        <v>15760</v>
      </c>
      <c r="AM14" s="133">
        <f>IF(M14=0,0,INDEX(关卡产出!$AU$11:$AU$15,MATCH(玩家节奏1!N14,关卡产出!$AW$11:$AW$15,1))*M14)</f>
        <v>2400</v>
      </c>
      <c r="AN14" s="126">
        <f>IF(L14=0,0,$L14*关卡产出!AU$21)</f>
        <v>0</v>
      </c>
      <c r="AO14" s="90">
        <f>IF(M14=0,0,$L14*关卡产出!AV$21)</f>
        <v>0</v>
      </c>
      <c r="AP14" s="129">
        <f>IF(N14=0,0,$L14*关卡产出!AW$21)</f>
        <v>0</v>
      </c>
      <c r="AQ14" s="138">
        <f>SUM(AN$7:AN14)</f>
        <v>0</v>
      </c>
      <c r="AR14" s="126">
        <f>SUM(AO$7:AO14)</f>
        <v>0</v>
      </c>
      <c r="AS14" s="129">
        <f>SUM(AP$7:AP14)</f>
        <v>0</v>
      </c>
      <c r="AT14" s="128">
        <v>500</v>
      </c>
      <c r="AU14" s="129">
        <v>100</v>
      </c>
      <c r="AV14" s="128">
        <f>SUM(AT$7:AT14)</f>
        <v>4000</v>
      </c>
      <c r="AW14" s="90">
        <f>SUM(AU$7:AU14)</f>
        <v>800</v>
      </c>
      <c r="AY14" s="128">
        <f t="shared" si="13"/>
        <v>1600</v>
      </c>
      <c r="AZ14" s="90">
        <f t="shared" si="14"/>
        <v>0</v>
      </c>
      <c r="BA14" s="90">
        <f t="shared" si="15"/>
        <v>800</v>
      </c>
      <c r="BB14" s="90">
        <f t="shared" ca="1" si="65"/>
        <v>50</v>
      </c>
      <c r="BC14" s="90">
        <f t="shared" ca="1" si="68"/>
        <v>2450</v>
      </c>
      <c r="BD14" s="90"/>
      <c r="BE14" s="90">
        <f t="shared" ca="1" si="17"/>
        <v>2450</v>
      </c>
      <c r="BF14" s="142">
        <f t="shared" ca="1" si="18"/>
        <v>0.65306122448979587</v>
      </c>
      <c r="BG14" s="142">
        <f t="shared" ca="1" si="19"/>
        <v>0</v>
      </c>
      <c r="BH14" s="142">
        <f t="shared" ca="1" si="20"/>
        <v>0.32653061224489793</v>
      </c>
      <c r="BI14" s="142">
        <f t="shared" ca="1" si="21"/>
        <v>2.0408163265306121E-2</v>
      </c>
      <c r="BJ14" s="143"/>
      <c r="BK14" s="128">
        <f ca="1">INDEX(商城宝箱!$L:$L,MATCH(BC14,商城宝箱!$N:$N,1))</f>
        <v>2</v>
      </c>
      <c r="BL14" s="90">
        <f ca="1">_xlfn.IFNA(INDEX(商城宝箱!T:T,MATCH(玩家节奏1!$BK14,商城宝箱!$L:$L,0)),0)+($BC14-INDEX(商城宝箱!$N:$N,MATCH(玩家节奏1!$BK14,商城宝箱!$L:$L,0)))/$BK$5*INDEX(商城宝箱!E$23:E$42,MATCH(玩家节奏1!$BK14+1,商城宝箱!$C$23:$C$42,0))</f>
        <v>6125</v>
      </c>
      <c r="BM14" s="90">
        <f ca="1">_xlfn.IFNA(INDEX(商城宝箱!U:U,MATCH(玩家节奏1!$BK14,商城宝箱!$L:$L,0)),0)+($BC14-INDEX(商城宝箱!$N:$N,MATCH(玩家节奏1!$BK14,商城宝箱!$L:$L,0)))/$BK$5*INDEX(商城宝箱!F$23:F$42,MATCH(玩家节奏1!$BK14+1,商城宝箱!$C$23:$C$42,0))</f>
        <v>731.25</v>
      </c>
      <c r="BN14" s="90">
        <f ca="1">_xlfn.IFNA(INDEX(商城宝箱!V:V,MATCH(玩家节奏1!$BK14,商城宝箱!$L:$L,0)),0)+($BC14-INDEX(商城宝箱!$N:$N,MATCH(玩家节奏1!$BK14,商城宝箱!$L:$L,0)))/$BK$5*INDEX(商城宝箱!G$23:G$42,MATCH(玩家节奏1!$BK14+1,商城宝箱!$C$23:$C$42,0))</f>
        <v>185.5</v>
      </c>
      <c r="BO14" s="90">
        <f ca="1">_xlfn.IFNA(INDEX(商城宝箱!W:W,MATCH(玩家节奏1!$BK14,商城宝箱!$L:$L,0)),0)+($BC14-INDEX(商城宝箱!$N:$N,MATCH(玩家节奏1!$BK14,商城宝箱!$L:$L,0)))/$BK$5*INDEX(商城宝箱!H$23:H$42,MATCH(玩家节奏1!$BK14+1,商城宝箱!$C$23:$C$42,0))</f>
        <v>14.25</v>
      </c>
      <c r="BQ14" s="128">
        <f t="shared" si="0"/>
        <v>40800</v>
      </c>
      <c r="BR14" s="90">
        <f t="shared" si="1"/>
        <v>8430</v>
      </c>
      <c r="BS14" s="90">
        <f t="shared" ca="1" si="2"/>
        <v>15760</v>
      </c>
      <c r="BT14" s="90">
        <f t="shared" si="3"/>
        <v>2400</v>
      </c>
      <c r="BU14" s="90">
        <f t="shared" si="4"/>
        <v>0</v>
      </c>
      <c r="BV14" s="90">
        <f t="shared" si="5"/>
        <v>4000</v>
      </c>
      <c r="BW14" s="90">
        <f t="shared" ca="1" si="22"/>
        <v>6125</v>
      </c>
      <c r="BX14" s="90">
        <f t="shared" ca="1" si="23"/>
        <v>77515</v>
      </c>
      <c r="BY14" s="142">
        <f t="shared" ca="1" si="24"/>
        <v>0.52634973876023994</v>
      </c>
      <c r="BZ14" s="142">
        <f t="shared" ca="1" si="25"/>
        <v>0.10875314455266723</v>
      </c>
      <c r="CA14" s="142">
        <f t="shared" ca="1" si="26"/>
        <v>0.20331548732503388</v>
      </c>
      <c r="CB14" s="142">
        <f t="shared" ca="1" si="27"/>
        <v>3.0961749338837646E-2</v>
      </c>
      <c r="CC14" s="142">
        <f t="shared" ca="1" si="28"/>
        <v>0</v>
      </c>
      <c r="CD14" s="142">
        <f t="shared" ca="1" si="29"/>
        <v>5.1602915564729408E-2</v>
      </c>
      <c r="CE14" s="142">
        <f t="shared" ca="1" si="30"/>
        <v>7.9016964458491906E-2</v>
      </c>
      <c r="CG14" s="128">
        <f t="shared" si="31"/>
        <v>14</v>
      </c>
      <c r="CH14" s="90">
        <f ca="1">INDEX(角色升级!$A:$A,MATCH(玩家节奏1!$BX14,角色升级!$J:$J,1))</f>
        <v>91</v>
      </c>
      <c r="CI14" s="90">
        <f ca="1">INDEX(角色升级!$O:$O,MATCH(玩家节奏1!$BX14,角色升级!$J:$J,1))</f>
        <v>730.74434999999994</v>
      </c>
      <c r="CJ14" s="90">
        <f>INDEX(关卡对比!$J:$J,MATCH(玩家节奏1!N14,关卡对比!$A:$A,0))</f>
        <v>750</v>
      </c>
      <c r="CK14" s="147">
        <f t="shared" ca="1" si="32"/>
        <v>1.0263507340152545</v>
      </c>
      <c r="CL14" s="128">
        <f ca="1">INDEX(角色升级!$P:$P,MATCH(玩家节奏1!$CH14,角色升级!$A:$A,0))</f>
        <v>50</v>
      </c>
      <c r="CM14" s="90">
        <f ca="1">INDEX(角色升级!Q:Q,MATCH(玩家节奏1!$CH14,角色升级!$A:$A,0))</f>
        <v>0</v>
      </c>
      <c r="CO14" s="128">
        <f t="shared" si="33"/>
        <v>374</v>
      </c>
      <c r="CP14" s="90">
        <f t="shared" si="34"/>
        <v>439</v>
      </c>
      <c r="CQ14" s="90">
        <f t="shared" si="35"/>
        <v>528</v>
      </c>
      <c r="CR14" s="90">
        <f t="shared" ca="1" si="36"/>
        <v>731.25</v>
      </c>
      <c r="CS14" s="90">
        <f t="shared" ca="1" si="37"/>
        <v>2072.25</v>
      </c>
      <c r="CT14" s="142">
        <f t="shared" ca="1" si="38"/>
        <v>0.18048015442152249</v>
      </c>
      <c r="CU14" s="142">
        <f t="shared" ca="1" si="39"/>
        <v>0.21184702617927373</v>
      </c>
      <c r="CV14" s="142">
        <f t="shared" ca="1" si="40"/>
        <v>0.25479551212450235</v>
      </c>
      <c r="CW14" s="142">
        <f t="shared" ca="1" si="41"/>
        <v>0.3528773072747014</v>
      </c>
      <c r="CY14" s="128">
        <f t="shared" si="42"/>
        <v>188</v>
      </c>
      <c r="CZ14" s="90">
        <f t="shared" si="43"/>
        <v>205</v>
      </c>
      <c r="DA14" s="90">
        <f t="shared" si="44"/>
        <v>168</v>
      </c>
      <c r="DB14" s="90">
        <f t="shared" ca="1" si="66"/>
        <v>185.5</v>
      </c>
      <c r="DC14" s="90">
        <f t="shared" ca="1" si="45"/>
        <v>746.5</v>
      </c>
      <c r="DD14" s="142">
        <f t="shared" ca="1" si="46"/>
        <v>0.25184192900200936</v>
      </c>
      <c r="DE14" s="142">
        <f t="shared" ca="1" si="47"/>
        <v>0.27461486939048896</v>
      </c>
      <c r="DF14" s="142">
        <f t="shared" ca="1" si="48"/>
        <v>0.22505023442732752</v>
      </c>
      <c r="DG14" s="142">
        <f t="shared" ca="1" si="49"/>
        <v>0.24849296718017413</v>
      </c>
      <c r="DI14" s="128">
        <f t="shared" si="50"/>
        <v>48</v>
      </c>
      <c r="DJ14" s="90">
        <f t="shared" si="51"/>
        <v>55</v>
      </c>
      <c r="DK14" s="90">
        <f t="shared" si="52"/>
        <v>24</v>
      </c>
      <c r="DL14" s="90">
        <f t="shared" ca="1" si="53"/>
        <v>14.25</v>
      </c>
      <c r="DM14" s="90">
        <f t="shared" ca="1" si="54"/>
        <v>141.25</v>
      </c>
      <c r="DN14" s="142">
        <f t="shared" ca="1" si="55"/>
        <v>0.33982300884955752</v>
      </c>
      <c r="DO14" s="142">
        <f t="shared" ca="1" si="56"/>
        <v>0.38938053097345132</v>
      </c>
      <c r="DP14" s="142">
        <f t="shared" ca="1" si="57"/>
        <v>0.16991150442477876</v>
      </c>
      <c r="DQ14" s="142">
        <f t="shared" ca="1" si="58"/>
        <v>0.10088495575221239</v>
      </c>
      <c r="DS14" s="128">
        <f t="shared" ca="1" si="59"/>
        <v>2072.25</v>
      </c>
      <c r="DT14" s="90">
        <f t="shared" ca="1" si="60"/>
        <v>746.5</v>
      </c>
      <c r="DU14" s="90">
        <f t="shared" ca="1" si="61"/>
        <v>141.25</v>
      </c>
      <c r="DV14" s="90">
        <f t="shared" si="62"/>
        <v>0</v>
      </c>
      <c r="DW14" s="90">
        <f ca="1">_xlfn.IFNA(INDEX(武器升级消耗!$H:$H,MATCH(玩家节奏1!DS14/玩家节奏1!DS$5,武器升级消耗!M:M,1)),0)</f>
        <v>6</v>
      </c>
      <c r="DX14" s="90">
        <f ca="1">_xlfn.IFNA(INDEX(武器升级消耗!$H:$H,MATCH(玩家节奏1!DT14/玩家节奏1!DT$5,武器升级消耗!N:N,1)),0)</f>
        <v>4</v>
      </c>
      <c r="DY14" s="90">
        <f ca="1">_xlfn.IFNA(INDEX(武器升级消耗!$H:$H,MATCH(玩家节奏1!DU14/玩家节奏1!DU$5,武器升级消耗!O:O,1)),0)</f>
        <v>2</v>
      </c>
      <c r="DZ14" s="90">
        <f>_xlfn.IFNA(INDEX(武器升级消耗!$H:$H,MATCH(玩家节奏1!DV14/玩家节奏1!DV$5,武器升级消耗!P:P,1)),0)</f>
        <v>0</v>
      </c>
      <c r="EA14" s="90">
        <f ca="1">_xlfn.IFNA(INDEX(武器升级消耗!$Q:$Q,MATCH(玩家节奏1!DW14,武器升级消耗!$H:$H,0))*2*EA$4,0)</f>
        <v>1.2</v>
      </c>
      <c r="EB14" s="90">
        <f ca="1">_xlfn.IFNA(INDEX(武器升级消耗!$Q:$Q,MATCH(玩家节奏1!DX14,武器升级消耗!$H:$H,0))*2*EB$4,0)</f>
        <v>1.2000000000000002</v>
      </c>
      <c r="EC14" s="90">
        <f ca="1">_xlfn.IFNA(INDEX(武器升级消耗!$Q:$Q,MATCH(玩家节奏1!DY14,武器升级消耗!$H:$H,0))*2*EC$4,1)</f>
        <v>1.32</v>
      </c>
      <c r="ED14" s="90">
        <f>_xlfn.IFNA(INDEX(武器升级消耗!$Q:$Q,MATCH(玩家节奏1!DZ14,武器升级消耗!$H:$H,0))*2*ED$4,0)</f>
        <v>0</v>
      </c>
      <c r="EF14" s="128"/>
      <c r="EG14" s="90"/>
      <c r="EH14" s="90"/>
      <c r="EI14" s="90"/>
      <c r="EJ14" s="90"/>
      <c r="EK14" s="90"/>
      <c r="EL14" s="90"/>
      <c r="EM14" s="90"/>
      <c r="EO14" s="128"/>
      <c r="EP14" s="90"/>
      <c r="EQ14" s="90"/>
      <c r="ER14" s="90"/>
      <c r="ES14" s="90"/>
      <c r="ET14" s="90"/>
      <c r="EU14" s="90"/>
      <c r="EV14" s="90"/>
      <c r="EW14" s="90"/>
      <c r="EX14" s="90"/>
      <c r="EY14" s="90"/>
      <c r="EZ14" s="90"/>
      <c r="FA14" s="90"/>
      <c r="FB14" s="90"/>
      <c r="FD14" s="90">
        <f t="shared" ca="1" si="63"/>
        <v>1.32</v>
      </c>
      <c r="FE14" s="90"/>
      <c r="FF14" s="90"/>
      <c r="FG14" s="90">
        <f t="shared" ca="1" si="64"/>
        <v>0</v>
      </c>
    </row>
    <row r="15" spans="1:163" x14ac:dyDescent="0.25">
      <c r="A15" s="123">
        <v>9</v>
      </c>
      <c r="B15" s="123"/>
      <c r="C15" s="124"/>
      <c r="D15" s="125">
        <f t="shared" si="67"/>
        <v>22.5</v>
      </c>
      <c r="E15" s="125">
        <v>3</v>
      </c>
      <c r="F15" s="128">
        <v>7</v>
      </c>
      <c r="G15" s="90">
        <v>0</v>
      </c>
      <c r="H15" s="90">
        <v>0</v>
      </c>
      <c r="J15" s="128">
        <v>9</v>
      </c>
      <c r="K15" s="90">
        <f t="shared" si="10"/>
        <v>6</v>
      </c>
      <c r="L15" s="90">
        <f t="shared" si="11"/>
        <v>0</v>
      </c>
      <c r="M15" s="90">
        <f t="shared" si="12"/>
        <v>1</v>
      </c>
      <c r="N15" s="140">
        <f>INDEX($A:$A,MATCH(SUM($K$7:K15),$D:$D,1))</f>
        <v>15</v>
      </c>
      <c r="O15" s="140">
        <v>0</v>
      </c>
      <c r="P15" s="141">
        <v>0</v>
      </c>
      <c r="Q15" s="126">
        <f>_xlfn.MAXIFS(关卡产出!X:X,关卡产出!$A:$A,玩家节奏1!$N$6,关卡产出!$B:$B,玩家节奏1!$N15)+_xlfn.MAXIFS(关卡产出!X:X,关卡产出!$A:$A,玩家节奏1!$O$6,关卡产出!$B:$B,玩家节奏1!$O15)+_xlfn.MAXIFS(关卡产出!X:X,关卡产出!$A:$A,玩家节奏1!$P$6,关卡产出!$B:$B,玩家节奏1!$P15)</f>
        <v>1750</v>
      </c>
      <c r="R15" s="90">
        <f>_xlfn.MAXIFS(关卡产出!Y:Y,关卡产出!$A:$A,玩家节奏1!$N$6,关卡产出!$B:$B,玩家节奏1!$N15)+_xlfn.MAXIFS(关卡产出!Y:Y,关卡产出!$A:$A,玩家节奏1!$O$6,关卡产出!$B:$B,玩家节奏1!$O15)+_xlfn.MAXIFS(关卡产出!Y:Y,关卡产出!$A:$A,玩家节奏1!$P$6,关卡产出!$B:$B,玩家节奏1!$P15)</f>
        <v>47500</v>
      </c>
      <c r="S15" s="90">
        <f>_xlfn.MAXIFS(关卡产出!Z:Z,关卡产出!$A:$A,玩家节奏1!$N$6,关卡产出!$B:$B,玩家节奏1!$N15)+_xlfn.MAXIFS(关卡产出!Z:Z,关卡产出!$A:$A,玩家节奏1!$O$6,关卡产出!$B:$B,玩家节奏1!$O15)+_xlfn.MAXIFS(关卡产出!Z:Z,关卡产出!$A:$A,玩家节奏1!$P$6,关卡产出!$B:$B,玩家节奏1!$P15)</f>
        <v>426</v>
      </c>
      <c r="T15" s="90">
        <f>_xlfn.MAXIFS(关卡产出!AA:AA,关卡产出!$A:$A,玩家节奏1!$N$6,关卡产出!$B:$B,玩家节奏1!$N15)+_xlfn.MAXIFS(关卡产出!AA:AA,关卡产出!$A:$A,玩家节奏1!$O$6,关卡产出!$B:$B,玩家节奏1!$O15)+_xlfn.MAXIFS(关卡产出!AA:AA,关卡产出!$A:$A,玩家节奏1!$P$6,关卡产出!$B:$B,玩家节奏1!$P15)</f>
        <v>214</v>
      </c>
      <c r="U15" s="90">
        <f>_xlfn.MAXIFS(关卡产出!AB:AB,关卡产出!$A:$A,玩家节奏1!$N$6,关卡产出!$B:$B,玩家节奏1!$N15)+_xlfn.MAXIFS(关卡产出!AB:AB,关卡产出!$A:$A,玩家节奏1!$O$6,关卡产出!$B:$B,玩家节奏1!$O15)+_xlfn.MAXIFS(关卡产出!AB:AB,关卡产出!$A:$A,玩家节奏1!$P$6,关卡产出!$B:$B,玩家节奏1!$P15)</f>
        <v>58</v>
      </c>
      <c r="V15" s="130">
        <f>_xlfn.MAXIFS(关卡产出!AC:AC,关卡产出!$A:$A,玩家节奏1!$N$6,关卡产出!$B:$B,玩家节奏1!$N15)+_xlfn.MAXIFS(关卡产出!AC:AC,关卡产出!$A:$A,玩家节奏1!$O$6,关卡产出!$B:$B,玩家节奏1!$O15)+_xlfn.MAXIFS(关卡产出!AC:AC,关卡产出!$A:$A,玩家节奏1!$P$6,关卡产出!$B:$B,玩家节奏1!$P15)</f>
        <v>90</v>
      </c>
      <c r="W15" s="126">
        <f>INDEX(关卡产出!C$8:C$207,MATCH(玩家节奏1!$N15,关卡产出!$B$8:$B$207,0))*$K15</f>
        <v>66</v>
      </c>
      <c r="X15" s="126">
        <f>INDEX(关卡产出!D$8:D$207,MATCH(玩家节奏1!$N15,关卡产出!$B$8:$B$207,0))*$K15</f>
        <v>30</v>
      </c>
      <c r="Y15" s="126">
        <f>INDEX(关卡产出!E$8:E$207,MATCH(玩家节奏1!$N15,关卡产出!$B$8:$B$207,0))*$K15</f>
        <v>6</v>
      </c>
      <c r="Z15" s="144">
        <f>INDEX(关卡产出!F$8:F$207,MATCH(玩家节奏1!$N15,关卡产出!$B$8:$B$207,0))*$K15</f>
        <v>1260</v>
      </c>
      <c r="AA15" s="126">
        <f>SUM(W$7:W15)</f>
        <v>505</v>
      </c>
      <c r="AB15" s="126">
        <f>SUM(X$7:X15)</f>
        <v>235</v>
      </c>
      <c r="AC15" s="126">
        <f>SUM(Y$7:Y15)</f>
        <v>61</v>
      </c>
      <c r="AD15" s="126">
        <f>SUM(Z$7:Z15)</f>
        <v>9690</v>
      </c>
      <c r="AE15" s="126">
        <f>INDEX(图鉴!AQ:AQ,MATCH($N15,图鉴!$S:$S,0))*8</f>
        <v>112</v>
      </c>
      <c r="AF15" s="90">
        <f>INDEX(图鉴!AR:AR,MATCH($N15,图鉴!$S:$S,0))*8</f>
        <v>32</v>
      </c>
      <c r="AG15" s="90">
        <f>INDEX(图鉴!AS:AS,MATCH($N15,图鉴!$S:$S,0))*8</f>
        <v>8</v>
      </c>
      <c r="AH15" s="129">
        <f ca="1">INDEX(图鉴!AT:AT,MATCH($N15,图鉴!$S:$S,0))*8</f>
        <v>3376</v>
      </c>
      <c r="AI15" s="128">
        <f>SUM($AE$7:AE15)</f>
        <v>640</v>
      </c>
      <c r="AJ15" s="90">
        <f>SUM(AF$7:AF15)</f>
        <v>200</v>
      </c>
      <c r="AK15" s="90">
        <f>SUM(AG$7:AG15)</f>
        <v>32</v>
      </c>
      <c r="AL15" s="130">
        <f ca="1">SUM(AH$7:AH15)</f>
        <v>19136</v>
      </c>
      <c r="AM15" s="133">
        <f>IF(M15=0,0,INDEX(关卡产出!$AU$11:$AU$15,MATCH(玩家节奏1!N15,关卡产出!$AW$11:$AW$15,1))*M15)</f>
        <v>2400</v>
      </c>
      <c r="AN15" s="126">
        <f>IF(L15=0,0,$L15*关卡产出!AU$21)</f>
        <v>0</v>
      </c>
      <c r="AO15" s="90">
        <f>IF(M15=0,0,$L15*关卡产出!AV$21)</f>
        <v>0</v>
      </c>
      <c r="AP15" s="129">
        <f>IF(N15=0,0,$L15*关卡产出!AW$21)</f>
        <v>0</v>
      </c>
      <c r="AQ15" s="138">
        <f>SUM(AN$7:AN15)</f>
        <v>0</v>
      </c>
      <c r="AR15" s="126">
        <f>SUM(AO$7:AO15)</f>
        <v>0</v>
      </c>
      <c r="AS15" s="129">
        <f>SUM(AP$7:AP15)</f>
        <v>0</v>
      </c>
      <c r="AT15" s="128">
        <v>500</v>
      </c>
      <c r="AU15" s="129">
        <v>100</v>
      </c>
      <c r="AV15" s="128">
        <f>SUM(AT$7:AT15)</f>
        <v>4500</v>
      </c>
      <c r="AW15" s="90">
        <f>SUM(AU$7:AU15)</f>
        <v>900</v>
      </c>
      <c r="AY15" s="128">
        <f t="shared" si="13"/>
        <v>1750</v>
      </c>
      <c r="AZ15" s="90">
        <f t="shared" si="14"/>
        <v>0</v>
      </c>
      <c r="BA15" s="90">
        <f t="shared" si="15"/>
        <v>900</v>
      </c>
      <c r="BB15" s="90">
        <f t="shared" ca="1" si="65"/>
        <v>50</v>
      </c>
      <c r="BC15" s="90">
        <f t="shared" ca="1" si="68"/>
        <v>2700</v>
      </c>
      <c r="BD15" s="90"/>
      <c r="BE15" s="90">
        <f t="shared" ca="1" si="17"/>
        <v>2700</v>
      </c>
      <c r="BF15" s="142">
        <f t="shared" ca="1" si="18"/>
        <v>0.64814814814814814</v>
      </c>
      <c r="BG15" s="142">
        <f t="shared" ca="1" si="19"/>
        <v>0</v>
      </c>
      <c r="BH15" s="142">
        <f t="shared" ca="1" si="20"/>
        <v>0.33333333333333331</v>
      </c>
      <c r="BI15" s="142">
        <f t="shared" ca="1" si="21"/>
        <v>1.8518518518518517E-2</v>
      </c>
      <c r="BJ15" s="143"/>
      <c r="BK15" s="128">
        <f ca="1">INDEX(商城宝箱!$L:$L,MATCH(BC15,商城宝箱!$N:$N,1))</f>
        <v>2</v>
      </c>
      <c r="BL15" s="90">
        <f ca="1">_xlfn.IFNA(INDEX(商城宝箱!T:T,MATCH(玩家节奏1!$BK15,商城宝箱!$L:$L,0)),0)+($BC15-INDEX(商城宝箱!$N:$N,MATCH(玩家节奏1!$BK15,商城宝箱!$L:$L,0)))/$BK$5*INDEX(商城宝箱!E$23:E$42,MATCH(玩家节奏1!$BK15+1,商城宝箱!$C$23:$C$42,0))</f>
        <v>6750</v>
      </c>
      <c r="BM15" s="90">
        <f ca="1">_xlfn.IFNA(INDEX(商城宝箱!U:U,MATCH(玩家节奏1!$BK15,商城宝箱!$L:$L,0)),0)+($BC15-INDEX(商城宝箱!$N:$N,MATCH(玩家节奏1!$BK15,商城宝箱!$L:$L,0)))/$BK$5*INDEX(商城宝箱!F$23:F$42,MATCH(玩家节奏1!$BK15+1,商城宝箱!$C$23:$C$42,0))</f>
        <v>825</v>
      </c>
      <c r="BN15" s="90">
        <f ca="1">_xlfn.IFNA(INDEX(商城宝箱!V:V,MATCH(玩家节奏1!$BK15,商城宝箱!$L:$L,0)),0)+($BC15-INDEX(商城宝箱!$N:$N,MATCH(玩家节奏1!$BK15,商城宝箱!$L:$L,0)))/$BK$5*INDEX(商城宝箱!G$23:G$42,MATCH(玩家节奏1!$BK15+1,商城宝箱!$C$23:$C$42,0))</f>
        <v>213</v>
      </c>
      <c r="BO15" s="90">
        <f ca="1">_xlfn.IFNA(INDEX(商城宝箱!W:W,MATCH(玩家节奏1!$BK15,商城宝箱!$L:$L,0)),0)+($BC15-INDEX(商城宝箱!$N:$N,MATCH(玩家节奏1!$BK15,商城宝箱!$L:$L,0)))/$BK$5*INDEX(商城宝箱!H$23:H$42,MATCH(玩家节奏1!$BK15+1,商城宝箱!$C$23:$C$42,0))</f>
        <v>18</v>
      </c>
      <c r="BQ15" s="128">
        <f t="shared" si="0"/>
        <v>47500</v>
      </c>
      <c r="BR15" s="90">
        <f t="shared" si="1"/>
        <v>9690</v>
      </c>
      <c r="BS15" s="90">
        <f t="shared" ca="1" si="2"/>
        <v>19136</v>
      </c>
      <c r="BT15" s="90">
        <f t="shared" si="3"/>
        <v>2400</v>
      </c>
      <c r="BU15" s="90">
        <f t="shared" si="4"/>
        <v>0</v>
      </c>
      <c r="BV15" s="90">
        <f t="shared" si="5"/>
        <v>4500</v>
      </c>
      <c r="BW15" s="90">
        <f t="shared" ca="1" si="22"/>
        <v>6750</v>
      </c>
      <c r="BX15" s="90">
        <f t="shared" ca="1" si="23"/>
        <v>89976</v>
      </c>
      <c r="BY15" s="142">
        <f t="shared" ca="1" si="24"/>
        <v>0.52791855605939364</v>
      </c>
      <c r="BZ15" s="142">
        <f t="shared" ca="1" si="25"/>
        <v>0.1076953854361163</v>
      </c>
      <c r="CA15" s="142">
        <f t="shared" ca="1" si="26"/>
        <v>0.21267893660531698</v>
      </c>
      <c r="CB15" s="142">
        <f t="shared" ca="1" si="27"/>
        <v>2.6673779674579887E-2</v>
      </c>
      <c r="CC15" s="142">
        <f t="shared" ca="1" si="28"/>
        <v>0</v>
      </c>
      <c r="CD15" s="142">
        <f t="shared" ca="1" si="29"/>
        <v>5.0013336889837293E-2</v>
      </c>
      <c r="CE15" s="142">
        <f t="shared" ca="1" si="30"/>
        <v>7.5020005334755932E-2</v>
      </c>
      <c r="CG15" s="128">
        <f t="shared" si="31"/>
        <v>15</v>
      </c>
      <c r="CH15" s="90">
        <f ca="1">INDEX(角色升级!$A:$A,MATCH(玩家节奏1!$BX15,角色升级!$J:$J,1))</f>
        <v>95</v>
      </c>
      <c r="CI15" s="90">
        <f ca="1">INDEX(角色升级!$O:$O,MATCH(玩家节奏1!$BX15,角色升级!$J:$J,1))</f>
        <v>897.77162999999985</v>
      </c>
      <c r="CJ15" s="90">
        <f>INDEX(关卡对比!$J:$J,MATCH(玩家节奏1!N15,关卡对比!$A:$A,0))</f>
        <v>900</v>
      </c>
      <c r="CK15" s="147">
        <f t="shared" ca="1" si="32"/>
        <v>1.0024821122939696</v>
      </c>
      <c r="CL15" s="128">
        <f ca="1">INDEX(角色升级!$P:$P,MATCH(玩家节奏1!$CH15,角色升级!$A:$A,0))</f>
        <v>50</v>
      </c>
      <c r="CM15" s="90">
        <f ca="1">INDEX(角色升级!Q:Q,MATCH(玩家节奏1!$CH15,角色升级!$A:$A,0))</f>
        <v>0</v>
      </c>
      <c r="CO15" s="128">
        <f t="shared" si="33"/>
        <v>426</v>
      </c>
      <c r="CP15" s="90">
        <f t="shared" si="34"/>
        <v>505</v>
      </c>
      <c r="CQ15" s="90">
        <f t="shared" si="35"/>
        <v>640</v>
      </c>
      <c r="CR15" s="90">
        <f t="shared" ca="1" si="36"/>
        <v>825</v>
      </c>
      <c r="CS15" s="90">
        <f t="shared" ca="1" si="37"/>
        <v>2396</v>
      </c>
      <c r="CT15" s="142">
        <f t="shared" ca="1" si="38"/>
        <v>0.17779632721202004</v>
      </c>
      <c r="CU15" s="142">
        <f t="shared" ca="1" si="39"/>
        <v>0.21076794657762937</v>
      </c>
      <c r="CV15" s="142">
        <f t="shared" ca="1" si="40"/>
        <v>0.26711185308848079</v>
      </c>
      <c r="CW15" s="142">
        <f t="shared" ca="1" si="41"/>
        <v>0.34432387312186979</v>
      </c>
      <c r="CY15" s="128">
        <f t="shared" si="42"/>
        <v>214</v>
      </c>
      <c r="CZ15" s="90">
        <f t="shared" si="43"/>
        <v>235</v>
      </c>
      <c r="DA15" s="90">
        <f t="shared" si="44"/>
        <v>200</v>
      </c>
      <c r="DB15" s="90">
        <f t="shared" ca="1" si="66"/>
        <v>213</v>
      </c>
      <c r="DC15" s="90">
        <f t="shared" ca="1" si="45"/>
        <v>862</v>
      </c>
      <c r="DD15" s="142">
        <f t="shared" ca="1" si="46"/>
        <v>0.24825986078886311</v>
      </c>
      <c r="DE15" s="142">
        <f t="shared" ca="1" si="47"/>
        <v>0.27262180974477956</v>
      </c>
      <c r="DF15" s="142">
        <f t="shared" ca="1" si="48"/>
        <v>0.23201856148491878</v>
      </c>
      <c r="DG15" s="142">
        <f t="shared" ca="1" si="49"/>
        <v>0.24709976798143851</v>
      </c>
      <c r="DI15" s="128">
        <f t="shared" si="50"/>
        <v>58</v>
      </c>
      <c r="DJ15" s="90">
        <f t="shared" si="51"/>
        <v>61</v>
      </c>
      <c r="DK15" s="90">
        <f t="shared" si="52"/>
        <v>32</v>
      </c>
      <c r="DL15" s="90">
        <f t="shared" ca="1" si="53"/>
        <v>18</v>
      </c>
      <c r="DM15" s="90">
        <f t="shared" ca="1" si="54"/>
        <v>169</v>
      </c>
      <c r="DN15" s="142">
        <f t="shared" ca="1" si="55"/>
        <v>0.34319526627218933</v>
      </c>
      <c r="DO15" s="142">
        <f t="shared" ca="1" si="56"/>
        <v>0.36094674556213019</v>
      </c>
      <c r="DP15" s="142">
        <f t="shared" ca="1" si="57"/>
        <v>0.1893491124260355</v>
      </c>
      <c r="DQ15" s="142">
        <f t="shared" ca="1" si="58"/>
        <v>0.10650887573964497</v>
      </c>
      <c r="DS15" s="128">
        <f t="shared" ca="1" si="59"/>
        <v>2396</v>
      </c>
      <c r="DT15" s="90">
        <f t="shared" ca="1" si="60"/>
        <v>862</v>
      </c>
      <c r="DU15" s="90">
        <f t="shared" ca="1" si="61"/>
        <v>169</v>
      </c>
      <c r="DV15" s="90">
        <f t="shared" si="62"/>
        <v>0</v>
      </c>
      <c r="DW15" s="90">
        <f ca="1">_xlfn.IFNA(INDEX(武器升级消耗!$H:$H,MATCH(玩家节奏1!DS15/玩家节奏1!DS$5,武器升级消耗!M:M,1)),0)</f>
        <v>7</v>
      </c>
      <c r="DX15" s="90">
        <f ca="1">_xlfn.IFNA(INDEX(武器升级消耗!$H:$H,MATCH(玩家节奏1!DT15/玩家节奏1!DT$5,武器升级消耗!N:N,1)),0)</f>
        <v>4</v>
      </c>
      <c r="DY15" s="90">
        <f ca="1">_xlfn.IFNA(INDEX(武器升级消耗!$H:$H,MATCH(玩家节奏1!DU15/玩家节奏1!DU$5,武器升级消耗!O:O,1)),0)</f>
        <v>2</v>
      </c>
      <c r="DZ15" s="90">
        <f>_xlfn.IFNA(INDEX(武器升级消耗!$H:$H,MATCH(玩家节奏1!DV15/玩家节奏1!DV$5,武器升级消耗!P:P,1)),0)</f>
        <v>0</v>
      </c>
      <c r="EA15" s="90">
        <f ca="1">_xlfn.IFNA(INDEX(武器升级消耗!$Q:$Q,MATCH(玩家节奏1!DW15,武器升级消耗!$H:$H,0))*2*EA$4,0)</f>
        <v>1.32</v>
      </c>
      <c r="EB15" s="90">
        <f ca="1">_xlfn.IFNA(INDEX(武器升级消耗!$Q:$Q,MATCH(玩家节奏1!DX15,武器升级消耗!$H:$H,0))*2*EB$4,0)</f>
        <v>1.2000000000000002</v>
      </c>
      <c r="EC15" s="90">
        <f ca="1">_xlfn.IFNA(INDEX(武器升级消耗!$Q:$Q,MATCH(玩家节奏1!DY15,武器升级消耗!$H:$H,0))*2*EC$4,1)</f>
        <v>1.32</v>
      </c>
      <c r="ED15" s="90">
        <f>_xlfn.IFNA(INDEX(武器升级消耗!$Q:$Q,MATCH(玩家节奏1!DZ15,武器升级消耗!$H:$H,0))*2*ED$4,0)</f>
        <v>0</v>
      </c>
      <c r="EF15" s="128"/>
      <c r="EG15" s="90"/>
      <c r="EH15" s="90"/>
      <c r="EI15" s="90"/>
      <c r="EJ15" s="90"/>
      <c r="EK15" s="90"/>
      <c r="EL15" s="90"/>
      <c r="EM15" s="90"/>
      <c r="EO15" s="128"/>
      <c r="EP15" s="90"/>
      <c r="EQ15" s="90"/>
      <c r="ER15" s="90"/>
      <c r="ES15" s="90"/>
      <c r="ET15" s="90"/>
      <c r="EU15" s="90"/>
      <c r="EV15" s="90"/>
      <c r="EW15" s="90"/>
      <c r="EX15" s="90"/>
      <c r="EY15" s="90"/>
      <c r="EZ15" s="90"/>
      <c r="FA15" s="90"/>
      <c r="FB15" s="90"/>
      <c r="FD15" s="90">
        <f t="shared" ca="1" si="63"/>
        <v>1.32</v>
      </c>
      <c r="FE15" s="90"/>
      <c r="FF15" s="90"/>
      <c r="FG15" s="90">
        <f t="shared" ca="1" si="64"/>
        <v>0</v>
      </c>
    </row>
    <row r="16" spans="1:163" x14ac:dyDescent="0.25">
      <c r="A16" s="123">
        <v>10</v>
      </c>
      <c r="B16" s="123">
        <f>INDEX(关卡对比!$Y:$Y,MATCH(关卡对比!Z16,关卡对比!$AA:$AA,1))</f>
        <v>5</v>
      </c>
      <c r="C16" s="124"/>
      <c r="D16" s="125">
        <f>A16*E16+B16*E16+C16*E16-4.5-10</f>
        <v>30.5</v>
      </c>
      <c r="E16" s="125">
        <v>3</v>
      </c>
      <c r="F16" s="128">
        <v>6</v>
      </c>
      <c r="G16" s="90">
        <v>0</v>
      </c>
      <c r="H16" s="90">
        <v>1</v>
      </c>
      <c r="J16" s="128">
        <v>10</v>
      </c>
      <c r="K16" s="90">
        <f t="shared" si="10"/>
        <v>6</v>
      </c>
      <c r="L16" s="90">
        <f t="shared" si="11"/>
        <v>0</v>
      </c>
      <c r="M16" s="90">
        <f t="shared" si="12"/>
        <v>1</v>
      </c>
      <c r="N16" s="140">
        <f>INDEX($A:$A,MATCH(SUM($K$7:K16),$D:$D,1))</f>
        <v>16</v>
      </c>
      <c r="O16" s="140">
        <v>0</v>
      </c>
      <c r="P16" s="141">
        <v>0</v>
      </c>
      <c r="Q16" s="126">
        <f>_xlfn.MAXIFS(关卡产出!X:X,关卡产出!$A:$A,玩家节奏1!$N$6,关卡产出!$B:$B,玩家节奏1!$N16)+_xlfn.MAXIFS(关卡产出!X:X,关卡产出!$A:$A,玩家节奏1!$O$6,关卡产出!$B:$B,玩家节奏1!$O16)+_xlfn.MAXIFS(关卡产出!X:X,关卡产出!$A:$A,玩家节奏1!$P$6,关卡产出!$B:$B,玩家节奏1!$P16)</f>
        <v>1900</v>
      </c>
      <c r="R16" s="90">
        <f>_xlfn.MAXIFS(关卡产出!Y:Y,关卡产出!$A:$A,玩家节奏1!$N$6,关卡产出!$B:$B,玩家节奏1!$N16)+_xlfn.MAXIFS(关卡产出!Y:Y,关卡产出!$A:$A,玩家节奏1!$O$6,关卡产出!$B:$B,玩家节奏1!$O16)+_xlfn.MAXIFS(关卡产出!Y:Y,关卡产出!$A:$A,玩家节奏1!$P$6,关卡产出!$B:$B,玩家节奏1!$P16)</f>
        <v>54800</v>
      </c>
      <c r="S16" s="90">
        <f>_xlfn.MAXIFS(关卡产出!Z:Z,关卡产出!$A:$A,玩家节奏1!$N$6,关卡产出!$B:$B,玩家节奏1!$N16)+_xlfn.MAXIFS(关卡产出!Z:Z,关卡产出!$A:$A,玩家节奏1!$O$6,关卡产出!$B:$B,玩家节奏1!$O16)+_xlfn.MAXIFS(关卡产出!Z:Z,关卡产出!$A:$A,玩家节奏1!$P$6,关卡产出!$B:$B,玩家节奏1!$P16)</f>
        <v>482</v>
      </c>
      <c r="T16" s="90">
        <f>_xlfn.MAXIFS(关卡产出!AA:AA,关卡产出!$A:$A,玩家节奏1!$N$6,关卡产出!$B:$B,玩家节奏1!$N16)+_xlfn.MAXIFS(关卡产出!AA:AA,关卡产出!$A:$A,玩家节奏1!$O$6,关卡产出!$B:$B,玩家节奏1!$O16)+_xlfn.MAXIFS(关卡产出!AA:AA,关卡产出!$A:$A,玩家节奏1!$P$6,关卡产出!$B:$B,玩家节奏1!$P16)</f>
        <v>242</v>
      </c>
      <c r="U16" s="90">
        <f>_xlfn.MAXIFS(关卡产出!AB:AB,关卡产出!$A:$A,玩家节奏1!$N$6,关卡产出!$B:$B,玩家节奏1!$N16)+_xlfn.MAXIFS(关卡产出!AB:AB,关卡产出!$A:$A,玩家节奏1!$O$6,关卡产出!$B:$B,玩家节奏1!$O16)+_xlfn.MAXIFS(关卡产出!AB:AB,关卡产出!$A:$A,玩家节奏1!$P$6,关卡产出!$B:$B,玩家节奏1!$P16)</f>
        <v>69</v>
      </c>
      <c r="V16" s="130">
        <f>_xlfn.MAXIFS(关卡产出!AC:AC,关卡产出!$A:$A,玩家节奏1!$N$6,关卡产出!$B:$B,玩家节奏1!$N16)+_xlfn.MAXIFS(关卡产出!AC:AC,关卡产出!$A:$A,玩家节奏1!$O$6,关卡产出!$B:$B,玩家节奏1!$O16)+_xlfn.MAXIFS(关卡产出!AC:AC,关卡产出!$A:$A,玩家节奏1!$P$6,关卡产出!$B:$B,玩家节奏1!$P16)</f>
        <v>96</v>
      </c>
      <c r="W16" s="126">
        <f>INDEX(关卡产出!C$8:C$207,MATCH(玩家节奏1!$N16,关卡产出!$B$8:$B$207,0))*$K16</f>
        <v>66</v>
      </c>
      <c r="X16" s="126">
        <f>INDEX(关卡产出!D$8:D$207,MATCH(玩家节奏1!$N16,关卡产出!$B$8:$B$207,0))*$K16</f>
        <v>30</v>
      </c>
      <c r="Y16" s="126">
        <f>INDEX(关卡产出!E$8:E$207,MATCH(玩家节奏1!$N16,关卡产出!$B$8:$B$207,0))*$K16</f>
        <v>6</v>
      </c>
      <c r="Z16" s="144">
        <f>INDEX(关卡产出!F$8:F$207,MATCH(玩家节奏1!$N16,关卡产出!$B$8:$B$207,0))*$K16</f>
        <v>1260</v>
      </c>
      <c r="AA16" s="126">
        <f>SUM(W$7:W16)</f>
        <v>571</v>
      </c>
      <c r="AB16" s="126">
        <f>SUM(X$7:X16)</f>
        <v>265</v>
      </c>
      <c r="AC16" s="126">
        <f>SUM(Y$7:Y16)</f>
        <v>67</v>
      </c>
      <c r="AD16" s="126">
        <f>SUM(Z$7:Z16)</f>
        <v>10950</v>
      </c>
      <c r="AE16" s="126">
        <f>INDEX(图鉴!AQ:AQ,MATCH($N16,图鉴!$S:$S,0))*8</f>
        <v>120</v>
      </c>
      <c r="AF16" s="90">
        <f>INDEX(图鉴!AR:AR,MATCH($N16,图鉴!$S:$S,0))*8</f>
        <v>32</v>
      </c>
      <c r="AG16" s="90">
        <f>INDEX(图鉴!AS:AS,MATCH($N16,图鉴!$S:$S,0))*8</f>
        <v>8</v>
      </c>
      <c r="AH16" s="129">
        <f ca="1">INDEX(图鉴!AT:AT,MATCH($N16,图鉴!$S:$S,0))*8</f>
        <v>3456</v>
      </c>
      <c r="AI16" s="128">
        <f>SUM($AE$7:AE16)</f>
        <v>760</v>
      </c>
      <c r="AJ16" s="90">
        <f>SUM(AF$7:AF16)</f>
        <v>232</v>
      </c>
      <c r="AK16" s="90">
        <f>SUM(AG$7:AG16)</f>
        <v>40</v>
      </c>
      <c r="AL16" s="130">
        <f ca="1">SUM(AH$7:AH16)</f>
        <v>22592</v>
      </c>
      <c r="AM16" s="133">
        <f>IF(M16=0,0,INDEX(关卡产出!$AU$11:$AU$15,MATCH(玩家节奏1!N16,关卡产出!$AW$11:$AW$15,1))*M16)</f>
        <v>2400</v>
      </c>
      <c r="AN16" s="126">
        <f>IF(L16=0,0,$L16*关卡产出!AU$21)</f>
        <v>0</v>
      </c>
      <c r="AO16" s="90">
        <f>IF(M16=0,0,$L16*关卡产出!AV$21)</f>
        <v>0</v>
      </c>
      <c r="AP16" s="129">
        <f>IF(N16=0,0,$L16*关卡产出!AW$21)</f>
        <v>0</v>
      </c>
      <c r="AQ16" s="138">
        <f>SUM(AN$7:AN16)</f>
        <v>0</v>
      </c>
      <c r="AR16" s="126">
        <f>SUM(AO$7:AO16)</f>
        <v>0</v>
      </c>
      <c r="AS16" s="129">
        <f>SUM(AP$7:AP16)</f>
        <v>0</v>
      </c>
      <c r="AT16" s="128">
        <v>500</v>
      </c>
      <c r="AU16" s="129">
        <v>100</v>
      </c>
      <c r="AV16" s="128">
        <f>SUM(AT$7:AT16)</f>
        <v>5000</v>
      </c>
      <c r="AW16" s="90">
        <f>SUM(AU$7:AU16)</f>
        <v>1000</v>
      </c>
      <c r="AY16" s="128">
        <f t="shared" si="13"/>
        <v>1900</v>
      </c>
      <c r="AZ16" s="90">
        <f t="shared" si="14"/>
        <v>0</v>
      </c>
      <c r="BA16" s="90">
        <f t="shared" si="15"/>
        <v>1000</v>
      </c>
      <c r="BB16" s="90">
        <f t="shared" ca="1" si="65"/>
        <v>50</v>
      </c>
      <c r="BC16" s="90">
        <f t="shared" ca="1" si="68"/>
        <v>2950</v>
      </c>
      <c r="BD16" s="90"/>
      <c r="BE16" s="90">
        <f t="shared" ca="1" si="17"/>
        <v>2950</v>
      </c>
      <c r="BF16" s="142">
        <f t="shared" ca="1" si="18"/>
        <v>0.64406779661016944</v>
      </c>
      <c r="BG16" s="142">
        <f t="shared" ca="1" si="19"/>
        <v>0</v>
      </c>
      <c r="BH16" s="142">
        <f t="shared" ca="1" si="20"/>
        <v>0.33898305084745761</v>
      </c>
      <c r="BI16" s="142">
        <f t="shared" ca="1" si="21"/>
        <v>1.6949152542372881E-2</v>
      </c>
      <c r="BJ16" s="143"/>
      <c r="BK16" s="128">
        <f ca="1">INDEX(商城宝箱!$L:$L,MATCH(BC16,商城宝箱!$N:$N,1))</f>
        <v>2</v>
      </c>
      <c r="BL16" s="90">
        <f ca="1">_xlfn.IFNA(INDEX(商城宝箱!T:T,MATCH(玩家节奏1!$BK16,商城宝箱!$L:$L,0)),0)+($BC16-INDEX(商城宝箱!$N:$N,MATCH(玩家节奏1!$BK16,商城宝箱!$L:$L,0)))/$BK$5*INDEX(商城宝箱!E$23:E$42,MATCH(玩家节奏1!$BK16+1,商城宝箱!$C$23:$C$42,0))</f>
        <v>7375</v>
      </c>
      <c r="BM16" s="90">
        <f ca="1">_xlfn.IFNA(INDEX(商城宝箱!U:U,MATCH(玩家节奏1!$BK16,商城宝箱!$L:$L,0)),0)+($BC16-INDEX(商城宝箱!$N:$N,MATCH(玩家节奏1!$BK16,商城宝箱!$L:$L,0)))/$BK$5*INDEX(商城宝箱!F$23:F$42,MATCH(玩家节奏1!$BK16+1,商城宝箱!$C$23:$C$42,0))</f>
        <v>918.75</v>
      </c>
      <c r="BN16" s="90">
        <f ca="1">_xlfn.IFNA(INDEX(商城宝箱!V:V,MATCH(玩家节奏1!$BK16,商城宝箱!$L:$L,0)),0)+($BC16-INDEX(商城宝箱!$N:$N,MATCH(玩家节奏1!$BK16,商城宝箱!$L:$L,0)))/$BK$5*INDEX(商城宝箱!G$23:G$42,MATCH(玩家节奏1!$BK16+1,商城宝箱!$C$23:$C$42,0))</f>
        <v>240.5</v>
      </c>
      <c r="BO16" s="90">
        <f ca="1">_xlfn.IFNA(INDEX(商城宝箱!W:W,MATCH(玩家节奏1!$BK16,商城宝箱!$L:$L,0)),0)+($BC16-INDEX(商城宝箱!$N:$N,MATCH(玩家节奏1!$BK16,商城宝箱!$L:$L,0)))/$BK$5*INDEX(商城宝箱!H$23:H$42,MATCH(玩家节奏1!$BK16+1,商城宝箱!$C$23:$C$42,0))</f>
        <v>21.75</v>
      </c>
      <c r="BQ16" s="128">
        <f t="shared" si="0"/>
        <v>54800</v>
      </c>
      <c r="BR16" s="90">
        <f t="shared" si="1"/>
        <v>10950</v>
      </c>
      <c r="BS16" s="90">
        <f t="shared" ca="1" si="2"/>
        <v>22592</v>
      </c>
      <c r="BT16" s="90">
        <f t="shared" si="3"/>
        <v>2400</v>
      </c>
      <c r="BU16" s="90">
        <f t="shared" si="4"/>
        <v>0</v>
      </c>
      <c r="BV16" s="90">
        <f t="shared" si="5"/>
        <v>5000</v>
      </c>
      <c r="BW16" s="90">
        <f t="shared" ca="1" si="22"/>
        <v>7375</v>
      </c>
      <c r="BX16" s="90">
        <f t="shared" ca="1" si="23"/>
        <v>103117</v>
      </c>
      <c r="BY16" s="142">
        <f t="shared" ca="1" si="24"/>
        <v>0.53143516587953488</v>
      </c>
      <c r="BZ16" s="142">
        <f t="shared" ca="1" si="25"/>
        <v>0.10619005595585597</v>
      </c>
      <c r="CA16" s="142">
        <f t="shared" ca="1" si="26"/>
        <v>0.21909093553924183</v>
      </c>
      <c r="CB16" s="142">
        <f t="shared" ca="1" si="27"/>
        <v>2.3274532812242406E-2</v>
      </c>
      <c r="CC16" s="142">
        <f t="shared" ca="1" si="28"/>
        <v>0</v>
      </c>
      <c r="CD16" s="142">
        <f t="shared" ca="1" si="29"/>
        <v>4.8488610025505009E-2</v>
      </c>
      <c r="CE16" s="142">
        <f t="shared" ca="1" si="30"/>
        <v>7.1520699787619893E-2</v>
      </c>
      <c r="CG16" s="128">
        <f t="shared" si="31"/>
        <v>16</v>
      </c>
      <c r="CH16" s="90">
        <f ca="1">INDEX(角色升级!$A:$A,MATCH(玩家节奏1!$BX16,角色升级!$J:$J,1))</f>
        <v>98</v>
      </c>
      <c r="CI16" s="90">
        <f ca="1">INDEX(角色升级!$O:$O,MATCH(玩家节奏1!$BX16,角色升级!$J:$J,1))</f>
        <v>1023.04209</v>
      </c>
      <c r="CJ16" s="90">
        <f>INDEX(关卡对比!$J:$J,MATCH(玩家节奏1!N16,关卡对比!$A:$A,0))</f>
        <v>1100</v>
      </c>
      <c r="CK16" s="147">
        <f t="shared" ca="1" si="32"/>
        <v>1.0752245784921712</v>
      </c>
      <c r="CL16" s="128">
        <f ca="1">INDEX(角色升级!$P:$P,MATCH(玩家节奏1!$CH16,角色升级!$A:$A,0))</f>
        <v>50</v>
      </c>
      <c r="CM16" s="90">
        <f ca="1">INDEX(角色升级!Q:Q,MATCH(玩家节奏1!$CH16,角色升级!$A:$A,0))</f>
        <v>0</v>
      </c>
      <c r="CO16" s="128">
        <f t="shared" si="33"/>
        <v>482</v>
      </c>
      <c r="CP16" s="90">
        <f t="shared" si="34"/>
        <v>571</v>
      </c>
      <c r="CQ16" s="90">
        <f t="shared" si="35"/>
        <v>760</v>
      </c>
      <c r="CR16" s="90">
        <f t="shared" ca="1" si="36"/>
        <v>918.75</v>
      </c>
      <c r="CS16" s="90">
        <f t="shared" ca="1" si="37"/>
        <v>2731.75</v>
      </c>
      <c r="CT16" s="142">
        <f t="shared" ca="1" si="38"/>
        <v>0.17644367163905922</v>
      </c>
      <c r="CU16" s="142">
        <f t="shared" ca="1" si="39"/>
        <v>0.20902351972179006</v>
      </c>
      <c r="CV16" s="142">
        <f t="shared" ca="1" si="40"/>
        <v>0.2782099386839938</v>
      </c>
      <c r="CW16" s="142">
        <f t="shared" ca="1" si="41"/>
        <v>0.33632286995515698</v>
      </c>
      <c r="CY16" s="128">
        <f t="shared" si="42"/>
        <v>242</v>
      </c>
      <c r="CZ16" s="90">
        <f t="shared" si="43"/>
        <v>265</v>
      </c>
      <c r="DA16" s="90">
        <f t="shared" si="44"/>
        <v>232</v>
      </c>
      <c r="DB16" s="90">
        <f t="shared" ca="1" si="66"/>
        <v>240.5</v>
      </c>
      <c r="DC16" s="90">
        <f t="shared" ca="1" si="45"/>
        <v>979.5</v>
      </c>
      <c r="DD16" s="142">
        <f t="shared" ca="1" si="46"/>
        <v>0.24706482899438489</v>
      </c>
      <c r="DE16" s="142">
        <f t="shared" ca="1" si="47"/>
        <v>0.27054619703930577</v>
      </c>
      <c r="DF16" s="142">
        <f t="shared" ca="1" si="48"/>
        <v>0.23685553854007146</v>
      </c>
      <c r="DG16" s="142">
        <f t="shared" ca="1" si="49"/>
        <v>0.24553343542623787</v>
      </c>
      <c r="DI16" s="128">
        <f t="shared" si="50"/>
        <v>69</v>
      </c>
      <c r="DJ16" s="90">
        <f t="shared" si="51"/>
        <v>67</v>
      </c>
      <c r="DK16" s="90">
        <f t="shared" si="52"/>
        <v>40</v>
      </c>
      <c r="DL16" s="90">
        <f t="shared" ca="1" si="53"/>
        <v>21.75</v>
      </c>
      <c r="DM16" s="90">
        <f t="shared" ca="1" si="54"/>
        <v>197.75</v>
      </c>
      <c r="DN16" s="142">
        <f t="shared" ca="1" si="55"/>
        <v>0.34892541087231355</v>
      </c>
      <c r="DO16" s="142">
        <f t="shared" ca="1" si="56"/>
        <v>0.33881163084702909</v>
      </c>
      <c r="DP16" s="142">
        <f t="shared" ca="1" si="57"/>
        <v>0.20227560050568899</v>
      </c>
      <c r="DQ16" s="142">
        <f t="shared" ca="1" si="58"/>
        <v>0.10998735777496839</v>
      </c>
      <c r="DS16" s="128">
        <f t="shared" ca="1" si="59"/>
        <v>2731.75</v>
      </c>
      <c r="DT16" s="90">
        <f t="shared" ca="1" si="60"/>
        <v>979.5</v>
      </c>
      <c r="DU16" s="90">
        <f t="shared" ca="1" si="61"/>
        <v>197.75</v>
      </c>
      <c r="DV16" s="90">
        <f t="shared" si="62"/>
        <v>0</v>
      </c>
      <c r="DW16" s="90">
        <f ca="1">_xlfn.IFNA(INDEX(武器升级消耗!$H:$H,MATCH(玩家节奏1!DS16/玩家节奏1!DS$5,武器升级消耗!M:M,1)),0)</f>
        <v>7</v>
      </c>
      <c r="DX16" s="90">
        <f ca="1">_xlfn.IFNA(INDEX(武器升级消耗!$H:$H,MATCH(玩家节奏1!DT16/玩家节奏1!DT$5,武器升级消耗!N:N,1)),0)</f>
        <v>5</v>
      </c>
      <c r="DY16" s="90">
        <f ca="1">_xlfn.IFNA(INDEX(武器升级消耗!$H:$H,MATCH(玩家节奏1!DU16/玩家节奏1!DU$5,武器升级消耗!O:O,1)),0)</f>
        <v>2</v>
      </c>
      <c r="DZ16" s="90">
        <f>_xlfn.IFNA(INDEX(武器升级消耗!$H:$H,MATCH(玩家节奏1!DV16/玩家节奏1!DV$5,武器升级消耗!P:P,1)),0)</f>
        <v>0</v>
      </c>
      <c r="EA16" s="90">
        <f ca="1">_xlfn.IFNA(INDEX(武器升级消耗!$Q:$Q,MATCH(玩家节奏1!DW16,武器升级消耗!$H:$H,0))*2*EA$4,0)</f>
        <v>1.32</v>
      </c>
      <c r="EB16" s="90">
        <f ca="1">_xlfn.IFNA(INDEX(武器升级消耗!$Q:$Q,MATCH(玩家节奏1!DX16,武器升级消耗!$H:$H,0))*2*EB$4,0)</f>
        <v>1.35</v>
      </c>
      <c r="EC16" s="90">
        <f ca="1">_xlfn.IFNA(INDEX(武器升级消耗!$Q:$Q,MATCH(玩家节奏1!DY16,武器升级消耗!$H:$H,0))*2*EC$4,1)</f>
        <v>1.32</v>
      </c>
      <c r="ED16" s="90">
        <f>_xlfn.IFNA(INDEX(武器升级消耗!$Q:$Q,MATCH(玩家节奏1!DZ16,武器升级消耗!$H:$H,0))*2*ED$4,0)</f>
        <v>0</v>
      </c>
      <c r="EF16" s="128"/>
      <c r="EG16" s="90"/>
      <c r="EH16" s="90"/>
      <c r="EI16" s="90"/>
      <c r="EJ16" s="90"/>
      <c r="EK16" s="90"/>
      <c r="EL16" s="90"/>
      <c r="EM16" s="90"/>
      <c r="EO16" s="128"/>
      <c r="EP16" s="90"/>
      <c r="EQ16" s="90"/>
      <c r="ER16" s="90"/>
      <c r="ES16" s="90"/>
      <c r="ET16" s="90"/>
      <c r="EU16" s="90"/>
      <c r="EV16" s="90"/>
      <c r="EW16" s="90"/>
      <c r="EX16" s="90"/>
      <c r="EY16" s="90"/>
      <c r="EZ16" s="90"/>
      <c r="FA16" s="90"/>
      <c r="FB16" s="90"/>
      <c r="FD16" s="90">
        <f t="shared" ca="1" si="63"/>
        <v>1.32</v>
      </c>
      <c r="FE16" s="90"/>
      <c r="FF16" s="90"/>
      <c r="FG16" s="90">
        <f t="shared" ca="1" si="64"/>
        <v>0</v>
      </c>
    </row>
    <row r="17" spans="1:163" x14ac:dyDescent="0.25">
      <c r="A17" s="123">
        <v>11</v>
      </c>
      <c r="B17" s="123">
        <f>INDEX(关卡对比!$Y:$Y,MATCH(关卡对比!Z17,关卡对比!$AA:$AA,1))</f>
        <v>6</v>
      </c>
      <c r="C17" s="124"/>
      <c r="D17" s="125">
        <f t="shared" ref="D17:D22" si="69">A17*E17+B17*E17+C17*E17-4.5-10</f>
        <v>36.5</v>
      </c>
      <c r="E17" s="125">
        <v>3</v>
      </c>
      <c r="F17" s="128">
        <v>6</v>
      </c>
      <c r="G17" s="90">
        <v>0</v>
      </c>
      <c r="H17" s="90">
        <v>1</v>
      </c>
      <c r="J17" s="128">
        <v>11</v>
      </c>
      <c r="K17" s="90">
        <f t="shared" si="10"/>
        <v>6</v>
      </c>
      <c r="L17" s="90">
        <f t="shared" si="11"/>
        <v>0</v>
      </c>
      <c r="M17" s="90">
        <f t="shared" si="12"/>
        <v>1</v>
      </c>
      <c r="N17" s="140">
        <f>INDEX($A:$A,MATCH(SUM($K$7:K17),$D:$D,1))</f>
        <v>16</v>
      </c>
      <c r="O17" s="140">
        <v>0</v>
      </c>
      <c r="P17" s="141">
        <v>0</v>
      </c>
      <c r="Q17" s="126">
        <f>_xlfn.MAXIFS(关卡产出!X:X,关卡产出!$A:$A,玩家节奏1!$N$6,关卡产出!$B:$B,玩家节奏1!$N17)+_xlfn.MAXIFS(关卡产出!X:X,关卡产出!$A:$A,玩家节奏1!$O$6,关卡产出!$B:$B,玩家节奏1!$O17)+_xlfn.MAXIFS(关卡产出!X:X,关卡产出!$A:$A,玩家节奏1!$P$6,关卡产出!$B:$B,玩家节奏1!$P17)</f>
        <v>1900</v>
      </c>
      <c r="R17" s="90">
        <f>_xlfn.MAXIFS(关卡产出!Y:Y,关卡产出!$A:$A,玩家节奏1!$N$6,关卡产出!$B:$B,玩家节奏1!$N17)+_xlfn.MAXIFS(关卡产出!Y:Y,关卡产出!$A:$A,玩家节奏1!$O$6,关卡产出!$B:$B,玩家节奏1!$O17)+_xlfn.MAXIFS(关卡产出!Y:Y,关卡产出!$A:$A,玩家节奏1!$P$6,关卡产出!$B:$B,玩家节奏1!$P17)</f>
        <v>54800</v>
      </c>
      <c r="S17" s="90">
        <f>_xlfn.MAXIFS(关卡产出!Z:Z,关卡产出!$A:$A,玩家节奏1!$N$6,关卡产出!$B:$B,玩家节奏1!$N17)+_xlfn.MAXIFS(关卡产出!Z:Z,关卡产出!$A:$A,玩家节奏1!$O$6,关卡产出!$B:$B,玩家节奏1!$O17)+_xlfn.MAXIFS(关卡产出!Z:Z,关卡产出!$A:$A,玩家节奏1!$P$6,关卡产出!$B:$B,玩家节奏1!$P17)</f>
        <v>482</v>
      </c>
      <c r="T17" s="90">
        <f>_xlfn.MAXIFS(关卡产出!AA:AA,关卡产出!$A:$A,玩家节奏1!$N$6,关卡产出!$B:$B,玩家节奏1!$N17)+_xlfn.MAXIFS(关卡产出!AA:AA,关卡产出!$A:$A,玩家节奏1!$O$6,关卡产出!$B:$B,玩家节奏1!$O17)+_xlfn.MAXIFS(关卡产出!AA:AA,关卡产出!$A:$A,玩家节奏1!$P$6,关卡产出!$B:$B,玩家节奏1!$P17)</f>
        <v>242</v>
      </c>
      <c r="U17" s="90">
        <f>_xlfn.MAXIFS(关卡产出!AB:AB,关卡产出!$A:$A,玩家节奏1!$N$6,关卡产出!$B:$B,玩家节奏1!$N17)+_xlfn.MAXIFS(关卡产出!AB:AB,关卡产出!$A:$A,玩家节奏1!$O$6,关卡产出!$B:$B,玩家节奏1!$O17)+_xlfn.MAXIFS(关卡产出!AB:AB,关卡产出!$A:$A,玩家节奏1!$P$6,关卡产出!$B:$B,玩家节奏1!$P17)</f>
        <v>69</v>
      </c>
      <c r="V17" s="130">
        <f>_xlfn.MAXIFS(关卡产出!AC:AC,关卡产出!$A:$A,玩家节奏1!$N$6,关卡产出!$B:$B,玩家节奏1!$N17)+_xlfn.MAXIFS(关卡产出!AC:AC,关卡产出!$A:$A,玩家节奏1!$O$6,关卡产出!$B:$B,玩家节奏1!$O17)+_xlfn.MAXIFS(关卡产出!AC:AC,关卡产出!$A:$A,玩家节奏1!$P$6,关卡产出!$B:$B,玩家节奏1!$P17)</f>
        <v>96</v>
      </c>
      <c r="W17" s="126">
        <f>INDEX(关卡产出!C$8:C$207,MATCH(玩家节奏1!$N17,关卡产出!$B$8:$B$207,0))*$K17</f>
        <v>66</v>
      </c>
      <c r="X17" s="126">
        <f>INDEX(关卡产出!D$8:D$207,MATCH(玩家节奏1!$N17,关卡产出!$B$8:$B$207,0))*$K17</f>
        <v>30</v>
      </c>
      <c r="Y17" s="126">
        <f>INDEX(关卡产出!E$8:E$207,MATCH(玩家节奏1!$N17,关卡产出!$B$8:$B$207,0))*$K17</f>
        <v>6</v>
      </c>
      <c r="Z17" s="144">
        <f>INDEX(关卡产出!F$8:F$207,MATCH(玩家节奏1!$N17,关卡产出!$B$8:$B$207,0))*$K17</f>
        <v>1260</v>
      </c>
      <c r="AA17" s="126">
        <f>SUM(W$7:W17)</f>
        <v>637</v>
      </c>
      <c r="AB17" s="126">
        <f>SUM(X$7:X17)</f>
        <v>295</v>
      </c>
      <c r="AC17" s="126">
        <f>SUM(Y$7:Y17)</f>
        <v>73</v>
      </c>
      <c r="AD17" s="126">
        <f>SUM(Z$7:Z17)</f>
        <v>12210</v>
      </c>
      <c r="AE17" s="126">
        <f>INDEX(图鉴!AQ:AQ,MATCH($N17,图鉴!$S:$S,0))*8</f>
        <v>120</v>
      </c>
      <c r="AF17" s="90">
        <f>INDEX(图鉴!AR:AR,MATCH($N17,图鉴!$S:$S,0))*8</f>
        <v>32</v>
      </c>
      <c r="AG17" s="90">
        <f>INDEX(图鉴!AS:AS,MATCH($N17,图鉴!$S:$S,0))*8</f>
        <v>8</v>
      </c>
      <c r="AH17" s="129">
        <f ca="1">INDEX(图鉴!AT:AT,MATCH($N17,图鉴!$S:$S,0))*8</f>
        <v>3456</v>
      </c>
      <c r="AI17" s="128">
        <f>SUM($AE$7:AE17)</f>
        <v>880</v>
      </c>
      <c r="AJ17" s="90">
        <f>SUM(AF$7:AF17)</f>
        <v>264</v>
      </c>
      <c r="AK17" s="90">
        <f>SUM(AG$7:AG17)</f>
        <v>48</v>
      </c>
      <c r="AL17" s="130">
        <f ca="1">SUM(AH$7:AH17)</f>
        <v>26048</v>
      </c>
      <c r="AM17" s="133">
        <f>IF(M17=0,0,INDEX(关卡产出!$AU$11:$AU$15,MATCH(玩家节奏1!N17,关卡产出!$AW$11:$AW$15,1))*M17)</f>
        <v>2400</v>
      </c>
      <c r="AN17" s="126">
        <f>IF(L17=0,0,$L17*关卡产出!AU$21)</f>
        <v>0</v>
      </c>
      <c r="AO17" s="90">
        <f>IF(M17=0,0,$L17*关卡产出!AV$21)</f>
        <v>0</v>
      </c>
      <c r="AP17" s="129">
        <f>IF(N17=0,0,$L17*关卡产出!AW$21)</f>
        <v>0</v>
      </c>
      <c r="AQ17" s="138">
        <f>SUM(AN$7:AN17)</f>
        <v>0</v>
      </c>
      <c r="AR17" s="126">
        <f>SUM(AO$7:AO17)</f>
        <v>0</v>
      </c>
      <c r="AS17" s="129">
        <f>SUM(AP$7:AP17)</f>
        <v>0</v>
      </c>
      <c r="AT17" s="128">
        <v>500</v>
      </c>
      <c r="AU17" s="129">
        <v>100</v>
      </c>
      <c r="AV17" s="128">
        <f>SUM(AT$7:AT17)</f>
        <v>5500</v>
      </c>
      <c r="AW17" s="90">
        <f>SUM(AU$7:AU17)</f>
        <v>1100</v>
      </c>
      <c r="AY17" s="128">
        <f t="shared" si="13"/>
        <v>1900</v>
      </c>
      <c r="AZ17" s="90">
        <f t="shared" si="14"/>
        <v>0</v>
      </c>
      <c r="BA17" s="90">
        <f t="shared" si="15"/>
        <v>1100</v>
      </c>
      <c r="BB17" s="90">
        <f t="shared" ca="1" si="65"/>
        <v>50</v>
      </c>
      <c r="BC17" s="90">
        <f t="shared" ca="1" si="68"/>
        <v>3050</v>
      </c>
      <c r="BD17" s="90"/>
      <c r="BE17" s="90">
        <f t="shared" ca="1" si="17"/>
        <v>3050</v>
      </c>
      <c r="BF17" s="142">
        <f t="shared" ca="1" si="18"/>
        <v>0.62295081967213117</v>
      </c>
      <c r="BG17" s="142">
        <f t="shared" ca="1" si="19"/>
        <v>0</v>
      </c>
      <c r="BH17" s="142">
        <f t="shared" ca="1" si="20"/>
        <v>0.36065573770491804</v>
      </c>
      <c r="BI17" s="142">
        <f t="shared" ca="1" si="21"/>
        <v>1.6393442622950821E-2</v>
      </c>
      <c r="BJ17" s="143"/>
      <c r="BK17" s="128">
        <f ca="1">INDEX(商城宝箱!$L:$L,MATCH(BC17,商城宝箱!$N:$N,1))</f>
        <v>2</v>
      </c>
      <c r="BL17" s="90">
        <f ca="1">_xlfn.IFNA(INDEX(商城宝箱!T:T,MATCH(玩家节奏1!$BK17,商城宝箱!$L:$L,0)),0)+($BC17-INDEX(商城宝箱!$N:$N,MATCH(玩家节奏1!$BK17,商城宝箱!$L:$L,0)))/$BK$5*INDEX(商城宝箱!E$23:E$42,MATCH(玩家节奏1!$BK17+1,商城宝箱!$C$23:$C$42,0))</f>
        <v>7625</v>
      </c>
      <c r="BM17" s="90">
        <f ca="1">_xlfn.IFNA(INDEX(商城宝箱!U:U,MATCH(玩家节奏1!$BK17,商城宝箱!$L:$L,0)),0)+($BC17-INDEX(商城宝箱!$N:$N,MATCH(玩家节奏1!$BK17,商城宝箱!$L:$L,0)))/$BK$5*INDEX(商城宝箱!F$23:F$42,MATCH(玩家节奏1!$BK17+1,商城宝箱!$C$23:$C$42,0))</f>
        <v>956.25</v>
      </c>
      <c r="BN17" s="90">
        <f ca="1">_xlfn.IFNA(INDEX(商城宝箱!V:V,MATCH(玩家节奏1!$BK17,商城宝箱!$L:$L,0)),0)+($BC17-INDEX(商城宝箱!$N:$N,MATCH(玩家节奏1!$BK17,商城宝箱!$L:$L,0)))/$BK$5*INDEX(商城宝箱!G$23:G$42,MATCH(玩家节奏1!$BK17+1,商城宝箱!$C$23:$C$42,0))</f>
        <v>251.5</v>
      </c>
      <c r="BO17" s="90">
        <f ca="1">_xlfn.IFNA(INDEX(商城宝箱!W:W,MATCH(玩家节奏1!$BK17,商城宝箱!$L:$L,0)),0)+($BC17-INDEX(商城宝箱!$N:$N,MATCH(玩家节奏1!$BK17,商城宝箱!$L:$L,0)))/$BK$5*INDEX(商城宝箱!H$23:H$42,MATCH(玩家节奏1!$BK17+1,商城宝箱!$C$23:$C$42,0))</f>
        <v>23.25</v>
      </c>
      <c r="BQ17" s="128">
        <f t="shared" si="0"/>
        <v>54800</v>
      </c>
      <c r="BR17" s="90">
        <f t="shared" si="1"/>
        <v>12210</v>
      </c>
      <c r="BS17" s="90">
        <f t="shared" ca="1" si="2"/>
        <v>26048</v>
      </c>
      <c r="BT17" s="90">
        <f t="shared" si="3"/>
        <v>2400</v>
      </c>
      <c r="BU17" s="90">
        <f t="shared" si="4"/>
        <v>0</v>
      </c>
      <c r="BV17" s="90">
        <f t="shared" si="5"/>
        <v>5500</v>
      </c>
      <c r="BW17" s="90">
        <f t="shared" ca="1" si="22"/>
        <v>7625</v>
      </c>
      <c r="BX17" s="90">
        <f t="shared" ca="1" si="23"/>
        <v>108583</v>
      </c>
      <c r="BY17" s="142">
        <f t="shared" ca="1" si="24"/>
        <v>0.50468305351666465</v>
      </c>
      <c r="BZ17" s="142">
        <f t="shared" ca="1" si="25"/>
        <v>0.11244854166858533</v>
      </c>
      <c r="CA17" s="142">
        <f t="shared" ca="1" si="26"/>
        <v>0.23989022222631534</v>
      </c>
      <c r="CB17" s="142">
        <f t="shared" ca="1" si="27"/>
        <v>2.2102907453284585E-2</v>
      </c>
      <c r="CC17" s="142">
        <f t="shared" ca="1" si="28"/>
        <v>0</v>
      </c>
      <c r="CD17" s="142">
        <f t="shared" ca="1" si="29"/>
        <v>5.0652496247110504E-2</v>
      </c>
      <c r="CE17" s="142">
        <f t="shared" ca="1" si="30"/>
        <v>7.0222778888039558E-2</v>
      </c>
      <c r="CG17" s="128">
        <f t="shared" si="31"/>
        <v>16</v>
      </c>
      <c r="CH17" s="90">
        <f ca="1">INDEX(角色升级!$A:$A,MATCH(玩家节奏1!$BX17,角色升级!$J:$J,1))</f>
        <v>100</v>
      </c>
      <c r="CI17" s="90">
        <f ca="1">INDEX(角色升级!$O:$O,MATCH(玩家节奏1!$BX17,角色升级!$J:$J,1))</f>
        <v>1106.55573</v>
      </c>
      <c r="CJ17" s="90">
        <f>INDEX(关卡对比!$J:$J,MATCH(玩家节奏1!N17,关卡对比!$A:$A,0))</f>
        <v>1100</v>
      </c>
      <c r="CK17" s="147">
        <f ca="1">CJ17/CI17</f>
        <v>0.99407555370030931</v>
      </c>
      <c r="CL17" s="128">
        <f ca="1">INDEX(角色升级!$P:$P,MATCH(玩家节奏1!$CH17,角色升级!$A:$A,0))</f>
        <v>200</v>
      </c>
      <c r="CM17" s="90">
        <f ca="1">INDEX(角色升级!Q:Q,MATCH(玩家节奏1!$CH17,角色升级!$A:$A,0))</f>
        <v>0</v>
      </c>
      <c r="CO17" s="128">
        <f t="shared" si="33"/>
        <v>482</v>
      </c>
      <c r="CP17" s="90">
        <f t="shared" si="34"/>
        <v>637</v>
      </c>
      <c r="CQ17" s="90">
        <f t="shared" si="35"/>
        <v>880</v>
      </c>
      <c r="CR17" s="90">
        <f t="shared" ca="1" si="36"/>
        <v>956.25</v>
      </c>
      <c r="CS17" s="90">
        <f t="shared" ca="1" si="37"/>
        <v>2955.25</v>
      </c>
      <c r="CT17" s="142">
        <f t="shared" ca="1" si="38"/>
        <v>0.16309956856441926</v>
      </c>
      <c r="CU17" s="142">
        <f t="shared" ca="1" si="39"/>
        <v>0.21554859994924289</v>
      </c>
      <c r="CV17" s="142">
        <f t="shared" ca="1" si="40"/>
        <v>0.29777514592674054</v>
      </c>
      <c r="CW17" s="142">
        <f t="shared" ca="1" si="41"/>
        <v>0.32357668555959734</v>
      </c>
      <c r="CY17" s="128">
        <f t="shared" si="42"/>
        <v>242</v>
      </c>
      <c r="CZ17" s="90">
        <f t="shared" si="43"/>
        <v>295</v>
      </c>
      <c r="DA17" s="90">
        <f t="shared" si="44"/>
        <v>264</v>
      </c>
      <c r="DB17" s="90">
        <f t="shared" ca="1" si="66"/>
        <v>251.5</v>
      </c>
      <c r="DC17" s="90">
        <f t="shared" ca="1" si="45"/>
        <v>1052.5</v>
      </c>
      <c r="DD17" s="142">
        <f t="shared" ca="1" si="46"/>
        <v>0.22992874109263658</v>
      </c>
      <c r="DE17" s="142">
        <f t="shared" ca="1" si="47"/>
        <v>0.28028503562945367</v>
      </c>
      <c r="DF17" s="142">
        <f t="shared" ca="1" si="48"/>
        <v>0.25083135391923989</v>
      </c>
      <c r="DG17" s="142">
        <f t="shared" ca="1" si="49"/>
        <v>0.23895486935866983</v>
      </c>
      <c r="DI17" s="128">
        <f t="shared" si="50"/>
        <v>69</v>
      </c>
      <c r="DJ17" s="90">
        <f t="shared" si="51"/>
        <v>73</v>
      </c>
      <c r="DK17" s="90">
        <f t="shared" si="52"/>
        <v>48</v>
      </c>
      <c r="DL17" s="90">
        <f t="shared" ca="1" si="53"/>
        <v>23.25</v>
      </c>
      <c r="DM17" s="90">
        <f t="shared" ca="1" si="54"/>
        <v>213.25</v>
      </c>
      <c r="DN17" s="142">
        <f t="shared" ca="1" si="55"/>
        <v>0.32356389214536929</v>
      </c>
      <c r="DO17" s="142">
        <f t="shared" ca="1" si="56"/>
        <v>0.34232121922626024</v>
      </c>
      <c r="DP17" s="142">
        <f t="shared" ca="1" si="57"/>
        <v>0.22508792497069169</v>
      </c>
      <c r="DQ17" s="142">
        <f t="shared" ca="1" si="58"/>
        <v>0.10902696365767878</v>
      </c>
      <c r="DS17" s="128">
        <f t="shared" ca="1" si="59"/>
        <v>2955.25</v>
      </c>
      <c r="DT17" s="90">
        <f t="shared" ca="1" si="60"/>
        <v>1052.5</v>
      </c>
      <c r="DU17" s="90">
        <f t="shared" ca="1" si="61"/>
        <v>213.25</v>
      </c>
      <c r="DV17" s="90">
        <f t="shared" si="62"/>
        <v>0</v>
      </c>
      <c r="DW17" s="90">
        <f ca="1">_xlfn.IFNA(INDEX(武器升级消耗!$H:$H,MATCH(玩家节奏1!DS17/玩家节奏1!DS$5,武器升级消耗!M:M,1)),0)</f>
        <v>7</v>
      </c>
      <c r="DX17" s="90">
        <f ca="1">_xlfn.IFNA(INDEX(武器升级消耗!$H:$H,MATCH(玩家节奏1!DT17/玩家节奏1!DT$5,武器升级消耗!N:N,1)),0)</f>
        <v>5</v>
      </c>
      <c r="DY17" s="90">
        <f ca="1">_xlfn.IFNA(INDEX(武器升级消耗!$H:$H,MATCH(玩家节奏1!DU17/玩家节奏1!DU$5,武器升级消耗!O:O,1)),0)</f>
        <v>2</v>
      </c>
      <c r="DZ17" s="90">
        <f>_xlfn.IFNA(INDEX(武器升级消耗!$H:$H,MATCH(玩家节奏1!DV17/玩家节奏1!DV$5,武器升级消耗!P:P,1)),0)</f>
        <v>0</v>
      </c>
      <c r="EA17" s="90">
        <f ca="1">_xlfn.IFNA(INDEX(武器升级消耗!$Q:$Q,MATCH(玩家节奏1!DW17,武器升级消耗!$H:$H,0))*2*EA$4,0)</f>
        <v>1.32</v>
      </c>
      <c r="EB17" s="90">
        <f ca="1">_xlfn.IFNA(INDEX(武器升级消耗!$Q:$Q,MATCH(玩家节奏1!DX17,武器升级消耗!$H:$H,0))*2*EB$4,0)</f>
        <v>1.35</v>
      </c>
      <c r="EC17" s="90">
        <f ca="1">_xlfn.IFNA(INDEX(武器升级消耗!$Q:$Q,MATCH(玩家节奏1!DY17,武器升级消耗!$H:$H,0))*2*EC$4,1)</f>
        <v>1.32</v>
      </c>
      <c r="ED17" s="90">
        <f>_xlfn.IFNA(INDEX(武器升级消耗!$Q:$Q,MATCH(玩家节奏1!DZ17,武器升级消耗!$H:$H,0))*2*ED$4,0)</f>
        <v>0</v>
      </c>
      <c r="EF17" s="128"/>
      <c r="EG17" s="90"/>
      <c r="EH17" s="90"/>
      <c r="EI17" s="90"/>
      <c r="EJ17" s="90"/>
      <c r="EK17" s="90"/>
      <c r="EL17" s="90"/>
      <c r="EM17" s="90"/>
      <c r="EO17" s="128"/>
      <c r="EP17" s="90"/>
      <c r="EQ17" s="90"/>
      <c r="ER17" s="90"/>
      <c r="ES17" s="90"/>
      <c r="ET17" s="90"/>
      <c r="EU17" s="90"/>
      <c r="EV17" s="90"/>
      <c r="EW17" s="90"/>
      <c r="EX17" s="90"/>
      <c r="EY17" s="90"/>
      <c r="EZ17" s="90"/>
      <c r="FA17" s="90"/>
      <c r="FB17" s="90"/>
      <c r="FD17" s="90">
        <f t="shared" ca="1" si="63"/>
        <v>1.32</v>
      </c>
      <c r="FE17" s="90"/>
      <c r="FF17" s="90"/>
      <c r="FG17" s="90">
        <f t="shared" ca="1" si="64"/>
        <v>0</v>
      </c>
    </row>
    <row r="18" spans="1:163" x14ac:dyDescent="0.25">
      <c r="A18" s="123">
        <v>12</v>
      </c>
      <c r="B18" s="123">
        <f>INDEX(关卡对比!$Y:$Y,MATCH(关卡对比!Z18,关卡对比!$AA:$AA,1))</f>
        <v>6</v>
      </c>
      <c r="C18" s="124"/>
      <c r="D18" s="125">
        <f t="shared" si="69"/>
        <v>39.5</v>
      </c>
      <c r="E18" s="125">
        <v>3</v>
      </c>
      <c r="F18" s="128">
        <v>6</v>
      </c>
      <c r="G18" s="90">
        <v>0</v>
      </c>
      <c r="H18" s="90">
        <v>1</v>
      </c>
      <c r="J18" s="128">
        <v>12</v>
      </c>
      <c r="K18" s="90">
        <f t="shared" si="10"/>
        <v>6</v>
      </c>
      <c r="L18" s="90">
        <f t="shared" si="11"/>
        <v>0</v>
      </c>
      <c r="M18" s="90">
        <f t="shared" si="12"/>
        <v>1</v>
      </c>
      <c r="N18" s="140">
        <f>INDEX($A:$A,MATCH(SUM($K$7:K18),$D:$D,1))</f>
        <v>16</v>
      </c>
      <c r="O18" s="140">
        <v>0</v>
      </c>
      <c r="P18" s="141">
        <v>0</v>
      </c>
      <c r="Q18" s="126">
        <f>_xlfn.MAXIFS(关卡产出!X:X,关卡产出!$A:$A,玩家节奏1!$N$6,关卡产出!$B:$B,玩家节奏1!$N18)+_xlfn.MAXIFS(关卡产出!X:X,关卡产出!$A:$A,玩家节奏1!$O$6,关卡产出!$B:$B,玩家节奏1!$O18)+_xlfn.MAXIFS(关卡产出!X:X,关卡产出!$A:$A,玩家节奏1!$P$6,关卡产出!$B:$B,玩家节奏1!$P18)</f>
        <v>1900</v>
      </c>
      <c r="R18" s="90">
        <f>_xlfn.MAXIFS(关卡产出!Y:Y,关卡产出!$A:$A,玩家节奏1!$N$6,关卡产出!$B:$B,玩家节奏1!$N18)+_xlfn.MAXIFS(关卡产出!Y:Y,关卡产出!$A:$A,玩家节奏1!$O$6,关卡产出!$B:$B,玩家节奏1!$O18)+_xlfn.MAXIFS(关卡产出!Y:Y,关卡产出!$A:$A,玩家节奏1!$P$6,关卡产出!$B:$B,玩家节奏1!$P18)</f>
        <v>54800</v>
      </c>
      <c r="S18" s="90">
        <f>_xlfn.MAXIFS(关卡产出!Z:Z,关卡产出!$A:$A,玩家节奏1!$N$6,关卡产出!$B:$B,玩家节奏1!$N18)+_xlfn.MAXIFS(关卡产出!Z:Z,关卡产出!$A:$A,玩家节奏1!$O$6,关卡产出!$B:$B,玩家节奏1!$O18)+_xlfn.MAXIFS(关卡产出!Z:Z,关卡产出!$A:$A,玩家节奏1!$P$6,关卡产出!$B:$B,玩家节奏1!$P18)</f>
        <v>482</v>
      </c>
      <c r="T18" s="90">
        <f>_xlfn.MAXIFS(关卡产出!AA:AA,关卡产出!$A:$A,玩家节奏1!$N$6,关卡产出!$B:$B,玩家节奏1!$N18)+_xlfn.MAXIFS(关卡产出!AA:AA,关卡产出!$A:$A,玩家节奏1!$O$6,关卡产出!$B:$B,玩家节奏1!$O18)+_xlfn.MAXIFS(关卡产出!AA:AA,关卡产出!$A:$A,玩家节奏1!$P$6,关卡产出!$B:$B,玩家节奏1!$P18)</f>
        <v>242</v>
      </c>
      <c r="U18" s="90">
        <f>_xlfn.MAXIFS(关卡产出!AB:AB,关卡产出!$A:$A,玩家节奏1!$N$6,关卡产出!$B:$B,玩家节奏1!$N18)+_xlfn.MAXIFS(关卡产出!AB:AB,关卡产出!$A:$A,玩家节奏1!$O$6,关卡产出!$B:$B,玩家节奏1!$O18)+_xlfn.MAXIFS(关卡产出!AB:AB,关卡产出!$A:$A,玩家节奏1!$P$6,关卡产出!$B:$B,玩家节奏1!$P18)</f>
        <v>69</v>
      </c>
      <c r="V18" s="130">
        <f>_xlfn.MAXIFS(关卡产出!AC:AC,关卡产出!$A:$A,玩家节奏1!$N$6,关卡产出!$B:$B,玩家节奏1!$N18)+_xlfn.MAXIFS(关卡产出!AC:AC,关卡产出!$A:$A,玩家节奏1!$O$6,关卡产出!$B:$B,玩家节奏1!$O18)+_xlfn.MAXIFS(关卡产出!AC:AC,关卡产出!$A:$A,玩家节奏1!$P$6,关卡产出!$B:$B,玩家节奏1!$P18)</f>
        <v>96</v>
      </c>
      <c r="W18" s="126">
        <f>INDEX(关卡产出!C$8:C$207,MATCH(玩家节奏1!$N18,关卡产出!$B$8:$B$207,0))*$K18</f>
        <v>66</v>
      </c>
      <c r="X18" s="126">
        <f>INDEX(关卡产出!D$8:D$207,MATCH(玩家节奏1!$N18,关卡产出!$B$8:$B$207,0))*$K18</f>
        <v>30</v>
      </c>
      <c r="Y18" s="126">
        <f>INDEX(关卡产出!E$8:E$207,MATCH(玩家节奏1!$N18,关卡产出!$B$8:$B$207,0))*$K18</f>
        <v>6</v>
      </c>
      <c r="Z18" s="144">
        <f>INDEX(关卡产出!F$8:F$207,MATCH(玩家节奏1!$N18,关卡产出!$B$8:$B$207,0))*$K18</f>
        <v>1260</v>
      </c>
      <c r="AA18" s="126">
        <f>SUM(W$7:W18)</f>
        <v>703</v>
      </c>
      <c r="AB18" s="126">
        <f>SUM(X$7:X18)</f>
        <v>325</v>
      </c>
      <c r="AC18" s="126">
        <f>SUM(Y$7:Y18)</f>
        <v>79</v>
      </c>
      <c r="AD18" s="126">
        <f>SUM(Z$7:Z18)</f>
        <v>13470</v>
      </c>
      <c r="AE18" s="126">
        <f>INDEX(图鉴!AQ:AQ,MATCH($N18,图鉴!$S:$S,0))*8</f>
        <v>120</v>
      </c>
      <c r="AF18" s="90">
        <f>INDEX(图鉴!AR:AR,MATCH($N18,图鉴!$S:$S,0))*8</f>
        <v>32</v>
      </c>
      <c r="AG18" s="90">
        <f>INDEX(图鉴!AS:AS,MATCH($N18,图鉴!$S:$S,0))*8</f>
        <v>8</v>
      </c>
      <c r="AH18" s="129">
        <f ca="1">INDEX(图鉴!AT:AT,MATCH($N18,图鉴!$S:$S,0))*8</f>
        <v>3456</v>
      </c>
      <c r="AI18" s="128">
        <f>SUM($AE$7:AE18)</f>
        <v>1000</v>
      </c>
      <c r="AJ18" s="90">
        <f>SUM(AF$7:AF18)</f>
        <v>296</v>
      </c>
      <c r="AK18" s="90">
        <f>SUM(AG$7:AG18)</f>
        <v>56</v>
      </c>
      <c r="AL18" s="130">
        <f ca="1">SUM(AH$7:AH18)</f>
        <v>29504</v>
      </c>
      <c r="AM18" s="133">
        <f>IF(M18=0,0,INDEX(关卡产出!$AU$11:$AU$15,MATCH(玩家节奏1!N18,关卡产出!$AW$11:$AW$15,1))*M18)</f>
        <v>2400</v>
      </c>
      <c r="AN18" s="126">
        <f>IF(L18=0,0,$L18*关卡产出!AU$21)</f>
        <v>0</v>
      </c>
      <c r="AO18" s="90">
        <f>IF(M18=0,0,$L18*关卡产出!AV$21)</f>
        <v>0</v>
      </c>
      <c r="AP18" s="129">
        <f>IF(N18=0,0,$L18*关卡产出!AW$21)</f>
        <v>0</v>
      </c>
      <c r="AQ18" s="138">
        <f>SUM(AN$7:AN18)</f>
        <v>0</v>
      </c>
      <c r="AR18" s="126">
        <f>SUM(AO$7:AO18)</f>
        <v>0</v>
      </c>
      <c r="AS18" s="129">
        <f>SUM(AP$7:AP18)</f>
        <v>0</v>
      </c>
      <c r="AT18" s="128">
        <v>500</v>
      </c>
      <c r="AU18" s="129">
        <v>100</v>
      </c>
      <c r="AV18" s="128">
        <f>SUM(AT$7:AT18)</f>
        <v>6000</v>
      </c>
      <c r="AW18" s="90">
        <f>SUM(AU$7:AU18)</f>
        <v>1200</v>
      </c>
      <c r="AY18" s="128">
        <f t="shared" si="13"/>
        <v>1900</v>
      </c>
      <c r="AZ18" s="90">
        <f t="shared" si="14"/>
        <v>0</v>
      </c>
      <c r="BA18" s="90">
        <f t="shared" si="15"/>
        <v>1200</v>
      </c>
      <c r="BB18" s="90">
        <f t="shared" ca="1" si="65"/>
        <v>200</v>
      </c>
      <c r="BC18" s="90">
        <f t="shared" ca="1" si="68"/>
        <v>3300</v>
      </c>
      <c r="BD18" s="90"/>
      <c r="BE18" s="90">
        <f t="shared" ca="1" si="17"/>
        <v>3300</v>
      </c>
      <c r="BF18" s="142">
        <f t="shared" ca="1" si="18"/>
        <v>0.5757575757575758</v>
      </c>
      <c r="BG18" s="142">
        <f t="shared" ca="1" si="19"/>
        <v>0</v>
      </c>
      <c r="BH18" s="142">
        <f t="shared" ca="1" si="20"/>
        <v>0.36363636363636365</v>
      </c>
      <c r="BI18" s="142">
        <f t="shared" ca="1" si="21"/>
        <v>6.0606060606060608E-2</v>
      </c>
      <c r="BJ18" s="143"/>
      <c r="BK18" s="128">
        <f ca="1">INDEX(商城宝箱!$L:$L,MATCH(BC18,商城宝箱!$N:$N,1))</f>
        <v>2</v>
      </c>
      <c r="BL18" s="90">
        <f ca="1">_xlfn.IFNA(INDEX(商城宝箱!T:T,MATCH(玩家节奏1!$BK18,商城宝箱!$L:$L,0)),0)+($BC18-INDEX(商城宝箱!$N:$N,MATCH(玩家节奏1!$BK18,商城宝箱!$L:$L,0)))/$BK$5*INDEX(商城宝箱!E$23:E$42,MATCH(玩家节奏1!$BK18+1,商城宝箱!$C$23:$C$42,0))</f>
        <v>8250</v>
      </c>
      <c r="BM18" s="90">
        <f ca="1">_xlfn.IFNA(INDEX(商城宝箱!U:U,MATCH(玩家节奏1!$BK18,商城宝箱!$L:$L,0)),0)+($BC18-INDEX(商城宝箱!$N:$N,MATCH(玩家节奏1!$BK18,商城宝箱!$L:$L,0)))/$BK$5*INDEX(商城宝箱!F$23:F$42,MATCH(玩家节奏1!$BK18+1,商城宝箱!$C$23:$C$42,0))</f>
        <v>1050</v>
      </c>
      <c r="BN18" s="90">
        <f ca="1">_xlfn.IFNA(INDEX(商城宝箱!V:V,MATCH(玩家节奏1!$BK18,商城宝箱!$L:$L,0)),0)+($BC18-INDEX(商城宝箱!$N:$N,MATCH(玩家节奏1!$BK18,商城宝箱!$L:$L,0)))/$BK$5*INDEX(商城宝箱!G$23:G$42,MATCH(玩家节奏1!$BK18+1,商城宝箱!$C$23:$C$42,0))</f>
        <v>279</v>
      </c>
      <c r="BO18" s="90">
        <f ca="1">_xlfn.IFNA(INDEX(商城宝箱!W:W,MATCH(玩家节奏1!$BK18,商城宝箱!$L:$L,0)),0)+($BC18-INDEX(商城宝箱!$N:$N,MATCH(玩家节奏1!$BK18,商城宝箱!$L:$L,0)))/$BK$5*INDEX(商城宝箱!H$23:H$42,MATCH(玩家节奏1!$BK18+1,商城宝箱!$C$23:$C$42,0))</f>
        <v>27</v>
      </c>
      <c r="BQ18" s="128">
        <f t="shared" si="0"/>
        <v>54800</v>
      </c>
      <c r="BR18" s="90">
        <f t="shared" si="1"/>
        <v>13470</v>
      </c>
      <c r="BS18" s="90">
        <f t="shared" ca="1" si="2"/>
        <v>29504</v>
      </c>
      <c r="BT18" s="90">
        <f t="shared" si="3"/>
        <v>2400</v>
      </c>
      <c r="BU18" s="90">
        <f t="shared" si="4"/>
        <v>0</v>
      </c>
      <c r="BV18" s="90">
        <f t="shared" si="5"/>
        <v>6000</v>
      </c>
      <c r="BW18" s="90">
        <f t="shared" ca="1" si="22"/>
        <v>8250</v>
      </c>
      <c r="BX18" s="90">
        <f t="shared" ca="1" si="23"/>
        <v>114424</v>
      </c>
      <c r="BY18" s="142">
        <f t="shared" ca="1" si="24"/>
        <v>0.47892050618751308</v>
      </c>
      <c r="BZ18" s="142">
        <f t="shared" ca="1" si="25"/>
        <v>0.11772005872893798</v>
      </c>
      <c r="CA18" s="142">
        <f t="shared" ca="1" si="26"/>
        <v>0.25784800391526252</v>
      </c>
      <c r="CB18" s="142">
        <f t="shared" ca="1" si="27"/>
        <v>2.0974620708942179E-2</v>
      </c>
      <c r="CC18" s="142">
        <f t="shared" ca="1" si="28"/>
        <v>0</v>
      </c>
      <c r="CD18" s="142">
        <f t="shared" ca="1" si="29"/>
        <v>5.2436551772355448E-2</v>
      </c>
      <c r="CE18" s="142">
        <f t="shared" ca="1" si="30"/>
        <v>7.2100258686988744E-2</v>
      </c>
      <c r="CG18" s="128">
        <f t="shared" si="31"/>
        <v>16</v>
      </c>
      <c r="CH18" s="90">
        <f ca="1">INDEX(角色升级!$A:$A,MATCH(玩家节奏1!$BX18,角色升级!$J:$J,1))</f>
        <v>105</v>
      </c>
      <c r="CI18" s="90">
        <f ca="1">INDEX(角色升级!$O:$O,MATCH(玩家节奏1!$BX18,角色升级!$J:$J,1))</f>
        <v>1111.9325799999999</v>
      </c>
      <c r="CJ18" s="90">
        <f>INDEX(关卡对比!$J:$J,MATCH(玩家节奏1!N18,关卡对比!$A:$A,0))</f>
        <v>1100</v>
      </c>
      <c r="CK18" s="147">
        <f t="shared" ca="1" si="32"/>
        <v>0.98926861195127502</v>
      </c>
      <c r="CL18" s="128">
        <f ca="1">INDEX(角色升级!$P:$P,MATCH(玩家节奏1!$CH18,角色升级!$A:$A,0))</f>
        <v>200</v>
      </c>
      <c r="CM18" s="90">
        <f ca="1">INDEX(角色升级!Q:Q,MATCH(玩家节奏1!$CH18,角色升级!$A:$A,0))</f>
        <v>0</v>
      </c>
      <c r="CO18" s="128">
        <f t="shared" si="33"/>
        <v>482</v>
      </c>
      <c r="CP18" s="90">
        <f t="shared" si="34"/>
        <v>703</v>
      </c>
      <c r="CQ18" s="90">
        <f t="shared" si="35"/>
        <v>1000</v>
      </c>
      <c r="CR18" s="90">
        <f t="shared" ca="1" si="36"/>
        <v>1050</v>
      </c>
      <c r="CS18" s="90">
        <f t="shared" ca="1" si="37"/>
        <v>3235</v>
      </c>
      <c r="CT18" s="142">
        <f t="shared" ca="1" si="38"/>
        <v>0.14899536321483772</v>
      </c>
      <c r="CU18" s="142">
        <f t="shared" ca="1" si="39"/>
        <v>0.21731066460587325</v>
      </c>
      <c r="CV18" s="142">
        <f t="shared" ca="1" si="40"/>
        <v>0.30911901081916537</v>
      </c>
      <c r="CW18" s="142">
        <f t="shared" ca="1" si="41"/>
        <v>0.32457496136012365</v>
      </c>
      <c r="CY18" s="128">
        <f t="shared" si="42"/>
        <v>242</v>
      </c>
      <c r="CZ18" s="90">
        <f t="shared" si="43"/>
        <v>325</v>
      </c>
      <c r="DA18" s="90">
        <f t="shared" si="44"/>
        <v>296</v>
      </c>
      <c r="DB18" s="90">
        <f t="shared" ca="1" si="66"/>
        <v>279</v>
      </c>
      <c r="DC18" s="90">
        <f t="shared" ca="1" si="45"/>
        <v>1142</v>
      </c>
      <c r="DD18" s="142">
        <f t="shared" ca="1" si="46"/>
        <v>0.21190893169877409</v>
      </c>
      <c r="DE18" s="142">
        <f t="shared" ca="1" si="47"/>
        <v>0.28458844133099825</v>
      </c>
      <c r="DF18" s="142">
        <f t="shared" ca="1" si="48"/>
        <v>0.25919439579684761</v>
      </c>
      <c r="DG18" s="142">
        <f t="shared" ca="1" si="49"/>
        <v>0.24430823117338005</v>
      </c>
      <c r="DI18" s="128">
        <f t="shared" si="50"/>
        <v>69</v>
      </c>
      <c r="DJ18" s="90">
        <f t="shared" si="51"/>
        <v>79</v>
      </c>
      <c r="DK18" s="90">
        <f t="shared" si="52"/>
        <v>56</v>
      </c>
      <c r="DL18" s="90">
        <f t="shared" ca="1" si="53"/>
        <v>27</v>
      </c>
      <c r="DM18" s="90">
        <f t="shared" ca="1" si="54"/>
        <v>231</v>
      </c>
      <c r="DN18" s="142">
        <f t="shared" ca="1" si="55"/>
        <v>0.29870129870129869</v>
      </c>
      <c r="DO18" s="142">
        <f t="shared" ca="1" si="56"/>
        <v>0.34199134199134201</v>
      </c>
      <c r="DP18" s="142">
        <f t="shared" ca="1" si="57"/>
        <v>0.24242424242424243</v>
      </c>
      <c r="DQ18" s="142">
        <f t="shared" ca="1" si="58"/>
        <v>0.11688311688311688</v>
      </c>
      <c r="DS18" s="128">
        <f t="shared" ca="1" si="59"/>
        <v>3235</v>
      </c>
      <c r="DT18" s="90">
        <f t="shared" ca="1" si="60"/>
        <v>1142</v>
      </c>
      <c r="DU18" s="90">
        <f t="shared" ca="1" si="61"/>
        <v>231</v>
      </c>
      <c r="DV18" s="90">
        <f t="shared" si="62"/>
        <v>0</v>
      </c>
      <c r="DW18" s="90">
        <f ca="1">_xlfn.IFNA(INDEX(武器升级消耗!$H:$H,MATCH(玩家节奏1!DS18/玩家节奏1!DS$5,武器升级消耗!M:M,1)),0)</f>
        <v>7</v>
      </c>
      <c r="DX18" s="90">
        <f ca="1">_xlfn.IFNA(INDEX(武器升级消耗!$H:$H,MATCH(玩家节奏1!DT18/玩家节奏1!DT$5,武器升级消耗!N:N,1)),0)</f>
        <v>5</v>
      </c>
      <c r="DY18" s="90">
        <f ca="1">_xlfn.IFNA(INDEX(武器升级消耗!$H:$H,MATCH(玩家节奏1!DU18/玩家节奏1!DU$5,武器升级消耗!O:O,1)),0)</f>
        <v>3</v>
      </c>
      <c r="DZ18" s="90">
        <f>_xlfn.IFNA(INDEX(武器升级消耗!$H:$H,MATCH(玩家节奏1!DV18/玩家节奏1!DV$5,武器升级消耗!P:P,1)),0)</f>
        <v>0</v>
      </c>
      <c r="EA18" s="90">
        <f ca="1">_xlfn.IFNA(INDEX(武器升级消耗!$Q:$Q,MATCH(玩家节奏1!DW18,武器升级消耗!$H:$H,0))*2*EA$4,0)</f>
        <v>1.32</v>
      </c>
      <c r="EB18" s="90">
        <f ca="1">_xlfn.IFNA(INDEX(武器升级消耗!$Q:$Q,MATCH(玩家节奏1!DX18,武器升级消耗!$H:$H,0))*2*EB$4,0)</f>
        <v>1.35</v>
      </c>
      <c r="EC18" s="90">
        <f ca="1">_xlfn.IFNA(INDEX(武器升级消耗!$Q:$Q,MATCH(玩家节奏1!DY18,武器升级消耗!$H:$H,0))*2*EC$4,1)</f>
        <v>1.54</v>
      </c>
      <c r="ED18" s="90">
        <f>_xlfn.IFNA(INDEX(武器升级消耗!$Q:$Q,MATCH(玩家节奏1!DZ18,武器升级消耗!$H:$H,0))*2*ED$4,0)</f>
        <v>0</v>
      </c>
      <c r="EF18" s="128"/>
      <c r="EG18" s="90"/>
      <c r="EH18" s="90"/>
      <c r="EI18" s="90"/>
      <c r="EJ18" s="90"/>
      <c r="EK18" s="90"/>
      <c r="EL18" s="90"/>
      <c r="EM18" s="90"/>
      <c r="EO18" s="128"/>
      <c r="EP18" s="90"/>
      <c r="EQ18" s="90"/>
      <c r="ER18" s="90"/>
      <c r="ES18" s="90"/>
      <c r="ET18" s="90"/>
      <c r="EU18" s="90"/>
      <c r="EV18" s="90"/>
      <c r="EW18" s="90"/>
      <c r="EX18" s="90"/>
      <c r="EY18" s="90"/>
      <c r="EZ18" s="90"/>
      <c r="FA18" s="90"/>
      <c r="FB18" s="90"/>
      <c r="FD18" s="90">
        <f t="shared" ca="1" si="63"/>
        <v>1.54</v>
      </c>
      <c r="FE18" s="90"/>
      <c r="FF18" s="90"/>
      <c r="FG18" s="90">
        <f t="shared" ca="1" si="64"/>
        <v>0</v>
      </c>
    </row>
    <row r="19" spans="1:163" x14ac:dyDescent="0.25">
      <c r="A19" s="123">
        <v>13</v>
      </c>
      <c r="B19" s="123">
        <f>INDEX(关卡对比!$Y:$Y,MATCH(关卡对比!Z19,关卡对比!$AA:$AA,1))</f>
        <v>7</v>
      </c>
      <c r="C19" s="124"/>
      <c r="D19" s="125">
        <f t="shared" si="69"/>
        <v>45.5</v>
      </c>
      <c r="E19" s="125">
        <v>3</v>
      </c>
      <c r="F19" s="128">
        <v>6</v>
      </c>
      <c r="G19" s="90">
        <v>0</v>
      </c>
      <c r="H19" s="90">
        <v>1</v>
      </c>
      <c r="J19" s="128">
        <v>13</v>
      </c>
      <c r="K19" s="90">
        <f t="shared" si="10"/>
        <v>6</v>
      </c>
      <c r="L19" s="90">
        <f t="shared" si="11"/>
        <v>0</v>
      </c>
      <c r="M19" s="90">
        <f t="shared" si="12"/>
        <v>1</v>
      </c>
      <c r="N19" s="140">
        <f>INDEX($A:$A,MATCH(SUM($K$7:K19),$D:$D,1))</f>
        <v>17</v>
      </c>
      <c r="O19" s="140">
        <v>0</v>
      </c>
      <c r="P19" s="141">
        <v>0</v>
      </c>
      <c r="Q19" s="126">
        <f>_xlfn.MAXIFS(关卡产出!X:X,关卡产出!$A:$A,玩家节奏1!$N$6,关卡产出!$B:$B,玩家节奏1!$N19)+_xlfn.MAXIFS(关卡产出!X:X,关卡产出!$A:$A,玩家节奏1!$O$6,关卡产出!$B:$B,玩家节奏1!$O19)+_xlfn.MAXIFS(关卡产出!X:X,关卡产出!$A:$A,玩家节奏1!$P$6,关卡产出!$B:$B,玩家节奏1!$P19)</f>
        <v>2050</v>
      </c>
      <c r="R19" s="90">
        <f>_xlfn.MAXIFS(关卡产出!Y:Y,关卡产出!$A:$A,玩家节奏1!$N$6,关卡产出!$B:$B,玩家节奏1!$N19)+_xlfn.MAXIFS(关卡产出!Y:Y,关卡产出!$A:$A,玩家节奏1!$O$6,关卡产出!$B:$B,玩家节奏1!$O19)+_xlfn.MAXIFS(关卡产出!Y:Y,关卡产出!$A:$A,玩家节奏1!$P$6,关卡产出!$B:$B,玩家节奏1!$P19)</f>
        <v>62700</v>
      </c>
      <c r="S19" s="90">
        <f>_xlfn.MAXIFS(关卡产出!Z:Z,关卡产出!$A:$A,玩家节奏1!$N$6,关卡产出!$B:$B,玩家节奏1!$N19)+_xlfn.MAXIFS(关卡产出!Z:Z,关卡产出!$A:$A,玩家节奏1!$O$6,关卡产出!$B:$B,玩家节奏1!$O19)+_xlfn.MAXIFS(关卡产出!Z:Z,关卡产出!$A:$A,玩家节奏1!$P$6,关卡产出!$B:$B,玩家节奏1!$P19)</f>
        <v>542</v>
      </c>
      <c r="T19" s="90">
        <f>_xlfn.MAXIFS(关卡产出!AA:AA,关卡产出!$A:$A,玩家节奏1!$N$6,关卡产出!$B:$B,玩家节奏1!$N19)+_xlfn.MAXIFS(关卡产出!AA:AA,关卡产出!$A:$A,玩家节奏1!$O$6,关卡产出!$B:$B,玩家节奏1!$O19)+_xlfn.MAXIFS(关卡产出!AA:AA,关卡产出!$A:$A,玩家节奏1!$P$6,关卡产出!$B:$B,玩家节奏1!$P19)</f>
        <v>272</v>
      </c>
      <c r="U19" s="90">
        <f>_xlfn.MAXIFS(关卡产出!AB:AB,关卡产出!$A:$A,玩家节奏1!$N$6,关卡产出!$B:$B,玩家节奏1!$N19)+_xlfn.MAXIFS(关卡产出!AB:AB,关卡产出!$A:$A,玩家节奏1!$O$6,关卡产出!$B:$B,玩家节奏1!$O19)+_xlfn.MAXIFS(关卡产出!AB:AB,关卡产出!$A:$A,玩家节奏1!$P$6,关卡产出!$B:$B,玩家节奏1!$P19)</f>
        <v>81</v>
      </c>
      <c r="V19" s="130">
        <f>_xlfn.MAXIFS(关卡产出!AC:AC,关卡产出!$A:$A,玩家节奏1!$N$6,关卡产出!$B:$B,玩家节奏1!$N19)+_xlfn.MAXIFS(关卡产出!AC:AC,关卡产出!$A:$A,玩家节奏1!$O$6,关卡产出!$B:$B,玩家节奏1!$O19)+_xlfn.MAXIFS(关卡产出!AC:AC,关卡产出!$A:$A,玩家节奏1!$P$6,关卡产出!$B:$B,玩家节奏1!$P19)</f>
        <v>102</v>
      </c>
      <c r="W19" s="126">
        <f>INDEX(关卡产出!C$8:C$207,MATCH(玩家节奏1!$N19,关卡产出!$B$8:$B$207,0))*$K19</f>
        <v>72</v>
      </c>
      <c r="X19" s="126">
        <f>INDEX(关卡产出!D$8:D$207,MATCH(玩家节奏1!$N19,关卡产出!$B$8:$B$207,0))*$K19</f>
        <v>36</v>
      </c>
      <c r="Y19" s="126">
        <f>INDEX(关卡产出!E$8:E$207,MATCH(玩家节奏1!$N19,关卡产出!$B$8:$B$207,0))*$K19</f>
        <v>12</v>
      </c>
      <c r="Z19" s="144">
        <f>INDEX(关卡产出!F$8:F$207,MATCH(玩家节奏1!$N19,关卡产出!$B$8:$B$207,0))*$K19</f>
        <v>1380</v>
      </c>
      <c r="AA19" s="126">
        <f>SUM(W$7:W19)</f>
        <v>775</v>
      </c>
      <c r="AB19" s="126">
        <f>SUM(X$7:X19)</f>
        <v>361</v>
      </c>
      <c r="AC19" s="126">
        <f>SUM(Y$7:Y19)</f>
        <v>91</v>
      </c>
      <c r="AD19" s="126">
        <f>SUM(Z$7:Z19)</f>
        <v>14850</v>
      </c>
      <c r="AE19" s="126">
        <f>INDEX(图鉴!AQ:AQ,MATCH($N19,图鉴!$S:$S,0))*8</f>
        <v>120</v>
      </c>
      <c r="AF19" s="90">
        <f>INDEX(图鉴!AR:AR,MATCH($N19,图鉴!$S:$S,0))*8</f>
        <v>32</v>
      </c>
      <c r="AG19" s="90">
        <f>INDEX(图鉴!AS:AS,MATCH($N19,图鉴!$S:$S,0))*8</f>
        <v>8</v>
      </c>
      <c r="AH19" s="129">
        <f ca="1">INDEX(图鉴!AT:AT,MATCH($N19,图鉴!$S:$S,0))*8</f>
        <v>3568</v>
      </c>
      <c r="AI19" s="128">
        <f>SUM($AE$7:AE19)</f>
        <v>1120</v>
      </c>
      <c r="AJ19" s="90">
        <f>SUM(AF$7:AF19)</f>
        <v>328</v>
      </c>
      <c r="AK19" s="90">
        <f>SUM(AG$7:AG19)</f>
        <v>64</v>
      </c>
      <c r="AL19" s="130">
        <f ca="1">SUM(AH$7:AH19)</f>
        <v>33072</v>
      </c>
      <c r="AM19" s="133">
        <f>IF(M19=0,0,INDEX(关卡产出!$AU$11:$AU$15,MATCH(玩家节奏1!N19,关卡产出!$AW$11:$AW$15,1))*M19)</f>
        <v>2400</v>
      </c>
      <c r="AN19" s="126">
        <f>IF(L19=0,0,$L19*关卡产出!AU$21)</f>
        <v>0</v>
      </c>
      <c r="AO19" s="90">
        <f>IF(M19=0,0,$L19*关卡产出!AV$21)</f>
        <v>0</v>
      </c>
      <c r="AP19" s="129">
        <f>IF(N19=0,0,$L19*关卡产出!AW$21)</f>
        <v>0</v>
      </c>
      <c r="AQ19" s="138">
        <f>SUM(AN$7:AN19)</f>
        <v>0</v>
      </c>
      <c r="AR19" s="126">
        <f>SUM(AO$7:AO19)</f>
        <v>0</v>
      </c>
      <c r="AS19" s="129">
        <f>SUM(AP$7:AP19)</f>
        <v>0</v>
      </c>
      <c r="AT19" s="128">
        <v>500</v>
      </c>
      <c r="AU19" s="129">
        <v>100</v>
      </c>
      <c r="AV19" s="128">
        <f>SUM(AT$7:AT19)</f>
        <v>6500</v>
      </c>
      <c r="AW19" s="90">
        <f>SUM(AU$7:AU19)</f>
        <v>1300</v>
      </c>
      <c r="AY19" s="128">
        <f t="shared" si="13"/>
        <v>2050</v>
      </c>
      <c r="AZ19" s="90">
        <f t="shared" si="14"/>
        <v>0</v>
      </c>
      <c r="BA19" s="90">
        <f t="shared" si="15"/>
        <v>1300</v>
      </c>
      <c r="BB19" s="90">
        <f t="shared" ca="1" si="65"/>
        <v>200</v>
      </c>
      <c r="BC19" s="90">
        <f t="shared" ca="1" si="68"/>
        <v>3550</v>
      </c>
      <c r="BD19" s="90"/>
      <c r="BE19" s="90">
        <f t="shared" ca="1" si="17"/>
        <v>3550</v>
      </c>
      <c r="BF19" s="142">
        <f t="shared" ca="1" si="18"/>
        <v>0.57746478873239437</v>
      </c>
      <c r="BG19" s="142">
        <f t="shared" ca="1" si="19"/>
        <v>0</v>
      </c>
      <c r="BH19" s="142">
        <f t="shared" ca="1" si="20"/>
        <v>0.36619718309859156</v>
      </c>
      <c r="BI19" s="142">
        <f t="shared" ca="1" si="21"/>
        <v>5.6338028169014086E-2</v>
      </c>
      <c r="BJ19" s="143"/>
      <c r="BK19" s="128">
        <f ca="1">INDEX(商城宝箱!$L:$L,MATCH(BC19,商城宝箱!$N:$N,1))</f>
        <v>2</v>
      </c>
      <c r="BL19" s="90">
        <f ca="1">_xlfn.IFNA(INDEX(商城宝箱!T:T,MATCH(玩家节奏1!$BK19,商城宝箱!$L:$L,0)),0)+($BC19-INDEX(商城宝箱!$N:$N,MATCH(玩家节奏1!$BK19,商城宝箱!$L:$L,0)))/$BK$5*INDEX(商城宝箱!E$23:E$42,MATCH(玩家节奏1!$BK19+1,商城宝箱!$C$23:$C$42,0))</f>
        <v>8875</v>
      </c>
      <c r="BM19" s="90">
        <f ca="1">_xlfn.IFNA(INDEX(商城宝箱!U:U,MATCH(玩家节奏1!$BK19,商城宝箱!$L:$L,0)),0)+($BC19-INDEX(商城宝箱!$N:$N,MATCH(玩家节奏1!$BK19,商城宝箱!$L:$L,0)))/$BK$5*INDEX(商城宝箱!F$23:F$42,MATCH(玩家节奏1!$BK19+1,商城宝箱!$C$23:$C$42,0))</f>
        <v>1143.75</v>
      </c>
      <c r="BN19" s="90">
        <f ca="1">_xlfn.IFNA(INDEX(商城宝箱!V:V,MATCH(玩家节奏1!$BK19,商城宝箱!$L:$L,0)),0)+($BC19-INDEX(商城宝箱!$N:$N,MATCH(玩家节奏1!$BK19,商城宝箱!$L:$L,0)))/$BK$5*INDEX(商城宝箱!G$23:G$42,MATCH(玩家节奏1!$BK19+1,商城宝箱!$C$23:$C$42,0))</f>
        <v>306.5</v>
      </c>
      <c r="BO19" s="90">
        <f ca="1">_xlfn.IFNA(INDEX(商城宝箱!W:W,MATCH(玩家节奏1!$BK19,商城宝箱!$L:$L,0)),0)+($BC19-INDEX(商城宝箱!$N:$N,MATCH(玩家节奏1!$BK19,商城宝箱!$L:$L,0)))/$BK$5*INDEX(商城宝箱!H$23:H$42,MATCH(玩家节奏1!$BK19+1,商城宝箱!$C$23:$C$42,0))</f>
        <v>30.75</v>
      </c>
      <c r="BQ19" s="128">
        <f t="shared" si="0"/>
        <v>62700</v>
      </c>
      <c r="BR19" s="90">
        <f t="shared" si="1"/>
        <v>14850</v>
      </c>
      <c r="BS19" s="90">
        <f t="shared" ca="1" si="2"/>
        <v>33072</v>
      </c>
      <c r="BT19" s="90">
        <f t="shared" si="3"/>
        <v>2400</v>
      </c>
      <c r="BU19" s="90">
        <f t="shared" si="4"/>
        <v>0</v>
      </c>
      <c r="BV19" s="90">
        <f t="shared" si="5"/>
        <v>6500</v>
      </c>
      <c r="BW19" s="90">
        <f t="shared" ca="1" si="22"/>
        <v>8875</v>
      </c>
      <c r="BX19" s="90">
        <f t="shared" ca="1" si="23"/>
        <v>128397</v>
      </c>
      <c r="BY19" s="142">
        <f t="shared" ca="1" si="24"/>
        <v>0.48832916656931236</v>
      </c>
      <c r="BZ19" s="142">
        <f t="shared" ca="1" si="25"/>
        <v>0.11565690787167925</v>
      </c>
      <c r="CA19" s="142">
        <f t="shared" ca="1" si="26"/>
        <v>0.25757611159139232</v>
      </c>
      <c r="CB19" s="142">
        <f t="shared" ca="1" si="27"/>
        <v>1.8692025514614827E-2</v>
      </c>
      <c r="CC19" s="142">
        <f t="shared" ca="1" si="28"/>
        <v>0</v>
      </c>
      <c r="CD19" s="142">
        <f t="shared" ca="1" si="29"/>
        <v>5.0624235768748492E-2</v>
      </c>
      <c r="CE19" s="142">
        <f t="shared" ca="1" si="30"/>
        <v>6.9121552684252741E-2</v>
      </c>
      <c r="CG19" s="128">
        <f t="shared" si="31"/>
        <v>17</v>
      </c>
      <c r="CH19" s="90">
        <f ca="1">INDEX(角色升级!$A:$A,MATCH(玩家节奏1!$BX19,角色升级!$J:$J,1))</f>
        <v>117</v>
      </c>
      <c r="CI19" s="90">
        <f ca="1">INDEX(角色升级!$O:$O,MATCH(玩家节奏1!$BX19,角色升级!$J:$J,1))</f>
        <v>1121.1641199999999</v>
      </c>
      <c r="CJ19" s="90">
        <f>INDEX(关卡对比!$J:$J,MATCH(玩家节奏1!N19,关卡对比!$A:$A,0))</f>
        <v>1300</v>
      </c>
      <c r="CK19" s="147">
        <f t="shared" ca="1" si="32"/>
        <v>1.1595091002377067</v>
      </c>
      <c r="CL19" s="128">
        <f ca="1">INDEX(角色升级!$P:$P,MATCH(玩家节奏1!$CH19,角色升级!$A:$A,0))</f>
        <v>200</v>
      </c>
      <c r="CM19" s="90">
        <f ca="1">INDEX(角色升级!Q:Q,MATCH(玩家节奏1!$CH19,角色升级!$A:$A,0))</f>
        <v>0</v>
      </c>
      <c r="CO19" s="128">
        <f t="shared" si="33"/>
        <v>542</v>
      </c>
      <c r="CP19" s="90">
        <f t="shared" si="34"/>
        <v>775</v>
      </c>
      <c r="CQ19" s="90">
        <f t="shared" si="35"/>
        <v>1120</v>
      </c>
      <c r="CR19" s="90">
        <f t="shared" ca="1" si="36"/>
        <v>1143.75</v>
      </c>
      <c r="CS19" s="90">
        <f t="shared" ca="1" si="37"/>
        <v>3580.75</v>
      </c>
      <c r="CT19" s="142">
        <f t="shared" ca="1" si="38"/>
        <v>0.15136493751309082</v>
      </c>
      <c r="CU19" s="142">
        <f t="shared" ca="1" si="39"/>
        <v>0.21643510437757454</v>
      </c>
      <c r="CV19" s="142">
        <f t="shared" ca="1" si="40"/>
        <v>0.31278363471339804</v>
      </c>
      <c r="CW19" s="142">
        <f t="shared" ca="1" si="41"/>
        <v>0.31941632339593662</v>
      </c>
      <c r="CY19" s="128">
        <f t="shared" si="42"/>
        <v>272</v>
      </c>
      <c r="CZ19" s="90">
        <f t="shared" si="43"/>
        <v>361</v>
      </c>
      <c r="DA19" s="90">
        <f t="shared" si="44"/>
        <v>328</v>
      </c>
      <c r="DB19" s="90">
        <f t="shared" ca="1" si="66"/>
        <v>306.5</v>
      </c>
      <c r="DC19" s="90">
        <f t="shared" ca="1" si="45"/>
        <v>1267.5</v>
      </c>
      <c r="DD19" s="142">
        <f t="shared" ca="1" si="46"/>
        <v>0.21459566074950689</v>
      </c>
      <c r="DE19" s="142">
        <f t="shared" ca="1" si="47"/>
        <v>0.28481262327416174</v>
      </c>
      <c r="DF19" s="142">
        <f t="shared" ca="1" si="48"/>
        <v>0.25877712031558187</v>
      </c>
      <c r="DG19" s="142">
        <f t="shared" ca="1" si="49"/>
        <v>0.2418145956607495</v>
      </c>
      <c r="DI19" s="128">
        <f t="shared" si="50"/>
        <v>81</v>
      </c>
      <c r="DJ19" s="90">
        <f t="shared" si="51"/>
        <v>91</v>
      </c>
      <c r="DK19" s="90">
        <f t="shared" si="52"/>
        <v>64</v>
      </c>
      <c r="DL19" s="90">
        <f t="shared" ca="1" si="53"/>
        <v>30.75</v>
      </c>
      <c r="DM19" s="90">
        <f t="shared" ca="1" si="54"/>
        <v>266.75</v>
      </c>
      <c r="DN19" s="142">
        <f t="shared" ca="1" si="55"/>
        <v>0.3036551077788191</v>
      </c>
      <c r="DO19" s="142">
        <f t="shared" ca="1" si="56"/>
        <v>0.34114339268978444</v>
      </c>
      <c r="DP19" s="142">
        <f t="shared" ca="1" si="57"/>
        <v>0.23992502343017807</v>
      </c>
      <c r="DQ19" s="142">
        <f t="shared" ca="1" si="58"/>
        <v>0.11527647610121837</v>
      </c>
      <c r="DS19" s="128">
        <f t="shared" ca="1" si="59"/>
        <v>3580.75</v>
      </c>
      <c r="DT19" s="90">
        <f t="shared" ca="1" si="60"/>
        <v>1267.5</v>
      </c>
      <c r="DU19" s="90">
        <f t="shared" ca="1" si="61"/>
        <v>266.75</v>
      </c>
      <c r="DV19" s="90">
        <f t="shared" si="62"/>
        <v>0</v>
      </c>
      <c r="DW19" s="90">
        <f ca="1">_xlfn.IFNA(INDEX(武器升级消耗!$H:$H,MATCH(玩家节奏1!DS19/玩家节奏1!DS$5,武器升级消耗!M:M,1)),0)</f>
        <v>8</v>
      </c>
      <c r="DX19" s="90">
        <f ca="1">_xlfn.IFNA(INDEX(武器升级消耗!$H:$H,MATCH(玩家节奏1!DT19/玩家节奏1!DT$5,武器升级消耗!N:N,1)),0)</f>
        <v>5</v>
      </c>
      <c r="DY19" s="90">
        <f ca="1">_xlfn.IFNA(INDEX(武器升级消耗!$H:$H,MATCH(玩家节奏1!DU19/玩家节奏1!DU$5,武器升级消耗!O:O,1)),0)</f>
        <v>3</v>
      </c>
      <c r="DZ19" s="90">
        <f>_xlfn.IFNA(INDEX(武器升级消耗!$H:$H,MATCH(玩家节奏1!DV19/玩家节奏1!DV$5,武器升级消耗!P:P,1)),0)</f>
        <v>0</v>
      </c>
      <c r="EA19" s="90">
        <f ca="1">_xlfn.IFNA(INDEX(武器升级消耗!$Q:$Q,MATCH(玩家节奏1!DW19,武器升级消耗!$H:$H,0))*2*EA$4,0)</f>
        <v>1.44</v>
      </c>
      <c r="EB19" s="90">
        <f ca="1">_xlfn.IFNA(INDEX(武器升级消耗!$Q:$Q,MATCH(玩家节奏1!DX19,武器升级消耗!$H:$H,0))*2*EB$4,0)</f>
        <v>1.35</v>
      </c>
      <c r="EC19" s="90">
        <f ca="1">_xlfn.IFNA(INDEX(武器升级消耗!$Q:$Q,MATCH(玩家节奏1!DY19,武器升级消耗!$H:$H,0))*2*EC$4,1)</f>
        <v>1.54</v>
      </c>
      <c r="ED19" s="90">
        <f>_xlfn.IFNA(INDEX(武器升级消耗!$Q:$Q,MATCH(玩家节奏1!DZ19,武器升级消耗!$H:$H,0))*2*ED$4,0)</f>
        <v>0</v>
      </c>
      <c r="EF19" s="128"/>
      <c r="EG19" s="90"/>
      <c r="EH19" s="90"/>
      <c r="EI19" s="90"/>
      <c r="EJ19" s="90"/>
      <c r="EK19" s="90"/>
      <c r="EL19" s="90"/>
      <c r="EM19" s="90"/>
      <c r="EO19" s="128"/>
      <c r="EP19" s="90"/>
      <c r="EQ19" s="90"/>
      <c r="ER19" s="90"/>
      <c r="ES19" s="90"/>
      <c r="ET19" s="90"/>
      <c r="EU19" s="90"/>
      <c r="EV19" s="90"/>
      <c r="EW19" s="90"/>
      <c r="EX19" s="90"/>
      <c r="EY19" s="90"/>
      <c r="EZ19" s="90"/>
      <c r="FA19" s="90"/>
      <c r="FB19" s="90"/>
      <c r="FD19" s="90">
        <f t="shared" ca="1" si="63"/>
        <v>1.54</v>
      </c>
      <c r="FE19" s="90"/>
      <c r="FF19" s="90"/>
      <c r="FG19" s="90">
        <f t="shared" ca="1" si="64"/>
        <v>0</v>
      </c>
    </row>
    <row r="20" spans="1:163" x14ac:dyDescent="0.25">
      <c r="A20" s="123">
        <v>14</v>
      </c>
      <c r="B20" s="123">
        <f>INDEX(关卡对比!$Y:$Y,MATCH(关卡对比!Z20,关卡对比!$AA:$AA,1))</f>
        <v>7</v>
      </c>
      <c r="C20" s="124"/>
      <c r="D20" s="125">
        <f t="shared" si="69"/>
        <v>48.5</v>
      </c>
      <c r="E20" s="125">
        <v>3</v>
      </c>
      <c r="F20" s="128">
        <v>6</v>
      </c>
      <c r="G20" s="90">
        <v>0</v>
      </c>
      <c r="H20" s="90">
        <v>1</v>
      </c>
      <c r="J20" s="128">
        <v>14</v>
      </c>
      <c r="K20" s="90">
        <f t="shared" si="10"/>
        <v>6</v>
      </c>
      <c r="L20" s="90">
        <f t="shared" si="11"/>
        <v>0</v>
      </c>
      <c r="M20" s="90">
        <f t="shared" si="12"/>
        <v>1</v>
      </c>
      <c r="N20" s="140">
        <f>INDEX($A:$A,MATCH(SUM($K$7:K20),$D:$D,1))</f>
        <v>17</v>
      </c>
      <c r="O20" s="140">
        <v>0</v>
      </c>
      <c r="P20" s="141">
        <v>0</v>
      </c>
      <c r="Q20" s="126">
        <f>_xlfn.MAXIFS(关卡产出!X:X,关卡产出!$A:$A,玩家节奏1!$N$6,关卡产出!$B:$B,玩家节奏1!$N20)+_xlfn.MAXIFS(关卡产出!X:X,关卡产出!$A:$A,玩家节奏1!$O$6,关卡产出!$B:$B,玩家节奏1!$O20)+_xlfn.MAXIFS(关卡产出!X:X,关卡产出!$A:$A,玩家节奏1!$P$6,关卡产出!$B:$B,玩家节奏1!$P20)</f>
        <v>2050</v>
      </c>
      <c r="R20" s="90">
        <f>_xlfn.MAXIFS(关卡产出!Y:Y,关卡产出!$A:$A,玩家节奏1!$N$6,关卡产出!$B:$B,玩家节奏1!$N20)+_xlfn.MAXIFS(关卡产出!Y:Y,关卡产出!$A:$A,玩家节奏1!$O$6,关卡产出!$B:$B,玩家节奏1!$O20)+_xlfn.MAXIFS(关卡产出!Y:Y,关卡产出!$A:$A,玩家节奏1!$P$6,关卡产出!$B:$B,玩家节奏1!$P20)</f>
        <v>62700</v>
      </c>
      <c r="S20" s="90">
        <f>_xlfn.MAXIFS(关卡产出!Z:Z,关卡产出!$A:$A,玩家节奏1!$N$6,关卡产出!$B:$B,玩家节奏1!$N20)+_xlfn.MAXIFS(关卡产出!Z:Z,关卡产出!$A:$A,玩家节奏1!$O$6,关卡产出!$B:$B,玩家节奏1!$O20)+_xlfn.MAXIFS(关卡产出!Z:Z,关卡产出!$A:$A,玩家节奏1!$P$6,关卡产出!$B:$B,玩家节奏1!$P20)</f>
        <v>542</v>
      </c>
      <c r="T20" s="90">
        <f>_xlfn.MAXIFS(关卡产出!AA:AA,关卡产出!$A:$A,玩家节奏1!$N$6,关卡产出!$B:$B,玩家节奏1!$N20)+_xlfn.MAXIFS(关卡产出!AA:AA,关卡产出!$A:$A,玩家节奏1!$O$6,关卡产出!$B:$B,玩家节奏1!$O20)+_xlfn.MAXIFS(关卡产出!AA:AA,关卡产出!$A:$A,玩家节奏1!$P$6,关卡产出!$B:$B,玩家节奏1!$P20)</f>
        <v>272</v>
      </c>
      <c r="U20" s="90">
        <f>_xlfn.MAXIFS(关卡产出!AB:AB,关卡产出!$A:$A,玩家节奏1!$N$6,关卡产出!$B:$B,玩家节奏1!$N20)+_xlfn.MAXIFS(关卡产出!AB:AB,关卡产出!$A:$A,玩家节奏1!$O$6,关卡产出!$B:$B,玩家节奏1!$O20)+_xlfn.MAXIFS(关卡产出!AB:AB,关卡产出!$A:$A,玩家节奏1!$P$6,关卡产出!$B:$B,玩家节奏1!$P20)</f>
        <v>81</v>
      </c>
      <c r="V20" s="130">
        <f>_xlfn.MAXIFS(关卡产出!AC:AC,关卡产出!$A:$A,玩家节奏1!$N$6,关卡产出!$B:$B,玩家节奏1!$N20)+_xlfn.MAXIFS(关卡产出!AC:AC,关卡产出!$A:$A,玩家节奏1!$O$6,关卡产出!$B:$B,玩家节奏1!$O20)+_xlfn.MAXIFS(关卡产出!AC:AC,关卡产出!$A:$A,玩家节奏1!$P$6,关卡产出!$B:$B,玩家节奏1!$P20)</f>
        <v>102</v>
      </c>
      <c r="W20" s="126">
        <f>INDEX(关卡产出!C$8:C$207,MATCH(玩家节奏1!$N20,关卡产出!$B$8:$B$207,0))*$K20</f>
        <v>72</v>
      </c>
      <c r="X20" s="126">
        <f>INDEX(关卡产出!D$8:D$207,MATCH(玩家节奏1!$N20,关卡产出!$B$8:$B$207,0))*$K20</f>
        <v>36</v>
      </c>
      <c r="Y20" s="126">
        <f>INDEX(关卡产出!E$8:E$207,MATCH(玩家节奏1!$N20,关卡产出!$B$8:$B$207,0))*$K20</f>
        <v>12</v>
      </c>
      <c r="Z20" s="144">
        <f>INDEX(关卡产出!F$8:F$207,MATCH(玩家节奏1!$N20,关卡产出!$B$8:$B$207,0))*$K20</f>
        <v>1380</v>
      </c>
      <c r="AA20" s="126">
        <f>SUM(W$7:W20)</f>
        <v>847</v>
      </c>
      <c r="AB20" s="126">
        <f>SUM(X$7:X20)</f>
        <v>397</v>
      </c>
      <c r="AC20" s="126">
        <f>SUM(Y$7:Y20)</f>
        <v>103</v>
      </c>
      <c r="AD20" s="126">
        <f>SUM(Z$7:Z20)</f>
        <v>16230</v>
      </c>
      <c r="AE20" s="126">
        <f>INDEX(图鉴!AQ:AQ,MATCH($N20,图鉴!$S:$S,0))*8</f>
        <v>120</v>
      </c>
      <c r="AF20" s="90">
        <f>INDEX(图鉴!AR:AR,MATCH($N20,图鉴!$S:$S,0))*8</f>
        <v>32</v>
      </c>
      <c r="AG20" s="90">
        <f>INDEX(图鉴!AS:AS,MATCH($N20,图鉴!$S:$S,0))*8</f>
        <v>8</v>
      </c>
      <c r="AH20" s="129">
        <f ca="1">INDEX(图鉴!AT:AT,MATCH($N20,图鉴!$S:$S,0))*8</f>
        <v>3568</v>
      </c>
      <c r="AI20" s="128">
        <f>SUM($AE$7:AE20)</f>
        <v>1240</v>
      </c>
      <c r="AJ20" s="90">
        <f>SUM(AF$7:AF20)</f>
        <v>360</v>
      </c>
      <c r="AK20" s="90">
        <f>SUM(AG$7:AG20)</f>
        <v>72</v>
      </c>
      <c r="AL20" s="130">
        <f ca="1">SUM(AH$7:AH20)</f>
        <v>36640</v>
      </c>
      <c r="AM20" s="133">
        <f>IF(M20=0,0,INDEX(关卡产出!$AU$11:$AU$15,MATCH(玩家节奏1!N20,关卡产出!$AW$11:$AW$15,1))*M20)</f>
        <v>2400</v>
      </c>
      <c r="AN20" s="126">
        <f>IF(L20=0,0,$L20*关卡产出!AU$21)</f>
        <v>0</v>
      </c>
      <c r="AO20" s="90">
        <f>IF(M20=0,0,$L20*关卡产出!AV$21)</f>
        <v>0</v>
      </c>
      <c r="AP20" s="129">
        <f>IF(N20=0,0,$L20*关卡产出!AW$21)</f>
        <v>0</v>
      </c>
      <c r="AQ20" s="138">
        <f>SUM(AN$7:AN20)</f>
        <v>0</v>
      </c>
      <c r="AR20" s="126">
        <f>SUM(AO$7:AO20)</f>
        <v>0</v>
      </c>
      <c r="AS20" s="129">
        <f>SUM(AP$7:AP20)</f>
        <v>0</v>
      </c>
      <c r="AT20" s="128">
        <v>500</v>
      </c>
      <c r="AU20" s="129">
        <v>100</v>
      </c>
      <c r="AV20" s="128">
        <f>SUM(AT$7:AT20)</f>
        <v>7000</v>
      </c>
      <c r="AW20" s="90">
        <f>SUM(AU$7:AU20)</f>
        <v>1400</v>
      </c>
      <c r="AY20" s="128">
        <f t="shared" si="13"/>
        <v>2050</v>
      </c>
      <c r="AZ20" s="90">
        <f t="shared" si="14"/>
        <v>0</v>
      </c>
      <c r="BA20" s="90">
        <f t="shared" si="15"/>
        <v>1400</v>
      </c>
      <c r="BB20" s="90">
        <f t="shared" ca="1" si="65"/>
        <v>200</v>
      </c>
      <c r="BC20" s="90">
        <f t="shared" ca="1" si="68"/>
        <v>3650</v>
      </c>
      <c r="BD20" s="90"/>
      <c r="BE20" s="90">
        <f t="shared" ca="1" si="17"/>
        <v>3650</v>
      </c>
      <c r="BF20" s="142">
        <f t="shared" ca="1" si="18"/>
        <v>0.56164383561643838</v>
      </c>
      <c r="BG20" s="142">
        <f t="shared" ca="1" si="19"/>
        <v>0</v>
      </c>
      <c r="BH20" s="142">
        <f t="shared" ca="1" si="20"/>
        <v>0.38356164383561642</v>
      </c>
      <c r="BI20" s="142">
        <f t="shared" ca="1" si="21"/>
        <v>5.4794520547945202E-2</v>
      </c>
      <c r="BJ20" s="143"/>
      <c r="BK20" s="128">
        <f ca="1">INDEX(商城宝箱!$L:$L,MATCH(BC20,商城宝箱!$N:$N,1))</f>
        <v>3</v>
      </c>
      <c r="BL20" s="90">
        <f ca="1">_xlfn.IFNA(INDEX(商城宝箱!T:T,MATCH(玩家节奏1!$BK20,商城宝箱!$L:$L,0)),0)+($BC20-INDEX(商城宝箱!$N:$N,MATCH(玩家节奏1!$BK20,商城宝箱!$L:$L,0)))/$BK$5*INDEX(商城宝箱!E$23:E$42,MATCH(玩家节奏1!$BK20+1,商城宝箱!$C$23:$C$42,0))</f>
        <v>9125</v>
      </c>
      <c r="BM20" s="90">
        <f ca="1">_xlfn.IFNA(INDEX(商城宝箱!U:U,MATCH(玩家节奏1!$BK20,商城宝箱!$L:$L,0)),0)+($BC20-INDEX(商城宝箱!$N:$N,MATCH(玩家节奏1!$BK20,商城宝箱!$L:$L,0)))/$BK$5*INDEX(商城宝箱!F$23:F$42,MATCH(玩家节奏1!$BK20+1,商城宝箱!$C$23:$C$42,0))</f>
        <v>1190</v>
      </c>
      <c r="BN20" s="90">
        <f ca="1">_xlfn.IFNA(INDEX(商城宝箱!V:V,MATCH(玩家节奏1!$BK20,商城宝箱!$L:$L,0)),0)+($BC20-INDEX(商城宝箱!$N:$N,MATCH(玩家节奏1!$BK20,商城宝箱!$L:$L,0)))/$BK$5*INDEX(商城宝箱!G$23:G$42,MATCH(玩家节奏1!$BK20+1,商城宝箱!$C$23:$C$42,0))</f>
        <v>323.25</v>
      </c>
      <c r="BO20" s="90">
        <f ca="1">_xlfn.IFNA(INDEX(商城宝箱!W:W,MATCH(玩家节奏1!$BK20,商城宝箱!$L:$L,0)),0)+($BC20-INDEX(商城宝箱!$N:$N,MATCH(玩家节奏1!$BK20,商城宝箱!$L:$L,0)))/$BK$5*INDEX(商城宝箱!H$23:H$42,MATCH(玩家节奏1!$BK20+1,商城宝箱!$C$23:$C$42,0))</f>
        <v>33.25</v>
      </c>
      <c r="BQ20" s="128">
        <f t="shared" si="0"/>
        <v>62700</v>
      </c>
      <c r="BR20" s="90">
        <f t="shared" si="1"/>
        <v>16230</v>
      </c>
      <c r="BS20" s="90">
        <f t="shared" ca="1" si="2"/>
        <v>36640</v>
      </c>
      <c r="BT20" s="90">
        <f t="shared" si="3"/>
        <v>2400</v>
      </c>
      <c r="BU20" s="90">
        <f t="shared" si="4"/>
        <v>0</v>
      </c>
      <c r="BV20" s="90">
        <f t="shared" si="5"/>
        <v>7000</v>
      </c>
      <c r="BW20" s="90">
        <f t="shared" ca="1" si="22"/>
        <v>9125</v>
      </c>
      <c r="BX20" s="90">
        <f t="shared" ca="1" si="23"/>
        <v>134095</v>
      </c>
      <c r="BY20" s="142">
        <f t="shared" ca="1" si="24"/>
        <v>0.46757895521831538</v>
      </c>
      <c r="BZ20" s="142">
        <f t="shared" ca="1" si="25"/>
        <v>0.12103359558521944</v>
      </c>
      <c r="CA20" s="142">
        <f t="shared" ca="1" si="26"/>
        <v>0.27323912151832658</v>
      </c>
      <c r="CB20" s="142">
        <f t="shared" ca="1" si="27"/>
        <v>1.7897759051418771E-2</v>
      </c>
      <c r="CC20" s="142">
        <f t="shared" ca="1" si="28"/>
        <v>0</v>
      </c>
      <c r="CD20" s="142">
        <f t="shared" ca="1" si="29"/>
        <v>5.2201797233304745E-2</v>
      </c>
      <c r="CE20" s="142">
        <f t="shared" ca="1" si="30"/>
        <v>6.8048771393415114E-2</v>
      </c>
      <c r="CG20" s="128">
        <f t="shared" si="31"/>
        <v>17</v>
      </c>
      <c r="CH20" s="90">
        <f ca="1">INDEX(角色升级!$A:$A,MATCH(玩家节奏1!$BX20,角色升级!$J:$J,1))</f>
        <v>120</v>
      </c>
      <c r="CI20" s="90">
        <f ca="1">INDEX(角色升级!$O:$O,MATCH(玩家节奏1!$BX20,角色升级!$J:$J,1))</f>
        <v>1122.8161299999999</v>
      </c>
      <c r="CJ20" s="90">
        <f>INDEX(关卡对比!$J:$J,MATCH(玩家节奏1!N20,关卡对比!$A:$A,0))</f>
        <v>1300</v>
      </c>
      <c r="CK20" s="147">
        <f t="shared" ca="1" si="32"/>
        <v>1.1578031035232812</v>
      </c>
      <c r="CL20" s="128">
        <f ca="1">INDEX(角色升级!$P:$P,MATCH(玩家节奏1!$CH20,角色升级!$A:$A,0))</f>
        <v>200</v>
      </c>
      <c r="CM20" s="90">
        <f ca="1">INDEX(角色升级!Q:Q,MATCH(玩家节奏1!$CH20,角色升级!$A:$A,0))</f>
        <v>0</v>
      </c>
      <c r="CO20" s="128">
        <f t="shared" si="33"/>
        <v>542</v>
      </c>
      <c r="CP20" s="90">
        <f t="shared" si="34"/>
        <v>847</v>
      </c>
      <c r="CQ20" s="90">
        <f t="shared" si="35"/>
        <v>1240</v>
      </c>
      <c r="CR20" s="90">
        <f t="shared" ca="1" si="36"/>
        <v>1190</v>
      </c>
      <c r="CS20" s="90">
        <f t="shared" ca="1" si="37"/>
        <v>3819</v>
      </c>
      <c r="CT20" s="142">
        <f t="shared" ca="1" si="38"/>
        <v>0.14192196910185911</v>
      </c>
      <c r="CU20" s="142">
        <f t="shared" ca="1" si="39"/>
        <v>0.22178580780308982</v>
      </c>
      <c r="CV20" s="142">
        <f t="shared" ca="1" si="40"/>
        <v>0.32469232783451163</v>
      </c>
      <c r="CW20" s="142">
        <f t="shared" ca="1" si="41"/>
        <v>0.31159989526053938</v>
      </c>
      <c r="CY20" s="128">
        <f t="shared" si="42"/>
        <v>272</v>
      </c>
      <c r="CZ20" s="90">
        <f t="shared" si="43"/>
        <v>397</v>
      </c>
      <c r="DA20" s="90">
        <f t="shared" si="44"/>
        <v>360</v>
      </c>
      <c r="DB20" s="90">
        <f t="shared" ca="1" si="66"/>
        <v>323.25</v>
      </c>
      <c r="DC20" s="90">
        <f t="shared" ca="1" si="45"/>
        <v>1352.25</v>
      </c>
      <c r="DD20" s="142">
        <f t="shared" ca="1" si="46"/>
        <v>0.201146237751895</v>
      </c>
      <c r="DE20" s="142">
        <f t="shared" ca="1" si="47"/>
        <v>0.2935847661305232</v>
      </c>
      <c r="DF20" s="142">
        <f t="shared" ca="1" si="48"/>
        <v>0.26622296173044924</v>
      </c>
      <c r="DG20" s="142">
        <f t="shared" ca="1" si="49"/>
        <v>0.23904603438713257</v>
      </c>
      <c r="DI20" s="128">
        <f t="shared" si="50"/>
        <v>81</v>
      </c>
      <c r="DJ20" s="90">
        <f t="shared" si="51"/>
        <v>103</v>
      </c>
      <c r="DK20" s="90">
        <f t="shared" si="52"/>
        <v>72</v>
      </c>
      <c r="DL20" s="90">
        <f t="shared" ca="1" si="53"/>
        <v>33.25</v>
      </c>
      <c r="DM20" s="90">
        <f t="shared" ca="1" si="54"/>
        <v>289.25</v>
      </c>
      <c r="DN20" s="142">
        <f t="shared" ca="1" si="55"/>
        <v>0.28003457216940364</v>
      </c>
      <c r="DO20" s="142">
        <f t="shared" ca="1" si="56"/>
        <v>0.3560933448573898</v>
      </c>
      <c r="DP20" s="142">
        <f t="shared" ca="1" si="57"/>
        <v>0.24891961970613655</v>
      </c>
      <c r="DQ20" s="142">
        <f t="shared" ca="1" si="58"/>
        <v>0.11495246326707001</v>
      </c>
      <c r="DS20" s="128">
        <f ca="1">CS20</f>
        <v>3819</v>
      </c>
      <c r="DT20" s="90">
        <f t="shared" ca="1" si="60"/>
        <v>1352.25</v>
      </c>
      <c r="DU20" s="90">
        <f t="shared" ca="1" si="61"/>
        <v>289.25</v>
      </c>
      <c r="DV20" s="90">
        <f t="shared" si="62"/>
        <v>0</v>
      </c>
      <c r="DW20" s="90">
        <f ca="1">_xlfn.IFNA(INDEX(武器升级消耗!$H:$H,MATCH(玩家节奏1!DS20/玩家节奏1!DS$5,武器升级消耗!M:M,1)),0)</f>
        <v>8</v>
      </c>
      <c r="DX20" s="90">
        <f ca="1">_xlfn.IFNA(INDEX(武器升级消耗!$H:$H,MATCH(玩家节奏1!DT20/玩家节奏1!DT$5,武器升级消耗!N:N,1)),0)</f>
        <v>5</v>
      </c>
      <c r="DY20" s="90">
        <f ca="1">_xlfn.IFNA(INDEX(武器升级消耗!$H:$H,MATCH(玩家节奏1!DU20/玩家节奏1!DU$5,武器升级消耗!O:O,1)),0)</f>
        <v>3</v>
      </c>
      <c r="DZ20" s="90">
        <f>_xlfn.IFNA(INDEX(武器升级消耗!$H:$H,MATCH(玩家节奏1!DV20/玩家节奏1!DV$5,武器升级消耗!P:P,1)),0)</f>
        <v>0</v>
      </c>
      <c r="EA20" s="90">
        <f ca="1">_xlfn.IFNA(INDEX(武器升级消耗!$Q:$Q,MATCH(玩家节奏1!DW20,武器升级消耗!$H:$H,0))*2*EA$4,0)</f>
        <v>1.44</v>
      </c>
      <c r="EB20" s="90">
        <f ca="1">_xlfn.IFNA(INDEX(武器升级消耗!$Q:$Q,MATCH(玩家节奏1!DX20,武器升级消耗!$H:$H,0))*2*EB$4,0)</f>
        <v>1.35</v>
      </c>
      <c r="EC20" s="90">
        <f ca="1">_xlfn.IFNA(INDEX(武器升级消耗!$Q:$Q,MATCH(玩家节奏1!DY20,武器升级消耗!$H:$H,0))*2*EC$4,1)</f>
        <v>1.54</v>
      </c>
      <c r="ED20" s="90">
        <f>_xlfn.IFNA(INDEX(武器升级消耗!$Q:$Q,MATCH(玩家节奏1!DZ20,武器升级消耗!$H:$H,0))*2*ED$4,0)</f>
        <v>0</v>
      </c>
      <c r="EF20" s="128"/>
      <c r="EG20" s="90"/>
      <c r="EH20" s="90"/>
      <c r="EI20" s="90"/>
      <c r="EJ20" s="90"/>
      <c r="EK20" s="90"/>
      <c r="EL20" s="90"/>
      <c r="EM20" s="90"/>
      <c r="EO20" s="128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D20" s="90">
        <f t="shared" ca="1" si="63"/>
        <v>1.54</v>
      </c>
      <c r="FE20" s="90"/>
      <c r="FF20" s="90"/>
      <c r="FG20" s="90">
        <f t="shared" ca="1" si="64"/>
        <v>0</v>
      </c>
    </row>
    <row r="21" spans="1:163" x14ac:dyDescent="0.25">
      <c r="A21" s="123">
        <v>15</v>
      </c>
      <c r="B21" s="123">
        <f>INDEX(关卡对比!$Y:$Y,MATCH(关卡对比!Z21,关卡对比!$AA:$AA,1))</f>
        <v>9</v>
      </c>
      <c r="C21" s="124"/>
      <c r="D21" s="125">
        <f t="shared" si="69"/>
        <v>57.5</v>
      </c>
      <c r="E21" s="125">
        <v>3</v>
      </c>
      <c r="F21" s="128">
        <v>6</v>
      </c>
      <c r="G21" s="90">
        <v>0</v>
      </c>
      <c r="H21" s="90">
        <v>1</v>
      </c>
      <c r="J21" s="128">
        <v>15</v>
      </c>
      <c r="K21" s="90">
        <f t="shared" si="10"/>
        <v>6</v>
      </c>
      <c r="L21" s="90">
        <f t="shared" si="11"/>
        <v>0</v>
      </c>
      <c r="M21" s="90">
        <f t="shared" si="12"/>
        <v>1</v>
      </c>
      <c r="N21" s="140">
        <f>INDEX($A:$A,MATCH(SUM($K$7:K21),$D:$D,1))</f>
        <v>18</v>
      </c>
      <c r="O21" s="140">
        <v>0</v>
      </c>
      <c r="P21" s="141">
        <v>0</v>
      </c>
      <c r="Q21" s="126">
        <f>_xlfn.MAXIFS(关卡产出!X:X,关卡产出!$A:$A,玩家节奏1!$N$6,关卡产出!$B:$B,玩家节奏1!$N21)+_xlfn.MAXIFS(关卡产出!X:X,关卡产出!$A:$A,玩家节奏1!$O$6,关卡产出!$B:$B,玩家节奏1!$O21)+_xlfn.MAXIFS(关卡产出!X:X,关卡产出!$A:$A,玩家节奏1!$P$6,关卡产出!$B:$B,玩家节奏1!$P21)</f>
        <v>2200</v>
      </c>
      <c r="R21" s="90">
        <f>_xlfn.MAXIFS(关卡产出!Y:Y,关卡产出!$A:$A,玩家节奏1!$N$6,关卡产出!$B:$B,玩家节奏1!$N21)+_xlfn.MAXIFS(关卡产出!Y:Y,关卡产出!$A:$A,玩家节奏1!$O$6,关卡产出!$B:$B,玩家节奏1!$O21)+_xlfn.MAXIFS(关卡产出!Y:Y,关卡产出!$A:$A,玩家节奏1!$P$6,关卡产出!$B:$B,玩家节奏1!$P21)</f>
        <v>71200</v>
      </c>
      <c r="S21" s="90">
        <f>_xlfn.MAXIFS(关卡产出!Z:Z,关卡产出!$A:$A,玩家节奏1!$N$6,关卡产出!$B:$B,玩家节奏1!$N21)+_xlfn.MAXIFS(关卡产出!Z:Z,关卡产出!$A:$A,玩家节奏1!$O$6,关卡产出!$B:$B,玩家节奏1!$O21)+_xlfn.MAXIFS(关卡产出!Z:Z,关卡产出!$A:$A,玩家节奏1!$P$6,关卡产出!$B:$B,玩家节奏1!$P21)</f>
        <v>606</v>
      </c>
      <c r="T21" s="90">
        <f>_xlfn.MAXIFS(关卡产出!AA:AA,关卡产出!$A:$A,玩家节奏1!$N$6,关卡产出!$B:$B,玩家节奏1!$N21)+_xlfn.MAXIFS(关卡产出!AA:AA,关卡产出!$A:$A,玩家节奏1!$O$6,关卡产出!$B:$B,玩家节奏1!$O21)+_xlfn.MAXIFS(关卡产出!AA:AA,关卡产出!$A:$A,玩家节奏1!$P$6,关卡产出!$B:$B,玩家节奏1!$P21)</f>
        <v>304</v>
      </c>
      <c r="U21" s="90">
        <f>_xlfn.MAXIFS(关卡产出!AB:AB,关卡产出!$A:$A,玩家节奏1!$N$6,关卡产出!$B:$B,玩家节奏1!$N21)+_xlfn.MAXIFS(关卡产出!AB:AB,关卡产出!$A:$A,玩家节奏1!$O$6,关卡产出!$B:$B,玩家节奏1!$O21)+_xlfn.MAXIFS(关卡产出!AB:AB,关卡产出!$A:$A,玩家节奏1!$P$6,关卡产出!$B:$B,玩家节奏1!$P21)</f>
        <v>94</v>
      </c>
      <c r="V21" s="130">
        <f>_xlfn.MAXIFS(关卡产出!AC:AC,关卡产出!$A:$A,玩家节奏1!$N$6,关卡产出!$B:$B,玩家节奏1!$N21)+_xlfn.MAXIFS(关卡产出!AC:AC,关卡产出!$A:$A,玩家节奏1!$O$6,关卡产出!$B:$B,玩家节奏1!$O21)+_xlfn.MAXIFS(关卡产出!AC:AC,关卡产出!$A:$A,玩家节奏1!$P$6,关卡产出!$B:$B,玩家节奏1!$P21)</f>
        <v>108</v>
      </c>
      <c r="W21" s="126">
        <f>INDEX(关卡产出!C$8:C$207,MATCH(玩家节奏1!$N21,关卡产出!$B$8:$B$207,0))*$K21</f>
        <v>72</v>
      </c>
      <c r="X21" s="126">
        <f>INDEX(关卡产出!D$8:D$207,MATCH(玩家节奏1!$N21,关卡产出!$B$8:$B$207,0))*$K21</f>
        <v>36</v>
      </c>
      <c r="Y21" s="126">
        <f>INDEX(关卡产出!E$8:E$207,MATCH(玩家节奏1!$N21,关卡产出!$B$8:$B$207,0))*$K21</f>
        <v>18</v>
      </c>
      <c r="Z21" s="144">
        <f>INDEX(关卡产出!F$8:F$207,MATCH(玩家节奏1!$N21,关卡产出!$B$8:$B$207,0))*$K21</f>
        <v>1380</v>
      </c>
      <c r="AA21" s="126">
        <f>SUM(W$7:W21)</f>
        <v>919</v>
      </c>
      <c r="AB21" s="126">
        <f>SUM(X$7:X21)</f>
        <v>433</v>
      </c>
      <c r="AC21" s="126">
        <f>SUM(Y$7:Y21)</f>
        <v>121</v>
      </c>
      <c r="AD21" s="126">
        <f>SUM(Z$7:Z21)</f>
        <v>17610</v>
      </c>
      <c r="AE21" s="126">
        <f>INDEX(图鉴!AQ:AQ,MATCH($N21,图鉴!$S:$S,0))*8</f>
        <v>128</v>
      </c>
      <c r="AF21" s="90">
        <f>INDEX(图鉴!AR:AR,MATCH($N21,图鉴!$S:$S,0))*8</f>
        <v>40</v>
      </c>
      <c r="AG21" s="90">
        <f>INDEX(图鉴!AS:AS,MATCH($N21,图鉴!$S:$S,0))*8</f>
        <v>8</v>
      </c>
      <c r="AH21" s="129">
        <f ca="1">INDEX(图鉴!AT:AT,MATCH($N21,图鉴!$S:$S,0))*8</f>
        <v>3800</v>
      </c>
      <c r="AI21" s="128">
        <f>SUM($AE$7:AE21)</f>
        <v>1368</v>
      </c>
      <c r="AJ21" s="90">
        <f>SUM(AF$7:AF21)</f>
        <v>400</v>
      </c>
      <c r="AK21" s="90">
        <f>SUM(AG$7:AG21)</f>
        <v>80</v>
      </c>
      <c r="AL21" s="130">
        <f ca="1">SUM(AH$7:AH21)</f>
        <v>40440</v>
      </c>
      <c r="AM21" s="133">
        <f>IF(M21=0,0,INDEX(关卡产出!$AU$11:$AU$15,MATCH(玩家节奏1!N21,关卡产出!$AW$11:$AW$15,1))*M21)</f>
        <v>2400</v>
      </c>
      <c r="AN21" s="126">
        <f>IF(L21=0,0,$L21*关卡产出!AU$21)</f>
        <v>0</v>
      </c>
      <c r="AO21" s="90">
        <f>IF(M21=0,0,$L21*关卡产出!AV$21)</f>
        <v>0</v>
      </c>
      <c r="AP21" s="129">
        <f>IF(N21=0,0,$L21*关卡产出!AW$21)</f>
        <v>0</v>
      </c>
      <c r="AQ21" s="138">
        <f>SUM(AN$7:AN21)</f>
        <v>0</v>
      </c>
      <c r="AR21" s="126">
        <f>SUM(AO$7:AO21)</f>
        <v>0</v>
      </c>
      <c r="AS21" s="129">
        <f>SUM(AP$7:AP21)</f>
        <v>0</v>
      </c>
      <c r="AT21" s="128">
        <v>500</v>
      </c>
      <c r="AU21" s="129">
        <v>100</v>
      </c>
      <c r="AV21" s="128">
        <f>SUM(AT$7:AT21)</f>
        <v>7500</v>
      </c>
      <c r="AW21" s="90">
        <f>SUM(AU$7:AU21)</f>
        <v>1500</v>
      </c>
      <c r="AY21" s="128">
        <f t="shared" si="13"/>
        <v>2200</v>
      </c>
      <c r="AZ21" s="90">
        <f t="shared" si="14"/>
        <v>0</v>
      </c>
      <c r="BA21" s="90">
        <f t="shared" si="15"/>
        <v>1500</v>
      </c>
      <c r="BB21" s="90">
        <f t="shared" ca="1" si="65"/>
        <v>200</v>
      </c>
      <c r="BC21" s="90">
        <f t="shared" ca="1" si="68"/>
        <v>3900</v>
      </c>
      <c r="BD21" s="90"/>
      <c r="BE21" s="90">
        <f t="shared" ca="1" si="17"/>
        <v>3900</v>
      </c>
      <c r="BF21" s="142">
        <f t="shared" ca="1" si="18"/>
        <v>0.5641025641025641</v>
      </c>
      <c r="BG21" s="142">
        <f t="shared" ca="1" si="19"/>
        <v>0</v>
      </c>
      <c r="BH21" s="142">
        <f t="shared" ca="1" si="20"/>
        <v>0.38461538461538464</v>
      </c>
      <c r="BI21" s="142">
        <f t="shared" ca="1" si="21"/>
        <v>5.128205128205128E-2</v>
      </c>
      <c r="BJ21" s="143"/>
      <c r="BK21" s="128">
        <f ca="1">INDEX(商城宝箱!$L:$L,MATCH(BC21,商城宝箱!$N:$N,1))</f>
        <v>3</v>
      </c>
      <c r="BL21" s="90">
        <f ca="1">_xlfn.IFNA(INDEX(商城宝箱!T:T,MATCH(玩家节奏1!$BK21,商城宝箱!$L:$L,0)),0)+($BC21-INDEX(商城宝箱!$N:$N,MATCH(玩家节奏1!$BK21,商城宝箱!$L:$L,0)))/$BK$5*INDEX(商城宝箱!E$23:E$42,MATCH(玩家节奏1!$BK21+1,商城宝箱!$C$23:$C$42,0))</f>
        <v>9750</v>
      </c>
      <c r="BM21" s="90">
        <f ca="1">_xlfn.IFNA(INDEX(商城宝箱!U:U,MATCH(玩家节奏1!$BK21,商城宝箱!$L:$L,0)),0)+($BC21-INDEX(商城宝箱!$N:$N,MATCH(玩家节奏1!$BK21,商城宝箱!$L:$L,0)))/$BK$5*INDEX(商城宝箱!F$23:F$42,MATCH(玩家节奏1!$BK21+1,商城宝箱!$C$23:$C$42,0))</f>
        <v>1327.5</v>
      </c>
      <c r="BN21" s="90">
        <f ca="1">_xlfn.IFNA(INDEX(商城宝箱!V:V,MATCH(玩家节奏1!$BK21,商城宝箱!$L:$L,0)),0)+($BC21-INDEX(商城宝箱!$N:$N,MATCH(玩家节奏1!$BK21,商城宝箱!$L:$L,0)))/$BK$5*INDEX(商城宝箱!G$23:G$42,MATCH(玩家节奏1!$BK21+1,商城宝箱!$C$23:$C$42,0))</f>
        <v>379.5</v>
      </c>
      <c r="BO21" s="90">
        <f ca="1">_xlfn.IFNA(INDEX(商城宝箱!W:W,MATCH(玩家节奏1!$BK21,商城宝箱!$L:$L,0)),0)+($BC21-INDEX(商城宝箱!$N:$N,MATCH(玩家节奏1!$BK21,商城宝箱!$L:$L,0)))/$BK$5*INDEX(商城宝箱!H$23:H$42,MATCH(玩家节奏1!$BK21+1,商城宝箱!$C$23:$C$42,0))</f>
        <v>42</v>
      </c>
      <c r="BQ21" s="128">
        <f t="shared" si="0"/>
        <v>71200</v>
      </c>
      <c r="BR21" s="90">
        <f t="shared" si="1"/>
        <v>17610</v>
      </c>
      <c r="BS21" s="90">
        <f t="shared" ca="1" si="2"/>
        <v>40440</v>
      </c>
      <c r="BT21" s="90">
        <f t="shared" si="3"/>
        <v>2400</v>
      </c>
      <c r="BU21" s="90">
        <f t="shared" si="4"/>
        <v>0</v>
      </c>
      <c r="BV21" s="90">
        <f t="shared" si="5"/>
        <v>7500</v>
      </c>
      <c r="BW21" s="90">
        <f t="shared" ca="1" si="22"/>
        <v>9750</v>
      </c>
      <c r="BX21" s="90">
        <f t="shared" ca="1" si="23"/>
        <v>148900</v>
      </c>
      <c r="BY21" s="142">
        <f t="shared" ca="1" si="24"/>
        <v>0.47817327065144394</v>
      </c>
      <c r="BZ21" s="142">
        <f t="shared" ca="1" si="25"/>
        <v>0.11826729348556078</v>
      </c>
      <c r="CA21" s="142">
        <f t="shared" ca="1" si="26"/>
        <v>0.27159167226326392</v>
      </c>
      <c r="CB21" s="142">
        <f t="shared" ca="1" si="27"/>
        <v>1.6118200134318333E-2</v>
      </c>
      <c r="CC21" s="142">
        <f t="shared" ca="1" si="28"/>
        <v>0</v>
      </c>
      <c r="CD21" s="142">
        <f t="shared" ca="1" si="29"/>
        <v>5.0369375419744795E-2</v>
      </c>
      <c r="CE21" s="142">
        <f t="shared" ca="1" si="30"/>
        <v>6.5480188045668228E-2</v>
      </c>
      <c r="CG21" s="128">
        <f t="shared" si="31"/>
        <v>18</v>
      </c>
      <c r="CH21" s="90">
        <f ca="1">INDEX(角色升级!$A:$A,MATCH(玩家节奏1!$BX21,角色升级!$J:$J,1))</f>
        <v>123</v>
      </c>
      <c r="CI21" s="90">
        <f ca="1">INDEX(角色升级!$O:$O,MATCH(玩家节奏1!$BX21,角色升级!$J:$J,1))</f>
        <v>1271.1126000000002</v>
      </c>
      <c r="CJ21" s="90">
        <f>INDEX(关卡对比!$J:$J,MATCH(玩家节奏1!N21,关卡对比!$A:$A,0))</f>
        <v>1500</v>
      </c>
      <c r="CK21" s="147">
        <f t="shared" ca="1" si="32"/>
        <v>1.1800685478218058</v>
      </c>
      <c r="CL21" s="128">
        <f ca="1">INDEX(角色升级!$P:$P,MATCH(玩家节奏1!$CH21,角色升级!$A:$A,0))</f>
        <v>200</v>
      </c>
      <c r="CM21" s="90">
        <f ca="1">INDEX(角色升级!Q:Q,MATCH(玩家节奏1!$CH21,角色升级!$A:$A,0))</f>
        <v>0</v>
      </c>
      <c r="CO21" s="128">
        <f t="shared" si="33"/>
        <v>606</v>
      </c>
      <c r="CP21" s="90">
        <f t="shared" si="34"/>
        <v>919</v>
      </c>
      <c r="CQ21" s="90">
        <f t="shared" si="35"/>
        <v>1368</v>
      </c>
      <c r="CR21" s="90">
        <f t="shared" ca="1" si="36"/>
        <v>1327.5</v>
      </c>
      <c r="CS21" s="90">
        <f t="shared" ca="1" si="37"/>
        <v>4220.5</v>
      </c>
      <c r="CT21" s="142">
        <f t="shared" ca="1" si="38"/>
        <v>0.14358488330766497</v>
      </c>
      <c r="CU21" s="142">
        <f t="shared" ca="1" si="39"/>
        <v>0.21774671247482527</v>
      </c>
      <c r="CV21" s="142">
        <f t="shared" ca="1" si="40"/>
        <v>0.3241322118232437</v>
      </c>
      <c r="CW21" s="142">
        <f t="shared" ca="1" si="41"/>
        <v>0.31453619239426606</v>
      </c>
      <c r="CY21" s="128">
        <f t="shared" si="42"/>
        <v>304</v>
      </c>
      <c r="CZ21" s="90">
        <f t="shared" si="43"/>
        <v>433</v>
      </c>
      <c r="DA21" s="90">
        <f t="shared" si="44"/>
        <v>400</v>
      </c>
      <c r="DB21" s="90">
        <f t="shared" ca="1" si="66"/>
        <v>379.5</v>
      </c>
      <c r="DC21" s="90">
        <f t="shared" ca="1" si="45"/>
        <v>1516.5</v>
      </c>
      <c r="DD21" s="142">
        <f t="shared" ca="1" si="46"/>
        <v>0.20046158918562479</v>
      </c>
      <c r="DE21" s="142">
        <f t="shared" ca="1" si="47"/>
        <v>0.28552588196505113</v>
      </c>
      <c r="DF21" s="142">
        <f t="shared" ca="1" si="48"/>
        <v>0.26376524892845365</v>
      </c>
      <c r="DG21" s="142">
        <f t="shared" ca="1" si="49"/>
        <v>0.25024727992087042</v>
      </c>
      <c r="DI21" s="128">
        <f t="shared" si="50"/>
        <v>94</v>
      </c>
      <c r="DJ21" s="90">
        <f t="shared" si="51"/>
        <v>121</v>
      </c>
      <c r="DK21" s="90">
        <f t="shared" si="52"/>
        <v>80</v>
      </c>
      <c r="DL21" s="90">
        <f t="shared" ca="1" si="53"/>
        <v>42</v>
      </c>
      <c r="DM21" s="90">
        <f t="shared" ca="1" si="54"/>
        <v>337</v>
      </c>
      <c r="DN21" s="142">
        <f t="shared" ca="1" si="55"/>
        <v>0.27893175074183979</v>
      </c>
      <c r="DO21" s="142">
        <f t="shared" ca="1" si="56"/>
        <v>0.35905044510385759</v>
      </c>
      <c r="DP21" s="142">
        <f t="shared" ca="1" si="57"/>
        <v>0.23738872403560832</v>
      </c>
      <c r="DQ21" s="142">
        <f t="shared" ca="1" si="58"/>
        <v>0.12462908011869436</v>
      </c>
      <c r="DS21" s="128">
        <f t="shared" ca="1" si="59"/>
        <v>4220.5</v>
      </c>
      <c r="DT21" s="90">
        <f t="shared" ca="1" si="60"/>
        <v>1516.5</v>
      </c>
      <c r="DU21" s="90">
        <f t="shared" ca="1" si="61"/>
        <v>337</v>
      </c>
      <c r="DV21" s="90">
        <f t="shared" si="62"/>
        <v>0</v>
      </c>
      <c r="DW21" s="90">
        <f ca="1">_xlfn.IFNA(INDEX(武器升级消耗!$H:$H,MATCH(玩家节奏1!DS21/玩家节奏1!DS$5,武器升级消耗!M:M,1)),0)</f>
        <v>8</v>
      </c>
      <c r="DX21" s="90">
        <f ca="1">_xlfn.IFNA(INDEX(武器升级消耗!$H:$H,MATCH(玩家节奏1!DT21/玩家节奏1!DT$5,武器升级消耗!N:N,1)),0)</f>
        <v>6</v>
      </c>
      <c r="DY21" s="90">
        <f ca="1">_xlfn.IFNA(INDEX(武器升级消耗!$H:$H,MATCH(玩家节奏1!DU21/玩家节奏1!DU$5,武器升级消耗!O:O,1)),0)</f>
        <v>3</v>
      </c>
      <c r="DZ21" s="90">
        <f>_xlfn.IFNA(INDEX(武器升级消耗!$H:$H,MATCH(玩家节奏1!DV21/玩家节奏1!DV$5,武器升级消耗!P:P,1)),0)</f>
        <v>0</v>
      </c>
      <c r="EA21" s="90">
        <f ca="1">_xlfn.IFNA(INDEX(武器升级消耗!$Q:$Q,MATCH(玩家节奏1!DW21,武器升级消耗!$H:$H,0))*2*EA$4,0)</f>
        <v>1.44</v>
      </c>
      <c r="EB21" s="90">
        <f ca="1">_xlfn.IFNA(INDEX(武器升级消耗!$Q:$Q,MATCH(玩家节奏1!DX21,武器升级消耗!$H:$H,0))*2*EB$4,0)</f>
        <v>1.5</v>
      </c>
      <c r="EC21" s="90">
        <f ca="1">_xlfn.IFNA(INDEX(武器升级消耗!$Q:$Q,MATCH(玩家节奏1!DY21,武器升级消耗!$H:$H,0))*2*EC$4,1)</f>
        <v>1.54</v>
      </c>
      <c r="ED21" s="90">
        <f>_xlfn.IFNA(INDEX(武器升级消耗!$Q:$Q,MATCH(玩家节奏1!DZ21,武器升级消耗!$H:$H,0))*2*ED$4,0)</f>
        <v>0</v>
      </c>
      <c r="EF21" s="128"/>
      <c r="EG21" s="90"/>
      <c r="EH21" s="90"/>
      <c r="EI21" s="90"/>
      <c r="EJ21" s="90"/>
      <c r="EK21" s="90"/>
      <c r="EL21" s="90"/>
      <c r="EM21" s="90"/>
      <c r="EO21" s="128"/>
      <c r="EP21" s="90"/>
      <c r="EQ21" s="90"/>
      <c r="ER21" s="90"/>
      <c r="ES21" s="90"/>
      <c r="ET21" s="90"/>
      <c r="EU21" s="90"/>
      <c r="EV21" s="90"/>
      <c r="EW21" s="90"/>
      <c r="EX21" s="90"/>
      <c r="EY21" s="90"/>
      <c r="EZ21" s="90"/>
      <c r="FA21" s="90"/>
      <c r="FB21" s="90"/>
      <c r="FD21" s="90">
        <f t="shared" ca="1" si="63"/>
        <v>1.54</v>
      </c>
      <c r="FE21" s="90"/>
      <c r="FF21" s="90"/>
      <c r="FG21" s="90">
        <f t="shared" ca="1" si="64"/>
        <v>0</v>
      </c>
    </row>
    <row r="22" spans="1:163" x14ac:dyDescent="0.25">
      <c r="A22" s="123">
        <v>16</v>
      </c>
      <c r="B22" s="123">
        <f>INDEX(关卡对比!$Y:$Y,MATCH(关卡对比!Z22,关卡对比!$AA:$AA,1))</f>
        <v>10</v>
      </c>
      <c r="C22" s="124"/>
      <c r="D22" s="125">
        <f t="shared" si="69"/>
        <v>63.5</v>
      </c>
      <c r="E22" s="125">
        <v>3</v>
      </c>
      <c r="F22" s="128">
        <v>6</v>
      </c>
      <c r="G22" s="90">
        <v>0</v>
      </c>
      <c r="H22" s="90">
        <v>1</v>
      </c>
      <c r="J22" s="128">
        <v>16</v>
      </c>
      <c r="K22" s="90">
        <f t="shared" si="10"/>
        <v>6</v>
      </c>
      <c r="L22" s="90">
        <f t="shared" si="11"/>
        <v>0</v>
      </c>
      <c r="M22" s="90">
        <f t="shared" si="12"/>
        <v>1</v>
      </c>
      <c r="N22" s="140">
        <f>INDEX($A:$A,MATCH(SUM($K$7:K22),$D:$D,1))</f>
        <v>19</v>
      </c>
      <c r="O22" s="140">
        <v>0</v>
      </c>
      <c r="P22" s="141">
        <v>0</v>
      </c>
      <c r="Q22" s="126">
        <f>_xlfn.MAXIFS(关卡产出!X:X,关卡产出!$A:$A,玩家节奏1!$N$6,关卡产出!$B:$B,玩家节奏1!$N22)+_xlfn.MAXIFS(关卡产出!X:X,关卡产出!$A:$A,玩家节奏1!$O$6,关卡产出!$B:$B,玩家节奏1!$O22)+_xlfn.MAXIFS(关卡产出!X:X,关卡产出!$A:$A,玩家节奏1!$P$6,关卡产出!$B:$B,玩家节奏1!$P22)</f>
        <v>2350</v>
      </c>
      <c r="R22" s="90">
        <f>_xlfn.MAXIFS(关卡产出!Y:Y,关卡产出!$A:$A,玩家节奏1!$N$6,关卡产出!$B:$B,玩家节奏1!$N22)+_xlfn.MAXIFS(关卡产出!Y:Y,关卡产出!$A:$A,玩家节奏1!$O$6,关卡产出!$B:$B,玩家节奏1!$O22)+_xlfn.MAXIFS(关卡产出!Y:Y,关卡产出!$A:$A,玩家节奏1!$P$6,关卡产出!$B:$B,玩家节奏1!$P22)</f>
        <v>80300</v>
      </c>
      <c r="S22" s="90">
        <f>_xlfn.MAXIFS(关卡产出!Z:Z,关卡产出!$A:$A,玩家节奏1!$N$6,关卡产出!$B:$B,玩家节奏1!$N22)+_xlfn.MAXIFS(关卡产出!Z:Z,关卡产出!$A:$A,玩家节奏1!$O$6,关卡产出!$B:$B,玩家节奏1!$O22)+_xlfn.MAXIFS(关卡产出!Z:Z,关卡产出!$A:$A,玩家节奏1!$P$6,关卡产出!$B:$B,玩家节奏1!$P22)</f>
        <v>674</v>
      </c>
      <c r="T22" s="90">
        <f>_xlfn.MAXIFS(关卡产出!AA:AA,关卡产出!$A:$A,玩家节奏1!$N$6,关卡产出!$B:$B,玩家节奏1!$N22)+_xlfn.MAXIFS(关卡产出!AA:AA,关卡产出!$A:$A,玩家节奏1!$O$6,关卡产出!$B:$B,玩家节奏1!$O22)+_xlfn.MAXIFS(关卡产出!AA:AA,关卡产出!$A:$A,玩家节奏1!$P$6,关卡产出!$B:$B,玩家节奏1!$P22)</f>
        <v>338</v>
      </c>
      <c r="U22" s="90">
        <f>_xlfn.MAXIFS(关卡产出!AB:AB,关卡产出!$A:$A,玩家节奏1!$N$6,关卡产出!$B:$B,玩家节奏1!$N22)+_xlfn.MAXIFS(关卡产出!AB:AB,关卡产出!$A:$A,玩家节奏1!$O$6,关卡产出!$B:$B,玩家节奏1!$O22)+_xlfn.MAXIFS(关卡产出!AB:AB,关卡产出!$A:$A,玩家节奏1!$P$6,关卡产出!$B:$B,玩家节奏1!$P22)</f>
        <v>108</v>
      </c>
      <c r="V22" s="130">
        <f>_xlfn.MAXIFS(关卡产出!AC:AC,关卡产出!$A:$A,玩家节奏1!$N$6,关卡产出!$B:$B,玩家节奏1!$N22)+_xlfn.MAXIFS(关卡产出!AC:AC,关卡产出!$A:$A,玩家节奏1!$O$6,关卡产出!$B:$B,玩家节奏1!$O22)+_xlfn.MAXIFS(关卡产出!AC:AC,关卡产出!$A:$A,玩家节奏1!$P$6,关卡产出!$B:$B,玩家节奏1!$P22)</f>
        <v>114</v>
      </c>
      <c r="W22" s="126">
        <f>INDEX(关卡产出!C$8:C$207,MATCH(玩家节奏1!$N22,关卡产出!$B$8:$B$207,0))*$K22</f>
        <v>78</v>
      </c>
      <c r="X22" s="126">
        <f>INDEX(关卡产出!D$8:D$207,MATCH(玩家节奏1!$N22,关卡产出!$B$8:$B$207,0))*$K22</f>
        <v>36</v>
      </c>
      <c r="Y22" s="126">
        <f>INDEX(关卡产出!E$8:E$207,MATCH(玩家节奏1!$N22,关卡产出!$B$8:$B$207,0))*$K22</f>
        <v>18</v>
      </c>
      <c r="Z22" s="144">
        <f>INDEX(关卡产出!F$8:F$207,MATCH(玩家节奏1!$N22,关卡产出!$B$8:$B$207,0))*$K22</f>
        <v>1500</v>
      </c>
      <c r="AA22" s="126">
        <f>SUM(W$7:W22)</f>
        <v>997</v>
      </c>
      <c r="AB22" s="126">
        <f>SUM(X$7:X22)</f>
        <v>469</v>
      </c>
      <c r="AC22" s="126">
        <f>SUM(Y$7:Y22)</f>
        <v>139</v>
      </c>
      <c r="AD22" s="126">
        <f>SUM(Z$7:Z22)</f>
        <v>19110</v>
      </c>
      <c r="AE22" s="126">
        <f>INDEX(图鉴!AQ:AQ,MATCH($N22,图鉴!$S:$S,0))*8</f>
        <v>128</v>
      </c>
      <c r="AF22" s="90">
        <f>INDEX(图鉴!AR:AR,MATCH($N22,图鉴!$S:$S,0))*8</f>
        <v>40</v>
      </c>
      <c r="AG22" s="90">
        <f>INDEX(图鉴!AS:AS,MATCH($N22,图鉴!$S:$S,0))*8</f>
        <v>8</v>
      </c>
      <c r="AH22" s="129">
        <f ca="1">INDEX(图鉴!AT:AT,MATCH($N22,图鉴!$S:$S,0))*8</f>
        <v>3800</v>
      </c>
      <c r="AI22" s="128">
        <f>SUM($AE$7:AE22)</f>
        <v>1496</v>
      </c>
      <c r="AJ22" s="90">
        <f>SUM(AF$7:AF22)</f>
        <v>440</v>
      </c>
      <c r="AK22" s="90">
        <f>SUM(AG$7:AG22)</f>
        <v>88</v>
      </c>
      <c r="AL22" s="130">
        <f ca="1">SUM(AH$7:AH22)</f>
        <v>44240</v>
      </c>
      <c r="AM22" s="133">
        <f>IF(M22=0,0,INDEX(关卡产出!$AU$11:$AU$15,MATCH(玩家节奏1!N22,关卡产出!$AW$11:$AW$15,1))*M22)</f>
        <v>2400</v>
      </c>
      <c r="AN22" s="126">
        <f>IF(L22=0,0,$L22*关卡产出!AU$21)</f>
        <v>0</v>
      </c>
      <c r="AO22" s="90">
        <f>IF(M22=0,0,$L22*关卡产出!AV$21)</f>
        <v>0</v>
      </c>
      <c r="AP22" s="129">
        <f>IF(N22=0,0,$L22*关卡产出!AW$21)</f>
        <v>0</v>
      </c>
      <c r="AQ22" s="138">
        <f>SUM(AN$7:AN22)</f>
        <v>0</v>
      </c>
      <c r="AR22" s="126">
        <f>SUM(AO$7:AO22)</f>
        <v>0</v>
      </c>
      <c r="AS22" s="129">
        <f>SUM(AP$7:AP22)</f>
        <v>0</v>
      </c>
      <c r="AT22" s="128">
        <v>500</v>
      </c>
      <c r="AU22" s="129">
        <v>100</v>
      </c>
      <c r="AV22" s="128">
        <f>SUM(AT$7:AT22)</f>
        <v>8000</v>
      </c>
      <c r="AW22" s="90">
        <f>SUM(AU$7:AU22)</f>
        <v>1600</v>
      </c>
      <c r="AY22" s="128">
        <f t="shared" si="13"/>
        <v>2350</v>
      </c>
      <c r="AZ22" s="90">
        <f t="shared" si="14"/>
        <v>0</v>
      </c>
      <c r="BA22" s="90">
        <f t="shared" si="15"/>
        <v>1600</v>
      </c>
      <c r="BB22" s="90">
        <f t="shared" ca="1" si="65"/>
        <v>200</v>
      </c>
      <c r="BC22" s="90">
        <f t="shared" ca="1" si="68"/>
        <v>4150</v>
      </c>
      <c r="BD22" s="90"/>
      <c r="BE22" s="90">
        <f t="shared" ca="1" si="17"/>
        <v>4150</v>
      </c>
      <c r="BF22" s="142">
        <f t="shared" ca="1" si="18"/>
        <v>0.5662650602409639</v>
      </c>
      <c r="BG22" s="142">
        <f t="shared" ca="1" si="19"/>
        <v>0</v>
      </c>
      <c r="BH22" s="142">
        <f t="shared" ca="1" si="20"/>
        <v>0.38554216867469882</v>
      </c>
      <c r="BI22" s="142">
        <f t="shared" ca="1" si="21"/>
        <v>4.8192771084337352E-2</v>
      </c>
      <c r="BJ22" s="143"/>
      <c r="BK22" s="128">
        <f ca="1">INDEX(商城宝箱!$L:$L,MATCH(BC22,商城宝箱!$N:$N,1))</f>
        <v>3</v>
      </c>
      <c r="BL22" s="90">
        <f ca="1">_xlfn.IFNA(INDEX(商城宝箱!T:T,MATCH(玩家节奏1!$BK22,商城宝箱!$L:$L,0)),0)+($BC22-INDEX(商城宝箱!$N:$N,MATCH(玩家节奏1!$BK22,商城宝箱!$L:$L,0)))/$BK$5*INDEX(商城宝箱!E$23:E$42,MATCH(玩家节奏1!$BK22+1,商城宝箱!$C$23:$C$42,0))</f>
        <v>10375</v>
      </c>
      <c r="BM22" s="90">
        <f ca="1">_xlfn.IFNA(INDEX(商城宝箱!U:U,MATCH(玩家节奏1!$BK22,商城宝箱!$L:$L,0)),0)+($BC22-INDEX(商城宝箱!$N:$N,MATCH(玩家节奏1!$BK22,商城宝箱!$L:$L,0)))/$BK$5*INDEX(商城宝箱!F$23:F$42,MATCH(玩家节奏1!$BK22+1,商城宝箱!$C$23:$C$42,0))</f>
        <v>1465</v>
      </c>
      <c r="BN22" s="90">
        <f ca="1">_xlfn.IFNA(INDEX(商城宝箱!V:V,MATCH(玩家节奏1!$BK22,商城宝箱!$L:$L,0)),0)+($BC22-INDEX(商城宝箱!$N:$N,MATCH(玩家节奏1!$BK22,商城宝箱!$L:$L,0)))/$BK$5*INDEX(商城宝箱!G$23:G$42,MATCH(玩家节奏1!$BK22+1,商城宝箱!$C$23:$C$42,0))</f>
        <v>435.75</v>
      </c>
      <c r="BO22" s="90">
        <f ca="1">_xlfn.IFNA(INDEX(商城宝箱!W:W,MATCH(玩家节奏1!$BK22,商城宝箱!$L:$L,0)),0)+($BC22-INDEX(商城宝箱!$N:$N,MATCH(玩家节奏1!$BK22,商城宝箱!$L:$L,0)))/$BK$5*INDEX(商城宝箱!H$23:H$42,MATCH(玩家节奏1!$BK22+1,商城宝箱!$C$23:$C$42,0))</f>
        <v>50.75</v>
      </c>
      <c r="BQ22" s="128">
        <f t="shared" si="0"/>
        <v>80300</v>
      </c>
      <c r="BR22" s="90">
        <f t="shared" si="1"/>
        <v>19110</v>
      </c>
      <c r="BS22" s="90">
        <f t="shared" ca="1" si="2"/>
        <v>44240</v>
      </c>
      <c r="BT22" s="90">
        <f t="shared" si="3"/>
        <v>2400</v>
      </c>
      <c r="BU22" s="90">
        <f t="shared" si="4"/>
        <v>0</v>
      </c>
      <c r="BV22" s="90">
        <f t="shared" si="5"/>
        <v>8000</v>
      </c>
      <c r="BW22" s="90">
        <f t="shared" ca="1" si="22"/>
        <v>10375</v>
      </c>
      <c r="BX22" s="90">
        <f t="shared" ca="1" si="23"/>
        <v>164425</v>
      </c>
      <c r="BY22" s="142">
        <f t="shared" ca="1" si="24"/>
        <v>0.4883685570928995</v>
      </c>
      <c r="BZ22" s="142">
        <f t="shared" ca="1" si="25"/>
        <v>0.11622320206781207</v>
      </c>
      <c r="CA22" s="142">
        <f t="shared" ca="1" si="26"/>
        <v>0.26905884141705944</v>
      </c>
      <c r="CB22" s="142">
        <f t="shared" ca="1" si="27"/>
        <v>1.4596320510871218E-2</v>
      </c>
      <c r="CC22" s="142">
        <f t="shared" ca="1" si="28"/>
        <v>0</v>
      </c>
      <c r="CD22" s="142">
        <f t="shared" ca="1" si="29"/>
        <v>4.8654401702904061E-2</v>
      </c>
      <c r="CE22" s="142">
        <f t="shared" ca="1" si="30"/>
        <v>6.3098677208453705E-2</v>
      </c>
      <c r="CG22" s="128">
        <f t="shared" si="31"/>
        <v>19</v>
      </c>
      <c r="CH22" s="90">
        <f ca="1">INDEX(角色升级!$A:$A,MATCH(玩家节奏1!$BX22,角色升级!$J:$J,1))</f>
        <v>127</v>
      </c>
      <c r="CI22" s="90">
        <f ca="1">INDEX(角色升级!$O:$O,MATCH(玩家节奏1!$BX22,角色升级!$J:$J,1))</f>
        <v>1482.9647</v>
      </c>
      <c r="CJ22" s="90">
        <f>INDEX(关卡对比!$J:$J,MATCH(玩家节奏1!N22,关卡对比!$A:$A,0))</f>
        <v>1700</v>
      </c>
      <c r="CK22" s="147">
        <f t="shared" ca="1" si="32"/>
        <v>1.1463523035983256</v>
      </c>
      <c r="CL22" s="128">
        <f ca="1">INDEX(角色升级!$P:$P,MATCH(玩家节奏1!$CH22,角色升级!$A:$A,0))</f>
        <v>200</v>
      </c>
      <c r="CM22" s="90">
        <f ca="1">INDEX(角色升级!Q:Q,MATCH(玩家节奏1!$CH22,角色升级!$A:$A,0))</f>
        <v>0</v>
      </c>
      <c r="CO22" s="128">
        <f t="shared" si="33"/>
        <v>674</v>
      </c>
      <c r="CP22" s="90">
        <f t="shared" si="34"/>
        <v>997</v>
      </c>
      <c r="CQ22" s="90">
        <f t="shared" si="35"/>
        <v>1496</v>
      </c>
      <c r="CR22" s="90">
        <f t="shared" ca="1" si="36"/>
        <v>1465</v>
      </c>
      <c r="CS22" s="90">
        <f t="shared" ca="1" si="37"/>
        <v>4632</v>
      </c>
      <c r="CT22" s="142">
        <f t="shared" ca="1" si="38"/>
        <v>0.14550949913644215</v>
      </c>
      <c r="CU22" s="142">
        <f t="shared" ca="1" si="39"/>
        <v>0.21524179620034542</v>
      </c>
      <c r="CV22" s="142">
        <f t="shared" ca="1" si="40"/>
        <v>0.3229706390328152</v>
      </c>
      <c r="CW22" s="142">
        <f t="shared" ca="1" si="41"/>
        <v>0.31627806563039723</v>
      </c>
      <c r="CY22" s="128">
        <f t="shared" si="42"/>
        <v>338</v>
      </c>
      <c r="CZ22" s="90">
        <f t="shared" si="43"/>
        <v>469</v>
      </c>
      <c r="DA22" s="90">
        <f t="shared" si="44"/>
        <v>440</v>
      </c>
      <c r="DB22" s="90">
        <f t="shared" ca="1" si="66"/>
        <v>435.75</v>
      </c>
      <c r="DC22" s="90">
        <f t="shared" ca="1" si="45"/>
        <v>1682.75</v>
      </c>
      <c r="DD22" s="142">
        <f t="shared" ca="1" si="46"/>
        <v>0.2008616847422374</v>
      </c>
      <c r="DE22" s="142">
        <f t="shared" ca="1" si="47"/>
        <v>0.27871044421334124</v>
      </c>
      <c r="DF22" s="142">
        <f t="shared" ca="1" si="48"/>
        <v>0.26147674936859305</v>
      </c>
      <c r="DG22" s="142">
        <f t="shared" ca="1" si="49"/>
        <v>0.25895112167582823</v>
      </c>
      <c r="DI22" s="128">
        <f t="shared" si="50"/>
        <v>108</v>
      </c>
      <c r="DJ22" s="90">
        <f t="shared" si="51"/>
        <v>139</v>
      </c>
      <c r="DK22" s="90">
        <f t="shared" si="52"/>
        <v>88</v>
      </c>
      <c r="DL22" s="90">
        <f t="shared" ca="1" si="53"/>
        <v>50.75</v>
      </c>
      <c r="DM22" s="90">
        <f t="shared" ca="1" si="54"/>
        <v>385.75</v>
      </c>
      <c r="DN22" s="142">
        <f t="shared" ca="1" si="55"/>
        <v>0.27997407647440054</v>
      </c>
      <c r="DO22" s="142">
        <f t="shared" ca="1" si="56"/>
        <v>0.36033700583279327</v>
      </c>
      <c r="DP22" s="142">
        <f t="shared" ca="1" si="57"/>
        <v>0.22812702527543746</v>
      </c>
      <c r="DQ22" s="142">
        <f t="shared" ca="1" si="58"/>
        <v>0.13156189241736876</v>
      </c>
      <c r="DS22" s="128">
        <f t="shared" ca="1" si="59"/>
        <v>4632</v>
      </c>
      <c r="DT22" s="90">
        <f t="shared" ca="1" si="60"/>
        <v>1682.75</v>
      </c>
      <c r="DU22" s="90">
        <f t="shared" ca="1" si="61"/>
        <v>385.75</v>
      </c>
      <c r="DV22" s="90">
        <f t="shared" si="62"/>
        <v>0</v>
      </c>
      <c r="DW22" s="90">
        <f ca="1">_xlfn.IFNA(INDEX(武器升级消耗!$H:$H,MATCH(玩家节奏1!DS22/玩家节奏1!DS$5,武器升级消耗!M:M,1)),0)</f>
        <v>8</v>
      </c>
      <c r="DX22" s="90">
        <f ca="1">_xlfn.IFNA(INDEX(武器升级消耗!$H:$H,MATCH(玩家节奏1!DT22/玩家节奏1!DT$5,武器升级消耗!N:N,1)),0)</f>
        <v>6</v>
      </c>
      <c r="DY22" s="90">
        <f ca="1">_xlfn.IFNA(INDEX(武器升级消耗!$H:$H,MATCH(玩家节奏1!DU22/玩家节奏1!DU$5,武器升级消耗!O:O,1)),0)</f>
        <v>3</v>
      </c>
      <c r="DZ22" s="90">
        <f>_xlfn.IFNA(INDEX(武器升级消耗!$H:$H,MATCH(玩家节奏1!DV22/玩家节奏1!DV$5,武器升级消耗!P:P,1)),0)</f>
        <v>0</v>
      </c>
      <c r="EA22" s="90">
        <f ca="1">_xlfn.IFNA(INDEX(武器升级消耗!$Q:$Q,MATCH(玩家节奏1!DW22,武器升级消耗!$H:$H,0))*2*EA$4,0)</f>
        <v>1.44</v>
      </c>
      <c r="EB22" s="90">
        <f ca="1">_xlfn.IFNA(INDEX(武器升级消耗!$Q:$Q,MATCH(玩家节奏1!DX22,武器升级消耗!$H:$H,0))*2*EB$4,0)</f>
        <v>1.5</v>
      </c>
      <c r="EC22" s="90">
        <f ca="1">_xlfn.IFNA(INDEX(武器升级消耗!$Q:$Q,MATCH(玩家节奏1!DY22,武器升级消耗!$H:$H,0))*2*EC$4,1)</f>
        <v>1.54</v>
      </c>
      <c r="ED22" s="90">
        <f>_xlfn.IFNA(INDEX(武器升级消耗!$Q:$Q,MATCH(玩家节奏1!DZ22,武器升级消耗!$H:$H,0))*2*ED$4,0)</f>
        <v>0</v>
      </c>
      <c r="EF22" s="128"/>
      <c r="EG22" s="90"/>
      <c r="EH22" s="90"/>
      <c r="EI22" s="90"/>
      <c r="EJ22" s="90"/>
      <c r="EK22" s="90"/>
      <c r="EL22" s="90"/>
      <c r="EM22" s="90"/>
      <c r="EO22" s="128"/>
      <c r="EP22" s="90"/>
      <c r="EQ22" s="90"/>
      <c r="ER22" s="90"/>
      <c r="ES22" s="90"/>
      <c r="ET22" s="90"/>
      <c r="EU22" s="90"/>
      <c r="EV22" s="90"/>
      <c r="EW22" s="90"/>
      <c r="EX22" s="90"/>
      <c r="EY22" s="90"/>
      <c r="EZ22" s="90"/>
      <c r="FA22" s="90"/>
      <c r="FB22" s="90"/>
      <c r="FD22" s="90">
        <f t="shared" ca="1" si="63"/>
        <v>1.54</v>
      </c>
      <c r="FE22" s="90"/>
      <c r="FF22" s="90"/>
      <c r="FG22" s="90">
        <f t="shared" ca="1" si="64"/>
        <v>0</v>
      </c>
    </row>
    <row r="23" spans="1:163" x14ac:dyDescent="0.25">
      <c r="A23" s="123">
        <v>17</v>
      </c>
      <c r="B23" s="123">
        <f>INDEX(关卡对比!$Y:$Y,MATCH(关卡对比!Z23,关卡对比!$AA:$AA,1))</f>
        <v>12</v>
      </c>
      <c r="C23" s="124">
        <f>INDEX(关卡对比!$Y:$Y,MATCH(关卡对比!Z23,关卡对比!$AB:$AB,1))</f>
        <v>8</v>
      </c>
      <c r="D23" s="125">
        <f>A23*E23+B23*E23+C23*E23-4.5-10-16</f>
        <v>80.5</v>
      </c>
      <c r="E23" s="125">
        <v>3</v>
      </c>
      <c r="F23" s="128">
        <v>6</v>
      </c>
      <c r="G23" s="90">
        <v>0</v>
      </c>
      <c r="H23" s="90">
        <v>1</v>
      </c>
      <c r="J23" s="128">
        <v>17</v>
      </c>
      <c r="K23" s="90">
        <f t="shared" si="10"/>
        <v>6</v>
      </c>
      <c r="L23" s="90">
        <f t="shared" si="11"/>
        <v>0</v>
      </c>
      <c r="M23" s="90">
        <f t="shared" si="12"/>
        <v>1</v>
      </c>
      <c r="N23" s="140">
        <f>INDEX($A:$A,MATCH(SUM($K$7:K23),$D:$D,1))</f>
        <v>20</v>
      </c>
      <c r="O23" s="140">
        <v>0</v>
      </c>
      <c r="P23" s="141">
        <v>0</v>
      </c>
      <c r="Q23" s="126">
        <f>_xlfn.MAXIFS(关卡产出!X:X,关卡产出!$A:$A,玩家节奏1!$N$6,关卡产出!$B:$B,玩家节奏1!$N23)+_xlfn.MAXIFS(关卡产出!X:X,关卡产出!$A:$A,玩家节奏1!$O$6,关卡产出!$B:$B,玩家节奏1!$O23)+_xlfn.MAXIFS(关卡产出!X:X,关卡产出!$A:$A,玩家节奏1!$P$6,关卡产出!$B:$B,玩家节奏1!$P23)</f>
        <v>2500</v>
      </c>
      <c r="R23" s="90">
        <f>_xlfn.MAXIFS(关卡产出!Y:Y,关卡产出!$A:$A,玩家节奏1!$N$6,关卡产出!$B:$B,玩家节奏1!$N23)+_xlfn.MAXIFS(关卡产出!Y:Y,关卡产出!$A:$A,玩家节奏1!$O$6,关卡产出!$B:$B,玩家节奏1!$O23)+_xlfn.MAXIFS(关卡产出!Y:Y,关卡产出!$A:$A,玩家节奏1!$P$6,关卡产出!$B:$B,玩家节奏1!$P23)</f>
        <v>90000</v>
      </c>
      <c r="S23" s="90">
        <f>_xlfn.MAXIFS(关卡产出!Z:Z,关卡产出!$A:$A,玩家节奏1!$N$6,关卡产出!$B:$B,玩家节奏1!$N23)+_xlfn.MAXIFS(关卡产出!Z:Z,关卡产出!$A:$A,玩家节奏1!$O$6,关卡产出!$B:$B,玩家节奏1!$O23)+_xlfn.MAXIFS(关卡产出!Z:Z,关卡产出!$A:$A,玩家节奏1!$P$6,关卡产出!$B:$B,玩家节奏1!$P23)</f>
        <v>746</v>
      </c>
      <c r="T23" s="90">
        <f>_xlfn.MAXIFS(关卡产出!AA:AA,关卡产出!$A:$A,玩家节奏1!$N$6,关卡产出!$B:$B,玩家节奏1!$N23)+_xlfn.MAXIFS(关卡产出!AA:AA,关卡产出!$A:$A,玩家节奏1!$O$6,关卡产出!$B:$B,玩家节奏1!$O23)+_xlfn.MAXIFS(关卡产出!AA:AA,关卡产出!$A:$A,玩家节奏1!$P$6,关卡产出!$B:$B,玩家节奏1!$P23)</f>
        <v>374</v>
      </c>
      <c r="U23" s="90">
        <f>_xlfn.MAXIFS(关卡产出!AB:AB,关卡产出!$A:$A,玩家节奏1!$N$6,关卡产出!$B:$B,玩家节奏1!$N23)+_xlfn.MAXIFS(关卡产出!AB:AB,关卡产出!$A:$A,玩家节奏1!$O$6,关卡产出!$B:$B,玩家节奏1!$O23)+_xlfn.MAXIFS(关卡产出!AB:AB,关卡产出!$A:$A,玩家节奏1!$P$6,关卡产出!$B:$B,玩家节奏1!$P23)</f>
        <v>123</v>
      </c>
      <c r="V23" s="130">
        <f>_xlfn.MAXIFS(关卡产出!AC:AC,关卡产出!$A:$A,玩家节奏1!$N$6,关卡产出!$B:$B,玩家节奏1!$N23)+_xlfn.MAXIFS(关卡产出!AC:AC,关卡产出!$A:$A,玩家节奏1!$O$6,关卡产出!$B:$B,玩家节奏1!$O23)+_xlfn.MAXIFS(关卡产出!AC:AC,关卡产出!$A:$A,玩家节奏1!$P$6,关卡产出!$B:$B,玩家节奏1!$P23)</f>
        <v>120</v>
      </c>
      <c r="W23" s="126">
        <f>INDEX(关卡产出!C$8:C$207,MATCH(玩家节奏1!$N23,关卡产出!$B$8:$B$207,0))*$K23</f>
        <v>84</v>
      </c>
      <c r="X23" s="126">
        <f>INDEX(关卡产出!D$8:D$207,MATCH(玩家节奏1!$N23,关卡产出!$B$8:$B$207,0))*$K23</f>
        <v>42</v>
      </c>
      <c r="Y23" s="126">
        <f>INDEX(关卡产出!E$8:E$207,MATCH(玩家节奏1!$N23,关卡产出!$B$8:$B$207,0))*$K23</f>
        <v>18</v>
      </c>
      <c r="Z23" s="144">
        <f>INDEX(关卡产出!F$8:F$207,MATCH(玩家节奏1!$N23,关卡产出!$B$8:$B$207,0))*$K23</f>
        <v>1500</v>
      </c>
      <c r="AA23" s="126">
        <f>SUM(W$7:W23)</f>
        <v>1081</v>
      </c>
      <c r="AB23" s="126">
        <f>SUM(X$7:X23)</f>
        <v>511</v>
      </c>
      <c r="AC23" s="126">
        <f>SUM(Y$7:Y23)</f>
        <v>157</v>
      </c>
      <c r="AD23" s="126">
        <f>SUM(Z$7:Z23)</f>
        <v>20610</v>
      </c>
      <c r="AE23" s="126">
        <f>INDEX(图鉴!AQ:AQ,MATCH($N23,图鉴!$S:$S,0))*8</f>
        <v>128</v>
      </c>
      <c r="AF23" s="90">
        <f>INDEX(图鉴!AR:AR,MATCH($N23,图鉴!$S:$S,0))*8</f>
        <v>48</v>
      </c>
      <c r="AG23" s="90">
        <f>INDEX(图鉴!AS:AS,MATCH($N23,图鉴!$S:$S,0))*8</f>
        <v>8</v>
      </c>
      <c r="AH23" s="129">
        <f ca="1">INDEX(图鉴!AT:AT,MATCH($N23,图鉴!$S:$S,0))*8</f>
        <v>3960</v>
      </c>
      <c r="AI23" s="128">
        <f>SUM($AE$7:AE23)</f>
        <v>1624</v>
      </c>
      <c r="AJ23" s="90">
        <f>SUM(AF$7:AF23)</f>
        <v>488</v>
      </c>
      <c r="AK23" s="90">
        <f>SUM(AG$7:AG23)</f>
        <v>96</v>
      </c>
      <c r="AL23" s="130">
        <f ca="1">SUM(AH$7:AH23)</f>
        <v>48200</v>
      </c>
      <c r="AM23" s="133">
        <f>IF(M23=0,0,INDEX(关卡产出!$AU$11:$AU$15,MATCH(玩家节奏1!N23,关卡产出!$AW$11:$AW$15,1))*M23)</f>
        <v>4100</v>
      </c>
      <c r="AN23" s="126">
        <f>IF(L23=0,0,$L23*关卡产出!AU$21)</f>
        <v>0</v>
      </c>
      <c r="AO23" s="90">
        <f>IF(M23=0,0,$L23*关卡产出!AV$21)</f>
        <v>0</v>
      </c>
      <c r="AP23" s="129">
        <f>IF(N23=0,0,$L23*关卡产出!AW$21)</f>
        <v>0</v>
      </c>
      <c r="AQ23" s="138">
        <f>SUM(AN$7:AN23)</f>
        <v>0</v>
      </c>
      <c r="AR23" s="126">
        <f>SUM(AO$7:AO23)</f>
        <v>0</v>
      </c>
      <c r="AS23" s="129">
        <f>SUM(AP$7:AP23)</f>
        <v>0</v>
      </c>
      <c r="AT23" s="128">
        <v>500</v>
      </c>
      <c r="AU23" s="129">
        <v>100</v>
      </c>
      <c r="AV23" s="128">
        <f>SUM(AT$7:AT23)</f>
        <v>8500</v>
      </c>
      <c r="AW23" s="90">
        <f>SUM(AU$7:AU23)</f>
        <v>1700</v>
      </c>
      <c r="AY23" s="128">
        <f t="shared" si="13"/>
        <v>2500</v>
      </c>
      <c r="AZ23" s="90">
        <f t="shared" si="14"/>
        <v>0</v>
      </c>
      <c r="BA23" s="90">
        <f t="shared" si="15"/>
        <v>1700</v>
      </c>
      <c r="BB23" s="90">
        <f t="shared" ca="1" si="65"/>
        <v>200</v>
      </c>
      <c r="BC23" s="90">
        <f t="shared" ca="1" si="68"/>
        <v>4400</v>
      </c>
      <c r="BD23" s="90"/>
      <c r="BE23" s="90">
        <f t="shared" ca="1" si="17"/>
        <v>4400</v>
      </c>
      <c r="BF23" s="142">
        <f t="shared" ca="1" si="18"/>
        <v>0.56818181818181823</v>
      </c>
      <c r="BG23" s="142">
        <f t="shared" ca="1" si="19"/>
        <v>0</v>
      </c>
      <c r="BH23" s="142">
        <f t="shared" ca="1" si="20"/>
        <v>0.38636363636363635</v>
      </c>
      <c r="BI23" s="142">
        <f t="shared" ca="1" si="21"/>
        <v>4.5454545454545456E-2</v>
      </c>
      <c r="BJ23" s="143"/>
      <c r="BK23" s="128">
        <f ca="1">INDEX(商城宝箱!$L:$L,MATCH(BC23,商城宝箱!$N:$N,1))</f>
        <v>3</v>
      </c>
      <c r="BL23" s="90">
        <f ca="1">_xlfn.IFNA(INDEX(商城宝箱!T:T,MATCH(玩家节奏1!$BK23,商城宝箱!$L:$L,0)),0)+($BC23-INDEX(商城宝箱!$N:$N,MATCH(玩家节奏1!$BK23,商城宝箱!$L:$L,0)))/$BK$5*INDEX(商城宝箱!E$23:E$42,MATCH(玩家节奏1!$BK23+1,商城宝箱!$C$23:$C$42,0))</f>
        <v>11000</v>
      </c>
      <c r="BM23" s="90">
        <f ca="1">_xlfn.IFNA(INDEX(商城宝箱!U:U,MATCH(玩家节奏1!$BK23,商城宝箱!$L:$L,0)),0)+($BC23-INDEX(商城宝箱!$N:$N,MATCH(玩家节奏1!$BK23,商城宝箱!$L:$L,0)))/$BK$5*INDEX(商城宝箱!F$23:F$42,MATCH(玩家节奏1!$BK23+1,商城宝箱!$C$23:$C$42,0))</f>
        <v>1602.5</v>
      </c>
      <c r="BN23" s="90">
        <f ca="1">_xlfn.IFNA(INDEX(商城宝箱!V:V,MATCH(玩家节奏1!$BK23,商城宝箱!$L:$L,0)),0)+($BC23-INDEX(商城宝箱!$N:$N,MATCH(玩家节奏1!$BK23,商城宝箱!$L:$L,0)))/$BK$5*INDEX(商城宝箱!G$23:G$42,MATCH(玩家节奏1!$BK23+1,商城宝箱!$C$23:$C$42,0))</f>
        <v>492</v>
      </c>
      <c r="BO23" s="90">
        <f ca="1">_xlfn.IFNA(INDEX(商城宝箱!W:W,MATCH(玩家节奏1!$BK23,商城宝箱!$L:$L,0)),0)+($BC23-INDEX(商城宝箱!$N:$N,MATCH(玩家节奏1!$BK23,商城宝箱!$L:$L,0)))/$BK$5*INDEX(商城宝箱!H$23:H$42,MATCH(玩家节奏1!$BK23+1,商城宝箱!$C$23:$C$42,0))</f>
        <v>59.5</v>
      </c>
      <c r="BQ23" s="128">
        <f t="shared" si="0"/>
        <v>90000</v>
      </c>
      <c r="BR23" s="90">
        <f t="shared" si="1"/>
        <v>20610</v>
      </c>
      <c r="BS23" s="90">
        <f t="shared" ca="1" si="2"/>
        <v>48200</v>
      </c>
      <c r="BT23" s="90">
        <f t="shared" si="3"/>
        <v>4100</v>
      </c>
      <c r="BU23" s="90">
        <f t="shared" si="4"/>
        <v>0</v>
      </c>
      <c r="BV23" s="90">
        <f t="shared" si="5"/>
        <v>8500</v>
      </c>
      <c r="BW23" s="90">
        <f t="shared" ca="1" si="22"/>
        <v>11000</v>
      </c>
      <c r="BX23" s="90">
        <f t="shared" ca="1" si="23"/>
        <v>182410</v>
      </c>
      <c r="BY23" s="142">
        <f t="shared" ca="1" si="24"/>
        <v>0.49339400252179155</v>
      </c>
      <c r="BZ23" s="142">
        <f t="shared" ca="1" si="25"/>
        <v>0.11298722657749027</v>
      </c>
      <c r="CA23" s="142">
        <f t="shared" ca="1" si="26"/>
        <v>0.26423989912833729</v>
      </c>
      <c r="CB23" s="142">
        <f t="shared" ca="1" si="27"/>
        <v>2.2476837892659394E-2</v>
      </c>
      <c r="CC23" s="142">
        <f t="shared" ca="1" si="28"/>
        <v>0</v>
      </c>
      <c r="CD23" s="142">
        <f t="shared" ca="1" si="29"/>
        <v>4.6598322460391424E-2</v>
      </c>
      <c r="CE23" s="142">
        <f t="shared" ca="1" si="30"/>
        <v>6.0303711419330081E-2</v>
      </c>
      <c r="CG23" s="128">
        <f t="shared" si="31"/>
        <v>20</v>
      </c>
      <c r="CH23" s="90">
        <f ca="1">INDEX(角色升级!$A:$A,MATCH(玩家节奏1!$BX23,角色升级!$J:$J,1))</f>
        <v>132</v>
      </c>
      <c r="CI23" s="90">
        <f ca="1">INDEX(角色升级!$O:$O,MATCH(玩家节奏1!$BX23,角色升级!$J:$J,1))</f>
        <v>1645.0142250000001</v>
      </c>
      <c r="CJ23" s="90">
        <f>INDEX(关卡对比!$J:$J,MATCH(玩家节奏1!N23,关卡对比!$A:$A,0))</f>
        <v>1900</v>
      </c>
      <c r="CK23" s="147">
        <f t="shared" ca="1" si="32"/>
        <v>1.1550052097573806</v>
      </c>
      <c r="CL23" s="128">
        <f ca="1">INDEX(角色升级!$P:$P,MATCH(玩家节奏1!$CH23,角色升级!$A:$A,0))</f>
        <v>400</v>
      </c>
      <c r="CM23" s="90">
        <f ca="1">INDEX(角色升级!Q:Q,MATCH(玩家节奏1!$CH23,角色升级!$A:$A,0))</f>
        <v>0</v>
      </c>
      <c r="CO23" s="128">
        <f t="shared" si="33"/>
        <v>746</v>
      </c>
      <c r="CP23" s="90">
        <f t="shared" si="34"/>
        <v>1081</v>
      </c>
      <c r="CQ23" s="90">
        <f t="shared" si="35"/>
        <v>1624</v>
      </c>
      <c r="CR23" s="90">
        <f t="shared" ca="1" si="36"/>
        <v>1602.5</v>
      </c>
      <c r="CS23" s="90">
        <f t="shared" ca="1" si="37"/>
        <v>5053.5</v>
      </c>
      <c r="CT23" s="142">
        <f t="shared" ca="1" si="38"/>
        <v>0.14762046106658752</v>
      </c>
      <c r="CU23" s="142">
        <f t="shared" ca="1" si="39"/>
        <v>0.21391115068764222</v>
      </c>
      <c r="CV23" s="142">
        <f t="shared" ca="1" si="40"/>
        <v>0.32136143267042644</v>
      </c>
      <c r="CW23" s="142">
        <f t="shared" ca="1" si="41"/>
        <v>0.3171069555753438</v>
      </c>
      <c r="CY23" s="128">
        <f t="shared" si="42"/>
        <v>374</v>
      </c>
      <c r="CZ23" s="90">
        <f t="shared" si="43"/>
        <v>511</v>
      </c>
      <c r="DA23" s="90">
        <f t="shared" si="44"/>
        <v>488</v>
      </c>
      <c r="DB23" s="90">
        <f t="shared" ca="1" si="66"/>
        <v>492</v>
      </c>
      <c r="DC23" s="90">
        <f t="shared" ca="1" si="45"/>
        <v>1865</v>
      </c>
      <c r="DD23" s="142">
        <f t="shared" ca="1" si="46"/>
        <v>0.20053619302949061</v>
      </c>
      <c r="DE23" s="142">
        <f t="shared" ca="1" si="47"/>
        <v>0.27399463806970509</v>
      </c>
      <c r="DF23" s="142">
        <f t="shared" ca="1" si="48"/>
        <v>0.26166219839142091</v>
      </c>
      <c r="DG23" s="142">
        <f t="shared" ca="1" si="49"/>
        <v>0.2638069705093834</v>
      </c>
      <c r="DI23" s="128">
        <f t="shared" si="50"/>
        <v>123</v>
      </c>
      <c r="DJ23" s="90">
        <f t="shared" si="51"/>
        <v>157</v>
      </c>
      <c r="DK23" s="90">
        <f t="shared" si="52"/>
        <v>96</v>
      </c>
      <c r="DL23" s="90">
        <f t="shared" ca="1" si="53"/>
        <v>59.5</v>
      </c>
      <c r="DM23" s="90">
        <f t="shared" ca="1" si="54"/>
        <v>435.5</v>
      </c>
      <c r="DN23" s="142">
        <f t="shared" ca="1" si="55"/>
        <v>0.28243398392652125</v>
      </c>
      <c r="DO23" s="142">
        <f t="shared" ca="1" si="56"/>
        <v>0.36050516647531572</v>
      </c>
      <c r="DP23" s="142">
        <f t="shared" ca="1" si="57"/>
        <v>0.22043628013777267</v>
      </c>
      <c r="DQ23" s="142">
        <f t="shared" ca="1" si="58"/>
        <v>0.13662456946039037</v>
      </c>
      <c r="DS23" s="128">
        <f t="shared" ca="1" si="59"/>
        <v>5053.5</v>
      </c>
      <c r="DT23" s="90">
        <f t="shared" ca="1" si="60"/>
        <v>1865</v>
      </c>
      <c r="DU23" s="90">
        <f t="shared" ca="1" si="61"/>
        <v>435.5</v>
      </c>
      <c r="DV23" s="90">
        <f t="shared" si="62"/>
        <v>0</v>
      </c>
      <c r="DW23" s="90">
        <f ca="1">_xlfn.IFNA(INDEX(武器升级消耗!$H:$H,MATCH(玩家节奏1!DS23/玩家节奏1!DS$5,武器升级消耗!M:M,1)),0)</f>
        <v>9</v>
      </c>
      <c r="DX23" s="90">
        <f ca="1">_xlfn.IFNA(INDEX(武器升级消耗!$H:$H,MATCH(玩家节奏1!DT23/玩家节奏1!DT$5,武器升级消耗!N:N,1)),0)</f>
        <v>6</v>
      </c>
      <c r="DY23" s="90">
        <f ca="1">_xlfn.IFNA(INDEX(武器升级消耗!$H:$H,MATCH(玩家节奏1!DU23/玩家节奏1!DU$5,武器升级消耗!O:O,1)),0)</f>
        <v>3</v>
      </c>
      <c r="DZ23" s="90">
        <f>_xlfn.IFNA(INDEX(武器升级消耗!$H:$H,MATCH(玩家节奏1!DV23/玩家节奏1!DV$5,武器升级消耗!P:P,1)),0)</f>
        <v>0</v>
      </c>
      <c r="EA23" s="90">
        <f ca="1">_xlfn.IFNA(INDEX(武器升级消耗!$Q:$Q,MATCH(玩家节奏1!DW23,武器升级消耗!$H:$H,0))*2*EA$4,0)</f>
        <v>1.56</v>
      </c>
      <c r="EB23" s="90">
        <f ca="1">_xlfn.IFNA(INDEX(武器升级消耗!$Q:$Q,MATCH(玩家节奏1!DX23,武器升级消耗!$H:$H,0))*2*EB$4,0)</f>
        <v>1.5</v>
      </c>
      <c r="EC23" s="90">
        <f ca="1">_xlfn.IFNA(INDEX(武器升级消耗!$Q:$Q,MATCH(玩家节奏1!DY23,武器升级消耗!$H:$H,0))*2*EC$4,1)</f>
        <v>1.54</v>
      </c>
      <c r="ED23" s="90">
        <f>_xlfn.IFNA(INDEX(武器升级消耗!$Q:$Q,MATCH(玩家节奏1!DZ23,武器升级消耗!$H:$H,0))*2*ED$4,0)</f>
        <v>0</v>
      </c>
      <c r="EF23" s="128"/>
      <c r="EG23" s="90"/>
      <c r="EH23" s="90"/>
      <c r="EI23" s="90"/>
      <c r="EJ23" s="90"/>
      <c r="EK23" s="90"/>
      <c r="EL23" s="90"/>
      <c r="EM23" s="90"/>
      <c r="EO23" s="128"/>
      <c r="EP23" s="90"/>
      <c r="EQ23" s="90"/>
      <c r="ER23" s="90"/>
      <c r="ES23" s="90"/>
      <c r="ET23" s="90"/>
      <c r="EU23" s="90"/>
      <c r="EV23" s="90"/>
      <c r="EW23" s="90"/>
      <c r="EX23" s="90"/>
      <c r="EY23" s="90"/>
      <c r="EZ23" s="90"/>
      <c r="FA23" s="90"/>
      <c r="FB23" s="90"/>
      <c r="FD23" s="90">
        <f t="shared" ca="1" si="63"/>
        <v>1.54</v>
      </c>
      <c r="FE23" s="90"/>
      <c r="FF23" s="90"/>
      <c r="FG23" s="90">
        <f t="shared" ca="1" si="64"/>
        <v>0</v>
      </c>
    </row>
    <row r="24" spans="1:163" x14ac:dyDescent="0.25">
      <c r="A24" s="123">
        <v>18</v>
      </c>
      <c r="B24" s="123">
        <f>INDEX(关卡对比!$Y:$Y,MATCH(关卡对比!Z24,关卡对比!$AA:$AA,1))</f>
        <v>14</v>
      </c>
      <c r="C24" s="124">
        <f>INDEX(关卡对比!$Y:$Y,MATCH(关卡对比!Z24,关卡对比!$AB:$AB,1))</f>
        <v>10</v>
      </c>
      <c r="D24" s="125">
        <f t="shared" ref="D24:D87" si="70">A24*E24+B24*E24+C24*E24-4.5-10-16</f>
        <v>95.5</v>
      </c>
      <c r="E24" s="125">
        <v>3</v>
      </c>
      <c r="F24" s="128">
        <v>6</v>
      </c>
      <c r="G24" s="90">
        <v>0</v>
      </c>
      <c r="H24" s="90">
        <v>1</v>
      </c>
      <c r="J24" s="128">
        <v>18</v>
      </c>
      <c r="K24" s="90">
        <f t="shared" si="10"/>
        <v>5</v>
      </c>
      <c r="L24" s="90">
        <f t="shared" si="11"/>
        <v>1</v>
      </c>
      <c r="M24" s="90">
        <f t="shared" si="12"/>
        <v>1</v>
      </c>
      <c r="N24" s="140">
        <f>INDEX($A:$A,MATCH(SUM($K$7:K24),$D:$D,1))</f>
        <v>20</v>
      </c>
      <c r="O24" s="140">
        <v>0</v>
      </c>
      <c r="P24" s="141">
        <v>0</v>
      </c>
      <c r="Q24" s="126">
        <f>_xlfn.MAXIFS(关卡产出!X:X,关卡产出!$A:$A,玩家节奏1!$N$6,关卡产出!$B:$B,玩家节奏1!$N24)+_xlfn.MAXIFS(关卡产出!X:X,关卡产出!$A:$A,玩家节奏1!$O$6,关卡产出!$B:$B,玩家节奏1!$O24)+_xlfn.MAXIFS(关卡产出!X:X,关卡产出!$A:$A,玩家节奏1!$P$6,关卡产出!$B:$B,玩家节奏1!$P24)</f>
        <v>2500</v>
      </c>
      <c r="R24" s="90">
        <f>_xlfn.MAXIFS(关卡产出!Y:Y,关卡产出!$A:$A,玩家节奏1!$N$6,关卡产出!$B:$B,玩家节奏1!$N24)+_xlfn.MAXIFS(关卡产出!Y:Y,关卡产出!$A:$A,玩家节奏1!$O$6,关卡产出!$B:$B,玩家节奏1!$O24)+_xlfn.MAXIFS(关卡产出!Y:Y,关卡产出!$A:$A,玩家节奏1!$P$6,关卡产出!$B:$B,玩家节奏1!$P24)</f>
        <v>90000</v>
      </c>
      <c r="S24" s="90">
        <f>_xlfn.MAXIFS(关卡产出!Z:Z,关卡产出!$A:$A,玩家节奏1!$N$6,关卡产出!$B:$B,玩家节奏1!$N24)+_xlfn.MAXIFS(关卡产出!Z:Z,关卡产出!$A:$A,玩家节奏1!$O$6,关卡产出!$B:$B,玩家节奏1!$O24)+_xlfn.MAXIFS(关卡产出!Z:Z,关卡产出!$A:$A,玩家节奏1!$P$6,关卡产出!$B:$B,玩家节奏1!$P24)</f>
        <v>746</v>
      </c>
      <c r="T24" s="90">
        <f>_xlfn.MAXIFS(关卡产出!AA:AA,关卡产出!$A:$A,玩家节奏1!$N$6,关卡产出!$B:$B,玩家节奏1!$N24)+_xlfn.MAXIFS(关卡产出!AA:AA,关卡产出!$A:$A,玩家节奏1!$O$6,关卡产出!$B:$B,玩家节奏1!$O24)+_xlfn.MAXIFS(关卡产出!AA:AA,关卡产出!$A:$A,玩家节奏1!$P$6,关卡产出!$B:$B,玩家节奏1!$P24)</f>
        <v>374</v>
      </c>
      <c r="U24" s="90">
        <f>_xlfn.MAXIFS(关卡产出!AB:AB,关卡产出!$A:$A,玩家节奏1!$N$6,关卡产出!$B:$B,玩家节奏1!$N24)+_xlfn.MAXIFS(关卡产出!AB:AB,关卡产出!$A:$A,玩家节奏1!$O$6,关卡产出!$B:$B,玩家节奏1!$O24)+_xlfn.MAXIFS(关卡产出!AB:AB,关卡产出!$A:$A,玩家节奏1!$P$6,关卡产出!$B:$B,玩家节奏1!$P24)</f>
        <v>123</v>
      </c>
      <c r="V24" s="130">
        <f>_xlfn.MAXIFS(关卡产出!AC:AC,关卡产出!$A:$A,玩家节奏1!$N$6,关卡产出!$B:$B,玩家节奏1!$N24)+_xlfn.MAXIFS(关卡产出!AC:AC,关卡产出!$A:$A,玩家节奏1!$O$6,关卡产出!$B:$B,玩家节奏1!$O24)+_xlfn.MAXIFS(关卡产出!AC:AC,关卡产出!$A:$A,玩家节奏1!$P$6,关卡产出!$B:$B,玩家节奏1!$P24)</f>
        <v>120</v>
      </c>
      <c r="W24" s="126">
        <f>INDEX(关卡产出!C$8:C$207,MATCH(玩家节奏1!$N24,关卡产出!$B$8:$B$207,0))*$K24</f>
        <v>70</v>
      </c>
      <c r="X24" s="126">
        <f>INDEX(关卡产出!D$8:D$207,MATCH(玩家节奏1!$N24,关卡产出!$B$8:$B$207,0))*$K24</f>
        <v>35</v>
      </c>
      <c r="Y24" s="126">
        <f>INDEX(关卡产出!E$8:E$207,MATCH(玩家节奏1!$N24,关卡产出!$B$8:$B$207,0))*$K24</f>
        <v>15</v>
      </c>
      <c r="Z24" s="144">
        <f>INDEX(关卡产出!F$8:F$207,MATCH(玩家节奏1!$N24,关卡产出!$B$8:$B$207,0))*$K24</f>
        <v>1250</v>
      </c>
      <c r="AA24" s="126">
        <f>SUM(W$7:W24)</f>
        <v>1151</v>
      </c>
      <c r="AB24" s="126">
        <f>SUM(X$7:X24)</f>
        <v>546</v>
      </c>
      <c r="AC24" s="126">
        <f>SUM(Y$7:Y24)</f>
        <v>172</v>
      </c>
      <c r="AD24" s="126">
        <f>SUM(Z$7:Z24)</f>
        <v>21860</v>
      </c>
      <c r="AE24" s="126">
        <f>INDEX(图鉴!AQ:AQ,MATCH($N24,图鉴!$S:$S,0))*8</f>
        <v>128</v>
      </c>
      <c r="AF24" s="90">
        <f>INDEX(图鉴!AR:AR,MATCH($N24,图鉴!$S:$S,0))*8</f>
        <v>48</v>
      </c>
      <c r="AG24" s="90">
        <f>INDEX(图鉴!AS:AS,MATCH($N24,图鉴!$S:$S,0))*8</f>
        <v>8</v>
      </c>
      <c r="AH24" s="129">
        <f ca="1">INDEX(图鉴!AT:AT,MATCH($N24,图鉴!$S:$S,0))*8</f>
        <v>3960</v>
      </c>
      <c r="AI24" s="128">
        <f>SUM($AE$7:AE24)</f>
        <v>1752</v>
      </c>
      <c r="AJ24" s="90">
        <f>SUM(AF$7:AF24)</f>
        <v>536</v>
      </c>
      <c r="AK24" s="90">
        <f>SUM(AG$7:AG24)</f>
        <v>104</v>
      </c>
      <c r="AL24" s="130">
        <f ca="1">SUM(AH$7:AH24)</f>
        <v>52160</v>
      </c>
      <c r="AM24" s="133">
        <f>IF(M24=0,0,INDEX(关卡产出!$AU$11:$AU$15,MATCH(玩家节奏1!N24,关卡产出!$AW$11:$AW$15,1))*M24)</f>
        <v>4100</v>
      </c>
      <c r="AN24" s="126">
        <f>IF(L24=0,0,$L24*关卡产出!AU$21)</f>
        <v>1000</v>
      </c>
      <c r="AO24" s="90">
        <f>IF(M24=0,0,$L24*关卡产出!AV$21)</f>
        <v>50</v>
      </c>
      <c r="AP24" s="129">
        <f>IF(N24=0,0,$L24*关卡产出!AW$21)</f>
        <v>1</v>
      </c>
      <c r="AQ24" s="138">
        <f>SUM(AN$7:AN24)</f>
        <v>1000</v>
      </c>
      <c r="AR24" s="126">
        <f>SUM(AO$7:AO24)</f>
        <v>50</v>
      </c>
      <c r="AS24" s="129">
        <f>SUM(AP$7:AP24)</f>
        <v>1</v>
      </c>
      <c r="AT24" s="128">
        <v>500</v>
      </c>
      <c r="AU24" s="129">
        <v>100</v>
      </c>
      <c r="AV24" s="128">
        <f>SUM(AT$7:AT24)</f>
        <v>9000</v>
      </c>
      <c r="AW24" s="90">
        <f>SUM(AU$7:AU24)</f>
        <v>1800</v>
      </c>
      <c r="AY24" s="128">
        <f t="shared" si="13"/>
        <v>2500</v>
      </c>
      <c r="AZ24" s="90">
        <f t="shared" si="14"/>
        <v>50</v>
      </c>
      <c r="BA24" s="90">
        <f t="shared" si="15"/>
        <v>1800</v>
      </c>
      <c r="BB24" s="90">
        <f t="shared" ca="1" si="65"/>
        <v>400</v>
      </c>
      <c r="BC24" s="90">
        <f t="shared" ca="1" si="68"/>
        <v>4750</v>
      </c>
      <c r="BD24" s="90"/>
      <c r="BE24" s="90">
        <f t="shared" ca="1" si="17"/>
        <v>4750</v>
      </c>
      <c r="BF24" s="142">
        <f t="shared" ca="1" si="18"/>
        <v>0.52631578947368418</v>
      </c>
      <c r="BG24" s="142">
        <f t="shared" ca="1" si="19"/>
        <v>1.0526315789473684E-2</v>
      </c>
      <c r="BH24" s="142">
        <f t="shared" ca="1" si="20"/>
        <v>0.37894736842105264</v>
      </c>
      <c r="BI24" s="142">
        <f t="shared" ca="1" si="21"/>
        <v>8.4210526315789472E-2</v>
      </c>
      <c r="BJ24" s="143"/>
      <c r="BK24" s="128">
        <f ca="1">INDEX(商城宝箱!$L:$L,MATCH(BC24,商城宝箱!$N:$N,1))</f>
        <v>3</v>
      </c>
      <c r="BL24" s="90">
        <f ca="1">_xlfn.IFNA(INDEX(商城宝箱!T:T,MATCH(玩家节奏1!$BK24,商城宝箱!$L:$L,0)),0)+($BC24-INDEX(商城宝箱!$N:$N,MATCH(玩家节奏1!$BK24,商城宝箱!$L:$L,0)))/$BK$5*INDEX(商城宝箱!E$23:E$42,MATCH(玩家节奏1!$BK24+1,商城宝箱!$C$23:$C$42,0))</f>
        <v>11875</v>
      </c>
      <c r="BM24" s="90">
        <f ca="1">_xlfn.IFNA(INDEX(商城宝箱!U:U,MATCH(玩家节奏1!$BK24,商城宝箱!$L:$L,0)),0)+($BC24-INDEX(商城宝箱!$N:$N,MATCH(玩家节奏1!$BK24,商城宝箱!$L:$L,0)))/$BK$5*INDEX(商城宝箱!F$23:F$42,MATCH(玩家节奏1!$BK24+1,商城宝箱!$C$23:$C$42,0))</f>
        <v>1795</v>
      </c>
      <c r="BN24" s="90">
        <f ca="1">_xlfn.IFNA(INDEX(商城宝箱!V:V,MATCH(玩家节奏1!$BK24,商城宝箱!$L:$L,0)),0)+($BC24-INDEX(商城宝箱!$N:$N,MATCH(玩家节奏1!$BK24,商城宝箱!$L:$L,0)))/$BK$5*INDEX(商城宝箱!G$23:G$42,MATCH(玩家节奏1!$BK24+1,商城宝箱!$C$23:$C$42,0))</f>
        <v>570.75</v>
      </c>
      <c r="BO24" s="90">
        <f ca="1">_xlfn.IFNA(INDEX(商城宝箱!W:W,MATCH(玩家节奏1!$BK24,商城宝箱!$L:$L,0)),0)+($BC24-INDEX(商城宝箱!$N:$N,MATCH(玩家节奏1!$BK24,商城宝箱!$L:$L,0)))/$BK$5*INDEX(商城宝箱!H$23:H$42,MATCH(玩家节奏1!$BK24+1,商城宝箱!$C$23:$C$42,0))</f>
        <v>71.75</v>
      </c>
      <c r="BQ24" s="128">
        <f t="shared" si="0"/>
        <v>90000</v>
      </c>
      <c r="BR24" s="90">
        <f t="shared" si="1"/>
        <v>21860</v>
      </c>
      <c r="BS24" s="90">
        <f t="shared" ca="1" si="2"/>
        <v>52160</v>
      </c>
      <c r="BT24" s="90">
        <f t="shared" si="3"/>
        <v>4100</v>
      </c>
      <c r="BU24" s="90">
        <f t="shared" si="4"/>
        <v>1000</v>
      </c>
      <c r="BV24" s="90">
        <f t="shared" si="5"/>
        <v>9000</v>
      </c>
      <c r="BW24" s="90">
        <f t="shared" ca="1" si="22"/>
        <v>11875</v>
      </c>
      <c r="BX24" s="90">
        <f t="shared" ca="1" si="23"/>
        <v>189995</v>
      </c>
      <c r="BY24" s="142">
        <f t="shared" ca="1" si="24"/>
        <v>0.47369667622832179</v>
      </c>
      <c r="BZ24" s="142">
        <f t="shared" ca="1" si="25"/>
        <v>0.11505565935945683</v>
      </c>
      <c r="CA24" s="142">
        <f t="shared" ca="1" si="26"/>
        <v>0.27453354035632516</v>
      </c>
      <c r="CB24" s="142">
        <f t="shared" ca="1" si="27"/>
        <v>2.1579515250401325E-2</v>
      </c>
      <c r="CC24" s="142">
        <f t="shared" ca="1" si="28"/>
        <v>5.263296402536909E-3</v>
      </c>
      <c r="CD24" s="142">
        <f t="shared" ca="1" si="29"/>
        <v>4.7369667622832179E-2</v>
      </c>
      <c r="CE24" s="142">
        <f t="shared" ca="1" si="30"/>
        <v>6.2501644780125792E-2</v>
      </c>
      <c r="CG24" s="128">
        <f t="shared" si="31"/>
        <v>20</v>
      </c>
      <c r="CH24" s="90">
        <f ca="1">INDEX(角色升级!$A:$A,MATCH(玩家节奏1!$BX24,角色升级!$J:$J,1))</f>
        <v>137</v>
      </c>
      <c r="CI24" s="90">
        <f ca="1">INDEX(角色升级!$O:$O,MATCH(玩家节奏1!$BX24,角色升级!$J:$J,1))</f>
        <v>1652.91535</v>
      </c>
      <c r="CJ24" s="90">
        <f>INDEX(关卡对比!$J:$J,MATCH(玩家节奏1!N24,关卡对比!$A:$A,0))</f>
        <v>1900</v>
      </c>
      <c r="CK24" s="147">
        <f t="shared" ca="1" si="32"/>
        <v>1.1494841523493626</v>
      </c>
      <c r="CL24" s="128">
        <f ca="1">INDEX(角色升级!$P:$P,MATCH(玩家节奏1!$CH24,角色升级!$A:$A,0))</f>
        <v>400</v>
      </c>
      <c r="CM24" s="90">
        <f ca="1">INDEX(角色升级!Q:Q,MATCH(玩家节奏1!$CH24,角色升级!$A:$A,0))</f>
        <v>0</v>
      </c>
      <c r="CO24" s="128">
        <f t="shared" si="33"/>
        <v>746</v>
      </c>
      <c r="CP24" s="90">
        <f t="shared" si="34"/>
        <v>1151</v>
      </c>
      <c r="CQ24" s="90">
        <f t="shared" si="35"/>
        <v>1752</v>
      </c>
      <c r="CR24" s="90">
        <f t="shared" ca="1" si="36"/>
        <v>1795</v>
      </c>
      <c r="CS24" s="90">
        <f t="shared" ca="1" si="37"/>
        <v>5444</v>
      </c>
      <c r="CT24" s="142">
        <f t="shared" ca="1" si="38"/>
        <v>0.13703159441587068</v>
      </c>
      <c r="CU24" s="142">
        <f t="shared" ca="1" si="39"/>
        <v>0.21142542248346805</v>
      </c>
      <c r="CV24" s="142">
        <f t="shared" ca="1" si="40"/>
        <v>0.32182218956649522</v>
      </c>
      <c r="CW24" s="142">
        <f t="shared" ca="1" si="41"/>
        <v>0.32972079353416606</v>
      </c>
      <c r="CY24" s="128">
        <f t="shared" si="42"/>
        <v>374</v>
      </c>
      <c r="CZ24" s="90">
        <f t="shared" si="43"/>
        <v>546</v>
      </c>
      <c r="DA24" s="90">
        <f t="shared" si="44"/>
        <v>536</v>
      </c>
      <c r="DB24" s="90">
        <f t="shared" ca="1" si="66"/>
        <v>570.75</v>
      </c>
      <c r="DC24" s="90">
        <f t="shared" ca="1" si="45"/>
        <v>2026.75</v>
      </c>
      <c r="DD24" s="142">
        <f t="shared" ca="1" si="46"/>
        <v>0.18453188602442333</v>
      </c>
      <c r="DE24" s="142">
        <f t="shared" ca="1" si="47"/>
        <v>0.26939681756506723</v>
      </c>
      <c r="DF24" s="142">
        <f t="shared" ca="1" si="48"/>
        <v>0.26446280991735538</v>
      </c>
      <c r="DG24" s="142">
        <f t="shared" ca="1" si="49"/>
        <v>0.28160848649315406</v>
      </c>
      <c r="DI24" s="128">
        <f t="shared" si="50"/>
        <v>123</v>
      </c>
      <c r="DJ24" s="90">
        <f t="shared" si="51"/>
        <v>172</v>
      </c>
      <c r="DK24" s="90">
        <f t="shared" si="52"/>
        <v>104</v>
      </c>
      <c r="DL24" s="90">
        <f t="shared" ca="1" si="53"/>
        <v>71.75</v>
      </c>
      <c r="DM24" s="90">
        <f t="shared" ca="1" si="54"/>
        <v>470.75</v>
      </c>
      <c r="DN24" s="142">
        <f t="shared" ca="1" si="55"/>
        <v>0.26128518321826871</v>
      </c>
      <c r="DO24" s="142">
        <f t="shared" ca="1" si="56"/>
        <v>0.36537440254912373</v>
      </c>
      <c r="DP24" s="142">
        <f t="shared" ca="1" si="57"/>
        <v>0.22092405735528411</v>
      </c>
      <c r="DQ24" s="142">
        <f t="shared" ca="1" si="58"/>
        <v>0.15241635687732341</v>
      </c>
      <c r="DS24" s="128">
        <f t="shared" ca="1" si="59"/>
        <v>5444</v>
      </c>
      <c r="DT24" s="90">
        <f t="shared" ca="1" si="60"/>
        <v>2026.75</v>
      </c>
      <c r="DU24" s="90">
        <f t="shared" ca="1" si="61"/>
        <v>470.75</v>
      </c>
      <c r="DV24" s="90">
        <f t="shared" si="62"/>
        <v>1</v>
      </c>
      <c r="DW24" s="90">
        <f ca="1">_xlfn.IFNA(INDEX(武器升级消耗!$H:$H,MATCH(玩家节奏1!DS24/玩家节奏1!DS$5,武器升级消耗!M:M,1)),0)</f>
        <v>9</v>
      </c>
      <c r="DX24" s="90">
        <f ca="1">_xlfn.IFNA(INDEX(武器升级消耗!$H:$H,MATCH(玩家节奏1!DT24/玩家节奏1!DT$5,武器升级消耗!N:N,1)),0)</f>
        <v>6</v>
      </c>
      <c r="DY24" s="90">
        <f ca="1">_xlfn.IFNA(INDEX(武器升级消耗!$H:$H,MATCH(玩家节奏1!DU24/玩家节奏1!DU$5,武器升级消耗!O:O,1)),0)</f>
        <v>3</v>
      </c>
      <c r="DZ24" s="90">
        <f>_xlfn.IFNA(INDEX(武器升级消耗!$H:$H,MATCH(玩家节奏1!DV24/玩家节奏1!DV$5,武器升级消耗!P:P,1)),0)</f>
        <v>1</v>
      </c>
      <c r="EA24" s="90">
        <f ca="1">_xlfn.IFNA(INDEX(武器升级消耗!$Q:$Q,MATCH(玩家节奏1!DW24,武器升级消耗!$H:$H,0))*2*EA$4,0)</f>
        <v>1.56</v>
      </c>
      <c r="EB24" s="90">
        <f ca="1">_xlfn.IFNA(INDEX(武器升级消耗!$Q:$Q,MATCH(玩家节奏1!DX24,武器升级消耗!$H:$H,0))*2*EB$4,0)</f>
        <v>1.5</v>
      </c>
      <c r="EC24" s="90">
        <f ca="1">_xlfn.IFNA(INDEX(武器升级消耗!$Q:$Q,MATCH(玩家节奏1!DY24,武器升级消耗!$H:$H,0))*2*EC$4,1)</f>
        <v>1.54</v>
      </c>
      <c r="ED24" s="90">
        <f>_xlfn.IFNA(INDEX(武器升级消耗!$Q:$Q,MATCH(玩家节奏1!DZ24,武器升级消耗!$H:$H,0))*2*ED$4,0)</f>
        <v>1.5</v>
      </c>
      <c r="EF24" s="128"/>
      <c r="EG24" s="90"/>
      <c r="EH24" s="90"/>
      <c r="EI24" s="90"/>
      <c r="EJ24" s="90"/>
      <c r="EK24" s="90"/>
      <c r="EL24" s="90"/>
      <c r="EM24" s="90"/>
      <c r="EO24" s="128"/>
      <c r="EP24" s="90"/>
      <c r="EQ24" s="90"/>
      <c r="ER24" s="90"/>
      <c r="ES24" s="90"/>
      <c r="ET24" s="90"/>
      <c r="EU24" s="90"/>
      <c r="EV24" s="90"/>
      <c r="EW24" s="90"/>
      <c r="EX24" s="90"/>
      <c r="EY24" s="90"/>
      <c r="EZ24" s="90"/>
      <c r="FA24" s="90"/>
      <c r="FB24" s="90"/>
      <c r="FD24" s="90">
        <f t="shared" ca="1" si="63"/>
        <v>1.54</v>
      </c>
      <c r="FE24" s="90"/>
      <c r="FF24" s="90"/>
      <c r="FG24" s="90">
        <f t="shared" ca="1" si="64"/>
        <v>0</v>
      </c>
    </row>
    <row r="25" spans="1:163" x14ac:dyDescent="0.25">
      <c r="A25" s="123">
        <v>19</v>
      </c>
      <c r="B25" s="123">
        <f>INDEX(关卡对比!$Y:$Y,MATCH(关卡对比!Z25,关卡对比!$AA:$AA,1))</f>
        <v>14</v>
      </c>
      <c r="C25" s="124">
        <f>INDEX(关卡对比!$Y:$Y,MATCH(关卡对比!Z25,关卡对比!$AB:$AB,1))</f>
        <v>10</v>
      </c>
      <c r="D25" s="125">
        <f t="shared" si="70"/>
        <v>98.5</v>
      </c>
      <c r="E25" s="125">
        <v>3</v>
      </c>
      <c r="F25" s="128">
        <v>6</v>
      </c>
      <c r="G25" s="90">
        <v>0</v>
      </c>
      <c r="H25" s="90">
        <v>1</v>
      </c>
      <c r="J25" s="128">
        <v>19</v>
      </c>
      <c r="K25" s="90">
        <f t="shared" si="10"/>
        <v>5</v>
      </c>
      <c r="L25" s="90">
        <f t="shared" si="11"/>
        <v>1</v>
      </c>
      <c r="M25" s="90">
        <f t="shared" si="12"/>
        <v>1</v>
      </c>
      <c r="N25" s="140">
        <f>INDEX($A:$A,MATCH(SUM($K$7:K25),$D:$D,1))</f>
        <v>21</v>
      </c>
      <c r="O25" s="140">
        <v>0</v>
      </c>
      <c r="P25" s="141">
        <v>0</v>
      </c>
      <c r="Q25" s="126">
        <f>_xlfn.MAXIFS(关卡产出!X:X,关卡产出!$A:$A,玩家节奏1!$N$6,关卡产出!$B:$B,玩家节奏1!$N25)+_xlfn.MAXIFS(关卡产出!X:X,关卡产出!$A:$A,玩家节奏1!$O$6,关卡产出!$B:$B,玩家节奏1!$O25)+_xlfn.MAXIFS(关卡产出!X:X,关卡产出!$A:$A,玩家节奏1!$P$6,关卡产出!$B:$B,玩家节奏1!$P25)</f>
        <v>2700</v>
      </c>
      <c r="R25" s="90">
        <f>_xlfn.MAXIFS(关卡产出!Y:Y,关卡产出!$A:$A,玩家节奏1!$N$6,关卡产出!$B:$B,玩家节奏1!$N25)+_xlfn.MAXIFS(关卡产出!Y:Y,关卡产出!$A:$A,玩家节奏1!$O$6,关卡产出!$B:$B,玩家节奏1!$O25)+_xlfn.MAXIFS(关卡产出!Y:Y,关卡产出!$A:$A,玩家节奏1!$P$6,关卡产出!$B:$B,玩家节奏1!$P25)</f>
        <v>100300</v>
      </c>
      <c r="S25" s="90">
        <f>_xlfn.MAXIFS(关卡产出!Z:Z,关卡产出!$A:$A,玩家节奏1!$N$6,关卡产出!$B:$B,玩家节奏1!$N25)+_xlfn.MAXIFS(关卡产出!Z:Z,关卡产出!$A:$A,玩家节奏1!$O$6,关卡产出!$B:$B,玩家节奏1!$O25)+_xlfn.MAXIFS(关卡产出!Z:Z,关卡产出!$A:$A,玩家节奏1!$P$6,关卡产出!$B:$B,玩家节奏1!$P25)</f>
        <v>822</v>
      </c>
      <c r="T25" s="90">
        <f>_xlfn.MAXIFS(关卡产出!AA:AA,关卡产出!$A:$A,玩家节奏1!$N$6,关卡产出!$B:$B,玩家节奏1!$N25)+_xlfn.MAXIFS(关卡产出!AA:AA,关卡产出!$A:$A,玩家节奏1!$O$6,关卡产出!$B:$B,玩家节奏1!$O25)+_xlfn.MAXIFS(关卡产出!AA:AA,关卡产出!$A:$A,玩家节奏1!$P$6,关卡产出!$B:$B,玩家节奏1!$P25)</f>
        <v>412</v>
      </c>
      <c r="U25" s="90">
        <f>_xlfn.MAXIFS(关卡产出!AB:AB,关卡产出!$A:$A,玩家节奏1!$N$6,关卡产出!$B:$B,玩家节奏1!$N25)+_xlfn.MAXIFS(关卡产出!AB:AB,关卡产出!$A:$A,玩家节奏1!$O$6,关卡产出!$B:$B,玩家节奏1!$O25)+_xlfn.MAXIFS(关卡产出!AB:AB,关卡产出!$A:$A,玩家节奏1!$P$6,关卡产出!$B:$B,玩家节奏1!$P25)</f>
        <v>139</v>
      </c>
      <c r="V25" s="130">
        <f>_xlfn.MAXIFS(关卡产出!AC:AC,关卡产出!$A:$A,玩家节奏1!$N$6,关卡产出!$B:$B,玩家节奏1!$N25)+_xlfn.MAXIFS(关卡产出!AC:AC,关卡产出!$A:$A,玩家节奏1!$O$6,关卡产出!$B:$B,玩家节奏1!$O25)+_xlfn.MAXIFS(关卡产出!AC:AC,关卡产出!$A:$A,玩家节奏1!$P$6,关卡产出!$B:$B,玩家节奏1!$P25)</f>
        <v>126</v>
      </c>
      <c r="W25" s="126">
        <f>INDEX(关卡产出!C$8:C$207,MATCH(玩家节奏1!$N25,关卡产出!$B$8:$B$207,0))*$K25</f>
        <v>75</v>
      </c>
      <c r="X25" s="126">
        <f>INDEX(关卡产出!D$8:D$207,MATCH(玩家节奏1!$N25,关卡产出!$B$8:$B$207,0))*$K25</f>
        <v>35</v>
      </c>
      <c r="Y25" s="126">
        <f>INDEX(关卡产出!E$8:E$207,MATCH(玩家节奏1!$N25,关卡产出!$B$8:$B$207,0))*$K25</f>
        <v>15</v>
      </c>
      <c r="Z25" s="144">
        <f>INDEX(关卡产出!F$8:F$207,MATCH(玩家节奏1!$N25,关卡产出!$B$8:$B$207,0))*$K25</f>
        <v>1350</v>
      </c>
      <c r="AA25" s="126">
        <f>SUM(W$7:W25)</f>
        <v>1226</v>
      </c>
      <c r="AB25" s="126">
        <f>SUM(X$7:X25)</f>
        <v>581</v>
      </c>
      <c r="AC25" s="126">
        <f>SUM(Y$7:Y25)</f>
        <v>187</v>
      </c>
      <c r="AD25" s="126">
        <f>SUM(Z$7:Z25)</f>
        <v>23210</v>
      </c>
      <c r="AE25" s="126">
        <f>INDEX(图鉴!AQ:AQ,MATCH($N25,图鉴!$S:$S,0))*8</f>
        <v>136</v>
      </c>
      <c r="AF25" s="90">
        <f>INDEX(图鉴!AR:AR,MATCH($N25,图鉴!$S:$S,0))*8</f>
        <v>48</v>
      </c>
      <c r="AG25" s="90">
        <f>INDEX(图鉴!AS:AS,MATCH($N25,图鉴!$S:$S,0))*8</f>
        <v>8</v>
      </c>
      <c r="AH25" s="129">
        <f ca="1">INDEX(图鉴!AT:AT,MATCH($N25,图鉴!$S:$S,0))*8</f>
        <v>4128</v>
      </c>
      <c r="AI25" s="128">
        <f>SUM($AE$7:AE25)</f>
        <v>1888</v>
      </c>
      <c r="AJ25" s="90">
        <f>SUM(AF$7:AF25)</f>
        <v>584</v>
      </c>
      <c r="AK25" s="90">
        <f>SUM(AG$7:AG25)</f>
        <v>112</v>
      </c>
      <c r="AL25" s="130">
        <f ca="1">SUM(AH$7:AH25)</f>
        <v>56288</v>
      </c>
      <c r="AM25" s="133">
        <f>IF(M25=0,0,INDEX(关卡产出!$AU$11:$AU$15,MATCH(玩家节奏1!N25,关卡产出!$AW$11:$AW$15,1))*M25)</f>
        <v>4100</v>
      </c>
      <c r="AN25" s="126">
        <f>IF(L25=0,0,$L25*关卡产出!AU$21)</f>
        <v>1000</v>
      </c>
      <c r="AO25" s="90">
        <f>IF(M25=0,0,$L25*关卡产出!AV$21)</f>
        <v>50</v>
      </c>
      <c r="AP25" s="129">
        <f>IF(N25=0,0,$L25*关卡产出!AW$21)</f>
        <v>1</v>
      </c>
      <c r="AQ25" s="138">
        <f>SUM(AN$7:AN25)</f>
        <v>2000</v>
      </c>
      <c r="AR25" s="126">
        <f>SUM(AO$7:AO25)</f>
        <v>100</v>
      </c>
      <c r="AS25" s="129">
        <f>SUM(AP$7:AP25)</f>
        <v>2</v>
      </c>
      <c r="AT25" s="128">
        <v>500</v>
      </c>
      <c r="AU25" s="129">
        <v>100</v>
      </c>
      <c r="AV25" s="128">
        <f>SUM(AT$7:AT25)</f>
        <v>9500</v>
      </c>
      <c r="AW25" s="90">
        <f>SUM(AU$7:AU25)</f>
        <v>1900</v>
      </c>
      <c r="AY25" s="128">
        <f t="shared" si="13"/>
        <v>2700</v>
      </c>
      <c r="AZ25" s="90">
        <f t="shared" si="14"/>
        <v>100</v>
      </c>
      <c r="BA25" s="90">
        <f t="shared" si="15"/>
        <v>1900</v>
      </c>
      <c r="BB25" s="90">
        <f t="shared" ca="1" si="65"/>
        <v>400</v>
      </c>
      <c r="BC25" s="90">
        <f t="shared" ca="1" si="68"/>
        <v>5100</v>
      </c>
      <c r="BD25" s="90"/>
      <c r="BE25" s="90">
        <f t="shared" ca="1" si="17"/>
        <v>5100</v>
      </c>
      <c r="BF25" s="142">
        <f t="shared" ca="1" si="18"/>
        <v>0.52941176470588236</v>
      </c>
      <c r="BG25" s="142">
        <f t="shared" ca="1" si="19"/>
        <v>1.9607843137254902E-2</v>
      </c>
      <c r="BH25" s="142">
        <f t="shared" ca="1" si="20"/>
        <v>0.37254901960784315</v>
      </c>
      <c r="BI25" s="142">
        <f t="shared" ca="1" si="21"/>
        <v>7.8431372549019607E-2</v>
      </c>
      <c r="BJ25" s="143"/>
      <c r="BK25" s="128">
        <f ca="1">INDEX(商城宝箱!$L:$L,MATCH(BC25,商城宝箱!$N:$N,1))</f>
        <v>3</v>
      </c>
      <c r="BL25" s="90">
        <f ca="1">_xlfn.IFNA(INDEX(商城宝箱!T:T,MATCH(玩家节奏1!$BK25,商城宝箱!$L:$L,0)),0)+($BC25-INDEX(商城宝箱!$N:$N,MATCH(玩家节奏1!$BK25,商城宝箱!$L:$L,0)))/$BK$5*INDEX(商城宝箱!E$23:E$42,MATCH(玩家节奏1!$BK25+1,商城宝箱!$C$23:$C$42,0))</f>
        <v>12750</v>
      </c>
      <c r="BM25" s="90">
        <f ca="1">_xlfn.IFNA(INDEX(商城宝箱!U:U,MATCH(玩家节奏1!$BK25,商城宝箱!$L:$L,0)),0)+($BC25-INDEX(商城宝箱!$N:$N,MATCH(玩家节奏1!$BK25,商城宝箱!$L:$L,0)))/$BK$5*INDEX(商城宝箱!F$23:F$42,MATCH(玩家节奏1!$BK25+1,商城宝箱!$C$23:$C$42,0))</f>
        <v>1987.5</v>
      </c>
      <c r="BN25" s="90">
        <f ca="1">_xlfn.IFNA(INDEX(商城宝箱!V:V,MATCH(玩家节奏1!$BK25,商城宝箱!$L:$L,0)),0)+($BC25-INDEX(商城宝箱!$N:$N,MATCH(玩家节奏1!$BK25,商城宝箱!$L:$L,0)))/$BK$5*INDEX(商城宝箱!G$23:G$42,MATCH(玩家节奏1!$BK25+1,商城宝箱!$C$23:$C$42,0))</f>
        <v>649.5</v>
      </c>
      <c r="BO25" s="90">
        <f ca="1">_xlfn.IFNA(INDEX(商城宝箱!W:W,MATCH(玩家节奏1!$BK25,商城宝箱!$L:$L,0)),0)+($BC25-INDEX(商城宝箱!$N:$N,MATCH(玩家节奏1!$BK25,商城宝箱!$L:$L,0)))/$BK$5*INDEX(商城宝箱!H$23:H$42,MATCH(玩家节奏1!$BK25+1,商城宝箱!$C$23:$C$42,0))</f>
        <v>84</v>
      </c>
      <c r="BQ25" s="128">
        <f t="shared" si="0"/>
        <v>100300</v>
      </c>
      <c r="BR25" s="90">
        <f t="shared" si="1"/>
        <v>23210</v>
      </c>
      <c r="BS25" s="90">
        <f t="shared" ca="1" si="2"/>
        <v>56288</v>
      </c>
      <c r="BT25" s="90">
        <f t="shared" si="3"/>
        <v>4100</v>
      </c>
      <c r="BU25" s="90">
        <f t="shared" si="4"/>
        <v>2000</v>
      </c>
      <c r="BV25" s="90">
        <f t="shared" si="5"/>
        <v>9500</v>
      </c>
      <c r="BW25" s="90">
        <f t="shared" ca="1" si="22"/>
        <v>12750</v>
      </c>
      <c r="BX25" s="90">
        <f t="shared" ca="1" si="23"/>
        <v>208148</v>
      </c>
      <c r="BY25" s="142">
        <f t="shared" ca="1" si="24"/>
        <v>0.48186867036916042</v>
      </c>
      <c r="BZ25" s="142">
        <f t="shared" ca="1" si="25"/>
        <v>0.1115071968022753</v>
      </c>
      <c r="CA25" s="142">
        <f t="shared" ca="1" si="26"/>
        <v>0.27042296827257528</v>
      </c>
      <c r="CB25" s="142">
        <f t="shared" ca="1" si="27"/>
        <v>1.9697522916386417E-2</v>
      </c>
      <c r="CC25" s="142">
        <f t="shared" ca="1" si="28"/>
        <v>9.6085477640909349E-3</v>
      </c>
      <c r="CD25" s="142">
        <f t="shared" ca="1" si="29"/>
        <v>4.564060187943194E-2</v>
      </c>
      <c r="CE25" s="142">
        <f t="shared" ca="1" si="30"/>
        <v>6.1254491996079713E-2</v>
      </c>
      <c r="CG25" s="128">
        <f t="shared" si="31"/>
        <v>21</v>
      </c>
      <c r="CH25" s="90">
        <f ca="1">INDEX(角色升级!$A:$A,MATCH(玩家节奏1!$BX25,角色升级!$J:$J,1))</f>
        <v>147</v>
      </c>
      <c r="CI25" s="90">
        <f ca="1">INDEX(角色升级!$O:$O,MATCH(玩家节奏1!$BX25,角色升级!$J:$J,1))</f>
        <v>1663.3468499999997</v>
      </c>
      <c r="CJ25" s="90">
        <f>INDEX(关卡对比!$J:$J,MATCH(玩家节奏1!N25,关卡对比!$A:$A,0))</f>
        <v>2100</v>
      </c>
      <c r="CK25" s="147">
        <f t="shared" ca="1" si="32"/>
        <v>1.2625147905862211</v>
      </c>
      <c r="CL25" s="128">
        <f ca="1">INDEX(角色升级!$P:$P,MATCH(玩家节奏1!$CH25,角色升级!$A:$A,0))</f>
        <v>400</v>
      </c>
      <c r="CM25" s="90">
        <f ca="1">INDEX(角色升级!Q:Q,MATCH(玩家节奏1!$CH25,角色升级!$A:$A,0))</f>
        <v>0.1</v>
      </c>
      <c r="CO25" s="128">
        <f t="shared" si="33"/>
        <v>822</v>
      </c>
      <c r="CP25" s="90">
        <f t="shared" si="34"/>
        <v>1226</v>
      </c>
      <c r="CQ25" s="90">
        <f t="shared" si="35"/>
        <v>1888</v>
      </c>
      <c r="CR25" s="90">
        <f t="shared" ca="1" si="36"/>
        <v>1987.5</v>
      </c>
      <c r="CS25" s="90">
        <f t="shared" ca="1" si="37"/>
        <v>5923.5</v>
      </c>
      <c r="CT25" s="142">
        <f t="shared" ca="1" si="38"/>
        <v>0.13876930868574322</v>
      </c>
      <c r="CU25" s="142">
        <f t="shared" ca="1" si="39"/>
        <v>0.20697222925635181</v>
      </c>
      <c r="CV25" s="142">
        <f t="shared" ca="1" si="40"/>
        <v>0.31873048029036888</v>
      </c>
      <c r="CW25" s="142">
        <f t="shared" ca="1" si="41"/>
        <v>0.33552798176753607</v>
      </c>
      <c r="CY25" s="128">
        <f t="shared" si="42"/>
        <v>412</v>
      </c>
      <c r="CZ25" s="90">
        <f t="shared" si="43"/>
        <v>581</v>
      </c>
      <c r="DA25" s="90">
        <f t="shared" si="44"/>
        <v>584</v>
      </c>
      <c r="DB25" s="90">
        <f t="shared" ca="1" si="66"/>
        <v>649.5</v>
      </c>
      <c r="DC25" s="90">
        <f t="shared" ca="1" si="45"/>
        <v>2226.5</v>
      </c>
      <c r="DD25" s="142">
        <f t="shared" ca="1" si="46"/>
        <v>0.18504379070289692</v>
      </c>
      <c r="DE25" s="142">
        <f t="shared" ca="1" si="47"/>
        <v>0.26094767572423083</v>
      </c>
      <c r="DF25" s="142">
        <f t="shared" ca="1" si="48"/>
        <v>0.26229508196721313</v>
      </c>
      <c r="DG25" s="142">
        <f t="shared" ca="1" si="49"/>
        <v>0.29171345160565909</v>
      </c>
      <c r="DI25" s="128">
        <f t="shared" si="50"/>
        <v>139</v>
      </c>
      <c r="DJ25" s="90">
        <f t="shared" si="51"/>
        <v>187</v>
      </c>
      <c r="DK25" s="90">
        <f t="shared" si="52"/>
        <v>112</v>
      </c>
      <c r="DL25" s="90">
        <f t="shared" ca="1" si="53"/>
        <v>84</v>
      </c>
      <c r="DM25" s="90">
        <f t="shared" ca="1" si="54"/>
        <v>522</v>
      </c>
      <c r="DN25" s="142">
        <f t="shared" ca="1" si="55"/>
        <v>0.26628352490421459</v>
      </c>
      <c r="DO25" s="142">
        <f t="shared" ca="1" si="56"/>
        <v>0.35823754789272033</v>
      </c>
      <c r="DP25" s="142">
        <f t="shared" ca="1" si="57"/>
        <v>0.21455938697318008</v>
      </c>
      <c r="DQ25" s="142">
        <f t="shared" ca="1" si="58"/>
        <v>0.16091954022988506</v>
      </c>
      <c r="DS25" s="128">
        <f t="shared" ca="1" si="59"/>
        <v>5923.5</v>
      </c>
      <c r="DT25" s="90">
        <f t="shared" ca="1" si="60"/>
        <v>2226.5</v>
      </c>
      <c r="DU25" s="90">
        <f t="shared" ca="1" si="61"/>
        <v>522</v>
      </c>
      <c r="DV25" s="90">
        <f t="shared" si="62"/>
        <v>2</v>
      </c>
      <c r="DW25" s="90">
        <f ca="1">_xlfn.IFNA(INDEX(武器升级消耗!$H:$H,MATCH(玩家节奏1!DS25/玩家节奏1!DS$5,武器升级消耗!M:M,1)),0)</f>
        <v>9</v>
      </c>
      <c r="DX25" s="90">
        <f ca="1">_xlfn.IFNA(INDEX(武器升级消耗!$H:$H,MATCH(玩家节奏1!DT25/玩家节奏1!DT$5,武器升级消耗!N:N,1)),0)</f>
        <v>6</v>
      </c>
      <c r="DY25" s="90">
        <f ca="1">_xlfn.IFNA(INDEX(武器升级消耗!$H:$H,MATCH(玩家节奏1!DU25/玩家节奏1!DU$5,武器升级消耗!O:O,1)),0)</f>
        <v>4</v>
      </c>
      <c r="DZ25" s="90">
        <f>_xlfn.IFNA(INDEX(武器升级消耗!$H:$H,MATCH(玩家节奏1!DV25/玩家节奏1!DV$5,武器升级消耗!P:P,1)),0)</f>
        <v>1</v>
      </c>
      <c r="EA25" s="90">
        <f ca="1">_xlfn.IFNA(INDEX(武器升级消耗!$Q:$Q,MATCH(玩家节奏1!DW25,武器升级消耗!$H:$H,0))*2*EA$4,0)</f>
        <v>1.56</v>
      </c>
      <c r="EB25" s="90">
        <f ca="1">_xlfn.IFNA(INDEX(武器升级消耗!$Q:$Q,MATCH(玩家节奏1!DX25,武器升级消耗!$H:$H,0))*2*EB$4,0)</f>
        <v>1.5</v>
      </c>
      <c r="EC25" s="90">
        <f ca="1">_xlfn.IFNA(INDEX(武器升级消耗!$Q:$Q,MATCH(玩家节奏1!DY25,武器升级消耗!$H:$H,0))*2*EC$4,1)</f>
        <v>1.7600000000000002</v>
      </c>
      <c r="ED25" s="90">
        <f>_xlfn.IFNA(INDEX(武器升级消耗!$Q:$Q,MATCH(玩家节奏1!DZ25,武器升级消耗!$H:$H,0))*2*ED$4,0)</f>
        <v>1.5</v>
      </c>
      <c r="EF25" s="128"/>
      <c r="EG25" s="90"/>
      <c r="EH25" s="90"/>
      <c r="EI25" s="90"/>
      <c r="EJ25" s="90"/>
      <c r="EK25" s="90"/>
      <c r="EL25" s="90"/>
      <c r="EM25" s="90"/>
      <c r="EO25" s="128"/>
      <c r="EP25" s="90"/>
      <c r="EQ25" s="90"/>
      <c r="ER25" s="90"/>
      <c r="ES25" s="90"/>
      <c r="ET25" s="90"/>
      <c r="EU25" s="90"/>
      <c r="EV25" s="90"/>
      <c r="EW25" s="90"/>
      <c r="EX25" s="90"/>
      <c r="EY25" s="90"/>
      <c r="EZ25" s="90"/>
      <c r="FA25" s="90"/>
      <c r="FB25" s="90"/>
      <c r="FD25" s="90">
        <f t="shared" ca="1" si="63"/>
        <v>1.7600000000000002</v>
      </c>
      <c r="FE25" s="90"/>
      <c r="FF25" s="90"/>
      <c r="FG25" s="90">
        <f t="shared" ca="1" si="64"/>
        <v>0</v>
      </c>
    </row>
    <row r="26" spans="1:163" x14ac:dyDescent="0.25">
      <c r="A26" s="123">
        <v>20</v>
      </c>
      <c r="B26" s="123">
        <f>INDEX(关卡对比!$Y:$Y,MATCH(关卡对比!Z26,关卡对比!$AA:$AA,1))</f>
        <v>15</v>
      </c>
      <c r="C26" s="124">
        <f>INDEX(关卡对比!$Y:$Y,MATCH(关卡对比!Z26,关卡对比!$AB:$AB,1))</f>
        <v>11</v>
      </c>
      <c r="D26" s="125">
        <f t="shared" si="70"/>
        <v>107.5</v>
      </c>
      <c r="E26" s="125">
        <v>3</v>
      </c>
      <c r="F26" s="128">
        <v>5</v>
      </c>
      <c r="G26" s="90">
        <v>1</v>
      </c>
      <c r="H26" s="90">
        <v>1</v>
      </c>
      <c r="J26" s="128">
        <v>20</v>
      </c>
      <c r="K26" s="90">
        <f t="shared" si="10"/>
        <v>5</v>
      </c>
      <c r="L26" s="90">
        <f t="shared" si="11"/>
        <v>1</v>
      </c>
      <c r="M26" s="90">
        <f t="shared" si="12"/>
        <v>1</v>
      </c>
      <c r="N26" s="140">
        <f>INDEX($A:$A,MATCH(SUM($K$7:K26),$D:$D,1))</f>
        <v>21</v>
      </c>
      <c r="O26" s="140">
        <v>0</v>
      </c>
      <c r="P26" s="141">
        <v>0</v>
      </c>
      <c r="Q26" s="126">
        <f>_xlfn.MAXIFS(关卡产出!X:X,关卡产出!$A:$A,玩家节奏1!$N$6,关卡产出!$B:$B,玩家节奏1!$N26)+_xlfn.MAXIFS(关卡产出!X:X,关卡产出!$A:$A,玩家节奏1!$O$6,关卡产出!$B:$B,玩家节奏1!$O26)+_xlfn.MAXIFS(关卡产出!X:X,关卡产出!$A:$A,玩家节奏1!$P$6,关卡产出!$B:$B,玩家节奏1!$P26)</f>
        <v>2700</v>
      </c>
      <c r="R26" s="90">
        <f>_xlfn.MAXIFS(关卡产出!Y:Y,关卡产出!$A:$A,玩家节奏1!$N$6,关卡产出!$B:$B,玩家节奏1!$N26)+_xlfn.MAXIFS(关卡产出!Y:Y,关卡产出!$A:$A,玩家节奏1!$O$6,关卡产出!$B:$B,玩家节奏1!$O26)+_xlfn.MAXIFS(关卡产出!Y:Y,关卡产出!$A:$A,玩家节奏1!$P$6,关卡产出!$B:$B,玩家节奏1!$P26)</f>
        <v>100300</v>
      </c>
      <c r="S26" s="90">
        <f>_xlfn.MAXIFS(关卡产出!Z:Z,关卡产出!$A:$A,玩家节奏1!$N$6,关卡产出!$B:$B,玩家节奏1!$N26)+_xlfn.MAXIFS(关卡产出!Z:Z,关卡产出!$A:$A,玩家节奏1!$O$6,关卡产出!$B:$B,玩家节奏1!$O26)+_xlfn.MAXIFS(关卡产出!Z:Z,关卡产出!$A:$A,玩家节奏1!$P$6,关卡产出!$B:$B,玩家节奏1!$P26)</f>
        <v>822</v>
      </c>
      <c r="T26" s="90">
        <f>_xlfn.MAXIFS(关卡产出!AA:AA,关卡产出!$A:$A,玩家节奏1!$N$6,关卡产出!$B:$B,玩家节奏1!$N26)+_xlfn.MAXIFS(关卡产出!AA:AA,关卡产出!$A:$A,玩家节奏1!$O$6,关卡产出!$B:$B,玩家节奏1!$O26)+_xlfn.MAXIFS(关卡产出!AA:AA,关卡产出!$A:$A,玩家节奏1!$P$6,关卡产出!$B:$B,玩家节奏1!$P26)</f>
        <v>412</v>
      </c>
      <c r="U26" s="90">
        <f>_xlfn.MAXIFS(关卡产出!AB:AB,关卡产出!$A:$A,玩家节奏1!$N$6,关卡产出!$B:$B,玩家节奏1!$N26)+_xlfn.MAXIFS(关卡产出!AB:AB,关卡产出!$A:$A,玩家节奏1!$O$6,关卡产出!$B:$B,玩家节奏1!$O26)+_xlfn.MAXIFS(关卡产出!AB:AB,关卡产出!$A:$A,玩家节奏1!$P$6,关卡产出!$B:$B,玩家节奏1!$P26)</f>
        <v>139</v>
      </c>
      <c r="V26" s="130">
        <f>_xlfn.MAXIFS(关卡产出!AC:AC,关卡产出!$A:$A,玩家节奏1!$N$6,关卡产出!$B:$B,玩家节奏1!$N26)+_xlfn.MAXIFS(关卡产出!AC:AC,关卡产出!$A:$A,玩家节奏1!$O$6,关卡产出!$B:$B,玩家节奏1!$O26)+_xlfn.MAXIFS(关卡产出!AC:AC,关卡产出!$A:$A,玩家节奏1!$P$6,关卡产出!$B:$B,玩家节奏1!$P26)</f>
        <v>126</v>
      </c>
      <c r="W26" s="126">
        <f>INDEX(关卡产出!C$8:C$207,MATCH(玩家节奏1!$N26,关卡产出!$B$8:$B$207,0))*$K26</f>
        <v>75</v>
      </c>
      <c r="X26" s="126">
        <f>INDEX(关卡产出!D$8:D$207,MATCH(玩家节奏1!$N26,关卡产出!$B$8:$B$207,0))*$K26</f>
        <v>35</v>
      </c>
      <c r="Y26" s="126">
        <f>INDEX(关卡产出!E$8:E$207,MATCH(玩家节奏1!$N26,关卡产出!$B$8:$B$207,0))*$K26</f>
        <v>15</v>
      </c>
      <c r="Z26" s="144">
        <f>INDEX(关卡产出!F$8:F$207,MATCH(玩家节奏1!$N26,关卡产出!$B$8:$B$207,0))*$K26</f>
        <v>1350</v>
      </c>
      <c r="AA26" s="126">
        <f>SUM(W$7:W26)</f>
        <v>1301</v>
      </c>
      <c r="AB26" s="126">
        <f>SUM(X$7:X26)</f>
        <v>616</v>
      </c>
      <c r="AC26" s="126">
        <f>SUM(Y$7:Y26)</f>
        <v>202</v>
      </c>
      <c r="AD26" s="126">
        <f>SUM(Z$7:Z26)</f>
        <v>24560</v>
      </c>
      <c r="AE26" s="126">
        <f>INDEX(图鉴!AQ:AQ,MATCH($N26,图鉴!$S:$S,0))*8</f>
        <v>136</v>
      </c>
      <c r="AF26" s="90">
        <f>INDEX(图鉴!AR:AR,MATCH($N26,图鉴!$S:$S,0))*8</f>
        <v>48</v>
      </c>
      <c r="AG26" s="90">
        <f>INDEX(图鉴!AS:AS,MATCH($N26,图鉴!$S:$S,0))*8</f>
        <v>8</v>
      </c>
      <c r="AH26" s="129">
        <f ca="1">INDEX(图鉴!AT:AT,MATCH($N26,图鉴!$S:$S,0))*8</f>
        <v>4128</v>
      </c>
      <c r="AI26" s="128">
        <f>SUM($AE$7:AE26)</f>
        <v>2024</v>
      </c>
      <c r="AJ26" s="90">
        <f>SUM(AF$7:AF26)</f>
        <v>632</v>
      </c>
      <c r="AK26" s="90">
        <f>SUM(AG$7:AG26)</f>
        <v>120</v>
      </c>
      <c r="AL26" s="130">
        <f ca="1">SUM(AH$7:AH26)</f>
        <v>60416</v>
      </c>
      <c r="AM26" s="133">
        <f>IF(M26=0,0,INDEX(关卡产出!$AU$11:$AU$15,MATCH(玩家节奏1!N26,关卡产出!$AW$11:$AW$15,1))*M26)</f>
        <v>4100</v>
      </c>
      <c r="AN26" s="126">
        <f>IF(L26=0,0,$L26*关卡产出!AU$21)</f>
        <v>1000</v>
      </c>
      <c r="AO26" s="90">
        <f>IF(M26=0,0,$L26*关卡产出!AV$21)</f>
        <v>50</v>
      </c>
      <c r="AP26" s="129">
        <f>IF(N26=0,0,$L26*关卡产出!AW$21)</f>
        <v>1</v>
      </c>
      <c r="AQ26" s="138">
        <f>SUM(AN$7:AN26)</f>
        <v>3000</v>
      </c>
      <c r="AR26" s="126">
        <f>SUM(AO$7:AO26)</f>
        <v>150</v>
      </c>
      <c r="AS26" s="129">
        <f>SUM(AP$7:AP26)</f>
        <v>3</v>
      </c>
      <c r="AT26" s="128">
        <v>500</v>
      </c>
      <c r="AU26" s="129">
        <v>100</v>
      </c>
      <c r="AV26" s="128">
        <f>SUM(AT$7:AT26)</f>
        <v>10000</v>
      </c>
      <c r="AW26" s="90">
        <f>SUM(AU$7:AU26)</f>
        <v>2000</v>
      </c>
      <c r="AY26" s="128">
        <f t="shared" si="13"/>
        <v>2700</v>
      </c>
      <c r="AZ26" s="90">
        <f t="shared" si="14"/>
        <v>150</v>
      </c>
      <c r="BA26" s="90">
        <f t="shared" si="15"/>
        <v>2000</v>
      </c>
      <c r="BB26" s="90">
        <f t="shared" ca="1" si="65"/>
        <v>400</v>
      </c>
      <c r="BC26" s="90">
        <f t="shared" ca="1" si="68"/>
        <v>5250</v>
      </c>
      <c r="BD26" s="90"/>
      <c r="BE26" s="90">
        <f t="shared" ca="1" si="17"/>
        <v>5250</v>
      </c>
      <c r="BF26" s="142">
        <f t="shared" ca="1" si="18"/>
        <v>0.51428571428571423</v>
      </c>
      <c r="BG26" s="142">
        <f t="shared" ca="1" si="19"/>
        <v>2.8571428571428571E-2</v>
      </c>
      <c r="BH26" s="142">
        <f t="shared" ca="1" si="20"/>
        <v>0.38095238095238093</v>
      </c>
      <c r="BI26" s="142">
        <f t="shared" ca="1" si="21"/>
        <v>7.6190476190476197E-2</v>
      </c>
      <c r="BJ26" s="143"/>
      <c r="BK26" s="128">
        <f ca="1">INDEX(商城宝箱!$L:$L,MATCH(BC26,商城宝箱!$N:$N,1))</f>
        <v>3</v>
      </c>
      <c r="BL26" s="90">
        <f ca="1">_xlfn.IFNA(INDEX(商城宝箱!T:T,MATCH(玩家节奏1!$BK26,商城宝箱!$L:$L,0)),0)+($BC26-INDEX(商城宝箱!$N:$N,MATCH(玩家节奏1!$BK26,商城宝箱!$L:$L,0)))/$BK$5*INDEX(商城宝箱!E$23:E$42,MATCH(玩家节奏1!$BK26+1,商城宝箱!$C$23:$C$42,0))</f>
        <v>13125</v>
      </c>
      <c r="BM26" s="90">
        <f ca="1">_xlfn.IFNA(INDEX(商城宝箱!U:U,MATCH(玩家节奏1!$BK26,商城宝箱!$L:$L,0)),0)+($BC26-INDEX(商城宝箱!$N:$N,MATCH(玩家节奏1!$BK26,商城宝箱!$L:$L,0)))/$BK$5*INDEX(商城宝箱!F$23:F$42,MATCH(玩家节奏1!$BK26+1,商城宝箱!$C$23:$C$42,0))</f>
        <v>2070</v>
      </c>
      <c r="BN26" s="90">
        <f ca="1">_xlfn.IFNA(INDEX(商城宝箱!V:V,MATCH(玩家节奏1!$BK26,商城宝箱!$L:$L,0)),0)+($BC26-INDEX(商城宝箱!$N:$N,MATCH(玩家节奏1!$BK26,商城宝箱!$L:$L,0)))/$BK$5*INDEX(商城宝箱!G$23:G$42,MATCH(玩家节奏1!$BK26+1,商城宝箱!$C$23:$C$42,0))</f>
        <v>683.25</v>
      </c>
      <c r="BO26" s="90">
        <f ca="1">_xlfn.IFNA(INDEX(商城宝箱!W:W,MATCH(玩家节奏1!$BK26,商城宝箱!$L:$L,0)),0)+($BC26-INDEX(商城宝箱!$N:$N,MATCH(玩家节奏1!$BK26,商城宝箱!$L:$L,0)))/$BK$5*INDEX(商城宝箱!H$23:H$42,MATCH(玩家节奏1!$BK26+1,商城宝箱!$C$23:$C$42,0))</f>
        <v>89.25</v>
      </c>
      <c r="BQ26" s="128">
        <f t="shared" si="0"/>
        <v>100300</v>
      </c>
      <c r="BR26" s="90">
        <f t="shared" si="1"/>
        <v>24560</v>
      </c>
      <c r="BS26" s="90">
        <f t="shared" ca="1" si="2"/>
        <v>60416</v>
      </c>
      <c r="BT26" s="90">
        <f t="shared" si="3"/>
        <v>4100</v>
      </c>
      <c r="BU26" s="90">
        <f t="shared" si="4"/>
        <v>3000</v>
      </c>
      <c r="BV26" s="90">
        <f t="shared" si="5"/>
        <v>10000</v>
      </c>
      <c r="BW26" s="90">
        <f t="shared" ca="1" si="22"/>
        <v>13125</v>
      </c>
      <c r="BX26" s="90">
        <f t="shared" ca="1" si="23"/>
        <v>215501</v>
      </c>
      <c r="BY26" s="142">
        <f t="shared" ca="1" si="24"/>
        <v>0.46542707458434068</v>
      </c>
      <c r="BZ26" s="142">
        <f t="shared" ca="1" si="25"/>
        <v>0.1139669885522573</v>
      </c>
      <c r="CA26" s="142">
        <f t="shared" ca="1" si="26"/>
        <v>0.28035136727903814</v>
      </c>
      <c r="CB26" s="142">
        <f t="shared" ca="1" si="27"/>
        <v>1.9025433756687905E-2</v>
      </c>
      <c r="CC26" s="142">
        <f t="shared" ca="1" si="28"/>
        <v>1.3921049090259442E-2</v>
      </c>
      <c r="CD26" s="142">
        <f t="shared" ca="1" si="29"/>
        <v>4.6403496967531474E-2</v>
      </c>
      <c r="CE26" s="142">
        <f t="shared" ca="1" si="30"/>
        <v>6.0904589769885061E-2</v>
      </c>
      <c r="CG26" s="128">
        <f t="shared" si="31"/>
        <v>21</v>
      </c>
      <c r="CH26" s="90">
        <f ca="1">INDEX(角色升级!$A:$A,MATCH(玩家节奏1!$BX26,角色升级!$J:$J,1))</f>
        <v>150</v>
      </c>
      <c r="CI26" s="90">
        <f ca="1">INDEX(角色升级!$O:$O,MATCH(玩家节奏1!$BX26,角色升级!$J:$J,1))</f>
        <v>1665.7857749999998</v>
      </c>
      <c r="CJ26" s="90">
        <f>INDEX(关卡对比!$J:$J,MATCH(玩家节奏1!N26,关卡对比!$A:$A,0))</f>
        <v>2100</v>
      </c>
      <c r="CK26" s="147">
        <f t="shared" ca="1" si="32"/>
        <v>1.2606663062661825</v>
      </c>
      <c r="CL26" s="128">
        <f ca="1">INDEX(角色升级!$P:$P,MATCH(玩家节奏1!$CH26,角色升级!$A:$A,0))</f>
        <v>400</v>
      </c>
      <c r="CM26" s="90">
        <f ca="1">INDEX(角色升级!Q:Q,MATCH(玩家节奏1!$CH26,角色升级!$A:$A,0))</f>
        <v>0.1</v>
      </c>
      <c r="CO26" s="128">
        <f t="shared" si="33"/>
        <v>822</v>
      </c>
      <c r="CP26" s="90">
        <f t="shared" si="34"/>
        <v>1301</v>
      </c>
      <c r="CQ26" s="90">
        <f t="shared" si="35"/>
        <v>2024</v>
      </c>
      <c r="CR26" s="90">
        <f t="shared" ca="1" si="36"/>
        <v>2070</v>
      </c>
      <c r="CS26" s="90">
        <f t="shared" ca="1" si="37"/>
        <v>6217</v>
      </c>
      <c r="CT26" s="142">
        <f t="shared" ca="1" si="38"/>
        <v>0.13221811162940325</v>
      </c>
      <c r="CU26" s="142">
        <f t="shared" ca="1" si="39"/>
        <v>0.20926491877111147</v>
      </c>
      <c r="CV26" s="142">
        <f t="shared" ca="1" si="40"/>
        <v>0.32555895126266687</v>
      </c>
      <c r="CW26" s="142">
        <f t="shared" ca="1" si="41"/>
        <v>0.33295801833681843</v>
      </c>
      <c r="CY26" s="128">
        <f t="shared" si="42"/>
        <v>412</v>
      </c>
      <c r="CZ26" s="90">
        <f t="shared" si="43"/>
        <v>616</v>
      </c>
      <c r="DA26" s="90">
        <f t="shared" si="44"/>
        <v>632</v>
      </c>
      <c r="DB26" s="90">
        <f t="shared" ca="1" si="66"/>
        <v>683.25</v>
      </c>
      <c r="DC26" s="90">
        <f t="shared" ca="1" si="45"/>
        <v>2343.25</v>
      </c>
      <c r="DD26" s="142">
        <f t="shared" ca="1" si="46"/>
        <v>0.17582417582417584</v>
      </c>
      <c r="DE26" s="142">
        <f t="shared" ca="1" si="47"/>
        <v>0.26288274831964153</v>
      </c>
      <c r="DF26" s="142">
        <f t="shared" ca="1" si="48"/>
        <v>0.2697108716526192</v>
      </c>
      <c r="DG26" s="142">
        <f t="shared" ca="1" si="49"/>
        <v>0.2915822042035634</v>
      </c>
      <c r="DI26" s="128">
        <f t="shared" si="50"/>
        <v>139</v>
      </c>
      <c r="DJ26" s="90">
        <f t="shared" si="51"/>
        <v>202</v>
      </c>
      <c r="DK26" s="90">
        <f t="shared" si="52"/>
        <v>120</v>
      </c>
      <c r="DL26" s="90">
        <f t="shared" ca="1" si="53"/>
        <v>89.25</v>
      </c>
      <c r="DM26" s="90">
        <f t="shared" ca="1" si="54"/>
        <v>550.25</v>
      </c>
      <c r="DN26" s="142">
        <f t="shared" ca="1" si="55"/>
        <v>0.25261244888686962</v>
      </c>
      <c r="DO26" s="142">
        <f t="shared" ca="1" si="56"/>
        <v>0.36710586097228531</v>
      </c>
      <c r="DP26" s="142">
        <f t="shared" ca="1" si="57"/>
        <v>0.21808268968650613</v>
      </c>
      <c r="DQ26" s="142">
        <f t="shared" ca="1" si="58"/>
        <v>0.16219900045433894</v>
      </c>
      <c r="DS26" s="128">
        <f t="shared" ca="1" si="59"/>
        <v>6217</v>
      </c>
      <c r="DT26" s="90">
        <f t="shared" ca="1" si="60"/>
        <v>2343.25</v>
      </c>
      <c r="DU26" s="90">
        <f t="shared" ca="1" si="61"/>
        <v>550.25</v>
      </c>
      <c r="DV26" s="90">
        <f t="shared" si="62"/>
        <v>3</v>
      </c>
      <c r="DW26" s="90">
        <f ca="1">_xlfn.IFNA(INDEX(武器升级消耗!$H:$H,MATCH(玩家节奏1!DS26/玩家节奏1!DS$5,武器升级消耗!M:M,1)),0)</f>
        <v>9</v>
      </c>
      <c r="DX26" s="90">
        <f ca="1">_xlfn.IFNA(INDEX(武器升级消耗!$H:$H,MATCH(玩家节奏1!DT26/玩家节奏1!DT$5,武器升级消耗!N:N,1)),0)</f>
        <v>7</v>
      </c>
      <c r="DY26" s="90">
        <f ca="1">_xlfn.IFNA(INDEX(武器升级消耗!$H:$H,MATCH(玩家节奏1!DU26/玩家节奏1!DU$5,武器升级消耗!O:O,1)),0)</f>
        <v>4</v>
      </c>
      <c r="DZ26" s="90">
        <f>_xlfn.IFNA(INDEX(武器升级消耗!$H:$H,MATCH(玩家节奏1!DV26/玩家节奏1!DV$5,武器升级消耗!P:P,1)),0)</f>
        <v>2</v>
      </c>
      <c r="EA26" s="90">
        <f ca="1">_xlfn.IFNA(INDEX(武器升级消耗!$Q:$Q,MATCH(玩家节奏1!DW26,武器升级消耗!$H:$H,0))*2*EA$4,0)</f>
        <v>1.56</v>
      </c>
      <c r="EB26" s="90">
        <f ca="1">_xlfn.IFNA(INDEX(武器升级消耗!$Q:$Q,MATCH(玩家节奏1!DX26,武器升级消耗!$H:$H,0))*2*EB$4,0)</f>
        <v>1.6500000000000001</v>
      </c>
      <c r="EC26" s="90">
        <f ca="1">_xlfn.IFNA(INDEX(武器升级消耗!$Q:$Q,MATCH(玩家节奏1!DY26,武器升级消耗!$H:$H,0))*2*EC$4,1)</f>
        <v>1.7600000000000002</v>
      </c>
      <c r="ED26" s="90">
        <f>_xlfn.IFNA(INDEX(武器升级消耗!$Q:$Q,MATCH(玩家节奏1!DZ26,武器升级消耗!$H:$H,0))*2*ED$4,0)</f>
        <v>1.7999999999999998</v>
      </c>
      <c r="EF26" s="128"/>
      <c r="EG26" s="90"/>
      <c r="EH26" s="90"/>
      <c r="EI26" s="90"/>
      <c r="EJ26" s="90"/>
      <c r="EK26" s="90"/>
      <c r="EL26" s="90"/>
      <c r="EM26" s="90"/>
      <c r="EO26" s="128"/>
      <c r="EP26" s="90"/>
      <c r="EQ26" s="90"/>
      <c r="ER26" s="90"/>
      <c r="ES26" s="90"/>
      <c r="ET26" s="90"/>
      <c r="EU26" s="90"/>
      <c r="EV26" s="90"/>
      <c r="EW26" s="90"/>
      <c r="EX26" s="90"/>
      <c r="EY26" s="90"/>
      <c r="EZ26" s="90"/>
      <c r="FA26" s="90"/>
      <c r="FB26" s="90"/>
      <c r="FD26" s="90">
        <f t="shared" ca="1" si="63"/>
        <v>1.7600000000000002</v>
      </c>
      <c r="FE26" s="90"/>
      <c r="FF26" s="90"/>
      <c r="FG26" s="90">
        <f t="shared" ca="1" si="64"/>
        <v>0</v>
      </c>
    </row>
    <row r="27" spans="1:163" x14ac:dyDescent="0.25">
      <c r="A27" s="123">
        <v>21</v>
      </c>
      <c r="B27" s="123">
        <f>INDEX(关卡对比!$Y:$Y,MATCH(关卡对比!Z27,关卡对比!$AA:$AA,1))</f>
        <v>15</v>
      </c>
      <c r="C27" s="124">
        <f>INDEX(关卡对比!$Y:$Y,MATCH(关卡对比!Z27,关卡对比!$AB:$AB,1))</f>
        <v>13</v>
      </c>
      <c r="D27" s="125">
        <f t="shared" si="70"/>
        <v>116.5</v>
      </c>
      <c r="E27" s="125">
        <v>3</v>
      </c>
      <c r="F27" s="128">
        <v>5</v>
      </c>
      <c r="G27" s="90">
        <v>1</v>
      </c>
      <c r="H27" s="90">
        <v>1</v>
      </c>
      <c r="J27" s="128">
        <v>21</v>
      </c>
      <c r="K27" s="90">
        <f t="shared" si="10"/>
        <v>5</v>
      </c>
      <c r="L27" s="90">
        <f t="shared" si="11"/>
        <v>1</v>
      </c>
      <c r="M27" s="90">
        <f t="shared" si="12"/>
        <v>1</v>
      </c>
      <c r="N27" s="140">
        <f>INDEX($A:$A,MATCH(SUM($K$7:K27),$D:$D,1))</f>
        <v>23</v>
      </c>
      <c r="O27" s="140">
        <v>0</v>
      </c>
      <c r="P27" s="141">
        <v>0</v>
      </c>
      <c r="Q27" s="126">
        <f>_xlfn.MAXIFS(关卡产出!X:X,关卡产出!$A:$A,玩家节奏1!$N$6,关卡产出!$B:$B,玩家节奏1!$N27)+_xlfn.MAXIFS(关卡产出!X:X,关卡产出!$A:$A,玩家节奏1!$O$6,关卡产出!$B:$B,玩家节奏1!$O27)+_xlfn.MAXIFS(关卡产出!X:X,关卡产出!$A:$A,玩家节奏1!$P$6,关卡产出!$B:$B,玩家节奏1!$P27)</f>
        <v>3100</v>
      </c>
      <c r="R27" s="90">
        <f>_xlfn.MAXIFS(关卡产出!Y:Y,关卡产出!$A:$A,玩家节奏1!$N$6,关卡产出!$B:$B,玩家节奏1!$N27)+_xlfn.MAXIFS(关卡产出!Y:Y,关卡产出!$A:$A,玩家节奏1!$O$6,关卡产出!$B:$B,玩家节奏1!$O27)+_xlfn.MAXIFS(关卡产出!Y:Y,关卡产出!$A:$A,玩家节奏1!$P$6,关卡产出!$B:$B,玩家节奏1!$P27)</f>
        <v>122700</v>
      </c>
      <c r="S27" s="90">
        <f>_xlfn.MAXIFS(关卡产出!Z:Z,关卡产出!$A:$A,玩家节奏1!$N$6,关卡产出!$B:$B,玩家节奏1!$N27)+_xlfn.MAXIFS(关卡产出!Z:Z,关卡产出!$A:$A,玩家节奏1!$O$6,关卡产出!$B:$B,玩家节奏1!$O27)+_xlfn.MAXIFS(关卡产出!Z:Z,关卡产出!$A:$A,玩家节奏1!$P$6,关卡产出!$B:$B,玩家节奏1!$P27)</f>
        <v>986</v>
      </c>
      <c r="T27" s="90">
        <f>_xlfn.MAXIFS(关卡产出!AA:AA,关卡产出!$A:$A,玩家节奏1!$N$6,关卡产出!$B:$B,玩家节奏1!$N27)+_xlfn.MAXIFS(关卡产出!AA:AA,关卡产出!$A:$A,玩家节奏1!$O$6,关卡产出!$B:$B,玩家节奏1!$O27)+_xlfn.MAXIFS(关卡产出!AA:AA,关卡产出!$A:$A,玩家节奏1!$P$6,关卡产出!$B:$B,玩家节奏1!$P27)</f>
        <v>494</v>
      </c>
      <c r="U27" s="90">
        <f>_xlfn.MAXIFS(关卡产出!AB:AB,关卡产出!$A:$A,玩家节奏1!$N$6,关卡产出!$B:$B,玩家节奏1!$N27)+_xlfn.MAXIFS(关卡产出!AB:AB,关卡产出!$A:$A,玩家节奏1!$O$6,关卡产出!$B:$B,玩家节奏1!$O27)+_xlfn.MAXIFS(关卡产出!AB:AB,关卡产出!$A:$A,玩家节奏1!$P$6,关卡产出!$B:$B,玩家节奏1!$P27)</f>
        <v>174</v>
      </c>
      <c r="V27" s="130">
        <f>_xlfn.MAXIFS(关卡产出!AC:AC,关卡产出!$A:$A,玩家节奏1!$N$6,关卡产出!$B:$B,玩家节奏1!$N27)+_xlfn.MAXIFS(关卡产出!AC:AC,关卡产出!$A:$A,玩家节奏1!$O$6,关卡产出!$B:$B,玩家节奏1!$O27)+_xlfn.MAXIFS(关卡产出!AC:AC,关卡产出!$A:$A,玩家节奏1!$P$6,关卡产出!$B:$B,玩家节奏1!$P27)</f>
        <v>138</v>
      </c>
      <c r="W27" s="126">
        <f>INDEX(关卡产出!C$8:C$207,MATCH(玩家节奏1!$N27,关卡产出!$B$8:$B$207,0))*$K27</f>
        <v>85</v>
      </c>
      <c r="X27" s="126">
        <f>INDEX(关卡产出!D$8:D$207,MATCH(玩家节奏1!$N27,关卡产出!$B$8:$B$207,0))*$K27</f>
        <v>40</v>
      </c>
      <c r="Y27" s="126">
        <f>INDEX(关卡产出!E$8:E$207,MATCH(玩家节奏1!$N27,关卡产出!$B$8:$B$207,0))*$K27</f>
        <v>20</v>
      </c>
      <c r="Z27" s="144">
        <f>INDEX(关卡产出!F$8:F$207,MATCH(玩家节奏1!$N27,关卡产出!$B$8:$B$207,0))*$K27</f>
        <v>1450</v>
      </c>
      <c r="AA27" s="126">
        <f>SUM(W$7:W27)</f>
        <v>1386</v>
      </c>
      <c r="AB27" s="126">
        <f>SUM(X$7:X27)</f>
        <v>656</v>
      </c>
      <c r="AC27" s="126">
        <f>SUM(Y$7:Y27)</f>
        <v>222</v>
      </c>
      <c r="AD27" s="126">
        <f>SUM(Z$7:Z27)</f>
        <v>26010</v>
      </c>
      <c r="AE27" s="126">
        <f>INDEX(图鉴!AQ:AQ,MATCH($N27,图鉴!$S:$S,0))*8</f>
        <v>136</v>
      </c>
      <c r="AF27" s="90">
        <f>INDEX(图鉴!AR:AR,MATCH($N27,图鉴!$S:$S,0))*8</f>
        <v>48</v>
      </c>
      <c r="AG27" s="90">
        <f>INDEX(图鉴!AS:AS,MATCH($N27,图鉴!$S:$S,0))*8</f>
        <v>8</v>
      </c>
      <c r="AH27" s="129">
        <f ca="1">INDEX(图鉴!AT:AT,MATCH($N27,图鉴!$S:$S,0))*8</f>
        <v>4128</v>
      </c>
      <c r="AI27" s="128">
        <f>SUM($AE$7:AE27)</f>
        <v>2160</v>
      </c>
      <c r="AJ27" s="90">
        <f>SUM(AF$7:AF27)</f>
        <v>680</v>
      </c>
      <c r="AK27" s="90">
        <f>SUM(AG$7:AG27)</f>
        <v>128</v>
      </c>
      <c r="AL27" s="130">
        <f ca="1">SUM(AH$7:AH27)</f>
        <v>64544</v>
      </c>
      <c r="AM27" s="133">
        <f>IF(M27=0,0,INDEX(关卡产出!$AU$11:$AU$15,MATCH(玩家节奏1!N27,关卡产出!$AW$11:$AW$15,1))*M27)</f>
        <v>4100</v>
      </c>
      <c r="AN27" s="126">
        <f>IF(L27=0,0,$L27*关卡产出!AU$21)</f>
        <v>1000</v>
      </c>
      <c r="AO27" s="90">
        <f>IF(M27=0,0,$L27*关卡产出!AV$21)</f>
        <v>50</v>
      </c>
      <c r="AP27" s="129">
        <f>IF(N27=0,0,$L27*关卡产出!AW$21)</f>
        <v>1</v>
      </c>
      <c r="AQ27" s="138">
        <f>SUM(AN$7:AN27)</f>
        <v>4000</v>
      </c>
      <c r="AR27" s="126">
        <f>SUM(AO$7:AO27)</f>
        <v>200</v>
      </c>
      <c r="AS27" s="129">
        <f>SUM(AP$7:AP27)</f>
        <v>4</v>
      </c>
      <c r="AT27" s="128">
        <v>500</v>
      </c>
      <c r="AU27" s="129">
        <v>100</v>
      </c>
      <c r="AV27" s="128">
        <f>SUM(AT$7:AT27)</f>
        <v>10500</v>
      </c>
      <c r="AW27" s="90">
        <f>SUM(AU$7:AU27)</f>
        <v>2100</v>
      </c>
      <c r="AY27" s="128">
        <f t="shared" si="13"/>
        <v>3100</v>
      </c>
      <c r="AZ27" s="90">
        <f t="shared" si="14"/>
        <v>200</v>
      </c>
      <c r="BA27" s="90">
        <f t="shared" si="15"/>
        <v>2100</v>
      </c>
      <c r="BB27" s="90">
        <f t="shared" ca="1" si="65"/>
        <v>400</v>
      </c>
      <c r="BC27" s="90">
        <f t="shared" ca="1" si="68"/>
        <v>5800</v>
      </c>
      <c r="BD27" s="90"/>
      <c r="BE27" s="90">
        <f t="shared" ca="1" si="17"/>
        <v>5800</v>
      </c>
      <c r="BF27" s="142">
        <f t="shared" ca="1" si="18"/>
        <v>0.53448275862068961</v>
      </c>
      <c r="BG27" s="142">
        <f t="shared" ca="1" si="19"/>
        <v>3.4482758620689655E-2</v>
      </c>
      <c r="BH27" s="142">
        <f t="shared" ca="1" si="20"/>
        <v>0.36206896551724138</v>
      </c>
      <c r="BI27" s="142">
        <f t="shared" ca="1" si="21"/>
        <v>6.8965517241379309E-2</v>
      </c>
      <c r="BJ27" s="143"/>
      <c r="BK27" s="128">
        <f ca="1">INDEX(商城宝箱!$L:$L,MATCH(BC27,商城宝箱!$N:$N,1))</f>
        <v>3</v>
      </c>
      <c r="BL27" s="90">
        <f ca="1">_xlfn.IFNA(INDEX(商城宝箱!T:T,MATCH(玩家节奏1!$BK27,商城宝箱!$L:$L,0)),0)+($BC27-INDEX(商城宝箱!$N:$N,MATCH(玩家节奏1!$BK27,商城宝箱!$L:$L,0)))/$BK$5*INDEX(商城宝箱!E$23:E$42,MATCH(玩家节奏1!$BK27+1,商城宝箱!$C$23:$C$42,0))</f>
        <v>14500</v>
      </c>
      <c r="BM27" s="90">
        <f ca="1">_xlfn.IFNA(INDEX(商城宝箱!U:U,MATCH(玩家节奏1!$BK27,商城宝箱!$L:$L,0)),0)+($BC27-INDEX(商城宝箱!$N:$N,MATCH(玩家节奏1!$BK27,商城宝箱!$L:$L,0)))/$BK$5*INDEX(商城宝箱!F$23:F$42,MATCH(玩家节奏1!$BK27+1,商城宝箱!$C$23:$C$42,0))</f>
        <v>2372.5</v>
      </c>
      <c r="BN27" s="90">
        <f ca="1">_xlfn.IFNA(INDEX(商城宝箱!V:V,MATCH(玩家节奏1!$BK27,商城宝箱!$L:$L,0)),0)+($BC27-INDEX(商城宝箱!$N:$N,MATCH(玩家节奏1!$BK27,商城宝箱!$L:$L,0)))/$BK$5*INDEX(商城宝箱!G$23:G$42,MATCH(玩家节奏1!$BK27+1,商城宝箱!$C$23:$C$42,0))</f>
        <v>807</v>
      </c>
      <c r="BO27" s="90">
        <f ca="1">_xlfn.IFNA(INDEX(商城宝箱!W:W,MATCH(玩家节奏1!$BK27,商城宝箱!$L:$L,0)),0)+($BC27-INDEX(商城宝箱!$N:$N,MATCH(玩家节奏1!$BK27,商城宝箱!$L:$L,0)))/$BK$5*INDEX(商城宝箱!H$23:H$42,MATCH(玩家节奏1!$BK27+1,商城宝箱!$C$23:$C$42,0))</f>
        <v>108.5</v>
      </c>
      <c r="BQ27" s="128">
        <f t="shared" si="0"/>
        <v>122700</v>
      </c>
      <c r="BR27" s="90">
        <f t="shared" si="1"/>
        <v>26010</v>
      </c>
      <c r="BS27" s="90">
        <f t="shared" ca="1" si="2"/>
        <v>64544</v>
      </c>
      <c r="BT27" s="90">
        <f t="shared" si="3"/>
        <v>4100</v>
      </c>
      <c r="BU27" s="90">
        <f t="shared" si="4"/>
        <v>4000</v>
      </c>
      <c r="BV27" s="90">
        <f t="shared" si="5"/>
        <v>10500</v>
      </c>
      <c r="BW27" s="90">
        <f t="shared" ca="1" si="22"/>
        <v>14500</v>
      </c>
      <c r="BX27" s="90">
        <f t="shared" ca="1" si="23"/>
        <v>246354</v>
      </c>
      <c r="BY27" s="142">
        <f t="shared" ca="1" si="24"/>
        <v>0.49806376190360213</v>
      </c>
      <c r="BZ27" s="142">
        <f t="shared" ca="1" si="25"/>
        <v>0.10557977544509121</v>
      </c>
      <c r="CA27" s="142">
        <f t="shared" ca="1" si="26"/>
        <v>0.2619969637188761</v>
      </c>
      <c r="CB27" s="142">
        <f t="shared" ca="1" si="27"/>
        <v>1.6642717390421915E-2</v>
      </c>
      <c r="CC27" s="142">
        <f t="shared" ca="1" si="28"/>
        <v>1.6236797454070161E-2</v>
      </c>
      <c r="CD27" s="142">
        <f t="shared" ca="1" si="29"/>
        <v>4.2621593316934166E-2</v>
      </c>
      <c r="CE27" s="142">
        <f t="shared" ca="1" si="30"/>
        <v>5.8858390771004326E-2</v>
      </c>
      <c r="CG27" s="128">
        <f t="shared" si="31"/>
        <v>23</v>
      </c>
      <c r="CH27" s="90">
        <f ca="1">INDEX(角色升级!$A:$A,MATCH(玩家节奏1!$BX27,角色升级!$J:$J,1))</f>
        <v>156</v>
      </c>
      <c r="CI27" s="90">
        <f ca="1">INDEX(角色升级!$O:$O,MATCH(玩家节奏1!$BX27,角色升级!$J:$J,1))</f>
        <v>2041.9309499999999</v>
      </c>
      <c r="CJ27" s="90">
        <f>INDEX(关卡对比!$J:$J,MATCH(玩家节奏1!N27,关卡对比!$A:$A,0))</f>
        <v>2500</v>
      </c>
      <c r="CK27" s="147">
        <f t="shared" ca="1" si="32"/>
        <v>1.2243313124765556</v>
      </c>
      <c r="CL27" s="128">
        <f ca="1">INDEX(角色升级!$P:$P,MATCH(玩家节奏1!$CH27,角色升级!$A:$A,0))</f>
        <v>400</v>
      </c>
      <c r="CM27" s="90">
        <f ca="1">INDEX(角色升级!Q:Q,MATCH(玩家节奏1!$CH27,角色升级!$A:$A,0))</f>
        <v>0.1</v>
      </c>
      <c r="CO27" s="128">
        <f t="shared" si="33"/>
        <v>986</v>
      </c>
      <c r="CP27" s="90">
        <f t="shared" si="34"/>
        <v>1386</v>
      </c>
      <c r="CQ27" s="90">
        <f t="shared" si="35"/>
        <v>2160</v>
      </c>
      <c r="CR27" s="90">
        <f t="shared" ca="1" si="36"/>
        <v>2372.5</v>
      </c>
      <c r="CS27" s="90">
        <f t="shared" ca="1" si="37"/>
        <v>6904.5</v>
      </c>
      <c r="CT27" s="142">
        <f t="shared" ca="1" si="38"/>
        <v>0.14280541675718733</v>
      </c>
      <c r="CU27" s="142">
        <f t="shared" ca="1" si="39"/>
        <v>0.20073864870736477</v>
      </c>
      <c r="CV27" s="142">
        <f t="shared" ca="1" si="40"/>
        <v>0.31283945253095807</v>
      </c>
      <c r="CW27" s="142">
        <f t="shared" ca="1" si="41"/>
        <v>0.3436164820044898</v>
      </c>
      <c r="CY27" s="128">
        <f t="shared" si="42"/>
        <v>494</v>
      </c>
      <c r="CZ27" s="90">
        <f t="shared" si="43"/>
        <v>656</v>
      </c>
      <c r="DA27" s="90">
        <f t="shared" si="44"/>
        <v>680</v>
      </c>
      <c r="DB27" s="90">
        <f t="shared" ca="1" si="66"/>
        <v>807</v>
      </c>
      <c r="DC27" s="90">
        <f t="shared" ca="1" si="45"/>
        <v>2637</v>
      </c>
      <c r="DD27" s="142">
        <f t="shared" ca="1" si="46"/>
        <v>0.18733409177095184</v>
      </c>
      <c r="DE27" s="142">
        <f t="shared" ca="1" si="47"/>
        <v>0.24876753886992795</v>
      </c>
      <c r="DF27" s="142">
        <f t="shared" ca="1" si="48"/>
        <v>0.2578687902919985</v>
      </c>
      <c r="DG27" s="142">
        <f t="shared" ca="1" si="49"/>
        <v>0.30602957906712175</v>
      </c>
      <c r="DI27" s="128">
        <f t="shared" si="50"/>
        <v>174</v>
      </c>
      <c r="DJ27" s="90">
        <f t="shared" si="51"/>
        <v>222</v>
      </c>
      <c r="DK27" s="90">
        <f t="shared" si="52"/>
        <v>128</v>
      </c>
      <c r="DL27" s="90">
        <f t="shared" ca="1" si="53"/>
        <v>108.5</v>
      </c>
      <c r="DM27" s="90">
        <f t="shared" ca="1" si="54"/>
        <v>632.5</v>
      </c>
      <c r="DN27" s="142">
        <f t="shared" ca="1" si="55"/>
        <v>0.27509881422924903</v>
      </c>
      <c r="DO27" s="142">
        <f t="shared" ca="1" si="56"/>
        <v>0.35098814229249015</v>
      </c>
      <c r="DP27" s="142">
        <f t="shared" ca="1" si="57"/>
        <v>0.20237154150197628</v>
      </c>
      <c r="DQ27" s="142">
        <f t="shared" ca="1" si="58"/>
        <v>0.17154150197628459</v>
      </c>
      <c r="DS27" s="128">
        <f t="shared" ca="1" si="59"/>
        <v>6904.5</v>
      </c>
      <c r="DT27" s="90">
        <f t="shared" ca="1" si="60"/>
        <v>2637</v>
      </c>
      <c r="DU27" s="90">
        <f t="shared" ca="1" si="61"/>
        <v>632.5</v>
      </c>
      <c r="DV27" s="90">
        <f t="shared" si="62"/>
        <v>4</v>
      </c>
      <c r="DW27" s="90">
        <f ca="1">_xlfn.IFNA(INDEX(武器升级消耗!$H:$H,MATCH(玩家节奏1!DS27/玩家节奏1!DS$5,武器升级消耗!M:M,1)),0)</f>
        <v>10</v>
      </c>
      <c r="DX27" s="90">
        <f ca="1">_xlfn.IFNA(INDEX(武器升级消耗!$H:$H,MATCH(玩家节奏1!DT27/玩家节奏1!DT$5,武器升级消耗!N:N,1)),0)</f>
        <v>7</v>
      </c>
      <c r="DY27" s="90">
        <f ca="1">_xlfn.IFNA(INDEX(武器升级消耗!$H:$H,MATCH(玩家节奏1!DU27/玩家节奏1!DU$5,武器升级消耗!O:O,1)),0)</f>
        <v>4</v>
      </c>
      <c r="DZ27" s="90">
        <f>_xlfn.IFNA(INDEX(武器升级消耗!$H:$H,MATCH(玩家节奏1!DV27/玩家节奏1!DV$5,武器升级消耗!P:P,1)),0)</f>
        <v>2</v>
      </c>
      <c r="EA27" s="90">
        <f ca="1">_xlfn.IFNA(INDEX(武器升级消耗!$Q:$Q,MATCH(玩家节奏1!DW27,武器升级消耗!$H:$H,0))*2*EA$4,0)</f>
        <v>1.68</v>
      </c>
      <c r="EB27" s="90">
        <f ca="1">_xlfn.IFNA(INDEX(武器升级消耗!$Q:$Q,MATCH(玩家节奏1!DX27,武器升级消耗!$H:$H,0))*2*EB$4,0)</f>
        <v>1.6500000000000001</v>
      </c>
      <c r="EC27" s="90">
        <f ca="1">_xlfn.IFNA(INDEX(武器升级消耗!$Q:$Q,MATCH(玩家节奏1!DY27,武器升级消耗!$H:$H,0))*2*EC$4,1)</f>
        <v>1.7600000000000002</v>
      </c>
      <c r="ED27" s="90">
        <f>_xlfn.IFNA(INDEX(武器升级消耗!$Q:$Q,MATCH(玩家节奏1!DZ27,武器升级消耗!$H:$H,0))*2*ED$4,0)</f>
        <v>1.7999999999999998</v>
      </c>
      <c r="EF27" s="128"/>
      <c r="EG27" s="90"/>
      <c r="EH27" s="90"/>
      <c r="EI27" s="90"/>
      <c r="EJ27" s="90"/>
      <c r="EK27" s="90"/>
      <c r="EL27" s="90"/>
      <c r="EM27" s="90"/>
      <c r="EO27" s="128"/>
      <c r="EP27" s="90"/>
      <c r="EQ27" s="90"/>
      <c r="ER27" s="90"/>
      <c r="ES27" s="90"/>
      <c r="ET27" s="90"/>
      <c r="EU27" s="90"/>
      <c r="EV27" s="90"/>
      <c r="EW27" s="90"/>
      <c r="EX27" s="90"/>
      <c r="EY27" s="90"/>
      <c r="EZ27" s="90"/>
      <c r="FA27" s="90"/>
      <c r="FB27" s="90"/>
      <c r="FD27" s="90">
        <f t="shared" ca="1" si="63"/>
        <v>1.7600000000000002</v>
      </c>
      <c r="FE27" s="90"/>
      <c r="FF27" s="90"/>
      <c r="FG27" s="90">
        <f t="shared" ca="1" si="64"/>
        <v>0</v>
      </c>
    </row>
    <row r="28" spans="1:163" ht="13.95" customHeight="1" x14ac:dyDescent="0.25">
      <c r="A28" s="123">
        <v>22</v>
      </c>
      <c r="B28" s="123">
        <f>INDEX(关卡对比!$Y:$Y,MATCH(关卡对比!Z28,关卡对比!$AA:$AA,1))</f>
        <v>16</v>
      </c>
      <c r="C28" s="124">
        <f>INDEX(关卡对比!$Y:$Y,MATCH(关卡对比!Z28,关卡对比!$AB:$AB,1))</f>
        <v>14</v>
      </c>
      <c r="D28" s="125">
        <f t="shared" si="70"/>
        <v>125.5</v>
      </c>
      <c r="E28" s="125">
        <v>3</v>
      </c>
      <c r="F28" s="128">
        <v>5</v>
      </c>
      <c r="G28" s="90">
        <v>1</v>
      </c>
      <c r="H28" s="90">
        <v>1</v>
      </c>
      <c r="J28" s="128">
        <v>22</v>
      </c>
      <c r="K28" s="90">
        <f t="shared" si="10"/>
        <v>5</v>
      </c>
      <c r="L28" s="90">
        <f t="shared" si="11"/>
        <v>1</v>
      </c>
      <c r="M28" s="90">
        <f t="shared" si="12"/>
        <v>1</v>
      </c>
      <c r="N28" s="140">
        <f>INDEX($A:$A,MATCH(SUM($K$7:K28),$D:$D,1))</f>
        <v>23</v>
      </c>
      <c r="O28" s="140">
        <v>0</v>
      </c>
      <c r="P28" s="141">
        <v>0</v>
      </c>
      <c r="Q28" s="126">
        <f>_xlfn.MAXIFS(关卡产出!X:X,关卡产出!$A:$A,玩家节奏1!$N$6,关卡产出!$B:$B,玩家节奏1!$N28)+_xlfn.MAXIFS(关卡产出!X:X,关卡产出!$A:$A,玩家节奏1!$O$6,关卡产出!$B:$B,玩家节奏1!$O28)+_xlfn.MAXIFS(关卡产出!X:X,关卡产出!$A:$A,玩家节奏1!$P$6,关卡产出!$B:$B,玩家节奏1!$P28)</f>
        <v>3100</v>
      </c>
      <c r="R28" s="90">
        <f>_xlfn.MAXIFS(关卡产出!Y:Y,关卡产出!$A:$A,玩家节奏1!$N$6,关卡产出!$B:$B,玩家节奏1!$N28)+_xlfn.MAXIFS(关卡产出!Y:Y,关卡产出!$A:$A,玩家节奏1!$O$6,关卡产出!$B:$B,玩家节奏1!$O28)+_xlfn.MAXIFS(关卡产出!Y:Y,关卡产出!$A:$A,玩家节奏1!$P$6,关卡产出!$B:$B,玩家节奏1!$P28)</f>
        <v>122700</v>
      </c>
      <c r="S28" s="90">
        <f>_xlfn.MAXIFS(关卡产出!Z:Z,关卡产出!$A:$A,玩家节奏1!$N$6,关卡产出!$B:$B,玩家节奏1!$N28)+_xlfn.MAXIFS(关卡产出!Z:Z,关卡产出!$A:$A,玩家节奏1!$O$6,关卡产出!$B:$B,玩家节奏1!$O28)+_xlfn.MAXIFS(关卡产出!Z:Z,关卡产出!$A:$A,玩家节奏1!$P$6,关卡产出!$B:$B,玩家节奏1!$P28)</f>
        <v>986</v>
      </c>
      <c r="T28" s="90">
        <f>_xlfn.MAXIFS(关卡产出!AA:AA,关卡产出!$A:$A,玩家节奏1!$N$6,关卡产出!$B:$B,玩家节奏1!$N28)+_xlfn.MAXIFS(关卡产出!AA:AA,关卡产出!$A:$A,玩家节奏1!$O$6,关卡产出!$B:$B,玩家节奏1!$O28)+_xlfn.MAXIFS(关卡产出!AA:AA,关卡产出!$A:$A,玩家节奏1!$P$6,关卡产出!$B:$B,玩家节奏1!$P28)</f>
        <v>494</v>
      </c>
      <c r="U28" s="90">
        <f>_xlfn.MAXIFS(关卡产出!AB:AB,关卡产出!$A:$A,玩家节奏1!$N$6,关卡产出!$B:$B,玩家节奏1!$N28)+_xlfn.MAXIFS(关卡产出!AB:AB,关卡产出!$A:$A,玩家节奏1!$O$6,关卡产出!$B:$B,玩家节奏1!$O28)+_xlfn.MAXIFS(关卡产出!AB:AB,关卡产出!$A:$A,玩家节奏1!$P$6,关卡产出!$B:$B,玩家节奏1!$P28)</f>
        <v>174</v>
      </c>
      <c r="V28" s="130">
        <f>_xlfn.MAXIFS(关卡产出!AC:AC,关卡产出!$A:$A,玩家节奏1!$N$6,关卡产出!$B:$B,玩家节奏1!$N28)+_xlfn.MAXIFS(关卡产出!AC:AC,关卡产出!$A:$A,玩家节奏1!$O$6,关卡产出!$B:$B,玩家节奏1!$O28)+_xlfn.MAXIFS(关卡产出!AC:AC,关卡产出!$A:$A,玩家节奏1!$P$6,关卡产出!$B:$B,玩家节奏1!$P28)</f>
        <v>138</v>
      </c>
      <c r="W28" s="126">
        <f>INDEX(关卡产出!C$8:C$207,MATCH(玩家节奏1!$N28,关卡产出!$B$8:$B$207,0))*$K28</f>
        <v>85</v>
      </c>
      <c r="X28" s="126">
        <f>INDEX(关卡产出!D$8:D$207,MATCH(玩家节奏1!$N28,关卡产出!$B$8:$B$207,0))*$K28</f>
        <v>40</v>
      </c>
      <c r="Y28" s="126">
        <f>INDEX(关卡产出!E$8:E$207,MATCH(玩家节奏1!$N28,关卡产出!$B$8:$B$207,0))*$K28</f>
        <v>20</v>
      </c>
      <c r="Z28" s="144">
        <f>INDEX(关卡产出!F$8:F$207,MATCH(玩家节奏1!$N28,关卡产出!$B$8:$B$207,0))*$K28</f>
        <v>1450</v>
      </c>
      <c r="AA28" s="126">
        <f>SUM(W$7:W28)</f>
        <v>1471</v>
      </c>
      <c r="AB28" s="126">
        <f>SUM(X$7:X28)</f>
        <v>696</v>
      </c>
      <c r="AC28" s="126">
        <f>SUM(Y$7:Y28)</f>
        <v>242</v>
      </c>
      <c r="AD28" s="126">
        <f>SUM(Z$7:Z28)</f>
        <v>27460</v>
      </c>
      <c r="AE28" s="126">
        <f>INDEX(图鉴!AQ:AQ,MATCH($N28,图鉴!$S:$S,0))*8</f>
        <v>136</v>
      </c>
      <c r="AF28" s="90">
        <f>INDEX(图鉴!AR:AR,MATCH($N28,图鉴!$S:$S,0))*8</f>
        <v>48</v>
      </c>
      <c r="AG28" s="90">
        <f>INDEX(图鉴!AS:AS,MATCH($N28,图鉴!$S:$S,0))*8</f>
        <v>8</v>
      </c>
      <c r="AH28" s="129">
        <f ca="1">INDEX(图鉴!AT:AT,MATCH($N28,图鉴!$S:$S,0))*8</f>
        <v>4128</v>
      </c>
      <c r="AI28" s="128">
        <f>SUM($AE$7:AE28)</f>
        <v>2296</v>
      </c>
      <c r="AJ28" s="90">
        <f>SUM(AF$7:AF28)</f>
        <v>728</v>
      </c>
      <c r="AK28" s="90">
        <f>SUM(AG$7:AG28)</f>
        <v>136</v>
      </c>
      <c r="AL28" s="130">
        <f ca="1">SUM(AH$7:AH28)</f>
        <v>68672</v>
      </c>
      <c r="AM28" s="133">
        <f>IF(M28=0,0,INDEX(关卡产出!$AU$11:$AU$15,MATCH(玩家节奏1!N28,关卡产出!$AW$11:$AW$15,1))*M28)</f>
        <v>4100</v>
      </c>
      <c r="AN28" s="126">
        <f>IF(L28=0,0,$L28*关卡产出!AU$21)</f>
        <v>1000</v>
      </c>
      <c r="AO28" s="90">
        <f>IF(M28=0,0,$L28*关卡产出!AV$21)</f>
        <v>50</v>
      </c>
      <c r="AP28" s="129">
        <f>IF(N28=0,0,$L28*关卡产出!AW$21)</f>
        <v>1</v>
      </c>
      <c r="AQ28" s="138">
        <f>SUM(AN$7:AN28)</f>
        <v>5000</v>
      </c>
      <c r="AR28" s="126">
        <f>SUM(AO$7:AO28)</f>
        <v>250</v>
      </c>
      <c r="AS28" s="129">
        <f>SUM(AP$7:AP28)</f>
        <v>5</v>
      </c>
      <c r="AT28" s="128">
        <v>500</v>
      </c>
      <c r="AU28" s="129">
        <v>100</v>
      </c>
      <c r="AV28" s="128">
        <f>SUM(AT$7:AT28)</f>
        <v>11000</v>
      </c>
      <c r="AW28" s="90">
        <f>SUM(AU$7:AU28)</f>
        <v>2200</v>
      </c>
      <c r="AY28" s="128">
        <f t="shared" si="13"/>
        <v>3100</v>
      </c>
      <c r="AZ28" s="90">
        <f t="shared" si="14"/>
        <v>250</v>
      </c>
      <c r="BA28" s="90">
        <f t="shared" si="15"/>
        <v>2200</v>
      </c>
      <c r="BB28" s="90">
        <f t="shared" ca="1" si="65"/>
        <v>400</v>
      </c>
      <c r="BC28" s="90">
        <f t="shared" ca="1" si="68"/>
        <v>5950</v>
      </c>
      <c r="BD28" s="90"/>
      <c r="BE28" s="90">
        <f t="shared" ca="1" si="17"/>
        <v>5950</v>
      </c>
      <c r="BF28" s="142">
        <f t="shared" ca="1" si="18"/>
        <v>0.52100840336134457</v>
      </c>
      <c r="BG28" s="142">
        <f t="shared" ca="1" si="19"/>
        <v>4.2016806722689079E-2</v>
      </c>
      <c r="BH28" s="142">
        <f t="shared" ca="1" si="20"/>
        <v>0.36974789915966388</v>
      </c>
      <c r="BI28" s="142">
        <f t="shared" ca="1" si="21"/>
        <v>6.7226890756302518E-2</v>
      </c>
      <c r="BJ28" s="143"/>
      <c r="BK28" s="128">
        <f ca="1">INDEX(商城宝箱!$L:$L,MATCH(BC28,商城宝箱!$N:$N,1))</f>
        <v>3</v>
      </c>
      <c r="BL28" s="90">
        <f ca="1">_xlfn.IFNA(INDEX(商城宝箱!T:T,MATCH(玩家节奏1!$BK28,商城宝箱!$L:$L,0)),0)+($BC28-INDEX(商城宝箱!$N:$N,MATCH(玩家节奏1!$BK28,商城宝箱!$L:$L,0)))/$BK$5*INDEX(商城宝箱!E$23:E$42,MATCH(玩家节奏1!$BK28+1,商城宝箱!$C$23:$C$42,0))</f>
        <v>14875</v>
      </c>
      <c r="BM28" s="90">
        <f ca="1">_xlfn.IFNA(INDEX(商城宝箱!U:U,MATCH(玩家节奏1!$BK28,商城宝箱!$L:$L,0)),0)+($BC28-INDEX(商城宝箱!$N:$N,MATCH(玩家节奏1!$BK28,商城宝箱!$L:$L,0)))/$BK$5*INDEX(商城宝箱!F$23:F$42,MATCH(玩家节奏1!$BK28+1,商城宝箱!$C$23:$C$42,0))</f>
        <v>2455</v>
      </c>
      <c r="BN28" s="90">
        <f ca="1">_xlfn.IFNA(INDEX(商城宝箱!V:V,MATCH(玩家节奏1!$BK28,商城宝箱!$L:$L,0)),0)+($BC28-INDEX(商城宝箱!$N:$N,MATCH(玩家节奏1!$BK28,商城宝箱!$L:$L,0)))/$BK$5*INDEX(商城宝箱!G$23:G$42,MATCH(玩家节奏1!$BK28+1,商城宝箱!$C$23:$C$42,0))</f>
        <v>840.75</v>
      </c>
      <c r="BO28" s="90">
        <f ca="1">_xlfn.IFNA(INDEX(商城宝箱!W:W,MATCH(玩家节奏1!$BK28,商城宝箱!$L:$L,0)),0)+($BC28-INDEX(商城宝箱!$N:$N,MATCH(玩家节奏1!$BK28,商城宝箱!$L:$L,0)))/$BK$5*INDEX(商城宝箱!H$23:H$42,MATCH(玩家节奏1!$BK28+1,商城宝箱!$C$23:$C$42,0))</f>
        <v>113.75</v>
      </c>
      <c r="BQ28" s="128">
        <f t="shared" si="0"/>
        <v>122700</v>
      </c>
      <c r="BR28" s="90">
        <f t="shared" si="1"/>
        <v>27460</v>
      </c>
      <c r="BS28" s="90">
        <f t="shared" ca="1" si="2"/>
        <v>68672</v>
      </c>
      <c r="BT28" s="90">
        <f t="shared" si="3"/>
        <v>4100</v>
      </c>
      <c r="BU28" s="90">
        <f t="shared" si="4"/>
        <v>5000</v>
      </c>
      <c r="BV28" s="90">
        <f t="shared" si="5"/>
        <v>11000</v>
      </c>
      <c r="BW28" s="90">
        <f t="shared" ca="1" si="22"/>
        <v>14875</v>
      </c>
      <c r="BX28" s="90">
        <f t="shared" ca="1" si="23"/>
        <v>253807</v>
      </c>
      <c r="BY28" s="142">
        <f t="shared" ca="1" si="24"/>
        <v>0.48343820304404528</v>
      </c>
      <c r="BZ28" s="142">
        <f t="shared" ca="1" si="25"/>
        <v>0.10819244544082708</v>
      </c>
      <c r="CA28" s="142">
        <f t="shared" ca="1" si="26"/>
        <v>0.27056779363847333</v>
      </c>
      <c r="CB28" s="142">
        <f t="shared" ca="1" si="27"/>
        <v>1.6154006784682848E-2</v>
      </c>
      <c r="CC28" s="142">
        <f t="shared" ca="1" si="28"/>
        <v>1.9700008274003474E-2</v>
      </c>
      <c r="CD28" s="142">
        <f t="shared" ca="1" si="29"/>
        <v>4.3340018202807647E-2</v>
      </c>
      <c r="CE28" s="142">
        <f t="shared" ca="1" si="30"/>
        <v>5.860752461516034E-2</v>
      </c>
      <c r="CG28" s="128">
        <f t="shared" si="31"/>
        <v>23</v>
      </c>
      <c r="CH28" s="90">
        <f ca="1">INDEX(角色升级!$A:$A,MATCH(玩家节奏1!$BX28,角色升级!$J:$J,1))</f>
        <v>157</v>
      </c>
      <c r="CI28" s="90">
        <f ca="1">INDEX(角色升级!$O:$O,MATCH(玩家节奏1!$BX28,角色升级!$J:$J,1))</f>
        <v>2106.4129800000001</v>
      </c>
      <c r="CJ28" s="90">
        <f>INDEX(关卡对比!$J:$J,MATCH(玩家节奏1!N28,关卡对比!$A:$A,0))</f>
        <v>2500</v>
      </c>
      <c r="CK28" s="147">
        <f t="shared" ca="1" si="32"/>
        <v>1.1868517825027833</v>
      </c>
      <c r="CL28" s="128">
        <f ca="1">INDEX(角色升级!$P:$P,MATCH(玩家节奏1!$CH28,角色升级!$A:$A,0))</f>
        <v>400</v>
      </c>
      <c r="CM28" s="90">
        <f ca="1">INDEX(角色升级!Q:Q,MATCH(玩家节奏1!$CH28,角色升级!$A:$A,0))</f>
        <v>0.1</v>
      </c>
      <c r="CO28" s="128">
        <f t="shared" si="33"/>
        <v>986</v>
      </c>
      <c r="CP28" s="90">
        <f t="shared" si="34"/>
        <v>1471</v>
      </c>
      <c r="CQ28" s="90">
        <f t="shared" si="35"/>
        <v>2296</v>
      </c>
      <c r="CR28" s="90">
        <f t="shared" ca="1" si="36"/>
        <v>2455</v>
      </c>
      <c r="CS28" s="90">
        <f t="shared" ca="1" si="37"/>
        <v>7208</v>
      </c>
      <c r="CT28" s="142">
        <f t="shared" ca="1" si="38"/>
        <v>0.13679245283018868</v>
      </c>
      <c r="CU28" s="142">
        <f t="shared" ca="1" si="39"/>
        <v>0.20407880133185349</v>
      </c>
      <c r="CV28" s="142">
        <f t="shared" ca="1" si="40"/>
        <v>0.31853496115427304</v>
      </c>
      <c r="CW28" s="142">
        <f t="shared" ca="1" si="41"/>
        <v>0.34059378468368479</v>
      </c>
      <c r="CY28" s="128">
        <f t="shared" si="42"/>
        <v>494</v>
      </c>
      <c r="CZ28" s="90">
        <f t="shared" si="43"/>
        <v>696</v>
      </c>
      <c r="DA28" s="90">
        <f t="shared" si="44"/>
        <v>728</v>
      </c>
      <c r="DB28" s="90">
        <f t="shared" ca="1" si="66"/>
        <v>840.75</v>
      </c>
      <c r="DC28" s="90">
        <f t="shared" ca="1" si="45"/>
        <v>2758.75</v>
      </c>
      <c r="DD28" s="142">
        <f t="shared" ca="1" si="46"/>
        <v>0.17906660625283191</v>
      </c>
      <c r="DE28" s="142">
        <f t="shared" ca="1" si="47"/>
        <v>0.25228817399184411</v>
      </c>
      <c r="DF28" s="142">
        <f t="shared" ca="1" si="48"/>
        <v>0.2638876302673312</v>
      </c>
      <c r="DG28" s="142">
        <f t="shared" ca="1" si="49"/>
        <v>0.30475758948799275</v>
      </c>
      <c r="DI28" s="128">
        <f t="shared" si="50"/>
        <v>174</v>
      </c>
      <c r="DJ28" s="90">
        <f t="shared" si="51"/>
        <v>242</v>
      </c>
      <c r="DK28" s="90">
        <f t="shared" si="52"/>
        <v>136</v>
      </c>
      <c r="DL28" s="90">
        <f t="shared" ca="1" si="53"/>
        <v>113.75</v>
      </c>
      <c r="DM28" s="90">
        <f t="shared" ca="1" si="54"/>
        <v>665.75</v>
      </c>
      <c r="DN28" s="142">
        <f t="shared" ca="1" si="55"/>
        <v>0.26135936913255725</v>
      </c>
      <c r="DO28" s="142">
        <f t="shared" ca="1" si="56"/>
        <v>0.36349981224183253</v>
      </c>
      <c r="DP28" s="142">
        <f t="shared" ca="1" si="57"/>
        <v>0.20428088621855051</v>
      </c>
      <c r="DQ28" s="142">
        <f t="shared" ca="1" si="58"/>
        <v>0.17085993240705971</v>
      </c>
      <c r="DS28" s="128">
        <f t="shared" ca="1" si="59"/>
        <v>7208</v>
      </c>
      <c r="DT28" s="90">
        <f t="shared" ca="1" si="60"/>
        <v>2758.75</v>
      </c>
      <c r="DU28" s="90">
        <f t="shared" ca="1" si="61"/>
        <v>665.75</v>
      </c>
      <c r="DV28" s="90">
        <f t="shared" si="62"/>
        <v>5</v>
      </c>
      <c r="DW28" s="90">
        <f ca="1">_xlfn.IFNA(INDEX(武器升级消耗!$H:$H,MATCH(玩家节奏1!DS28/玩家节奏1!DS$5,武器升级消耗!M:M,1)),0)</f>
        <v>10</v>
      </c>
      <c r="DX28" s="90">
        <f ca="1">_xlfn.IFNA(INDEX(武器升级消耗!$H:$H,MATCH(玩家节奏1!DT28/玩家节奏1!DT$5,武器升级消耗!N:N,1)),0)</f>
        <v>7</v>
      </c>
      <c r="DY28" s="90">
        <f ca="1">_xlfn.IFNA(INDEX(武器升级消耗!$H:$H,MATCH(玩家节奏1!DU28/玩家节奏1!DU$5,武器升级消耗!O:O,1)),0)</f>
        <v>4</v>
      </c>
      <c r="DZ28" s="90">
        <f>_xlfn.IFNA(INDEX(武器升级消耗!$H:$H,MATCH(玩家节奏1!DV28/玩家节奏1!DV$5,武器升级消耗!P:P,1)),0)</f>
        <v>2</v>
      </c>
      <c r="EA28" s="90">
        <f ca="1">_xlfn.IFNA(INDEX(武器升级消耗!$Q:$Q,MATCH(玩家节奏1!DW28,武器升级消耗!$H:$H,0))*2*EA$4,0)</f>
        <v>1.68</v>
      </c>
      <c r="EB28" s="90">
        <f ca="1">_xlfn.IFNA(INDEX(武器升级消耗!$Q:$Q,MATCH(玩家节奏1!DX28,武器升级消耗!$H:$H,0))*2*EB$4,0)</f>
        <v>1.6500000000000001</v>
      </c>
      <c r="EC28" s="90">
        <f ca="1">_xlfn.IFNA(INDEX(武器升级消耗!$Q:$Q,MATCH(玩家节奏1!DY28,武器升级消耗!$H:$H,0))*2*EC$4,1)</f>
        <v>1.7600000000000002</v>
      </c>
      <c r="ED28" s="90">
        <f>_xlfn.IFNA(INDEX(武器升级消耗!$Q:$Q,MATCH(玩家节奏1!DZ28,武器升级消耗!$H:$H,0))*2*ED$4,0)</f>
        <v>1.7999999999999998</v>
      </c>
      <c r="EF28" s="128"/>
      <c r="EG28" s="90"/>
      <c r="EH28" s="90"/>
      <c r="EI28" s="90"/>
      <c r="EJ28" s="90"/>
      <c r="EK28" s="90"/>
      <c r="EL28" s="90"/>
      <c r="EM28" s="90"/>
      <c r="EO28" s="128"/>
      <c r="EP28" s="90"/>
      <c r="EQ28" s="90"/>
      <c r="ER28" s="90"/>
      <c r="ES28" s="90"/>
      <c r="ET28" s="90"/>
      <c r="EU28" s="90"/>
      <c r="EV28" s="90"/>
      <c r="EW28" s="90"/>
      <c r="EX28" s="90"/>
      <c r="EY28" s="90"/>
      <c r="EZ28" s="90"/>
      <c r="FA28" s="90"/>
      <c r="FB28" s="90"/>
      <c r="FD28" s="90">
        <f t="shared" ca="1" si="63"/>
        <v>1.7600000000000002</v>
      </c>
      <c r="FE28" s="90"/>
      <c r="FF28" s="90"/>
      <c r="FG28" s="90">
        <f t="shared" ca="1" si="64"/>
        <v>0</v>
      </c>
    </row>
    <row r="29" spans="1:163" x14ac:dyDescent="0.25">
      <c r="A29" s="123">
        <v>23</v>
      </c>
      <c r="B29" s="123">
        <f>INDEX(关卡对比!$Y:$Y,MATCH(关卡对比!Z29,关卡对比!$AA:$AA,1))</f>
        <v>16</v>
      </c>
      <c r="C29" s="124">
        <f>INDEX(关卡对比!$Y:$Y,MATCH(关卡对比!Z29,关卡对比!$AB:$AB,1))</f>
        <v>14</v>
      </c>
      <c r="D29" s="125">
        <f t="shared" si="70"/>
        <v>128.5</v>
      </c>
      <c r="E29" s="125">
        <v>3</v>
      </c>
      <c r="F29" s="128">
        <v>5</v>
      </c>
      <c r="G29" s="90">
        <v>1</v>
      </c>
      <c r="H29" s="90">
        <v>1</v>
      </c>
      <c r="J29" s="128">
        <v>23</v>
      </c>
      <c r="K29" s="90">
        <f t="shared" si="10"/>
        <v>5</v>
      </c>
      <c r="L29" s="90">
        <f t="shared" si="11"/>
        <v>1</v>
      </c>
      <c r="M29" s="90">
        <f t="shared" si="12"/>
        <v>1</v>
      </c>
      <c r="N29" s="140">
        <f>INDEX($A:$A,MATCH(SUM($K$7:K29),$D:$D,1))</f>
        <v>24</v>
      </c>
      <c r="O29" s="140">
        <v>0</v>
      </c>
      <c r="P29" s="141">
        <v>0</v>
      </c>
      <c r="Q29" s="126">
        <f>_xlfn.MAXIFS(关卡产出!X:X,关卡产出!$A:$A,玩家节奏1!$N$6,关卡产出!$B:$B,玩家节奏1!$N29)+_xlfn.MAXIFS(关卡产出!X:X,关卡产出!$A:$A,玩家节奏1!$O$6,关卡产出!$B:$B,玩家节奏1!$O29)+_xlfn.MAXIFS(关卡产出!X:X,关卡产出!$A:$A,玩家节奏1!$P$6,关卡产出!$B:$B,玩家节奏1!$P29)</f>
        <v>3300</v>
      </c>
      <c r="R29" s="90">
        <f>_xlfn.MAXIFS(关卡产出!Y:Y,关卡产出!$A:$A,玩家节奏1!$N$6,关卡产出!$B:$B,玩家节奏1!$N29)+_xlfn.MAXIFS(关卡产出!Y:Y,关卡产出!$A:$A,玩家节奏1!$O$6,关卡产出!$B:$B,玩家节奏1!$O29)+_xlfn.MAXIFS(关卡产出!Y:Y,关卡产出!$A:$A,玩家节奏1!$P$6,关卡产出!$B:$B,玩家节奏1!$P29)</f>
        <v>134800</v>
      </c>
      <c r="S29" s="90">
        <f>_xlfn.MAXIFS(关卡产出!Z:Z,关卡产出!$A:$A,玩家节奏1!$N$6,关卡产出!$B:$B,玩家节奏1!$N29)+_xlfn.MAXIFS(关卡产出!Z:Z,关卡产出!$A:$A,玩家节奏1!$O$6,关卡产出!$B:$B,玩家节奏1!$O29)+_xlfn.MAXIFS(关卡产出!Z:Z,关卡产出!$A:$A,玩家节奏1!$P$6,关卡产出!$B:$B,玩家节奏1!$P29)</f>
        <v>1074</v>
      </c>
      <c r="T29" s="90">
        <f>_xlfn.MAXIFS(关卡产出!AA:AA,关卡产出!$A:$A,玩家节奏1!$N$6,关卡产出!$B:$B,玩家节奏1!$N29)+_xlfn.MAXIFS(关卡产出!AA:AA,关卡产出!$A:$A,玩家节奏1!$O$6,关卡产出!$B:$B,玩家节奏1!$O29)+_xlfn.MAXIFS(关卡产出!AA:AA,关卡产出!$A:$A,玩家节奏1!$P$6,关卡产出!$B:$B,玩家节奏1!$P29)</f>
        <v>538</v>
      </c>
      <c r="U29" s="90">
        <f>_xlfn.MAXIFS(关卡产出!AB:AB,关卡产出!$A:$A,玩家节奏1!$N$6,关卡产出!$B:$B,玩家节奏1!$N29)+_xlfn.MAXIFS(关卡产出!AB:AB,关卡产出!$A:$A,玩家节奏1!$O$6,关卡产出!$B:$B,玩家节奏1!$O29)+_xlfn.MAXIFS(关卡产出!AB:AB,关卡产出!$A:$A,玩家节奏1!$P$6,关卡产出!$B:$B,玩家节奏1!$P29)</f>
        <v>193</v>
      </c>
      <c r="V29" s="130">
        <f>_xlfn.MAXIFS(关卡产出!AC:AC,关卡产出!$A:$A,玩家节奏1!$N$6,关卡产出!$B:$B,玩家节奏1!$N29)+_xlfn.MAXIFS(关卡产出!AC:AC,关卡产出!$A:$A,玩家节奏1!$O$6,关卡产出!$B:$B,玩家节奏1!$O29)+_xlfn.MAXIFS(关卡产出!AC:AC,关卡产出!$A:$A,玩家节奏1!$P$6,关卡产出!$B:$B,玩家节奏1!$P29)</f>
        <v>144</v>
      </c>
      <c r="W29" s="126">
        <f>INDEX(关卡产出!C$8:C$207,MATCH(玩家节奏1!$N29,关卡产出!$B$8:$B$207,0))*$K29</f>
        <v>90</v>
      </c>
      <c r="X29" s="126">
        <f>INDEX(关卡产出!D$8:D$207,MATCH(玩家节奏1!$N29,关卡产出!$B$8:$B$207,0))*$K29</f>
        <v>45</v>
      </c>
      <c r="Y29" s="126">
        <f>INDEX(关卡产出!E$8:E$207,MATCH(玩家节奏1!$N29,关卡产出!$B$8:$B$207,0))*$K29</f>
        <v>20</v>
      </c>
      <c r="Z29" s="144">
        <f>INDEX(关卡产出!F$8:F$207,MATCH(玩家节奏1!$N29,关卡产出!$B$8:$B$207,0))*$K29</f>
        <v>1450</v>
      </c>
      <c r="AA29" s="126">
        <f>SUM(W$7:W29)</f>
        <v>1561</v>
      </c>
      <c r="AB29" s="126">
        <f>SUM(X$7:X29)</f>
        <v>741</v>
      </c>
      <c r="AC29" s="126">
        <f>SUM(Y$7:Y29)</f>
        <v>262</v>
      </c>
      <c r="AD29" s="126">
        <f>SUM(Z$7:Z29)</f>
        <v>28910</v>
      </c>
      <c r="AE29" s="126">
        <f>INDEX(图鉴!AQ:AQ,MATCH($N29,图鉴!$S:$S,0))*8</f>
        <v>136</v>
      </c>
      <c r="AF29" s="90">
        <f>INDEX(图鉴!AR:AR,MATCH($N29,图鉴!$S:$S,0))*8</f>
        <v>64</v>
      </c>
      <c r="AG29" s="90">
        <f>INDEX(图鉴!AS:AS,MATCH($N29,图鉴!$S:$S,0))*8</f>
        <v>8</v>
      </c>
      <c r="AH29" s="129">
        <f ca="1">INDEX(图鉴!AT:AT,MATCH($N29,图鉴!$S:$S,0))*8</f>
        <v>4392</v>
      </c>
      <c r="AI29" s="128">
        <f>SUM($AE$7:AE29)</f>
        <v>2432</v>
      </c>
      <c r="AJ29" s="90">
        <f>SUM(AF$7:AF29)</f>
        <v>792</v>
      </c>
      <c r="AK29" s="90">
        <f>SUM(AG$7:AG29)</f>
        <v>144</v>
      </c>
      <c r="AL29" s="130">
        <f ca="1">SUM(AH$7:AH29)</f>
        <v>73064</v>
      </c>
      <c r="AM29" s="133">
        <f>IF(M29=0,0,INDEX(关卡产出!$AU$11:$AU$15,MATCH(玩家节奏1!N29,关卡产出!$AW$11:$AW$15,1))*M29)</f>
        <v>4100</v>
      </c>
      <c r="AN29" s="126">
        <f>IF(L29=0,0,$L29*关卡产出!AU$21)</f>
        <v>1000</v>
      </c>
      <c r="AO29" s="90">
        <f>IF(M29=0,0,$L29*关卡产出!AV$21)</f>
        <v>50</v>
      </c>
      <c r="AP29" s="129">
        <f>IF(N29=0,0,$L29*关卡产出!AW$21)</f>
        <v>1</v>
      </c>
      <c r="AQ29" s="138">
        <f>SUM(AN$7:AN29)</f>
        <v>6000</v>
      </c>
      <c r="AR29" s="126">
        <f>SUM(AO$7:AO29)</f>
        <v>300</v>
      </c>
      <c r="AS29" s="129">
        <f>SUM(AP$7:AP29)</f>
        <v>6</v>
      </c>
      <c r="AT29" s="128">
        <v>500</v>
      </c>
      <c r="AU29" s="129">
        <v>100</v>
      </c>
      <c r="AV29" s="128">
        <f>SUM(AT$7:AT29)</f>
        <v>11500</v>
      </c>
      <c r="AW29" s="90">
        <f>SUM(AU$7:AU29)</f>
        <v>2300</v>
      </c>
      <c r="AY29" s="128">
        <f t="shared" si="13"/>
        <v>3300</v>
      </c>
      <c r="AZ29" s="90">
        <f t="shared" si="14"/>
        <v>300</v>
      </c>
      <c r="BA29" s="90">
        <f t="shared" si="15"/>
        <v>2300</v>
      </c>
      <c r="BB29" s="90">
        <f t="shared" ca="1" si="65"/>
        <v>400</v>
      </c>
      <c r="BC29" s="90">
        <f t="shared" ca="1" si="68"/>
        <v>6300</v>
      </c>
      <c r="BD29" s="90"/>
      <c r="BE29" s="90">
        <f t="shared" ca="1" si="17"/>
        <v>6300</v>
      </c>
      <c r="BF29" s="142">
        <f t="shared" ca="1" si="18"/>
        <v>0.52380952380952384</v>
      </c>
      <c r="BG29" s="142">
        <f t="shared" ca="1" si="19"/>
        <v>4.7619047619047616E-2</v>
      </c>
      <c r="BH29" s="142">
        <f t="shared" ca="1" si="20"/>
        <v>0.36507936507936506</v>
      </c>
      <c r="BI29" s="142">
        <f t="shared" ca="1" si="21"/>
        <v>6.3492063492063489E-2</v>
      </c>
      <c r="BJ29" s="143"/>
      <c r="BK29" s="128">
        <f ca="1">INDEX(商城宝箱!$L:$L,MATCH(BC29,商城宝箱!$N:$N,1))</f>
        <v>3</v>
      </c>
      <c r="BL29" s="90">
        <f ca="1">_xlfn.IFNA(INDEX(商城宝箱!T:T,MATCH(玩家节奏1!$BK29,商城宝箱!$L:$L,0)),0)+($BC29-INDEX(商城宝箱!$N:$N,MATCH(玩家节奏1!$BK29,商城宝箱!$L:$L,0)))/$BK$5*INDEX(商城宝箱!E$23:E$42,MATCH(玩家节奏1!$BK29+1,商城宝箱!$C$23:$C$42,0))</f>
        <v>15750</v>
      </c>
      <c r="BM29" s="90">
        <f ca="1">_xlfn.IFNA(INDEX(商城宝箱!U:U,MATCH(玩家节奏1!$BK29,商城宝箱!$L:$L,0)),0)+($BC29-INDEX(商城宝箱!$N:$N,MATCH(玩家节奏1!$BK29,商城宝箱!$L:$L,0)))/$BK$5*INDEX(商城宝箱!F$23:F$42,MATCH(玩家节奏1!$BK29+1,商城宝箱!$C$23:$C$42,0))</f>
        <v>2647.5</v>
      </c>
      <c r="BN29" s="90">
        <f ca="1">_xlfn.IFNA(INDEX(商城宝箱!V:V,MATCH(玩家节奏1!$BK29,商城宝箱!$L:$L,0)),0)+($BC29-INDEX(商城宝箱!$N:$N,MATCH(玩家节奏1!$BK29,商城宝箱!$L:$L,0)))/$BK$5*INDEX(商城宝箱!G$23:G$42,MATCH(玩家节奏1!$BK29+1,商城宝箱!$C$23:$C$42,0))</f>
        <v>919.5</v>
      </c>
      <c r="BO29" s="90">
        <f ca="1">_xlfn.IFNA(INDEX(商城宝箱!W:W,MATCH(玩家节奏1!$BK29,商城宝箱!$L:$L,0)),0)+($BC29-INDEX(商城宝箱!$N:$N,MATCH(玩家节奏1!$BK29,商城宝箱!$L:$L,0)))/$BK$5*INDEX(商城宝箱!H$23:H$42,MATCH(玩家节奏1!$BK29+1,商城宝箱!$C$23:$C$42,0))</f>
        <v>126</v>
      </c>
      <c r="BQ29" s="128">
        <f t="shared" si="0"/>
        <v>134800</v>
      </c>
      <c r="BR29" s="90">
        <f t="shared" si="1"/>
        <v>28910</v>
      </c>
      <c r="BS29" s="90">
        <f t="shared" ca="1" si="2"/>
        <v>73064</v>
      </c>
      <c r="BT29" s="90">
        <f t="shared" si="3"/>
        <v>4100</v>
      </c>
      <c r="BU29" s="90">
        <f t="shared" si="4"/>
        <v>6000</v>
      </c>
      <c r="BV29" s="90">
        <f t="shared" si="5"/>
        <v>11500</v>
      </c>
      <c r="BW29" s="90">
        <f t="shared" ca="1" si="22"/>
        <v>15750</v>
      </c>
      <c r="BX29" s="90">
        <f t="shared" ca="1" si="23"/>
        <v>274124</v>
      </c>
      <c r="BY29" s="142">
        <f t="shared" ca="1" si="24"/>
        <v>0.49174825991157284</v>
      </c>
      <c r="BZ29" s="142">
        <f t="shared" ca="1" si="25"/>
        <v>0.10546322102406211</v>
      </c>
      <c r="CA29" s="142">
        <f t="shared" ca="1" si="26"/>
        <v>0.26653631203397005</v>
      </c>
      <c r="CB29" s="142">
        <f t="shared" ca="1" si="27"/>
        <v>1.4956734908289679E-2</v>
      </c>
      <c r="CC29" s="142">
        <f t="shared" ca="1" si="28"/>
        <v>2.1887904743838556E-2</v>
      </c>
      <c r="CD29" s="142">
        <f t="shared" ca="1" si="29"/>
        <v>4.1951817425690562E-2</v>
      </c>
      <c r="CE29" s="142">
        <f t="shared" ca="1" si="30"/>
        <v>5.7455749952576206E-2</v>
      </c>
      <c r="CG29" s="128">
        <f t="shared" si="31"/>
        <v>24</v>
      </c>
      <c r="CH29" s="90">
        <f ca="1">INDEX(角色升级!$A:$A,MATCH(玩家节奏1!$BX29,角色升级!$J:$J,1))</f>
        <v>162</v>
      </c>
      <c r="CI29" s="90">
        <f ca="1">INDEX(角色升级!$O:$O,MATCH(玩家节奏1!$BX29,角色升级!$J:$J,1))</f>
        <v>2304.2439299999996</v>
      </c>
      <c r="CJ29" s="90">
        <f>INDEX(关卡对比!$J:$J,MATCH(玩家节奏1!N29,关卡对比!$A:$A,0))</f>
        <v>2700</v>
      </c>
      <c r="CK29" s="147">
        <f t="shared" ca="1" si="32"/>
        <v>1.1717509439202474</v>
      </c>
      <c r="CL29" s="128">
        <f ca="1">INDEX(角色升级!$P:$P,MATCH(玩家节奏1!$CH29,角色升级!$A:$A,0))</f>
        <v>400</v>
      </c>
      <c r="CM29" s="90">
        <f ca="1">INDEX(角色升级!Q:Q,MATCH(玩家节奏1!$CH29,角色升级!$A:$A,0))</f>
        <v>0.1</v>
      </c>
      <c r="CO29" s="128">
        <f t="shared" si="33"/>
        <v>1074</v>
      </c>
      <c r="CP29" s="90">
        <f t="shared" si="34"/>
        <v>1561</v>
      </c>
      <c r="CQ29" s="90">
        <f t="shared" si="35"/>
        <v>2432</v>
      </c>
      <c r="CR29" s="90">
        <f t="shared" ca="1" si="36"/>
        <v>2647.5</v>
      </c>
      <c r="CS29" s="90">
        <f t="shared" ca="1" si="37"/>
        <v>7714.5</v>
      </c>
      <c r="CT29" s="142">
        <f t="shared" ca="1" si="38"/>
        <v>0.13921835504569319</v>
      </c>
      <c r="CU29" s="142">
        <f t="shared" ca="1" si="39"/>
        <v>0.20234623112320954</v>
      </c>
      <c r="CV29" s="142">
        <f t="shared" ca="1" si="40"/>
        <v>0.31525050230086199</v>
      </c>
      <c r="CW29" s="142">
        <f t="shared" ca="1" si="41"/>
        <v>0.34318491153023528</v>
      </c>
      <c r="CY29" s="128">
        <f t="shared" si="42"/>
        <v>538</v>
      </c>
      <c r="CZ29" s="90">
        <f t="shared" si="43"/>
        <v>741</v>
      </c>
      <c r="DA29" s="90">
        <f t="shared" si="44"/>
        <v>792</v>
      </c>
      <c r="DB29" s="90">
        <f t="shared" ca="1" si="66"/>
        <v>919.5</v>
      </c>
      <c r="DC29" s="90">
        <f t="shared" ca="1" si="45"/>
        <v>2990.5</v>
      </c>
      <c r="DD29" s="142">
        <f t="shared" ca="1" si="46"/>
        <v>0.17990302624979101</v>
      </c>
      <c r="DE29" s="142">
        <f t="shared" ca="1" si="47"/>
        <v>0.2477846513960876</v>
      </c>
      <c r="DF29" s="142">
        <f t="shared" ca="1" si="48"/>
        <v>0.26483865574318677</v>
      </c>
      <c r="DG29" s="142">
        <f t="shared" ca="1" si="49"/>
        <v>0.30747366661093462</v>
      </c>
      <c r="DI29" s="128">
        <f t="shared" si="50"/>
        <v>193</v>
      </c>
      <c r="DJ29" s="90">
        <f t="shared" si="51"/>
        <v>262</v>
      </c>
      <c r="DK29" s="90">
        <f t="shared" si="52"/>
        <v>144</v>
      </c>
      <c r="DL29" s="90">
        <f t="shared" ca="1" si="53"/>
        <v>126</v>
      </c>
      <c r="DM29" s="90">
        <f t="shared" ca="1" si="54"/>
        <v>725</v>
      </c>
      <c r="DN29" s="142">
        <f t="shared" ca="1" si="55"/>
        <v>0.26620689655172414</v>
      </c>
      <c r="DO29" s="142">
        <f t="shared" ca="1" si="56"/>
        <v>0.36137931034482756</v>
      </c>
      <c r="DP29" s="142">
        <f t="shared" ca="1" si="57"/>
        <v>0.19862068965517241</v>
      </c>
      <c r="DQ29" s="142">
        <f t="shared" ca="1" si="58"/>
        <v>0.17379310344827587</v>
      </c>
      <c r="DS29" s="128">
        <f t="shared" ca="1" si="59"/>
        <v>7714.5</v>
      </c>
      <c r="DT29" s="90">
        <f t="shared" ca="1" si="60"/>
        <v>2990.5</v>
      </c>
      <c r="DU29" s="90">
        <f t="shared" ca="1" si="61"/>
        <v>725</v>
      </c>
      <c r="DV29" s="90">
        <f t="shared" si="62"/>
        <v>6</v>
      </c>
      <c r="DW29" s="90">
        <f ca="1">_xlfn.IFNA(INDEX(武器升级消耗!$H:$H,MATCH(玩家节奏1!DS29/玩家节奏1!DS$5,武器升级消耗!M:M,1)),0)</f>
        <v>10</v>
      </c>
      <c r="DX29" s="90">
        <f ca="1">_xlfn.IFNA(INDEX(武器升级消耗!$H:$H,MATCH(玩家节奏1!DT29/玩家节奏1!DT$5,武器升级消耗!N:N,1)),0)</f>
        <v>7</v>
      </c>
      <c r="DY29" s="90">
        <f ca="1">_xlfn.IFNA(INDEX(武器升级消耗!$H:$H,MATCH(玩家节奏1!DU29/玩家节奏1!DU$5,武器升级消耗!O:O,1)),0)</f>
        <v>4</v>
      </c>
      <c r="DZ29" s="90">
        <f>_xlfn.IFNA(INDEX(武器升级消耗!$H:$H,MATCH(玩家节奏1!DV29/玩家节奏1!DV$5,武器升级消耗!P:P,1)),0)</f>
        <v>3</v>
      </c>
      <c r="EA29" s="90">
        <f ca="1">_xlfn.IFNA(INDEX(武器升级消耗!$Q:$Q,MATCH(玩家节奏1!DW29,武器升级消耗!$H:$H,0))*2*EA$4,0)</f>
        <v>1.68</v>
      </c>
      <c r="EB29" s="90">
        <f ca="1">_xlfn.IFNA(INDEX(武器升级消耗!$Q:$Q,MATCH(玩家节奏1!DX29,武器升级消耗!$H:$H,0))*2*EB$4,0)</f>
        <v>1.6500000000000001</v>
      </c>
      <c r="EC29" s="90">
        <f ca="1">_xlfn.IFNA(INDEX(武器升级消耗!$Q:$Q,MATCH(玩家节奏1!DY29,武器升级消耗!$H:$H,0))*2*EC$4,1)</f>
        <v>1.7600000000000002</v>
      </c>
      <c r="ED29" s="90">
        <f>_xlfn.IFNA(INDEX(武器升级消耗!$Q:$Q,MATCH(玩家节奏1!DZ29,武器升级消耗!$H:$H,0))*2*ED$4,0)</f>
        <v>2.0999999999999996</v>
      </c>
      <c r="EF29" s="128"/>
      <c r="EG29" s="90"/>
      <c r="EH29" s="90"/>
      <c r="EI29" s="90"/>
      <c r="EJ29" s="90"/>
      <c r="EK29" s="90"/>
      <c r="EL29" s="90"/>
      <c r="EM29" s="90"/>
      <c r="EO29" s="128"/>
      <c r="EP29" s="90"/>
      <c r="EQ29" s="90"/>
      <c r="ER29" s="90"/>
      <c r="ES29" s="90"/>
      <c r="ET29" s="90"/>
      <c r="EU29" s="90"/>
      <c r="EV29" s="90"/>
      <c r="EW29" s="90"/>
      <c r="EX29" s="90"/>
      <c r="EY29" s="90"/>
      <c r="EZ29" s="90"/>
      <c r="FA29" s="90"/>
      <c r="FB29" s="90"/>
      <c r="FD29" s="90">
        <f t="shared" ca="1" si="63"/>
        <v>1.7600000000000002</v>
      </c>
      <c r="FE29" s="90"/>
      <c r="FF29" s="90"/>
      <c r="FG29" s="90">
        <f t="shared" ca="1" si="64"/>
        <v>0</v>
      </c>
    </row>
    <row r="30" spans="1:163" x14ac:dyDescent="0.25">
      <c r="A30" s="123">
        <v>24</v>
      </c>
      <c r="B30" s="123">
        <f>INDEX(关卡对比!$Y:$Y,MATCH(关卡对比!Z30,关卡对比!$AA:$AA,1))</f>
        <v>17</v>
      </c>
      <c r="C30" s="124">
        <f>INDEX(关卡对比!$Y:$Y,MATCH(关卡对比!Z30,关卡对比!$AB:$AB,1))</f>
        <v>15</v>
      </c>
      <c r="D30" s="125">
        <f t="shared" si="70"/>
        <v>137.5</v>
      </c>
      <c r="E30" s="125">
        <v>3</v>
      </c>
      <c r="F30" s="128">
        <v>5</v>
      </c>
      <c r="G30" s="90">
        <v>1</v>
      </c>
      <c r="H30" s="90">
        <v>1</v>
      </c>
      <c r="J30" s="128">
        <v>24</v>
      </c>
      <c r="K30" s="90">
        <f t="shared" si="10"/>
        <v>5</v>
      </c>
      <c r="L30" s="90">
        <f t="shared" si="11"/>
        <v>1</v>
      </c>
      <c r="M30" s="90">
        <f t="shared" si="12"/>
        <v>1</v>
      </c>
      <c r="N30" s="140">
        <f>INDEX($A:$A,MATCH(SUM($K$7:K30),$D:$D,1))</f>
        <v>25</v>
      </c>
      <c r="O30" s="140">
        <v>0</v>
      </c>
      <c r="P30" s="141">
        <v>0</v>
      </c>
      <c r="Q30" s="126">
        <f>_xlfn.MAXIFS(关卡产出!X:X,关卡产出!$A:$A,玩家节奏1!$N$6,关卡产出!$B:$B,玩家节奏1!$N30)+_xlfn.MAXIFS(关卡产出!X:X,关卡产出!$A:$A,玩家节奏1!$O$6,关卡产出!$B:$B,玩家节奏1!$O30)+_xlfn.MAXIFS(关卡产出!X:X,关卡产出!$A:$A,玩家节奏1!$P$6,关卡产出!$B:$B,玩家节奏1!$P30)</f>
        <v>3500</v>
      </c>
      <c r="R30" s="90">
        <f>_xlfn.MAXIFS(关卡产出!Y:Y,关卡产出!$A:$A,玩家节奏1!$N$6,关卡产出!$B:$B,玩家节奏1!$N30)+_xlfn.MAXIFS(关卡产出!Y:Y,关卡产出!$A:$A,玩家节奏1!$O$6,关卡产出!$B:$B,玩家节奏1!$O30)+_xlfn.MAXIFS(关卡产出!Y:Y,关卡产出!$A:$A,玩家节奏1!$P$6,关卡产出!$B:$B,玩家节奏1!$P30)</f>
        <v>147500</v>
      </c>
      <c r="S30" s="90">
        <f>_xlfn.MAXIFS(关卡产出!Z:Z,关卡产出!$A:$A,玩家节奏1!$N$6,关卡产出!$B:$B,玩家节奏1!$N30)+_xlfn.MAXIFS(关卡产出!Z:Z,关卡产出!$A:$A,玩家节奏1!$O$6,关卡产出!$B:$B,玩家节奏1!$O30)+_xlfn.MAXIFS(关卡产出!Z:Z,关卡产出!$A:$A,玩家节奏1!$P$6,关卡产出!$B:$B,玩家节奏1!$P30)</f>
        <v>1166</v>
      </c>
      <c r="T30" s="90">
        <f>_xlfn.MAXIFS(关卡产出!AA:AA,关卡产出!$A:$A,玩家节奏1!$N$6,关卡产出!$B:$B,玩家节奏1!$N30)+_xlfn.MAXIFS(关卡产出!AA:AA,关卡产出!$A:$A,玩家节奏1!$O$6,关卡产出!$B:$B,玩家节奏1!$O30)+_xlfn.MAXIFS(关卡产出!AA:AA,关卡产出!$A:$A,玩家节奏1!$P$6,关卡产出!$B:$B,玩家节奏1!$P30)</f>
        <v>584</v>
      </c>
      <c r="U30" s="90">
        <f>_xlfn.MAXIFS(关卡产出!AB:AB,关卡产出!$A:$A,玩家节奏1!$N$6,关卡产出!$B:$B,玩家节奏1!$N30)+_xlfn.MAXIFS(关卡产出!AB:AB,关卡产出!$A:$A,玩家节奏1!$O$6,关卡产出!$B:$B,玩家节奏1!$O30)+_xlfn.MAXIFS(关卡产出!AB:AB,关卡产出!$A:$A,玩家节奏1!$P$6,关卡产出!$B:$B,玩家节奏1!$P30)</f>
        <v>213</v>
      </c>
      <c r="V30" s="130">
        <f>_xlfn.MAXIFS(关卡产出!AC:AC,关卡产出!$A:$A,玩家节奏1!$N$6,关卡产出!$B:$B,玩家节奏1!$N30)+_xlfn.MAXIFS(关卡产出!AC:AC,关卡产出!$A:$A,玩家节奏1!$O$6,关卡产出!$B:$B,玩家节奏1!$O30)+_xlfn.MAXIFS(关卡产出!AC:AC,关卡产出!$A:$A,玩家节奏1!$P$6,关卡产出!$B:$B,玩家节奏1!$P30)</f>
        <v>150</v>
      </c>
      <c r="W30" s="126">
        <f>INDEX(关卡产出!C$8:C$207,MATCH(玩家节奏1!$N30,关卡产出!$B$8:$B$207,0))*$K30</f>
        <v>90</v>
      </c>
      <c r="X30" s="126">
        <f>INDEX(关卡产出!D$8:D$207,MATCH(玩家节奏1!$N30,关卡产出!$B$8:$B$207,0))*$K30</f>
        <v>45</v>
      </c>
      <c r="Y30" s="126">
        <f>INDEX(关卡产出!E$8:E$207,MATCH(玩家节奏1!$N30,关卡产出!$B$8:$B$207,0))*$K30</f>
        <v>20</v>
      </c>
      <c r="Z30" s="144">
        <f>INDEX(关卡产出!F$8:F$207,MATCH(玩家节奏1!$N30,关卡产出!$B$8:$B$207,0))*$K30</f>
        <v>1550</v>
      </c>
      <c r="AA30" s="126">
        <f>SUM(W$7:W30)</f>
        <v>1651</v>
      </c>
      <c r="AB30" s="126">
        <f>SUM(X$7:X30)</f>
        <v>786</v>
      </c>
      <c r="AC30" s="126">
        <f>SUM(Y$7:Y30)</f>
        <v>282</v>
      </c>
      <c r="AD30" s="126">
        <f>SUM(Z$7:Z30)</f>
        <v>30460</v>
      </c>
      <c r="AE30" s="126">
        <f>INDEX(图鉴!AQ:AQ,MATCH($N30,图鉴!$S:$S,0))*8</f>
        <v>136</v>
      </c>
      <c r="AF30" s="90">
        <f>INDEX(图鉴!AR:AR,MATCH($N30,图鉴!$S:$S,0))*8</f>
        <v>64</v>
      </c>
      <c r="AG30" s="90">
        <f>INDEX(图鉴!AS:AS,MATCH($N30,图鉴!$S:$S,0))*8</f>
        <v>8</v>
      </c>
      <c r="AH30" s="129">
        <f ca="1">INDEX(图鉴!AT:AT,MATCH($N30,图鉴!$S:$S,0))*8</f>
        <v>4392</v>
      </c>
      <c r="AI30" s="128">
        <f>SUM($AE$7:AE30)</f>
        <v>2568</v>
      </c>
      <c r="AJ30" s="90">
        <f>SUM(AF$7:AF30)</f>
        <v>856</v>
      </c>
      <c r="AK30" s="90">
        <f>SUM(AG$7:AG30)</f>
        <v>152</v>
      </c>
      <c r="AL30" s="130">
        <f ca="1">SUM(AH$7:AH30)</f>
        <v>77456</v>
      </c>
      <c r="AM30" s="133">
        <f>IF(M30=0,0,INDEX(关卡产出!$AU$11:$AU$15,MATCH(玩家节奏1!N30,关卡产出!$AW$11:$AW$15,1))*M30)</f>
        <v>4100</v>
      </c>
      <c r="AN30" s="126">
        <f>IF(L30=0,0,$L30*关卡产出!AU$21)</f>
        <v>1000</v>
      </c>
      <c r="AO30" s="90">
        <f>IF(M30=0,0,$L30*关卡产出!AV$21)</f>
        <v>50</v>
      </c>
      <c r="AP30" s="129">
        <f>IF(N30=0,0,$L30*关卡产出!AW$21)</f>
        <v>1</v>
      </c>
      <c r="AQ30" s="138">
        <f>SUM(AN$7:AN30)</f>
        <v>7000</v>
      </c>
      <c r="AR30" s="126">
        <f>SUM(AO$7:AO30)</f>
        <v>350</v>
      </c>
      <c r="AS30" s="129">
        <f>SUM(AP$7:AP30)</f>
        <v>7</v>
      </c>
      <c r="AT30" s="128">
        <v>500</v>
      </c>
      <c r="AU30" s="129">
        <v>100</v>
      </c>
      <c r="AV30" s="128">
        <f>SUM(AT$7:AT30)</f>
        <v>12000</v>
      </c>
      <c r="AW30" s="90">
        <f>SUM(AU$7:AU30)</f>
        <v>2400</v>
      </c>
      <c r="AY30" s="128">
        <f t="shared" si="13"/>
        <v>3500</v>
      </c>
      <c r="AZ30" s="90">
        <f t="shared" si="14"/>
        <v>350</v>
      </c>
      <c r="BA30" s="90">
        <f t="shared" si="15"/>
        <v>2400</v>
      </c>
      <c r="BB30" s="90">
        <f t="shared" ca="1" si="65"/>
        <v>400</v>
      </c>
      <c r="BC30" s="90">
        <f t="shared" ca="1" si="68"/>
        <v>6650</v>
      </c>
      <c r="BD30" s="90"/>
      <c r="BE30" s="90">
        <f t="shared" ca="1" si="17"/>
        <v>6650</v>
      </c>
      <c r="BF30" s="142">
        <f t="shared" ca="1" si="18"/>
        <v>0.52631578947368418</v>
      </c>
      <c r="BG30" s="142">
        <f t="shared" ca="1" si="19"/>
        <v>5.2631578947368418E-2</v>
      </c>
      <c r="BH30" s="142">
        <f t="shared" ca="1" si="20"/>
        <v>0.36090225563909772</v>
      </c>
      <c r="BI30" s="142">
        <f t="shared" ca="1" si="21"/>
        <v>6.0150375939849621E-2</v>
      </c>
      <c r="BJ30" s="143"/>
      <c r="BK30" s="128">
        <f ca="1">INDEX(商城宝箱!$L:$L,MATCH(BC30,商城宝箱!$N:$N,1))</f>
        <v>4</v>
      </c>
      <c r="BL30" s="90">
        <f ca="1">_xlfn.IFNA(INDEX(商城宝箱!T:T,MATCH(玩家节奏1!$BK30,商城宝箱!$L:$L,0)),0)+($BC30-INDEX(商城宝箱!$N:$N,MATCH(玩家节奏1!$BK30,商城宝箱!$L:$L,0)))/$BK$5*INDEX(商城宝箱!E$23:E$42,MATCH(玩家节奏1!$BK30+1,商城宝箱!$C$23:$C$42,0))</f>
        <v>16625</v>
      </c>
      <c r="BM30" s="90">
        <f ca="1">_xlfn.IFNA(INDEX(商城宝箱!U:U,MATCH(玩家节奏1!$BK30,商城宝箱!$L:$L,0)),0)+($BC30-INDEX(商城宝箱!$N:$N,MATCH(玩家节奏1!$BK30,商城宝箱!$L:$L,0)))/$BK$5*INDEX(商城宝箱!F$23:F$42,MATCH(玩家节奏1!$BK30+1,商城宝箱!$C$23:$C$42,0))</f>
        <v>2850</v>
      </c>
      <c r="BN30" s="90">
        <f ca="1">_xlfn.IFNA(INDEX(商城宝箱!V:V,MATCH(玩家节奏1!$BK30,商城宝箱!$L:$L,0)),0)+($BC30-INDEX(商城宝箱!$N:$N,MATCH(玩家节奏1!$BK30,商城宝箱!$L:$L,0)))/$BK$5*INDEX(商城宝箱!G$23:G$42,MATCH(玩家节奏1!$BK30+1,商城宝箱!$C$23:$C$42,0))</f>
        <v>1005.75</v>
      </c>
      <c r="BO30" s="90">
        <f ca="1">_xlfn.IFNA(INDEX(商城宝箱!W:W,MATCH(玩家节奏1!$BK30,商城宝箱!$L:$L,0)),0)+($BC30-INDEX(商城宝箱!$N:$N,MATCH(玩家节奏1!$BK30,商城宝箱!$L:$L,0)))/$BK$5*INDEX(商城宝箱!H$23:H$42,MATCH(玩家节奏1!$BK30+1,商城宝箱!$C$23:$C$42,0))</f>
        <v>139.25</v>
      </c>
      <c r="BQ30" s="128">
        <f t="shared" si="0"/>
        <v>147500</v>
      </c>
      <c r="BR30" s="90">
        <f t="shared" si="1"/>
        <v>30460</v>
      </c>
      <c r="BS30" s="90">
        <f t="shared" ca="1" si="2"/>
        <v>77456</v>
      </c>
      <c r="BT30" s="90">
        <f t="shared" si="3"/>
        <v>4100</v>
      </c>
      <c r="BU30" s="90">
        <f t="shared" si="4"/>
        <v>7000</v>
      </c>
      <c r="BV30" s="90">
        <f t="shared" si="5"/>
        <v>12000</v>
      </c>
      <c r="BW30" s="90">
        <f t="shared" ca="1" si="22"/>
        <v>16625</v>
      </c>
      <c r="BX30" s="90">
        <f t="shared" ca="1" si="23"/>
        <v>295141</v>
      </c>
      <c r="BY30" s="142">
        <f t="shared" ca="1" si="24"/>
        <v>0.49976113112037973</v>
      </c>
      <c r="BZ30" s="142">
        <f t="shared" ca="1" si="25"/>
        <v>0.10320490884018148</v>
      </c>
      <c r="CA30" s="142">
        <f t="shared" ca="1" si="26"/>
        <v>0.26243727574278058</v>
      </c>
      <c r="CB30" s="142">
        <f t="shared" ca="1" si="27"/>
        <v>1.3891665339617335E-2</v>
      </c>
      <c r="CC30" s="142">
        <f t="shared" ca="1" si="28"/>
        <v>2.3717477409102766E-2</v>
      </c>
      <c r="CD30" s="142">
        <f t="shared" ca="1" si="29"/>
        <v>4.0658532701319028E-2</v>
      </c>
      <c r="CE30" s="142">
        <f t="shared" ca="1" si="30"/>
        <v>5.6329008846619073E-2</v>
      </c>
      <c r="CG30" s="128">
        <f t="shared" si="31"/>
        <v>25</v>
      </c>
      <c r="CH30" s="90">
        <f ca="1">INDEX(角色升级!$A:$A,MATCH(玩家节奏1!$BX30,角色升级!$J:$J,1))</f>
        <v>172</v>
      </c>
      <c r="CI30" s="90">
        <f ca="1">INDEX(角色升级!$O:$O,MATCH(玩家节奏1!$BX30,角色升级!$J:$J,1))</f>
        <v>2324.04963</v>
      </c>
      <c r="CJ30" s="90">
        <f>INDEX(关卡对比!$J:$J,MATCH(玩家节奏1!N30,关卡对比!$A:$A,0))</f>
        <v>2900</v>
      </c>
      <c r="CK30" s="147">
        <f t="shared" ca="1" si="32"/>
        <v>1.2478218892425288</v>
      </c>
      <c r="CL30" s="128">
        <f ca="1">INDEX(角色升级!$P:$P,MATCH(玩家节奏1!$CH30,角色升级!$A:$A,0))</f>
        <v>400</v>
      </c>
      <c r="CM30" s="90">
        <f ca="1">INDEX(角色升级!Q:Q,MATCH(玩家节奏1!$CH30,角色升级!$A:$A,0))</f>
        <v>0.1</v>
      </c>
      <c r="CO30" s="128">
        <f t="shared" si="33"/>
        <v>1166</v>
      </c>
      <c r="CP30" s="90">
        <f t="shared" si="34"/>
        <v>1651</v>
      </c>
      <c r="CQ30" s="90">
        <f t="shared" si="35"/>
        <v>2568</v>
      </c>
      <c r="CR30" s="90">
        <f t="shared" ca="1" si="36"/>
        <v>2850</v>
      </c>
      <c r="CS30" s="90">
        <f t="shared" ca="1" si="37"/>
        <v>8235</v>
      </c>
      <c r="CT30" s="142">
        <f t="shared" ca="1" si="38"/>
        <v>0.14159077109896781</v>
      </c>
      <c r="CU30" s="142">
        <f t="shared" ca="1" si="39"/>
        <v>0.20048573163327263</v>
      </c>
      <c r="CV30" s="142">
        <f t="shared" ca="1" si="40"/>
        <v>0.31183970856102006</v>
      </c>
      <c r="CW30" s="142">
        <f t="shared" ca="1" si="41"/>
        <v>0.3460837887067395</v>
      </c>
      <c r="CY30" s="128">
        <f t="shared" si="42"/>
        <v>584</v>
      </c>
      <c r="CZ30" s="90">
        <f t="shared" si="43"/>
        <v>786</v>
      </c>
      <c r="DA30" s="90">
        <f t="shared" si="44"/>
        <v>856</v>
      </c>
      <c r="DB30" s="90">
        <f t="shared" ca="1" si="66"/>
        <v>1005.75</v>
      </c>
      <c r="DC30" s="90">
        <f t="shared" ca="1" si="45"/>
        <v>3231.75</v>
      </c>
      <c r="DD30" s="142">
        <f t="shared" ca="1" si="46"/>
        <v>0.18070704726541348</v>
      </c>
      <c r="DE30" s="142">
        <f t="shared" ca="1" si="47"/>
        <v>0.24321188210721745</v>
      </c>
      <c r="DF30" s="142">
        <f t="shared" ca="1" si="48"/>
        <v>0.26487197338903073</v>
      </c>
      <c r="DG30" s="142">
        <f t="shared" ca="1" si="49"/>
        <v>0.31120909723833834</v>
      </c>
      <c r="DI30" s="128">
        <f t="shared" si="50"/>
        <v>213</v>
      </c>
      <c r="DJ30" s="90">
        <f t="shared" si="51"/>
        <v>282</v>
      </c>
      <c r="DK30" s="90">
        <f t="shared" si="52"/>
        <v>152</v>
      </c>
      <c r="DL30" s="90">
        <f t="shared" ca="1" si="53"/>
        <v>139.25</v>
      </c>
      <c r="DM30" s="90">
        <f t="shared" ca="1" si="54"/>
        <v>786.25</v>
      </c>
      <c r="DN30" s="142">
        <f t="shared" ca="1" si="55"/>
        <v>0.27090620031796503</v>
      </c>
      <c r="DO30" s="142">
        <f t="shared" ca="1" si="56"/>
        <v>0.35866454689984101</v>
      </c>
      <c r="DP30" s="142">
        <f t="shared" ca="1" si="57"/>
        <v>0.19332273449920509</v>
      </c>
      <c r="DQ30" s="142">
        <f t="shared" ca="1" si="58"/>
        <v>0.17710651828298887</v>
      </c>
      <c r="DS30" s="128">
        <f t="shared" ca="1" si="59"/>
        <v>8235</v>
      </c>
      <c r="DT30" s="90">
        <f t="shared" ca="1" si="60"/>
        <v>3231.75</v>
      </c>
      <c r="DU30" s="90">
        <f t="shared" ca="1" si="61"/>
        <v>786.25</v>
      </c>
      <c r="DV30" s="90">
        <f t="shared" si="62"/>
        <v>7</v>
      </c>
      <c r="DW30" s="90">
        <f ca="1">_xlfn.IFNA(INDEX(武器升级消耗!$H:$H,MATCH(玩家节奏1!DS30/玩家节奏1!DS$5,武器升级消耗!M:M,1)),0)</f>
        <v>10</v>
      </c>
      <c r="DX30" s="90">
        <f ca="1">_xlfn.IFNA(INDEX(武器升级消耗!$H:$H,MATCH(玩家节奏1!DT30/玩家节奏1!DT$5,武器升级消耗!N:N,1)),0)</f>
        <v>7</v>
      </c>
      <c r="DY30" s="90">
        <f ca="1">_xlfn.IFNA(INDEX(武器升级消耗!$H:$H,MATCH(玩家节奏1!DU30/玩家节奏1!DU$5,武器升级消耗!O:O,1)),0)</f>
        <v>4</v>
      </c>
      <c r="DZ30" s="90">
        <f>_xlfn.IFNA(INDEX(武器升级消耗!$H:$H,MATCH(玩家节奏1!DV30/玩家节奏1!DV$5,武器升级消耗!P:P,1)),0)</f>
        <v>3</v>
      </c>
      <c r="EA30" s="90">
        <f ca="1">_xlfn.IFNA(INDEX(武器升级消耗!$Q:$Q,MATCH(玩家节奏1!DW30,武器升级消耗!$H:$H,0))*2*EA$4,0)</f>
        <v>1.68</v>
      </c>
      <c r="EB30" s="90">
        <f ca="1">_xlfn.IFNA(INDEX(武器升级消耗!$Q:$Q,MATCH(玩家节奏1!DX30,武器升级消耗!$H:$H,0))*2*EB$4,0)</f>
        <v>1.6500000000000001</v>
      </c>
      <c r="EC30" s="90">
        <f ca="1">_xlfn.IFNA(INDEX(武器升级消耗!$Q:$Q,MATCH(玩家节奏1!DY30,武器升级消耗!$H:$H,0))*2*EC$4,1)</f>
        <v>1.7600000000000002</v>
      </c>
      <c r="ED30" s="90">
        <f>_xlfn.IFNA(INDEX(武器升级消耗!$Q:$Q,MATCH(玩家节奏1!DZ30,武器升级消耗!$H:$H,0))*2*ED$4,0)</f>
        <v>2.0999999999999996</v>
      </c>
      <c r="EF30" s="128"/>
      <c r="EG30" s="90"/>
      <c r="EH30" s="90"/>
      <c r="EI30" s="90"/>
      <c r="EJ30" s="90"/>
      <c r="EK30" s="90"/>
      <c r="EL30" s="90"/>
      <c r="EM30" s="90"/>
      <c r="EO30" s="128"/>
      <c r="EP30" s="90"/>
      <c r="EQ30" s="90"/>
      <c r="ER30" s="90"/>
      <c r="ES30" s="90"/>
      <c r="ET30" s="90"/>
      <c r="EU30" s="90"/>
      <c r="EV30" s="90"/>
      <c r="EW30" s="90"/>
      <c r="EX30" s="90"/>
      <c r="EY30" s="90"/>
      <c r="EZ30" s="90"/>
      <c r="FA30" s="90"/>
      <c r="FB30" s="90"/>
      <c r="FD30" s="90">
        <f t="shared" ca="1" si="63"/>
        <v>1.7600000000000002</v>
      </c>
      <c r="FE30" s="90"/>
      <c r="FF30" s="90"/>
      <c r="FG30" s="90">
        <f t="shared" ca="1" si="64"/>
        <v>0</v>
      </c>
    </row>
    <row r="31" spans="1:163" x14ac:dyDescent="0.25">
      <c r="A31" s="123">
        <v>25</v>
      </c>
      <c r="B31" s="123">
        <f>INDEX(关卡对比!$Y:$Y,MATCH(关卡对比!Z31,关卡对比!$AA:$AA,1))</f>
        <v>17</v>
      </c>
      <c r="C31" s="124">
        <f>INDEX(关卡对比!$Y:$Y,MATCH(关卡对比!Z31,关卡对比!$AB:$AB,1))</f>
        <v>15</v>
      </c>
      <c r="D31" s="125">
        <f t="shared" si="70"/>
        <v>140.5</v>
      </c>
      <c r="E31" s="125">
        <v>3</v>
      </c>
      <c r="F31" s="128">
        <v>5</v>
      </c>
      <c r="G31" s="90">
        <v>1</v>
      </c>
      <c r="H31" s="90">
        <v>1</v>
      </c>
      <c r="J31" s="128">
        <v>25</v>
      </c>
      <c r="K31" s="90">
        <f t="shared" si="10"/>
        <v>5</v>
      </c>
      <c r="L31" s="90">
        <f t="shared" si="11"/>
        <v>1</v>
      </c>
      <c r="M31" s="90">
        <f t="shared" si="12"/>
        <v>1</v>
      </c>
      <c r="N31" s="140">
        <f>INDEX($A:$A,MATCH(SUM($K$7:K31),$D:$D,1))</f>
        <v>26</v>
      </c>
      <c r="O31" s="140">
        <v>0</v>
      </c>
      <c r="P31" s="141">
        <v>0</v>
      </c>
      <c r="Q31" s="126">
        <f>_xlfn.MAXIFS(关卡产出!X:X,关卡产出!$A:$A,玩家节奏1!$N$6,关卡产出!$B:$B,玩家节奏1!$N31)+_xlfn.MAXIFS(关卡产出!X:X,关卡产出!$A:$A,玩家节奏1!$O$6,关卡产出!$B:$B,玩家节奏1!$O31)+_xlfn.MAXIFS(关卡产出!X:X,关卡产出!$A:$A,玩家节奏1!$P$6,关卡产出!$B:$B,玩家节奏1!$P31)</f>
        <v>3700</v>
      </c>
      <c r="R31" s="90">
        <f>_xlfn.MAXIFS(关卡产出!Y:Y,关卡产出!$A:$A,玩家节奏1!$N$6,关卡产出!$B:$B,玩家节奏1!$N31)+_xlfn.MAXIFS(关卡产出!Y:Y,关卡产出!$A:$A,玩家节奏1!$O$6,关卡产出!$B:$B,玩家节奏1!$O31)+_xlfn.MAXIFS(关卡产出!Y:Y,关卡产出!$A:$A,玩家节奏1!$P$6,关卡产出!$B:$B,玩家节奏1!$P31)</f>
        <v>160800</v>
      </c>
      <c r="S31" s="90">
        <f>_xlfn.MAXIFS(关卡产出!Z:Z,关卡产出!$A:$A,玩家节奏1!$N$6,关卡产出!$B:$B,玩家节奏1!$N31)+_xlfn.MAXIFS(关卡产出!Z:Z,关卡产出!$A:$A,玩家节奏1!$O$6,关卡产出!$B:$B,玩家节奏1!$O31)+_xlfn.MAXIFS(关卡产出!Z:Z,关卡产出!$A:$A,玩家节奏1!$P$6,关卡产出!$B:$B,玩家节奏1!$P31)</f>
        <v>1262</v>
      </c>
      <c r="T31" s="90">
        <f>_xlfn.MAXIFS(关卡产出!AA:AA,关卡产出!$A:$A,玩家节奏1!$N$6,关卡产出!$B:$B,玩家节奏1!$N31)+_xlfn.MAXIFS(关卡产出!AA:AA,关卡产出!$A:$A,玩家节奏1!$O$6,关卡产出!$B:$B,玩家节奏1!$O31)+_xlfn.MAXIFS(关卡产出!AA:AA,关卡产出!$A:$A,玩家节奏1!$P$6,关卡产出!$B:$B,玩家节奏1!$P31)</f>
        <v>632</v>
      </c>
      <c r="U31" s="90">
        <f>_xlfn.MAXIFS(关卡产出!AB:AB,关卡产出!$A:$A,玩家节奏1!$N$6,关卡产出!$B:$B,玩家节奏1!$N31)+_xlfn.MAXIFS(关卡产出!AB:AB,关卡产出!$A:$A,玩家节奏1!$O$6,关卡产出!$B:$B,玩家节奏1!$O31)+_xlfn.MAXIFS(关卡产出!AB:AB,关卡产出!$A:$A,玩家节奏1!$P$6,关卡产出!$B:$B,玩家节奏1!$P31)</f>
        <v>234</v>
      </c>
      <c r="V31" s="130">
        <f>_xlfn.MAXIFS(关卡产出!AC:AC,关卡产出!$A:$A,玩家节奏1!$N$6,关卡产出!$B:$B,玩家节奏1!$N31)+_xlfn.MAXIFS(关卡产出!AC:AC,关卡产出!$A:$A,玩家节奏1!$O$6,关卡产出!$B:$B,玩家节奏1!$O31)+_xlfn.MAXIFS(关卡产出!AC:AC,关卡产出!$A:$A,玩家节奏1!$P$6,关卡产出!$B:$B,玩家节奏1!$P31)</f>
        <v>156</v>
      </c>
      <c r="W31" s="126">
        <f>INDEX(关卡产出!C$8:C$207,MATCH(玩家节奏1!$N31,关卡产出!$B$8:$B$207,0))*$K31</f>
        <v>95</v>
      </c>
      <c r="X31" s="126">
        <f>INDEX(关卡产出!D$8:D$207,MATCH(玩家节奏1!$N31,关卡产出!$B$8:$B$207,0))*$K31</f>
        <v>45</v>
      </c>
      <c r="Y31" s="126">
        <f>INDEX(关卡产出!E$8:E$207,MATCH(玩家节奏1!$N31,关卡产出!$B$8:$B$207,0))*$K31</f>
        <v>20</v>
      </c>
      <c r="Z31" s="144">
        <f>INDEX(关卡产出!F$8:F$207,MATCH(玩家节奏1!$N31,关卡产出!$B$8:$B$207,0))*$K31</f>
        <v>1550</v>
      </c>
      <c r="AA31" s="126">
        <f>SUM(W$7:W31)</f>
        <v>1746</v>
      </c>
      <c r="AB31" s="126">
        <f>SUM(X$7:X31)</f>
        <v>831</v>
      </c>
      <c r="AC31" s="126">
        <f>SUM(Y$7:Y31)</f>
        <v>302</v>
      </c>
      <c r="AD31" s="126">
        <f>SUM(Z$7:Z31)</f>
        <v>32010</v>
      </c>
      <c r="AE31" s="126">
        <f>INDEX(图鉴!AQ:AQ,MATCH($N31,图鉴!$S:$S,0))*8</f>
        <v>136</v>
      </c>
      <c r="AF31" s="90">
        <f>INDEX(图鉴!AR:AR,MATCH($N31,图鉴!$S:$S,0))*8</f>
        <v>64</v>
      </c>
      <c r="AG31" s="90">
        <f>INDEX(图鉴!AS:AS,MATCH($N31,图鉴!$S:$S,0))*8</f>
        <v>8</v>
      </c>
      <c r="AH31" s="129">
        <f ca="1">INDEX(图鉴!AT:AT,MATCH($N31,图鉴!$S:$S,0))*8</f>
        <v>4392</v>
      </c>
      <c r="AI31" s="128">
        <f>SUM($AE$7:AE31)</f>
        <v>2704</v>
      </c>
      <c r="AJ31" s="90">
        <f>SUM(AF$7:AF31)</f>
        <v>920</v>
      </c>
      <c r="AK31" s="90">
        <f>SUM(AG$7:AG31)</f>
        <v>160</v>
      </c>
      <c r="AL31" s="130">
        <f ca="1">SUM(AH$7:AH31)</f>
        <v>81848</v>
      </c>
      <c r="AM31" s="133">
        <f>IF(M31=0,0,INDEX(关卡产出!$AU$11:$AU$15,MATCH(玩家节奏1!N31,关卡产出!$AW$11:$AW$15,1))*M31)</f>
        <v>4100</v>
      </c>
      <c r="AN31" s="126">
        <f>IF(L31=0,0,$L31*关卡产出!AU$21)</f>
        <v>1000</v>
      </c>
      <c r="AO31" s="90">
        <f>IF(M31=0,0,$L31*关卡产出!AV$21)</f>
        <v>50</v>
      </c>
      <c r="AP31" s="129">
        <f>IF(N31=0,0,$L31*关卡产出!AW$21)</f>
        <v>1</v>
      </c>
      <c r="AQ31" s="138">
        <f>SUM(AN$7:AN31)</f>
        <v>8000</v>
      </c>
      <c r="AR31" s="126">
        <f>SUM(AO$7:AO31)</f>
        <v>400</v>
      </c>
      <c r="AS31" s="129">
        <f>SUM(AP$7:AP31)</f>
        <v>8</v>
      </c>
      <c r="AT31" s="128">
        <v>500</v>
      </c>
      <c r="AU31" s="129">
        <v>100</v>
      </c>
      <c r="AV31" s="128">
        <f>SUM(AT$7:AT31)</f>
        <v>12500</v>
      </c>
      <c r="AW31" s="90">
        <f>SUM(AU$7:AU31)</f>
        <v>2500</v>
      </c>
      <c r="AY31" s="128">
        <f t="shared" si="13"/>
        <v>3700</v>
      </c>
      <c r="AZ31" s="90">
        <f t="shared" si="14"/>
        <v>400</v>
      </c>
      <c r="BA31" s="90">
        <f t="shared" si="15"/>
        <v>2500</v>
      </c>
      <c r="BB31" s="90">
        <f t="shared" ca="1" si="65"/>
        <v>400</v>
      </c>
      <c r="BC31" s="90">
        <f t="shared" ca="1" si="68"/>
        <v>7000</v>
      </c>
      <c r="BD31" s="90"/>
      <c r="BE31" s="90">
        <f t="shared" ca="1" si="17"/>
        <v>7000</v>
      </c>
      <c r="BF31" s="142">
        <f t="shared" ca="1" si="18"/>
        <v>0.52857142857142858</v>
      </c>
      <c r="BG31" s="142">
        <f t="shared" ca="1" si="19"/>
        <v>5.7142857142857141E-2</v>
      </c>
      <c r="BH31" s="142">
        <f t="shared" ca="1" si="20"/>
        <v>0.35714285714285715</v>
      </c>
      <c r="BI31" s="142">
        <f t="shared" ca="1" si="21"/>
        <v>5.7142857142857141E-2</v>
      </c>
      <c r="BJ31" s="143"/>
      <c r="BK31" s="128">
        <f ca="1">INDEX(商城宝箱!$L:$L,MATCH(BC31,商城宝箱!$N:$N,1))</f>
        <v>4</v>
      </c>
      <c r="BL31" s="90">
        <f ca="1">_xlfn.IFNA(INDEX(商城宝箱!T:T,MATCH(玩家节奏1!$BK31,商城宝箱!$L:$L,0)),0)+($BC31-INDEX(商城宝箱!$N:$N,MATCH(玩家节奏1!$BK31,商城宝箱!$L:$L,0)))/$BK$5*INDEX(商城宝箱!E$23:E$42,MATCH(玩家节奏1!$BK31+1,商城宝箱!$C$23:$C$42,0))</f>
        <v>17500</v>
      </c>
      <c r="BM31" s="90">
        <f ca="1">_xlfn.IFNA(INDEX(商城宝箱!U:U,MATCH(玩家节奏1!$BK31,商城宝箱!$L:$L,0)),0)+($BC31-INDEX(商城宝箱!$N:$N,MATCH(玩家节奏1!$BK31,商城宝箱!$L:$L,0)))/$BK$5*INDEX(商城宝箱!F$23:F$42,MATCH(玩家节奏1!$BK31+1,商城宝箱!$C$23:$C$42,0))</f>
        <v>3112.5</v>
      </c>
      <c r="BN31" s="90">
        <f ca="1">_xlfn.IFNA(INDEX(商城宝箱!V:V,MATCH(玩家节奏1!$BK31,商城宝箱!$L:$L,0)),0)+($BC31-INDEX(商城宝箱!$N:$N,MATCH(玩家节奏1!$BK31,商城宝箱!$L:$L,0)))/$BK$5*INDEX(商城宝箱!G$23:G$42,MATCH(玩家节奏1!$BK31+1,商城宝箱!$C$23:$C$42,0))</f>
        <v>1137</v>
      </c>
      <c r="BO31" s="90">
        <f ca="1">_xlfn.IFNA(INDEX(商城宝箱!W:W,MATCH(玩家节奏1!$BK31,商城宝箱!$L:$L,0)),0)+($BC31-INDEX(商城宝箱!$N:$N,MATCH(玩家节奏1!$BK31,商城宝箱!$L:$L,0)))/$BK$5*INDEX(商城宝箱!H$23:H$42,MATCH(玩家节奏1!$BK31+1,商城宝箱!$C$23:$C$42,0))</f>
        <v>158.5</v>
      </c>
      <c r="BQ31" s="128">
        <f t="shared" si="0"/>
        <v>160800</v>
      </c>
      <c r="BR31" s="90">
        <f t="shared" si="1"/>
        <v>32010</v>
      </c>
      <c r="BS31" s="90">
        <f t="shared" ca="1" si="2"/>
        <v>81848</v>
      </c>
      <c r="BT31" s="90">
        <f t="shared" si="3"/>
        <v>4100</v>
      </c>
      <c r="BU31" s="90">
        <f t="shared" si="4"/>
        <v>8000</v>
      </c>
      <c r="BV31" s="90">
        <f t="shared" si="5"/>
        <v>12500</v>
      </c>
      <c r="BW31" s="90">
        <f t="shared" ca="1" si="22"/>
        <v>17500</v>
      </c>
      <c r="BX31" s="90">
        <f t="shared" ca="1" si="23"/>
        <v>316758</v>
      </c>
      <c r="BY31" s="142">
        <f t="shared" ca="1" si="24"/>
        <v>0.50764305873884796</v>
      </c>
      <c r="BZ31" s="142">
        <f t="shared" ca="1" si="25"/>
        <v>0.10105506411834903</v>
      </c>
      <c r="CA31" s="142">
        <f t="shared" ca="1" si="26"/>
        <v>0.25839284248543054</v>
      </c>
      <c r="CB31" s="142">
        <f t="shared" ca="1" si="27"/>
        <v>1.2943635204162168E-2</v>
      </c>
      <c r="CC31" s="142">
        <f t="shared" ca="1" si="28"/>
        <v>2.5255873569096914E-2</v>
      </c>
      <c r="CD31" s="142">
        <f t="shared" ca="1" si="29"/>
        <v>3.9462302451713928E-2</v>
      </c>
      <c r="CE31" s="142">
        <f t="shared" ca="1" si="30"/>
        <v>5.5247223432399496E-2</v>
      </c>
      <c r="CG31" s="128">
        <f t="shared" si="31"/>
        <v>26</v>
      </c>
      <c r="CH31" s="90">
        <f ca="1">INDEX(角色升级!$A:$A,MATCH(玩家节奏1!$BX31,角色升级!$J:$J,1))</f>
        <v>180</v>
      </c>
      <c r="CI31" s="90">
        <f ca="1">INDEX(角色升级!$O:$O,MATCH(玩家节奏1!$BX31,角色升级!$J:$J,1))</f>
        <v>2333.1146699999999</v>
      </c>
      <c r="CJ31" s="90">
        <f>INDEX(关卡对比!$J:$J,MATCH(玩家节奏1!N31,关卡对比!$A:$A,0))</f>
        <v>3100</v>
      </c>
      <c r="CK31" s="147">
        <f t="shared" ca="1" si="32"/>
        <v>1.3286959444646584</v>
      </c>
      <c r="CL31" s="128">
        <f ca="1">INDEX(角色升级!$P:$P,MATCH(玩家节奏1!$CH31,角色升级!$A:$A,0))</f>
        <v>400</v>
      </c>
      <c r="CM31" s="90">
        <f ca="1">INDEX(角色升级!Q:Q,MATCH(玩家节奏1!$CH31,角色升级!$A:$A,0))</f>
        <v>0.1</v>
      </c>
      <c r="CO31" s="128">
        <f t="shared" si="33"/>
        <v>1262</v>
      </c>
      <c r="CP31" s="90">
        <f t="shared" si="34"/>
        <v>1746</v>
      </c>
      <c r="CQ31" s="90">
        <f t="shared" si="35"/>
        <v>2704</v>
      </c>
      <c r="CR31" s="90">
        <f t="shared" ca="1" si="36"/>
        <v>3112.5</v>
      </c>
      <c r="CS31" s="90">
        <f t="shared" ca="1" si="37"/>
        <v>8824.5</v>
      </c>
      <c r="CT31" s="142">
        <f t="shared" ca="1" si="38"/>
        <v>0.14301093546376564</v>
      </c>
      <c r="CU31" s="142">
        <f t="shared" ca="1" si="39"/>
        <v>0.19785823559408466</v>
      </c>
      <c r="CV31" s="142">
        <f t="shared" ca="1" si="40"/>
        <v>0.30641962717434418</v>
      </c>
      <c r="CW31" s="142">
        <f t="shared" ca="1" si="41"/>
        <v>0.35271120176780552</v>
      </c>
      <c r="CY31" s="128">
        <f t="shared" si="42"/>
        <v>632</v>
      </c>
      <c r="CZ31" s="90">
        <f t="shared" si="43"/>
        <v>831</v>
      </c>
      <c r="DA31" s="90">
        <f t="shared" si="44"/>
        <v>920</v>
      </c>
      <c r="DB31" s="90">
        <f t="shared" ca="1" si="66"/>
        <v>1137</v>
      </c>
      <c r="DC31" s="90">
        <f t="shared" ca="1" si="45"/>
        <v>3520</v>
      </c>
      <c r="DD31" s="142">
        <f t="shared" ca="1" si="46"/>
        <v>0.17954545454545454</v>
      </c>
      <c r="DE31" s="142">
        <f t="shared" ca="1" si="47"/>
        <v>0.23607954545454546</v>
      </c>
      <c r="DF31" s="142">
        <f t="shared" ca="1" si="48"/>
        <v>0.26136363636363635</v>
      </c>
      <c r="DG31" s="142">
        <f t="shared" ca="1" si="49"/>
        <v>0.32301136363636362</v>
      </c>
      <c r="DI31" s="128">
        <f t="shared" si="50"/>
        <v>234</v>
      </c>
      <c r="DJ31" s="90">
        <f t="shared" si="51"/>
        <v>302</v>
      </c>
      <c r="DK31" s="90">
        <f t="shared" si="52"/>
        <v>160</v>
      </c>
      <c r="DL31" s="90">
        <f t="shared" ca="1" si="53"/>
        <v>158.5</v>
      </c>
      <c r="DM31" s="90">
        <f t="shared" ca="1" si="54"/>
        <v>854.5</v>
      </c>
      <c r="DN31" s="142">
        <f t="shared" ca="1" si="55"/>
        <v>0.27384435342305441</v>
      </c>
      <c r="DO31" s="142">
        <f t="shared" ca="1" si="56"/>
        <v>0.35342305441778821</v>
      </c>
      <c r="DP31" s="142">
        <f t="shared" ca="1" si="57"/>
        <v>0.18724400234055003</v>
      </c>
      <c r="DQ31" s="142">
        <f t="shared" ca="1" si="58"/>
        <v>0.18548858981860739</v>
      </c>
      <c r="DS31" s="128">
        <f t="shared" ca="1" si="59"/>
        <v>8824.5</v>
      </c>
      <c r="DT31" s="90">
        <f t="shared" ca="1" si="60"/>
        <v>3520</v>
      </c>
      <c r="DU31" s="90">
        <f t="shared" ca="1" si="61"/>
        <v>854.5</v>
      </c>
      <c r="DV31" s="90">
        <f t="shared" si="62"/>
        <v>8</v>
      </c>
      <c r="DW31" s="90">
        <f ca="1">_xlfn.IFNA(INDEX(武器升级消耗!$H:$H,MATCH(玩家节奏1!DS31/玩家节奏1!DS$5,武器升级消耗!M:M,1)),0)</f>
        <v>10</v>
      </c>
      <c r="DX31" s="90">
        <f ca="1">_xlfn.IFNA(INDEX(武器升级消耗!$H:$H,MATCH(玩家节奏1!DT31/玩家节奏1!DT$5,武器升级消耗!N:N,1)),0)</f>
        <v>8</v>
      </c>
      <c r="DY31" s="90">
        <f ca="1">_xlfn.IFNA(INDEX(武器升级消耗!$H:$H,MATCH(玩家节奏1!DU31/玩家节奏1!DU$5,武器升级消耗!O:O,1)),0)</f>
        <v>4</v>
      </c>
      <c r="DZ31" s="90">
        <f>_xlfn.IFNA(INDEX(武器升级消耗!$H:$H,MATCH(玩家节奏1!DV31/玩家节奏1!DV$5,武器升级消耗!P:P,1)),0)</f>
        <v>3</v>
      </c>
      <c r="EA31" s="90">
        <f ca="1">_xlfn.IFNA(INDEX(武器升级消耗!$Q:$Q,MATCH(玩家节奏1!DW31,武器升级消耗!$H:$H,0))*2*EA$4,0)</f>
        <v>1.68</v>
      </c>
      <c r="EB31" s="90">
        <f ca="1">_xlfn.IFNA(INDEX(武器升级消耗!$Q:$Q,MATCH(玩家节奏1!DX31,武器升级消耗!$H:$H,0))*2*EB$4,0)</f>
        <v>1.7999999999999998</v>
      </c>
      <c r="EC31" s="90">
        <f ca="1">_xlfn.IFNA(INDEX(武器升级消耗!$Q:$Q,MATCH(玩家节奏1!DY31,武器升级消耗!$H:$H,0))*2*EC$4,1)</f>
        <v>1.7600000000000002</v>
      </c>
      <c r="ED31" s="90">
        <f>_xlfn.IFNA(INDEX(武器升级消耗!$Q:$Q,MATCH(玩家节奏1!DZ31,武器升级消耗!$H:$H,0))*2*ED$4,0)</f>
        <v>2.0999999999999996</v>
      </c>
      <c r="EF31" s="128"/>
      <c r="EG31" s="90"/>
      <c r="EH31" s="90"/>
      <c r="EI31" s="90"/>
      <c r="EJ31" s="90"/>
      <c r="EK31" s="90"/>
      <c r="EL31" s="90"/>
      <c r="EM31" s="90"/>
      <c r="EO31" s="128"/>
      <c r="EP31" s="90"/>
      <c r="EQ31" s="90"/>
      <c r="ER31" s="90"/>
      <c r="ES31" s="90"/>
      <c r="ET31" s="90"/>
      <c r="EU31" s="90"/>
      <c r="EV31" s="90"/>
      <c r="EW31" s="90"/>
      <c r="EX31" s="90"/>
      <c r="EY31" s="90"/>
      <c r="EZ31" s="90"/>
      <c r="FA31" s="90"/>
      <c r="FB31" s="90"/>
      <c r="FD31" s="90">
        <f t="shared" ca="1" si="63"/>
        <v>1.7600000000000002</v>
      </c>
      <c r="FE31" s="90"/>
      <c r="FF31" s="90"/>
      <c r="FG31" s="90">
        <f t="shared" ca="1" si="64"/>
        <v>0</v>
      </c>
    </row>
    <row r="32" spans="1:163" x14ac:dyDescent="0.25">
      <c r="A32" s="123">
        <v>26</v>
      </c>
      <c r="B32" s="123">
        <f>INDEX(关卡对比!$Y:$Y,MATCH(关卡对比!Z32,关卡对比!$AA:$AA,1))</f>
        <v>18</v>
      </c>
      <c r="C32" s="124">
        <f>INDEX(关卡对比!$Y:$Y,MATCH(关卡对比!Z32,关卡对比!$AB:$AB,1))</f>
        <v>15</v>
      </c>
      <c r="D32" s="125">
        <f t="shared" si="70"/>
        <v>146.5</v>
      </c>
      <c r="E32" s="125">
        <v>3</v>
      </c>
      <c r="F32" s="128">
        <v>5</v>
      </c>
      <c r="G32" s="90">
        <v>1</v>
      </c>
      <c r="H32" s="90">
        <v>1</v>
      </c>
      <c r="J32" s="128">
        <v>26</v>
      </c>
      <c r="K32" s="90">
        <f t="shared" si="10"/>
        <v>5</v>
      </c>
      <c r="L32" s="90">
        <f t="shared" si="11"/>
        <v>1</v>
      </c>
      <c r="M32" s="90">
        <f t="shared" si="12"/>
        <v>1</v>
      </c>
      <c r="N32" s="140">
        <f>INDEX($A:$A,MATCH(SUM($K$7:K32),$D:$D,1))</f>
        <v>27</v>
      </c>
      <c r="O32" s="140">
        <v>0</v>
      </c>
      <c r="P32" s="141">
        <v>0</v>
      </c>
      <c r="Q32" s="126">
        <f>_xlfn.MAXIFS(关卡产出!X:X,关卡产出!$A:$A,玩家节奏1!$N$6,关卡产出!$B:$B,玩家节奏1!$N32)+_xlfn.MAXIFS(关卡产出!X:X,关卡产出!$A:$A,玩家节奏1!$O$6,关卡产出!$B:$B,玩家节奏1!$O32)+_xlfn.MAXIFS(关卡产出!X:X,关卡产出!$A:$A,玩家节奏1!$P$6,关卡产出!$B:$B,玩家节奏1!$P32)</f>
        <v>3900</v>
      </c>
      <c r="R32" s="90">
        <f>_xlfn.MAXIFS(关卡产出!Y:Y,关卡产出!$A:$A,玩家节奏1!$N$6,关卡产出!$B:$B,玩家节奏1!$N32)+_xlfn.MAXIFS(关卡产出!Y:Y,关卡产出!$A:$A,玩家节奏1!$O$6,关卡产出!$B:$B,玩家节奏1!$O32)+_xlfn.MAXIFS(关卡产出!Y:Y,关卡产出!$A:$A,玩家节奏1!$P$6,关卡产出!$B:$B,玩家节奏1!$P32)</f>
        <v>174700</v>
      </c>
      <c r="S32" s="90">
        <f>_xlfn.MAXIFS(关卡产出!Z:Z,关卡产出!$A:$A,玩家节奏1!$N$6,关卡产出!$B:$B,玩家节奏1!$N32)+_xlfn.MAXIFS(关卡产出!Z:Z,关卡产出!$A:$A,玩家节奏1!$O$6,关卡产出!$B:$B,玩家节奏1!$O32)+_xlfn.MAXIFS(关卡产出!Z:Z,关卡产出!$A:$A,玩家节奏1!$P$6,关卡产出!$B:$B,玩家节奏1!$P32)</f>
        <v>1362</v>
      </c>
      <c r="T32" s="90">
        <f>_xlfn.MAXIFS(关卡产出!AA:AA,关卡产出!$A:$A,玩家节奏1!$N$6,关卡产出!$B:$B,玩家节奏1!$N32)+_xlfn.MAXIFS(关卡产出!AA:AA,关卡产出!$A:$A,玩家节奏1!$O$6,关卡产出!$B:$B,玩家节奏1!$O32)+_xlfn.MAXIFS(关卡产出!AA:AA,关卡产出!$A:$A,玩家节奏1!$P$6,关卡产出!$B:$B,玩家节奏1!$P32)</f>
        <v>682</v>
      </c>
      <c r="U32" s="90">
        <f>_xlfn.MAXIFS(关卡产出!AB:AB,关卡产出!$A:$A,玩家节奏1!$N$6,关卡产出!$B:$B,玩家节奏1!$N32)+_xlfn.MAXIFS(关卡产出!AB:AB,关卡产出!$A:$A,玩家节奏1!$O$6,关卡产出!$B:$B,玩家节奏1!$O32)+_xlfn.MAXIFS(关卡产出!AB:AB,关卡产出!$A:$A,玩家节奏1!$P$6,关卡产出!$B:$B,玩家节奏1!$P32)</f>
        <v>256</v>
      </c>
      <c r="V32" s="130">
        <f>_xlfn.MAXIFS(关卡产出!AC:AC,关卡产出!$A:$A,玩家节奏1!$N$6,关卡产出!$B:$B,玩家节奏1!$N32)+_xlfn.MAXIFS(关卡产出!AC:AC,关卡产出!$A:$A,玩家节奏1!$O$6,关卡产出!$B:$B,玩家节奏1!$O32)+_xlfn.MAXIFS(关卡产出!AC:AC,关卡产出!$A:$A,玩家节奏1!$P$6,关卡产出!$B:$B,玩家节奏1!$P32)</f>
        <v>162</v>
      </c>
      <c r="W32" s="126">
        <f>INDEX(关卡产出!C$8:C$207,MATCH(玩家节奏1!$N32,关卡产出!$B$8:$B$207,0))*$K32</f>
        <v>100</v>
      </c>
      <c r="X32" s="126">
        <f>INDEX(关卡产出!D$8:D$207,MATCH(玩家节奏1!$N32,关卡产出!$B$8:$B$207,0))*$K32</f>
        <v>50</v>
      </c>
      <c r="Y32" s="126">
        <f>INDEX(关卡产出!E$8:E$207,MATCH(玩家节奏1!$N32,关卡产出!$B$8:$B$207,0))*$K32</f>
        <v>20</v>
      </c>
      <c r="Z32" s="144">
        <f>INDEX(关卡产出!F$8:F$207,MATCH(玩家节奏1!$N32,关卡产出!$B$8:$B$207,0))*$K32</f>
        <v>1650</v>
      </c>
      <c r="AA32" s="126">
        <f>SUM(W$7:W32)</f>
        <v>1846</v>
      </c>
      <c r="AB32" s="126">
        <f>SUM(X$7:X32)</f>
        <v>881</v>
      </c>
      <c r="AC32" s="126">
        <f>SUM(Y$7:Y32)</f>
        <v>322</v>
      </c>
      <c r="AD32" s="126">
        <f>SUM(Z$7:Z32)</f>
        <v>33660</v>
      </c>
      <c r="AE32" s="126">
        <f>INDEX(图鉴!AQ:AQ,MATCH($N32,图鉴!$S:$S,0))*8</f>
        <v>136</v>
      </c>
      <c r="AF32" s="90">
        <f>INDEX(图鉴!AR:AR,MATCH($N32,图鉴!$S:$S,0))*8</f>
        <v>72</v>
      </c>
      <c r="AG32" s="90">
        <f>INDEX(图鉴!AS:AS,MATCH($N32,图鉴!$S:$S,0))*8</f>
        <v>8</v>
      </c>
      <c r="AH32" s="129">
        <f ca="1">INDEX(图鉴!AT:AT,MATCH($N32,图鉴!$S:$S,0))*8</f>
        <v>4464</v>
      </c>
      <c r="AI32" s="128">
        <f>SUM($AE$7:AE32)</f>
        <v>2840</v>
      </c>
      <c r="AJ32" s="90">
        <f>SUM(AF$7:AF32)</f>
        <v>992</v>
      </c>
      <c r="AK32" s="90">
        <f>SUM(AG$7:AG32)</f>
        <v>168</v>
      </c>
      <c r="AL32" s="130">
        <f ca="1">SUM(AH$7:AH32)</f>
        <v>86312</v>
      </c>
      <c r="AM32" s="133">
        <f>IF(M32=0,0,INDEX(关卡产出!$AU$11:$AU$15,MATCH(玩家节奏1!N32,关卡产出!$AW$11:$AW$15,1))*M32)</f>
        <v>4100</v>
      </c>
      <c r="AN32" s="126">
        <f>IF(L32=0,0,$L32*关卡产出!AU$21)</f>
        <v>1000</v>
      </c>
      <c r="AO32" s="90">
        <f>IF(M32=0,0,$L32*关卡产出!AV$21)</f>
        <v>50</v>
      </c>
      <c r="AP32" s="129">
        <f>IF(N32=0,0,$L32*关卡产出!AW$21)</f>
        <v>1</v>
      </c>
      <c r="AQ32" s="138">
        <f>SUM(AN$7:AN32)</f>
        <v>9000</v>
      </c>
      <c r="AR32" s="126">
        <f>SUM(AO$7:AO32)</f>
        <v>450</v>
      </c>
      <c r="AS32" s="129">
        <f>SUM(AP$7:AP32)</f>
        <v>9</v>
      </c>
      <c r="AT32" s="128">
        <v>500</v>
      </c>
      <c r="AU32" s="129">
        <v>100</v>
      </c>
      <c r="AV32" s="128">
        <f>SUM(AT$7:AT32)</f>
        <v>13000</v>
      </c>
      <c r="AW32" s="90">
        <f>SUM(AU$7:AU32)</f>
        <v>2600</v>
      </c>
      <c r="AY32" s="128">
        <f t="shared" si="13"/>
        <v>3900</v>
      </c>
      <c r="AZ32" s="90">
        <f t="shared" si="14"/>
        <v>450</v>
      </c>
      <c r="BA32" s="90">
        <f t="shared" si="15"/>
        <v>2600</v>
      </c>
      <c r="BB32" s="90">
        <f t="shared" ca="1" si="65"/>
        <v>400</v>
      </c>
      <c r="BC32" s="90">
        <f t="shared" ca="1" si="68"/>
        <v>7350</v>
      </c>
      <c r="BD32" s="90"/>
      <c r="BE32" s="90">
        <f t="shared" ca="1" si="17"/>
        <v>7350</v>
      </c>
      <c r="BF32" s="142">
        <f t="shared" ca="1" si="18"/>
        <v>0.53061224489795922</v>
      </c>
      <c r="BG32" s="142">
        <f t="shared" ca="1" si="19"/>
        <v>6.1224489795918366E-2</v>
      </c>
      <c r="BH32" s="142">
        <f t="shared" ca="1" si="20"/>
        <v>0.35374149659863946</v>
      </c>
      <c r="BI32" s="142">
        <f t="shared" ca="1" si="21"/>
        <v>5.4421768707482991E-2</v>
      </c>
      <c r="BJ32" s="143"/>
      <c r="BK32" s="128">
        <f ca="1">INDEX(商城宝箱!$L:$L,MATCH(BC32,商城宝箱!$N:$N,1))</f>
        <v>4</v>
      </c>
      <c r="BL32" s="90">
        <f ca="1">_xlfn.IFNA(INDEX(商城宝箱!T:T,MATCH(玩家节奏1!$BK32,商城宝箱!$L:$L,0)),0)+($BC32-INDEX(商城宝箱!$N:$N,MATCH(玩家节奏1!$BK32,商城宝箱!$L:$L,0)))/$BK$5*INDEX(商城宝箱!E$23:E$42,MATCH(玩家节奏1!$BK32+1,商城宝箱!$C$23:$C$42,0))</f>
        <v>18375</v>
      </c>
      <c r="BM32" s="90">
        <f ca="1">_xlfn.IFNA(INDEX(商城宝箱!U:U,MATCH(玩家节奏1!$BK32,商城宝箱!$L:$L,0)),0)+($BC32-INDEX(商城宝箱!$N:$N,MATCH(玩家节奏1!$BK32,商城宝箱!$L:$L,0)))/$BK$5*INDEX(商城宝箱!F$23:F$42,MATCH(玩家节奏1!$BK32+1,商城宝箱!$C$23:$C$42,0))</f>
        <v>3375</v>
      </c>
      <c r="BN32" s="90">
        <f ca="1">_xlfn.IFNA(INDEX(商城宝箱!V:V,MATCH(玩家节奏1!$BK32,商城宝箱!$L:$L,0)),0)+($BC32-INDEX(商城宝箱!$N:$N,MATCH(玩家节奏1!$BK32,商城宝箱!$L:$L,0)))/$BK$5*INDEX(商城宝箱!G$23:G$42,MATCH(玩家节奏1!$BK32+1,商城宝箱!$C$23:$C$42,0))</f>
        <v>1268.25</v>
      </c>
      <c r="BO32" s="90">
        <f ca="1">_xlfn.IFNA(INDEX(商城宝箱!W:W,MATCH(玩家节奏1!$BK32,商城宝箱!$L:$L,0)),0)+($BC32-INDEX(商城宝箱!$N:$N,MATCH(玩家节奏1!$BK32,商城宝箱!$L:$L,0)))/$BK$5*INDEX(商城宝箱!H$23:H$42,MATCH(玩家节奏1!$BK32+1,商城宝箱!$C$23:$C$42,0))</f>
        <v>177.75</v>
      </c>
      <c r="BQ32" s="128">
        <f t="shared" si="0"/>
        <v>174700</v>
      </c>
      <c r="BR32" s="90">
        <f t="shared" si="1"/>
        <v>33660</v>
      </c>
      <c r="BS32" s="90">
        <f t="shared" ca="1" si="2"/>
        <v>86312</v>
      </c>
      <c r="BT32" s="90">
        <f t="shared" si="3"/>
        <v>4100</v>
      </c>
      <c r="BU32" s="90">
        <f t="shared" si="4"/>
        <v>9000</v>
      </c>
      <c r="BV32" s="90">
        <f t="shared" si="5"/>
        <v>13000</v>
      </c>
      <c r="BW32" s="90">
        <f t="shared" ca="1" si="22"/>
        <v>18375</v>
      </c>
      <c r="BX32" s="90">
        <f t="shared" ca="1" si="23"/>
        <v>339147</v>
      </c>
      <c r="BY32" s="142">
        <f t="shared" ca="1" si="24"/>
        <v>0.51511586421227373</v>
      </c>
      <c r="BZ32" s="142">
        <f t="shared" ca="1" si="25"/>
        <v>9.9248998222009929E-2</v>
      </c>
      <c r="CA32" s="142">
        <f t="shared" ca="1" si="26"/>
        <v>0.25449731237486989</v>
      </c>
      <c r="CB32" s="142">
        <f t="shared" ca="1" si="27"/>
        <v>1.208915308111232E-2</v>
      </c>
      <c r="CC32" s="142">
        <f t="shared" ca="1" si="28"/>
        <v>2.6537165300002653E-2</v>
      </c>
      <c r="CD32" s="142">
        <f t="shared" ca="1" si="29"/>
        <v>3.8331460988892722E-2</v>
      </c>
      <c r="CE32" s="142">
        <f t="shared" ca="1" si="30"/>
        <v>5.4180045820838754E-2</v>
      </c>
      <c r="CG32" s="128">
        <f t="shared" si="31"/>
        <v>27</v>
      </c>
      <c r="CH32" s="90">
        <f ca="1">INDEX(角色升级!$A:$A,MATCH(玩家节奏1!$BX32,角色升级!$J:$J,1))</f>
        <v>184</v>
      </c>
      <c r="CI32" s="90">
        <f ca="1">INDEX(角色升级!$O:$O,MATCH(玩家节奏1!$BX32,角色升级!$J:$J,1))</f>
        <v>2627.4796050000004</v>
      </c>
      <c r="CJ32" s="90">
        <f>INDEX(关卡对比!$J:$J,MATCH(玩家节奏1!N32,关卡对比!$A:$A,0))</f>
        <v>3300</v>
      </c>
      <c r="CK32" s="147">
        <f t="shared" ca="1" si="32"/>
        <v>1.2559564663109914</v>
      </c>
      <c r="CL32" s="128">
        <f ca="1">INDEX(角色升级!$P:$P,MATCH(玩家节奏1!$CH32,角色升级!$A:$A,0))</f>
        <v>400</v>
      </c>
      <c r="CM32" s="90">
        <f ca="1">INDEX(角色升级!Q:Q,MATCH(玩家节奏1!$CH32,角色升级!$A:$A,0))</f>
        <v>0.1</v>
      </c>
      <c r="CO32" s="128">
        <f t="shared" si="33"/>
        <v>1362</v>
      </c>
      <c r="CP32" s="90">
        <f t="shared" si="34"/>
        <v>1846</v>
      </c>
      <c r="CQ32" s="90">
        <f t="shared" si="35"/>
        <v>2840</v>
      </c>
      <c r="CR32" s="90">
        <f t="shared" ca="1" si="36"/>
        <v>3375</v>
      </c>
      <c r="CS32" s="90">
        <f t="shared" ca="1" si="37"/>
        <v>9423</v>
      </c>
      <c r="CT32" s="142">
        <f t="shared" ca="1" si="38"/>
        <v>0.14453995542820758</v>
      </c>
      <c r="CU32" s="142">
        <f t="shared" ca="1" si="39"/>
        <v>0.19590364002971453</v>
      </c>
      <c r="CV32" s="142">
        <f t="shared" ca="1" si="40"/>
        <v>0.30139021543033007</v>
      </c>
      <c r="CW32" s="142">
        <f t="shared" ca="1" si="41"/>
        <v>0.35816618911174786</v>
      </c>
      <c r="CY32" s="128">
        <f t="shared" si="42"/>
        <v>682</v>
      </c>
      <c r="CZ32" s="90">
        <f t="shared" si="43"/>
        <v>881</v>
      </c>
      <c r="DA32" s="90">
        <f t="shared" si="44"/>
        <v>992</v>
      </c>
      <c r="DB32" s="90">
        <f t="shared" ca="1" si="66"/>
        <v>1268.25</v>
      </c>
      <c r="DC32" s="90">
        <f t="shared" ca="1" si="45"/>
        <v>3823.25</v>
      </c>
      <c r="DD32" s="142">
        <f t="shared" ca="1" si="46"/>
        <v>0.17838226639639052</v>
      </c>
      <c r="DE32" s="142">
        <f t="shared" ca="1" si="47"/>
        <v>0.23043222389328452</v>
      </c>
      <c r="DF32" s="142">
        <f t="shared" ca="1" si="48"/>
        <v>0.25946511475838618</v>
      </c>
      <c r="DG32" s="142">
        <f t="shared" ca="1" si="49"/>
        <v>0.33172039495193878</v>
      </c>
      <c r="DI32" s="128">
        <f t="shared" si="50"/>
        <v>256</v>
      </c>
      <c r="DJ32" s="90">
        <f t="shared" si="51"/>
        <v>322</v>
      </c>
      <c r="DK32" s="90">
        <f t="shared" si="52"/>
        <v>168</v>
      </c>
      <c r="DL32" s="90">
        <f t="shared" ca="1" si="53"/>
        <v>177.75</v>
      </c>
      <c r="DM32" s="90">
        <f t="shared" ca="1" si="54"/>
        <v>923.75</v>
      </c>
      <c r="DN32" s="142">
        <f t="shared" ca="1" si="55"/>
        <v>0.27713125845737485</v>
      </c>
      <c r="DO32" s="142">
        <f t="shared" ca="1" si="56"/>
        <v>0.3485791610284168</v>
      </c>
      <c r="DP32" s="142">
        <f t="shared" ca="1" si="57"/>
        <v>0.18186738836265223</v>
      </c>
      <c r="DQ32" s="142">
        <f t="shared" ca="1" si="58"/>
        <v>0.19242219215155615</v>
      </c>
      <c r="DS32" s="128">
        <f t="shared" ca="1" si="59"/>
        <v>9423</v>
      </c>
      <c r="DT32" s="90">
        <f t="shared" ca="1" si="60"/>
        <v>3823.25</v>
      </c>
      <c r="DU32" s="90">
        <f t="shared" ca="1" si="61"/>
        <v>923.75</v>
      </c>
      <c r="DV32" s="90">
        <f t="shared" si="62"/>
        <v>9</v>
      </c>
      <c r="DW32" s="90">
        <f ca="1">_xlfn.IFNA(INDEX(武器升级消耗!$H:$H,MATCH(玩家节奏1!DS32/玩家节奏1!DS$5,武器升级消耗!M:M,1)),0)</f>
        <v>11</v>
      </c>
      <c r="DX32" s="90">
        <f ca="1">_xlfn.IFNA(INDEX(武器升级消耗!$H:$H,MATCH(玩家节奏1!DT32/玩家节奏1!DT$5,武器升级消耗!N:N,1)),0)</f>
        <v>8</v>
      </c>
      <c r="DY32" s="90">
        <f ca="1">_xlfn.IFNA(INDEX(武器升级消耗!$H:$H,MATCH(玩家节奏1!DU32/玩家节奏1!DU$5,武器升级消耗!O:O,1)),0)</f>
        <v>5</v>
      </c>
      <c r="DZ32" s="90">
        <f>_xlfn.IFNA(INDEX(武器升级消耗!$H:$H,MATCH(玩家节奏1!DV32/玩家节奏1!DV$5,武器升级消耗!P:P,1)),0)</f>
        <v>3</v>
      </c>
      <c r="EA32" s="90">
        <f ca="1">_xlfn.IFNA(INDEX(武器升级消耗!$Q:$Q,MATCH(玩家节奏1!DW32,武器升级消耗!$H:$H,0))*2*EA$4,0)</f>
        <v>1.7999999999999998</v>
      </c>
      <c r="EB32" s="90">
        <f ca="1">_xlfn.IFNA(INDEX(武器升级消耗!$Q:$Q,MATCH(玩家节奏1!DX32,武器升级消耗!$H:$H,0))*2*EB$4,0)</f>
        <v>1.7999999999999998</v>
      </c>
      <c r="EC32" s="90">
        <f ca="1">_xlfn.IFNA(INDEX(武器升级消耗!$Q:$Q,MATCH(玩家节奏1!DY32,武器升级消耗!$H:$H,0))*2*EC$4,1)</f>
        <v>1.9800000000000002</v>
      </c>
      <c r="ED32" s="90">
        <f>_xlfn.IFNA(INDEX(武器升级消耗!$Q:$Q,MATCH(玩家节奏1!DZ32,武器升级消耗!$H:$H,0))*2*ED$4,0)</f>
        <v>2.0999999999999996</v>
      </c>
      <c r="EF32" s="128"/>
      <c r="EG32" s="90"/>
      <c r="EH32" s="90"/>
      <c r="EI32" s="90"/>
      <c r="EJ32" s="90"/>
      <c r="EK32" s="90"/>
      <c r="EL32" s="90"/>
      <c r="EM32" s="90"/>
      <c r="EO32" s="128"/>
      <c r="EP32" s="90"/>
      <c r="EQ32" s="90"/>
      <c r="ER32" s="90"/>
      <c r="ES32" s="90"/>
      <c r="ET32" s="90"/>
      <c r="EU32" s="90"/>
      <c r="EV32" s="90"/>
      <c r="EW32" s="90"/>
      <c r="EX32" s="90"/>
      <c r="EY32" s="90"/>
      <c r="EZ32" s="90"/>
      <c r="FA32" s="90"/>
      <c r="FB32" s="90"/>
      <c r="FD32" s="90">
        <f t="shared" ca="1" si="63"/>
        <v>1.9800000000000002</v>
      </c>
      <c r="FE32" s="90"/>
      <c r="FF32" s="90"/>
      <c r="FG32" s="90">
        <f t="shared" ca="1" si="64"/>
        <v>0</v>
      </c>
    </row>
    <row r="33" spans="1:163" x14ac:dyDescent="0.25">
      <c r="A33" s="123">
        <v>27</v>
      </c>
      <c r="B33" s="123">
        <f>INDEX(关卡对比!$Y:$Y,MATCH(关卡对比!Z33,关卡对比!$AA:$AA,1))</f>
        <v>18</v>
      </c>
      <c r="C33" s="124">
        <f>INDEX(关卡对比!$Y:$Y,MATCH(关卡对比!Z33,关卡对比!$AB:$AB,1))</f>
        <v>16</v>
      </c>
      <c r="D33" s="125">
        <f t="shared" si="70"/>
        <v>152.5</v>
      </c>
      <c r="E33" s="125">
        <v>3</v>
      </c>
      <c r="F33" s="128">
        <v>5</v>
      </c>
      <c r="G33" s="90">
        <v>1</v>
      </c>
      <c r="H33" s="90">
        <v>1</v>
      </c>
      <c r="J33" s="128">
        <v>27</v>
      </c>
      <c r="K33" s="90">
        <f t="shared" si="10"/>
        <v>5</v>
      </c>
      <c r="L33" s="90">
        <f t="shared" si="11"/>
        <v>1</v>
      </c>
      <c r="M33" s="90">
        <f t="shared" si="12"/>
        <v>1</v>
      </c>
      <c r="N33" s="140">
        <f>INDEX($A:$A,MATCH(SUM($K$7:K33),$D:$D,1))</f>
        <v>28</v>
      </c>
      <c r="O33" s="140">
        <v>0</v>
      </c>
      <c r="P33" s="141">
        <v>0</v>
      </c>
      <c r="Q33" s="126">
        <f>_xlfn.MAXIFS(关卡产出!X:X,关卡产出!$A:$A,玩家节奏1!$N$6,关卡产出!$B:$B,玩家节奏1!$N33)+_xlfn.MAXIFS(关卡产出!X:X,关卡产出!$A:$A,玩家节奏1!$O$6,关卡产出!$B:$B,玩家节奏1!$O33)+_xlfn.MAXIFS(关卡产出!X:X,关卡产出!$A:$A,玩家节奏1!$P$6,关卡产出!$B:$B,玩家节奏1!$P33)</f>
        <v>4100</v>
      </c>
      <c r="R33" s="90">
        <f>_xlfn.MAXIFS(关卡产出!Y:Y,关卡产出!$A:$A,玩家节奏1!$N$6,关卡产出!$B:$B,玩家节奏1!$N33)+_xlfn.MAXIFS(关卡产出!Y:Y,关卡产出!$A:$A,玩家节奏1!$O$6,关卡产出!$B:$B,玩家节奏1!$O33)+_xlfn.MAXIFS(关卡产出!Y:Y,关卡产出!$A:$A,玩家节奏1!$P$6,关卡产出!$B:$B,玩家节奏1!$P33)</f>
        <v>189200</v>
      </c>
      <c r="S33" s="90">
        <f>_xlfn.MAXIFS(关卡产出!Z:Z,关卡产出!$A:$A,玩家节奏1!$N$6,关卡产出!$B:$B,玩家节奏1!$N33)+_xlfn.MAXIFS(关卡产出!Z:Z,关卡产出!$A:$A,玩家节奏1!$O$6,关卡产出!$B:$B,玩家节奏1!$O33)+_xlfn.MAXIFS(关卡产出!Z:Z,关卡产出!$A:$A,玩家节奏1!$P$6,关卡产出!$B:$B,玩家节奏1!$P33)</f>
        <v>1466</v>
      </c>
      <c r="T33" s="90">
        <f>_xlfn.MAXIFS(关卡产出!AA:AA,关卡产出!$A:$A,玩家节奏1!$N$6,关卡产出!$B:$B,玩家节奏1!$N33)+_xlfn.MAXIFS(关卡产出!AA:AA,关卡产出!$A:$A,玩家节奏1!$O$6,关卡产出!$B:$B,玩家节奏1!$O33)+_xlfn.MAXIFS(关卡产出!AA:AA,关卡产出!$A:$A,玩家节奏1!$P$6,关卡产出!$B:$B,玩家节奏1!$P33)</f>
        <v>734</v>
      </c>
      <c r="U33" s="90">
        <f>_xlfn.MAXIFS(关卡产出!AB:AB,关卡产出!$A:$A,玩家节奏1!$N$6,关卡产出!$B:$B,玩家节奏1!$N33)+_xlfn.MAXIFS(关卡产出!AB:AB,关卡产出!$A:$A,玩家节奏1!$O$6,关卡产出!$B:$B,玩家节奏1!$O33)+_xlfn.MAXIFS(关卡产出!AB:AB,关卡产出!$A:$A,玩家节奏1!$P$6,关卡产出!$B:$B,玩家节奏1!$P33)</f>
        <v>279</v>
      </c>
      <c r="V33" s="130">
        <f>_xlfn.MAXIFS(关卡产出!AC:AC,关卡产出!$A:$A,玩家节奏1!$N$6,关卡产出!$B:$B,玩家节奏1!$N33)+_xlfn.MAXIFS(关卡产出!AC:AC,关卡产出!$A:$A,玩家节奏1!$O$6,关卡产出!$B:$B,玩家节奏1!$O33)+_xlfn.MAXIFS(关卡产出!AC:AC,关卡产出!$A:$A,玩家节奏1!$P$6,关卡产出!$B:$B,玩家节奏1!$P33)</f>
        <v>168</v>
      </c>
      <c r="W33" s="126">
        <f>INDEX(关卡产出!C$8:C$207,MATCH(玩家节奏1!$N33,关卡产出!$B$8:$B$207,0))*$K33</f>
        <v>105</v>
      </c>
      <c r="X33" s="126">
        <f>INDEX(关卡产出!D$8:D$207,MATCH(玩家节奏1!$N33,关卡产出!$B$8:$B$207,0))*$K33</f>
        <v>50</v>
      </c>
      <c r="Y33" s="126">
        <f>INDEX(关卡产出!E$8:E$207,MATCH(玩家节奏1!$N33,关卡产出!$B$8:$B$207,0))*$K33</f>
        <v>25</v>
      </c>
      <c r="Z33" s="144">
        <f>INDEX(关卡产出!F$8:F$207,MATCH(玩家节奏1!$N33,关卡产出!$B$8:$B$207,0))*$K33</f>
        <v>1650</v>
      </c>
      <c r="AA33" s="126">
        <f>SUM(W$7:W33)</f>
        <v>1951</v>
      </c>
      <c r="AB33" s="126">
        <f>SUM(X$7:X33)</f>
        <v>931</v>
      </c>
      <c r="AC33" s="126">
        <f>SUM(Y$7:Y33)</f>
        <v>347</v>
      </c>
      <c r="AD33" s="126">
        <f>SUM(Z$7:Z33)</f>
        <v>35310</v>
      </c>
      <c r="AE33" s="126">
        <f>INDEX(图鉴!AQ:AQ,MATCH($N33,图鉴!$S:$S,0))*8</f>
        <v>136</v>
      </c>
      <c r="AF33" s="90">
        <f>INDEX(图鉴!AR:AR,MATCH($N33,图鉴!$S:$S,0))*8</f>
        <v>72</v>
      </c>
      <c r="AG33" s="90">
        <f>INDEX(图鉴!AS:AS,MATCH($N33,图鉴!$S:$S,0))*8</f>
        <v>8</v>
      </c>
      <c r="AH33" s="129">
        <f ca="1">INDEX(图鉴!AT:AT,MATCH($N33,图鉴!$S:$S,0))*8</f>
        <v>4464</v>
      </c>
      <c r="AI33" s="128">
        <f>SUM($AE$7:AE33)</f>
        <v>2976</v>
      </c>
      <c r="AJ33" s="90">
        <f>SUM(AF$7:AF33)</f>
        <v>1064</v>
      </c>
      <c r="AK33" s="90">
        <f>SUM(AG$7:AG33)</f>
        <v>176</v>
      </c>
      <c r="AL33" s="130">
        <f ca="1">SUM(AH$7:AH33)</f>
        <v>90776</v>
      </c>
      <c r="AM33" s="133">
        <f>IF(M33=0,0,INDEX(关卡产出!$AU$11:$AU$15,MATCH(玩家节奏1!N33,关卡产出!$AW$11:$AW$15,1))*M33)</f>
        <v>4100</v>
      </c>
      <c r="AN33" s="126">
        <f>IF(L33=0,0,$L33*关卡产出!AU$21)</f>
        <v>1000</v>
      </c>
      <c r="AO33" s="90">
        <f>IF(M33=0,0,$L33*关卡产出!AV$21)</f>
        <v>50</v>
      </c>
      <c r="AP33" s="129">
        <f>IF(N33=0,0,$L33*关卡产出!AW$21)</f>
        <v>1</v>
      </c>
      <c r="AQ33" s="138">
        <f>SUM(AN$7:AN33)</f>
        <v>10000</v>
      </c>
      <c r="AR33" s="126">
        <f>SUM(AO$7:AO33)</f>
        <v>500</v>
      </c>
      <c r="AS33" s="129">
        <f>SUM(AP$7:AP33)</f>
        <v>10</v>
      </c>
      <c r="AT33" s="128">
        <v>500</v>
      </c>
      <c r="AU33" s="129">
        <v>100</v>
      </c>
      <c r="AV33" s="128">
        <f>SUM(AT$7:AT33)</f>
        <v>13500</v>
      </c>
      <c r="AW33" s="90">
        <f>SUM(AU$7:AU33)</f>
        <v>2700</v>
      </c>
      <c r="AY33" s="128">
        <f t="shared" si="13"/>
        <v>4100</v>
      </c>
      <c r="AZ33" s="90">
        <f t="shared" si="14"/>
        <v>500</v>
      </c>
      <c r="BA33" s="90">
        <f t="shared" si="15"/>
        <v>2700</v>
      </c>
      <c r="BB33" s="90">
        <f t="shared" ca="1" si="65"/>
        <v>400</v>
      </c>
      <c r="BC33" s="90">
        <f t="shared" ca="1" si="68"/>
        <v>7700</v>
      </c>
      <c r="BD33" s="90"/>
      <c r="BE33" s="90">
        <f t="shared" ca="1" si="17"/>
        <v>7700</v>
      </c>
      <c r="BF33" s="142">
        <f t="shared" ca="1" si="18"/>
        <v>0.53246753246753242</v>
      </c>
      <c r="BG33" s="142">
        <f t="shared" ca="1" si="19"/>
        <v>6.4935064935064929E-2</v>
      </c>
      <c r="BH33" s="142">
        <f t="shared" ca="1" si="20"/>
        <v>0.35064935064935066</v>
      </c>
      <c r="BI33" s="142">
        <f t="shared" ca="1" si="21"/>
        <v>5.1948051948051951E-2</v>
      </c>
      <c r="BJ33" s="143"/>
      <c r="BK33" s="128">
        <f ca="1">INDEX(商城宝箱!$L:$L,MATCH(BC33,商城宝箱!$N:$N,1))</f>
        <v>4</v>
      </c>
      <c r="BL33" s="90">
        <f ca="1">_xlfn.IFNA(INDEX(商城宝箱!T:T,MATCH(玩家节奏1!$BK33,商城宝箱!$L:$L,0)),0)+($BC33-INDEX(商城宝箱!$N:$N,MATCH(玩家节奏1!$BK33,商城宝箱!$L:$L,0)))/$BK$5*INDEX(商城宝箱!E$23:E$42,MATCH(玩家节奏1!$BK33+1,商城宝箱!$C$23:$C$42,0))</f>
        <v>19250</v>
      </c>
      <c r="BM33" s="90">
        <f ca="1">_xlfn.IFNA(INDEX(商城宝箱!U:U,MATCH(玩家节奏1!$BK33,商城宝箱!$L:$L,0)),0)+($BC33-INDEX(商城宝箱!$N:$N,MATCH(玩家节奏1!$BK33,商城宝箱!$L:$L,0)))/$BK$5*INDEX(商城宝箱!F$23:F$42,MATCH(玩家节奏1!$BK33+1,商城宝箱!$C$23:$C$42,0))</f>
        <v>3637.5</v>
      </c>
      <c r="BN33" s="90">
        <f ca="1">_xlfn.IFNA(INDEX(商城宝箱!V:V,MATCH(玩家节奏1!$BK33,商城宝箱!$L:$L,0)),0)+($BC33-INDEX(商城宝箱!$N:$N,MATCH(玩家节奏1!$BK33,商城宝箱!$L:$L,0)))/$BK$5*INDEX(商城宝箱!G$23:G$42,MATCH(玩家节奏1!$BK33+1,商城宝箱!$C$23:$C$42,0))</f>
        <v>1399.5</v>
      </c>
      <c r="BO33" s="90">
        <f ca="1">_xlfn.IFNA(INDEX(商城宝箱!W:W,MATCH(玩家节奏1!$BK33,商城宝箱!$L:$L,0)),0)+($BC33-INDEX(商城宝箱!$N:$N,MATCH(玩家节奏1!$BK33,商城宝箱!$L:$L,0)))/$BK$5*INDEX(商城宝箱!H$23:H$42,MATCH(玩家节奏1!$BK33+1,商城宝箱!$C$23:$C$42,0))</f>
        <v>197</v>
      </c>
      <c r="BQ33" s="128">
        <f t="shared" si="0"/>
        <v>189200</v>
      </c>
      <c r="BR33" s="90">
        <f t="shared" si="1"/>
        <v>35310</v>
      </c>
      <c r="BS33" s="90">
        <f t="shared" ca="1" si="2"/>
        <v>90776</v>
      </c>
      <c r="BT33" s="90">
        <f t="shared" si="3"/>
        <v>4100</v>
      </c>
      <c r="BU33" s="90">
        <f t="shared" si="4"/>
        <v>10000</v>
      </c>
      <c r="BV33" s="90">
        <f t="shared" si="5"/>
        <v>13500</v>
      </c>
      <c r="BW33" s="90">
        <f t="shared" ca="1" si="22"/>
        <v>19250</v>
      </c>
      <c r="BX33" s="90">
        <f t="shared" ca="1" si="23"/>
        <v>362136</v>
      </c>
      <c r="BY33" s="142">
        <f t="shared" ca="1" si="24"/>
        <v>0.52245565202023547</v>
      </c>
      <c r="BZ33" s="142">
        <f t="shared" ca="1" si="25"/>
        <v>9.7504804824706734E-2</v>
      </c>
      <c r="CA33" s="142">
        <f t="shared" ca="1" si="26"/>
        <v>0.25066825722932823</v>
      </c>
      <c r="CB33" s="142">
        <f t="shared" ca="1" si="27"/>
        <v>1.132171338944485E-2</v>
      </c>
      <c r="CC33" s="142">
        <f t="shared" ca="1" si="28"/>
        <v>2.7613935096206951E-2</v>
      </c>
      <c r="CD33" s="142">
        <f t="shared" ca="1" si="29"/>
        <v>3.7278812379879379E-2</v>
      </c>
      <c r="CE33" s="142">
        <f t="shared" ca="1" si="30"/>
        <v>5.3156825060198379E-2</v>
      </c>
      <c r="CG33" s="128">
        <f t="shared" si="31"/>
        <v>28</v>
      </c>
      <c r="CH33" s="90">
        <f ca="1">INDEX(角色升级!$A:$A,MATCH(玩家节奏1!$BX33,角色升级!$J:$J,1))</f>
        <v>187</v>
      </c>
      <c r="CI33" s="90">
        <f ca="1">INDEX(角色升级!$O:$O,MATCH(玩家节奏1!$BX33,角色升级!$J:$J,1))</f>
        <v>2856.4301100000002</v>
      </c>
      <c r="CJ33" s="90">
        <f>INDEX(关卡对比!$J:$J,MATCH(玩家节奏1!N33,关卡对比!$A:$A,0))</f>
        <v>3500</v>
      </c>
      <c r="CK33" s="147">
        <f t="shared" ca="1" si="32"/>
        <v>1.2253056665895459</v>
      </c>
      <c r="CL33" s="128">
        <f ca="1">INDEX(角色升级!$P:$P,MATCH(玩家节奏1!$CH33,角色升级!$A:$A,0))</f>
        <v>400</v>
      </c>
      <c r="CM33" s="90">
        <f ca="1">INDEX(角色升级!Q:Q,MATCH(玩家节奏1!$CH33,角色升级!$A:$A,0))</f>
        <v>0.1</v>
      </c>
      <c r="CO33" s="128">
        <f t="shared" si="33"/>
        <v>1466</v>
      </c>
      <c r="CP33" s="90">
        <f t="shared" si="34"/>
        <v>1951</v>
      </c>
      <c r="CQ33" s="90">
        <f t="shared" si="35"/>
        <v>2976</v>
      </c>
      <c r="CR33" s="90">
        <f t="shared" ca="1" si="36"/>
        <v>3637.5</v>
      </c>
      <c r="CS33" s="90">
        <f t="shared" ca="1" si="37"/>
        <v>10030.5</v>
      </c>
      <c r="CT33" s="142">
        <f t="shared" ca="1" si="38"/>
        <v>0.14615422959972085</v>
      </c>
      <c r="CU33" s="142">
        <f t="shared" ca="1" si="39"/>
        <v>0.1945067543990828</v>
      </c>
      <c r="CV33" s="142">
        <f t="shared" ca="1" si="40"/>
        <v>0.29669508000598177</v>
      </c>
      <c r="CW33" s="142">
        <f t="shared" ca="1" si="41"/>
        <v>0.36264393599521461</v>
      </c>
      <c r="CY33" s="128">
        <f t="shared" si="42"/>
        <v>734</v>
      </c>
      <c r="CZ33" s="90">
        <f t="shared" si="43"/>
        <v>931</v>
      </c>
      <c r="DA33" s="90">
        <f t="shared" si="44"/>
        <v>1064</v>
      </c>
      <c r="DB33" s="90">
        <f t="shared" ca="1" si="66"/>
        <v>1399.5</v>
      </c>
      <c r="DC33" s="90">
        <f t="shared" ca="1" si="45"/>
        <v>4128.5</v>
      </c>
      <c r="DD33" s="142">
        <f t="shared" ca="1" si="46"/>
        <v>0.17778854305437811</v>
      </c>
      <c r="DE33" s="142">
        <f t="shared" ca="1" si="47"/>
        <v>0.22550563158532155</v>
      </c>
      <c r="DF33" s="142">
        <f t="shared" ca="1" si="48"/>
        <v>0.25772072181179606</v>
      </c>
      <c r="DG33" s="142">
        <f t="shared" ca="1" si="49"/>
        <v>0.33898510354850431</v>
      </c>
      <c r="DI33" s="128">
        <f t="shared" si="50"/>
        <v>279</v>
      </c>
      <c r="DJ33" s="90">
        <f t="shared" si="51"/>
        <v>347</v>
      </c>
      <c r="DK33" s="90">
        <f t="shared" si="52"/>
        <v>176</v>
      </c>
      <c r="DL33" s="90">
        <f t="shared" ca="1" si="53"/>
        <v>197</v>
      </c>
      <c r="DM33" s="90">
        <f t="shared" ca="1" si="54"/>
        <v>999</v>
      </c>
      <c r="DN33" s="142">
        <f t="shared" ca="1" si="55"/>
        <v>0.27927927927927926</v>
      </c>
      <c r="DO33" s="142">
        <f t="shared" ca="1" si="56"/>
        <v>0.34734734734734735</v>
      </c>
      <c r="DP33" s="142">
        <f t="shared" ca="1" si="57"/>
        <v>0.17617617617617617</v>
      </c>
      <c r="DQ33" s="142">
        <f t="shared" ca="1" si="58"/>
        <v>0.19719719719719719</v>
      </c>
      <c r="DS33" s="128">
        <f t="shared" ca="1" si="59"/>
        <v>10030.5</v>
      </c>
      <c r="DT33" s="90">
        <f t="shared" ca="1" si="60"/>
        <v>4128.5</v>
      </c>
      <c r="DU33" s="90">
        <f t="shared" ca="1" si="61"/>
        <v>999</v>
      </c>
      <c r="DV33" s="90">
        <f t="shared" si="62"/>
        <v>10</v>
      </c>
      <c r="DW33" s="90">
        <f ca="1">_xlfn.IFNA(INDEX(武器升级消耗!$H:$H,MATCH(玩家节奏1!DS33/玩家节奏1!DS$5,武器升级消耗!M:M,1)),0)</f>
        <v>11</v>
      </c>
      <c r="DX33" s="90">
        <f ca="1">_xlfn.IFNA(INDEX(武器升级消耗!$H:$H,MATCH(玩家节奏1!DT33/玩家节奏1!DT$5,武器升级消耗!N:N,1)),0)</f>
        <v>8</v>
      </c>
      <c r="DY33" s="90">
        <f ca="1">_xlfn.IFNA(INDEX(武器升级消耗!$H:$H,MATCH(玩家节奏1!DU33/玩家节奏1!DU$5,武器升级消耗!O:O,1)),0)</f>
        <v>5</v>
      </c>
      <c r="DZ33" s="90">
        <f>_xlfn.IFNA(INDEX(武器升级消耗!$H:$H,MATCH(玩家节奏1!DV33/玩家节奏1!DV$5,武器升级消耗!P:P,1)),0)</f>
        <v>3</v>
      </c>
      <c r="EA33" s="90">
        <f ca="1">_xlfn.IFNA(INDEX(武器升级消耗!$Q:$Q,MATCH(玩家节奏1!DW33,武器升级消耗!$H:$H,0))*2*EA$4,0)</f>
        <v>1.7999999999999998</v>
      </c>
      <c r="EB33" s="90">
        <f ca="1">_xlfn.IFNA(INDEX(武器升级消耗!$Q:$Q,MATCH(玩家节奏1!DX33,武器升级消耗!$H:$H,0))*2*EB$4,0)</f>
        <v>1.7999999999999998</v>
      </c>
      <c r="EC33" s="90">
        <f ca="1">_xlfn.IFNA(INDEX(武器升级消耗!$Q:$Q,MATCH(玩家节奏1!DY33,武器升级消耗!$H:$H,0))*2*EC$4,1)</f>
        <v>1.9800000000000002</v>
      </c>
      <c r="ED33" s="90">
        <f>_xlfn.IFNA(INDEX(武器升级消耗!$Q:$Q,MATCH(玩家节奏1!DZ33,武器升级消耗!$H:$H,0))*2*ED$4,0)</f>
        <v>2.0999999999999996</v>
      </c>
      <c r="EF33" s="128"/>
      <c r="EG33" s="90"/>
      <c r="EH33" s="90"/>
      <c r="EI33" s="90"/>
      <c r="EJ33" s="90"/>
      <c r="EK33" s="90"/>
      <c r="EL33" s="90"/>
      <c r="EM33" s="90"/>
      <c r="EO33" s="128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D33" s="90">
        <f t="shared" ca="1" si="63"/>
        <v>1.9800000000000002</v>
      </c>
      <c r="FE33" s="90"/>
      <c r="FF33" s="90"/>
      <c r="FG33" s="90">
        <f t="shared" ca="1" si="64"/>
        <v>0</v>
      </c>
    </row>
    <row r="34" spans="1:163" x14ac:dyDescent="0.25">
      <c r="A34" s="123">
        <v>28</v>
      </c>
      <c r="B34" s="123">
        <f>INDEX(关卡对比!$Y:$Y,MATCH(关卡对比!Z34,关卡对比!$AA:$AA,1))</f>
        <v>19</v>
      </c>
      <c r="C34" s="124">
        <f>INDEX(关卡对比!$Y:$Y,MATCH(关卡对比!Z34,关卡对比!$AB:$AB,1))</f>
        <v>16</v>
      </c>
      <c r="D34" s="125">
        <f t="shared" si="70"/>
        <v>158.5</v>
      </c>
      <c r="E34" s="125">
        <v>3</v>
      </c>
      <c r="F34" s="128">
        <v>5</v>
      </c>
      <c r="G34" s="90">
        <v>1</v>
      </c>
      <c r="H34" s="90">
        <v>1</v>
      </c>
      <c r="J34" s="128">
        <v>28</v>
      </c>
      <c r="K34" s="90">
        <f t="shared" si="10"/>
        <v>5</v>
      </c>
      <c r="L34" s="90">
        <f t="shared" si="11"/>
        <v>1</v>
      </c>
      <c r="M34" s="90">
        <f t="shared" si="12"/>
        <v>1</v>
      </c>
      <c r="N34" s="140">
        <f>INDEX($A:$A,MATCH(SUM($K$7:K34),$D:$D,1))</f>
        <v>29</v>
      </c>
      <c r="O34" s="140">
        <v>0</v>
      </c>
      <c r="P34" s="141">
        <v>0</v>
      </c>
      <c r="Q34" s="126">
        <f>_xlfn.MAXIFS(关卡产出!X:X,关卡产出!$A:$A,玩家节奏1!$N$6,关卡产出!$B:$B,玩家节奏1!$N34)+_xlfn.MAXIFS(关卡产出!X:X,关卡产出!$A:$A,玩家节奏1!$O$6,关卡产出!$B:$B,玩家节奏1!$O34)+_xlfn.MAXIFS(关卡产出!X:X,关卡产出!$A:$A,玩家节奏1!$P$6,关卡产出!$B:$B,玩家节奏1!$P34)</f>
        <v>4300</v>
      </c>
      <c r="R34" s="90">
        <f>_xlfn.MAXIFS(关卡产出!Y:Y,关卡产出!$A:$A,玩家节奏1!$N$6,关卡产出!$B:$B,玩家节奏1!$N34)+_xlfn.MAXIFS(关卡产出!Y:Y,关卡产出!$A:$A,玩家节奏1!$O$6,关卡产出!$B:$B,玩家节奏1!$O34)+_xlfn.MAXIFS(关卡产出!Y:Y,关卡产出!$A:$A,玩家节奏1!$P$6,关卡产出!$B:$B,玩家节奏1!$P34)</f>
        <v>204300</v>
      </c>
      <c r="S34" s="90">
        <f>_xlfn.MAXIFS(关卡产出!Z:Z,关卡产出!$A:$A,玩家节奏1!$N$6,关卡产出!$B:$B,玩家节奏1!$N34)+_xlfn.MAXIFS(关卡产出!Z:Z,关卡产出!$A:$A,玩家节奏1!$O$6,关卡产出!$B:$B,玩家节奏1!$O34)+_xlfn.MAXIFS(关卡产出!Z:Z,关卡产出!$A:$A,玩家节奏1!$P$6,关卡产出!$B:$B,玩家节奏1!$P34)</f>
        <v>1574</v>
      </c>
      <c r="T34" s="90">
        <f>_xlfn.MAXIFS(关卡产出!AA:AA,关卡产出!$A:$A,玩家节奏1!$N$6,关卡产出!$B:$B,玩家节奏1!$N34)+_xlfn.MAXIFS(关卡产出!AA:AA,关卡产出!$A:$A,玩家节奏1!$O$6,关卡产出!$B:$B,玩家节奏1!$O34)+_xlfn.MAXIFS(关卡产出!AA:AA,关卡产出!$A:$A,玩家节奏1!$P$6,关卡产出!$B:$B,玩家节奏1!$P34)</f>
        <v>788</v>
      </c>
      <c r="U34" s="90">
        <f>_xlfn.MAXIFS(关卡产出!AB:AB,关卡产出!$A:$A,玩家节奏1!$N$6,关卡产出!$B:$B,玩家节奏1!$N34)+_xlfn.MAXIFS(关卡产出!AB:AB,关卡产出!$A:$A,玩家节奏1!$O$6,关卡产出!$B:$B,玩家节奏1!$O34)+_xlfn.MAXIFS(关卡产出!AB:AB,关卡产出!$A:$A,玩家节奏1!$P$6,关卡产出!$B:$B,玩家节奏1!$P34)</f>
        <v>303</v>
      </c>
      <c r="V34" s="130">
        <f>_xlfn.MAXIFS(关卡产出!AC:AC,关卡产出!$A:$A,玩家节奏1!$N$6,关卡产出!$B:$B,玩家节奏1!$N34)+_xlfn.MAXIFS(关卡产出!AC:AC,关卡产出!$A:$A,玩家节奏1!$O$6,关卡产出!$B:$B,玩家节奏1!$O34)+_xlfn.MAXIFS(关卡产出!AC:AC,关卡产出!$A:$A,玩家节奏1!$P$6,关卡产出!$B:$B,玩家节奏1!$P34)</f>
        <v>174</v>
      </c>
      <c r="W34" s="126">
        <f>INDEX(关卡产出!C$8:C$207,MATCH(玩家节奏1!$N34,关卡产出!$B$8:$B$207,0))*$K34</f>
        <v>110</v>
      </c>
      <c r="X34" s="126">
        <f>INDEX(关卡产出!D$8:D$207,MATCH(玩家节奏1!$N34,关卡产出!$B$8:$B$207,0))*$K34</f>
        <v>55</v>
      </c>
      <c r="Y34" s="126">
        <f>INDEX(关卡产出!E$8:E$207,MATCH(玩家节奏1!$N34,关卡产出!$B$8:$B$207,0))*$K34</f>
        <v>25</v>
      </c>
      <c r="Z34" s="144">
        <f>INDEX(关卡产出!F$8:F$207,MATCH(玩家节奏1!$N34,关卡产出!$B$8:$B$207,0))*$K34</f>
        <v>1750</v>
      </c>
      <c r="AA34" s="126">
        <f>SUM(W$7:W34)</f>
        <v>2061</v>
      </c>
      <c r="AB34" s="126">
        <f>SUM(X$7:X34)</f>
        <v>986</v>
      </c>
      <c r="AC34" s="126">
        <f>SUM(Y$7:Y34)</f>
        <v>372</v>
      </c>
      <c r="AD34" s="126">
        <f>SUM(Z$7:Z34)</f>
        <v>37060</v>
      </c>
      <c r="AE34" s="126">
        <f>INDEX(图鉴!AQ:AQ,MATCH($N34,图鉴!$S:$S,0))*8</f>
        <v>136</v>
      </c>
      <c r="AF34" s="90">
        <f>INDEX(图鉴!AR:AR,MATCH($N34,图鉴!$S:$S,0))*8</f>
        <v>72</v>
      </c>
      <c r="AG34" s="90">
        <f>INDEX(图鉴!AS:AS,MATCH($N34,图鉴!$S:$S,0))*8</f>
        <v>8</v>
      </c>
      <c r="AH34" s="129">
        <f ca="1">INDEX(图鉴!AT:AT,MATCH($N34,图鉴!$S:$S,0))*8</f>
        <v>4464</v>
      </c>
      <c r="AI34" s="128">
        <f>SUM($AE$7:AE34)</f>
        <v>3112</v>
      </c>
      <c r="AJ34" s="90">
        <f>SUM(AF$7:AF34)</f>
        <v>1136</v>
      </c>
      <c r="AK34" s="90">
        <f>SUM(AG$7:AG34)</f>
        <v>184</v>
      </c>
      <c r="AL34" s="130">
        <f ca="1">SUM(AH$7:AH34)</f>
        <v>95240</v>
      </c>
      <c r="AM34" s="133">
        <f>IF(M34=0,0,INDEX(关卡产出!$AU$11:$AU$15,MATCH(玩家节奏1!N34,关卡产出!$AW$11:$AW$15,1))*M34)</f>
        <v>4100</v>
      </c>
      <c r="AN34" s="126">
        <f>IF(L34=0,0,$L34*关卡产出!AU$21)</f>
        <v>1000</v>
      </c>
      <c r="AO34" s="90">
        <f>IF(M34=0,0,$L34*关卡产出!AV$21)</f>
        <v>50</v>
      </c>
      <c r="AP34" s="129">
        <f>IF(N34=0,0,$L34*关卡产出!AW$21)</f>
        <v>1</v>
      </c>
      <c r="AQ34" s="138">
        <f>SUM(AN$7:AN34)</f>
        <v>11000</v>
      </c>
      <c r="AR34" s="126">
        <f>SUM(AO$7:AO34)</f>
        <v>550</v>
      </c>
      <c r="AS34" s="129">
        <f>SUM(AP$7:AP34)</f>
        <v>11</v>
      </c>
      <c r="AT34" s="128">
        <v>500</v>
      </c>
      <c r="AU34" s="129">
        <v>100</v>
      </c>
      <c r="AV34" s="128">
        <f>SUM(AT$7:AT34)</f>
        <v>14000</v>
      </c>
      <c r="AW34" s="90">
        <f>SUM(AU$7:AU34)</f>
        <v>2800</v>
      </c>
      <c r="AY34" s="128">
        <f t="shared" si="13"/>
        <v>4300</v>
      </c>
      <c r="AZ34" s="90">
        <f t="shared" si="14"/>
        <v>550</v>
      </c>
      <c r="BA34" s="90">
        <f t="shared" si="15"/>
        <v>2800</v>
      </c>
      <c r="BB34" s="90">
        <f t="shared" ca="1" si="65"/>
        <v>400</v>
      </c>
      <c r="BC34" s="90">
        <f t="shared" ca="1" si="68"/>
        <v>8050</v>
      </c>
      <c r="BD34" s="90"/>
      <c r="BE34" s="90">
        <f t="shared" ca="1" si="17"/>
        <v>8050</v>
      </c>
      <c r="BF34" s="142">
        <f t="shared" ca="1" si="18"/>
        <v>0.53416149068322982</v>
      </c>
      <c r="BG34" s="142">
        <f t="shared" ca="1" si="19"/>
        <v>6.8322981366459631E-2</v>
      </c>
      <c r="BH34" s="142">
        <f t="shared" ca="1" si="20"/>
        <v>0.34782608695652173</v>
      </c>
      <c r="BI34" s="142">
        <f t="shared" ca="1" si="21"/>
        <v>4.9689440993788817E-2</v>
      </c>
      <c r="BJ34" s="143"/>
      <c r="BK34" s="128">
        <f ca="1">INDEX(商城宝箱!$L:$L,MATCH(BC34,商城宝箱!$N:$N,1))</f>
        <v>4</v>
      </c>
      <c r="BL34" s="90">
        <f ca="1">_xlfn.IFNA(INDEX(商城宝箱!T:T,MATCH(玩家节奏1!$BK34,商城宝箱!$L:$L,0)),0)+($BC34-INDEX(商城宝箱!$N:$N,MATCH(玩家节奏1!$BK34,商城宝箱!$L:$L,0)))/$BK$5*INDEX(商城宝箱!E$23:E$42,MATCH(玩家节奏1!$BK34+1,商城宝箱!$C$23:$C$42,0))</f>
        <v>20125</v>
      </c>
      <c r="BM34" s="90">
        <f ca="1">_xlfn.IFNA(INDEX(商城宝箱!U:U,MATCH(玩家节奏1!$BK34,商城宝箱!$L:$L,0)),0)+($BC34-INDEX(商城宝箱!$N:$N,MATCH(玩家节奏1!$BK34,商城宝箱!$L:$L,0)))/$BK$5*INDEX(商城宝箱!F$23:F$42,MATCH(玩家节奏1!$BK34+1,商城宝箱!$C$23:$C$42,0))</f>
        <v>3900</v>
      </c>
      <c r="BN34" s="90">
        <f ca="1">_xlfn.IFNA(INDEX(商城宝箱!V:V,MATCH(玩家节奏1!$BK34,商城宝箱!$L:$L,0)),0)+($BC34-INDEX(商城宝箱!$N:$N,MATCH(玩家节奏1!$BK34,商城宝箱!$L:$L,0)))/$BK$5*INDEX(商城宝箱!G$23:G$42,MATCH(玩家节奏1!$BK34+1,商城宝箱!$C$23:$C$42,0))</f>
        <v>1530.75</v>
      </c>
      <c r="BO34" s="90">
        <f ca="1">_xlfn.IFNA(INDEX(商城宝箱!W:W,MATCH(玩家节奏1!$BK34,商城宝箱!$L:$L,0)),0)+($BC34-INDEX(商城宝箱!$N:$N,MATCH(玩家节奏1!$BK34,商城宝箱!$L:$L,0)))/$BK$5*INDEX(商城宝箱!H$23:H$42,MATCH(玩家节奏1!$BK34+1,商城宝箱!$C$23:$C$42,0))</f>
        <v>216.25</v>
      </c>
      <c r="BQ34" s="128">
        <f t="shared" si="0"/>
        <v>204300</v>
      </c>
      <c r="BR34" s="90">
        <f t="shared" si="1"/>
        <v>37060</v>
      </c>
      <c r="BS34" s="90">
        <f t="shared" ca="1" si="2"/>
        <v>95240</v>
      </c>
      <c r="BT34" s="90">
        <f t="shared" si="3"/>
        <v>4100</v>
      </c>
      <c r="BU34" s="90">
        <f t="shared" si="4"/>
        <v>11000</v>
      </c>
      <c r="BV34" s="90">
        <f t="shared" si="5"/>
        <v>14000</v>
      </c>
      <c r="BW34" s="90">
        <f t="shared" ca="1" si="22"/>
        <v>20125</v>
      </c>
      <c r="BX34" s="90">
        <f t="shared" ca="1" si="23"/>
        <v>385825</v>
      </c>
      <c r="BY34" s="142">
        <f t="shared" ca="1" si="24"/>
        <v>0.52951467634290161</v>
      </c>
      <c r="BZ34" s="142">
        <f t="shared" ca="1" si="25"/>
        <v>9.6053910451629629E-2</v>
      </c>
      <c r="CA34" s="142">
        <f t="shared" ca="1" si="26"/>
        <v>0.24684766409641676</v>
      </c>
      <c r="CB34" s="142">
        <f t="shared" ca="1" si="27"/>
        <v>1.0626579407762586E-2</v>
      </c>
      <c r="CC34" s="142">
        <f t="shared" ca="1" si="28"/>
        <v>2.851033499643621E-2</v>
      </c>
      <c r="CD34" s="142">
        <f t="shared" ca="1" si="29"/>
        <v>3.6285880904555173E-2</v>
      </c>
      <c r="CE34" s="142">
        <f t="shared" ca="1" si="30"/>
        <v>5.216095380029806E-2</v>
      </c>
      <c r="CG34" s="128">
        <f t="shared" si="31"/>
        <v>29</v>
      </c>
      <c r="CH34" s="90">
        <f ca="1">INDEX(角色升级!$A:$A,MATCH(玩家节奏1!$BX34,角色升级!$J:$J,1))</f>
        <v>192</v>
      </c>
      <c r="CI34" s="90">
        <f ca="1">INDEX(角色升级!$O:$O,MATCH(玩家节奏1!$BX34,角色升级!$J:$J,1))</f>
        <v>3091.2075850000001</v>
      </c>
      <c r="CJ34" s="90">
        <f>INDEX(关卡对比!$J:$J,MATCH(玩家节奏1!N34,关卡对比!$A:$A,0))</f>
        <v>3700</v>
      </c>
      <c r="CK34" s="147">
        <f t="shared" ca="1" si="32"/>
        <v>1.1969432327851899</v>
      </c>
      <c r="CL34" s="128">
        <f ca="1">INDEX(角色升级!$P:$P,MATCH(玩家节奏1!$CH34,角色升级!$A:$A,0))</f>
        <v>650</v>
      </c>
      <c r="CM34" s="90">
        <f ca="1">INDEX(角色升级!Q:Q,MATCH(玩家节奏1!$CH34,角色升级!$A:$A,0))</f>
        <v>0.1</v>
      </c>
      <c r="CO34" s="128">
        <f t="shared" si="33"/>
        <v>1574</v>
      </c>
      <c r="CP34" s="90">
        <f t="shared" si="34"/>
        <v>2061</v>
      </c>
      <c r="CQ34" s="90">
        <f t="shared" si="35"/>
        <v>3112</v>
      </c>
      <c r="CR34" s="90">
        <f t="shared" ca="1" si="36"/>
        <v>3900</v>
      </c>
      <c r="CS34" s="90">
        <f t="shared" ca="1" si="37"/>
        <v>10647</v>
      </c>
      <c r="CT34" s="142">
        <f t="shared" ca="1" si="38"/>
        <v>0.14783507091199399</v>
      </c>
      <c r="CU34" s="142">
        <f t="shared" ca="1" si="39"/>
        <v>0.19357565511411665</v>
      </c>
      <c r="CV34" s="142">
        <f t="shared" ca="1" si="40"/>
        <v>0.29228890767352306</v>
      </c>
      <c r="CW34" s="142">
        <f t="shared" ca="1" si="41"/>
        <v>0.36630036630036628</v>
      </c>
      <c r="CY34" s="128">
        <f t="shared" si="42"/>
        <v>788</v>
      </c>
      <c r="CZ34" s="90">
        <f t="shared" si="43"/>
        <v>986</v>
      </c>
      <c r="DA34" s="90">
        <f t="shared" si="44"/>
        <v>1136</v>
      </c>
      <c r="DB34" s="90">
        <f t="shared" ca="1" si="66"/>
        <v>1530.75</v>
      </c>
      <c r="DC34" s="90">
        <f t="shared" ca="1" si="45"/>
        <v>4440.75</v>
      </c>
      <c r="DD34" s="142">
        <f t="shared" ca="1" si="46"/>
        <v>0.17744750323706582</v>
      </c>
      <c r="DE34" s="142">
        <f t="shared" ca="1" si="47"/>
        <v>0.22203456623318132</v>
      </c>
      <c r="DF34" s="142">
        <f t="shared" ca="1" si="48"/>
        <v>0.25581264426054157</v>
      </c>
      <c r="DG34" s="142">
        <f t="shared" ca="1" si="49"/>
        <v>0.34470528626921126</v>
      </c>
      <c r="DI34" s="128">
        <f t="shared" si="50"/>
        <v>303</v>
      </c>
      <c r="DJ34" s="90">
        <f t="shared" si="51"/>
        <v>372</v>
      </c>
      <c r="DK34" s="90">
        <f t="shared" si="52"/>
        <v>184</v>
      </c>
      <c r="DL34" s="90">
        <f t="shared" ca="1" si="53"/>
        <v>216.25</v>
      </c>
      <c r="DM34" s="90">
        <f t="shared" ca="1" si="54"/>
        <v>1075.25</v>
      </c>
      <c r="DN34" s="142">
        <f t="shared" ca="1" si="55"/>
        <v>0.28179493141129969</v>
      </c>
      <c r="DO34" s="142">
        <f t="shared" ca="1" si="56"/>
        <v>0.34596605440595213</v>
      </c>
      <c r="DP34" s="142">
        <f t="shared" ca="1" si="57"/>
        <v>0.17112299465240641</v>
      </c>
      <c r="DQ34" s="142">
        <f t="shared" ca="1" si="58"/>
        <v>0.20111601953034178</v>
      </c>
      <c r="DS34" s="128">
        <f t="shared" ca="1" si="59"/>
        <v>10647</v>
      </c>
      <c r="DT34" s="90">
        <f t="shared" ca="1" si="60"/>
        <v>4440.75</v>
      </c>
      <c r="DU34" s="90">
        <f t="shared" ca="1" si="61"/>
        <v>1075.25</v>
      </c>
      <c r="DV34" s="90">
        <f t="shared" si="62"/>
        <v>11</v>
      </c>
      <c r="DW34" s="90">
        <f ca="1">_xlfn.IFNA(INDEX(武器升级消耗!$H:$H,MATCH(玩家节奏1!DS34/玩家节奏1!DS$5,武器升级消耗!M:M,1)),0)</f>
        <v>11</v>
      </c>
      <c r="DX34" s="90">
        <f ca="1">_xlfn.IFNA(INDEX(武器升级消耗!$H:$H,MATCH(玩家节奏1!DT34/玩家节奏1!DT$5,武器升级消耗!N:N,1)),0)</f>
        <v>8</v>
      </c>
      <c r="DY34" s="90">
        <f ca="1">_xlfn.IFNA(INDEX(武器升级消耗!$H:$H,MATCH(玩家节奏1!DU34/玩家节奏1!DU$5,武器升级消耗!O:O,1)),0)</f>
        <v>5</v>
      </c>
      <c r="DZ34" s="90">
        <f>_xlfn.IFNA(INDEX(武器升级消耗!$H:$H,MATCH(玩家节奏1!DV34/玩家节奏1!DV$5,武器升级消耗!P:P,1)),0)</f>
        <v>4</v>
      </c>
      <c r="EA34" s="90">
        <f ca="1">_xlfn.IFNA(INDEX(武器升级消耗!$Q:$Q,MATCH(玩家节奏1!DW34,武器升级消耗!$H:$H,0))*2*EA$4,0)</f>
        <v>1.7999999999999998</v>
      </c>
      <c r="EB34" s="90">
        <f ca="1">_xlfn.IFNA(INDEX(武器升级消耗!$Q:$Q,MATCH(玩家节奏1!DX34,武器升级消耗!$H:$H,0))*2*EB$4,0)</f>
        <v>1.7999999999999998</v>
      </c>
      <c r="EC34" s="90">
        <f ca="1">_xlfn.IFNA(INDEX(武器升级消耗!$Q:$Q,MATCH(玩家节奏1!DY34,武器升级消耗!$H:$H,0))*2*EC$4,1)</f>
        <v>1.9800000000000002</v>
      </c>
      <c r="ED34" s="90">
        <f>_xlfn.IFNA(INDEX(武器升级消耗!$Q:$Q,MATCH(玩家节奏1!DZ34,武器升级消耗!$H:$H,0))*2*ED$4,0)</f>
        <v>2.4000000000000004</v>
      </c>
      <c r="EF34" s="128"/>
      <c r="EG34" s="90"/>
      <c r="EH34" s="90"/>
      <c r="EI34" s="90"/>
      <c r="EJ34" s="90"/>
      <c r="EK34" s="90"/>
      <c r="EL34" s="90"/>
      <c r="EM34" s="90"/>
      <c r="EO34" s="128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D34" s="90">
        <f t="shared" ca="1" si="63"/>
        <v>1.9800000000000002</v>
      </c>
      <c r="FE34" s="90"/>
      <c r="FF34" s="90"/>
      <c r="FG34" s="90">
        <f t="shared" ca="1" si="64"/>
        <v>0</v>
      </c>
    </row>
    <row r="35" spans="1:163" x14ac:dyDescent="0.25">
      <c r="A35" s="123">
        <v>29</v>
      </c>
      <c r="B35" s="123">
        <f>INDEX(关卡对比!$Y:$Y,MATCH(关卡对比!Z35,关卡对比!$AA:$AA,1))</f>
        <v>19</v>
      </c>
      <c r="C35" s="124">
        <f>INDEX(关卡对比!$Y:$Y,MATCH(关卡对比!Z35,关卡对比!$AB:$AB,1))</f>
        <v>16</v>
      </c>
      <c r="D35" s="125">
        <f t="shared" si="70"/>
        <v>161.5</v>
      </c>
      <c r="E35" s="125">
        <v>3</v>
      </c>
      <c r="F35" s="128">
        <v>5</v>
      </c>
      <c r="G35" s="90">
        <v>1</v>
      </c>
      <c r="H35" s="90">
        <v>1</v>
      </c>
      <c r="J35" s="128">
        <v>29</v>
      </c>
      <c r="K35" s="90">
        <f t="shared" si="10"/>
        <v>5</v>
      </c>
      <c r="L35" s="90">
        <f t="shared" si="11"/>
        <v>1</v>
      </c>
      <c r="M35" s="90">
        <f t="shared" si="12"/>
        <v>1</v>
      </c>
      <c r="N35" s="140">
        <f>INDEX($A:$A,MATCH(SUM($K$7:K35),$D:$D,1))</f>
        <v>29</v>
      </c>
      <c r="O35" s="140">
        <v>0</v>
      </c>
      <c r="P35" s="141">
        <v>0</v>
      </c>
      <c r="Q35" s="126">
        <f>_xlfn.MAXIFS(关卡产出!X:X,关卡产出!$A:$A,玩家节奏1!$N$6,关卡产出!$B:$B,玩家节奏1!$N35)+_xlfn.MAXIFS(关卡产出!X:X,关卡产出!$A:$A,玩家节奏1!$O$6,关卡产出!$B:$B,玩家节奏1!$O35)+_xlfn.MAXIFS(关卡产出!X:X,关卡产出!$A:$A,玩家节奏1!$P$6,关卡产出!$B:$B,玩家节奏1!$P35)</f>
        <v>4300</v>
      </c>
      <c r="R35" s="90">
        <f>_xlfn.MAXIFS(关卡产出!Y:Y,关卡产出!$A:$A,玩家节奏1!$N$6,关卡产出!$B:$B,玩家节奏1!$N35)+_xlfn.MAXIFS(关卡产出!Y:Y,关卡产出!$A:$A,玩家节奏1!$O$6,关卡产出!$B:$B,玩家节奏1!$O35)+_xlfn.MAXIFS(关卡产出!Y:Y,关卡产出!$A:$A,玩家节奏1!$P$6,关卡产出!$B:$B,玩家节奏1!$P35)</f>
        <v>204300</v>
      </c>
      <c r="S35" s="90">
        <f>_xlfn.MAXIFS(关卡产出!Z:Z,关卡产出!$A:$A,玩家节奏1!$N$6,关卡产出!$B:$B,玩家节奏1!$N35)+_xlfn.MAXIFS(关卡产出!Z:Z,关卡产出!$A:$A,玩家节奏1!$O$6,关卡产出!$B:$B,玩家节奏1!$O35)+_xlfn.MAXIFS(关卡产出!Z:Z,关卡产出!$A:$A,玩家节奏1!$P$6,关卡产出!$B:$B,玩家节奏1!$P35)</f>
        <v>1574</v>
      </c>
      <c r="T35" s="90">
        <f>_xlfn.MAXIFS(关卡产出!AA:AA,关卡产出!$A:$A,玩家节奏1!$N$6,关卡产出!$B:$B,玩家节奏1!$N35)+_xlfn.MAXIFS(关卡产出!AA:AA,关卡产出!$A:$A,玩家节奏1!$O$6,关卡产出!$B:$B,玩家节奏1!$O35)+_xlfn.MAXIFS(关卡产出!AA:AA,关卡产出!$A:$A,玩家节奏1!$P$6,关卡产出!$B:$B,玩家节奏1!$P35)</f>
        <v>788</v>
      </c>
      <c r="U35" s="90">
        <f>_xlfn.MAXIFS(关卡产出!AB:AB,关卡产出!$A:$A,玩家节奏1!$N$6,关卡产出!$B:$B,玩家节奏1!$N35)+_xlfn.MAXIFS(关卡产出!AB:AB,关卡产出!$A:$A,玩家节奏1!$O$6,关卡产出!$B:$B,玩家节奏1!$O35)+_xlfn.MAXIFS(关卡产出!AB:AB,关卡产出!$A:$A,玩家节奏1!$P$6,关卡产出!$B:$B,玩家节奏1!$P35)</f>
        <v>303</v>
      </c>
      <c r="V35" s="130">
        <f>_xlfn.MAXIFS(关卡产出!AC:AC,关卡产出!$A:$A,玩家节奏1!$N$6,关卡产出!$B:$B,玩家节奏1!$N35)+_xlfn.MAXIFS(关卡产出!AC:AC,关卡产出!$A:$A,玩家节奏1!$O$6,关卡产出!$B:$B,玩家节奏1!$O35)+_xlfn.MAXIFS(关卡产出!AC:AC,关卡产出!$A:$A,玩家节奏1!$P$6,关卡产出!$B:$B,玩家节奏1!$P35)</f>
        <v>174</v>
      </c>
      <c r="W35" s="126">
        <f>INDEX(关卡产出!C$8:C$207,MATCH(玩家节奏1!$N35,关卡产出!$B$8:$B$207,0))*$K35</f>
        <v>110</v>
      </c>
      <c r="X35" s="126">
        <f>INDEX(关卡产出!D$8:D$207,MATCH(玩家节奏1!$N35,关卡产出!$B$8:$B$207,0))*$K35</f>
        <v>55</v>
      </c>
      <c r="Y35" s="126">
        <f>INDEX(关卡产出!E$8:E$207,MATCH(玩家节奏1!$N35,关卡产出!$B$8:$B$207,0))*$K35</f>
        <v>25</v>
      </c>
      <c r="Z35" s="144">
        <f>INDEX(关卡产出!F$8:F$207,MATCH(玩家节奏1!$N35,关卡产出!$B$8:$B$207,0))*$K35</f>
        <v>1750</v>
      </c>
      <c r="AA35" s="126">
        <f>SUM(W$7:W35)</f>
        <v>2171</v>
      </c>
      <c r="AB35" s="126">
        <f>SUM(X$7:X35)</f>
        <v>1041</v>
      </c>
      <c r="AC35" s="126">
        <f>SUM(Y$7:Y35)</f>
        <v>397</v>
      </c>
      <c r="AD35" s="126">
        <f>SUM(Z$7:Z35)</f>
        <v>38810</v>
      </c>
      <c r="AE35" s="126">
        <f>INDEX(图鉴!AQ:AQ,MATCH($N35,图鉴!$S:$S,0))*8</f>
        <v>136</v>
      </c>
      <c r="AF35" s="90">
        <f>INDEX(图鉴!AR:AR,MATCH($N35,图鉴!$S:$S,0))*8</f>
        <v>72</v>
      </c>
      <c r="AG35" s="90">
        <f>INDEX(图鉴!AS:AS,MATCH($N35,图鉴!$S:$S,0))*8</f>
        <v>8</v>
      </c>
      <c r="AH35" s="129">
        <f ca="1">INDEX(图鉴!AT:AT,MATCH($N35,图鉴!$S:$S,0))*8</f>
        <v>4464</v>
      </c>
      <c r="AI35" s="128">
        <f>SUM($AE$7:AE35)</f>
        <v>3248</v>
      </c>
      <c r="AJ35" s="90">
        <f>SUM(AF$7:AF35)</f>
        <v>1208</v>
      </c>
      <c r="AK35" s="90">
        <f>SUM(AG$7:AG35)</f>
        <v>192</v>
      </c>
      <c r="AL35" s="130">
        <f ca="1">SUM(AH$7:AH35)</f>
        <v>99704</v>
      </c>
      <c r="AM35" s="133">
        <f>IF(M35=0,0,INDEX(关卡产出!$AU$11:$AU$15,MATCH(玩家节奏1!N35,关卡产出!$AW$11:$AW$15,1))*M35)</f>
        <v>4100</v>
      </c>
      <c r="AN35" s="126">
        <f>IF(L35=0,0,$L35*关卡产出!AU$21)</f>
        <v>1000</v>
      </c>
      <c r="AO35" s="90">
        <f>IF(M35=0,0,$L35*关卡产出!AV$21)</f>
        <v>50</v>
      </c>
      <c r="AP35" s="129">
        <f>IF(N35=0,0,$L35*关卡产出!AW$21)</f>
        <v>1</v>
      </c>
      <c r="AQ35" s="138">
        <f>SUM(AN$7:AN35)</f>
        <v>12000</v>
      </c>
      <c r="AR35" s="126">
        <f>SUM(AO$7:AO35)</f>
        <v>600</v>
      </c>
      <c r="AS35" s="129">
        <f>SUM(AP$7:AP35)</f>
        <v>12</v>
      </c>
      <c r="AT35" s="128">
        <v>500</v>
      </c>
      <c r="AU35" s="129">
        <v>100</v>
      </c>
      <c r="AV35" s="128">
        <f>SUM(AT$7:AT35)</f>
        <v>14500</v>
      </c>
      <c r="AW35" s="90">
        <f>SUM(AU$7:AU35)</f>
        <v>2900</v>
      </c>
      <c r="AY35" s="128">
        <f t="shared" si="13"/>
        <v>4300</v>
      </c>
      <c r="AZ35" s="90">
        <f t="shared" si="14"/>
        <v>600</v>
      </c>
      <c r="BA35" s="90">
        <f t="shared" si="15"/>
        <v>2900</v>
      </c>
      <c r="BB35" s="90">
        <f t="shared" ca="1" si="65"/>
        <v>650</v>
      </c>
      <c r="BC35" s="90">
        <f t="shared" ca="1" si="68"/>
        <v>8450</v>
      </c>
      <c r="BD35" s="90"/>
      <c r="BE35" s="90">
        <f t="shared" ca="1" si="17"/>
        <v>8450</v>
      </c>
      <c r="BF35" s="142">
        <f t="shared" ca="1" si="18"/>
        <v>0.50887573964497046</v>
      </c>
      <c r="BG35" s="142">
        <f t="shared" ca="1" si="19"/>
        <v>7.1005917159763315E-2</v>
      </c>
      <c r="BH35" s="142">
        <f t="shared" ca="1" si="20"/>
        <v>0.34319526627218933</v>
      </c>
      <c r="BI35" s="142">
        <f t="shared" ca="1" si="21"/>
        <v>7.6923076923076927E-2</v>
      </c>
      <c r="BJ35" s="143"/>
      <c r="BK35" s="128">
        <f ca="1">INDEX(商城宝箱!$L:$L,MATCH(BC35,商城宝箱!$N:$N,1))</f>
        <v>4</v>
      </c>
      <c r="BL35" s="90">
        <f ca="1">_xlfn.IFNA(INDEX(商城宝箱!T:T,MATCH(玩家节奏1!$BK35,商城宝箱!$L:$L,0)),0)+($BC35-INDEX(商城宝箱!$N:$N,MATCH(玩家节奏1!$BK35,商城宝箱!$L:$L,0)))/$BK$5*INDEX(商城宝箱!E$23:E$42,MATCH(玩家节奏1!$BK35+1,商城宝箱!$C$23:$C$42,0))</f>
        <v>21125</v>
      </c>
      <c r="BM35" s="90">
        <f ca="1">_xlfn.IFNA(INDEX(商城宝箱!U:U,MATCH(玩家节奏1!$BK35,商城宝箱!$L:$L,0)),0)+($BC35-INDEX(商城宝箱!$N:$N,MATCH(玩家节奏1!$BK35,商城宝箱!$L:$L,0)))/$BK$5*INDEX(商城宝箱!F$23:F$42,MATCH(玩家节奏1!$BK35+1,商城宝箱!$C$23:$C$42,0))</f>
        <v>4200</v>
      </c>
      <c r="BN35" s="90">
        <f ca="1">_xlfn.IFNA(INDEX(商城宝箱!V:V,MATCH(玩家节奏1!$BK35,商城宝箱!$L:$L,0)),0)+($BC35-INDEX(商城宝箱!$N:$N,MATCH(玩家节奏1!$BK35,商城宝箱!$L:$L,0)))/$BK$5*INDEX(商城宝箱!G$23:G$42,MATCH(玩家节奏1!$BK35+1,商城宝箱!$C$23:$C$42,0))</f>
        <v>1680.75</v>
      </c>
      <c r="BO35" s="90">
        <f ca="1">_xlfn.IFNA(INDEX(商城宝箱!W:W,MATCH(玩家节奏1!$BK35,商城宝箱!$L:$L,0)),0)+($BC35-INDEX(商城宝箱!$N:$N,MATCH(玩家节奏1!$BK35,商城宝箱!$L:$L,0)))/$BK$5*INDEX(商城宝箱!H$23:H$42,MATCH(玩家节奏1!$BK35+1,商城宝箱!$C$23:$C$42,0))</f>
        <v>238.25</v>
      </c>
      <c r="BQ35" s="128">
        <f t="shared" si="0"/>
        <v>204300</v>
      </c>
      <c r="BR35" s="90">
        <f t="shared" si="1"/>
        <v>38810</v>
      </c>
      <c r="BS35" s="90">
        <f t="shared" ca="1" si="2"/>
        <v>99704</v>
      </c>
      <c r="BT35" s="90">
        <f t="shared" si="3"/>
        <v>4100</v>
      </c>
      <c r="BU35" s="90">
        <f t="shared" si="4"/>
        <v>12000</v>
      </c>
      <c r="BV35" s="90">
        <f t="shared" si="5"/>
        <v>14500</v>
      </c>
      <c r="BW35" s="90">
        <f t="shared" ca="1" si="22"/>
        <v>21125</v>
      </c>
      <c r="BX35" s="90">
        <f t="shared" ca="1" si="23"/>
        <v>394539</v>
      </c>
      <c r="BY35" s="142">
        <f t="shared" ca="1" si="24"/>
        <v>0.51781953114901191</v>
      </c>
      <c r="BZ35" s="142">
        <f t="shared" ca="1" si="25"/>
        <v>9.8367968692575386E-2</v>
      </c>
      <c r="CA35" s="142">
        <f t="shared" ca="1" si="26"/>
        <v>0.25271012498130729</v>
      </c>
      <c r="CB35" s="142">
        <f t="shared" ca="1" si="27"/>
        <v>1.0391875074453983E-2</v>
      </c>
      <c r="CC35" s="142">
        <f t="shared" ca="1" si="28"/>
        <v>3.0415244120353121E-2</v>
      </c>
      <c r="CD35" s="142">
        <f t="shared" ca="1" si="29"/>
        <v>3.6751753312093356E-2</v>
      </c>
      <c r="CE35" s="142">
        <f t="shared" ca="1" si="30"/>
        <v>5.3543502670204975E-2</v>
      </c>
      <c r="CG35" s="128">
        <f t="shared" si="31"/>
        <v>29</v>
      </c>
      <c r="CH35" s="90">
        <f ca="1">INDEX(角色升级!$A:$A,MATCH(玩家节奏1!$BX35,角色升级!$J:$J,1))</f>
        <v>196</v>
      </c>
      <c r="CI35" s="90">
        <f ca="1">INDEX(角色升级!$O:$O,MATCH(玩家节奏1!$BX35,角色升级!$J:$J,1))</f>
        <v>3102.8615250000003</v>
      </c>
      <c r="CJ35" s="90">
        <f>INDEX(关卡对比!$J:$J,MATCH(玩家节奏1!N35,关卡对比!$A:$A,0))</f>
        <v>3700</v>
      </c>
      <c r="CK35" s="147">
        <f t="shared" ca="1" si="32"/>
        <v>1.192447671347499</v>
      </c>
      <c r="CL35" s="128">
        <f ca="1">INDEX(角色升级!$P:$P,MATCH(玩家节奏1!$CH35,角色升级!$A:$A,0))</f>
        <v>650</v>
      </c>
      <c r="CM35" s="90">
        <f ca="1">INDEX(角色升级!Q:Q,MATCH(玩家节奏1!$CH35,角色升级!$A:$A,0))</f>
        <v>0.1</v>
      </c>
      <c r="CO35" s="128">
        <f t="shared" si="33"/>
        <v>1574</v>
      </c>
      <c r="CP35" s="90">
        <f t="shared" si="34"/>
        <v>2171</v>
      </c>
      <c r="CQ35" s="90">
        <f t="shared" si="35"/>
        <v>3248</v>
      </c>
      <c r="CR35" s="90">
        <f t="shared" ca="1" si="36"/>
        <v>4200</v>
      </c>
      <c r="CS35" s="90">
        <f t="shared" ca="1" si="37"/>
        <v>11193</v>
      </c>
      <c r="CT35" s="142">
        <f t="shared" ca="1" si="38"/>
        <v>0.14062360403823818</v>
      </c>
      <c r="CU35" s="142">
        <f t="shared" ca="1" si="39"/>
        <v>0.19396051103368175</v>
      </c>
      <c r="CV35" s="142">
        <f t="shared" ca="1" si="40"/>
        <v>0.29018136335209505</v>
      </c>
      <c r="CW35" s="142">
        <f t="shared" ca="1" si="41"/>
        <v>0.37523452157598497</v>
      </c>
      <c r="CY35" s="128">
        <f t="shared" si="42"/>
        <v>788</v>
      </c>
      <c r="CZ35" s="90">
        <f t="shared" si="43"/>
        <v>1041</v>
      </c>
      <c r="DA35" s="90">
        <f t="shared" si="44"/>
        <v>1208</v>
      </c>
      <c r="DB35" s="90">
        <f t="shared" ca="1" si="66"/>
        <v>1680.75</v>
      </c>
      <c r="DC35" s="90">
        <f t="shared" ca="1" si="45"/>
        <v>4717.75</v>
      </c>
      <c r="DD35" s="142">
        <f t="shared" ca="1" si="46"/>
        <v>0.16702877430978749</v>
      </c>
      <c r="DE35" s="142">
        <f t="shared" ca="1" si="47"/>
        <v>0.22065603306661014</v>
      </c>
      <c r="DF35" s="142">
        <f t="shared" ca="1" si="48"/>
        <v>0.25605426315510571</v>
      </c>
      <c r="DG35" s="142">
        <f t="shared" ca="1" si="49"/>
        <v>0.35626092946849663</v>
      </c>
      <c r="DI35" s="128">
        <f t="shared" si="50"/>
        <v>303</v>
      </c>
      <c r="DJ35" s="90">
        <f t="shared" si="51"/>
        <v>397</v>
      </c>
      <c r="DK35" s="90">
        <f t="shared" si="52"/>
        <v>192</v>
      </c>
      <c r="DL35" s="90">
        <f t="shared" ca="1" si="53"/>
        <v>238.25</v>
      </c>
      <c r="DM35" s="90">
        <f t="shared" ca="1" si="54"/>
        <v>1130.25</v>
      </c>
      <c r="DN35" s="142">
        <f t="shared" ca="1" si="55"/>
        <v>0.26808228268082285</v>
      </c>
      <c r="DO35" s="142">
        <f t="shared" ca="1" si="56"/>
        <v>0.35124972351249723</v>
      </c>
      <c r="DP35" s="142">
        <f t="shared" ca="1" si="57"/>
        <v>0.16987392169873922</v>
      </c>
      <c r="DQ35" s="142">
        <f t="shared" ca="1" si="58"/>
        <v>0.21079407210794071</v>
      </c>
      <c r="DS35" s="128">
        <f t="shared" ca="1" si="59"/>
        <v>11193</v>
      </c>
      <c r="DT35" s="90">
        <f t="shared" ca="1" si="60"/>
        <v>4717.75</v>
      </c>
      <c r="DU35" s="90">
        <f t="shared" ca="1" si="61"/>
        <v>1130.25</v>
      </c>
      <c r="DV35" s="90">
        <f t="shared" si="62"/>
        <v>12</v>
      </c>
      <c r="DW35" s="90">
        <f ca="1">_xlfn.IFNA(INDEX(武器升级消耗!$H:$H,MATCH(玩家节奏1!DS35/玩家节奏1!DS$5,武器升级消耗!M:M,1)),0)</f>
        <v>11</v>
      </c>
      <c r="DX35" s="90">
        <f ca="1">_xlfn.IFNA(INDEX(武器升级消耗!$H:$H,MATCH(玩家节奏1!DT35/玩家节奏1!DT$5,武器升级消耗!N:N,1)),0)</f>
        <v>9</v>
      </c>
      <c r="DY35" s="90">
        <f ca="1">_xlfn.IFNA(INDEX(武器升级消耗!$H:$H,MATCH(玩家节奏1!DU35/玩家节奏1!DU$5,武器升级消耗!O:O,1)),0)</f>
        <v>5</v>
      </c>
      <c r="DZ35" s="90">
        <f>_xlfn.IFNA(INDEX(武器升级消耗!$H:$H,MATCH(玩家节奏1!DV35/玩家节奏1!DV$5,武器升级消耗!P:P,1)),0)</f>
        <v>4</v>
      </c>
      <c r="EA35" s="90">
        <f ca="1">_xlfn.IFNA(INDEX(武器升级消耗!$Q:$Q,MATCH(玩家节奏1!DW35,武器升级消耗!$H:$H,0))*2*EA$4,0)</f>
        <v>1.7999999999999998</v>
      </c>
      <c r="EB35" s="90">
        <f ca="1">_xlfn.IFNA(INDEX(武器升级消耗!$Q:$Q,MATCH(玩家节奏1!DX35,武器升级消耗!$H:$H,0))*2*EB$4,0)</f>
        <v>1.9500000000000002</v>
      </c>
      <c r="EC35" s="90">
        <f ca="1">_xlfn.IFNA(INDEX(武器升级消耗!$Q:$Q,MATCH(玩家节奏1!DY35,武器升级消耗!$H:$H,0))*2*EC$4,1)</f>
        <v>1.9800000000000002</v>
      </c>
      <c r="ED35" s="90">
        <f>_xlfn.IFNA(INDEX(武器升级消耗!$Q:$Q,MATCH(玩家节奏1!DZ35,武器升级消耗!$H:$H,0))*2*ED$4,0)</f>
        <v>2.4000000000000004</v>
      </c>
      <c r="EF35" s="128"/>
      <c r="EG35" s="90"/>
      <c r="EH35" s="90"/>
      <c r="EI35" s="90"/>
      <c r="EJ35" s="90"/>
      <c r="EK35" s="90"/>
      <c r="EL35" s="90"/>
      <c r="EM35" s="90"/>
      <c r="EO35" s="128"/>
      <c r="EP35" s="90"/>
      <c r="EQ35" s="90"/>
      <c r="ER35" s="90"/>
      <c r="ES35" s="90"/>
      <c r="ET35" s="90"/>
      <c r="EU35" s="90"/>
      <c r="EV35" s="90"/>
      <c r="EW35" s="90"/>
      <c r="EX35" s="90"/>
      <c r="EY35" s="90"/>
      <c r="EZ35" s="90"/>
      <c r="FA35" s="90"/>
      <c r="FB35" s="90"/>
      <c r="FD35" s="90">
        <f t="shared" ca="1" si="63"/>
        <v>1.9800000000000002</v>
      </c>
      <c r="FE35" s="90"/>
      <c r="FF35" s="90"/>
      <c r="FG35" s="90">
        <f t="shared" ca="1" si="64"/>
        <v>0</v>
      </c>
    </row>
    <row r="36" spans="1:163" x14ac:dyDescent="0.25">
      <c r="A36" s="123">
        <v>30</v>
      </c>
      <c r="B36" s="123">
        <f>INDEX(关卡对比!$Y:$Y,MATCH(关卡对比!Z36,关卡对比!$AA:$AA,1))</f>
        <v>20</v>
      </c>
      <c r="C36" s="124">
        <f>INDEX(关卡对比!$Y:$Y,MATCH(关卡对比!Z36,关卡对比!$AB:$AB,1))</f>
        <v>17</v>
      </c>
      <c r="D36" s="125">
        <f t="shared" si="70"/>
        <v>170.5</v>
      </c>
      <c r="E36" s="125">
        <v>3</v>
      </c>
      <c r="F36" s="128">
        <v>5</v>
      </c>
      <c r="G36" s="90">
        <v>1</v>
      </c>
      <c r="H36" s="90">
        <v>1</v>
      </c>
      <c r="J36" s="128">
        <v>30</v>
      </c>
      <c r="K36" s="90">
        <f t="shared" si="10"/>
        <v>5</v>
      </c>
      <c r="L36" s="90">
        <f t="shared" si="11"/>
        <v>1</v>
      </c>
      <c r="M36" s="90">
        <f t="shared" si="12"/>
        <v>1</v>
      </c>
      <c r="N36" s="140">
        <f>INDEX($A:$A,MATCH(SUM($K$7:K36),$D:$D,1))</f>
        <v>30</v>
      </c>
      <c r="O36" s="140">
        <v>0</v>
      </c>
      <c r="P36" s="141">
        <v>0</v>
      </c>
      <c r="Q36" s="126">
        <f>_xlfn.MAXIFS(关卡产出!X:X,关卡产出!$A:$A,玩家节奏1!$N$6,关卡产出!$B:$B,玩家节奏1!$N36)+_xlfn.MAXIFS(关卡产出!X:X,关卡产出!$A:$A,玩家节奏1!$O$6,关卡产出!$B:$B,玩家节奏1!$O36)+_xlfn.MAXIFS(关卡产出!X:X,关卡产出!$A:$A,玩家节奏1!$P$6,关卡产出!$B:$B,玩家节奏1!$P36)</f>
        <v>4500</v>
      </c>
      <c r="R36" s="90">
        <f>_xlfn.MAXIFS(关卡产出!Y:Y,关卡产出!$A:$A,玩家节奏1!$N$6,关卡产出!$B:$B,玩家节奏1!$N36)+_xlfn.MAXIFS(关卡产出!Y:Y,关卡产出!$A:$A,玩家节奏1!$O$6,关卡产出!$B:$B,玩家节奏1!$O36)+_xlfn.MAXIFS(关卡产出!Y:Y,关卡产出!$A:$A,玩家节奏1!$P$6,关卡产出!$B:$B,玩家节奏1!$P36)</f>
        <v>220000</v>
      </c>
      <c r="S36" s="90">
        <f>_xlfn.MAXIFS(关卡产出!Z:Z,关卡产出!$A:$A,玩家节奏1!$N$6,关卡产出!$B:$B,玩家节奏1!$N36)+_xlfn.MAXIFS(关卡产出!Z:Z,关卡产出!$A:$A,玩家节奏1!$O$6,关卡产出!$B:$B,玩家节奏1!$O36)+_xlfn.MAXIFS(关卡产出!Z:Z,关卡产出!$A:$A,玩家节奏1!$P$6,关卡产出!$B:$B,玩家节奏1!$P36)</f>
        <v>1686</v>
      </c>
      <c r="T36" s="90">
        <f>_xlfn.MAXIFS(关卡产出!AA:AA,关卡产出!$A:$A,玩家节奏1!$N$6,关卡产出!$B:$B,玩家节奏1!$N36)+_xlfn.MAXIFS(关卡产出!AA:AA,关卡产出!$A:$A,玩家节奏1!$O$6,关卡产出!$B:$B,玩家节奏1!$O36)+_xlfn.MAXIFS(关卡产出!AA:AA,关卡产出!$A:$A,玩家节奏1!$P$6,关卡产出!$B:$B,玩家节奏1!$P36)</f>
        <v>844</v>
      </c>
      <c r="U36" s="90">
        <f>_xlfn.MAXIFS(关卡产出!AB:AB,关卡产出!$A:$A,玩家节奏1!$N$6,关卡产出!$B:$B,玩家节奏1!$N36)+_xlfn.MAXIFS(关卡产出!AB:AB,关卡产出!$A:$A,玩家节奏1!$O$6,关卡产出!$B:$B,玩家节奏1!$O36)+_xlfn.MAXIFS(关卡产出!AB:AB,关卡产出!$A:$A,玩家节奏1!$P$6,关卡产出!$B:$B,玩家节奏1!$P36)</f>
        <v>328</v>
      </c>
      <c r="V36" s="130">
        <f>_xlfn.MAXIFS(关卡产出!AC:AC,关卡产出!$A:$A,玩家节奏1!$N$6,关卡产出!$B:$B,玩家节奏1!$N36)+_xlfn.MAXIFS(关卡产出!AC:AC,关卡产出!$A:$A,玩家节奏1!$O$6,关卡产出!$B:$B,玩家节奏1!$O36)+_xlfn.MAXIFS(关卡产出!AC:AC,关卡产出!$A:$A,玩家节奏1!$P$6,关卡产出!$B:$B,玩家节奏1!$P36)</f>
        <v>180</v>
      </c>
      <c r="W36" s="126">
        <f>INDEX(关卡产出!C$8:C$207,MATCH(玩家节奏1!$N36,关卡产出!$B$8:$B$207,0))*$K36</f>
        <v>110</v>
      </c>
      <c r="X36" s="126">
        <f>INDEX(关卡产出!D$8:D$207,MATCH(玩家节奏1!$N36,关卡产出!$B$8:$B$207,0))*$K36</f>
        <v>55</v>
      </c>
      <c r="Y36" s="126">
        <f>INDEX(关卡产出!E$8:E$207,MATCH(玩家节奏1!$N36,关卡产出!$B$8:$B$207,0))*$K36</f>
        <v>25</v>
      </c>
      <c r="Z36" s="144">
        <f>INDEX(关卡产出!F$8:F$207,MATCH(玩家节奏1!$N36,关卡产出!$B$8:$B$207,0))*$K36</f>
        <v>1750</v>
      </c>
      <c r="AA36" s="126">
        <f>SUM(W$7:W36)</f>
        <v>2281</v>
      </c>
      <c r="AB36" s="126">
        <f>SUM(X$7:X36)</f>
        <v>1096</v>
      </c>
      <c r="AC36" s="126">
        <f>SUM(Y$7:Y36)</f>
        <v>422</v>
      </c>
      <c r="AD36" s="126">
        <f>SUM(Z$7:Z36)</f>
        <v>40560</v>
      </c>
      <c r="AE36" s="126">
        <f>INDEX(图鉴!AQ:AQ,MATCH($N36,图鉴!$S:$S,0))*8</f>
        <v>136</v>
      </c>
      <c r="AF36" s="90">
        <f>INDEX(图鉴!AR:AR,MATCH($N36,图鉴!$S:$S,0))*8</f>
        <v>72</v>
      </c>
      <c r="AG36" s="90">
        <f>INDEX(图鉴!AS:AS,MATCH($N36,图鉴!$S:$S,0))*8</f>
        <v>24</v>
      </c>
      <c r="AH36" s="129">
        <f ca="1">INDEX(图鉴!AT:AT,MATCH($N36,图鉴!$S:$S,0))*8</f>
        <v>4712</v>
      </c>
      <c r="AI36" s="128">
        <f>SUM($AE$7:AE36)</f>
        <v>3384</v>
      </c>
      <c r="AJ36" s="90">
        <f>SUM(AF$7:AF36)</f>
        <v>1280</v>
      </c>
      <c r="AK36" s="90">
        <f>SUM(AG$7:AG36)</f>
        <v>216</v>
      </c>
      <c r="AL36" s="130">
        <f ca="1">SUM(AH$7:AH36)</f>
        <v>104416</v>
      </c>
      <c r="AM36" s="133">
        <f>IF(M36=0,0,INDEX(关卡产出!$AU$11:$AU$15,MATCH(玩家节奏1!N36,关卡产出!$AW$11:$AW$15,1))*M36)</f>
        <v>5800</v>
      </c>
      <c r="AN36" s="126">
        <f>IF(L36=0,0,$L36*关卡产出!AU$21)</f>
        <v>1000</v>
      </c>
      <c r="AO36" s="90">
        <f>IF(M36=0,0,$L36*关卡产出!AV$21)</f>
        <v>50</v>
      </c>
      <c r="AP36" s="129">
        <f>IF(N36=0,0,$L36*关卡产出!AW$21)</f>
        <v>1</v>
      </c>
      <c r="AQ36" s="138">
        <f>SUM(AN$7:AN36)</f>
        <v>13000</v>
      </c>
      <c r="AR36" s="126">
        <f>SUM(AO$7:AO36)</f>
        <v>650</v>
      </c>
      <c r="AS36" s="129">
        <f>SUM(AP$7:AP36)</f>
        <v>13</v>
      </c>
      <c r="AT36" s="128">
        <v>500</v>
      </c>
      <c r="AU36" s="129">
        <v>100</v>
      </c>
      <c r="AV36" s="128">
        <f>SUM(AT$7:AT36)</f>
        <v>15000</v>
      </c>
      <c r="AW36" s="90">
        <f>SUM(AU$7:AU36)</f>
        <v>3000</v>
      </c>
      <c r="AY36" s="128">
        <f t="shared" si="13"/>
        <v>4500</v>
      </c>
      <c r="AZ36" s="90">
        <f t="shared" si="14"/>
        <v>650</v>
      </c>
      <c r="BA36" s="90">
        <f t="shared" si="15"/>
        <v>3000</v>
      </c>
      <c r="BB36" s="90">
        <f t="shared" ca="1" si="65"/>
        <v>650</v>
      </c>
      <c r="BC36" s="90">
        <f t="shared" ca="1" si="68"/>
        <v>8800</v>
      </c>
      <c r="BD36" s="90"/>
      <c r="BE36" s="90">
        <f t="shared" ca="1" si="17"/>
        <v>8800</v>
      </c>
      <c r="BF36" s="142">
        <f t="shared" ca="1" si="18"/>
        <v>0.51136363636363635</v>
      </c>
      <c r="BG36" s="142">
        <f t="shared" ca="1" si="19"/>
        <v>7.3863636363636367E-2</v>
      </c>
      <c r="BH36" s="142">
        <f t="shared" ca="1" si="20"/>
        <v>0.34090909090909088</v>
      </c>
      <c r="BI36" s="142">
        <f t="shared" ca="1" si="21"/>
        <v>7.3863636363636367E-2</v>
      </c>
      <c r="BJ36" s="143"/>
      <c r="BK36" s="128">
        <f ca="1">INDEX(商城宝箱!$L:$L,MATCH(BC36,商城宝箱!$N:$N,1))</f>
        <v>4</v>
      </c>
      <c r="BL36" s="90">
        <f ca="1">_xlfn.IFNA(INDEX(商城宝箱!T:T,MATCH(玩家节奏1!$BK36,商城宝箱!$L:$L,0)),0)+($BC36-INDEX(商城宝箱!$N:$N,MATCH(玩家节奏1!$BK36,商城宝箱!$L:$L,0)))/$BK$5*INDEX(商城宝箱!E$23:E$42,MATCH(玩家节奏1!$BK36+1,商城宝箱!$C$23:$C$42,0))</f>
        <v>22000</v>
      </c>
      <c r="BM36" s="90">
        <f ca="1">_xlfn.IFNA(INDEX(商城宝箱!U:U,MATCH(玩家节奏1!$BK36,商城宝箱!$L:$L,0)),0)+($BC36-INDEX(商城宝箱!$N:$N,MATCH(玩家节奏1!$BK36,商城宝箱!$L:$L,0)))/$BK$5*INDEX(商城宝箱!F$23:F$42,MATCH(玩家节奏1!$BK36+1,商城宝箱!$C$23:$C$42,0))</f>
        <v>4462.5</v>
      </c>
      <c r="BN36" s="90">
        <f ca="1">_xlfn.IFNA(INDEX(商城宝箱!V:V,MATCH(玩家节奏1!$BK36,商城宝箱!$L:$L,0)),0)+($BC36-INDEX(商城宝箱!$N:$N,MATCH(玩家节奏1!$BK36,商城宝箱!$L:$L,0)))/$BK$5*INDEX(商城宝箱!G$23:G$42,MATCH(玩家节奏1!$BK36+1,商城宝箱!$C$23:$C$42,0))</f>
        <v>1812</v>
      </c>
      <c r="BO36" s="90">
        <f ca="1">_xlfn.IFNA(INDEX(商城宝箱!W:W,MATCH(玩家节奏1!$BK36,商城宝箱!$L:$L,0)),0)+($BC36-INDEX(商城宝箱!$N:$N,MATCH(玩家节奏1!$BK36,商城宝箱!$L:$L,0)))/$BK$5*INDEX(商城宝箱!H$23:H$42,MATCH(玩家节奏1!$BK36+1,商城宝箱!$C$23:$C$42,0))</f>
        <v>257.5</v>
      </c>
      <c r="BQ36" s="128">
        <f t="shared" si="0"/>
        <v>220000</v>
      </c>
      <c r="BR36" s="90">
        <f t="shared" si="1"/>
        <v>40560</v>
      </c>
      <c r="BS36" s="90">
        <f t="shared" ca="1" si="2"/>
        <v>104416</v>
      </c>
      <c r="BT36" s="90">
        <f t="shared" si="3"/>
        <v>5800</v>
      </c>
      <c r="BU36" s="90">
        <f t="shared" si="4"/>
        <v>13000</v>
      </c>
      <c r="BV36" s="90">
        <f t="shared" si="5"/>
        <v>15000</v>
      </c>
      <c r="BW36" s="90">
        <f t="shared" ca="1" si="22"/>
        <v>22000</v>
      </c>
      <c r="BX36" s="90">
        <f t="shared" ca="1" si="23"/>
        <v>420776</v>
      </c>
      <c r="BY36" s="142">
        <f t="shared" ca="1" si="24"/>
        <v>0.52284350818487746</v>
      </c>
      <c r="BZ36" s="142">
        <f t="shared" ca="1" si="25"/>
        <v>9.6393330418084677E-2</v>
      </c>
      <c r="CA36" s="142">
        <f t="shared" ca="1" si="26"/>
        <v>0.2481510352301462</v>
      </c>
      <c r="CB36" s="142">
        <f t="shared" ca="1" si="27"/>
        <v>1.3784056124874043E-2</v>
      </c>
      <c r="CC36" s="142">
        <f t="shared" ca="1" si="28"/>
        <v>3.0895298210924578E-2</v>
      </c>
      <c r="CD36" s="142">
        <f t="shared" ca="1" si="29"/>
        <v>3.5648421012605284E-2</v>
      </c>
      <c r="CE36" s="142">
        <f t="shared" ca="1" si="30"/>
        <v>5.2284350818487743E-2</v>
      </c>
      <c r="CG36" s="128">
        <f t="shared" si="31"/>
        <v>30</v>
      </c>
      <c r="CH36" s="90">
        <f ca="1">INDEX(角色升级!$A:$A,MATCH(玩家节奏1!$BX36,角色升级!$J:$J,1))</f>
        <v>205</v>
      </c>
      <c r="CI36" s="90">
        <f ca="1">INDEX(角色升级!$O:$O,MATCH(玩家节奏1!$BX36,角色升级!$J:$J,1))</f>
        <v>3122.0786400000002</v>
      </c>
      <c r="CJ36" s="90">
        <f>INDEX(关卡对比!$J:$J,MATCH(玩家节奏1!N36,关卡对比!$A:$A,0))</f>
        <v>4000</v>
      </c>
      <c r="CK36" s="147">
        <f t="shared" ca="1" si="32"/>
        <v>1.2811977087162671</v>
      </c>
      <c r="CL36" s="128">
        <f ca="1">INDEX(角色升级!$P:$P,MATCH(玩家节奏1!$CH36,角色升级!$A:$A,0))</f>
        <v>650</v>
      </c>
      <c r="CM36" s="90">
        <f ca="1">INDEX(角色升级!Q:Q,MATCH(玩家节奏1!$CH36,角色升级!$A:$A,0))</f>
        <v>0.1</v>
      </c>
      <c r="CO36" s="128">
        <f t="shared" si="33"/>
        <v>1686</v>
      </c>
      <c r="CP36" s="90">
        <f t="shared" si="34"/>
        <v>2281</v>
      </c>
      <c r="CQ36" s="90">
        <f t="shared" si="35"/>
        <v>3384</v>
      </c>
      <c r="CR36" s="90">
        <f t="shared" ca="1" si="36"/>
        <v>4462.5</v>
      </c>
      <c r="CS36" s="90">
        <f t="shared" ca="1" si="37"/>
        <v>11813.5</v>
      </c>
      <c r="CT36" s="142">
        <f t="shared" ca="1" si="38"/>
        <v>0.14271807677656917</v>
      </c>
      <c r="CU36" s="142">
        <f t="shared" ca="1" si="39"/>
        <v>0.19308418334955771</v>
      </c>
      <c r="CV36" s="142">
        <f t="shared" ca="1" si="40"/>
        <v>0.28645194057645912</v>
      </c>
      <c r="CW36" s="142">
        <f t="shared" ca="1" si="41"/>
        <v>0.37774579929741398</v>
      </c>
      <c r="CY36" s="128">
        <f t="shared" si="42"/>
        <v>844</v>
      </c>
      <c r="CZ36" s="90">
        <f t="shared" si="43"/>
        <v>1096</v>
      </c>
      <c r="DA36" s="90">
        <f t="shared" si="44"/>
        <v>1280</v>
      </c>
      <c r="DB36" s="90">
        <f t="shared" ca="1" si="66"/>
        <v>1812</v>
      </c>
      <c r="DC36" s="90">
        <f t="shared" ca="1" si="45"/>
        <v>5032</v>
      </c>
      <c r="DD36" s="142">
        <f t="shared" ca="1" si="46"/>
        <v>0.16772655007949125</v>
      </c>
      <c r="DE36" s="142">
        <f t="shared" ca="1" si="47"/>
        <v>0.21780604133545309</v>
      </c>
      <c r="DF36" s="142">
        <f t="shared" ca="1" si="48"/>
        <v>0.25437201907790141</v>
      </c>
      <c r="DG36" s="142">
        <f t="shared" ca="1" si="49"/>
        <v>0.3600953895071542</v>
      </c>
      <c r="DI36" s="128">
        <f t="shared" si="50"/>
        <v>328</v>
      </c>
      <c r="DJ36" s="90">
        <f t="shared" si="51"/>
        <v>422</v>
      </c>
      <c r="DK36" s="90">
        <f t="shared" si="52"/>
        <v>216</v>
      </c>
      <c r="DL36" s="90">
        <f t="shared" ca="1" si="53"/>
        <v>257.5</v>
      </c>
      <c r="DM36" s="90">
        <f t="shared" ca="1" si="54"/>
        <v>1223.5</v>
      </c>
      <c r="DN36" s="142">
        <f t="shared" ca="1" si="55"/>
        <v>0.26808336738863914</v>
      </c>
      <c r="DO36" s="142">
        <f t="shared" ca="1" si="56"/>
        <v>0.34491213731099307</v>
      </c>
      <c r="DP36" s="142">
        <f t="shared" ca="1" si="57"/>
        <v>0.17654270535349406</v>
      </c>
      <c r="DQ36" s="142">
        <f t="shared" ca="1" si="58"/>
        <v>0.21046178994687373</v>
      </c>
      <c r="DS36" s="128">
        <f t="shared" ca="1" si="59"/>
        <v>11813.5</v>
      </c>
      <c r="DT36" s="90">
        <f t="shared" ca="1" si="60"/>
        <v>5032</v>
      </c>
      <c r="DU36" s="90">
        <f t="shared" ca="1" si="61"/>
        <v>1223.5</v>
      </c>
      <c r="DV36" s="90">
        <f t="shared" si="62"/>
        <v>13</v>
      </c>
      <c r="DW36" s="90">
        <f ca="1">_xlfn.IFNA(INDEX(武器升级消耗!$H:$H,MATCH(玩家节奏1!DS36/玩家节奏1!DS$5,武器升级消耗!M:M,1)),0)</f>
        <v>12</v>
      </c>
      <c r="DX36" s="90">
        <f ca="1">_xlfn.IFNA(INDEX(武器升级消耗!$H:$H,MATCH(玩家节奏1!DT36/玩家节奏1!DT$5,武器升级消耗!N:N,1)),0)</f>
        <v>9</v>
      </c>
      <c r="DY36" s="90">
        <f ca="1">_xlfn.IFNA(INDEX(武器升级消耗!$H:$H,MATCH(玩家节奏1!DU36/玩家节奏1!DU$5,武器升级消耗!O:O,1)),0)</f>
        <v>5</v>
      </c>
      <c r="DZ36" s="90">
        <f>_xlfn.IFNA(INDEX(武器升级消耗!$H:$H,MATCH(玩家节奏1!DV36/玩家节奏1!DV$5,武器升级消耗!P:P,1)),0)</f>
        <v>4</v>
      </c>
      <c r="EA36" s="90">
        <f ca="1">_xlfn.IFNA(INDEX(武器升级消耗!$Q:$Q,MATCH(玩家节奏1!DW36,武器升级消耗!$H:$H,0))*2*EA$4,0)</f>
        <v>1.92</v>
      </c>
      <c r="EB36" s="90">
        <f ca="1">_xlfn.IFNA(INDEX(武器升级消耗!$Q:$Q,MATCH(玩家节奏1!DX36,武器升级消耗!$H:$H,0))*2*EB$4,0)</f>
        <v>1.9500000000000002</v>
      </c>
      <c r="EC36" s="90">
        <f ca="1">_xlfn.IFNA(INDEX(武器升级消耗!$Q:$Q,MATCH(玩家节奏1!DY36,武器升级消耗!$H:$H,0))*2*EC$4,1)</f>
        <v>1.9800000000000002</v>
      </c>
      <c r="ED36" s="90">
        <f>_xlfn.IFNA(INDEX(武器升级消耗!$Q:$Q,MATCH(玩家节奏1!DZ36,武器升级消耗!$H:$H,0))*2*ED$4,0)</f>
        <v>2.4000000000000004</v>
      </c>
      <c r="EF36" s="128"/>
      <c r="EG36" s="90"/>
      <c r="EH36" s="90"/>
      <c r="EI36" s="90"/>
      <c r="EJ36" s="90"/>
      <c r="EK36" s="90"/>
      <c r="EL36" s="90"/>
      <c r="EM36" s="90"/>
      <c r="EO36" s="128"/>
      <c r="EP36" s="90"/>
      <c r="EQ36" s="90"/>
      <c r="ER36" s="90"/>
      <c r="ES36" s="90"/>
      <c r="ET36" s="90"/>
      <c r="EU36" s="90"/>
      <c r="EV36" s="90"/>
      <c r="EW36" s="90"/>
      <c r="EX36" s="90"/>
      <c r="EY36" s="90"/>
      <c r="EZ36" s="90"/>
      <c r="FA36" s="90"/>
      <c r="FB36" s="90"/>
      <c r="FD36" s="90">
        <f t="shared" ca="1" si="63"/>
        <v>1.9800000000000002</v>
      </c>
      <c r="FE36" s="90"/>
      <c r="FF36" s="90"/>
      <c r="FG36" s="90">
        <f t="shared" ca="1" si="64"/>
        <v>0</v>
      </c>
    </row>
    <row r="37" spans="1:163" x14ac:dyDescent="0.25">
      <c r="A37" s="123">
        <v>31</v>
      </c>
      <c r="B37" s="123">
        <f>INDEX(关卡对比!$Y:$Y,MATCH(关卡对比!Z37,关卡对比!$AA:$AA,1))</f>
        <v>21</v>
      </c>
      <c r="C37" s="124">
        <f>INDEX(关卡对比!$Y:$Y,MATCH(关卡对比!Z37,关卡对比!$AB:$AB,1))</f>
        <v>17</v>
      </c>
      <c r="D37" s="125">
        <f t="shared" si="70"/>
        <v>176.5</v>
      </c>
      <c r="E37" s="125">
        <v>3</v>
      </c>
      <c r="F37" s="128">
        <v>5</v>
      </c>
      <c r="G37" s="90">
        <v>1</v>
      </c>
      <c r="H37" s="90">
        <v>1</v>
      </c>
      <c r="J37" s="128">
        <v>31</v>
      </c>
      <c r="K37" s="90">
        <f t="shared" si="10"/>
        <v>5</v>
      </c>
      <c r="L37" s="90">
        <f t="shared" si="11"/>
        <v>1</v>
      </c>
      <c r="M37" s="90">
        <f t="shared" si="12"/>
        <v>1</v>
      </c>
      <c r="N37" s="140">
        <f>INDEX($A:$A,MATCH(SUM($K$7:K37),$D:$D,1))</f>
        <v>31</v>
      </c>
      <c r="O37" s="140">
        <v>0</v>
      </c>
      <c r="P37" s="141">
        <v>0</v>
      </c>
      <c r="Q37" s="126">
        <f>_xlfn.MAXIFS(关卡产出!X:X,关卡产出!$A:$A,玩家节奏1!$N$6,关卡产出!$B:$B,玩家节奏1!$N37)+_xlfn.MAXIFS(关卡产出!X:X,关卡产出!$A:$A,玩家节奏1!$O$6,关卡产出!$B:$B,玩家节奏1!$O37)+_xlfn.MAXIFS(关卡产出!X:X,关卡产出!$A:$A,玩家节奏1!$P$6,关卡产出!$B:$B,玩家节奏1!$P37)</f>
        <v>4700</v>
      </c>
      <c r="R37" s="90">
        <f>_xlfn.MAXIFS(关卡产出!Y:Y,关卡产出!$A:$A,玩家节奏1!$N$6,关卡产出!$B:$B,玩家节奏1!$N37)+_xlfn.MAXIFS(关卡产出!Y:Y,关卡产出!$A:$A,玩家节奏1!$O$6,关卡产出!$B:$B,玩家节奏1!$O37)+_xlfn.MAXIFS(关卡产出!Y:Y,关卡产出!$A:$A,玩家节奏1!$P$6,关卡产出!$B:$B,玩家节奏1!$P37)</f>
        <v>236300</v>
      </c>
      <c r="S37" s="90">
        <f>_xlfn.MAXIFS(关卡产出!Z:Z,关卡产出!$A:$A,玩家节奏1!$N$6,关卡产出!$B:$B,玩家节奏1!$N37)+_xlfn.MAXIFS(关卡产出!Z:Z,关卡产出!$A:$A,玩家节奏1!$O$6,关卡产出!$B:$B,玩家节奏1!$O37)+_xlfn.MAXIFS(关卡产出!Z:Z,关卡产出!$A:$A,玩家节奏1!$P$6,关卡产出!$B:$B,玩家节奏1!$P37)</f>
        <v>1802</v>
      </c>
      <c r="T37" s="90">
        <f>_xlfn.MAXIFS(关卡产出!AA:AA,关卡产出!$A:$A,玩家节奏1!$N$6,关卡产出!$B:$B,玩家节奏1!$N37)+_xlfn.MAXIFS(关卡产出!AA:AA,关卡产出!$A:$A,玩家节奏1!$O$6,关卡产出!$B:$B,玩家节奏1!$O37)+_xlfn.MAXIFS(关卡产出!AA:AA,关卡产出!$A:$A,玩家节奏1!$P$6,关卡产出!$B:$B,玩家节奏1!$P37)</f>
        <v>902</v>
      </c>
      <c r="U37" s="90">
        <f>_xlfn.MAXIFS(关卡产出!AB:AB,关卡产出!$A:$A,玩家节奏1!$N$6,关卡产出!$B:$B,玩家节奏1!$N37)+_xlfn.MAXIFS(关卡产出!AB:AB,关卡产出!$A:$A,玩家节奏1!$O$6,关卡产出!$B:$B,玩家节奏1!$O37)+_xlfn.MAXIFS(关卡产出!AB:AB,关卡产出!$A:$A,玩家节奏1!$P$6,关卡产出!$B:$B,玩家节奏1!$P37)</f>
        <v>354</v>
      </c>
      <c r="V37" s="130">
        <f>_xlfn.MAXIFS(关卡产出!AC:AC,关卡产出!$A:$A,玩家节奏1!$N$6,关卡产出!$B:$B,玩家节奏1!$N37)+_xlfn.MAXIFS(关卡产出!AC:AC,关卡产出!$A:$A,玩家节奏1!$O$6,关卡产出!$B:$B,玩家节奏1!$O37)+_xlfn.MAXIFS(关卡产出!AC:AC,关卡产出!$A:$A,玩家节奏1!$P$6,关卡产出!$B:$B,玩家节奏1!$P37)</f>
        <v>186</v>
      </c>
      <c r="W37" s="126">
        <f>INDEX(关卡产出!C$8:C$207,MATCH(玩家节奏1!$N37,关卡产出!$B$8:$B$207,0))*$K37</f>
        <v>115</v>
      </c>
      <c r="X37" s="126">
        <f>INDEX(关卡产出!D$8:D$207,MATCH(玩家节奏1!$N37,关卡产出!$B$8:$B$207,0))*$K37</f>
        <v>55</v>
      </c>
      <c r="Y37" s="126">
        <f>INDEX(关卡产出!E$8:E$207,MATCH(玩家节奏1!$N37,关卡产出!$B$8:$B$207,0))*$K37</f>
        <v>25</v>
      </c>
      <c r="Z37" s="144">
        <f>INDEX(关卡产出!F$8:F$207,MATCH(玩家节奏1!$N37,关卡产出!$B$8:$B$207,0))*$K37</f>
        <v>1850</v>
      </c>
      <c r="AA37" s="126">
        <f>SUM(W$7:W37)</f>
        <v>2396</v>
      </c>
      <c r="AB37" s="126">
        <f>SUM(X$7:X37)</f>
        <v>1151</v>
      </c>
      <c r="AC37" s="126">
        <f>SUM(Y$7:Y37)</f>
        <v>447</v>
      </c>
      <c r="AD37" s="126">
        <f>SUM(Z$7:Z37)</f>
        <v>42410</v>
      </c>
      <c r="AE37" s="126">
        <f>INDEX(图鉴!AQ:AQ,MATCH($N37,图鉴!$S:$S,0))*8</f>
        <v>136</v>
      </c>
      <c r="AF37" s="90">
        <f>INDEX(图鉴!AR:AR,MATCH($N37,图鉴!$S:$S,0))*8</f>
        <v>72</v>
      </c>
      <c r="AG37" s="90">
        <f>INDEX(图鉴!AS:AS,MATCH($N37,图鉴!$S:$S,0))*8</f>
        <v>24</v>
      </c>
      <c r="AH37" s="129">
        <f ca="1">INDEX(图鉴!AT:AT,MATCH($N37,图鉴!$S:$S,0))*8</f>
        <v>4840</v>
      </c>
      <c r="AI37" s="128">
        <f>SUM($AE$7:AE37)</f>
        <v>3520</v>
      </c>
      <c r="AJ37" s="90">
        <f>SUM(AF$7:AF37)</f>
        <v>1352</v>
      </c>
      <c r="AK37" s="90">
        <f>SUM(AG$7:AG37)</f>
        <v>240</v>
      </c>
      <c r="AL37" s="130">
        <f ca="1">SUM(AH$7:AH37)</f>
        <v>109256</v>
      </c>
      <c r="AM37" s="133">
        <f>IF(M37=0,0,INDEX(关卡产出!$AU$11:$AU$15,MATCH(玩家节奏1!N37,关卡产出!$AW$11:$AW$15,1))*M37)</f>
        <v>5800</v>
      </c>
      <c r="AN37" s="126">
        <f>IF(L37=0,0,$L37*关卡产出!AU$21)</f>
        <v>1000</v>
      </c>
      <c r="AO37" s="90">
        <f>IF(M37=0,0,$L37*关卡产出!AV$21)</f>
        <v>50</v>
      </c>
      <c r="AP37" s="129">
        <f>IF(N37=0,0,$L37*关卡产出!AW$21)</f>
        <v>1</v>
      </c>
      <c r="AQ37" s="138">
        <f>SUM(AN$7:AN37)</f>
        <v>14000</v>
      </c>
      <c r="AR37" s="126">
        <f>SUM(AO$7:AO37)</f>
        <v>700</v>
      </c>
      <c r="AS37" s="129">
        <f>SUM(AP$7:AP37)</f>
        <v>14</v>
      </c>
      <c r="AT37" s="128">
        <v>500</v>
      </c>
      <c r="AU37" s="129">
        <v>100</v>
      </c>
      <c r="AV37" s="128">
        <f>SUM(AT$7:AT37)</f>
        <v>15500</v>
      </c>
      <c r="AW37" s="90">
        <f>SUM(AU$7:AU37)</f>
        <v>3100</v>
      </c>
      <c r="AY37" s="128">
        <f t="shared" si="13"/>
        <v>4700</v>
      </c>
      <c r="AZ37" s="90">
        <f t="shared" si="14"/>
        <v>700</v>
      </c>
      <c r="BA37" s="90">
        <f t="shared" si="15"/>
        <v>3100</v>
      </c>
      <c r="BB37" s="90">
        <f t="shared" ca="1" si="65"/>
        <v>650</v>
      </c>
      <c r="BC37" s="90">
        <f t="shared" ca="1" si="68"/>
        <v>9150</v>
      </c>
      <c r="BD37" s="90"/>
      <c r="BE37" s="90">
        <f t="shared" ca="1" si="17"/>
        <v>9150</v>
      </c>
      <c r="BF37" s="142">
        <f t="shared" ca="1" si="18"/>
        <v>0.51366120218579236</v>
      </c>
      <c r="BG37" s="142">
        <f t="shared" ca="1" si="19"/>
        <v>7.650273224043716E-2</v>
      </c>
      <c r="BH37" s="142">
        <f t="shared" ca="1" si="20"/>
        <v>0.33879781420765026</v>
      </c>
      <c r="BI37" s="142">
        <f t="shared" ca="1" si="21"/>
        <v>7.1038251366120214E-2</v>
      </c>
      <c r="BJ37" s="143"/>
      <c r="BK37" s="128">
        <f ca="1">INDEX(商城宝箱!$L:$L,MATCH(BC37,商城宝箱!$N:$N,1))</f>
        <v>4</v>
      </c>
      <c r="BL37" s="90">
        <f ca="1">_xlfn.IFNA(INDEX(商城宝箱!T:T,MATCH(玩家节奏1!$BK37,商城宝箱!$L:$L,0)),0)+($BC37-INDEX(商城宝箱!$N:$N,MATCH(玩家节奏1!$BK37,商城宝箱!$L:$L,0)))/$BK$5*INDEX(商城宝箱!E$23:E$42,MATCH(玩家节奏1!$BK37+1,商城宝箱!$C$23:$C$42,0))</f>
        <v>22875</v>
      </c>
      <c r="BM37" s="90">
        <f ca="1">_xlfn.IFNA(INDEX(商城宝箱!U:U,MATCH(玩家节奏1!$BK37,商城宝箱!$L:$L,0)),0)+($BC37-INDEX(商城宝箱!$N:$N,MATCH(玩家节奏1!$BK37,商城宝箱!$L:$L,0)))/$BK$5*INDEX(商城宝箱!F$23:F$42,MATCH(玩家节奏1!$BK37+1,商城宝箱!$C$23:$C$42,0))</f>
        <v>4725</v>
      </c>
      <c r="BN37" s="90">
        <f ca="1">_xlfn.IFNA(INDEX(商城宝箱!V:V,MATCH(玩家节奏1!$BK37,商城宝箱!$L:$L,0)),0)+($BC37-INDEX(商城宝箱!$N:$N,MATCH(玩家节奏1!$BK37,商城宝箱!$L:$L,0)))/$BK$5*INDEX(商城宝箱!G$23:G$42,MATCH(玩家节奏1!$BK37+1,商城宝箱!$C$23:$C$42,0))</f>
        <v>1943.25</v>
      </c>
      <c r="BO37" s="90">
        <f ca="1">_xlfn.IFNA(INDEX(商城宝箱!W:W,MATCH(玩家节奏1!$BK37,商城宝箱!$L:$L,0)),0)+($BC37-INDEX(商城宝箱!$N:$N,MATCH(玩家节奏1!$BK37,商城宝箱!$L:$L,0)))/$BK$5*INDEX(商城宝箱!H$23:H$42,MATCH(玩家节奏1!$BK37+1,商城宝箱!$C$23:$C$42,0))</f>
        <v>276.75</v>
      </c>
      <c r="BQ37" s="128">
        <f t="shared" si="0"/>
        <v>236300</v>
      </c>
      <c r="BR37" s="90">
        <f t="shared" si="1"/>
        <v>42410</v>
      </c>
      <c r="BS37" s="90">
        <f t="shared" ca="1" si="2"/>
        <v>109256</v>
      </c>
      <c r="BT37" s="90">
        <f t="shared" si="3"/>
        <v>5800</v>
      </c>
      <c r="BU37" s="90">
        <f t="shared" si="4"/>
        <v>14000</v>
      </c>
      <c r="BV37" s="90">
        <f t="shared" si="5"/>
        <v>15500</v>
      </c>
      <c r="BW37" s="90">
        <f t="shared" ca="1" si="22"/>
        <v>22875</v>
      </c>
      <c r="BX37" s="90">
        <f t="shared" ca="1" si="23"/>
        <v>446141</v>
      </c>
      <c r="BY37" s="142">
        <f t="shared" ca="1" si="24"/>
        <v>0.52965318139332629</v>
      </c>
      <c r="BZ37" s="142">
        <f t="shared" ca="1" si="25"/>
        <v>9.5059633613588532E-2</v>
      </c>
      <c r="CA37" s="142">
        <f t="shared" ca="1" si="26"/>
        <v>0.24489118910837604</v>
      </c>
      <c r="CB37" s="142">
        <f t="shared" ca="1" si="27"/>
        <v>1.3000374321122695E-2</v>
      </c>
      <c r="CC37" s="142">
        <f t="shared" ca="1" si="28"/>
        <v>3.1380213878572018E-2</v>
      </c>
      <c r="CD37" s="142">
        <f t="shared" ca="1" si="29"/>
        <v>3.4742379651276169E-2</v>
      </c>
      <c r="CE37" s="142">
        <f t="shared" ca="1" si="30"/>
        <v>5.1273028033738212E-2</v>
      </c>
      <c r="CG37" s="128">
        <f t="shared" si="31"/>
        <v>31</v>
      </c>
      <c r="CH37" s="90">
        <f ca="1">INDEX(角色升级!$A:$A,MATCH(玩家节奏1!$BX37,角色升级!$J:$J,1))</f>
        <v>211</v>
      </c>
      <c r="CI37" s="90">
        <f ca="1">INDEX(角色升级!$O:$O,MATCH(玩家节奏1!$BX37,角色升级!$J:$J,1))</f>
        <v>3207.0534499999999</v>
      </c>
      <c r="CJ37" s="90">
        <f>INDEX(关卡对比!$J:$J,MATCH(玩家节奏1!N37,关卡对比!$A:$A,0))</f>
        <v>4300</v>
      </c>
      <c r="CK37" s="147">
        <f t="shared" ca="1" si="32"/>
        <v>1.3407946163167315</v>
      </c>
      <c r="CL37" s="128">
        <f ca="1">INDEX(角色升级!$P:$P,MATCH(玩家节奏1!$CH37,角色升级!$A:$A,0))</f>
        <v>650</v>
      </c>
      <c r="CM37" s="90">
        <f ca="1">INDEX(角色升级!Q:Q,MATCH(玩家节奏1!$CH37,角色升级!$A:$A,0))</f>
        <v>0.1</v>
      </c>
      <c r="CO37" s="128">
        <f t="shared" si="33"/>
        <v>1802</v>
      </c>
      <c r="CP37" s="90">
        <f t="shared" si="34"/>
        <v>2396</v>
      </c>
      <c r="CQ37" s="90">
        <f t="shared" si="35"/>
        <v>3520</v>
      </c>
      <c r="CR37" s="90">
        <f t="shared" ca="1" si="36"/>
        <v>4725</v>
      </c>
      <c r="CS37" s="90">
        <f t="shared" ca="1" si="37"/>
        <v>12443</v>
      </c>
      <c r="CT37" s="142">
        <f t="shared" ca="1" si="38"/>
        <v>0.14482038093707306</v>
      </c>
      <c r="CU37" s="142">
        <f t="shared" ca="1" si="39"/>
        <v>0.19255806477537571</v>
      </c>
      <c r="CV37" s="142">
        <f t="shared" ca="1" si="40"/>
        <v>0.28288997830105278</v>
      </c>
      <c r="CW37" s="142">
        <f t="shared" ca="1" si="41"/>
        <v>0.37973157598649843</v>
      </c>
      <c r="CY37" s="128">
        <f t="shared" si="42"/>
        <v>902</v>
      </c>
      <c r="CZ37" s="90">
        <f t="shared" si="43"/>
        <v>1151</v>
      </c>
      <c r="DA37" s="90">
        <f t="shared" si="44"/>
        <v>1352</v>
      </c>
      <c r="DB37" s="90">
        <f t="shared" ca="1" si="66"/>
        <v>1943.25</v>
      </c>
      <c r="DC37" s="90">
        <f t="shared" ca="1" si="45"/>
        <v>5348.25</v>
      </c>
      <c r="DD37" s="142">
        <f t="shared" ca="1" si="46"/>
        <v>0.16865329780769411</v>
      </c>
      <c r="DE37" s="142">
        <f t="shared" ca="1" si="47"/>
        <v>0.21521058290094891</v>
      </c>
      <c r="DF37" s="142">
        <f t="shared" ca="1" si="48"/>
        <v>0.25279296966297388</v>
      </c>
      <c r="DG37" s="142">
        <f t="shared" ca="1" si="49"/>
        <v>0.3633431496283831</v>
      </c>
      <c r="DI37" s="128">
        <f t="shared" si="50"/>
        <v>354</v>
      </c>
      <c r="DJ37" s="90">
        <f t="shared" si="51"/>
        <v>447</v>
      </c>
      <c r="DK37" s="90">
        <f t="shared" si="52"/>
        <v>240</v>
      </c>
      <c r="DL37" s="90">
        <f t="shared" ca="1" si="53"/>
        <v>276.75</v>
      </c>
      <c r="DM37" s="90">
        <f t="shared" ca="1" si="54"/>
        <v>1317.75</v>
      </c>
      <c r="DN37" s="142">
        <f t="shared" ca="1" si="55"/>
        <v>0.2686397268070575</v>
      </c>
      <c r="DO37" s="142">
        <f t="shared" ca="1" si="56"/>
        <v>0.33921457029026753</v>
      </c>
      <c r="DP37" s="142">
        <f t="shared" ca="1" si="57"/>
        <v>0.18212862834376778</v>
      </c>
      <c r="DQ37" s="142">
        <f t="shared" ca="1" si="58"/>
        <v>0.21001707455890722</v>
      </c>
      <c r="DS37" s="128">
        <f t="shared" ca="1" si="59"/>
        <v>12443</v>
      </c>
      <c r="DT37" s="90">
        <f t="shared" ca="1" si="60"/>
        <v>5348.25</v>
      </c>
      <c r="DU37" s="90">
        <f t="shared" ca="1" si="61"/>
        <v>1317.75</v>
      </c>
      <c r="DV37" s="90">
        <f t="shared" si="62"/>
        <v>14</v>
      </c>
      <c r="DW37" s="90">
        <f ca="1">_xlfn.IFNA(INDEX(武器升级消耗!$H:$H,MATCH(玩家节奏1!DS37/玩家节奏1!DS$5,武器升级消耗!M:M,1)),0)</f>
        <v>12</v>
      </c>
      <c r="DX37" s="90">
        <f ca="1">_xlfn.IFNA(INDEX(武器升级消耗!$H:$H,MATCH(玩家节奏1!DT37/玩家节奏1!DT$5,武器升级消耗!N:N,1)),0)</f>
        <v>9</v>
      </c>
      <c r="DY37" s="90">
        <f ca="1">_xlfn.IFNA(INDEX(武器升级消耗!$H:$H,MATCH(玩家节奏1!DU37/玩家节奏1!DU$5,武器升级消耗!O:O,1)),0)</f>
        <v>5</v>
      </c>
      <c r="DZ37" s="90">
        <f>_xlfn.IFNA(INDEX(武器升级消耗!$H:$H,MATCH(玩家节奏1!DV37/玩家节奏1!DV$5,武器升级消耗!P:P,1)),0)</f>
        <v>4</v>
      </c>
      <c r="EA37" s="90">
        <f ca="1">_xlfn.IFNA(INDEX(武器升级消耗!$Q:$Q,MATCH(玩家节奏1!DW37,武器升级消耗!$H:$H,0))*2*EA$4,0)</f>
        <v>1.92</v>
      </c>
      <c r="EB37" s="90">
        <f ca="1">_xlfn.IFNA(INDEX(武器升级消耗!$Q:$Q,MATCH(玩家节奏1!DX37,武器升级消耗!$H:$H,0))*2*EB$4,0)</f>
        <v>1.9500000000000002</v>
      </c>
      <c r="EC37" s="90">
        <f ca="1">_xlfn.IFNA(INDEX(武器升级消耗!$Q:$Q,MATCH(玩家节奏1!DY37,武器升级消耗!$H:$H,0))*2*EC$4,1)</f>
        <v>1.9800000000000002</v>
      </c>
      <c r="ED37" s="90">
        <f>_xlfn.IFNA(INDEX(武器升级消耗!$Q:$Q,MATCH(玩家节奏1!DZ37,武器升级消耗!$H:$H,0))*2*ED$4,0)</f>
        <v>2.4000000000000004</v>
      </c>
      <c r="EF37" s="128"/>
      <c r="EG37" s="90"/>
      <c r="EH37" s="90"/>
      <c r="EI37" s="90"/>
      <c r="EJ37" s="90"/>
      <c r="EK37" s="90"/>
      <c r="EL37" s="90"/>
      <c r="EM37" s="90"/>
      <c r="EO37" s="128"/>
      <c r="EP37" s="90"/>
      <c r="EQ37" s="90"/>
      <c r="ER37" s="90"/>
      <c r="ES37" s="90"/>
      <c r="ET37" s="90"/>
      <c r="EU37" s="90"/>
      <c r="EV37" s="90"/>
      <c r="EW37" s="90"/>
      <c r="EX37" s="90"/>
      <c r="EY37" s="90"/>
      <c r="EZ37" s="90"/>
      <c r="FA37" s="90"/>
      <c r="FB37" s="90"/>
      <c r="FD37" s="90">
        <f t="shared" ca="1" si="63"/>
        <v>1.9800000000000002</v>
      </c>
      <c r="FE37" s="90"/>
      <c r="FF37" s="90"/>
      <c r="FG37" s="90">
        <f t="shared" ca="1" si="64"/>
        <v>0</v>
      </c>
    </row>
    <row r="38" spans="1:163" x14ac:dyDescent="0.25">
      <c r="A38" s="123">
        <v>32</v>
      </c>
      <c r="B38" s="123">
        <f>INDEX(关卡对比!$Y:$Y,MATCH(关卡对比!Z38,关卡对比!$AA:$AA,1))</f>
        <v>22</v>
      </c>
      <c r="C38" s="124">
        <f>INDEX(关卡对比!$Y:$Y,MATCH(关卡对比!Z38,关卡对比!$AB:$AB,1))</f>
        <v>18</v>
      </c>
      <c r="D38" s="125">
        <f t="shared" si="70"/>
        <v>185.5</v>
      </c>
      <c r="E38" s="125">
        <v>3</v>
      </c>
      <c r="F38" s="128">
        <v>5</v>
      </c>
      <c r="G38" s="90">
        <v>1</v>
      </c>
      <c r="H38" s="90">
        <v>1</v>
      </c>
      <c r="J38" s="128">
        <v>32</v>
      </c>
      <c r="K38" s="90">
        <f t="shared" si="10"/>
        <v>5</v>
      </c>
      <c r="L38" s="90">
        <f t="shared" si="11"/>
        <v>1</v>
      </c>
      <c r="M38" s="90">
        <f t="shared" si="12"/>
        <v>1</v>
      </c>
      <c r="N38" s="140">
        <f>INDEX($A:$A,MATCH(SUM($K$7:K38),$D:$D,1))</f>
        <v>31</v>
      </c>
      <c r="O38" s="140">
        <v>0</v>
      </c>
      <c r="P38" s="141">
        <v>0</v>
      </c>
      <c r="Q38" s="126">
        <f>_xlfn.MAXIFS(关卡产出!X:X,关卡产出!$A:$A,玩家节奏1!$N$6,关卡产出!$B:$B,玩家节奏1!$N38)+_xlfn.MAXIFS(关卡产出!X:X,关卡产出!$A:$A,玩家节奏1!$O$6,关卡产出!$B:$B,玩家节奏1!$O38)+_xlfn.MAXIFS(关卡产出!X:X,关卡产出!$A:$A,玩家节奏1!$P$6,关卡产出!$B:$B,玩家节奏1!$P38)</f>
        <v>4700</v>
      </c>
      <c r="R38" s="90">
        <f>_xlfn.MAXIFS(关卡产出!Y:Y,关卡产出!$A:$A,玩家节奏1!$N$6,关卡产出!$B:$B,玩家节奏1!$N38)+_xlfn.MAXIFS(关卡产出!Y:Y,关卡产出!$A:$A,玩家节奏1!$O$6,关卡产出!$B:$B,玩家节奏1!$O38)+_xlfn.MAXIFS(关卡产出!Y:Y,关卡产出!$A:$A,玩家节奏1!$P$6,关卡产出!$B:$B,玩家节奏1!$P38)</f>
        <v>236300</v>
      </c>
      <c r="S38" s="90">
        <f>_xlfn.MAXIFS(关卡产出!Z:Z,关卡产出!$A:$A,玩家节奏1!$N$6,关卡产出!$B:$B,玩家节奏1!$N38)+_xlfn.MAXIFS(关卡产出!Z:Z,关卡产出!$A:$A,玩家节奏1!$O$6,关卡产出!$B:$B,玩家节奏1!$O38)+_xlfn.MAXIFS(关卡产出!Z:Z,关卡产出!$A:$A,玩家节奏1!$P$6,关卡产出!$B:$B,玩家节奏1!$P38)</f>
        <v>1802</v>
      </c>
      <c r="T38" s="90">
        <f>_xlfn.MAXIFS(关卡产出!AA:AA,关卡产出!$A:$A,玩家节奏1!$N$6,关卡产出!$B:$B,玩家节奏1!$N38)+_xlfn.MAXIFS(关卡产出!AA:AA,关卡产出!$A:$A,玩家节奏1!$O$6,关卡产出!$B:$B,玩家节奏1!$O38)+_xlfn.MAXIFS(关卡产出!AA:AA,关卡产出!$A:$A,玩家节奏1!$P$6,关卡产出!$B:$B,玩家节奏1!$P38)</f>
        <v>902</v>
      </c>
      <c r="U38" s="90">
        <f>_xlfn.MAXIFS(关卡产出!AB:AB,关卡产出!$A:$A,玩家节奏1!$N$6,关卡产出!$B:$B,玩家节奏1!$N38)+_xlfn.MAXIFS(关卡产出!AB:AB,关卡产出!$A:$A,玩家节奏1!$O$6,关卡产出!$B:$B,玩家节奏1!$O38)+_xlfn.MAXIFS(关卡产出!AB:AB,关卡产出!$A:$A,玩家节奏1!$P$6,关卡产出!$B:$B,玩家节奏1!$P38)</f>
        <v>354</v>
      </c>
      <c r="V38" s="130">
        <f>_xlfn.MAXIFS(关卡产出!AC:AC,关卡产出!$A:$A,玩家节奏1!$N$6,关卡产出!$B:$B,玩家节奏1!$N38)+_xlfn.MAXIFS(关卡产出!AC:AC,关卡产出!$A:$A,玩家节奏1!$O$6,关卡产出!$B:$B,玩家节奏1!$O38)+_xlfn.MAXIFS(关卡产出!AC:AC,关卡产出!$A:$A,玩家节奏1!$P$6,关卡产出!$B:$B,玩家节奏1!$P38)</f>
        <v>186</v>
      </c>
      <c r="W38" s="126">
        <f>INDEX(关卡产出!C$8:C$207,MATCH(玩家节奏1!$N38,关卡产出!$B$8:$B$207,0))*$K38</f>
        <v>115</v>
      </c>
      <c r="X38" s="126">
        <f>INDEX(关卡产出!D$8:D$207,MATCH(玩家节奏1!$N38,关卡产出!$B$8:$B$207,0))*$K38</f>
        <v>55</v>
      </c>
      <c r="Y38" s="126">
        <f>INDEX(关卡产出!E$8:E$207,MATCH(玩家节奏1!$N38,关卡产出!$B$8:$B$207,0))*$K38</f>
        <v>25</v>
      </c>
      <c r="Z38" s="144">
        <f>INDEX(关卡产出!F$8:F$207,MATCH(玩家节奏1!$N38,关卡产出!$B$8:$B$207,0))*$K38</f>
        <v>1850</v>
      </c>
      <c r="AA38" s="126">
        <f>SUM(W$7:W38)</f>
        <v>2511</v>
      </c>
      <c r="AB38" s="126">
        <f>SUM(X$7:X38)</f>
        <v>1206</v>
      </c>
      <c r="AC38" s="126">
        <f>SUM(Y$7:Y38)</f>
        <v>472</v>
      </c>
      <c r="AD38" s="126">
        <f>SUM(Z$7:Z38)</f>
        <v>44260</v>
      </c>
      <c r="AE38" s="126">
        <f>INDEX(图鉴!AQ:AQ,MATCH($N38,图鉴!$S:$S,0))*8</f>
        <v>136</v>
      </c>
      <c r="AF38" s="90">
        <f>INDEX(图鉴!AR:AR,MATCH($N38,图鉴!$S:$S,0))*8</f>
        <v>72</v>
      </c>
      <c r="AG38" s="90">
        <f>INDEX(图鉴!AS:AS,MATCH($N38,图鉴!$S:$S,0))*8</f>
        <v>24</v>
      </c>
      <c r="AH38" s="129">
        <f ca="1">INDEX(图鉴!AT:AT,MATCH($N38,图鉴!$S:$S,0))*8</f>
        <v>4840</v>
      </c>
      <c r="AI38" s="128">
        <f>SUM($AE$7:AE38)</f>
        <v>3656</v>
      </c>
      <c r="AJ38" s="90">
        <f>SUM(AF$7:AF38)</f>
        <v>1424</v>
      </c>
      <c r="AK38" s="90">
        <f>SUM(AG$7:AG38)</f>
        <v>264</v>
      </c>
      <c r="AL38" s="130">
        <f ca="1">SUM(AH$7:AH38)</f>
        <v>114096</v>
      </c>
      <c r="AM38" s="133">
        <f>IF(M38=0,0,INDEX(关卡产出!$AU$11:$AU$15,MATCH(玩家节奏1!N38,关卡产出!$AW$11:$AW$15,1))*M38)</f>
        <v>5800</v>
      </c>
      <c r="AN38" s="126">
        <f>IF(L38=0,0,$L38*关卡产出!AU$21)</f>
        <v>1000</v>
      </c>
      <c r="AO38" s="90">
        <f>IF(M38=0,0,$L38*关卡产出!AV$21)</f>
        <v>50</v>
      </c>
      <c r="AP38" s="129">
        <f>IF(N38=0,0,$L38*关卡产出!AW$21)</f>
        <v>1</v>
      </c>
      <c r="AQ38" s="138">
        <f>SUM(AN$7:AN38)</f>
        <v>15000</v>
      </c>
      <c r="AR38" s="126">
        <f>SUM(AO$7:AO38)</f>
        <v>750</v>
      </c>
      <c r="AS38" s="129">
        <f>SUM(AP$7:AP38)</f>
        <v>15</v>
      </c>
      <c r="AT38" s="128">
        <v>500</v>
      </c>
      <c r="AU38" s="129">
        <v>100</v>
      </c>
      <c r="AV38" s="128">
        <f>SUM(AT$7:AT38)</f>
        <v>16000</v>
      </c>
      <c r="AW38" s="90">
        <f>SUM(AU$7:AU38)</f>
        <v>3200</v>
      </c>
      <c r="AY38" s="128">
        <f t="shared" si="13"/>
        <v>4700</v>
      </c>
      <c r="AZ38" s="90">
        <f t="shared" si="14"/>
        <v>750</v>
      </c>
      <c r="BA38" s="90">
        <f t="shared" si="15"/>
        <v>3200</v>
      </c>
      <c r="BB38" s="90">
        <f t="shared" ca="1" si="65"/>
        <v>650</v>
      </c>
      <c r="BC38" s="90">
        <f t="shared" ca="1" si="68"/>
        <v>9300</v>
      </c>
      <c r="BD38" s="90"/>
      <c r="BE38" s="90">
        <f t="shared" ca="1" si="17"/>
        <v>9300</v>
      </c>
      <c r="BF38" s="142">
        <f t="shared" ca="1" si="18"/>
        <v>0.5053763440860215</v>
      </c>
      <c r="BG38" s="142">
        <f t="shared" ca="1" si="19"/>
        <v>8.0645161290322578E-2</v>
      </c>
      <c r="BH38" s="142">
        <f t="shared" ca="1" si="20"/>
        <v>0.34408602150537637</v>
      </c>
      <c r="BI38" s="142">
        <f t="shared" ca="1" si="21"/>
        <v>6.9892473118279563E-2</v>
      </c>
      <c r="BJ38" s="143"/>
      <c r="BK38" s="128">
        <f ca="1">INDEX(商城宝箱!$L:$L,MATCH(BC38,商城宝箱!$N:$N,1))</f>
        <v>4</v>
      </c>
      <c r="BL38" s="90">
        <f ca="1">_xlfn.IFNA(INDEX(商城宝箱!T:T,MATCH(玩家节奏1!$BK38,商城宝箱!$L:$L,0)),0)+($BC38-INDEX(商城宝箱!$N:$N,MATCH(玩家节奏1!$BK38,商城宝箱!$L:$L,0)))/$BK$5*INDEX(商城宝箱!E$23:E$42,MATCH(玩家节奏1!$BK38+1,商城宝箱!$C$23:$C$42,0))</f>
        <v>23250</v>
      </c>
      <c r="BM38" s="90">
        <f ca="1">_xlfn.IFNA(INDEX(商城宝箱!U:U,MATCH(玩家节奏1!$BK38,商城宝箱!$L:$L,0)),0)+($BC38-INDEX(商城宝箱!$N:$N,MATCH(玩家节奏1!$BK38,商城宝箱!$L:$L,0)))/$BK$5*INDEX(商城宝箱!F$23:F$42,MATCH(玩家节奏1!$BK38+1,商城宝箱!$C$23:$C$42,0))</f>
        <v>4837.5</v>
      </c>
      <c r="BN38" s="90">
        <f ca="1">_xlfn.IFNA(INDEX(商城宝箱!V:V,MATCH(玩家节奏1!$BK38,商城宝箱!$L:$L,0)),0)+($BC38-INDEX(商城宝箱!$N:$N,MATCH(玩家节奏1!$BK38,商城宝箱!$L:$L,0)))/$BK$5*INDEX(商城宝箱!G$23:G$42,MATCH(玩家节奏1!$BK38+1,商城宝箱!$C$23:$C$42,0))</f>
        <v>1999.5</v>
      </c>
      <c r="BO38" s="90">
        <f ca="1">_xlfn.IFNA(INDEX(商城宝箱!W:W,MATCH(玩家节奏1!$BK38,商城宝箱!$L:$L,0)),0)+($BC38-INDEX(商城宝箱!$N:$N,MATCH(玩家节奏1!$BK38,商城宝箱!$L:$L,0)))/$BK$5*INDEX(商城宝箱!H$23:H$42,MATCH(玩家节奏1!$BK38+1,商城宝箱!$C$23:$C$42,0))</f>
        <v>285</v>
      </c>
      <c r="BQ38" s="128">
        <f t="shared" si="0"/>
        <v>236300</v>
      </c>
      <c r="BR38" s="90">
        <f t="shared" si="1"/>
        <v>44260</v>
      </c>
      <c r="BS38" s="90">
        <f t="shared" ca="1" si="2"/>
        <v>114096</v>
      </c>
      <c r="BT38" s="90">
        <f t="shared" si="3"/>
        <v>5800</v>
      </c>
      <c r="BU38" s="90">
        <f t="shared" si="4"/>
        <v>15000</v>
      </c>
      <c r="BV38" s="90">
        <f t="shared" si="5"/>
        <v>16000</v>
      </c>
      <c r="BW38" s="90">
        <f t="shared" ca="1" si="22"/>
        <v>23250</v>
      </c>
      <c r="BX38" s="90">
        <f t="shared" ca="1" si="23"/>
        <v>454706</v>
      </c>
      <c r="BY38" s="142">
        <f t="shared" ca="1" si="24"/>
        <v>0.51967645027776188</v>
      </c>
      <c r="BZ38" s="142">
        <f t="shared" ca="1" si="25"/>
        <v>9.7337620352491494E-2</v>
      </c>
      <c r="CA38" s="142">
        <f t="shared" ca="1" si="26"/>
        <v>0.25092257414681135</v>
      </c>
      <c r="CB38" s="142">
        <f t="shared" ca="1" si="27"/>
        <v>1.2755494759251033E-2</v>
      </c>
      <c r="CC38" s="142">
        <f t="shared" ca="1" si="28"/>
        <v>3.2988348515304397E-2</v>
      </c>
      <c r="CD38" s="142">
        <f t="shared" ca="1" si="29"/>
        <v>3.5187571749658024E-2</v>
      </c>
      <c r="CE38" s="142">
        <f t="shared" ca="1" si="30"/>
        <v>5.1131940198721811E-2</v>
      </c>
      <c r="CG38" s="128">
        <f t="shared" si="31"/>
        <v>31</v>
      </c>
      <c r="CH38" s="90">
        <f ca="1">INDEX(角色升级!$A:$A,MATCH(玩家节奏1!$BX38,角色升级!$J:$J,1))</f>
        <v>212</v>
      </c>
      <c r="CI38" s="90">
        <f ca="1">INDEX(角色升级!$O:$O,MATCH(玩家节奏1!$BX38,角色升级!$J:$J,1))</f>
        <v>3295.5238899999999</v>
      </c>
      <c r="CJ38" s="90">
        <f>INDEX(关卡对比!$J:$J,MATCH(玩家节奏1!N38,关卡对比!$A:$A,0))</f>
        <v>4300</v>
      </c>
      <c r="CK38" s="147">
        <f t="shared" ca="1" si="32"/>
        <v>1.3048001299726582</v>
      </c>
      <c r="CL38" s="128">
        <f ca="1">INDEX(角色升级!$P:$P,MATCH(玩家节奏1!$CH38,角色升级!$A:$A,0))</f>
        <v>650</v>
      </c>
      <c r="CM38" s="90">
        <f ca="1">INDEX(角色升级!Q:Q,MATCH(玩家节奏1!$CH38,角色升级!$A:$A,0))</f>
        <v>0.1</v>
      </c>
      <c r="CO38" s="128">
        <f t="shared" si="33"/>
        <v>1802</v>
      </c>
      <c r="CP38" s="90">
        <f t="shared" si="34"/>
        <v>2511</v>
      </c>
      <c r="CQ38" s="90">
        <f t="shared" si="35"/>
        <v>3656</v>
      </c>
      <c r="CR38" s="90">
        <f t="shared" ca="1" si="36"/>
        <v>4837.5</v>
      </c>
      <c r="CS38" s="90">
        <f t="shared" ca="1" si="37"/>
        <v>12806.5</v>
      </c>
      <c r="CT38" s="142">
        <f t="shared" ca="1" si="38"/>
        <v>0.14070979580681686</v>
      </c>
      <c r="CU38" s="142">
        <f t="shared" ca="1" si="39"/>
        <v>0.19607230703158551</v>
      </c>
      <c r="CV38" s="142">
        <f t="shared" ca="1" si="40"/>
        <v>0.28548002967243197</v>
      </c>
      <c r="CW38" s="142">
        <f t="shared" ca="1" si="41"/>
        <v>0.37773786748916566</v>
      </c>
      <c r="CY38" s="128">
        <f t="shared" si="42"/>
        <v>902</v>
      </c>
      <c r="CZ38" s="90">
        <f t="shared" si="43"/>
        <v>1206</v>
      </c>
      <c r="DA38" s="90">
        <f t="shared" si="44"/>
        <v>1424</v>
      </c>
      <c r="DB38" s="90">
        <f t="shared" ca="1" si="66"/>
        <v>1999.5</v>
      </c>
      <c r="DC38" s="90">
        <f t="shared" ca="1" si="45"/>
        <v>5531.5</v>
      </c>
      <c r="DD38" s="142">
        <f t="shared" ca="1" si="46"/>
        <v>0.16306607610955437</v>
      </c>
      <c r="DE38" s="142">
        <f t="shared" ca="1" si="47"/>
        <v>0.21802404411100063</v>
      </c>
      <c r="DF38" s="142">
        <f t="shared" ca="1" si="48"/>
        <v>0.25743469221730092</v>
      </c>
      <c r="DG38" s="142">
        <f t="shared" ca="1" si="49"/>
        <v>0.36147518756214408</v>
      </c>
      <c r="DI38" s="128">
        <f t="shared" si="50"/>
        <v>354</v>
      </c>
      <c r="DJ38" s="90">
        <f t="shared" si="51"/>
        <v>472</v>
      </c>
      <c r="DK38" s="90">
        <f t="shared" si="52"/>
        <v>264</v>
      </c>
      <c r="DL38" s="90">
        <f t="shared" ca="1" si="53"/>
        <v>285</v>
      </c>
      <c r="DM38" s="90">
        <f t="shared" ca="1" si="54"/>
        <v>1375</v>
      </c>
      <c r="DN38" s="142">
        <f t="shared" ca="1" si="55"/>
        <v>0.25745454545454544</v>
      </c>
      <c r="DO38" s="142">
        <f t="shared" ca="1" si="56"/>
        <v>0.34327272727272728</v>
      </c>
      <c r="DP38" s="142">
        <f t="shared" ca="1" si="57"/>
        <v>0.192</v>
      </c>
      <c r="DQ38" s="142">
        <f t="shared" ca="1" si="58"/>
        <v>0.20727272727272728</v>
      </c>
      <c r="DS38" s="128">
        <f t="shared" ca="1" si="59"/>
        <v>12806.5</v>
      </c>
      <c r="DT38" s="90">
        <f t="shared" ca="1" si="60"/>
        <v>5531.5</v>
      </c>
      <c r="DU38" s="90">
        <f t="shared" ca="1" si="61"/>
        <v>1375</v>
      </c>
      <c r="DV38" s="90">
        <f t="shared" si="62"/>
        <v>15</v>
      </c>
      <c r="DW38" s="90">
        <f ca="1">_xlfn.IFNA(INDEX(武器升级消耗!$H:$H,MATCH(玩家节奏1!DS38/玩家节奏1!DS$5,武器升级消耗!M:M,1)),0)</f>
        <v>12</v>
      </c>
      <c r="DX38" s="90">
        <f ca="1">_xlfn.IFNA(INDEX(武器升级消耗!$H:$H,MATCH(玩家节奏1!DT38/玩家节奏1!DT$5,武器升级消耗!N:N,1)),0)</f>
        <v>9</v>
      </c>
      <c r="DY38" s="90">
        <f ca="1">_xlfn.IFNA(INDEX(武器升级消耗!$H:$H,MATCH(玩家节奏1!DU38/玩家节奏1!DU$5,武器升级消耗!O:O,1)),0)</f>
        <v>6</v>
      </c>
      <c r="DZ38" s="90">
        <f>_xlfn.IFNA(INDEX(武器升级消耗!$H:$H,MATCH(玩家节奏1!DV38/玩家节奏1!DV$5,武器升级消耗!P:P,1)),0)</f>
        <v>4</v>
      </c>
      <c r="EA38" s="90">
        <f ca="1">_xlfn.IFNA(INDEX(武器升级消耗!$Q:$Q,MATCH(玩家节奏1!DW38,武器升级消耗!$H:$H,0))*2*EA$4,0)</f>
        <v>1.92</v>
      </c>
      <c r="EB38" s="90">
        <f ca="1">_xlfn.IFNA(INDEX(武器升级消耗!$Q:$Q,MATCH(玩家节奏1!DX38,武器升级消耗!$H:$H,0))*2*EB$4,0)</f>
        <v>1.9500000000000002</v>
      </c>
      <c r="EC38" s="90">
        <f ca="1">_xlfn.IFNA(INDEX(武器升级消耗!$Q:$Q,MATCH(玩家节奏1!DY38,武器升级消耗!$H:$H,0))*2*EC$4,1)</f>
        <v>2.2000000000000002</v>
      </c>
      <c r="ED38" s="90">
        <f>_xlfn.IFNA(INDEX(武器升级消耗!$Q:$Q,MATCH(玩家节奏1!DZ38,武器升级消耗!$H:$H,0))*2*ED$4,0)</f>
        <v>2.4000000000000004</v>
      </c>
      <c r="EF38" s="128"/>
      <c r="EG38" s="90"/>
      <c r="EH38" s="90"/>
      <c r="EI38" s="90"/>
      <c r="EJ38" s="90"/>
      <c r="EK38" s="90"/>
      <c r="EL38" s="90"/>
      <c r="EM38" s="90"/>
      <c r="EO38" s="128"/>
      <c r="EP38" s="90"/>
      <c r="EQ38" s="90"/>
      <c r="ER38" s="90"/>
      <c r="ES38" s="90"/>
      <c r="ET38" s="90"/>
      <c r="EU38" s="90"/>
      <c r="EV38" s="90"/>
      <c r="EW38" s="90"/>
      <c r="EX38" s="90"/>
      <c r="EY38" s="90"/>
      <c r="EZ38" s="90"/>
      <c r="FA38" s="90"/>
      <c r="FB38" s="90"/>
      <c r="FD38" s="90">
        <f t="shared" ca="1" si="63"/>
        <v>2.2000000000000002</v>
      </c>
      <c r="FE38" s="90"/>
      <c r="FF38" s="90"/>
      <c r="FG38" s="90">
        <f t="shared" ca="1" si="64"/>
        <v>0</v>
      </c>
    </row>
    <row r="39" spans="1:163" x14ac:dyDescent="0.25">
      <c r="A39" s="123">
        <v>33</v>
      </c>
      <c r="B39" s="123">
        <f>INDEX(关卡对比!$Y:$Y,MATCH(关卡对比!Z39,关卡对比!$AA:$AA,1))</f>
        <v>22</v>
      </c>
      <c r="C39" s="124">
        <f>INDEX(关卡对比!$Y:$Y,MATCH(关卡对比!Z39,关卡对比!$AB:$AB,1))</f>
        <v>18</v>
      </c>
      <c r="D39" s="125">
        <f t="shared" si="70"/>
        <v>188.5</v>
      </c>
      <c r="E39" s="125">
        <v>3</v>
      </c>
      <c r="F39" s="128">
        <v>5</v>
      </c>
      <c r="G39" s="90">
        <v>1</v>
      </c>
      <c r="H39" s="90">
        <v>1</v>
      </c>
      <c r="J39" s="128">
        <v>33</v>
      </c>
      <c r="K39" s="90">
        <f t="shared" si="10"/>
        <v>5</v>
      </c>
      <c r="L39" s="90">
        <f t="shared" si="11"/>
        <v>1</v>
      </c>
      <c r="M39" s="90">
        <f t="shared" si="12"/>
        <v>1</v>
      </c>
      <c r="N39" s="140">
        <f>INDEX($A:$A,MATCH(SUM($K$7:K39),$D:$D,1))</f>
        <v>33</v>
      </c>
      <c r="O39" s="140">
        <v>0</v>
      </c>
      <c r="P39" s="141">
        <v>0</v>
      </c>
      <c r="Q39" s="126">
        <f>_xlfn.MAXIFS(关卡产出!X:X,关卡产出!$A:$A,玩家节奏1!$N$6,关卡产出!$B:$B,玩家节奏1!$N39)+_xlfn.MAXIFS(关卡产出!X:X,关卡产出!$A:$A,玩家节奏1!$O$6,关卡产出!$B:$B,玩家节奏1!$O39)+_xlfn.MAXIFS(关卡产出!X:X,关卡产出!$A:$A,玩家节奏1!$P$6,关卡产出!$B:$B,玩家节奏1!$P39)</f>
        <v>5100</v>
      </c>
      <c r="R39" s="90">
        <f>_xlfn.MAXIFS(关卡产出!Y:Y,关卡产出!$A:$A,玩家节奏1!$N$6,关卡产出!$B:$B,玩家节奏1!$N39)+_xlfn.MAXIFS(关卡产出!Y:Y,关卡产出!$A:$A,玩家节奏1!$O$6,关卡产出!$B:$B,玩家节奏1!$O39)+_xlfn.MAXIFS(关卡产出!Y:Y,关卡产出!$A:$A,玩家节奏1!$P$6,关卡产出!$B:$B,玩家节奏1!$P39)</f>
        <v>270700</v>
      </c>
      <c r="S39" s="90">
        <f>_xlfn.MAXIFS(关卡产出!Z:Z,关卡产出!$A:$A,玩家节奏1!$N$6,关卡产出!$B:$B,玩家节奏1!$N39)+_xlfn.MAXIFS(关卡产出!Z:Z,关卡产出!$A:$A,玩家节奏1!$O$6,关卡产出!$B:$B,玩家节奏1!$O39)+_xlfn.MAXIFS(关卡产出!Z:Z,关卡产出!$A:$A,玩家节奏1!$P$6,关卡产出!$B:$B,玩家节奏1!$P39)</f>
        <v>2046</v>
      </c>
      <c r="T39" s="90">
        <f>_xlfn.MAXIFS(关卡产出!AA:AA,关卡产出!$A:$A,玩家节奏1!$N$6,关卡产出!$B:$B,玩家节奏1!$N39)+_xlfn.MAXIFS(关卡产出!AA:AA,关卡产出!$A:$A,玩家节奏1!$O$6,关卡产出!$B:$B,玩家节奏1!$O39)+_xlfn.MAXIFS(关卡产出!AA:AA,关卡产出!$A:$A,玩家节奏1!$P$6,关卡产出!$B:$B,玩家节奏1!$P39)</f>
        <v>1024</v>
      </c>
      <c r="U39" s="90">
        <f>_xlfn.MAXIFS(关卡产出!AB:AB,关卡产出!$A:$A,玩家节奏1!$N$6,关卡产出!$B:$B,玩家节奏1!$N39)+_xlfn.MAXIFS(关卡产出!AB:AB,关卡产出!$A:$A,玩家节奏1!$O$6,关卡产出!$B:$B,玩家节奏1!$O39)+_xlfn.MAXIFS(关卡产出!AB:AB,关卡产出!$A:$A,玩家节奏1!$P$6,关卡产出!$B:$B,玩家节奏1!$P39)</f>
        <v>409</v>
      </c>
      <c r="V39" s="130">
        <f>_xlfn.MAXIFS(关卡产出!AC:AC,关卡产出!$A:$A,玩家节奏1!$N$6,关卡产出!$B:$B,玩家节奏1!$N39)+_xlfn.MAXIFS(关卡产出!AC:AC,关卡产出!$A:$A,玩家节奏1!$O$6,关卡产出!$B:$B,玩家节奏1!$O39)+_xlfn.MAXIFS(关卡产出!AC:AC,关卡产出!$A:$A,玩家节奏1!$P$6,关卡产出!$B:$B,玩家节奏1!$P39)</f>
        <v>198</v>
      </c>
      <c r="W39" s="126">
        <f>INDEX(关卡产出!C$8:C$207,MATCH(玩家节奏1!$N39,关卡产出!$B$8:$B$207,0))*$K39</f>
        <v>125</v>
      </c>
      <c r="X39" s="126">
        <f>INDEX(关卡产出!D$8:D$207,MATCH(玩家节奏1!$N39,关卡产出!$B$8:$B$207,0))*$K39</f>
        <v>60</v>
      </c>
      <c r="Y39" s="126">
        <f>INDEX(关卡产出!E$8:E$207,MATCH(玩家节奏1!$N39,关卡产出!$B$8:$B$207,0))*$K39</f>
        <v>30</v>
      </c>
      <c r="Z39" s="144">
        <f>INDEX(关卡产出!F$8:F$207,MATCH(玩家节奏1!$N39,关卡产出!$B$8:$B$207,0))*$K39</f>
        <v>1950</v>
      </c>
      <c r="AA39" s="126">
        <f>SUM(W$7:W39)</f>
        <v>2636</v>
      </c>
      <c r="AB39" s="126">
        <f>SUM(X$7:X39)</f>
        <v>1266</v>
      </c>
      <c r="AC39" s="126">
        <f>SUM(Y$7:Y39)</f>
        <v>502</v>
      </c>
      <c r="AD39" s="126">
        <f>SUM(Z$7:Z39)</f>
        <v>46210</v>
      </c>
      <c r="AE39" s="126">
        <f>INDEX(图鉴!AQ:AQ,MATCH($N39,图鉴!$S:$S,0))*8</f>
        <v>136</v>
      </c>
      <c r="AF39" s="90">
        <f>INDEX(图鉴!AR:AR,MATCH($N39,图鉴!$S:$S,0))*8</f>
        <v>72</v>
      </c>
      <c r="AG39" s="90">
        <f>INDEX(图鉴!AS:AS,MATCH($N39,图鉴!$S:$S,0))*8</f>
        <v>24</v>
      </c>
      <c r="AH39" s="129">
        <f ca="1">INDEX(图鉴!AT:AT,MATCH($N39,图鉴!$S:$S,0))*8</f>
        <v>4840</v>
      </c>
      <c r="AI39" s="128">
        <f>SUM($AE$7:AE39)</f>
        <v>3792</v>
      </c>
      <c r="AJ39" s="90">
        <f>SUM(AF$7:AF39)</f>
        <v>1496</v>
      </c>
      <c r="AK39" s="90">
        <f>SUM(AG$7:AG39)</f>
        <v>288</v>
      </c>
      <c r="AL39" s="130">
        <f ca="1">SUM(AH$7:AH39)</f>
        <v>118936</v>
      </c>
      <c r="AM39" s="133">
        <f>IF(M39=0,0,INDEX(关卡产出!$AU$11:$AU$15,MATCH(玩家节奏1!N39,关卡产出!$AW$11:$AW$15,1))*M39)</f>
        <v>5800</v>
      </c>
      <c r="AN39" s="126">
        <f>IF(L39=0,0,$L39*关卡产出!AU$21)</f>
        <v>1000</v>
      </c>
      <c r="AO39" s="90">
        <f>IF(M39=0,0,$L39*关卡产出!AV$21)</f>
        <v>50</v>
      </c>
      <c r="AP39" s="129">
        <f>IF(N39=0,0,$L39*关卡产出!AW$21)</f>
        <v>1</v>
      </c>
      <c r="AQ39" s="138">
        <f>SUM(AN$7:AN39)</f>
        <v>16000</v>
      </c>
      <c r="AR39" s="126">
        <f>SUM(AO$7:AO39)</f>
        <v>800</v>
      </c>
      <c r="AS39" s="129">
        <f>SUM(AP$7:AP39)</f>
        <v>16</v>
      </c>
      <c r="AT39" s="128">
        <v>500</v>
      </c>
      <c r="AU39" s="129">
        <v>100</v>
      </c>
      <c r="AV39" s="128">
        <f>SUM(AT$7:AT39)</f>
        <v>16500</v>
      </c>
      <c r="AW39" s="90">
        <f>SUM(AU$7:AU39)</f>
        <v>3300</v>
      </c>
      <c r="AY39" s="128">
        <f t="shared" si="13"/>
        <v>5100</v>
      </c>
      <c r="AZ39" s="90">
        <f t="shared" si="14"/>
        <v>800</v>
      </c>
      <c r="BA39" s="90">
        <f t="shared" si="15"/>
        <v>3300</v>
      </c>
      <c r="BB39" s="90">
        <f t="shared" ca="1" si="65"/>
        <v>650</v>
      </c>
      <c r="BC39" s="90">
        <f t="shared" ca="1" si="68"/>
        <v>9850</v>
      </c>
      <c r="BD39" s="90"/>
      <c r="BE39" s="90">
        <f t="shared" ca="1" si="17"/>
        <v>9850</v>
      </c>
      <c r="BF39" s="142">
        <f t="shared" ca="1" si="18"/>
        <v>0.51776649746192893</v>
      </c>
      <c r="BG39" s="142">
        <f t="shared" ca="1" si="19"/>
        <v>8.1218274111675121E-2</v>
      </c>
      <c r="BH39" s="142">
        <f t="shared" ca="1" si="20"/>
        <v>0.3350253807106599</v>
      </c>
      <c r="BI39" s="142">
        <f t="shared" ca="1" si="21"/>
        <v>6.5989847715736044E-2</v>
      </c>
      <c r="BJ39" s="143"/>
      <c r="BK39" s="128">
        <f ca="1">INDEX(商城宝箱!$L:$L,MATCH(BC39,商城宝箱!$N:$N,1))</f>
        <v>4</v>
      </c>
      <c r="BL39" s="90">
        <f ca="1">_xlfn.IFNA(INDEX(商城宝箱!T:T,MATCH(玩家节奏1!$BK39,商城宝箱!$L:$L,0)),0)+($BC39-INDEX(商城宝箱!$N:$N,MATCH(玩家节奏1!$BK39,商城宝箱!$L:$L,0)))/$BK$5*INDEX(商城宝箱!E$23:E$42,MATCH(玩家节奏1!$BK39+1,商城宝箱!$C$23:$C$42,0))</f>
        <v>24625</v>
      </c>
      <c r="BM39" s="90">
        <f ca="1">_xlfn.IFNA(INDEX(商城宝箱!U:U,MATCH(玩家节奏1!$BK39,商城宝箱!$L:$L,0)),0)+($BC39-INDEX(商城宝箱!$N:$N,MATCH(玩家节奏1!$BK39,商城宝箱!$L:$L,0)))/$BK$5*INDEX(商城宝箱!F$23:F$42,MATCH(玩家节奏1!$BK39+1,商城宝箱!$C$23:$C$42,0))</f>
        <v>5250</v>
      </c>
      <c r="BN39" s="90">
        <f ca="1">_xlfn.IFNA(INDEX(商城宝箱!V:V,MATCH(玩家节奏1!$BK39,商城宝箱!$L:$L,0)),0)+($BC39-INDEX(商城宝箱!$N:$N,MATCH(玩家节奏1!$BK39,商城宝箱!$L:$L,0)))/$BK$5*INDEX(商城宝箱!G$23:G$42,MATCH(玩家节奏1!$BK39+1,商城宝箱!$C$23:$C$42,0))</f>
        <v>2205.75</v>
      </c>
      <c r="BO39" s="90">
        <f ca="1">_xlfn.IFNA(INDEX(商城宝箱!W:W,MATCH(玩家节奏1!$BK39,商城宝箱!$L:$L,0)),0)+($BC39-INDEX(商城宝箱!$N:$N,MATCH(玩家节奏1!$BK39,商城宝箱!$L:$L,0)))/$BK$5*INDEX(商城宝箱!H$23:H$42,MATCH(玩家节奏1!$BK39+1,商城宝箱!$C$23:$C$42,0))</f>
        <v>315.25</v>
      </c>
      <c r="BQ39" s="128">
        <f t="shared" ref="BQ39:BQ70" si="71">R39</f>
        <v>270700</v>
      </c>
      <c r="BR39" s="90">
        <f t="shared" ref="BR39:BR70" si="72">AD39</f>
        <v>46210</v>
      </c>
      <c r="BS39" s="90">
        <f t="shared" ref="BS39:BS70" ca="1" si="73">AL39</f>
        <v>118936</v>
      </c>
      <c r="BT39" s="90">
        <f t="shared" ref="BT39:BT70" si="74">AM39</f>
        <v>5800</v>
      </c>
      <c r="BU39" s="90">
        <f t="shared" ref="BU39:BU70" si="75">AQ39</f>
        <v>16000</v>
      </c>
      <c r="BV39" s="90">
        <f t="shared" ref="BV39:BV70" si="76">AV39</f>
        <v>16500</v>
      </c>
      <c r="BW39" s="90">
        <f t="shared" ca="1" si="22"/>
        <v>24625</v>
      </c>
      <c r="BX39" s="90">
        <f t="shared" ca="1" si="23"/>
        <v>498771</v>
      </c>
      <c r="BY39" s="142">
        <f t="shared" ca="1" si="24"/>
        <v>0.54273404027098604</v>
      </c>
      <c r="BZ39" s="142">
        <f t="shared" ca="1" si="25"/>
        <v>9.2647728115708414E-2</v>
      </c>
      <c r="CA39" s="142">
        <f t="shared" ca="1" si="26"/>
        <v>0.23845813008374583</v>
      </c>
      <c r="CB39" s="142">
        <f t="shared" ca="1" si="27"/>
        <v>1.1628583057154486E-2</v>
      </c>
      <c r="CC39" s="142">
        <f t="shared" ca="1" si="28"/>
        <v>3.2078849812839962E-2</v>
      </c>
      <c r="CD39" s="142">
        <f t="shared" ca="1" si="29"/>
        <v>3.3081313869491209E-2</v>
      </c>
      <c r="CE39" s="142">
        <f t="shared" ca="1" si="30"/>
        <v>4.9371354790073999E-2</v>
      </c>
      <c r="CG39" s="128">
        <f t="shared" si="31"/>
        <v>33</v>
      </c>
      <c r="CH39" s="90">
        <f ca="1">INDEX(角色升级!$A:$A,MATCH(玩家节奏1!$BX39,角色升级!$J:$J,1))</f>
        <v>218</v>
      </c>
      <c r="CI39" s="90">
        <f ca="1">INDEX(角色升级!$O:$O,MATCH(玩家节奏1!$BX39,角色升级!$J:$J,1))</f>
        <v>3826.3465299999998</v>
      </c>
      <c r="CJ39" s="90">
        <f>INDEX(关卡对比!$J:$J,MATCH(玩家节奏1!N39,关卡对比!$A:$A,0))</f>
        <v>4900</v>
      </c>
      <c r="CK39" s="147">
        <f t="shared" ca="1" si="32"/>
        <v>1.2805949386920792</v>
      </c>
      <c r="CL39" s="128">
        <f ca="1">INDEX(角色升级!$P:$P,MATCH(玩家节奏1!$CH39,角色升级!$A:$A,0))</f>
        <v>650</v>
      </c>
      <c r="CM39" s="90">
        <f ca="1">INDEX(角色升级!Q:Q,MATCH(玩家节奏1!$CH39,角色升级!$A:$A,0))</f>
        <v>0.1</v>
      </c>
      <c r="CO39" s="128">
        <f t="shared" si="33"/>
        <v>2046</v>
      </c>
      <c r="CP39" s="90">
        <f t="shared" si="34"/>
        <v>2636</v>
      </c>
      <c r="CQ39" s="90">
        <f t="shared" si="35"/>
        <v>3792</v>
      </c>
      <c r="CR39" s="90">
        <f t="shared" ca="1" si="36"/>
        <v>5250</v>
      </c>
      <c r="CS39" s="90">
        <f t="shared" ca="1" si="37"/>
        <v>13724</v>
      </c>
      <c r="CT39" s="142">
        <f t="shared" ca="1" si="38"/>
        <v>0.14908190032060623</v>
      </c>
      <c r="CU39" s="142">
        <f t="shared" ca="1" si="39"/>
        <v>0.19207228213348879</v>
      </c>
      <c r="CV39" s="142">
        <f t="shared" ca="1" si="40"/>
        <v>0.27630428446517052</v>
      </c>
      <c r="CW39" s="142">
        <f t="shared" ca="1" si="41"/>
        <v>0.38254153308073446</v>
      </c>
      <c r="CY39" s="128">
        <f t="shared" si="42"/>
        <v>1024</v>
      </c>
      <c r="CZ39" s="90">
        <f t="shared" si="43"/>
        <v>1266</v>
      </c>
      <c r="DA39" s="90">
        <f t="shared" si="44"/>
        <v>1496</v>
      </c>
      <c r="DB39" s="90">
        <f t="shared" ca="1" si="66"/>
        <v>2205.75</v>
      </c>
      <c r="DC39" s="90">
        <f t="shared" ca="1" si="45"/>
        <v>5991.75</v>
      </c>
      <c r="DD39" s="142">
        <f t="shared" ca="1" si="46"/>
        <v>0.17090165644427754</v>
      </c>
      <c r="DE39" s="142">
        <f t="shared" ca="1" si="47"/>
        <v>0.21129052447114782</v>
      </c>
      <c r="DF39" s="142">
        <f t="shared" ca="1" si="48"/>
        <v>0.24967663871156173</v>
      </c>
      <c r="DG39" s="142">
        <f t="shared" ca="1" si="49"/>
        <v>0.3681311803730129</v>
      </c>
      <c r="DI39" s="128">
        <f t="shared" si="50"/>
        <v>409</v>
      </c>
      <c r="DJ39" s="90">
        <f t="shared" si="51"/>
        <v>502</v>
      </c>
      <c r="DK39" s="90">
        <f t="shared" si="52"/>
        <v>288</v>
      </c>
      <c r="DL39" s="90">
        <f t="shared" ca="1" si="53"/>
        <v>315.25</v>
      </c>
      <c r="DM39" s="90">
        <f t="shared" ca="1" si="54"/>
        <v>1514.25</v>
      </c>
      <c r="DN39" s="142">
        <f t="shared" ca="1" si="55"/>
        <v>0.27010070992240381</v>
      </c>
      <c r="DO39" s="142">
        <f t="shared" ca="1" si="56"/>
        <v>0.3315172527653954</v>
      </c>
      <c r="DP39" s="142">
        <f t="shared" ca="1" si="57"/>
        <v>0.19019316493313521</v>
      </c>
      <c r="DQ39" s="142">
        <f t="shared" ca="1" si="58"/>
        <v>0.20818887237906555</v>
      </c>
      <c r="DS39" s="128">
        <f t="shared" ca="1" si="59"/>
        <v>13724</v>
      </c>
      <c r="DT39" s="90">
        <f ca="1">DC39</f>
        <v>5991.75</v>
      </c>
      <c r="DU39" s="90">
        <f t="shared" ca="1" si="61"/>
        <v>1514.25</v>
      </c>
      <c r="DV39" s="90">
        <f t="shared" si="62"/>
        <v>16</v>
      </c>
      <c r="DW39" s="90">
        <f ca="1">_xlfn.IFNA(INDEX(武器升级消耗!$H:$H,MATCH(玩家节奏1!DS39/玩家节奏1!DS$5,武器升级消耗!M:M,1)),0)</f>
        <v>12</v>
      </c>
      <c r="DX39" s="90">
        <f ca="1">_xlfn.IFNA(INDEX(武器升级消耗!$H:$H,MATCH(玩家节奏1!DT39/玩家节奏1!DT$5,武器升级消耗!N:N,1)),0)</f>
        <v>10</v>
      </c>
      <c r="DY39" s="90">
        <f ca="1">_xlfn.IFNA(INDEX(武器升级消耗!$H:$H,MATCH(玩家节奏1!DU39/玩家节奏1!DU$5,武器升级消耗!O:O,1)),0)</f>
        <v>6</v>
      </c>
      <c r="DZ39" s="90">
        <f>_xlfn.IFNA(INDEX(武器升级消耗!$H:$H,MATCH(玩家节奏1!DV39/玩家节奏1!DV$5,武器升级消耗!P:P,1)),0)</f>
        <v>4</v>
      </c>
      <c r="EA39" s="90">
        <f ca="1">_xlfn.IFNA(INDEX(武器升级消耗!$Q:$Q,MATCH(玩家节奏1!DW39,武器升级消耗!$H:$H,0))*2*EA$4,0)</f>
        <v>1.92</v>
      </c>
      <c r="EB39" s="90">
        <f ca="1">_xlfn.IFNA(INDEX(武器升级消耗!$Q:$Q,MATCH(玩家节奏1!DX39,武器升级消耗!$H:$H,0))*2*EB$4,0)</f>
        <v>2.0999999999999996</v>
      </c>
      <c r="EC39" s="90">
        <f ca="1">_xlfn.IFNA(INDEX(武器升级消耗!$Q:$Q,MATCH(玩家节奏1!DY39,武器升级消耗!$H:$H,0))*2*EC$4,1)</f>
        <v>2.2000000000000002</v>
      </c>
      <c r="ED39" s="90">
        <f>_xlfn.IFNA(INDEX(武器升级消耗!$Q:$Q,MATCH(玩家节奏1!DZ39,武器升级消耗!$H:$H,0))*2*ED$4,0)</f>
        <v>2.4000000000000004</v>
      </c>
      <c r="EF39" s="128"/>
      <c r="EG39" s="90"/>
      <c r="EH39" s="90"/>
      <c r="EI39" s="90"/>
      <c r="EJ39" s="90"/>
      <c r="EK39" s="90"/>
      <c r="EL39" s="90"/>
      <c r="EM39" s="90"/>
      <c r="EO39" s="128"/>
      <c r="EP39" s="90"/>
      <c r="EQ39" s="90"/>
      <c r="ER39" s="90"/>
      <c r="ES39" s="90"/>
      <c r="ET39" s="90"/>
      <c r="EU39" s="90"/>
      <c r="EV39" s="90"/>
      <c r="EW39" s="90"/>
      <c r="EX39" s="90"/>
      <c r="EY39" s="90"/>
      <c r="EZ39" s="90"/>
      <c r="FA39" s="90"/>
      <c r="FB39" s="90"/>
      <c r="FD39" s="90">
        <f t="shared" ca="1" si="63"/>
        <v>2.2000000000000002</v>
      </c>
      <c r="FE39" s="90"/>
      <c r="FF39" s="90"/>
      <c r="FG39" s="90">
        <f t="shared" ca="1" si="64"/>
        <v>0</v>
      </c>
    </row>
    <row r="40" spans="1:163" x14ac:dyDescent="0.25">
      <c r="A40" s="123">
        <v>34</v>
      </c>
      <c r="B40" s="123">
        <f>INDEX(关卡对比!$Y:$Y,MATCH(关卡对比!Z40,关卡对比!$AA:$AA,1))</f>
        <v>23</v>
      </c>
      <c r="C40" s="124">
        <f>INDEX(关卡对比!$Y:$Y,MATCH(关卡对比!Z40,关卡对比!$AB:$AB,1))</f>
        <v>19</v>
      </c>
      <c r="D40" s="125">
        <f t="shared" si="70"/>
        <v>197.5</v>
      </c>
      <c r="E40" s="125">
        <v>3</v>
      </c>
      <c r="F40" s="128">
        <v>5</v>
      </c>
      <c r="G40" s="90">
        <v>1</v>
      </c>
      <c r="H40" s="90">
        <v>1</v>
      </c>
      <c r="J40" s="128">
        <v>34</v>
      </c>
      <c r="K40" s="90">
        <f t="shared" ref="K40:K71" si="77">INDEX($F:$F,MATCH(N39,$A:$A,0))</f>
        <v>5</v>
      </c>
      <c r="L40" s="90">
        <f t="shared" ref="L40:L71" si="78">INDEX($G:$G,MATCH(N39,$A:$A,0))</f>
        <v>1</v>
      </c>
      <c r="M40" s="90">
        <f t="shared" ref="M40:M71" si="79">INDEX($H:$H,MATCH(N39,$A:$A,0))</f>
        <v>1</v>
      </c>
      <c r="N40" s="140">
        <f>INDEX($A:$A,MATCH(SUM($K$7:K40),$D:$D,1))</f>
        <v>33</v>
      </c>
      <c r="O40" s="140">
        <v>0</v>
      </c>
      <c r="P40" s="141">
        <v>0</v>
      </c>
      <c r="Q40" s="126">
        <f>_xlfn.MAXIFS(关卡产出!X:X,关卡产出!$A:$A,玩家节奏1!$N$6,关卡产出!$B:$B,玩家节奏1!$N40)+_xlfn.MAXIFS(关卡产出!X:X,关卡产出!$A:$A,玩家节奏1!$O$6,关卡产出!$B:$B,玩家节奏1!$O40)+_xlfn.MAXIFS(关卡产出!X:X,关卡产出!$A:$A,玩家节奏1!$P$6,关卡产出!$B:$B,玩家节奏1!$P40)</f>
        <v>5100</v>
      </c>
      <c r="R40" s="90">
        <f>_xlfn.MAXIFS(关卡产出!Y:Y,关卡产出!$A:$A,玩家节奏1!$N$6,关卡产出!$B:$B,玩家节奏1!$N40)+_xlfn.MAXIFS(关卡产出!Y:Y,关卡产出!$A:$A,玩家节奏1!$O$6,关卡产出!$B:$B,玩家节奏1!$O40)+_xlfn.MAXIFS(关卡产出!Y:Y,关卡产出!$A:$A,玩家节奏1!$P$6,关卡产出!$B:$B,玩家节奏1!$P40)</f>
        <v>270700</v>
      </c>
      <c r="S40" s="90">
        <f>_xlfn.MAXIFS(关卡产出!Z:Z,关卡产出!$A:$A,玩家节奏1!$N$6,关卡产出!$B:$B,玩家节奏1!$N40)+_xlfn.MAXIFS(关卡产出!Z:Z,关卡产出!$A:$A,玩家节奏1!$O$6,关卡产出!$B:$B,玩家节奏1!$O40)+_xlfn.MAXIFS(关卡产出!Z:Z,关卡产出!$A:$A,玩家节奏1!$P$6,关卡产出!$B:$B,玩家节奏1!$P40)</f>
        <v>2046</v>
      </c>
      <c r="T40" s="90">
        <f>_xlfn.MAXIFS(关卡产出!AA:AA,关卡产出!$A:$A,玩家节奏1!$N$6,关卡产出!$B:$B,玩家节奏1!$N40)+_xlfn.MAXIFS(关卡产出!AA:AA,关卡产出!$A:$A,玩家节奏1!$O$6,关卡产出!$B:$B,玩家节奏1!$O40)+_xlfn.MAXIFS(关卡产出!AA:AA,关卡产出!$A:$A,玩家节奏1!$P$6,关卡产出!$B:$B,玩家节奏1!$P40)</f>
        <v>1024</v>
      </c>
      <c r="U40" s="90">
        <f>_xlfn.MAXIFS(关卡产出!AB:AB,关卡产出!$A:$A,玩家节奏1!$N$6,关卡产出!$B:$B,玩家节奏1!$N40)+_xlfn.MAXIFS(关卡产出!AB:AB,关卡产出!$A:$A,玩家节奏1!$O$6,关卡产出!$B:$B,玩家节奏1!$O40)+_xlfn.MAXIFS(关卡产出!AB:AB,关卡产出!$A:$A,玩家节奏1!$P$6,关卡产出!$B:$B,玩家节奏1!$P40)</f>
        <v>409</v>
      </c>
      <c r="V40" s="130">
        <f>_xlfn.MAXIFS(关卡产出!AC:AC,关卡产出!$A:$A,玩家节奏1!$N$6,关卡产出!$B:$B,玩家节奏1!$N40)+_xlfn.MAXIFS(关卡产出!AC:AC,关卡产出!$A:$A,玩家节奏1!$O$6,关卡产出!$B:$B,玩家节奏1!$O40)+_xlfn.MAXIFS(关卡产出!AC:AC,关卡产出!$A:$A,玩家节奏1!$P$6,关卡产出!$B:$B,玩家节奏1!$P40)</f>
        <v>198</v>
      </c>
      <c r="W40" s="126">
        <f>INDEX(关卡产出!C$8:C$207,MATCH(玩家节奏1!$N40,关卡产出!$B$8:$B$207,0))*$K40</f>
        <v>125</v>
      </c>
      <c r="X40" s="126">
        <f>INDEX(关卡产出!D$8:D$207,MATCH(玩家节奏1!$N40,关卡产出!$B$8:$B$207,0))*$K40</f>
        <v>60</v>
      </c>
      <c r="Y40" s="126">
        <f>INDEX(关卡产出!E$8:E$207,MATCH(玩家节奏1!$N40,关卡产出!$B$8:$B$207,0))*$K40</f>
        <v>30</v>
      </c>
      <c r="Z40" s="144">
        <f>INDEX(关卡产出!F$8:F$207,MATCH(玩家节奏1!$N40,关卡产出!$B$8:$B$207,0))*$K40</f>
        <v>1950</v>
      </c>
      <c r="AA40" s="126">
        <f>SUM(W$7:W40)</f>
        <v>2761</v>
      </c>
      <c r="AB40" s="126">
        <f>SUM(X$7:X40)</f>
        <v>1326</v>
      </c>
      <c r="AC40" s="126">
        <f>SUM(Y$7:Y40)</f>
        <v>532</v>
      </c>
      <c r="AD40" s="126">
        <f>SUM(Z$7:Z40)</f>
        <v>48160</v>
      </c>
      <c r="AE40" s="126">
        <f>INDEX(图鉴!AQ:AQ,MATCH($N40,图鉴!$S:$S,0))*8</f>
        <v>136</v>
      </c>
      <c r="AF40" s="90">
        <f>INDEX(图鉴!AR:AR,MATCH($N40,图鉴!$S:$S,0))*8</f>
        <v>72</v>
      </c>
      <c r="AG40" s="90">
        <f>INDEX(图鉴!AS:AS,MATCH($N40,图鉴!$S:$S,0))*8</f>
        <v>24</v>
      </c>
      <c r="AH40" s="129">
        <f ca="1">INDEX(图鉴!AT:AT,MATCH($N40,图鉴!$S:$S,0))*8</f>
        <v>4840</v>
      </c>
      <c r="AI40" s="128">
        <f>SUM($AE$7:AE40)</f>
        <v>3928</v>
      </c>
      <c r="AJ40" s="90">
        <f>SUM(AF$7:AF40)</f>
        <v>1568</v>
      </c>
      <c r="AK40" s="90">
        <f>SUM(AG$7:AG40)</f>
        <v>312</v>
      </c>
      <c r="AL40" s="130">
        <f ca="1">SUM(AH$7:AH40)</f>
        <v>123776</v>
      </c>
      <c r="AM40" s="133">
        <f>IF(M40=0,0,INDEX(关卡产出!$AU$11:$AU$15,MATCH(玩家节奏1!N40,关卡产出!$AW$11:$AW$15,1))*M40)</f>
        <v>5800</v>
      </c>
      <c r="AN40" s="126">
        <f>IF(L40=0,0,$L40*关卡产出!AU$21)</f>
        <v>1000</v>
      </c>
      <c r="AO40" s="90">
        <f>IF(M40=0,0,$L40*关卡产出!AV$21)</f>
        <v>50</v>
      </c>
      <c r="AP40" s="129">
        <f>IF(N40=0,0,$L40*关卡产出!AW$21)</f>
        <v>1</v>
      </c>
      <c r="AQ40" s="138">
        <f>SUM(AN$7:AN40)</f>
        <v>17000</v>
      </c>
      <c r="AR40" s="126">
        <f>SUM(AO$7:AO40)</f>
        <v>850</v>
      </c>
      <c r="AS40" s="129">
        <f>SUM(AP$7:AP40)</f>
        <v>17</v>
      </c>
      <c r="AT40" s="128">
        <v>500</v>
      </c>
      <c r="AU40" s="129">
        <v>100</v>
      </c>
      <c r="AV40" s="128">
        <f>SUM(AT$7:AT40)</f>
        <v>17000</v>
      </c>
      <c r="AW40" s="90">
        <f>SUM(AU$7:AU40)</f>
        <v>3400</v>
      </c>
      <c r="AY40" s="128">
        <f t="shared" si="13"/>
        <v>5100</v>
      </c>
      <c r="AZ40" s="90">
        <f t="shared" si="14"/>
        <v>850</v>
      </c>
      <c r="BA40" s="90">
        <f t="shared" si="15"/>
        <v>3400</v>
      </c>
      <c r="BB40" s="90">
        <f t="shared" ca="1" si="65"/>
        <v>650</v>
      </c>
      <c r="BC40" s="90">
        <f t="shared" ca="1" si="68"/>
        <v>10000</v>
      </c>
      <c r="BD40" s="90"/>
      <c r="BE40" s="90">
        <f t="shared" ca="1" si="17"/>
        <v>10000</v>
      </c>
      <c r="BF40" s="142">
        <f t="shared" ca="1" si="18"/>
        <v>0.51</v>
      </c>
      <c r="BG40" s="142">
        <f t="shared" ca="1" si="19"/>
        <v>8.5000000000000006E-2</v>
      </c>
      <c r="BH40" s="142">
        <f t="shared" ref="BH40:BH71" ca="1" si="80">BA40/$BC40</f>
        <v>0.34</v>
      </c>
      <c r="BI40" s="142">
        <f t="shared" ref="BI40:BI71" ca="1" si="81">BB40/$BC40</f>
        <v>6.5000000000000002E-2</v>
      </c>
      <c r="BJ40" s="143"/>
      <c r="BK40" s="128">
        <f ca="1">INDEX(商城宝箱!$L:$L,MATCH(BC40,商城宝箱!$N:$N,1))</f>
        <v>4</v>
      </c>
      <c r="BL40" s="90">
        <f ca="1">_xlfn.IFNA(INDEX(商城宝箱!T:T,MATCH(玩家节奏1!$BK40,商城宝箱!$L:$L,0)),0)+($BC40-INDEX(商城宝箱!$N:$N,MATCH(玩家节奏1!$BK40,商城宝箱!$L:$L,0)))/$BK$5*INDEX(商城宝箱!E$23:E$42,MATCH(玩家节奏1!$BK40+1,商城宝箱!$C$23:$C$42,0))</f>
        <v>25000</v>
      </c>
      <c r="BM40" s="90">
        <f ca="1">_xlfn.IFNA(INDEX(商城宝箱!U:U,MATCH(玩家节奏1!$BK40,商城宝箱!$L:$L,0)),0)+($BC40-INDEX(商城宝箱!$N:$N,MATCH(玩家节奏1!$BK40,商城宝箱!$L:$L,0)))/$BK$5*INDEX(商城宝箱!F$23:F$42,MATCH(玩家节奏1!$BK40+1,商城宝箱!$C$23:$C$42,0))</f>
        <v>5362.5</v>
      </c>
      <c r="BN40" s="90">
        <f ca="1">_xlfn.IFNA(INDEX(商城宝箱!V:V,MATCH(玩家节奏1!$BK40,商城宝箱!$L:$L,0)),0)+($BC40-INDEX(商城宝箱!$N:$N,MATCH(玩家节奏1!$BK40,商城宝箱!$L:$L,0)))/$BK$5*INDEX(商城宝箱!G$23:G$42,MATCH(玩家节奏1!$BK40+1,商城宝箱!$C$23:$C$42,0))</f>
        <v>2262</v>
      </c>
      <c r="BO40" s="90">
        <f ca="1">_xlfn.IFNA(INDEX(商城宝箱!W:W,MATCH(玩家节奏1!$BK40,商城宝箱!$L:$L,0)),0)+($BC40-INDEX(商城宝箱!$N:$N,MATCH(玩家节奏1!$BK40,商城宝箱!$L:$L,0)))/$BK$5*INDEX(商城宝箱!H$23:H$42,MATCH(玩家节奏1!$BK40+1,商城宝箱!$C$23:$C$42,0))</f>
        <v>323.5</v>
      </c>
      <c r="BQ40" s="128">
        <f t="shared" si="71"/>
        <v>270700</v>
      </c>
      <c r="BR40" s="90">
        <f t="shared" si="72"/>
        <v>48160</v>
      </c>
      <c r="BS40" s="90">
        <f t="shared" ca="1" si="73"/>
        <v>123776</v>
      </c>
      <c r="BT40" s="90">
        <f t="shared" si="74"/>
        <v>5800</v>
      </c>
      <c r="BU40" s="90">
        <f t="shared" si="75"/>
        <v>17000</v>
      </c>
      <c r="BV40" s="90">
        <f t="shared" si="76"/>
        <v>17000</v>
      </c>
      <c r="BW40" s="90">
        <f t="shared" ca="1" si="22"/>
        <v>25000</v>
      </c>
      <c r="BX40" s="90">
        <f t="shared" ca="1" si="23"/>
        <v>507436</v>
      </c>
      <c r="BY40" s="142">
        <f t="shared" ca="1" si="24"/>
        <v>0.53346628934486318</v>
      </c>
      <c r="BZ40" s="142">
        <f t="shared" ca="1" si="25"/>
        <v>9.4908520483371298E-2</v>
      </c>
      <c r="CA40" s="142">
        <f t="shared" ca="1" si="26"/>
        <v>0.24392435696324266</v>
      </c>
      <c r="CB40" s="142">
        <f t="shared" ca="1" si="27"/>
        <v>1.1430012848910995E-2</v>
      </c>
      <c r="CC40" s="142">
        <f t="shared" ca="1" si="28"/>
        <v>3.3501761798532231E-2</v>
      </c>
      <c r="CD40" s="142">
        <f t="shared" ca="1" si="29"/>
        <v>3.3501761798532231E-2</v>
      </c>
      <c r="CE40" s="142">
        <f t="shared" ca="1" si="30"/>
        <v>4.9267296762547395E-2</v>
      </c>
      <c r="CG40" s="128">
        <f t="shared" si="31"/>
        <v>33</v>
      </c>
      <c r="CH40" s="90">
        <f ca="1">INDEX(角色升级!$A:$A,MATCH(玩家节奏1!$BX40,角色升级!$J:$J,1))</f>
        <v>219</v>
      </c>
      <c r="CI40" s="90">
        <f ca="1">INDEX(角色升级!$O:$O,MATCH(玩家节奏1!$BX40,角色升级!$J:$J,1))</f>
        <v>3914.8169699999999</v>
      </c>
      <c r="CJ40" s="90">
        <f>INDEX(关卡对比!$J:$J,MATCH(玩家节奏1!N40,关卡对比!$A:$A,0))</f>
        <v>4900</v>
      </c>
      <c r="CK40" s="147">
        <f t="shared" ca="1" si="32"/>
        <v>1.2516549400775689</v>
      </c>
      <c r="CL40" s="128">
        <f ca="1">INDEX(角色升级!$P:$P,MATCH(玩家节奏1!$CH40,角色升级!$A:$A,0))</f>
        <v>650</v>
      </c>
      <c r="CM40" s="90">
        <f ca="1">INDEX(角色升级!Q:Q,MATCH(玩家节奏1!$CH40,角色升级!$A:$A,0))</f>
        <v>0.1</v>
      </c>
      <c r="CO40" s="128">
        <f t="shared" si="33"/>
        <v>2046</v>
      </c>
      <c r="CP40" s="90">
        <f t="shared" si="34"/>
        <v>2761</v>
      </c>
      <c r="CQ40" s="90">
        <f t="shared" si="35"/>
        <v>3928</v>
      </c>
      <c r="CR40" s="90">
        <f t="shared" ca="1" si="36"/>
        <v>5362.5</v>
      </c>
      <c r="CS40" s="90">
        <f t="shared" ca="1" si="37"/>
        <v>14097.5</v>
      </c>
      <c r="CT40" s="142">
        <f t="shared" ca="1" si="38"/>
        <v>0.14513211562333747</v>
      </c>
      <c r="CU40" s="142">
        <f t="shared" ca="1" si="39"/>
        <v>0.19585032807235325</v>
      </c>
      <c r="CV40" s="142">
        <f t="shared" ca="1" si="40"/>
        <v>0.27863096293669093</v>
      </c>
      <c r="CW40" s="142">
        <f t="shared" ca="1" si="41"/>
        <v>0.38038659336761838</v>
      </c>
      <c r="CY40" s="128">
        <f t="shared" si="42"/>
        <v>1024</v>
      </c>
      <c r="CZ40" s="90">
        <f t="shared" si="43"/>
        <v>1326</v>
      </c>
      <c r="DA40" s="90">
        <f t="shared" si="44"/>
        <v>1568</v>
      </c>
      <c r="DB40" s="90">
        <f t="shared" ca="1" si="66"/>
        <v>2262</v>
      </c>
      <c r="DC40" s="90">
        <f t="shared" ca="1" si="45"/>
        <v>6180</v>
      </c>
      <c r="DD40" s="142">
        <f t="shared" ca="1" si="46"/>
        <v>0.1656957928802589</v>
      </c>
      <c r="DE40" s="142">
        <f t="shared" ca="1" si="47"/>
        <v>0.21456310679611651</v>
      </c>
      <c r="DF40" s="142">
        <f t="shared" ca="1" si="48"/>
        <v>0.25372168284789642</v>
      </c>
      <c r="DG40" s="142">
        <f t="shared" ca="1" si="49"/>
        <v>0.36601941747572814</v>
      </c>
      <c r="DI40" s="128">
        <f t="shared" si="50"/>
        <v>409</v>
      </c>
      <c r="DJ40" s="90">
        <f t="shared" si="51"/>
        <v>532</v>
      </c>
      <c r="DK40" s="90">
        <f t="shared" si="52"/>
        <v>312</v>
      </c>
      <c r="DL40" s="90">
        <f t="shared" ca="1" si="53"/>
        <v>323.5</v>
      </c>
      <c r="DM40" s="90">
        <f t="shared" ca="1" si="54"/>
        <v>1576.5</v>
      </c>
      <c r="DN40" s="142">
        <f t="shared" ca="1" si="55"/>
        <v>0.25943545829368853</v>
      </c>
      <c r="DO40" s="142">
        <f t="shared" ca="1" si="56"/>
        <v>0.33745639073897876</v>
      </c>
      <c r="DP40" s="142">
        <f t="shared" ca="1" si="57"/>
        <v>0.19790675547098002</v>
      </c>
      <c r="DQ40" s="142">
        <f t="shared" ca="1" si="58"/>
        <v>0.20520139549635269</v>
      </c>
      <c r="DS40" s="128">
        <f t="shared" ca="1" si="59"/>
        <v>14097.5</v>
      </c>
      <c r="DT40" s="90">
        <f t="shared" ca="1" si="60"/>
        <v>6180</v>
      </c>
      <c r="DU40" s="90">
        <f t="shared" ca="1" si="61"/>
        <v>1576.5</v>
      </c>
      <c r="DV40" s="90">
        <f t="shared" si="62"/>
        <v>17</v>
      </c>
      <c r="DW40" s="90">
        <f ca="1">_xlfn.IFNA(INDEX(武器升级消耗!$H:$H,MATCH(玩家节奏1!DS40/玩家节奏1!DS$5,武器升级消耗!M:M,1)),0)</f>
        <v>13</v>
      </c>
      <c r="DX40" s="90">
        <f ca="1">_xlfn.IFNA(INDEX(武器升级消耗!$H:$H,MATCH(玩家节奏1!DT40/玩家节奏1!DT$5,武器升级消耗!N:N,1)),0)</f>
        <v>10</v>
      </c>
      <c r="DY40" s="90">
        <f ca="1">_xlfn.IFNA(INDEX(武器升级消耗!$H:$H,MATCH(玩家节奏1!DU40/玩家节奏1!DU$5,武器升级消耗!O:O,1)),0)</f>
        <v>6</v>
      </c>
      <c r="DZ40" s="90">
        <f>_xlfn.IFNA(INDEX(武器升级消耗!$H:$H,MATCH(玩家节奏1!DV40/玩家节奏1!DV$5,武器升级消耗!P:P,1)),0)</f>
        <v>4</v>
      </c>
      <c r="EA40" s="90">
        <f ca="1">_xlfn.IFNA(INDEX(武器升级消耗!$Q:$Q,MATCH(玩家节奏1!DW40,武器升级消耗!$H:$H,0))*2*EA$4,0)</f>
        <v>2.04</v>
      </c>
      <c r="EB40" s="90">
        <f ca="1">_xlfn.IFNA(INDEX(武器升级消耗!$Q:$Q,MATCH(玩家节奏1!DX40,武器升级消耗!$H:$H,0))*2*EB$4,0)</f>
        <v>2.0999999999999996</v>
      </c>
      <c r="EC40" s="90">
        <f ca="1">_xlfn.IFNA(INDEX(武器升级消耗!$Q:$Q,MATCH(玩家节奏1!DY40,武器升级消耗!$H:$H,0))*2*EC$4,1)</f>
        <v>2.2000000000000002</v>
      </c>
      <c r="ED40" s="90">
        <f>_xlfn.IFNA(INDEX(武器升级消耗!$Q:$Q,MATCH(玩家节奏1!DZ40,武器升级消耗!$H:$H,0))*2*ED$4,0)</f>
        <v>2.4000000000000004</v>
      </c>
      <c r="EF40" s="128"/>
      <c r="EG40" s="90"/>
      <c r="EH40" s="90"/>
      <c r="EI40" s="90"/>
      <c r="EJ40" s="90"/>
      <c r="EK40" s="90"/>
      <c r="EL40" s="90"/>
      <c r="EM40" s="90"/>
      <c r="EO40" s="128"/>
      <c r="EP40" s="90"/>
      <c r="EQ40" s="90"/>
      <c r="ER40" s="90"/>
      <c r="ES40" s="90"/>
      <c r="ET40" s="90"/>
      <c r="EU40" s="90"/>
      <c r="EV40" s="90"/>
      <c r="EW40" s="90"/>
      <c r="EX40" s="90"/>
      <c r="EY40" s="90"/>
      <c r="EZ40" s="90"/>
      <c r="FA40" s="90"/>
      <c r="FB40" s="90"/>
      <c r="FD40" s="90">
        <f t="shared" ca="1" si="63"/>
        <v>2.2000000000000002</v>
      </c>
      <c r="FE40" s="90"/>
      <c r="FF40" s="90"/>
      <c r="FG40" s="90">
        <f t="shared" ca="1" si="64"/>
        <v>0</v>
      </c>
    </row>
    <row r="41" spans="1:163" x14ac:dyDescent="0.25">
      <c r="A41" s="123">
        <v>35</v>
      </c>
      <c r="B41" s="123">
        <f>INDEX(关卡对比!$Y:$Y,MATCH(关卡对比!Z41,关卡对比!$AA:$AA,1))</f>
        <v>24</v>
      </c>
      <c r="C41" s="124">
        <f>INDEX(关卡对比!$Y:$Y,MATCH(关卡对比!Z41,关卡对比!$AB:$AB,1))</f>
        <v>19</v>
      </c>
      <c r="D41" s="125">
        <f t="shared" si="70"/>
        <v>203.5</v>
      </c>
      <c r="E41" s="125">
        <v>3</v>
      </c>
      <c r="F41" s="128">
        <v>5</v>
      </c>
      <c r="G41" s="90">
        <v>1</v>
      </c>
      <c r="H41" s="90">
        <v>1</v>
      </c>
      <c r="J41" s="128">
        <v>35</v>
      </c>
      <c r="K41" s="90">
        <f t="shared" si="77"/>
        <v>5</v>
      </c>
      <c r="L41" s="90">
        <f t="shared" si="78"/>
        <v>1</v>
      </c>
      <c r="M41" s="90">
        <f t="shared" si="79"/>
        <v>1</v>
      </c>
      <c r="N41" s="140">
        <f>INDEX($A:$A,MATCH(SUM($K$7:K41),$D:$D,1))</f>
        <v>34</v>
      </c>
      <c r="O41" s="140">
        <v>0</v>
      </c>
      <c r="P41" s="141">
        <v>0</v>
      </c>
      <c r="Q41" s="126">
        <f>_xlfn.MAXIFS(关卡产出!X:X,关卡产出!$A:$A,玩家节奏1!$N$6,关卡产出!$B:$B,玩家节奏1!$N41)+_xlfn.MAXIFS(关卡产出!X:X,关卡产出!$A:$A,玩家节奏1!$O$6,关卡产出!$B:$B,玩家节奏1!$O41)+_xlfn.MAXIFS(关卡产出!X:X,关卡产出!$A:$A,玩家节奏1!$P$6,关卡产出!$B:$B,玩家节奏1!$P41)</f>
        <v>5300</v>
      </c>
      <c r="R41" s="90">
        <f>_xlfn.MAXIFS(关卡产出!Y:Y,关卡产出!$A:$A,玩家节奏1!$N$6,关卡产出!$B:$B,玩家节奏1!$N41)+_xlfn.MAXIFS(关卡产出!Y:Y,关卡产出!$A:$A,玩家节奏1!$O$6,关卡产出!$B:$B,玩家节奏1!$O41)+_xlfn.MAXIFS(关卡产出!Y:Y,关卡产出!$A:$A,玩家节奏1!$P$6,关卡产出!$B:$B,玩家节奏1!$P41)</f>
        <v>288800</v>
      </c>
      <c r="S41" s="90">
        <f>_xlfn.MAXIFS(关卡产出!Z:Z,关卡产出!$A:$A,玩家节奏1!$N$6,关卡产出!$B:$B,玩家节奏1!$N41)+_xlfn.MAXIFS(关卡产出!Z:Z,关卡产出!$A:$A,玩家节奏1!$O$6,关卡产出!$B:$B,玩家节奏1!$O41)+_xlfn.MAXIFS(关卡产出!Z:Z,关卡产出!$A:$A,玩家节奏1!$P$6,关卡产出!$B:$B,玩家节奏1!$P41)</f>
        <v>2174</v>
      </c>
      <c r="T41" s="90">
        <f>_xlfn.MAXIFS(关卡产出!AA:AA,关卡产出!$A:$A,玩家节奏1!$N$6,关卡产出!$B:$B,玩家节奏1!$N41)+_xlfn.MAXIFS(关卡产出!AA:AA,关卡产出!$A:$A,玩家节奏1!$O$6,关卡产出!$B:$B,玩家节奏1!$O41)+_xlfn.MAXIFS(关卡产出!AA:AA,关卡产出!$A:$A,玩家节奏1!$P$6,关卡产出!$B:$B,玩家节奏1!$P41)</f>
        <v>1088</v>
      </c>
      <c r="U41" s="90">
        <f>_xlfn.MAXIFS(关卡产出!AB:AB,关卡产出!$A:$A,玩家节奏1!$N$6,关卡产出!$B:$B,玩家节奏1!$N41)+_xlfn.MAXIFS(关卡产出!AB:AB,关卡产出!$A:$A,玩家节奏1!$O$6,关卡产出!$B:$B,玩家节奏1!$O41)+_xlfn.MAXIFS(关卡产出!AB:AB,关卡产出!$A:$A,玩家节奏1!$P$6,关卡产出!$B:$B,玩家节奏1!$P41)</f>
        <v>438</v>
      </c>
      <c r="V41" s="130">
        <f>_xlfn.MAXIFS(关卡产出!AC:AC,关卡产出!$A:$A,玩家节奏1!$N$6,关卡产出!$B:$B,玩家节奏1!$N41)+_xlfn.MAXIFS(关卡产出!AC:AC,关卡产出!$A:$A,玩家节奏1!$O$6,关卡产出!$B:$B,玩家节奏1!$O41)+_xlfn.MAXIFS(关卡产出!AC:AC,关卡产出!$A:$A,玩家节奏1!$P$6,关卡产出!$B:$B,玩家节奏1!$P41)</f>
        <v>204</v>
      </c>
      <c r="W41" s="126">
        <f>INDEX(关卡产出!C$8:C$207,MATCH(玩家节奏1!$N41,关卡产出!$B$8:$B$207,0))*$K41</f>
        <v>130</v>
      </c>
      <c r="X41" s="126">
        <f>INDEX(关卡产出!D$8:D$207,MATCH(玩家节奏1!$N41,关卡产出!$B$8:$B$207,0))*$K41</f>
        <v>65</v>
      </c>
      <c r="Y41" s="126">
        <f>INDEX(关卡产出!E$8:E$207,MATCH(玩家节奏1!$N41,关卡产出!$B$8:$B$207,0))*$K41</f>
        <v>30</v>
      </c>
      <c r="Z41" s="144">
        <f>INDEX(关卡产出!F$8:F$207,MATCH(玩家节奏1!$N41,关卡产出!$B$8:$B$207,0))*$K41</f>
        <v>1950</v>
      </c>
      <c r="AA41" s="126">
        <f>SUM(W$7:W41)</f>
        <v>2891</v>
      </c>
      <c r="AB41" s="126">
        <f>SUM(X$7:X41)</f>
        <v>1391</v>
      </c>
      <c r="AC41" s="126">
        <f>SUM(Y$7:Y41)</f>
        <v>562</v>
      </c>
      <c r="AD41" s="126">
        <f>SUM(Z$7:Z41)</f>
        <v>50110</v>
      </c>
      <c r="AE41" s="126">
        <f>INDEX(图鉴!AQ:AQ,MATCH($N41,图鉴!$S:$S,0))*8</f>
        <v>136</v>
      </c>
      <c r="AF41" s="90">
        <f>INDEX(图鉴!AR:AR,MATCH($N41,图鉴!$S:$S,0))*8</f>
        <v>72</v>
      </c>
      <c r="AG41" s="90">
        <f>INDEX(图鉴!AS:AS,MATCH($N41,图鉴!$S:$S,0))*8</f>
        <v>24</v>
      </c>
      <c r="AH41" s="129">
        <f ca="1">INDEX(图鉴!AT:AT,MATCH($N41,图鉴!$S:$S,0))*8</f>
        <v>4840</v>
      </c>
      <c r="AI41" s="128">
        <f>SUM($AE$7:AE41)</f>
        <v>4064</v>
      </c>
      <c r="AJ41" s="90">
        <f>SUM(AF$7:AF41)</f>
        <v>1640</v>
      </c>
      <c r="AK41" s="90">
        <f>SUM(AG$7:AG41)</f>
        <v>336</v>
      </c>
      <c r="AL41" s="130">
        <f ca="1">SUM(AH$7:AH41)</f>
        <v>128616</v>
      </c>
      <c r="AM41" s="133">
        <f>IF(M41=0,0,INDEX(关卡产出!$AU$11:$AU$15,MATCH(玩家节奏1!N41,关卡产出!$AW$11:$AW$15,1))*M41)</f>
        <v>5800</v>
      </c>
      <c r="AN41" s="126">
        <f>IF(L41=0,0,$L41*关卡产出!AU$21)</f>
        <v>1000</v>
      </c>
      <c r="AO41" s="90">
        <f>IF(M41=0,0,$L41*关卡产出!AV$21)</f>
        <v>50</v>
      </c>
      <c r="AP41" s="129">
        <f>IF(N41=0,0,$L41*关卡产出!AW$21)</f>
        <v>1</v>
      </c>
      <c r="AQ41" s="138">
        <f>SUM(AN$7:AN41)</f>
        <v>18000</v>
      </c>
      <c r="AR41" s="126">
        <f>SUM(AO$7:AO41)</f>
        <v>900</v>
      </c>
      <c r="AS41" s="129">
        <f>SUM(AP$7:AP41)</f>
        <v>18</v>
      </c>
      <c r="AT41" s="128">
        <v>500</v>
      </c>
      <c r="AU41" s="129">
        <v>100</v>
      </c>
      <c r="AV41" s="128">
        <f>SUM(AT$7:AT41)</f>
        <v>17500</v>
      </c>
      <c r="AW41" s="90">
        <f>SUM(AU$7:AU41)</f>
        <v>3500</v>
      </c>
      <c r="AY41" s="128">
        <f t="shared" si="13"/>
        <v>5300</v>
      </c>
      <c r="AZ41" s="90">
        <f t="shared" si="14"/>
        <v>900</v>
      </c>
      <c r="BA41" s="90">
        <f t="shared" si="15"/>
        <v>3500</v>
      </c>
      <c r="BB41" s="90">
        <f t="shared" ca="1" si="65"/>
        <v>650</v>
      </c>
      <c r="BC41" s="90">
        <f t="shared" ca="1" si="68"/>
        <v>10350</v>
      </c>
      <c r="BD41" s="90"/>
      <c r="BE41" s="90">
        <f t="shared" ca="1" si="17"/>
        <v>10350</v>
      </c>
      <c r="BF41" s="142">
        <f t="shared" ca="1" si="18"/>
        <v>0.51207729468599039</v>
      </c>
      <c r="BG41" s="142">
        <f t="shared" ca="1" si="19"/>
        <v>8.6956521739130432E-2</v>
      </c>
      <c r="BH41" s="142">
        <f t="shared" ca="1" si="80"/>
        <v>0.33816425120772947</v>
      </c>
      <c r="BI41" s="142">
        <f t="shared" ca="1" si="81"/>
        <v>6.280193236714976E-2</v>
      </c>
      <c r="BJ41" s="143"/>
      <c r="BK41" s="128">
        <f ca="1">INDEX(商城宝箱!$L:$L,MATCH(BC41,商城宝箱!$N:$N,1))</f>
        <v>4</v>
      </c>
      <c r="BL41" s="90">
        <f ca="1">_xlfn.IFNA(INDEX(商城宝箱!T:T,MATCH(玩家节奏1!$BK41,商城宝箱!$L:$L,0)),0)+($BC41-INDEX(商城宝箱!$N:$N,MATCH(玩家节奏1!$BK41,商城宝箱!$L:$L,0)))/$BK$5*INDEX(商城宝箱!E$23:E$42,MATCH(玩家节奏1!$BK41+1,商城宝箱!$C$23:$C$42,0))</f>
        <v>25875</v>
      </c>
      <c r="BM41" s="90">
        <f ca="1">_xlfn.IFNA(INDEX(商城宝箱!U:U,MATCH(玩家节奏1!$BK41,商城宝箱!$L:$L,0)),0)+($BC41-INDEX(商城宝箱!$N:$N,MATCH(玩家节奏1!$BK41,商城宝箱!$L:$L,0)))/$BK$5*INDEX(商城宝箱!F$23:F$42,MATCH(玩家节奏1!$BK41+1,商城宝箱!$C$23:$C$42,0))</f>
        <v>5625</v>
      </c>
      <c r="BN41" s="90">
        <f ca="1">_xlfn.IFNA(INDEX(商城宝箱!V:V,MATCH(玩家节奏1!$BK41,商城宝箱!$L:$L,0)),0)+($BC41-INDEX(商城宝箱!$N:$N,MATCH(玩家节奏1!$BK41,商城宝箱!$L:$L,0)))/$BK$5*INDEX(商城宝箱!G$23:G$42,MATCH(玩家节奏1!$BK41+1,商城宝箱!$C$23:$C$42,0))</f>
        <v>2393.25</v>
      </c>
      <c r="BO41" s="90">
        <f ca="1">_xlfn.IFNA(INDEX(商城宝箱!W:W,MATCH(玩家节奏1!$BK41,商城宝箱!$L:$L,0)),0)+($BC41-INDEX(商城宝箱!$N:$N,MATCH(玩家节奏1!$BK41,商城宝箱!$L:$L,0)))/$BK$5*INDEX(商城宝箱!H$23:H$42,MATCH(玩家节奏1!$BK41+1,商城宝箱!$C$23:$C$42,0))</f>
        <v>342.75</v>
      </c>
      <c r="BQ41" s="128">
        <f t="shared" si="71"/>
        <v>288800</v>
      </c>
      <c r="BR41" s="90">
        <f t="shared" si="72"/>
        <v>50110</v>
      </c>
      <c r="BS41" s="90">
        <f t="shared" ca="1" si="73"/>
        <v>128616</v>
      </c>
      <c r="BT41" s="90">
        <f t="shared" si="74"/>
        <v>5800</v>
      </c>
      <c r="BU41" s="90">
        <f t="shared" si="75"/>
        <v>18000</v>
      </c>
      <c r="BV41" s="90">
        <f t="shared" si="76"/>
        <v>17500</v>
      </c>
      <c r="BW41" s="90">
        <f t="shared" ca="1" si="22"/>
        <v>25875</v>
      </c>
      <c r="BX41" s="90">
        <f t="shared" ca="1" si="23"/>
        <v>534701</v>
      </c>
      <c r="BY41" s="142">
        <f t="shared" ca="1" si="24"/>
        <v>0.54011494274370164</v>
      </c>
      <c r="BZ41" s="142">
        <f t="shared" ca="1" si="25"/>
        <v>9.3715927219137421E-2</v>
      </c>
      <c r="CA41" s="142">
        <f t="shared" ca="1" si="26"/>
        <v>0.24053816993048452</v>
      </c>
      <c r="CB41" s="142">
        <f t="shared" ca="1" si="27"/>
        <v>1.0847183753162983E-2</v>
      </c>
      <c r="CC41" s="142">
        <f t="shared" ca="1" si="28"/>
        <v>3.3663673716712708E-2</v>
      </c>
      <c r="CD41" s="142">
        <f t="shared" ca="1" si="29"/>
        <v>3.2728571669026242E-2</v>
      </c>
      <c r="CE41" s="142">
        <f t="shared" ca="1" si="30"/>
        <v>4.8391530967774515E-2</v>
      </c>
      <c r="CG41" s="128">
        <f t="shared" si="31"/>
        <v>34</v>
      </c>
      <c r="CH41" s="90">
        <f ca="1">INDEX(角色升级!$A:$A,MATCH(玩家节奏1!$BX41,角色升级!$J:$J,1))</f>
        <v>226</v>
      </c>
      <c r="CI41" s="90">
        <f ca="1">INDEX(角色升级!$O:$O,MATCH(玩家节奏1!$BX41,角色升级!$J:$J,1))</f>
        <v>4025.7567500000005</v>
      </c>
      <c r="CJ41" s="90">
        <f>INDEX(关卡对比!$J:$J,MATCH(玩家节奏1!N41,关卡对比!$A:$A,0))</f>
        <v>5200</v>
      </c>
      <c r="CK41" s="147">
        <f t="shared" ca="1" si="32"/>
        <v>1.2916826134614317</v>
      </c>
      <c r="CL41" s="128">
        <f ca="1">INDEX(角色升级!$P:$P,MATCH(玩家节奏1!$CH41,角色升级!$A:$A,0))</f>
        <v>950</v>
      </c>
      <c r="CM41" s="90">
        <f ca="1">INDEX(角色升级!Q:Q,MATCH(玩家节奏1!$CH41,角色升级!$A:$A,0))</f>
        <v>0.1</v>
      </c>
      <c r="CO41" s="128">
        <f t="shared" si="33"/>
        <v>2174</v>
      </c>
      <c r="CP41" s="90">
        <f t="shared" si="34"/>
        <v>2891</v>
      </c>
      <c r="CQ41" s="90">
        <f t="shared" si="35"/>
        <v>4064</v>
      </c>
      <c r="CR41" s="90">
        <f t="shared" ca="1" si="36"/>
        <v>5625</v>
      </c>
      <c r="CS41" s="90">
        <f t="shared" ca="1" si="37"/>
        <v>14754</v>
      </c>
      <c r="CT41" s="142">
        <f t="shared" ca="1" si="38"/>
        <v>0.1473498712213637</v>
      </c>
      <c r="CU41" s="142">
        <f t="shared" ca="1" si="39"/>
        <v>0.195946861867968</v>
      </c>
      <c r="CV41" s="142">
        <f t="shared" ca="1" si="40"/>
        <v>0.27545072522705705</v>
      </c>
      <c r="CW41" s="142">
        <f t="shared" ca="1" si="41"/>
        <v>0.38125254168361122</v>
      </c>
      <c r="CY41" s="128">
        <f t="shared" si="42"/>
        <v>1088</v>
      </c>
      <c r="CZ41" s="90">
        <f t="shared" si="43"/>
        <v>1391</v>
      </c>
      <c r="DA41" s="90">
        <f t="shared" si="44"/>
        <v>1640</v>
      </c>
      <c r="DB41" s="90">
        <f t="shared" ca="1" si="66"/>
        <v>2393.25</v>
      </c>
      <c r="DC41" s="90">
        <f t="shared" ca="1" si="45"/>
        <v>6512.25</v>
      </c>
      <c r="DD41" s="142">
        <f t="shared" ca="1" si="46"/>
        <v>0.16706975315751085</v>
      </c>
      <c r="DE41" s="142">
        <f t="shared" ca="1" si="47"/>
        <v>0.21359745095781027</v>
      </c>
      <c r="DF41" s="142">
        <f t="shared" ca="1" si="48"/>
        <v>0.25183308380360092</v>
      </c>
      <c r="DG41" s="142">
        <f t="shared" ca="1" si="49"/>
        <v>0.36749971208107796</v>
      </c>
      <c r="DI41" s="128">
        <f t="shared" si="50"/>
        <v>438</v>
      </c>
      <c r="DJ41" s="90">
        <f t="shared" si="51"/>
        <v>562</v>
      </c>
      <c r="DK41" s="90">
        <f t="shared" si="52"/>
        <v>336</v>
      </c>
      <c r="DL41" s="90">
        <f t="shared" ca="1" si="53"/>
        <v>342.75</v>
      </c>
      <c r="DM41" s="90">
        <f t="shared" ca="1" si="54"/>
        <v>1678.75</v>
      </c>
      <c r="DN41" s="142">
        <f t="shared" ca="1" si="55"/>
        <v>0.26090841399851078</v>
      </c>
      <c r="DO41" s="142">
        <f t="shared" ca="1" si="56"/>
        <v>0.33477289650037229</v>
      </c>
      <c r="DP41" s="142">
        <f t="shared" ca="1" si="57"/>
        <v>0.20014892032762471</v>
      </c>
      <c r="DQ41" s="142">
        <f t="shared" ca="1" si="58"/>
        <v>0.20416976917349219</v>
      </c>
      <c r="DS41" s="128">
        <f t="shared" ca="1" si="59"/>
        <v>14754</v>
      </c>
      <c r="DT41" s="90">
        <f t="shared" ca="1" si="60"/>
        <v>6512.25</v>
      </c>
      <c r="DU41" s="90">
        <f t="shared" ca="1" si="61"/>
        <v>1678.75</v>
      </c>
      <c r="DV41" s="90">
        <f t="shared" si="62"/>
        <v>18</v>
      </c>
      <c r="DW41" s="90">
        <f ca="1">_xlfn.IFNA(INDEX(武器升级消耗!$H:$H,MATCH(玩家节奏1!DS41/玩家节奏1!DS$5,武器升级消耗!M:M,1)),0)</f>
        <v>13</v>
      </c>
      <c r="DX41" s="90">
        <f ca="1">_xlfn.IFNA(INDEX(武器升级消耗!$H:$H,MATCH(玩家节奏1!DT41/玩家节奏1!DT$5,武器升级消耗!N:N,1)),0)</f>
        <v>10</v>
      </c>
      <c r="DY41" s="90">
        <f ca="1">_xlfn.IFNA(INDEX(武器升级消耗!$H:$H,MATCH(玩家节奏1!DU41/玩家节奏1!DU$5,武器升级消耗!O:O,1)),0)</f>
        <v>6</v>
      </c>
      <c r="DZ41" s="90">
        <f>_xlfn.IFNA(INDEX(武器升级消耗!$H:$H,MATCH(玩家节奏1!DV41/玩家节奏1!DV$5,武器升级消耗!P:P,1)),0)</f>
        <v>5</v>
      </c>
      <c r="EA41" s="90">
        <f ca="1">_xlfn.IFNA(INDEX(武器升级消耗!$Q:$Q,MATCH(玩家节奏1!DW41,武器升级消耗!$H:$H,0))*2*EA$4,0)</f>
        <v>2.04</v>
      </c>
      <c r="EB41" s="90">
        <f ca="1">_xlfn.IFNA(INDEX(武器升级消耗!$Q:$Q,MATCH(玩家节奏1!DX41,武器升级消耗!$H:$H,0))*2*EB$4,0)</f>
        <v>2.0999999999999996</v>
      </c>
      <c r="EC41" s="90">
        <f ca="1">_xlfn.IFNA(INDEX(武器升级消耗!$Q:$Q,MATCH(玩家节奏1!DY41,武器升级消耗!$H:$H,0))*2*EC$4,1)</f>
        <v>2.2000000000000002</v>
      </c>
      <c r="ED41" s="90">
        <f>_xlfn.IFNA(INDEX(武器升级消耗!$Q:$Q,MATCH(玩家节奏1!DZ41,武器升级消耗!$H:$H,0))*2*ED$4,0)</f>
        <v>2.7</v>
      </c>
      <c r="EF41" s="128"/>
      <c r="EG41" s="90"/>
      <c r="EH41" s="90"/>
      <c r="EI41" s="90"/>
      <c r="EJ41" s="90"/>
      <c r="EK41" s="90"/>
      <c r="EL41" s="90"/>
      <c r="EM41" s="90"/>
      <c r="EO41" s="128"/>
      <c r="EP41" s="90"/>
      <c r="EQ41" s="90"/>
      <c r="ER41" s="90"/>
      <c r="ES41" s="90"/>
      <c r="ET41" s="90"/>
      <c r="EU41" s="90"/>
      <c r="EV41" s="90"/>
      <c r="EW41" s="90"/>
      <c r="EX41" s="90"/>
      <c r="EY41" s="90"/>
      <c r="EZ41" s="90"/>
      <c r="FA41" s="90"/>
      <c r="FB41" s="90"/>
      <c r="FD41" s="90">
        <f t="shared" ca="1" si="63"/>
        <v>2.2000000000000002</v>
      </c>
      <c r="FE41" s="90"/>
      <c r="FF41" s="90"/>
      <c r="FG41" s="90">
        <f t="shared" ca="1" si="64"/>
        <v>0</v>
      </c>
    </row>
    <row r="42" spans="1:163" x14ac:dyDescent="0.25">
      <c r="A42" s="123">
        <v>36</v>
      </c>
      <c r="B42" s="123">
        <f>INDEX(关卡对比!$Y:$Y,MATCH(关卡对比!Z42,关卡对比!$AA:$AA,1))</f>
        <v>25</v>
      </c>
      <c r="C42" s="124">
        <f>INDEX(关卡对比!$Y:$Y,MATCH(关卡对比!Z42,关卡对比!$AB:$AB,1))</f>
        <v>20</v>
      </c>
      <c r="D42" s="125">
        <f t="shared" si="70"/>
        <v>212.5</v>
      </c>
      <c r="E42" s="125">
        <v>3</v>
      </c>
      <c r="F42" s="128">
        <v>5</v>
      </c>
      <c r="G42" s="90">
        <v>1</v>
      </c>
      <c r="H42" s="90">
        <v>1</v>
      </c>
      <c r="J42" s="128">
        <v>36</v>
      </c>
      <c r="K42" s="90">
        <f t="shared" si="77"/>
        <v>5</v>
      </c>
      <c r="L42" s="90">
        <f t="shared" si="78"/>
        <v>1</v>
      </c>
      <c r="M42" s="90">
        <f t="shared" si="79"/>
        <v>1</v>
      </c>
      <c r="N42" s="140">
        <f>INDEX($A:$A,MATCH(SUM($K$7:K42),$D:$D,1))</f>
        <v>35</v>
      </c>
      <c r="O42" s="140">
        <v>0</v>
      </c>
      <c r="P42" s="141">
        <v>0</v>
      </c>
      <c r="Q42" s="126">
        <f>_xlfn.MAXIFS(关卡产出!X:X,关卡产出!$A:$A,玩家节奏1!$N$6,关卡产出!$B:$B,玩家节奏1!$N42)+_xlfn.MAXIFS(关卡产出!X:X,关卡产出!$A:$A,玩家节奏1!$O$6,关卡产出!$B:$B,玩家节奏1!$O42)+_xlfn.MAXIFS(关卡产出!X:X,关卡产出!$A:$A,玩家节奏1!$P$6,关卡产出!$B:$B,玩家节奏1!$P42)</f>
        <v>5500</v>
      </c>
      <c r="R42" s="90">
        <f>_xlfn.MAXIFS(关卡产出!Y:Y,关卡产出!$A:$A,玩家节奏1!$N$6,关卡产出!$B:$B,玩家节奏1!$N42)+_xlfn.MAXIFS(关卡产出!Y:Y,关卡产出!$A:$A,玩家节奏1!$O$6,关卡产出!$B:$B,玩家节奏1!$O42)+_xlfn.MAXIFS(关卡产出!Y:Y,关卡产出!$A:$A,玩家节奏1!$P$6,关卡产出!$B:$B,玩家节奏1!$P42)</f>
        <v>307500</v>
      </c>
      <c r="S42" s="90">
        <f>_xlfn.MAXIFS(关卡产出!Z:Z,关卡产出!$A:$A,玩家节奏1!$N$6,关卡产出!$B:$B,玩家节奏1!$N42)+_xlfn.MAXIFS(关卡产出!Z:Z,关卡产出!$A:$A,玩家节奏1!$O$6,关卡产出!$B:$B,玩家节奏1!$O42)+_xlfn.MAXIFS(关卡产出!Z:Z,关卡产出!$A:$A,玩家节奏1!$P$6,关卡产出!$B:$B,玩家节奏1!$P42)</f>
        <v>2306</v>
      </c>
      <c r="T42" s="90">
        <f>_xlfn.MAXIFS(关卡产出!AA:AA,关卡产出!$A:$A,玩家节奏1!$N$6,关卡产出!$B:$B,玩家节奏1!$N42)+_xlfn.MAXIFS(关卡产出!AA:AA,关卡产出!$A:$A,玩家节奏1!$O$6,关卡产出!$B:$B,玩家节奏1!$O42)+_xlfn.MAXIFS(关卡产出!AA:AA,关卡产出!$A:$A,玩家节奏1!$P$6,关卡产出!$B:$B,玩家节奏1!$P42)</f>
        <v>1154</v>
      </c>
      <c r="U42" s="90">
        <f>_xlfn.MAXIFS(关卡产出!AB:AB,关卡产出!$A:$A,玩家节奏1!$N$6,关卡产出!$B:$B,玩家节奏1!$N42)+_xlfn.MAXIFS(关卡产出!AB:AB,关卡产出!$A:$A,玩家节奏1!$O$6,关卡产出!$B:$B,玩家节奏1!$O42)+_xlfn.MAXIFS(关卡产出!AB:AB,关卡产出!$A:$A,玩家节奏1!$P$6,关卡产出!$B:$B,玩家节奏1!$P42)</f>
        <v>468</v>
      </c>
      <c r="V42" s="130">
        <f>_xlfn.MAXIFS(关卡产出!AC:AC,关卡产出!$A:$A,玩家节奏1!$N$6,关卡产出!$B:$B,玩家节奏1!$N42)+_xlfn.MAXIFS(关卡产出!AC:AC,关卡产出!$A:$A,玩家节奏1!$O$6,关卡产出!$B:$B,玩家节奏1!$O42)+_xlfn.MAXIFS(关卡产出!AC:AC,关卡产出!$A:$A,玩家节奏1!$P$6,关卡产出!$B:$B,玩家节奏1!$P42)</f>
        <v>210</v>
      </c>
      <c r="W42" s="126">
        <f>INDEX(关卡产出!C$8:C$207,MATCH(玩家节奏1!$N42,关卡产出!$B$8:$B$207,0))*$K42</f>
        <v>130</v>
      </c>
      <c r="X42" s="126">
        <f>INDEX(关卡产出!D$8:D$207,MATCH(玩家节奏1!$N42,关卡产出!$B$8:$B$207,0))*$K42</f>
        <v>65</v>
      </c>
      <c r="Y42" s="126">
        <f>INDEX(关卡产出!E$8:E$207,MATCH(玩家节奏1!$N42,关卡产出!$B$8:$B$207,0))*$K42</f>
        <v>30</v>
      </c>
      <c r="Z42" s="144">
        <f>INDEX(关卡产出!F$8:F$207,MATCH(玩家节奏1!$N42,关卡产出!$B$8:$B$207,0))*$K42</f>
        <v>2050</v>
      </c>
      <c r="AA42" s="126">
        <f>SUM(W$7:W42)</f>
        <v>3021</v>
      </c>
      <c r="AB42" s="126">
        <f>SUM(X$7:X42)</f>
        <v>1456</v>
      </c>
      <c r="AC42" s="126">
        <f>SUM(Y$7:Y42)</f>
        <v>592</v>
      </c>
      <c r="AD42" s="126">
        <f>SUM(Z$7:Z42)</f>
        <v>52160</v>
      </c>
      <c r="AE42" s="126">
        <f>INDEX(图鉴!AQ:AQ,MATCH($N42,图鉴!$S:$S,0))*8</f>
        <v>136</v>
      </c>
      <c r="AF42" s="90">
        <f>INDEX(图鉴!AR:AR,MATCH($N42,图鉴!$S:$S,0))*8</f>
        <v>72</v>
      </c>
      <c r="AG42" s="90">
        <f>INDEX(图鉴!AS:AS,MATCH($N42,图鉴!$S:$S,0))*8</f>
        <v>24</v>
      </c>
      <c r="AH42" s="129">
        <f ca="1">INDEX(图鉴!AT:AT,MATCH($N42,图鉴!$S:$S,0))*8</f>
        <v>5040</v>
      </c>
      <c r="AI42" s="128">
        <f>SUM($AE$7:AE42)</f>
        <v>4200</v>
      </c>
      <c r="AJ42" s="90">
        <f>SUM(AF$7:AF42)</f>
        <v>1712</v>
      </c>
      <c r="AK42" s="90">
        <f>SUM(AG$7:AG42)</f>
        <v>360</v>
      </c>
      <c r="AL42" s="130">
        <f ca="1">SUM(AH$7:AH42)</f>
        <v>133656</v>
      </c>
      <c r="AM42" s="133">
        <f>IF(M42=0,0,INDEX(关卡产出!$AU$11:$AU$15,MATCH(玩家节奏1!N42,关卡产出!$AW$11:$AW$15,1))*M42)</f>
        <v>5800</v>
      </c>
      <c r="AN42" s="126">
        <f>IF(L42=0,0,$L42*关卡产出!AU$21)</f>
        <v>1000</v>
      </c>
      <c r="AO42" s="90">
        <f>IF(M42=0,0,$L42*关卡产出!AV$21)</f>
        <v>50</v>
      </c>
      <c r="AP42" s="129">
        <f>IF(N42=0,0,$L42*关卡产出!AW$21)</f>
        <v>1</v>
      </c>
      <c r="AQ42" s="138">
        <f>SUM(AN$7:AN42)</f>
        <v>19000</v>
      </c>
      <c r="AR42" s="126">
        <f>SUM(AO$7:AO42)</f>
        <v>950</v>
      </c>
      <c r="AS42" s="129">
        <f>SUM(AP$7:AP42)</f>
        <v>19</v>
      </c>
      <c r="AT42" s="128">
        <v>500</v>
      </c>
      <c r="AU42" s="129">
        <v>100</v>
      </c>
      <c r="AV42" s="128">
        <f>SUM(AT$7:AT42)</f>
        <v>18000</v>
      </c>
      <c r="AW42" s="90">
        <f>SUM(AU$7:AU42)</f>
        <v>3600</v>
      </c>
      <c r="AY42" s="128">
        <f t="shared" si="13"/>
        <v>5500</v>
      </c>
      <c r="AZ42" s="90">
        <f t="shared" si="14"/>
        <v>950</v>
      </c>
      <c r="BA42" s="90">
        <f t="shared" si="15"/>
        <v>3600</v>
      </c>
      <c r="BB42" s="90">
        <f t="shared" ca="1" si="65"/>
        <v>950</v>
      </c>
      <c r="BC42" s="90">
        <f t="shared" ca="1" si="68"/>
        <v>11000</v>
      </c>
      <c r="BD42" s="90"/>
      <c r="BE42" s="90">
        <f t="shared" ca="1" si="17"/>
        <v>11000</v>
      </c>
      <c r="BF42" s="142">
        <f t="shared" ca="1" si="18"/>
        <v>0.5</v>
      </c>
      <c r="BG42" s="142">
        <f t="shared" ca="1" si="19"/>
        <v>8.6363636363636365E-2</v>
      </c>
      <c r="BH42" s="142">
        <f t="shared" ca="1" si="80"/>
        <v>0.32727272727272727</v>
      </c>
      <c r="BI42" s="142">
        <f t="shared" ca="1" si="81"/>
        <v>8.6363636363636365E-2</v>
      </c>
      <c r="BJ42" s="143"/>
      <c r="BK42" s="128">
        <f ca="1">INDEX(商城宝箱!$L:$L,MATCH(BC42,商城宝箱!$N:$N,1))</f>
        <v>5</v>
      </c>
      <c r="BL42" s="90">
        <f ca="1">_xlfn.IFNA(INDEX(商城宝箱!T:T,MATCH(玩家节奏1!$BK42,商城宝箱!$L:$L,0)),0)+($BC42-INDEX(商城宝箱!$N:$N,MATCH(玩家节奏1!$BK42,商城宝箱!$L:$L,0)))/$BK$5*INDEX(商城宝箱!E$23:E$42,MATCH(玩家节奏1!$BK42+1,商城宝箱!$C$23:$C$42,0))</f>
        <v>27500</v>
      </c>
      <c r="BM42" s="90">
        <f ca="1">_xlfn.IFNA(INDEX(商城宝箱!U:U,MATCH(玩家节奏1!$BK42,商城宝箱!$L:$L,0)),0)+($BC42-INDEX(商城宝箱!$N:$N,MATCH(玩家节奏1!$BK42,商城宝箱!$L:$L,0)))/$BK$5*INDEX(商城宝箱!F$23:F$42,MATCH(玩家节奏1!$BK42+1,商城宝箱!$C$23:$C$42,0))</f>
        <v>6212.5</v>
      </c>
      <c r="BN42" s="90">
        <f ca="1">_xlfn.IFNA(INDEX(商城宝箱!V:V,MATCH(玩家节奏1!$BK42,商城宝箱!$L:$L,0)),0)+($BC42-INDEX(商城宝箱!$N:$N,MATCH(玩家节奏1!$BK42,商城宝箱!$L:$L,0)))/$BK$5*INDEX(商城宝箱!G$23:G$42,MATCH(玩家节奏1!$BK42+1,商城宝箱!$C$23:$C$42,0))</f>
        <v>2727</v>
      </c>
      <c r="BO42" s="90">
        <f ca="1">_xlfn.IFNA(INDEX(商城宝箱!W:W,MATCH(玩家节奏1!$BK42,商城宝箱!$L:$L,0)),0)+($BC42-INDEX(商城宝箱!$N:$N,MATCH(玩家节奏1!$BK42,商城宝箱!$L:$L,0)))/$BK$5*INDEX(商城宝箱!H$23:H$42,MATCH(玩家节奏1!$BK42+1,商城宝箱!$C$23:$C$42,0))</f>
        <v>388.5</v>
      </c>
      <c r="BQ42" s="128">
        <f t="shared" si="71"/>
        <v>307500</v>
      </c>
      <c r="BR42" s="90">
        <f t="shared" si="72"/>
        <v>52160</v>
      </c>
      <c r="BS42" s="90">
        <f t="shared" ca="1" si="73"/>
        <v>133656</v>
      </c>
      <c r="BT42" s="90">
        <f t="shared" si="74"/>
        <v>5800</v>
      </c>
      <c r="BU42" s="90">
        <f t="shared" si="75"/>
        <v>19000</v>
      </c>
      <c r="BV42" s="90">
        <f t="shared" si="76"/>
        <v>18000</v>
      </c>
      <c r="BW42" s="90">
        <f t="shared" ca="1" si="22"/>
        <v>27500</v>
      </c>
      <c r="BX42" s="90">
        <f t="shared" ca="1" si="23"/>
        <v>563616</v>
      </c>
      <c r="BY42" s="142">
        <f t="shared" ca="1" si="24"/>
        <v>0.54558422755918923</v>
      </c>
      <c r="BZ42" s="142">
        <f t="shared" ca="1" si="25"/>
        <v>9.254527905524329E-2</v>
      </c>
      <c r="CA42" s="142">
        <f t="shared" ca="1" si="26"/>
        <v>0.23714018054845853</v>
      </c>
      <c r="CB42" s="142">
        <f t="shared" ca="1" si="27"/>
        <v>1.0290694373474138E-2</v>
      </c>
      <c r="CC42" s="142">
        <f t="shared" ca="1" si="28"/>
        <v>3.3710895361380798E-2</v>
      </c>
      <c r="CD42" s="142">
        <f t="shared" ca="1" si="29"/>
        <v>3.1936637710781812E-2</v>
      </c>
      <c r="CE42" s="142">
        <f t="shared" ca="1" si="30"/>
        <v>4.8792085391472208E-2</v>
      </c>
      <c r="CG42" s="128">
        <f t="shared" si="31"/>
        <v>35</v>
      </c>
      <c r="CH42" s="90">
        <f ca="1">INDEX(角色升级!$A:$A,MATCH(玩家节奏1!$BX42,角色升级!$J:$J,1))</f>
        <v>235</v>
      </c>
      <c r="CI42" s="90">
        <f ca="1">INDEX(角色升级!$O:$O,MATCH(玩家节奏1!$BX42,角色升级!$J:$J,1))</f>
        <v>4050.50126</v>
      </c>
      <c r="CJ42" s="90">
        <f>INDEX(关卡对比!$J:$J,MATCH(玩家节奏1!N42,关卡对比!$A:$A,0))</f>
        <v>5500</v>
      </c>
      <c r="CK42" s="147">
        <f t="shared" ca="1" si="32"/>
        <v>1.3578566322924683</v>
      </c>
      <c r="CL42" s="128">
        <f ca="1">INDEX(角色升级!$P:$P,MATCH(玩家节奏1!$CH42,角色升级!$A:$A,0))</f>
        <v>950</v>
      </c>
      <c r="CM42" s="90">
        <f ca="1">INDEX(角色升级!Q:Q,MATCH(玩家节奏1!$CH42,角色升级!$A:$A,0))</f>
        <v>0.1</v>
      </c>
      <c r="CO42" s="128">
        <f t="shared" si="33"/>
        <v>2306</v>
      </c>
      <c r="CP42" s="90">
        <f t="shared" si="34"/>
        <v>3021</v>
      </c>
      <c r="CQ42" s="90">
        <f t="shared" si="35"/>
        <v>4200</v>
      </c>
      <c r="CR42" s="90">
        <f t="shared" ca="1" si="36"/>
        <v>6212.5</v>
      </c>
      <c r="CS42" s="90">
        <f t="shared" ca="1" si="37"/>
        <v>15739.5</v>
      </c>
      <c r="CT42" s="142">
        <f t="shared" ca="1" si="38"/>
        <v>0.14651037199402778</v>
      </c>
      <c r="CU42" s="142">
        <f t="shared" ca="1" si="39"/>
        <v>0.19193748213094444</v>
      </c>
      <c r="CV42" s="142">
        <f t="shared" ca="1" si="40"/>
        <v>0.26684456304202803</v>
      </c>
      <c r="CW42" s="142">
        <f t="shared" ca="1" si="41"/>
        <v>0.39470758283299978</v>
      </c>
      <c r="CY42" s="128">
        <f t="shared" si="42"/>
        <v>1154</v>
      </c>
      <c r="CZ42" s="90">
        <f t="shared" si="43"/>
        <v>1456</v>
      </c>
      <c r="DA42" s="90">
        <f t="shared" si="44"/>
        <v>1712</v>
      </c>
      <c r="DB42" s="90">
        <f t="shared" ca="1" si="66"/>
        <v>2727</v>
      </c>
      <c r="DC42" s="90">
        <f t="shared" ca="1" si="45"/>
        <v>7049</v>
      </c>
      <c r="DD42" s="142">
        <f t="shared" ca="1" si="46"/>
        <v>0.16371116470421337</v>
      </c>
      <c r="DE42" s="142">
        <f t="shared" ca="1" si="47"/>
        <v>0.20655412115193644</v>
      </c>
      <c r="DF42" s="142">
        <f t="shared" ca="1" si="48"/>
        <v>0.24287132926656263</v>
      </c>
      <c r="DG42" s="142">
        <f t="shared" ca="1" si="49"/>
        <v>0.38686338487728755</v>
      </c>
      <c r="DI42" s="128">
        <f t="shared" si="50"/>
        <v>468</v>
      </c>
      <c r="DJ42" s="90">
        <f t="shared" si="51"/>
        <v>592</v>
      </c>
      <c r="DK42" s="90">
        <f t="shared" si="52"/>
        <v>360</v>
      </c>
      <c r="DL42" s="90">
        <f t="shared" ca="1" si="53"/>
        <v>388.5</v>
      </c>
      <c r="DM42" s="90">
        <f t="shared" ca="1" si="54"/>
        <v>1808.5</v>
      </c>
      <c r="DN42" s="142">
        <f t="shared" ca="1" si="55"/>
        <v>0.25877799281172242</v>
      </c>
      <c r="DO42" s="142">
        <f t="shared" ca="1" si="56"/>
        <v>0.32734310201824718</v>
      </c>
      <c r="DP42" s="142">
        <f t="shared" ca="1" si="57"/>
        <v>0.1990599944705557</v>
      </c>
      <c r="DQ42" s="142">
        <f t="shared" ca="1" si="58"/>
        <v>0.2148189106994747</v>
      </c>
      <c r="DS42" s="128">
        <f t="shared" ca="1" si="59"/>
        <v>15739.5</v>
      </c>
      <c r="DT42" s="90">
        <f t="shared" ca="1" si="60"/>
        <v>7049</v>
      </c>
      <c r="DU42" s="90">
        <f t="shared" ca="1" si="61"/>
        <v>1808.5</v>
      </c>
      <c r="DV42" s="90">
        <f t="shared" si="62"/>
        <v>19</v>
      </c>
      <c r="DW42" s="90">
        <f ca="1">_xlfn.IFNA(INDEX(武器升级消耗!$H:$H,MATCH(玩家节奏1!DS42/玩家节奏1!DS$5,武器升级消耗!M:M,1)),0)</f>
        <v>13</v>
      </c>
      <c r="DX42" s="90">
        <f ca="1">_xlfn.IFNA(INDEX(武器升级消耗!$H:$H,MATCH(玩家节奏1!DT42/玩家节奏1!DT$5,武器升级消耗!N:N,1)),0)</f>
        <v>10</v>
      </c>
      <c r="DY42" s="90">
        <f ca="1">_xlfn.IFNA(INDEX(武器升级消耗!$H:$H,MATCH(玩家节奏1!DU42/玩家节奏1!DU$5,武器升级消耗!O:O,1)),0)</f>
        <v>6</v>
      </c>
      <c r="DZ42" s="90">
        <f>_xlfn.IFNA(INDEX(武器升级消耗!$H:$H,MATCH(玩家节奏1!DV42/玩家节奏1!DV$5,武器升级消耗!P:P,1)),0)</f>
        <v>5</v>
      </c>
      <c r="EA42" s="90">
        <f ca="1">_xlfn.IFNA(INDEX(武器升级消耗!$Q:$Q,MATCH(玩家节奏1!DW42,武器升级消耗!$H:$H,0))*2*EA$4,0)</f>
        <v>2.04</v>
      </c>
      <c r="EB42" s="90">
        <f ca="1">_xlfn.IFNA(INDEX(武器升级消耗!$Q:$Q,MATCH(玩家节奏1!DX42,武器升级消耗!$H:$H,0))*2*EB$4,0)</f>
        <v>2.0999999999999996</v>
      </c>
      <c r="EC42" s="90">
        <f ca="1">_xlfn.IFNA(INDEX(武器升级消耗!$Q:$Q,MATCH(玩家节奏1!DY42,武器升级消耗!$H:$H,0))*2*EC$4,1)</f>
        <v>2.2000000000000002</v>
      </c>
      <c r="ED42" s="90">
        <f>_xlfn.IFNA(INDEX(武器升级消耗!$Q:$Q,MATCH(玩家节奏1!DZ42,武器升级消耗!$H:$H,0))*2*ED$4,0)</f>
        <v>2.7</v>
      </c>
      <c r="EF42" s="128"/>
      <c r="EG42" s="90"/>
      <c r="EH42" s="90"/>
      <c r="EI42" s="90"/>
      <c r="EJ42" s="90"/>
      <c r="EK42" s="90"/>
      <c r="EL42" s="90"/>
      <c r="EM42" s="90"/>
      <c r="EO42" s="128"/>
      <c r="EP42" s="90"/>
      <c r="EQ42" s="90"/>
      <c r="ER42" s="90"/>
      <c r="ES42" s="90"/>
      <c r="ET42" s="90"/>
      <c r="EU42" s="90"/>
      <c r="EV42" s="90"/>
      <c r="EW42" s="90"/>
      <c r="EX42" s="90"/>
      <c r="EY42" s="90"/>
      <c r="EZ42" s="90"/>
      <c r="FA42" s="90"/>
      <c r="FB42" s="90"/>
      <c r="FD42" s="90">
        <f t="shared" ca="1" si="63"/>
        <v>2.2000000000000002</v>
      </c>
      <c r="FE42" s="90"/>
      <c r="FF42" s="90"/>
      <c r="FG42" s="90">
        <f t="shared" ca="1" si="64"/>
        <v>0</v>
      </c>
    </row>
    <row r="43" spans="1:163" x14ac:dyDescent="0.25">
      <c r="A43" s="123">
        <v>37</v>
      </c>
      <c r="B43" s="123">
        <f>INDEX(关卡对比!$Y:$Y,MATCH(关卡对比!Z43,关卡对比!$AA:$AA,1))</f>
        <v>25</v>
      </c>
      <c r="C43" s="124">
        <f>INDEX(关卡对比!$Y:$Y,MATCH(关卡对比!Z43,关卡对比!$AB:$AB,1))</f>
        <v>20</v>
      </c>
      <c r="D43" s="125">
        <f t="shared" si="70"/>
        <v>215.5</v>
      </c>
      <c r="E43" s="125">
        <v>3</v>
      </c>
      <c r="F43" s="128">
        <v>5</v>
      </c>
      <c r="G43" s="90">
        <v>1</v>
      </c>
      <c r="H43" s="90">
        <v>1</v>
      </c>
      <c r="J43" s="128">
        <v>37</v>
      </c>
      <c r="K43" s="90">
        <f t="shared" si="77"/>
        <v>5</v>
      </c>
      <c r="L43" s="90">
        <f t="shared" si="78"/>
        <v>1</v>
      </c>
      <c r="M43" s="90">
        <f t="shared" si="79"/>
        <v>1</v>
      </c>
      <c r="N43" s="140">
        <f>INDEX($A:$A,MATCH(SUM($K$7:K43),$D:$D,1))</f>
        <v>35</v>
      </c>
      <c r="O43" s="140">
        <v>0</v>
      </c>
      <c r="P43" s="141">
        <v>0</v>
      </c>
      <c r="Q43" s="126">
        <f>_xlfn.MAXIFS(关卡产出!X:X,关卡产出!$A:$A,玩家节奏1!$N$6,关卡产出!$B:$B,玩家节奏1!$N43)+_xlfn.MAXIFS(关卡产出!X:X,关卡产出!$A:$A,玩家节奏1!$O$6,关卡产出!$B:$B,玩家节奏1!$O43)+_xlfn.MAXIFS(关卡产出!X:X,关卡产出!$A:$A,玩家节奏1!$P$6,关卡产出!$B:$B,玩家节奏1!$P43)</f>
        <v>5500</v>
      </c>
      <c r="R43" s="90">
        <f>_xlfn.MAXIFS(关卡产出!Y:Y,关卡产出!$A:$A,玩家节奏1!$N$6,关卡产出!$B:$B,玩家节奏1!$N43)+_xlfn.MAXIFS(关卡产出!Y:Y,关卡产出!$A:$A,玩家节奏1!$O$6,关卡产出!$B:$B,玩家节奏1!$O43)+_xlfn.MAXIFS(关卡产出!Y:Y,关卡产出!$A:$A,玩家节奏1!$P$6,关卡产出!$B:$B,玩家节奏1!$P43)</f>
        <v>307500</v>
      </c>
      <c r="S43" s="90">
        <f>_xlfn.MAXIFS(关卡产出!Z:Z,关卡产出!$A:$A,玩家节奏1!$N$6,关卡产出!$B:$B,玩家节奏1!$N43)+_xlfn.MAXIFS(关卡产出!Z:Z,关卡产出!$A:$A,玩家节奏1!$O$6,关卡产出!$B:$B,玩家节奏1!$O43)+_xlfn.MAXIFS(关卡产出!Z:Z,关卡产出!$A:$A,玩家节奏1!$P$6,关卡产出!$B:$B,玩家节奏1!$P43)</f>
        <v>2306</v>
      </c>
      <c r="T43" s="90">
        <f>_xlfn.MAXIFS(关卡产出!AA:AA,关卡产出!$A:$A,玩家节奏1!$N$6,关卡产出!$B:$B,玩家节奏1!$N43)+_xlfn.MAXIFS(关卡产出!AA:AA,关卡产出!$A:$A,玩家节奏1!$O$6,关卡产出!$B:$B,玩家节奏1!$O43)+_xlfn.MAXIFS(关卡产出!AA:AA,关卡产出!$A:$A,玩家节奏1!$P$6,关卡产出!$B:$B,玩家节奏1!$P43)</f>
        <v>1154</v>
      </c>
      <c r="U43" s="90">
        <f>_xlfn.MAXIFS(关卡产出!AB:AB,关卡产出!$A:$A,玩家节奏1!$N$6,关卡产出!$B:$B,玩家节奏1!$N43)+_xlfn.MAXIFS(关卡产出!AB:AB,关卡产出!$A:$A,玩家节奏1!$O$6,关卡产出!$B:$B,玩家节奏1!$O43)+_xlfn.MAXIFS(关卡产出!AB:AB,关卡产出!$A:$A,玩家节奏1!$P$6,关卡产出!$B:$B,玩家节奏1!$P43)</f>
        <v>468</v>
      </c>
      <c r="V43" s="130">
        <f>_xlfn.MAXIFS(关卡产出!AC:AC,关卡产出!$A:$A,玩家节奏1!$N$6,关卡产出!$B:$B,玩家节奏1!$N43)+_xlfn.MAXIFS(关卡产出!AC:AC,关卡产出!$A:$A,玩家节奏1!$O$6,关卡产出!$B:$B,玩家节奏1!$O43)+_xlfn.MAXIFS(关卡产出!AC:AC,关卡产出!$A:$A,玩家节奏1!$P$6,关卡产出!$B:$B,玩家节奏1!$P43)</f>
        <v>210</v>
      </c>
      <c r="W43" s="126">
        <f>INDEX(关卡产出!C$8:C$207,MATCH(玩家节奏1!$N43,关卡产出!$B$8:$B$207,0))*$K43</f>
        <v>130</v>
      </c>
      <c r="X43" s="126">
        <f>INDEX(关卡产出!D$8:D$207,MATCH(玩家节奏1!$N43,关卡产出!$B$8:$B$207,0))*$K43</f>
        <v>65</v>
      </c>
      <c r="Y43" s="126">
        <f>INDEX(关卡产出!E$8:E$207,MATCH(玩家节奏1!$N43,关卡产出!$B$8:$B$207,0))*$K43</f>
        <v>30</v>
      </c>
      <c r="Z43" s="144">
        <f>INDEX(关卡产出!F$8:F$207,MATCH(玩家节奏1!$N43,关卡产出!$B$8:$B$207,0))*$K43</f>
        <v>2050</v>
      </c>
      <c r="AA43" s="126">
        <f>SUM(W$7:W43)</f>
        <v>3151</v>
      </c>
      <c r="AB43" s="126">
        <f>SUM(X$7:X43)</f>
        <v>1521</v>
      </c>
      <c r="AC43" s="126">
        <f>SUM(Y$7:Y43)</f>
        <v>622</v>
      </c>
      <c r="AD43" s="126">
        <f>SUM(Z$7:Z43)</f>
        <v>54210</v>
      </c>
      <c r="AE43" s="126">
        <f>INDEX(图鉴!AQ:AQ,MATCH($N43,图鉴!$S:$S,0))*8</f>
        <v>136</v>
      </c>
      <c r="AF43" s="90">
        <f>INDEX(图鉴!AR:AR,MATCH($N43,图鉴!$S:$S,0))*8</f>
        <v>72</v>
      </c>
      <c r="AG43" s="90">
        <f>INDEX(图鉴!AS:AS,MATCH($N43,图鉴!$S:$S,0))*8</f>
        <v>24</v>
      </c>
      <c r="AH43" s="129">
        <f ca="1">INDEX(图鉴!AT:AT,MATCH($N43,图鉴!$S:$S,0))*8</f>
        <v>5040</v>
      </c>
      <c r="AI43" s="128">
        <f>SUM($AE$7:AE43)</f>
        <v>4336</v>
      </c>
      <c r="AJ43" s="90">
        <f>SUM(AF$7:AF43)</f>
        <v>1784</v>
      </c>
      <c r="AK43" s="90">
        <f>SUM(AG$7:AG43)</f>
        <v>384</v>
      </c>
      <c r="AL43" s="130">
        <f ca="1">SUM(AH$7:AH43)</f>
        <v>138696</v>
      </c>
      <c r="AM43" s="133">
        <f>IF(M43=0,0,INDEX(关卡产出!$AU$11:$AU$15,MATCH(玩家节奏1!N43,关卡产出!$AW$11:$AW$15,1))*M43)</f>
        <v>5800</v>
      </c>
      <c r="AN43" s="126">
        <f>IF(L43=0,0,$L43*关卡产出!AU$21)</f>
        <v>1000</v>
      </c>
      <c r="AO43" s="90">
        <f>IF(M43=0,0,$L43*关卡产出!AV$21)</f>
        <v>50</v>
      </c>
      <c r="AP43" s="129">
        <f>IF(N43=0,0,$L43*关卡产出!AW$21)</f>
        <v>1</v>
      </c>
      <c r="AQ43" s="138">
        <f>SUM(AN$7:AN43)</f>
        <v>20000</v>
      </c>
      <c r="AR43" s="126">
        <f>SUM(AO$7:AO43)</f>
        <v>1000</v>
      </c>
      <c r="AS43" s="129">
        <f>SUM(AP$7:AP43)</f>
        <v>20</v>
      </c>
      <c r="AT43" s="128">
        <v>500</v>
      </c>
      <c r="AU43" s="129">
        <v>100</v>
      </c>
      <c r="AV43" s="128">
        <f>SUM(AT$7:AT43)</f>
        <v>18500</v>
      </c>
      <c r="AW43" s="90">
        <f>SUM(AU$7:AU43)</f>
        <v>3700</v>
      </c>
      <c r="AY43" s="128">
        <f t="shared" si="13"/>
        <v>5500</v>
      </c>
      <c r="AZ43" s="90">
        <f t="shared" si="14"/>
        <v>1000</v>
      </c>
      <c r="BA43" s="90">
        <f t="shared" si="15"/>
        <v>3700</v>
      </c>
      <c r="BB43" s="90">
        <f t="shared" ca="1" si="65"/>
        <v>950</v>
      </c>
      <c r="BC43" s="90">
        <f t="shared" ca="1" si="68"/>
        <v>11150</v>
      </c>
      <c r="BD43" s="90"/>
      <c r="BE43" s="90">
        <f t="shared" ca="1" si="17"/>
        <v>11150</v>
      </c>
      <c r="BF43" s="142">
        <f t="shared" ca="1" si="18"/>
        <v>0.49327354260089684</v>
      </c>
      <c r="BG43" s="142">
        <f t="shared" ca="1" si="19"/>
        <v>8.9686098654708515E-2</v>
      </c>
      <c r="BH43" s="142">
        <f t="shared" ca="1" si="80"/>
        <v>0.33183856502242154</v>
      </c>
      <c r="BI43" s="142">
        <f t="shared" ca="1" si="81"/>
        <v>8.520179372197309E-2</v>
      </c>
      <c r="BJ43" s="143"/>
      <c r="BK43" s="128">
        <f ca="1">INDEX(商城宝箱!$L:$L,MATCH(BC43,商城宝箱!$N:$N,1))</f>
        <v>5</v>
      </c>
      <c r="BL43" s="90">
        <f ca="1">_xlfn.IFNA(INDEX(商城宝箱!T:T,MATCH(玩家节奏1!$BK43,商城宝箱!$L:$L,0)),0)+($BC43-INDEX(商城宝箱!$N:$N,MATCH(玩家节奏1!$BK43,商城宝箱!$L:$L,0)))/$BK$5*INDEX(商城宝箱!E$23:E$42,MATCH(玩家节奏1!$BK43+1,商城宝箱!$C$23:$C$42,0))</f>
        <v>27875</v>
      </c>
      <c r="BM43" s="90">
        <f ca="1">_xlfn.IFNA(INDEX(商城宝箱!U:U,MATCH(玩家节奏1!$BK43,商城宝箱!$L:$L,0)),0)+($BC43-INDEX(商城宝箱!$N:$N,MATCH(玩家节奏1!$BK43,商城宝箱!$L:$L,0)))/$BK$5*INDEX(商城宝箱!F$23:F$42,MATCH(玩家节奏1!$BK43+1,商城宝箱!$C$23:$C$42,0))</f>
        <v>6362.5</v>
      </c>
      <c r="BN43" s="90">
        <f ca="1">_xlfn.IFNA(INDEX(商城宝箱!V:V,MATCH(玩家节奏1!$BK43,商城宝箱!$L:$L,0)),0)+($BC43-INDEX(商城宝箱!$N:$N,MATCH(玩家节奏1!$BK43,商城宝箱!$L:$L,0)))/$BK$5*INDEX(商城宝箱!G$23:G$42,MATCH(玩家节奏1!$BK43+1,商城宝箱!$C$23:$C$42,0))</f>
        <v>2817</v>
      </c>
      <c r="BO43" s="90">
        <f ca="1">_xlfn.IFNA(INDEX(商城宝箱!W:W,MATCH(玩家节奏1!$BK43,商城宝箱!$L:$L,0)),0)+($BC43-INDEX(商城宝箱!$N:$N,MATCH(玩家节奏1!$BK43,商城宝箱!$L:$L,0)))/$BK$5*INDEX(商城宝箱!H$23:H$42,MATCH(玩家节奏1!$BK43+1,商城宝箱!$C$23:$C$42,0))</f>
        <v>400.5</v>
      </c>
      <c r="BQ43" s="128">
        <f t="shared" si="71"/>
        <v>307500</v>
      </c>
      <c r="BR43" s="90">
        <f t="shared" si="72"/>
        <v>54210</v>
      </c>
      <c r="BS43" s="90">
        <f t="shared" ca="1" si="73"/>
        <v>138696</v>
      </c>
      <c r="BT43" s="90">
        <f t="shared" si="74"/>
        <v>5800</v>
      </c>
      <c r="BU43" s="90">
        <f t="shared" si="75"/>
        <v>20000</v>
      </c>
      <c r="BV43" s="90">
        <f t="shared" si="76"/>
        <v>18500</v>
      </c>
      <c r="BW43" s="90">
        <f t="shared" ca="1" si="22"/>
        <v>27875</v>
      </c>
      <c r="BX43" s="90">
        <f t="shared" ca="1" si="23"/>
        <v>572581</v>
      </c>
      <c r="BY43" s="142">
        <f t="shared" ca="1" si="24"/>
        <v>0.53704192070641532</v>
      </c>
      <c r="BZ43" s="142">
        <f t="shared" ca="1" si="25"/>
        <v>9.4676561045511462E-2</v>
      </c>
      <c r="CA43" s="142">
        <f t="shared" ca="1" si="26"/>
        <v>0.24222948368877067</v>
      </c>
      <c r="CB43" s="142">
        <f t="shared" ca="1" si="27"/>
        <v>1.0129571187307996E-2</v>
      </c>
      <c r="CC43" s="142">
        <f t="shared" ca="1" si="28"/>
        <v>3.492955581830344E-2</v>
      </c>
      <c r="CD43" s="142">
        <f t="shared" ca="1" si="29"/>
        <v>3.2309839131930682E-2</v>
      </c>
      <c r="CE43" s="142">
        <f t="shared" ca="1" si="30"/>
        <v>4.8683068421760414E-2</v>
      </c>
      <c r="CG43" s="128">
        <f t="shared" si="31"/>
        <v>35</v>
      </c>
      <c r="CH43" s="90">
        <f ca="1">INDEX(角色升级!$A:$A,MATCH(玩家节奏1!$BX43,角色升级!$J:$J,1))</f>
        <v>238</v>
      </c>
      <c r="CI43" s="90">
        <f ca="1">INDEX(角色升级!$O:$O,MATCH(玩家节奏1!$BX43,角色升级!$J:$J,1))</f>
        <v>4056.3602300000002</v>
      </c>
      <c r="CJ43" s="90">
        <f>INDEX(关卡对比!$J:$J,MATCH(玩家节奏1!N43,关卡对比!$A:$A,0))</f>
        <v>5500</v>
      </c>
      <c r="CK43" s="147">
        <f t="shared" ca="1" si="32"/>
        <v>1.3558953564634471</v>
      </c>
      <c r="CL43" s="128">
        <f ca="1">INDEX(角色升级!$P:$P,MATCH(玩家节奏1!$CH43,角色升级!$A:$A,0))</f>
        <v>950</v>
      </c>
      <c r="CM43" s="90">
        <f ca="1">INDEX(角色升级!Q:Q,MATCH(玩家节奏1!$CH43,角色升级!$A:$A,0))</f>
        <v>0.1</v>
      </c>
      <c r="CO43" s="128">
        <f t="shared" si="33"/>
        <v>2306</v>
      </c>
      <c r="CP43" s="90">
        <f t="shared" si="34"/>
        <v>3151</v>
      </c>
      <c r="CQ43" s="90">
        <f t="shared" si="35"/>
        <v>4336</v>
      </c>
      <c r="CR43" s="90">
        <f t="shared" ca="1" si="36"/>
        <v>6362.5</v>
      </c>
      <c r="CS43" s="90">
        <f t="shared" ca="1" si="37"/>
        <v>16155.5</v>
      </c>
      <c r="CT43" s="142">
        <f t="shared" ca="1" si="38"/>
        <v>0.1427377673238216</v>
      </c>
      <c r="CU43" s="142">
        <f t="shared" ca="1" si="39"/>
        <v>0.19504193618272414</v>
      </c>
      <c r="CV43" s="142">
        <f t="shared" ca="1" si="40"/>
        <v>0.26839156943455789</v>
      </c>
      <c r="CW43" s="142">
        <f t="shared" ca="1" si="41"/>
        <v>0.39382872705889638</v>
      </c>
      <c r="CY43" s="128">
        <f t="shared" si="42"/>
        <v>1154</v>
      </c>
      <c r="CZ43" s="90">
        <f t="shared" si="43"/>
        <v>1521</v>
      </c>
      <c r="DA43" s="90">
        <f t="shared" si="44"/>
        <v>1784</v>
      </c>
      <c r="DB43" s="90">
        <f t="shared" ca="1" si="66"/>
        <v>2817</v>
      </c>
      <c r="DC43" s="90">
        <f t="shared" ca="1" si="45"/>
        <v>7276</v>
      </c>
      <c r="DD43" s="142">
        <f t="shared" ca="1" si="46"/>
        <v>0.15860362836723474</v>
      </c>
      <c r="DE43" s="142">
        <f t="shared" ca="1" si="47"/>
        <v>0.20904343045629467</v>
      </c>
      <c r="DF43" s="142">
        <f t="shared" ca="1" si="48"/>
        <v>0.24518966465090708</v>
      </c>
      <c r="DG43" s="142">
        <f t="shared" ca="1" si="49"/>
        <v>0.38716327652556348</v>
      </c>
      <c r="DI43" s="128">
        <f t="shared" si="50"/>
        <v>468</v>
      </c>
      <c r="DJ43" s="90">
        <f t="shared" si="51"/>
        <v>622</v>
      </c>
      <c r="DK43" s="90">
        <f t="shared" si="52"/>
        <v>384</v>
      </c>
      <c r="DL43" s="90">
        <f t="shared" ca="1" si="53"/>
        <v>400.5</v>
      </c>
      <c r="DM43" s="90">
        <f t="shared" ca="1" si="54"/>
        <v>1874.5</v>
      </c>
      <c r="DN43" s="142">
        <f t="shared" ca="1" si="55"/>
        <v>0.24966657775406775</v>
      </c>
      <c r="DO43" s="142">
        <f t="shared" ca="1" si="56"/>
        <v>0.33182181915177383</v>
      </c>
      <c r="DP43" s="142">
        <f t="shared" ca="1" si="57"/>
        <v>0.20485462790077355</v>
      </c>
      <c r="DQ43" s="142">
        <f t="shared" ca="1" si="58"/>
        <v>0.21365697519338489</v>
      </c>
      <c r="DS43" s="128">
        <f t="shared" ca="1" si="59"/>
        <v>16155.5</v>
      </c>
      <c r="DT43" s="90">
        <f t="shared" ca="1" si="60"/>
        <v>7276</v>
      </c>
      <c r="DU43" s="90">
        <f t="shared" ca="1" si="61"/>
        <v>1874.5</v>
      </c>
      <c r="DV43" s="90">
        <f t="shared" si="62"/>
        <v>20</v>
      </c>
      <c r="DW43" s="90">
        <f ca="1">_xlfn.IFNA(INDEX(武器升级消耗!$H:$H,MATCH(玩家节奏1!DS43/玩家节奏1!DS$5,武器升级消耗!M:M,1)),0)</f>
        <v>13</v>
      </c>
      <c r="DX43" s="90">
        <f ca="1">_xlfn.IFNA(INDEX(武器升级消耗!$H:$H,MATCH(玩家节奏1!DT43/玩家节奏1!DT$5,武器升级消耗!N:N,1)),0)</f>
        <v>10</v>
      </c>
      <c r="DY43" s="90">
        <f ca="1">_xlfn.IFNA(INDEX(武器升级消耗!$H:$H,MATCH(玩家节奏1!DU43/玩家节奏1!DU$5,武器升级消耗!O:O,1)),0)</f>
        <v>6</v>
      </c>
      <c r="DZ43" s="90">
        <f>_xlfn.IFNA(INDEX(武器升级消耗!$H:$H,MATCH(玩家节奏1!DV43/玩家节奏1!DV$5,武器升级消耗!P:P,1)),0)</f>
        <v>5</v>
      </c>
      <c r="EA43" s="90">
        <f ca="1">_xlfn.IFNA(INDEX(武器升级消耗!$Q:$Q,MATCH(玩家节奏1!DW43,武器升级消耗!$H:$H,0))*2*EA$4,0)</f>
        <v>2.04</v>
      </c>
      <c r="EB43" s="90">
        <f ca="1">_xlfn.IFNA(INDEX(武器升级消耗!$Q:$Q,MATCH(玩家节奏1!DX43,武器升级消耗!$H:$H,0))*2*EB$4,0)</f>
        <v>2.0999999999999996</v>
      </c>
      <c r="EC43" s="90">
        <f ca="1">_xlfn.IFNA(INDEX(武器升级消耗!$Q:$Q,MATCH(玩家节奏1!DY43,武器升级消耗!$H:$H,0))*2*EC$4,1)</f>
        <v>2.2000000000000002</v>
      </c>
      <c r="ED43" s="90">
        <f>_xlfn.IFNA(INDEX(武器升级消耗!$Q:$Q,MATCH(玩家节奏1!DZ43,武器升级消耗!$H:$H,0))*2*ED$4,0)</f>
        <v>2.7</v>
      </c>
      <c r="EF43" s="128"/>
      <c r="EG43" s="90"/>
      <c r="EH43" s="90"/>
      <c r="EI43" s="90"/>
      <c r="EJ43" s="90"/>
      <c r="EK43" s="90"/>
      <c r="EL43" s="90"/>
      <c r="EM43" s="90"/>
      <c r="EO43" s="128"/>
      <c r="EP43" s="90"/>
      <c r="EQ43" s="90"/>
      <c r="ER43" s="90"/>
      <c r="ES43" s="90"/>
      <c r="ET43" s="90"/>
      <c r="EU43" s="90"/>
      <c r="EV43" s="90"/>
      <c r="EW43" s="90"/>
      <c r="EX43" s="90"/>
      <c r="EY43" s="90"/>
      <c r="EZ43" s="90"/>
      <c r="FA43" s="90"/>
      <c r="FB43" s="90"/>
      <c r="FD43" s="90">
        <f t="shared" ca="1" si="63"/>
        <v>2.2000000000000002</v>
      </c>
      <c r="FE43" s="90"/>
      <c r="FF43" s="90"/>
      <c r="FG43" s="90">
        <f t="shared" ca="1" si="64"/>
        <v>0</v>
      </c>
    </row>
    <row r="44" spans="1:163" x14ac:dyDescent="0.25">
      <c r="A44" s="123">
        <v>38</v>
      </c>
      <c r="B44" s="123">
        <f>INDEX(关卡对比!$Y:$Y,MATCH(关卡对比!Z44,关卡对比!$AA:$AA,1))</f>
        <v>26</v>
      </c>
      <c r="C44" s="124">
        <f>INDEX(关卡对比!$Y:$Y,MATCH(关卡对比!Z44,关卡对比!$AB:$AB,1))</f>
        <v>21</v>
      </c>
      <c r="D44" s="125">
        <f t="shared" si="70"/>
        <v>224.5</v>
      </c>
      <c r="E44" s="125">
        <v>3</v>
      </c>
      <c r="F44" s="128">
        <v>5</v>
      </c>
      <c r="G44" s="90">
        <v>1</v>
      </c>
      <c r="H44" s="90">
        <v>1</v>
      </c>
      <c r="J44" s="128">
        <v>38</v>
      </c>
      <c r="K44" s="90">
        <f t="shared" si="77"/>
        <v>5</v>
      </c>
      <c r="L44" s="90">
        <f t="shared" si="78"/>
        <v>1</v>
      </c>
      <c r="M44" s="90">
        <f t="shared" si="79"/>
        <v>1</v>
      </c>
      <c r="N44" s="140">
        <f>INDEX($A:$A,MATCH(SUM($K$7:K44),$D:$D,1))</f>
        <v>36</v>
      </c>
      <c r="O44" s="140">
        <v>0</v>
      </c>
      <c r="P44" s="141">
        <v>0</v>
      </c>
      <c r="Q44" s="126">
        <f>_xlfn.MAXIFS(关卡产出!X:X,关卡产出!$A:$A,玩家节奏1!$N$6,关卡产出!$B:$B,玩家节奏1!$N44)+_xlfn.MAXIFS(关卡产出!X:X,关卡产出!$A:$A,玩家节奏1!$O$6,关卡产出!$B:$B,玩家节奏1!$O44)+_xlfn.MAXIFS(关卡产出!X:X,关卡产出!$A:$A,玩家节奏1!$P$6,关卡产出!$B:$B,玩家节奏1!$P44)</f>
        <v>5700</v>
      </c>
      <c r="R44" s="90">
        <f>_xlfn.MAXIFS(关卡产出!Y:Y,关卡产出!$A:$A,玩家节奏1!$N$6,关卡产出!$B:$B,玩家节奏1!$N44)+_xlfn.MAXIFS(关卡产出!Y:Y,关卡产出!$A:$A,玩家节奏1!$O$6,关卡产出!$B:$B,玩家节奏1!$O44)+_xlfn.MAXIFS(关卡产出!Y:Y,关卡产出!$A:$A,玩家节奏1!$P$6,关卡产出!$B:$B,玩家节奏1!$P44)</f>
        <v>326800</v>
      </c>
      <c r="S44" s="90">
        <f>_xlfn.MAXIFS(关卡产出!Z:Z,关卡产出!$A:$A,玩家节奏1!$N$6,关卡产出!$B:$B,玩家节奏1!$N44)+_xlfn.MAXIFS(关卡产出!Z:Z,关卡产出!$A:$A,玩家节奏1!$O$6,关卡产出!$B:$B,玩家节奏1!$O44)+_xlfn.MAXIFS(关卡产出!Z:Z,关卡产出!$A:$A,玩家节奏1!$P$6,关卡产出!$B:$B,玩家节奏1!$P44)</f>
        <v>2442</v>
      </c>
      <c r="T44" s="90">
        <f>_xlfn.MAXIFS(关卡产出!AA:AA,关卡产出!$A:$A,玩家节奏1!$N$6,关卡产出!$B:$B,玩家节奏1!$N44)+_xlfn.MAXIFS(关卡产出!AA:AA,关卡产出!$A:$A,玩家节奏1!$O$6,关卡产出!$B:$B,玩家节奏1!$O44)+_xlfn.MAXIFS(关卡产出!AA:AA,关卡产出!$A:$A,玩家节奏1!$P$6,关卡产出!$B:$B,玩家节奏1!$P44)</f>
        <v>1222</v>
      </c>
      <c r="U44" s="90">
        <f>_xlfn.MAXIFS(关卡产出!AB:AB,关卡产出!$A:$A,玩家节奏1!$N$6,关卡产出!$B:$B,玩家节奏1!$N44)+_xlfn.MAXIFS(关卡产出!AB:AB,关卡产出!$A:$A,玩家节奏1!$O$6,关卡产出!$B:$B,玩家节奏1!$O44)+_xlfn.MAXIFS(关卡产出!AB:AB,关卡产出!$A:$A,玩家节奏1!$P$6,关卡产出!$B:$B,玩家节奏1!$P44)</f>
        <v>499</v>
      </c>
      <c r="V44" s="130">
        <f>_xlfn.MAXIFS(关卡产出!AC:AC,关卡产出!$A:$A,玩家节奏1!$N$6,关卡产出!$B:$B,玩家节奏1!$N44)+_xlfn.MAXIFS(关卡产出!AC:AC,关卡产出!$A:$A,玩家节奏1!$O$6,关卡产出!$B:$B,玩家节奏1!$O44)+_xlfn.MAXIFS(关卡产出!AC:AC,关卡产出!$A:$A,玩家节奏1!$P$6,关卡产出!$B:$B,玩家节奏1!$P44)</f>
        <v>216</v>
      </c>
      <c r="W44" s="126">
        <f>INDEX(关卡产出!C$8:C$207,MATCH(玩家节奏1!$N44,关卡产出!$B$8:$B$207,0))*$K44</f>
        <v>135</v>
      </c>
      <c r="X44" s="126">
        <f>INDEX(关卡产出!D$8:D$207,MATCH(玩家节奏1!$N44,关卡产出!$B$8:$B$207,0))*$K44</f>
        <v>65</v>
      </c>
      <c r="Y44" s="126">
        <f>INDEX(关卡产出!E$8:E$207,MATCH(玩家节奏1!$N44,关卡产出!$B$8:$B$207,0))*$K44</f>
        <v>30</v>
      </c>
      <c r="Z44" s="144">
        <f>INDEX(关卡产出!F$8:F$207,MATCH(玩家节奏1!$N44,关卡产出!$B$8:$B$207,0))*$K44</f>
        <v>2050</v>
      </c>
      <c r="AA44" s="126">
        <f>SUM(W$7:W44)</f>
        <v>3286</v>
      </c>
      <c r="AB44" s="126">
        <f>SUM(X$7:X44)</f>
        <v>1586</v>
      </c>
      <c r="AC44" s="126">
        <f>SUM(Y$7:Y44)</f>
        <v>652</v>
      </c>
      <c r="AD44" s="126">
        <f>SUM(Z$7:Z44)</f>
        <v>56260</v>
      </c>
      <c r="AE44" s="126">
        <f>INDEX(图鉴!AQ:AQ,MATCH($N44,图鉴!$S:$S,0))*8</f>
        <v>144</v>
      </c>
      <c r="AF44" s="90">
        <f>INDEX(图鉴!AR:AR,MATCH($N44,图鉴!$S:$S,0))*8</f>
        <v>72</v>
      </c>
      <c r="AG44" s="90">
        <f>INDEX(图鉴!AS:AS,MATCH($N44,图鉴!$S:$S,0))*8</f>
        <v>32</v>
      </c>
      <c r="AH44" s="129">
        <f ca="1">INDEX(图鉴!AT:AT,MATCH($N44,图鉴!$S:$S,0))*8</f>
        <v>5248</v>
      </c>
      <c r="AI44" s="128">
        <f>SUM($AE$7:AE44)</f>
        <v>4480</v>
      </c>
      <c r="AJ44" s="90">
        <f>SUM(AF$7:AF44)</f>
        <v>1856</v>
      </c>
      <c r="AK44" s="90">
        <f>SUM(AG$7:AG44)</f>
        <v>416</v>
      </c>
      <c r="AL44" s="130">
        <f ca="1">SUM(AH$7:AH44)</f>
        <v>143944</v>
      </c>
      <c r="AM44" s="133">
        <f>IF(M44=0,0,INDEX(关卡产出!$AU$11:$AU$15,MATCH(玩家节奏1!N44,关卡产出!$AW$11:$AW$15,1))*M44)</f>
        <v>5800</v>
      </c>
      <c r="AN44" s="126">
        <f>IF(L44=0,0,$L44*关卡产出!AU$21)</f>
        <v>1000</v>
      </c>
      <c r="AO44" s="90">
        <f>IF(M44=0,0,$L44*关卡产出!AV$21)</f>
        <v>50</v>
      </c>
      <c r="AP44" s="129">
        <f>IF(N44=0,0,$L44*关卡产出!AW$21)</f>
        <v>1</v>
      </c>
      <c r="AQ44" s="138">
        <f>SUM(AN$7:AN44)</f>
        <v>21000</v>
      </c>
      <c r="AR44" s="126">
        <f>SUM(AO$7:AO44)</f>
        <v>1050</v>
      </c>
      <c r="AS44" s="129">
        <f>SUM(AP$7:AP44)</f>
        <v>21</v>
      </c>
      <c r="AT44" s="128">
        <v>500</v>
      </c>
      <c r="AU44" s="129">
        <v>100</v>
      </c>
      <c r="AV44" s="128">
        <f>SUM(AT$7:AT44)</f>
        <v>19000</v>
      </c>
      <c r="AW44" s="90">
        <f>SUM(AU$7:AU44)</f>
        <v>3800</v>
      </c>
      <c r="AY44" s="128">
        <f t="shared" si="13"/>
        <v>5700</v>
      </c>
      <c r="AZ44" s="90">
        <f t="shared" si="14"/>
        <v>1050</v>
      </c>
      <c r="BA44" s="90">
        <f t="shared" si="15"/>
        <v>3800</v>
      </c>
      <c r="BB44" s="90">
        <f t="shared" ca="1" si="65"/>
        <v>950</v>
      </c>
      <c r="BC44" s="90">
        <f t="shared" ca="1" si="68"/>
        <v>11500</v>
      </c>
      <c r="BD44" s="90"/>
      <c r="BE44" s="90">
        <f t="shared" ca="1" si="17"/>
        <v>11500</v>
      </c>
      <c r="BF44" s="142">
        <f t="shared" ca="1" si="18"/>
        <v>0.4956521739130435</v>
      </c>
      <c r="BG44" s="142">
        <f t="shared" ca="1" si="19"/>
        <v>9.1304347826086957E-2</v>
      </c>
      <c r="BH44" s="142">
        <f t="shared" ca="1" si="80"/>
        <v>0.33043478260869563</v>
      </c>
      <c r="BI44" s="142">
        <f t="shared" ca="1" si="81"/>
        <v>8.2608695652173908E-2</v>
      </c>
      <c r="BJ44" s="143"/>
      <c r="BK44" s="128">
        <f ca="1">INDEX(商城宝箱!$L:$L,MATCH(BC44,商城宝箱!$N:$N,1))</f>
        <v>5</v>
      </c>
      <c r="BL44" s="90">
        <f ca="1">_xlfn.IFNA(INDEX(商城宝箱!T:T,MATCH(玩家节奏1!$BK44,商城宝箱!$L:$L,0)),0)+($BC44-INDEX(商城宝箱!$N:$N,MATCH(玩家节奏1!$BK44,商城宝箱!$L:$L,0)))/$BK$5*INDEX(商城宝箱!E$23:E$42,MATCH(玩家节奏1!$BK44+1,商城宝箱!$C$23:$C$42,0))</f>
        <v>28750</v>
      </c>
      <c r="BM44" s="90">
        <f ca="1">_xlfn.IFNA(INDEX(商城宝箱!U:U,MATCH(玩家节奏1!$BK44,商城宝箱!$L:$L,0)),0)+($BC44-INDEX(商城宝箱!$N:$N,MATCH(玩家节奏1!$BK44,商城宝箱!$L:$L,0)))/$BK$5*INDEX(商城宝箱!F$23:F$42,MATCH(玩家节奏1!$BK44+1,商城宝箱!$C$23:$C$42,0))</f>
        <v>6712.5</v>
      </c>
      <c r="BN44" s="90">
        <f ca="1">_xlfn.IFNA(INDEX(商城宝箱!V:V,MATCH(玩家节奏1!$BK44,商城宝箱!$L:$L,0)),0)+($BC44-INDEX(商城宝箱!$N:$N,MATCH(玩家节奏1!$BK44,商城宝箱!$L:$L,0)))/$BK$5*INDEX(商城宝箱!G$23:G$42,MATCH(玩家节奏1!$BK44+1,商城宝箱!$C$23:$C$42,0))</f>
        <v>3027</v>
      </c>
      <c r="BO44" s="90">
        <f ca="1">_xlfn.IFNA(INDEX(商城宝箱!W:W,MATCH(玩家节奏1!$BK44,商城宝箱!$L:$L,0)),0)+($BC44-INDEX(商城宝箱!$N:$N,MATCH(玩家节奏1!$BK44,商城宝箱!$L:$L,0)))/$BK$5*INDEX(商城宝箱!H$23:H$42,MATCH(玩家节奏1!$BK44+1,商城宝箱!$C$23:$C$42,0))</f>
        <v>428.5</v>
      </c>
      <c r="BQ44" s="128">
        <f t="shared" si="71"/>
        <v>326800</v>
      </c>
      <c r="BR44" s="90">
        <f t="shared" si="72"/>
        <v>56260</v>
      </c>
      <c r="BS44" s="90">
        <f t="shared" ca="1" si="73"/>
        <v>143944</v>
      </c>
      <c r="BT44" s="90">
        <f t="shared" si="74"/>
        <v>5800</v>
      </c>
      <c r="BU44" s="90">
        <f t="shared" si="75"/>
        <v>21000</v>
      </c>
      <c r="BV44" s="90">
        <f t="shared" si="76"/>
        <v>19000</v>
      </c>
      <c r="BW44" s="90">
        <f t="shared" ca="1" si="22"/>
        <v>28750</v>
      </c>
      <c r="BX44" s="90">
        <f t="shared" ca="1" si="23"/>
        <v>601554</v>
      </c>
      <c r="BY44" s="142">
        <f t="shared" ca="1" si="24"/>
        <v>0.54325962423988539</v>
      </c>
      <c r="BZ44" s="142">
        <f t="shared" ca="1" si="25"/>
        <v>9.3524438371285032E-2</v>
      </c>
      <c r="CA44" s="142">
        <f t="shared" ca="1" si="26"/>
        <v>0.23928691356054485</v>
      </c>
      <c r="CB44" s="142">
        <f t="shared" ca="1" si="27"/>
        <v>9.6416946774520659E-3</v>
      </c>
      <c r="CC44" s="142">
        <f t="shared" ca="1" si="28"/>
        <v>3.4909584176981617E-2</v>
      </c>
      <c r="CD44" s="142">
        <f t="shared" ca="1" si="29"/>
        <v>3.1584861874411937E-2</v>
      </c>
      <c r="CE44" s="142">
        <f t="shared" ca="1" si="30"/>
        <v>4.7792883099439118E-2</v>
      </c>
      <c r="CG44" s="128">
        <f t="shared" si="31"/>
        <v>36</v>
      </c>
      <c r="CH44" s="90">
        <f ca="1">INDEX(角色升级!$A:$A,MATCH(玩家节奏1!$BX44,角色升级!$J:$J,1))</f>
        <v>242</v>
      </c>
      <c r="CI44" s="90">
        <f ca="1">INDEX(角色升级!$O:$O,MATCH(玩家节奏1!$BX44,角色升级!$J:$J,1))</f>
        <v>4250.9416950000004</v>
      </c>
      <c r="CJ44" s="90">
        <f>INDEX(关卡对比!$J:$J,MATCH(玩家节奏1!N44,关卡对比!$A:$A,0))</f>
        <v>5800</v>
      </c>
      <c r="CK44" s="147">
        <f t="shared" ca="1" si="32"/>
        <v>1.3644035642319012</v>
      </c>
      <c r="CL44" s="128">
        <f ca="1">INDEX(角色升级!$P:$P,MATCH(玩家节奏1!$CH44,角色升级!$A:$A,0))</f>
        <v>950</v>
      </c>
      <c r="CM44" s="90">
        <f ca="1">INDEX(角色升级!Q:Q,MATCH(玩家节奏1!$CH44,角色升级!$A:$A,0))</f>
        <v>0.1</v>
      </c>
      <c r="CO44" s="128">
        <f t="shared" si="33"/>
        <v>2442</v>
      </c>
      <c r="CP44" s="90">
        <f t="shared" si="34"/>
        <v>3286</v>
      </c>
      <c r="CQ44" s="90">
        <f t="shared" si="35"/>
        <v>4480</v>
      </c>
      <c r="CR44" s="90">
        <f t="shared" ca="1" si="36"/>
        <v>6712.5</v>
      </c>
      <c r="CS44" s="90">
        <f t="shared" ca="1" si="37"/>
        <v>16920.5</v>
      </c>
      <c r="CT44" s="142">
        <f t="shared" ca="1" si="38"/>
        <v>0.14432197630093674</v>
      </c>
      <c r="CU44" s="142">
        <f t="shared" ca="1" si="39"/>
        <v>0.19420229898643657</v>
      </c>
      <c r="CV44" s="142">
        <f t="shared" ca="1" si="40"/>
        <v>0.26476758961023611</v>
      </c>
      <c r="CW44" s="142">
        <f t="shared" ca="1" si="41"/>
        <v>0.39670813510239061</v>
      </c>
      <c r="CY44" s="128">
        <f t="shared" si="42"/>
        <v>1222</v>
      </c>
      <c r="CZ44" s="90">
        <f t="shared" si="43"/>
        <v>1586</v>
      </c>
      <c r="DA44" s="90">
        <f t="shared" si="44"/>
        <v>1856</v>
      </c>
      <c r="DB44" s="90">
        <f t="shared" ca="1" si="66"/>
        <v>3027</v>
      </c>
      <c r="DC44" s="90">
        <f t="shared" ca="1" si="45"/>
        <v>7691</v>
      </c>
      <c r="DD44" s="142">
        <f t="shared" ca="1" si="46"/>
        <v>0.15888701079183462</v>
      </c>
      <c r="DE44" s="142">
        <f t="shared" ca="1" si="47"/>
        <v>0.20621505655961514</v>
      </c>
      <c r="DF44" s="142">
        <f t="shared" ca="1" si="48"/>
        <v>0.24132102457417762</v>
      </c>
      <c r="DG44" s="142">
        <f t="shared" ca="1" si="49"/>
        <v>0.39357690807437262</v>
      </c>
      <c r="DI44" s="128">
        <f t="shared" si="50"/>
        <v>499</v>
      </c>
      <c r="DJ44" s="90">
        <f t="shared" si="51"/>
        <v>652</v>
      </c>
      <c r="DK44" s="90">
        <f t="shared" si="52"/>
        <v>416</v>
      </c>
      <c r="DL44" s="90">
        <f t="shared" ca="1" si="53"/>
        <v>428.5</v>
      </c>
      <c r="DM44" s="90">
        <f t="shared" ca="1" si="54"/>
        <v>1995.5</v>
      </c>
      <c r="DN44" s="142">
        <f t="shared" ca="1" si="55"/>
        <v>0.25006264094211977</v>
      </c>
      <c r="DO44" s="142">
        <f t="shared" ca="1" si="56"/>
        <v>0.32673515409671761</v>
      </c>
      <c r="DP44" s="142">
        <f t="shared" ca="1" si="57"/>
        <v>0.20846905537459284</v>
      </c>
      <c r="DQ44" s="142">
        <f t="shared" ca="1" si="58"/>
        <v>0.21473314958656978</v>
      </c>
      <c r="DS44" s="128">
        <f t="shared" ca="1" si="59"/>
        <v>16920.5</v>
      </c>
      <c r="DT44" s="90">
        <f t="shared" ca="1" si="60"/>
        <v>7691</v>
      </c>
      <c r="DU44" s="90">
        <f t="shared" ca="1" si="61"/>
        <v>1995.5</v>
      </c>
      <c r="DV44" s="90">
        <f t="shared" si="62"/>
        <v>21</v>
      </c>
      <c r="DW44" s="90">
        <f ca="1">_xlfn.IFNA(INDEX(武器升级消耗!$H:$H,MATCH(玩家节奏1!DS44/玩家节奏1!DS$5,武器升级消耗!M:M,1)),0)</f>
        <v>14</v>
      </c>
      <c r="DX44" s="90">
        <f ca="1">_xlfn.IFNA(INDEX(武器升级消耗!$H:$H,MATCH(玩家节奏1!DT44/玩家节奏1!DT$5,武器升级消耗!N:N,1)),0)</f>
        <v>11</v>
      </c>
      <c r="DY44" s="90">
        <f ca="1">_xlfn.IFNA(INDEX(武器升级消耗!$H:$H,MATCH(玩家节奏1!DU44/玩家节奏1!DU$5,武器升级消耗!O:O,1)),0)</f>
        <v>7</v>
      </c>
      <c r="DZ44" s="90">
        <f>_xlfn.IFNA(INDEX(武器升级消耗!$H:$H,MATCH(玩家节奏1!DV44/玩家节奏1!DV$5,武器升级消耗!P:P,1)),0)</f>
        <v>5</v>
      </c>
      <c r="EA44" s="90">
        <f ca="1">_xlfn.IFNA(INDEX(武器升级消耗!$Q:$Q,MATCH(玩家节奏1!DW44,武器升级消耗!$H:$H,0))*2*EA$4,0)</f>
        <v>2.16</v>
      </c>
      <c r="EB44" s="90">
        <f ca="1">_xlfn.IFNA(INDEX(武器升级消耗!$Q:$Q,MATCH(玩家节奏1!DX44,武器升级消耗!$H:$H,0))*2*EB$4,0)</f>
        <v>2.25</v>
      </c>
      <c r="EC44" s="90">
        <f ca="1">_xlfn.IFNA(INDEX(武器升级消耗!$Q:$Q,MATCH(玩家节奏1!DY44,武器升级消耗!$H:$H,0))*2*EC$4,1)</f>
        <v>2.4200000000000004</v>
      </c>
      <c r="ED44" s="90">
        <f>_xlfn.IFNA(INDEX(武器升级消耗!$Q:$Q,MATCH(玩家节奏1!DZ44,武器升级消耗!$H:$H,0))*2*ED$4,0)</f>
        <v>2.7</v>
      </c>
      <c r="EF44" s="128"/>
      <c r="EG44" s="90"/>
      <c r="EH44" s="90"/>
      <c r="EI44" s="90"/>
      <c r="EJ44" s="90"/>
      <c r="EK44" s="90"/>
      <c r="EL44" s="90"/>
      <c r="EM44" s="90"/>
      <c r="EO44" s="128"/>
      <c r="EP44" s="90"/>
      <c r="EQ44" s="90"/>
      <c r="ER44" s="90"/>
      <c r="ES44" s="90"/>
      <c r="ET44" s="90"/>
      <c r="EU44" s="90"/>
      <c r="EV44" s="90"/>
      <c r="EW44" s="90"/>
      <c r="EX44" s="90"/>
      <c r="EY44" s="90"/>
      <c r="EZ44" s="90"/>
      <c r="FA44" s="90"/>
      <c r="FB44" s="90"/>
      <c r="FD44" s="90">
        <f t="shared" ca="1" si="63"/>
        <v>2.4200000000000004</v>
      </c>
      <c r="FE44" s="90"/>
      <c r="FF44" s="90"/>
      <c r="FG44" s="90">
        <f t="shared" ca="1" si="64"/>
        <v>0</v>
      </c>
    </row>
    <row r="45" spans="1:163" x14ac:dyDescent="0.25">
      <c r="A45" s="123">
        <v>39</v>
      </c>
      <c r="B45" s="123">
        <f>INDEX(关卡对比!$Y:$Y,MATCH(关卡对比!Z45,关卡对比!$AA:$AA,1))</f>
        <v>27</v>
      </c>
      <c r="C45" s="124">
        <f>INDEX(关卡对比!$Y:$Y,MATCH(关卡对比!Z45,关卡对比!$AB:$AB,1))</f>
        <v>21</v>
      </c>
      <c r="D45" s="125">
        <f t="shared" si="70"/>
        <v>230.5</v>
      </c>
      <c r="E45" s="125">
        <v>3</v>
      </c>
      <c r="F45" s="128">
        <v>5</v>
      </c>
      <c r="G45" s="90">
        <v>1</v>
      </c>
      <c r="H45" s="90">
        <v>1</v>
      </c>
      <c r="J45" s="128">
        <v>39</v>
      </c>
      <c r="K45" s="90">
        <f t="shared" si="77"/>
        <v>5</v>
      </c>
      <c r="L45" s="90">
        <f t="shared" si="78"/>
        <v>1</v>
      </c>
      <c r="M45" s="90">
        <f t="shared" si="79"/>
        <v>1</v>
      </c>
      <c r="N45" s="140">
        <f>INDEX($A:$A,MATCH(SUM($K$7:K45),$D:$D,1))</f>
        <v>37</v>
      </c>
      <c r="O45" s="140">
        <v>0</v>
      </c>
      <c r="P45" s="141">
        <v>0</v>
      </c>
      <c r="Q45" s="126">
        <f>_xlfn.MAXIFS(关卡产出!X:X,关卡产出!$A:$A,玩家节奏1!$N$6,关卡产出!$B:$B,玩家节奏1!$N45)+_xlfn.MAXIFS(关卡产出!X:X,关卡产出!$A:$A,玩家节奏1!$O$6,关卡产出!$B:$B,玩家节奏1!$O45)+_xlfn.MAXIFS(关卡产出!X:X,关卡产出!$A:$A,玩家节奏1!$P$6,关卡产出!$B:$B,玩家节奏1!$P45)</f>
        <v>5900</v>
      </c>
      <c r="R45" s="90">
        <f>_xlfn.MAXIFS(关卡产出!Y:Y,关卡产出!$A:$A,玩家节奏1!$N$6,关卡产出!$B:$B,玩家节奏1!$N45)+_xlfn.MAXIFS(关卡产出!Y:Y,关卡产出!$A:$A,玩家节奏1!$O$6,关卡产出!$B:$B,玩家节奏1!$O45)+_xlfn.MAXIFS(关卡产出!Y:Y,关卡产出!$A:$A,玩家节奏1!$P$6,关卡产出!$B:$B,玩家节奏1!$P45)</f>
        <v>346700</v>
      </c>
      <c r="S45" s="90">
        <f>_xlfn.MAXIFS(关卡产出!Z:Z,关卡产出!$A:$A,玩家节奏1!$N$6,关卡产出!$B:$B,玩家节奏1!$N45)+_xlfn.MAXIFS(关卡产出!Z:Z,关卡产出!$A:$A,玩家节奏1!$O$6,关卡产出!$B:$B,玩家节奏1!$O45)+_xlfn.MAXIFS(关卡产出!Z:Z,关卡产出!$A:$A,玩家节奏1!$P$6,关卡产出!$B:$B,玩家节奏1!$P45)</f>
        <v>2582</v>
      </c>
      <c r="T45" s="90">
        <f>_xlfn.MAXIFS(关卡产出!AA:AA,关卡产出!$A:$A,玩家节奏1!$N$6,关卡产出!$B:$B,玩家节奏1!$N45)+_xlfn.MAXIFS(关卡产出!AA:AA,关卡产出!$A:$A,玩家节奏1!$O$6,关卡产出!$B:$B,玩家节奏1!$O45)+_xlfn.MAXIFS(关卡产出!AA:AA,关卡产出!$A:$A,玩家节奏1!$P$6,关卡产出!$B:$B,玩家节奏1!$P45)</f>
        <v>1292</v>
      </c>
      <c r="U45" s="90">
        <f>_xlfn.MAXIFS(关卡产出!AB:AB,关卡产出!$A:$A,玩家节奏1!$N$6,关卡产出!$B:$B,玩家节奏1!$N45)+_xlfn.MAXIFS(关卡产出!AB:AB,关卡产出!$A:$A,玩家节奏1!$O$6,关卡产出!$B:$B,玩家节奏1!$O45)+_xlfn.MAXIFS(关卡产出!AB:AB,关卡产出!$A:$A,玩家节奏1!$P$6,关卡产出!$B:$B,玩家节奏1!$P45)</f>
        <v>531</v>
      </c>
      <c r="V45" s="130">
        <f>_xlfn.MAXIFS(关卡产出!AC:AC,关卡产出!$A:$A,玩家节奏1!$N$6,关卡产出!$B:$B,玩家节奏1!$N45)+_xlfn.MAXIFS(关卡产出!AC:AC,关卡产出!$A:$A,玩家节奏1!$O$6,关卡产出!$B:$B,玩家节奏1!$O45)+_xlfn.MAXIFS(关卡产出!AC:AC,关卡产出!$A:$A,玩家节奏1!$P$6,关卡产出!$B:$B,玩家节奏1!$P45)</f>
        <v>222</v>
      </c>
      <c r="W45" s="126">
        <f>INDEX(关卡产出!C$8:C$207,MATCH(玩家节奏1!$N45,关卡产出!$B$8:$B$207,0))*$K45</f>
        <v>140</v>
      </c>
      <c r="X45" s="126">
        <f>INDEX(关卡产出!D$8:D$207,MATCH(玩家节奏1!$N45,关卡产出!$B$8:$B$207,0))*$K45</f>
        <v>70</v>
      </c>
      <c r="Y45" s="126">
        <f>INDEX(关卡产出!E$8:E$207,MATCH(玩家节奏1!$N45,关卡产出!$B$8:$B$207,0))*$K45</f>
        <v>30</v>
      </c>
      <c r="Z45" s="144">
        <f>INDEX(关卡产出!F$8:F$207,MATCH(玩家节奏1!$N45,关卡产出!$B$8:$B$207,0))*$K45</f>
        <v>2150</v>
      </c>
      <c r="AA45" s="126">
        <f>SUM(W$7:W45)</f>
        <v>3426</v>
      </c>
      <c r="AB45" s="126">
        <f>SUM(X$7:X45)</f>
        <v>1656</v>
      </c>
      <c r="AC45" s="126">
        <f>SUM(Y$7:Y45)</f>
        <v>682</v>
      </c>
      <c r="AD45" s="126">
        <f>SUM(Z$7:Z45)</f>
        <v>58410</v>
      </c>
      <c r="AE45" s="126">
        <f>INDEX(图鉴!AQ:AQ,MATCH($N45,图鉴!$S:$S,0))*8</f>
        <v>144</v>
      </c>
      <c r="AF45" s="90">
        <f>INDEX(图鉴!AR:AR,MATCH($N45,图鉴!$S:$S,0))*8</f>
        <v>72</v>
      </c>
      <c r="AG45" s="90">
        <f>INDEX(图鉴!AS:AS,MATCH($N45,图鉴!$S:$S,0))*8</f>
        <v>32</v>
      </c>
      <c r="AH45" s="129">
        <f ca="1">INDEX(图鉴!AT:AT,MATCH($N45,图鉴!$S:$S,0))*8</f>
        <v>5248</v>
      </c>
      <c r="AI45" s="128">
        <f>SUM($AE$7:AE45)</f>
        <v>4624</v>
      </c>
      <c r="AJ45" s="90">
        <f>SUM(AF$7:AF45)</f>
        <v>1928</v>
      </c>
      <c r="AK45" s="90">
        <f>SUM(AG$7:AG45)</f>
        <v>448</v>
      </c>
      <c r="AL45" s="130">
        <f ca="1">SUM(AH$7:AH45)</f>
        <v>149192</v>
      </c>
      <c r="AM45" s="133">
        <f>IF(M45=0,0,INDEX(关卡产出!$AU$11:$AU$15,MATCH(玩家节奏1!N45,关卡产出!$AW$11:$AW$15,1))*M45)</f>
        <v>5800</v>
      </c>
      <c r="AN45" s="126">
        <f>IF(L45=0,0,$L45*关卡产出!AU$21)</f>
        <v>1000</v>
      </c>
      <c r="AO45" s="90">
        <f>IF(M45=0,0,$L45*关卡产出!AV$21)</f>
        <v>50</v>
      </c>
      <c r="AP45" s="129">
        <f>IF(N45=0,0,$L45*关卡产出!AW$21)</f>
        <v>1</v>
      </c>
      <c r="AQ45" s="138">
        <f>SUM(AN$7:AN45)</f>
        <v>22000</v>
      </c>
      <c r="AR45" s="126">
        <f>SUM(AO$7:AO45)</f>
        <v>1100</v>
      </c>
      <c r="AS45" s="129">
        <f>SUM(AP$7:AP45)</f>
        <v>22</v>
      </c>
      <c r="AT45" s="128">
        <v>500</v>
      </c>
      <c r="AU45" s="129">
        <v>100</v>
      </c>
      <c r="AV45" s="128">
        <f>SUM(AT$7:AT45)</f>
        <v>19500</v>
      </c>
      <c r="AW45" s="90">
        <f>SUM(AU$7:AU45)</f>
        <v>3900</v>
      </c>
      <c r="AY45" s="128">
        <f t="shared" si="13"/>
        <v>5900</v>
      </c>
      <c r="AZ45" s="90">
        <f t="shared" si="14"/>
        <v>1100</v>
      </c>
      <c r="BA45" s="90">
        <f t="shared" si="15"/>
        <v>3900</v>
      </c>
      <c r="BB45" s="90">
        <f t="shared" ca="1" si="65"/>
        <v>950</v>
      </c>
      <c r="BC45" s="90">
        <f t="shared" ca="1" si="68"/>
        <v>11850</v>
      </c>
      <c r="BD45" s="90"/>
      <c r="BE45" s="90">
        <f t="shared" ca="1" si="17"/>
        <v>11850</v>
      </c>
      <c r="BF45" s="142">
        <f t="shared" ca="1" si="18"/>
        <v>0.49789029535864981</v>
      </c>
      <c r="BG45" s="142">
        <f t="shared" ca="1" si="19"/>
        <v>9.2827004219409287E-2</v>
      </c>
      <c r="BH45" s="142">
        <f t="shared" ca="1" si="80"/>
        <v>0.32911392405063289</v>
      </c>
      <c r="BI45" s="142">
        <f t="shared" ca="1" si="81"/>
        <v>8.0168776371308023E-2</v>
      </c>
      <c r="BJ45" s="143"/>
      <c r="BK45" s="128">
        <f ca="1">INDEX(商城宝箱!$L:$L,MATCH(BC45,商城宝箱!$N:$N,1))</f>
        <v>5</v>
      </c>
      <c r="BL45" s="90">
        <f ca="1">_xlfn.IFNA(INDEX(商城宝箱!T:T,MATCH(玩家节奏1!$BK45,商城宝箱!$L:$L,0)),0)+($BC45-INDEX(商城宝箱!$N:$N,MATCH(玩家节奏1!$BK45,商城宝箱!$L:$L,0)))/$BK$5*INDEX(商城宝箱!E$23:E$42,MATCH(玩家节奏1!$BK45+1,商城宝箱!$C$23:$C$42,0))</f>
        <v>29625</v>
      </c>
      <c r="BM45" s="90">
        <f ca="1">_xlfn.IFNA(INDEX(商城宝箱!U:U,MATCH(玩家节奏1!$BK45,商城宝箱!$L:$L,0)),0)+($BC45-INDEX(商城宝箱!$N:$N,MATCH(玩家节奏1!$BK45,商城宝箱!$L:$L,0)))/$BK$5*INDEX(商城宝箱!F$23:F$42,MATCH(玩家节奏1!$BK45+1,商城宝箱!$C$23:$C$42,0))</f>
        <v>7062.5</v>
      </c>
      <c r="BN45" s="90">
        <f ca="1">_xlfn.IFNA(INDEX(商城宝箱!V:V,MATCH(玩家节奏1!$BK45,商城宝箱!$L:$L,0)),0)+($BC45-INDEX(商城宝箱!$N:$N,MATCH(玩家节奏1!$BK45,商城宝箱!$L:$L,0)))/$BK$5*INDEX(商城宝箱!G$23:G$42,MATCH(玩家节奏1!$BK45+1,商城宝箱!$C$23:$C$42,0))</f>
        <v>3237</v>
      </c>
      <c r="BO45" s="90">
        <f ca="1">_xlfn.IFNA(INDEX(商城宝箱!W:W,MATCH(玩家节奏1!$BK45,商城宝箱!$L:$L,0)),0)+($BC45-INDEX(商城宝箱!$N:$N,MATCH(玩家节奏1!$BK45,商城宝箱!$L:$L,0)))/$BK$5*INDEX(商城宝箱!H$23:H$42,MATCH(玩家节奏1!$BK45+1,商城宝箱!$C$23:$C$42,0))</f>
        <v>456.5</v>
      </c>
      <c r="BQ45" s="128">
        <f t="shared" si="71"/>
        <v>346700</v>
      </c>
      <c r="BR45" s="90">
        <f t="shared" si="72"/>
        <v>58410</v>
      </c>
      <c r="BS45" s="90">
        <f t="shared" ca="1" si="73"/>
        <v>149192</v>
      </c>
      <c r="BT45" s="90">
        <f t="shared" si="74"/>
        <v>5800</v>
      </c>
      <c r="BU45" s="90">
        <f t="shared" si="75"/>
        <v>22000</v>
      </c>
      <c r="BV45" s="90">
        <f t="shared" si="76"/>
        <v>19500</v>
      </c>
      <c r="BW45" s="90">
        <f t="shared" ca="1" si="22"/>
        <v>29625</v>
      </c>
      <c r="BX45" s="90">
        <f t="shared" ca="1" si="23"/>
        <v>631227</v>
      </c>
      <c r="BY45" s="142">
        <f t="shared" ca="1" si="24"/>
        <v>0.54924773496697699</v>
      </c>
      <c r="BZ45" s="142">
        <f t="shared" ca="1" si="25"/>
        <v>9.2534064607502534E-2</v>
      </c>
      <c r="CA45" s="142">
        <f t="shared" ca="1" si="26"/>
        <v>0.23635237402709328</v>
      </c>
      <c r="CB45" s="142">
        <f t="shared" ca="1" si="27"/>
        <v>9.1884535991014326E-3</v>
      </c>
      <c r="CC45" s="142">
        <f t="shared" ca="1" si="28"/>
        <v>3.4852755031074399E-2</v>
      </c>
      <c r="CD45" s="142">
        <f t="shared" ca="1" si="29"/>
        <v>3.0892214686634126E-2</v>
      </c>
      <c r="CE45" s="142">
        <f t="shared" ca="1" si="30"/>
        <v>4.6932403081617231E-2</v>
      </c>
      <c r="CG45" s="128">
        <f t="shared" si="31"/>
        <v>37</v>
      </c>
      <c r="CH45" s="90">
        <f ca="1">INDEX(角色升级!$A:$A,MATCH(玩家节奏1!$BX45,角色升级!$J:$J,1))</f>
        <v>246</v>
      </c>
      <c r="CI45" s="90">
        <f ca="1">INDEX(角色升级!$O:$O,MATCH(玩家节奏1!$BX45,角色升级!$J:$J,1))</f>
        <v>4654.7250750000003</v>
      </c>
      <c r="CJ45" s="90">
        <f>INDEX(关卡对比!$J:$J,MATCH(玩家节奏1!N45,关卡对比!$A:$A,0))</f>
        <v>6100</v>
      </c>
      <c r="CK45" s="147">
        <f t="shared" ca="1" si="32"/>
        <v>1.3104963025125602</v>
      </c>
      <c r="CL45" s="128">
        <f ca="1">INDEX(角色升级!$P:$P,MATCH(玩家节奏1!$CH45,角色升级!$A:$A,0))</f>
        <v>950</v>
      </c>
      <c r="CM45" s="90">
        <f ca="1">INDEX(角色升级!Q:Q,MATCH(玩家节奏1!$CH45,角色升级!$A:$A,0))</f>
        <v>0.1</v>
      </c>
      <c r="CO45" s="128">
        <f t="shared" si="33"/>
        <v>2582</v>
      </c>
      <c r="CP45" s="90">
        <f t="shared" si="34"/>
        <v>3426</v>
      </c>
      <c r="CQ45" s="90">
        <f t="shared" si="35"/>
        <v>4624</v>
      </c>
      <c r="CR45" s="90">
        <f t="shared" ca="1" si="36"/>
        <v>7062.5</v>
      </c>
      <c r="CS45" s="90">
        <f t="shared" ca="1" si="37"/>
        <v>17694.5</v>
      </c>
      <c r="CT45" s="142">
        <f t="shared" ca="1" si="38"/>
        <v>0.14592104891350419</v>
      </c>
      <c r="CU45" s="142">
        <f t="shared" ca="1" si="39"/>
        <v>0.19361948628104778</v>
      </c>
      <c r="CV45" s="142">
        <f t="shared" ca="1" si="40"/>
        <v>0.26132414026957529</v>
      </c>
      <c r="CW45" s="142">
        <f t="shared" ca="1" si="41"/>
        <v>0.39913532453587275</v>
      </c>
      <c r="CY45" s="128">
        <f t="shared" si="42"/>
        <v>1292</v>
      </c>
      <c r="CZ45" s="90">
        <f t="shared" si="43"/>
        <v>1656</v>
      </c>
      <c r="DA45" s="90">
        <f t="shared" si="44"/>
        <v>1928</v>
      </c>
      <c r="DB45" s="90">
        <f t="shared" ca="1" si="66"/>
        <v>3237</v>
      </c>
      <c r="DC45" s="90">
        <f t="shared" ca="1" si="45"/>
        <v>8113</v>
      </c>
      <c r="DD45" s="142">
        <f t="shared" ca="1" si="46"/>
        <v>0.15925058548009369</v>
      </c>
      <c r="DE45" s="142">
        <f t="shared" ca="1" si="47"/>
        <v>0.2041168495008012</v>
      </c>
      <c r="DF45" s="142">
        <f t="shared" ca="1" si="48"/>
        <v>0.23764328854924197</v>
      </c>
      <c r="DG45" s="142">
        <f t="shared" ca="1" si="49"/>
        <v>0.39898927646986321</v>
      </c>
      <c r="DI45" s="128">
        <f t="shared" si="50"/>
        <v>531</v>
      </c>
      <c r="DJ45" s="90">
        <f t="shared" si="51"/>
        <v>682</v>
      </c>
      <c r="DK45" s="90">
        <f t="shared" si="52"/>
        <v>448</v>
      </c>
      <c r="DL45" s="90">
        <f t="shared" ca="1" si="53"/>
        <v>456.5</v>
      </c>
      <c r="DM45" s="90">
        <f t="shared" ca="1" si="54"/>
        <v>2117.5</v>
      </c>
      <c r="DN45" s="142">
        <f t="shared" ca="1" si="55"/>
        <v>0.25076741440377803</v>
      </c>
      <c r="DO45" s="142">
        <f t="shared" ca="1" si="56"/>
        <v>0.32207792207792207</v>
      </c>
      <c r="DP45" s="142">
        <f t="shared" ca="1" si="57"/>
        <v>0.21157024793388429</v>
      </c>
      <c r="DQ45" s="142">
        <f t="shared" ca="1" si="58"/>
        <v>0.21558441558441557</v>
      </c>
      <c r="DS45" s="128">
        <f t="shared" ca="1" si="59"/>
        <v>17694.5</v>
      </c>
      <c r="DT45" s="90">
        <f t="shared" ca="1" si="60"/>
        <v>8113</v>
      </c>
      <c r="DU45" s="90">
        <f t="shared" ca="1" si="61"/>
        <v>2117.5</v>
      </c>
      <c r="DV45" s="90">
        <f t="shared" si="62"/>
        <v>22</v>
      </c>
      <c r="DW45" s="90">
        <f ca="1">_xlfn.IFNA(INDEX(武器升级消耗!$H:$H,MATCH(玩家节奏1!DS45/玩家节奏1!DS$5,武器升级消耗!M:M,1)),0)</f>
        <v>14</v>
      </c>
      <c r="DX45" s="90">
        <f ca="1">_xlfn.IFNA(INDEX(武器升级消耗!$H:$H,MATCH(玩家节奏1!DT45/玩家节奏1!DT$5,武器升级消耗!N:N,1)),0)</f>
        <v>11</v>
      </c>
      <c r="DY45" s="90">
        <f ca="1">_xlfn.IFNA(INDEX(武器升级消耗!$H:$H,MATCH(玩家节奏1!DU45/玩家节奏1!DU$5,武器升级消耗!O:O,1)),0)</f>
        <v>7</v>
      </c>
      <c r="DZ45" s="90">
        <f>_xlfn.IFNA(INDEX(武器升级消耗!$H:$H,MATCH(玩家节奏1!DV45/玩家节奏1!DV$5,武器升级消耗!P:P,1)),0)</f>
        <v>5</v>
      </c>
      <c r="EA45" s="90">
        <f ca="1">_xlfn.IFNA(INDEX(武器升级消耗!$Q:$Q,MATCH(玩家节奏1!DW45,武器升级消耗!$H:$H,0))*2*EA$4,0)</f>
        <v>2.16</v>
      </c>
      <c r="EB45" s="90">
        <f ca="1">_xlfn.IFNA(INDEX(武器升级消耗!$Q:$Q,MATCH(玩家节奏1!DX45,武器升级消耗!$H:$H,0))*2*EB$4,0)</f>
        <v>2.25</v>
      </c>
      <c r="EC45" s="90">
        <f ca="1">_xlfn.IFNA(INDEX(武器升级消耗!$Q:$Q,MATCH(玩家节奏1!DY45,武器升级消耗!$H:$H,0))*2*EC$4,1)</f>
        <v>2.4200000000000004</v>
      </c>
      <c r="ED45" s="90">
        <f>_xlfn.IFNA(INDEX(武器升级消耗!$Q:$Q,MATCH(玩家节奏1!DZ45,武器升级消耗!$H:$H,0))*2*ED$4,0)</f>
        <v>2.7</v>
      </c>
      <c r="EF45" s="128"/>
      <c r="EG45" s="90"/>
      <c r="EH45" s="90"/>
      <c r="EI45" s="90"/>
      <c r="EJ45" s="90"/>
      <c r="EK45" s="90"/>
      <c r="EL45" s="90"/>
      <c r="EM45" s="90"/>
      <c r="EO45" s="128"/>
      <c r="EP45" s="90"/>
      <c r="EQ45" s="90"/>
      <c r="ER45" s="90"/>
      <c r="ES45" s="90"/>
      <c r="ET45" s="90"/>
      <c r="EU45" s="90"/>
      <c r="EV45" s="90"/>
      <c r="EW45" s="90"/>
      <c r="EX45" s="90"/>
      <c r="EY45" s="90"/>
      <c r="EZ45" s="90"/>
      <c r="FA45" s="90"/>
      <c r="FB45" s="90"/>
      <c r="FD45" s="90">
        <f t="shared" ca="1" si="63"/>
        <v>2.4200000000000004</v>
      </c>
      <c r="FE45" s="90"/>
      <c r="FF45" s="90"/>
      <c r="FG45" s="90">
        <f t="shared" ca="1" si="64"/>
        <v>0</v>
      </c>
    </row>
    <row r="46" spans="1:163" x14ac:dyDescent="0.25">
      <c r="A46" s="123">
        <v>40</v>
      </c>
      <c r="B46" s="123">
        <f>INDEX(关卡对比!$Y:$Y,MATCH(关卡对比!Z46,关卡对比!$AA:$AA,1))</f>
        <v>28</v>
      </c>
      <c r="C46" s="124">
        <f>INDEX(关卡对比!$Y:$Y,MATCH(关卡对比!Z46,关卡对比!$AB:$AB,1))</f>
        <v>22</v>
      </c>
      <c r="D46" s="125">
        <f t="shared" si="70"/>
        <v>239.5</v>
      </c>
      <c r="E46" s="125">
        <v>3</v>
      </c>
      <c r="F46" s="128">
        <v>5</v>
      </c>
      <c r="G46" s="90">
        <v>1</v>
      </c>
      <c r="H46" s="90">
        <v>1</v>
      </c>
      <c r="J46" s="128">
        <v>40</v>
      </c>
      <c r="K46" s="90">
        <f t="shared" si="77"/>
        <v>5</v>
      </c>
      <c r="L46" s="90">
        <f t="shared" si="78"/>
        <v>1</v>
      </c>
      <c r="M46" s="90">
        <f t="shared" si="79"/>
        <v>1</v>
      </c>
      <c r="N46" s="140">
        <f>INDEX($A:$A,MATCH(SUM($K$7:K46),$D:$D,1))</f>
        <v>37</v>
      </c>
      <c r="O46" s="140">
        <v>0</v>
      </c>
      <c r="P46" s="141">
        <v>0</v>
      </c>
      <c r="Q46" s="126">
        <f>_xlfn.MAXIFS(关卡产出!X:X,关卡产出!$A:$A,玩家节奏1!$N$6,关卡产出!$B:$B,玩家节奏1!$N46)+_xlfn.MAXIFS(关卡产出!X:X,关卡产出!$A:$A,玩家节奏1!$O$6,关卡产出!$B:$B,玩家节奏1!$O46)+_xlfn.MAXIFS(关卡产出!X:X,关卡产出!$A:$A,玩家节奏1!$P$6,关卡产出!$B:$B,玩家节奏1!$P46)</f>
        <v>5900</v>
      </c>
      <c r="R46" s="90">
        <f>_xlfn.MAXIFS(关卡产出!Y:Y,关卡产出!$A:$A,玩家节奏1!$N$6,关卡产出!$B:$B,玩家节奏1!$N46)+_xlfn.MAXIFS(关卡产出!Y:Y,关卡产出!$A:$A,玩家节奏1!$O$6,关卡产出!$B:$B,玩家节奏1!$O46)+_xlfn.MAXIFS(关卡产出!Y:Y,关卡产出!$A:$A,玩家节奏1!$P$6,关卡产出!$B:$B,玩家节奏1!$P46)</f>
        <v>346700</v>
      </c>
      <c r="S46" s="90">
        <f>_xlfn.MAXIFS(关卡产出!Z:Z,关卡产出!$A:$A,玩家节奏1!$N$6,关卡产出!$B:$B,玩家节奏1!$N46)+_xlfn.MAXIFS(关卡产出!Z:Z,关卡产出!$A:$A,玩家节奏1!$O$6,关卡产出!$B:$B,玩家节奏1!$O46)+_xlfn.MAXIFS(关卡产出!Z:Z,关卡产出!$A:$A,玩家节奏1!$P$6,关卡产出!$B:$B,玩家节奏1!$P46)</f>
        <v>2582</v>
      </c>
      <c r="T46" s="90">
        <f>_xlfn.MAXIFS(关卡产出!AA:AA,关卡产出!$A:$A,玩家节奏1!$N$6,关卡产出!$B:$B,玩家节奏1!$N46)+_xlfn.MAXIFS(关卡产出!AA:AA,关卡产出!$A:$A,玩家节奏1!$O$6,关卡产出!$B:$B,玩家节奏1!$O46)+_xlfn.MAXIFS(关卡产出!AA:AA,关卡产出!$A:$A,玩家节奏1!$P$6,关卡产出!$B:$B,玩家节奏1!$P46)</f>
        <v>1292</v>
      </c>
      <c r="U46" s="90">
        <f>_xlfn.MAXIFS(关卡产出!AB:AB,关卡产出!$A:$A,玩家节奏1!$N$6,关卡产出!$B:$B,玩家节奏1!$N46)+_xlfn.MAXIFS(关卡产出!AB:AB,关卡产出!$A:$A,玩家节奏1!$O$6,关卡产出!$B:$B,玩家节奏1!$O46)+_xlfn.MAXIFS(关卡产出!AB:AB,关卡产出!$A:$A,玩家节奏1!$P$6,关卡产出!$B:$B,玩家节奏1!$P46)</f>
        <v>531</v>
      </c>
      <c r="V46" s="130">
        <f>_xlfn.MAXIFS(关卡产出!AC:AC,关卡产出!$A:$A,玩家节奏1!$N$6,关卡产出!$B:$B,玩家节奏1!$N46)+_xlfn.MAXIFS(关卡产出!AC:AC,关卡产出!$A:$A,玩家节奏1!$O$6,关卡产出!$B:$B,玩家节奏1!$O46)+_xlfn.MAXIFS(关卡产出!AC:AC,关卡产出!$A:$A,玩家节奏1!$P$6,关卡产出!$B:$B,玩家节奏1!$P46)</f>
        <v>222</v>
      </c>
      <c r="W46" s="126">
        <f>INDEX(关卡产出!C$8:C$207,MATCH(玩家节奏1!$N46,关卡产出!$B$8:$B$207,0))*$K46</f>
        <v>140</v>
      </c>
      <c r="X46" s="126">
        <f>INDEX(关卡产出!D$8:D$207,MATCH(玩家节奏1!$N46,关卡产出!$B$8:$B$207,0))*$K46</f>
        <v>70</v>
      </c>
      <c r="Y46" s="126">
        <f>INDEX(关卡产出!E$8:E$207,MATCH(玩家节奏1!$N46,关卡产出!$B$8:$B$207,0))*$K46</f>
        <v>30</v>
      </c>
      <c r="Z46" s="144">
        <f>INDEX(关卡产出!F$8:F$207,MATCH(玩家节奏1!$N46,关卡产出!$B$8:$B$207,0))*$K46</f>
        <v>2150</v>
      </c>
      <c r="AA46" s="126">
        <f>SUM(W$7:W46)</f>
        <v>3566</v>
      </c>
      <c r="AB46" s="126">
        <f>SUM(X$7:X46)</f>
        <v>1726</v>
      </c>
      <c r="AC46" s="126">
        <f>SUM(Y$7:Y46)</f>
        <v>712</v>
      </c>
      <c r="AD46" s="126">
        <f>SUM(Z$7:Z46)</f>
        <v>60560</v>
      </c>
      <c r="AE46" s="126">
        <f>INDEX(图鉴!AQ:AQ,MATCH($N46,图鉴!$S:$S,0))*8</f>
        <v>144</v>
      </c>
      <c r="AF46" s="90">
        <f>INDEX(图鉴!AR:AR,MATCH($N46,图鉴!$S:$S,0))*8</f>
        <v>72</v>
      </c>
      <c r="AG46" s="90">
        <f>INDEX(图鉴!AS:AS,MATCH($N46,图鉴!$S:$S,0))*8</f>
        <v>32</v>
      </c>
      <c r="AH46" s="129">
        <f ca="1">INDEX(图鉴!AT:AT,MATCH($N46,图鉴!$S:$S,0))*8</f>
        <v>5248</v>
      </c>
      <c r="AI46" s="128">
        <f>SUM($AE$7:AE46)</f>
        <v>4768</v>
      </c>
      <c r="AJ46" s="90">
        <f>SUM(AF$7:AF46)</f>
        <v>2000</v>
      </c>
      <c r="AK46" s="90">
        <f>SUM(AG$7:AG46)</f>
        <v>480</v>
      </c>
      <c r="AL46" s="130">
        <f ca="1">SUM(AH$7:AH46)</f>
        <v>154440</v>
      </c>
      <c r="AM46" s="133">
        <f>IF(M46=0,0,INDEX(关卡产出!$AU$11:$AU$15,MATCH(玩家节奏1!N46,关卡产出!$AW$11:$AW$15,1))*M46)</f>
        <v>5800</v>
      </c>
      <c r="AN46" s="126">
        <f>IF(L46=0,0,$L46*关卡产出!AU$21)</f>
        <v>1000</v>
      </c>
      <c r="AO46" s="90">
        <f>IF(M46=0,0,$L46*关卡产出!AV$21)</f>
        <v>50</v>
      </c>
      <c r="AP46" s="129">
        <f>IF(N46=0,0,$L46*关卡产出!AW$21)</f>
        <v>1</v>
      </c>
      <c r="AQ46" s="138">
        <f>SUM(AN$7:AN46)</f>
        <v>23000</v>
      </c>
      <c r="AR46" s="126">
        <f>SUM(AO$7:AO46)</f>
        <v>1150</v>
      </c>
      <c r="AS46" s="129">
        <f>SUM(AP$7:AP46)</f>
        <v>23</v>
      </c>
      <c r="AT46" s="128">
        <v>500</v>
      </c>
      <c r="AU46" s="129">
        <v>100</v>
      </c>
      <c r="AV46" s="128">
        <f>SUM(AT$7:AT46)</f>
        <v>20000</v>
      </c>
      <c r="AW46" s="90">
        <f>SUM(AU$7:AU46)</f>
        <v>4000</v>
      </c>
      <c r="AY46" s="128">
        <f t="shared" si="13"/>
        <v>5900</v>
      </c>
      <c r="AZ46" s="90">
        <f t="shared" si="14"/>
        <v>1150</v>
      </c>
      <c r="BA46" s="90">
        <f t="shared" si="15"/>
        <v>4000</v>
      </c>
      <c r="BB46" s="90">
        <f t="shared" ca="1" si="65"/>
        <v>950</v>
      </c>
      <c r="BC46" s="90">
        <f t="shared" ca="1" si="68"/>
        <v>12000</v>
      </c>
      <c r="BD46" s="90"/>
      <c r="BE46" s="90">
        <f t="shared" ca="1" si="17"/>
        <v>12000</v>
      </c>
      <c r="BF46" s="142">
        <f t="shared" ca="1" si="18"/>
        <v>0.49166666666666664</v>
      </c>
      <c r="BG46" s="142">
        <f t="shared" ca="1" si="19"/>
        <v>9.583333333333334E-2</v>
      </c>
      <c r="BH46" s="142">
        <f t="shared" ca="1" si="80"/>
        <v>0.33333333333333331</v>
      </c>
      <c r="BI46" s="142">
        <f t="shared" ca="1" si="81"/>
        <v>7.9166666666666663E-2</v>
      </c>
      <c r="BJ46" s="143"/>
      <c r="BK46" s="128">
        <f ca="1">INDEX(商城宝箱!$L:$L,MATCH(BC46,商城宝箱!$N:$N,1))</f>
        <v>5</v>
      </c>
      <c r="BL46" s="90">
        <f ca="1">_xlfn.IFNA(INDEX(商城宝箱!T:T,MATCH(玩家节奏1!$BK46,商城宝箱!$L:$L,0)),0)+($BC46-INDEX(商城宝箱!$N:$N,MATCH(玩家节奏1!$BK46,商城宝箱!$L:$L,0)))/$BK$5*INDEX(商城宝箱!E$23:E$42,MATCH(玩家节奏1!$BK46+1,商城宝箱!$C$23:$C$42,0))</f>
        <v>30000</v>
      </c>
      <c r="BM46" s="90">
        <f ca="1">_xlfn.IFNA(INDEX(商城宝箱!U:U,MATCH(玩家节奏1!$BK46,商城宝箱!$L:$L,0)),0)+($BC46-INDEX(商城宝箱!$N:$N,MATCH(玩家节奏1!$BK46,商城宝箱!$L:$L,0)))/$BK$5*INDEX(商城宝箱!F$23:F$42,MATCH(玩家节奏1!$BK46+1,商城宝箱!$C$23:$C$42,0))</f>
        <v>7212.5</v>
      </c>
      <c r="BN46" s="90">
        <f ca="1">_xlfn.IFNA(INDEX(商城宝箱!V:V,MATCH(玩家节奏1!$BK46,商城宝箱!$L:$L,0)),0)+($BC46-INDEX(商城宝箱!$N:$N,MATCH(玩家节奏1!$BK46,商城宝箱!$L:$L,0)))/$BK$5*INDEX(商城宝箱!G$23:G$42,MATCH(玩家节奏1!$BK46+1,商城宝箱!$C$23:$C$42,0))</f>
        <v>3327</v>
      </c>
      <c r="BO46" s="90">
        <f ca="1">_xlfn.IFNA(INDEX(商城宝箱!W:W,MATCH(玩家节奏1!$BK46,商城宝箱!$L:$L,0)),0)+($BC46-INDEX(商城宝箱!$N:$N,MATCH(玩家节奏1!$BK46,商城宝箱!$L:$L,0)))/$BK$5*INDEX(商城宝箱!H$23:H$42,MATCH(玩家节奏1!$BK46+1,商城宝箱!$C$23:$C$42,0))</f>
        <v>468.5</v>
      </c>
      <c r="BQ46" s="128">
        <f t="shared" si="71"/>
        <v>346700</v>
      </c>
      <c r="BR46" s="90">
        <f t="shared" si="72"/>
        <v>60560</v>
      </c>
      <c r="BS46" s="90">
        <f t="shared" ca="1" si="73"/>
        <v>154440</v>
      </c>
      <c r="BT46" s="90">
        <f t="shared" si="74"/>
        <v>5800</v>
      </c>
      <c r="BU46" s="90">
        <f t="shared" si="75"/>
        <v>23000</v>
      </c>
      <c r="BV46" s="90">
        <f t="shared" si="76"/>
        <v>20000</v>
      </c>
      <c r="BW46" s="90">
        <f t="shared" ca="1" si="22"/>
        <v>30000</v>
      </c>
      <c r="BX46" s="90">
        <f t="shared" ca="1" si="23"/>
        <v>640500</v>
      </c>
      <c r="BY46" s="142">
        <f t="shared" ca="1" si="24"/>
        <v>0.54129586260733797</v>
      </c>
      <c r="BZ46" s="142">
        <f t="shared" ca="1" si="25"/>
        <v>9.4551131928181112E-2</v>
      </c>
      <c r="CA46" s="142">
        <f t="shared" ca="1" si="26"/>
        <v>0.24112412177985948</v>
      </c>
      <c r="CB46" s="142">
        <f t="shared" ca="1" si="27"/>
        <v>9.0554254488680718E-3</v>
      </c>
      <c r="CC46" s="142">
        <f t="shared" ca="1" si="28"/>
        <v>3.5909445745511318E-2</v>
      </c>
      <c r="CD46" s="142">
        <f t="shared" ca="1" si="29"/>
        <v>3.1225604996096799E-2</v>
      </c>
      <c r="CE46" s="142">
        <f t="shared" ca="1" si="30"/>
        <v>4.6838407494145202E-2</v>
      </c>
      <c r="CG46" s="128">
        <f t="shared" si="31"/>
        <v>37</v>
      </c>
      <c r="CH46" s="90">
        <f ca="1">INDEX(角色升级!$A:$A,MATCH(玩家节奏1!$BX46,角色升级!$J:$J,1))</f>
        <v>247</v>
      </c>
      <c r="CI46" s="90">
        <f ca="1">INDEX(角色升级!$O:$O,MATCH(玩家节奏1!$BX46,角色升级!$J:$J,1))</f>
        <v>4755.6709200000005</v>
      </c>
      <c r="CJ46" s="90">
        <f>INDEX(关卡对比!$J:$J,MATCH(玩家节奏1!N46,关卡对比!$A:$A,0))</f>
        <v>6100</v>
      </c>
      <c r="CK46" s="147">
        <f t="shared" ca="1" si="32"/>
        <v>1.2826791640158313</v>
      </c>
      <c r="CL46" s="128">
        <f ca="1">INDEX(角色升级!$P:$P,MATCH(玩家节奏1!$CH46,角色升级!$A:$A,0))</f>
        <v>950</v>
      </c>
      <c r="CM46" s="90">
        <f ca="1">INDEX(角色升级!Q:Q,MATCH(玩家节奏1!$CH46,角色升级!$A:$A,0))</f>
        <v>0.1</v>
      </c>
      <c r="CO46" s="128">
        <f t="shared" si="33"/>
        <v>2582</v>
      </c>
      <c r="CP46" s="90">
        <f t="shared" si="34"/>
        <v>3566</v>
      </c>
      <c r="CQ46" s="90">
        <f t="shared" si="35"/>
        <v>4768</v>
      </c>
      <c r="CR46" s="90">
        <f t="shared" ca="1" si="36"/>
        <v>7212.5</v>
      </c>
      <c r="CS46" s="90">
        <f t="shared" ca="1" si="37"/>
        <v>18128.5</v>
      </c>
      <c r="CT46" s="142">
        <f t="shared" ca="1" si="38"/>
        <v>0.14242766913975233</v>
      </c>
      <c r="CU46" s="142">
        <f t="shared" ca="1" si="39"/>
        <v>0.19670684281655956</v>
      </c>
      <c r="CV46" s="142">
        <f t="shared" ca="1" si="40"/>
        <v>0.26301128058030171</v>
      </c>
      <c r="CW46" s="142">
        <f t="shared" ca="1" si="41"/>
        <v>0.3978542074633864</v>
      </c>
      <c r="CY46" s="128">
        <f t="shared" si="42"/>
        <v>1292</v>
      </c>
      <c r="CZ46" s="90">
        <f t="shared" si="43"/>
        <v>1726</v>
      </c>
      <c r="DA46" s="90">
        <f t="shared" si="44"/>
        <v>2000</v>
      </c>
      <c r="DB46" s="90">
        <f t="shared" ca="1" si="66"/>
        <v>3327</v>
      </c>
      <c r="DC46" s="90">
        <f t="shared" ca="1" si="45"/>
        <v>8345</v>
      </c>
      <c r="DD46" s="142">
        <f t="shared" ca="1" si="46"/>
        <v>0.15482324745356502</v>
      </c>
      <c r="DE46" s="142">
        <f t="shared" ca="1" si="47"/>
        <v>0.20683043738765727</v>
      </c>
      <c r="DF46" s="142">
        <f t="shared" ca="1" si="48"/>
        <v>0.23966446974236069</v>
      </c>
      <c r="DG46" s="142">
        <f t="shared" ca="1" si="49"/>
        <v>0.39868184541641699</v>
      </c>
      <c r="DI46" s="128">
        <f t="shared" si="50"/>
        <v>531</v>
      </c>
      <c r="DJ46" s="90">
        <f t="shared" si="51"/>
        <v>712</v>
      </c>
      <c r="DK46" s="90">
        <f t="shared" si="52"/>
        <v>480</v>
      </c>
      <c r="DL46" s="90">
        <f t="shared" ca="1" si="53"/>
        <v>468.5</v>
      </c>
      <c r="DM46" s="90">
        <f t="shared" ca="1" si="54"/>
        <v>2191.5</v>
      </c>
      <c r="DN46" s="142">
        <f t="shared" ca="1" si="55"/>
        <v>0.24229979466119098</v>
      </c>
      <c r="DO46" s="142">
        <f t="shared" ca="1" si="56"/>
        <v>0.32489162673967603</v>
      </c>
      <c r="DP46" s="142">
        <f t="shared" ca="1" si="57"/>
        <v>0.21902806297056809</v>
      </c>
      <c r="DQ46" s="142">
        <f t="shared" ca="1" si="58"/>
        <v>0.2137805156285649</v>
      </c>
      <c r="DS46" s="128">
        <f t="shared" ca="1" si="59"/>
        <v>18128.5</v>
      </c>
      <c r="DT46" s="90">
        <f t="shared" ca="1" si="60"/>
        <v>8345</v>
      </c>
      <c r="DU46" s="90">
        <f t="shared" ca="1" si="61"/>
        <v>2191.5</v>
      </c>
      <c r="DV46" s="90">
        <f t="shared" si="62"/>
        <v>23</v>
      </c>
      <c r="DW46" s="90">
        <f ca="1">_xlfn.IFNA(INDEX(武器升级消耗!$H:$H,MATCH(玩家节奏1!DS46/玩家节奏1!DS$5,武器升级消耗!M:M,1)),0)</f>
        <v>14</v>
      </c>
      <c r="DX46" s="90">
        <f ca="1">_xlfn.IFNA(INDEX(武器升级消耗!$H:$H,MATCH(玩家节奏1!DT46/玩家节奏1!DT$5,武器升级消耗!N:N,1)),0)</f>
        <v>11</v>
      </c>
      <c r="DY46" s="90">
        <f ca="1">_xlfn.IFNA(INDEX(武器升级消耗!$H:$H,MATCH(玩家节奏1!DU46/玩家节奏1!DU$5,武器升级消耗!O:O,1)),0)</f>
        <v>7</v>
      </c>
      <c r="DZ46" s="90">
        <f>_xlfn.IFNA(INDEX(武器升级消耗!$H:$H,MATCH(玩家节奏1!DV46/玩家节奏1!DV$5,武器升级消耗!P:P,1)),0)</f>
        <v>5</v>
      </c>
      <c r="EA46" s="90">
        <f ca="1">_xlfn.IFNA(INDEX(武器升级消耗!$Q:$Q,MATCH(玩家节奏1!DW46,武器升级消耗!$H:$H,0))*2*EA$4,0)</f>
        <v>2.16</v>
      </c>
      <c r="EB46" s="90">
        <f ca="1">_xlfn.IFNA(INDEX(武器升级消耗!$Q:$Q,MATCH(玩家节奏1!DX46,武器升级消耗!$H:$H,0))*2*EB$4,0)</f>
        <v>2.25</v>
      </c>
      <c r="EC46" s="90">
        <f ca="1">_xlfn.IFNA(INDEX(武器升级消耗!$Q:$Q,MATCH(玩家节奏1!DY46,武器升级消耗!$H:$H,0))*2*EC$4,1)</f>
        <v>2.4200000000000004</v>
      </c>
      <c r="ED46" s="90">
        <f>_xlfn.IFNA(INDEX(武器升级消耗!$Q:$Q,MATCH(玩家节奏1!DZ46,武器升级消耗!$H:$H,0))*2*ED$4,0)</f>
        <v>2.7</v>
      </c>
      <c r="EF46" s="128"/>
      <c r="EG46" s="90"/>
      <c r="EH46" s="90"/>
      <c r="EI46" s="90"/>
      <c r="EJ46" s="90"/>
      <c r="EK46" s="90"/>
      <c r="EL46" s="90"/>
      <c r="EM46" s="90"/>
      <c r="EO46" s="128"/>
      <c r="EP46" s="90"/>
      <c r="EQ46" s="90"/>
      <c r="ER46" s="90"/>
      <c r="ES46" s="90"/>
      <c r="ET46" s="90"/>
      <c r="EU46" s="90"/>
      <c r="EV46" s="90"/>
      <c r="EW46" s="90"/>
      <c r="EX46" s="90"/>
      <c r="EY46" s="90"/>
      <c r="EZ46" s="90"/>
      <c r="FA46" s="90"/>
      <c r="FB46" s="90"/>
      <c r="FD46" s="90">
        <f t="shared" ca="1" si="63"/>
        <v>2.4200000000000004</v>
      </c>
      <c r="FE46" s="90"/>
      <c r="FF46" s="90"/>
      <c r="FG46" s="90">
        <f t="shared" ca="1" si="64"/>
        <v>0</v>
      </c>
    </row>
    <row r="47" spans="1:163" x14ac:dyDescent="0.25">
      <c r="A47" s="123">
        <v>41</v>
      </c>
      <c r="B47" s="123">
        <f>INDEX(关卡对比!$Y:$Y,MATCH(关卡对比!Z47,关卡对比!$AA:$AA,1))</f>
        <v>28</v>
      </c>
      <c r="C47" s="124">
        <f>INDEX(关卡对比!$Y:$Y,MATCH(关卡对比!Z47,关卡对比!$AB:$AB,1))</f>
        <v>22</v>
      </c>
      <c r="D47" s="125">
        <f t="shared" si="70"/>
        <v>242.5</v>
      </c>
      <c r="E47" s="125">
        <v>3</v>
      </c>
      <c r="F47" s="128">
        <v>5</v>
      </c>
      <c r="G47" s="90">
        <v>1</v>
      </c>
      <c r="H47" s="90">
        <v>1</v>
      </c>
      <c r="J47" s="128">
        <v>41</v>
      </c>
      <c r="K47" s="90">
        <f t="shared" si="77"/>
        <v>5</v>
      </c>
      <c r="L47" s="90">
        <f t="shared" si="78"/>
        <v>1</v>
      </c>
      <c r="M47" s="90">
        <f t="shared" si="79"/>
        <v>1</v>
      </c>
      <c r="N47" s="140">
        <f>INDEX($A:$A,MATCH(SUM($K$7:K47),$D:$D,1))</f>
        <v>38</v>
      </c>
      <c r="O47" s="140">
        <v>0</v>
      </c>
      <c r="P47" s="141">
        <v>0</v>
      </c>
      <c r="Q47" s="126">
        <f>_xlfn.MAXIFS(关卡产出!X:X,关卡产出!$A:$A,玩家节奏1!$N$6,关卡产出!$B:$B,玩家节奏1!$N47)+_xlfn.MAXIFS(关卡产出!X:X,关卡产出!$A:$A,玩家节奏1!$O$6,关卡产出!$B:$B,玩家节奏1!$O47)+_xlfn.MAXIFS(关卡产出!X:X,关卡产出!$A:$A,玩家节奏1!$P$6,关卡产出!$B:$B,玩家节奏1!$P47)</f>
        <v>6100</v>
      </c>
      <c r="R47" s="90">
        <f>_xlfn.MAXIFS(关卡产出!Y:Y,关卡产出!$A:$A,玩家节奏1!$N$6,关卡产出!$B:$B,玩家节奏1!$N47)+_xlfn.MAXIFS(关卡产出!Y:Y,关卡产出!$A:$A,玩家节奏1!$O$6,关卡产出!$B:$B,玩家节奏1!$O47)+_xlfn.MAXIFS(关卡产出!Y:Y,关卡产出!$A:$A,玩家节奏1!$P$6,关卡产出!$B:$B,玩家节奏1!$P47)</f>
        <v>367200</v>
      </c>
      <c r="S47" s="90">
        <f>_xlfn.MAXIFS(关卡产出!Z:Z,关卡产出!$A:$A,玩家节奏1!$N$6,关卡产出!$B:$B,玩家节奏1!$N47)+_xlfn.MAXIFS(关卡产出!Z:Z,关卡产出!$A:$A,玩家节奏1!$O$6,关卡产出!$B:$B,玩家节奏1!$O47)+_xlfn.MAXIFS(关卡产出!Z:Z,关卡产出!$A:$A,玩家节奏1!$P$6,关卡产出!$B:$B,玩家节奏1!$P47)</f>
        <v>2726</v>
      </c>
      <c r="T47" s="90">
        <f>_xlfn.MAXIFS(关卡产出!AA:AA,关卡产出!$A:$A,玩家节奏1!$N$6,关卡产出!$B:$B,玩家节奏1!$N47)+_xlfn.MAXIFS(关卡产出!AA:AA,关卡产出!$A:$A,玩家节奏1!$O$6,关卡产出!$B:$B,玩家节奏1!$O47)+_xlfn.MAXIFS(关卡产出!AA:AA,关卡产出!$A:$A,玩家节奏1!$P$6,关卡产出!$B:$B,玩家节奏1!$P47)</f>
        <v>1364</v>
      </c>
      <c r="U47" s="90">
        <f>_xlfn.MAXIFS(关卡产出!AB:AB,关卡产出!$A:$A,玩家节奏1!$N$6,关卡产出!$B:$B,玩家节奏1!$N47)+_xlfn.MAXIFS(关卡产出!AB:AB,关卡产出!$A:$A,玩家节奏1!$O$6,关卡产出!$B:$B,玩家节奏1!$O47)+_xlfn.MAXIFS(关卡产出!AB:AB,关卡产出!$A:$A,玩家节奏1!$P$6,关卡产出!$B:$B,玩家节奏1!$P47)</f>
        <v>564</v>
      </c>
      <c r="V47" s="130">
        <f>_xlfn.MAXIFS(关卡产出!AC:AC,关卡产出!$A:$A,玩家节奏1!$N$6,关卡产出!$B:$B,玩家节奏1!$N47)+_xlfn.MAXIFS(关卡产出!AC:AC,关卡产出!$A:$A,玩家节奏1!$O$6,关卡产出!$B:$B,玩家节奏1!$O47)+_xlfn.MAXIFS(关卡产出!AC:AC,关卡产出!$A:$A,玩家节奏1!$P$6,关卡产出!$B:$B,玩家节奏1!$P47)</f>
        <v>228</v>
      </c>
      <c r="W47" s="126">
        <f>INDEX(关卡产出!C$8:C$207,MATCH(玩家节奏1!$N47,关卡产出!$B$8:$B$207,0))*$K47</f>
        <v>145</v>
      </c>
      <c r="X47" s="126">
        <f>INDEX(关卡产出!D$8:D$207,MATCH(玩家节奏1!$N47,关卡产出!$B$8:$B$207,0))*$K47</f>
        <v>70</v>
      </c>
      <c r="Y47" s="126">
        <f>INDEX(关卡产出!E$8:E$207,MATCH(玩家节奏1!$N47,关卡产出!$B$8:$B$207,0))*$K47</f>
        <v>35</v>
      </c>
      <c r="Z47" s="144">
        <f>INDEX(关卡产出!F$8:F$207,MATCH(玩家节奏1!$N47,关卡产出!$B$8:$B$207,0))*$K47</f>
        <v>2150</v>
      </c>
      <c r="AA47" s="126">
        <f>SUM(W$7:W47)</f>
        <v>3711</v>
      </c>
      <c r="AB47" s="126">
        <f>SUM(X$7:X47)</f>
        <v>1796</v>
      </c>
      <c r="AC47" s="126">
        <f>SUM(Y$7:Y47)</f>
        <v>747</v>
      </c>
      <c r="AD47" s="126">
        <f>SUM(Z$7:Z47)</f>
        <v>62710</v>
      </c>
      <c r="AE47" s="126">
        <f>INDEX(图鉴!AQ:AQ,MATCH($N47,图鉴!$S:$S,0))*8</f>
        <v>144</v>
      </c>
      <c r="AF47" s="90">
        <f>INDEX(图鉴!AR:AR,MATCH($N47,图鉴!$S:$S,0))*8</f>
        <v>72</v>
      </c>
      <c r="AG47" s="90">
        <f>INDEX(图鉴!AS:AS,MATCH($N47,图鉴!$S:$S,0))*8</f>
        <v>32</v>
      </c>
      <c r="AH47" s="129">
        <f ca="1">INDEX(图鉴!AT:AT,MATCH($N47,图鉴!$S:$S,0))*8</f>
        <v>5440</v>
      </c>
      <c r="AI47" s="128">
        <f>SUM($AE$7:AE47)</f>
        <v>4912</v>
      </c>
      <c r="AJ47" s="90">
        <f>SUM(AF$7:AF47)</f>
        <v>2072</v>
      </c>
      <c r="AK47" s="90">
        <f>SUM(AG$7:AG47)</f>
        <v>512</v>
      </c>
      <c r="AL47" s="130">
        <f ca="1">SUM(AH$7:AH47)</f>
        <v>159880</v>
      </c>
      <c r="AM47" s="133">
        <f>IF(M47=0,0,INDEX(关卡产出!$AU$11:$AU$15,MATCH(玩家节奏1!N47,关卡产出!$AW$11:$AW$15,1))*M47)</f>
        <v>5800</v>
      </c>
      <c r="AN47" s="126">
        <f>IF(L47=0,0,$L47*关卡产出!AU$21)</f>
        <v>1000</v>
      </c>
      <c r="AO47" s="90">
        <f>IF(M47=0,0,$L47*关卡产出!AV$21)</f>
        <v>50</v>
      </c>
      <c r="AP47" s="129">
        <f>IF(N47=0,0,$L47*关卡产出!AW$21)</f>
        <v>1</v>
      </c>
      <c r="AQ47" s="138">
        <f>SUM(AN$7:AN47)</f>
        <v>24000</v>
      </c>
      <c r="AR47" s="126">
        <f>SUM(AO$7:AO47)</f>
        <v>1200</v>
      </c>
      <c r="AS47" s="129">
        <f>SUM(AP$7:AP47)</f>
        <v>24</v>
      </c>
      <c r="AT47" s="128">
        <v>500</v>
      </c>
      <c r="AU47" s="129">
        <v>100</v>
      </c>
      <c r="AV47" s="128">
        <f>SUM(AT$7:AT47)</f>
        <v>20500</v>
      </c>
      <c r="AW47" s="90">
        <f>SUM(AU$7:AU47)</f>
        <v>4100</v>
      </c>
      <c r="AY47" s="128">
        <f t="shared" si="13"/>
        <v>6100</v>
      </c>
      <c r="AZ47" s="90">
        <f t="shared" si="14"/>
        <v>1200</v>
      </c>
      <c r="BA47" s="90">
        <f t="shared" si="15"/>
        <v>4100</v>
      </c>
      <c r="BB47" s="90">
        <f t="shared" ca="1" si="65"/>
        <v>950</v>
      </c>
      <c r="BC47" s="90">
        <f t="shared" ca="1" si="68"/>
        <v>12350</v>
      </c>
      <c r="BD47" s="90"/>
      <c r="BE47" s="90">
        <f t="shared" ca="1" si="17"/>
        <v>12350</v>
      </c>
      <c r="BF47" s="142">
        <f t="shared" ca="1" si="18"/>
        <v>0.49392712550607287</v>
      </c>
      <c r="BG47" s="142">
        <f t="shared" ca="1" si="19"/>
        <v>9.7165991902834009E-2</v>
      </c>
      <c r="BH47" s="142">
        <f t="shared" ca="1" si="80"/>
        <v>0.33198380566801622</v>
      </c>
      <c r="BI47" s="142">
        <f t="shared" ca="1" si="81"/>
        <v>7.6923076923076927E-2</v>
      </c>
      <c r="BJ47" s="143"/>
      <c r="BK47" s="128">
        <f ca="1">INDEX(商城宝箱!$L:$L,MATCH(BC47,商城宝箱!$N:$N,1))</f>
        <v>5</v>
      </c>
      <c r="BL47" s="90">
        <f ca="1">_xlfn.IFNA(INDEX(商城宝箱!T:T,MATCH(玩家节奏1!$BK47,商城宝箱!$L:$L,0)),0)+($BC47-INDEX(商城宝箱!$N:$N,MATCH(玩家节奏1!$BK47,商城宝箱!$L:$L,0)))/$BK$5*INDEX(商城宝箱!E$23:E$42,MATCH(玩家节奏1!$BK47+1,商城宝箱!$C$23:$C$42,0))</f>
        <v>30875</v>
      </c>
      <c r="BM47" s="90">
        <f ca="1">_xlfn.IFNA(INDEX(商城宝箱!U:U,MATCH(玩家节奏1!$BK47,商城宝箱!$L:$L,0)),0)+($BC47-INDEX(商城宝箱!$N:$N,MATCH(玩家节奏1!$BK47,商城宝箱!$L:$L,0)))/$BK$5*INDEX(商城宝箱!F$23:F$42,MATCH(玩家节奏1!$BK47+1,商城宝箱!$C$23:$C$42,0))</f>
        <v>7562.5</v>
      </c>
      <c r="BN47" s="90">
        <f ca="1">_xlfn.IFNA(INDEX(商城宝箱!V:V,MATCH(玩家节奏1!$BK47,商城宝箱!$L:$L,0)),0)+($BC47-INDEX(商城宝箱!$N:$N,MATCH(玩家节奏1!$BK47,商城宝箱!$L:$L,0)))/$BK$5*INDEX(商城宝箱!G$23:G$42,MATCH(玩家节奏1!$BK47+1,商城宝箱!$C$23:$C$42,0))</f>
        <v>3537</v>
      </c>
      <c r="BO47" s="90">
        <f ca="1">_xlfn.IFNA(INDEX(商城宝箱!W:W,MATCH(玩家节奏1!$BK47,商城宝箱!$L:$L,0)),0)+($BC47-INDEX(商城宝箱!$N:$N,MATCH(玩家节奏1!$BK47,商城宝箱!$L:$L,0)))/$BK$5*INDEX(商城宝箱!H$23:H$42,MATCH(玩家节奏1!$BK47+1,商城宝箱!$C$23:$C$42,0))</f>
        <v>496.5</v>
      </c>
      <c r="BQ47" s="128">
        <f t="shared" si="71"/>
        <v>367200</v>
      </c>
      <c r="BR47" s="90">
        <f t="shared" si="72"/>
        <v>62710</v>
      </c>
      <c r="BS47" s="90">
        <f t="shared" ca="1" si="73"/>
        <v>159880</v>
      </c>
      <c r="BT47" s="90">
        <f t="shared" si="74"/>
        <v>5800</v>
      </c>
      <c r="BU47" s="90">
        <f t="shared" si="75"/>
        <v>24000</v>
      </c>
      <c r="BV47" s="90">
        <f t="shared" si="76"/>
        <v>20500</v>
      </c>
      <c r="BW47" s="90">
        <f t="shared" ca="1" si="22"/>
        <v>30875</v>
      </c>
      <c r="BX47" s="90">
        <f t="shared" ca="1" si="23"/>
        <v>670965</v>
      </c>
      <c r="BY47" s="142">
        <f t="shared" ca="1" si="24"/>
        <v>0.54727146721513042</v>
      </c>
      <c r="BZ47" s="142">
        <f t="shared" ca="1" si="25"/>
        <v>9.3462401168466311E-2</v>
      </c>
      <c r="CA47" s="142">
        <f t="shared" ca="1" si="26"/>
        <v>0.23828366606305842</v>
      </c>
      <c r="CB47" s="142">
        <f t="shared" ca="1" si="27"/>
        <v>8.6442660943566348E-3</v>
      </c>
      <c r="CC47" s="142">
        <f t="shared" ca="1" si="28"/>
        <v>3.5769376942165386E-2</v>
      </c>
      <c r="CD47" s="142">
        <f t="shared" ca="1" si="29"/>
        <v>3.0553009471432937E-2</v>
      </c>
      <c r="CE47" s="142">
        <f t="shared" ca="1" si="30"/>
        <v>4.6015813045389847E-2</v>
      </c>
      <c r="CG47" s="128">
        <f t="shared" si="31"/>
        <v>38</v>
      </c>
      <c r="CH47" s="90">
        <f ca="1">INDEX(角色升级!$A:$A,MATCH(玩家节奏1!$BX47,角色升级!$J:$J,1))</f>
        <v>251</v>
      </c>
      <c r="CI47" s="90">
        <f ca="1">INDEX(角色升级!$O:$O,MATCH(玩家节奏1!$BX47,角色升级!$J:$J,1))</f>
        <v>5063.1966000000002</v>
      </c>
      <c r="CJ47" s="90">
        <f>INDEX(关卡对比!$J:$J,MATCH(玩家节奏1!N47,关卡对比!$A:$A,0))</f>
        <v>6400</v>
      </c>
      <c r="CK47" s="147">
        <f t="shared" ca="1" si="32"/>
        <v>1.2640236012166701</v>
      </c>
      <c r="CL47" s="128">
        <f ca="1">INDEX(角色升级!$P:$P,MATCH(玩家节奏1!$CH47,角色升级!$A:$A,0))</f>
        <v>1300</v>
      </c>
      <c r="CM47" s="90">
        <f ca="1">INDEX(角色升级!Q:Q,MATCH(玩家节奏1!$CH47,角色升级!$A:$A,0))</f>
        <v>0.1</v>
      </c>
      <c r="CO47" s="128">
        <f t="shared" si="33"/>
        <v>2726</v>
      </c>
      <c r="CP47" s="90">
        <f t="shared" si="34"/>
        <v>3711</v>
      </c>
      <c r="CQ47" s="90">
        <f t="shared" si="35"/>
        <v>4912</v>
      </c>
      <c r="CR47" s="90">
        <f t="shared" ca="1" si="36"/>
        <v>7562.5</v>
      </c>
      <c r="CS47" s="90">
        <f t="shared" ca="1" si="37"/>
        <v>18911.5</v>
      </c>
      <c r="CT47" s="142">
        <f t="shared" ca="1" si="38"/>
        <v>0.14414509689871241</v>
      </c>
      <c r="CU47" s="142">
        <f t="shared" ca="1" si="39"/>
        <v>0.19622980726013273</v>
      </c>
      <c r="CV47" s="142">
        <f t="shared" ca="1" si="40"/>
        <v>0.25973613938608781</v>
      </c>
      <c r="CW47" s="142">
        <f t="shared" ca="1" si="41"/>
        <v>0.399888956455067</v>
      </c>
      <c r="CY47" s="128">
        <f t="shared" si="42"/>
        <v>1364</v>
      </c>
      <c r="CZ47" s="90">
        <f t="shared" si="43"/>
        <v>1796</v>
      </c>
      <c r="DA47" s="90">
        <f t="shared" si="44"/>
        <v>2072</v>
      </c>
      <c r="DB47" s="90">
        <f t="shared" ca="1" si="66"/>
        <v>3537</v>
      </c>
      <c r="DC47" s="90">
        <f t="shared" ca="1" si="45"/>
        <v>8769</v>
      </c>
      <c r="DD47" s="142">
        <f t="shared" ca="1" si="46"/>
        <v>0.15554795301630744</v>
      </c>
      <c r="DE47" s="142">
        <f t="shared" ca="1" si="47"/>
        <v>0.20481240734405293</v>
      </c>
      <c r="DF47" s="142">
        <f t="shared" ca="1" si="48"/>
        <v>0.23628691983122363</v>
      </c>
      <c r="DG47" s="142">
        <f t="shared" ca="1" si="49"/>
        <v>0.40335271980841603</v>
      </c>
      <c r="DI47" s="128">
        <f t="shared" si="50"/>
        <v>564</v>
      </c>
      <c r="DJ47" s="90">
        <f t="shared" si="51"/>
        <v>747</v>
      </c>
      <c r="DK47" s="90">
        <f t="shared" si="52"/>
        <v>512</v>
      </c>
      <c r="DL47" s="90">
        <f t="shared" ca="1" si="53"/>
        <v>496.5</v>
      </c>
      <c r="DM47" s="90">
        <f t="shared" ca="1" si="54"/>
        <v>2319.5</v>
      </c>
      <c r="DN47" s="142">
        <f t="shared" ca="1" si="55"/>
        <v>0.24315585255442984</v>
      </c>
      <c r="DO47" s="142">
        <f t="shared" ca="1" si="56"/>
        <v>0.3220521664151757</v>
      </c>
      <c r="DP47" s="142">
        <f t="shared" ca="1" si="57"/>
        <v>0.22073722785082991</v>
      </c>
      <c r="DQ47" s="142">
        <f t="shared" ca="1" si="58"/>
        <v>0.21405475317956457</v>
      </c>
      <c r="DS47" s="128">
        <f t="shared" ca="1" si="59"/>
        <v>18911.5</v>
      </c>
      <c r="DT47" s="90">
        <f t="shared" ca="1" si="60"/>
        <v>8769</v>
      </c>
      <c r="DU47" s="90">
        <f t="shared" ca="1" si="61"/>
        <v>2319.5</v>
      </c>
      <c r="DV47" s="90">
        <f t="shared" si="62"/>
        <v>24</v>
      </c>
      <c r="DW47" s="90">
        <f ca="1">_xlfn.IFNA(INDEX(武器升级消耗!$H:$H,MATCH(玩家节奏1!DS47/玩家节奏1!DS$5,武器升级消耗!M:M,1)),0)</f>
        <v>14</v>
      </c>
      <c r="DX47" s="90">
        <f ca="1">_xlfn.IFNA(INDEX(武器升级消耗!$H:$H,MATCH(玩家节奏1!DT47/玩家节奏1!DT$5,武器升级消耗!N:N,1)),0)</f>
        <v>11</v>
      </c>
      <c r="DY47" s="90">
        <f ca="1">_xlfn.IFNA(INDEX(武器升级消耗!$H:$H,MATCH(玩家节奏1!DU47/玩家节奏1!DU$5,武器升级消耗!O:O,1)),0)</f>
        <v>7</v>
      </c>
      <c r="DZ47" s="90">
        <f>_xlfn.IFNA(INDEX(武器升级消耗!$H:$H,MATCH(玩家节奏1!DV47/玩家节奏1!DV$5,武器升级消耗!P:P,1)),0)</f>
        <v>5</v>
      </c>
      <c r="EA47" s="90">
        <f ca="1">_xlfn.IFNA(INDEX(武器升级消耗!$Q:$Q,MATCH(玩家节奏1!DW47,武器升级消耗!$H:$H,0))*2*EA$4,0)</f>
        <v>2.16</v>
      </c>
      <c r="EB47" s="90">
        <f ca="1">_xlfn.IFNA(INDEX(武器升级消耗!$Q:$Q,MATCH(玩家节奏1!DX47,武器升级消耗!$H:$H,0))*2*EB$4,0)</f>
        <v>2.25</v>
      </c>
      <c r="EC47" s="90">
        <f ca="1">_xlfn.IFNA(INDEX(武器升级消耗!$Q:$Q,MATCH(玩家节奏1!DY47,武器升级消耗!$H:$H,0))*2*EC$4,1)</f>
        <v>2.4200000000000004</v>
      </c>
      <c r="ED47" s="90">
        <f>_xlfn.IFNA(INDEX(武器升级消耗!$Q:$Q,MATCH(玩家节奏1!DZ47,武器升级消耗!$H:$H,0))*2*ED$4,0)</f>
        <v>2.7</v>
      </c>
      <c r="EF47" s="128"/>
      <c r="EG47" s="90"/>
      <c r="EH47" s="90"/>
      <c r="EI47" s="90"/>
      <c r="EJ47" s="90"/>
      <c r="EK47" s="90"/>
      <c r="EL47" s="90"/>
      <c r="EM47" s="90"/>
      <c r="EO47" s="128"/>
      <c r="EP47" s="90"/>
      <c r="EQ47" s="90"/>
      <c r="ER47" s="90"/>
      <c r="ES47" s="90"/>
      <c r="ET47" s="90"/>
      <c r="EU47" s="90"/>
      <c r="EV47" s="90"/>
      <c r="EW47" s="90"/>
      <c r="EX47" s="90"/>
      <c r="EY47" s="90"/>
      <c r="EZ47" s="90"/>
      <c r="FA47" s="90"/>
      <c r="FB47" s="90"/>
      <c r="FD47" s="90">
        <f t="shared" ca="1" si="63"/>
        <v>2.4200000000000004</v>
      </c>
      <c r="FE47" s="90"/>
      <c r="FF47" s="90"/>
      <c r="FG47" s="90">
        <f t="shared" ca="1" si="64"/>
        <v>0</v>
      </c>
    </row>
    <row r="48" spans="1:163" x14ac:dyDescent="0.25">
      <c r="A48" s="123">
        <v>42</v>
      </c>
      <c r="B48" s="123">
        <f>INDEX(关卡对比!$Y:$Y,MATCH(关卡对比!Z48,关卡对比!$AA:$AA,1))</f>
        <v>29</v>
      </c>
      <c r="C48" s="124">
        <f>INDEX(关卡对比!$Y:$Y,MATCH(关卡对比!Z48,关卡对比!$AB:$AB,1))</f>
        <v>23</v>
      </c>
      <c r="D48" s="125">
        <f t="shared" si="70"/>
        <v>251.5</v>
      </c>
      <c r="E48" s="125">
        <v>3</v>
      </c>
      <c r="F48" s="128">
        <v>5</v>
      </c>
      <c r="G48" s="90">
        <v>1</v>
      </c>
      <c r="H48" s="90">
        <v>1</v>
      </c>
      <c r="J48" s="128">
        <v>42</v>
      </c>
      <c r="K48" s="90">
        <f t="shared" si="77"/>
        <v>5</v>
      </c>
      <c r="L48" s="90">
        <f t="shared" si="78"/>
        <v>1</v>
      </c>
      <c r="M48" s="90">
        <f t="shared" si="79"/>
        <v>1</v>
      </c>
      <c r="N48" s="140">
        <f>INDEX($A:$A,MATCH(SUM($K$7:K48),$D:$D,1))</f>
        <v>39</v>
      </c>
      <c r="O48" s="140">
        <v>0</v>
      </c>
      <c r="P48" s="141">
        <v>0</v>
      </c>
      <c r="Q48" s="126">
        <f>_xlfn.MAXIFS(关卡产出!X:X,关卡产出!$A:$A,玩家节奏1!$N$6,关卡产出!$B:$B,玩家节奏1!$N48)+_xlfn.MAXIFS(关卡产出!X:X,关卡产出!$A:$A,玩家节奏1!$O$6,关卡产出!$B:$B,玩家节奏1!$O48)+_xlfn.MAXIFS(关卡产出!X:X,关卡产出!$A:$A,玩家节奏1!$P$6,关卡产出!$B:$B,玩家节奏1!$P48)</f>
        <v>6300</v>
      </c>
      <c r="R48" s="90">
        <f>_xlfn.MAXIFS(关卡产出!Y:Y,关卡产出!$A:$A,玩家节奏1!$N$6,关卡产出!$B:$B,玩家节奏1!$N48)+_xlfn.MAXIFS(关卡产出!Y:Y,关卡产出!$A:$A,玩家节奏1!$O$6,关卡产出!$B:$B,玩家节奏1!$O48)+_xlfn.MAXIFS(关卡产出!Y:Y,关卡产出!$A:$A,玩家节奏1!$P$6,关卡产出!$B:$B,玩家节奏1!$P48)</f>
        <v>388300</v>
      </c>
      <c r="S48" s="90">
        <f>_xlfn.MAXIFS(关卡产出!Z:Z,关卡产出!$A:$A,玩家节奏1!$N$6,关卡产出!$B:$B,玩家节奏1!$N48)+_xlfn.MAXIFS(关卡产出!Z:Z,关卡产出!$A:$A,玩家节奏1!$O$6,关卡产出!$B:$B,玩家节奏1!$O48)+_xlfn.MAXIFS(关卡产出!Z:Z,关卡产出!$A:$A,玩家节奏1!$P$6,关卡产出!$B:$B,玩家节奏1!$P48)</f>
        <v>2874</v>
      </c>
      <c r="T48" s="90">
        <f>_xlfn.MAXIFS(关卡产出!AA:AA,关卡产出!$A:$A,玩家节奏1!$N$6,关卡产出!$B:$B,玩家节奏1!$N48)+_xlfn.MAXIFS(关卡产出!AA:AA,关卡产出!$A:$A,玩家节奏1!$O$6,关卡产出!$B:$B,玩家节奏1!$O48)+_xlfn.MAXIFS(关卡产出!AA:AA,关卡产出!$A:$A,玩家节奏1!$P$6,关卡产出!$B:$B,玩家节奏1!$P48)</f>
        <v>1438</v>
      </c>
      <c r="U48" s="90">
        <f>_xlfn.MAXIFS(关卡产出!AB:AB,关卡产出!$A:$A,玩家节奏1!$N$6,关卡产出!$B:$B,玩家节奏1!$N48)+_xlfn.MAXIFS(关卡产出!AB:AB,关卡产出!$A:$A,玩家节奏1!$O$6,关卡产出!$B:$B,玩家节奏1!$O48)+_xlfn.MAXIFS(关卡产出!AB:AB,关卡产出!$A:$A,玩家节奏1!$P$6,关卡产出!$B:$B,玩家节奏1!$P48)</f>
        <v>598</v>
      </c>
      <c r="V48" s="130">
        <f>_xlfn.MAXIFS(关卡产出!AC:AC,关卡产出!$A:$A,玩家节奏1!$N$6,关卡产出!$B:$B,玩家节奏1!$N48)+_xlfn.MAXIFS(关卡产出!AC:AC,关卡产出!$A:$A,玩家节奏1!$O$6,关卡产出!$B:$B,玩家节奏1!$O48)+_xlfn.MAXIFS(关卡产出!AC:AC,关卡产出!$A:$A,玩家节奏1!$P$6,关卡产出!$B:$B,玩家节奏1!$P48)</f>
        <v>234</v>
      </c>
      <c r="W48" s="126">
        <f>INDEX(关卡产出!C$8:C$207,MATCH(玩家节奏1!$N48,关卡产出!$B$8:$B$207,0))*$K48</f>
        <v>150</v>
      </c>
      <c r="X48" s="126">
        <f>INDEX(关卡产出!D$8:D$207,MATCH(玩家节奏1!$N48,关卡产出!$B$8:$B$207,0))*$K48</f>
        <v>75</v>
      </c>
      <c r="Y48" s="126">
        <f>INDEX(关卡产出!E$8:E$207,MATCH(玩家节奏1!$N48,关卡产出!$B$8:$B$207,0))*$K48</f>
        <v>35</v>
      </c>
      <c r="Z48" s="144">
        <f>INDEX(关卡产出!F$8:F$207,MATCH(玩家节奏1!$N48,关卡产出!$B$8:$B$207,0))*$K48</f>
        <v>2250</v>
      </c>
      <c r="AA48" s="126">
        <f>SUM(W$7:W48)</f>
        <v>3861</v>
      </c>
      <c r="AB48" s="126">
        <f>SUM(X$7:X48)</f>
        <v>1871</v>
      </c>
      <c r="AC48" s="126">
        <f>SUM(Y$7:Y48)</f>
        <v>782</v>
      </c>
      <c r="AD48" s="126">
        <f>SUM(Z$7:Z48)</f>
        <v>64960</v>
      </c>
      <c r="AE48" s="126">
        <f>INDEX(图鉴!AQ:AQ,MATCH($N48,图鉴!$S:$S,0))*8</f>
        <v>144</v>
      </c>
      <c r="AF48" s="90">
        <f>INDEX(图鉴!AR:AR,MATCH($N48,图鉴!$S:$S,0))*8</f>
        <v>72</v>
      </c>
      <c r="AG48" s="90">
        <f>INDEX(图鉴!AS:AS,MATCH($N48,图鉴!$S:$S,0))*8</f>
        <v>32</v>
      </c>
      <c r="AH48" s="129">
        <f ca="1">INDEX(图鉴!AT:AT,MATCH($N48,图鉴!$S:$S,0))*8</f>
        <v>5440</v>
      </c>
      <c r="AI48" s="128">
        <f>SUM($AE$7:AE48)</f>
        <v>5056</v>
      </c>
      <c r="AJ48" s="90">
        <f>SUM(AF$7:AF48)</f>
        <v>2144</v>
      </c>
      <c r="AK48" s="90">
        <f>SUM(AG$7:AG48)</f>
        <v>544</v>
      </c>
      <c r="AL48" s="130">
        <f ca="1">SUM(AH$7:AH48)</f>
        <v>165320</v>
      </c>
      <c r="AM48" s="133">
        <f>IF(M48=0,0,INDEX(关卡产出!$AU$11:$AU$15,MATCH(玩家节奏1!N48,关卡产出!$AW$11:$AW$15,1))*M48)</f>
        <v>5800</v>
      </c>
      <c r="AN48" s="126">
        <f>IF(L48=0,0,$L48*关卡产出!AU$21)</f>
        <v>1000</v>
      </c>
      <c r="AO48" s="90">
        <f>IF(M48=0,0,$L48*关卡产出!AV$21)</f>
        <v>50</v>
      </c>
      <c r="AP48" s="129">
        <f>IF(N48=0,0,$L48*关卡产出!AW$21)</f>
        <v>1</v>
      </c>
      <c r="AQ48" s="138">
        <f>SUM(AN$7:AN48)</f>
        <v>25000</v>
      </c>
      <c r="AR48" s="126">
        <f>SUM(AO$7:AO48)</f>
        <v>1250</v>
      </c>
      <c r="AS48" s="129">
        <f>SUM(AP$7:AP48)</f>
        <v>25</v>
      </c>
      <c r="AT48" s="128">
        <v>500</v>
      </c>
      <c r="AU48" s="129">
        <v>100</v>
      </c>
      <c r="AV48" s="128">
        <f>SUM(AT$7:AT48)</f>
        <v>21000</v>
      </c>
      <c r="AW48" s="90">
        <f>SUM(AU$7:AU48)</f>
        <v>4200</v>
      </c>
      <c r="AY48" s="128">
        <f t="shared" si="13"/>
        <v>6300</v>
      </c>
      <c r="AZ48" s="90">
        <f t="shared" si="14"/>
        <v>1250</v>
      </c>
      <c r="BA48" s="90">
        <f t="shared" si="15"/>
        <v>4200</v>
      </c>
      <c r="BB48" s="90">
        <f t="shared" ca="1" si="65"/>
        <v>1300</v>
      </c>
      <c r="BC48" s="90">
        <f t="shared" ca="1" si="68"/>
        <v>13050</v>
      </c>
      <c r="BD48" s="90"/>
      <c r="BE48" s="90">
        <f t="shared" ca="1" si="17"/>
        <v>13050</v>
      </c>
      <c r="BF48" s="142">
        <f t="shared" ca="1" si="18"/>
        <v>0.48275862068965519</v>
      </c>
      <c r="BG48" s="142">
        <f t="shared" ca="1" si="19"/>
        <v>9.5785440613026823E-2</v>
      </c>
      <c r="BH48" s="142">
        <f t="shared" ca="1" si="80"/>
        <v>0.32183908045977011</v>
      </c>
      <c r="BI48" s="142">
        <f t="shared" ca="1" si="81"/>
        <v>9.9616858237547887E-2</v>
      </c>
      <c r="BJ48" s="143"/>
      <c r="BK48" s="128">
        <f ca="1">INDEX(商城宝箱!$L:$L,MATCH(BC48,商城宝箱!$N:$N,1))</f>
        <v>5</v>
      </c>
      <c r="BL48" s="90">
        <f ca="1">_xlfn.IFNA(INDEX(商城宝箱!T:T,MATCH(玩家节奏1!$BK48,商城宝箱!$L:$L,0)),0)+($BC48-INDEX(商城宝箱!$N:$N,MATCH(玩家节奏1!$BK48,商城宝箱!$L:$L,0)))/$BK$5*INDEX(商城宝箱!E$23:E$42,MATCH(玩家节奏1!$BK48+1,商城宝箱!$C$23:$C$42,0))</f>
        <v>32625</v>
      </c>
      <c r="BM48" s="90">
        <f ca="1">_xlfn.IFNA(INDEX(商城宝箱!U:U,MATCH(玩家节奏1!$BK48,商城宝箱!$L:$L,0)),0)+($BC48-INDEX(商城宝箱!$N:$N,MATCH(玩家节奏1!$BK48,商城宝箱!$L:$L,0)))/$BK$5*INDEX(商城宝箱!F$23:F$42,MATCH(玩家节奏1!$BK48+1,商城宝箱!$C$23:$C$42,0))</f>
        <v>8262.5</v>
      </c>
      <c r="BN48" s="90">
        <f ca="1">_xlfn.IFNA(INDEX(商城宝箱!V:V,MATCH(玩家节奏1!$BK48,商城宝箱!$L:$L,0)),0)+($BC48-INDEX(商城宝箱!$N:$N,MATCH(玩家节奏1!$BK48,商城宝箱!$L:$L,0)))/$BK$5*INDEX(商城宝箱!G$23:G$42,MATCH(玩家节奏1!$BK48+1,商城宝箱!$C$23:$C$42,0))</f>
        <v>3957</v>
      </c>
      <c r="BO48" s="90">
        <f ca="1">_xlfn.IFNA(INDEX(商城宝箱!W:W,MATCH(玩家节奏1!$BK48,商城宝箱!$L:$L,0)),0)+($BC48-INDEX(商城宝箱!$N:$N,MATCH(玩家节奏1!$BK48,商城宝箱!$L:$L,0)))/$BK$5*INDEX(商城宝箱!H$23:H$42,MATCH(玩家节奏1!$BK48+1,商城宝箱!$C$23:$C$42,0))</f>
        <v>552.5</v>
      </c>
      <c r="BQ48" s="128">
        <f t="shared" si="71"/>
        <v>388300</v>
      </c>
      <c r="BR48" s="90">
        <f t="shared" si="72"/>
        <v>64960</v>
      </c>
      <c r="BS48" s="90">
        <f t="shared" ca="1" si="73"/>
        <v>165320</v>
      </c>
      <c r="BT48" s="90">
        <f t="shared" si="74"/>
        <v>5800</v>
      </c>
      <c r="BU48" s="90">
        <f t="shared" si="75"/>
        <v>25000</v>
      </c>
      <c r="BV48" s="90">
        <f t="shared" si="76"/>
        <v>21000</v>
      </c>
      <c r="BW48" s="90">
        <f t="shared" ca="1" si="22"/>
        <v>32625</v>
      </c>
      <c r="BX48" s="90">
        <f t="shared" ca="1" si="23"/>
        <v>703005</v>
      </c>
      <c r="BY48" s="142">
        <f t="shared" ca="1" si="24"/>
        <v>0.55234315545408641</v>
      </c>
      <c r="BZ48" s="142">
        <f t="shared" ca="1" si="25"/>
        <v>9.2403325723145635E-2</v>
      </c>
      <c r="CA48" s="142">
        <f t="shared" ca="1" si="26"/>
        <v>0.235161912077439</v>
      </c>
      <c r="CB48" s="142">
        <f t="shared" ca="1" si="27"/>
        <v>8.2502969395665746E-3</v>
      </c>
      <c r="CC48" s="142">
        <f t="shared" ca="1" si="28"/>
        <v>3.5561624739511098E-2</v>
      </c>
      <c r="CD48" s="142">
        <f t="shared" ca="1" si="29"/>
        <v>2.9871764781189324E-2</v>
      </c>
      <c r="CE48" s="142">
        <f t="shared" ca="1" si="30"/>
        <v>4.6407920285061986E-2</v>
      </c>
      <c r="CG48" s="128">
        <f t="shared" si="31"/>
        <v>39</v>
      </c>
      <c r="CH48" s="90">
        <f ca="1">INDEX(角色升级!$A:$A,MATCH(玩家节奏1!$BX48,角色升级!$J:$J,1))</f>
        <v>258</v>
      </c>
      <c r="CI48" s="90">
        <f ca="1">INDEX(角色升级!$O:$O,MATCH(玩家节奏1!$BX48,角色升级!$J:$J,1))</f>
        <v>5096.0136150000008</v>
      </c>
      <c r="CJ48" s="90">
        <f>INDEX(关卡对比!$J:$J,MATCH(玩家节奏1!N48,关卡对比!$A:$A,0))</f>
        <v>6700</v>
      </c>
      <c r="CK48" s="147">
        <f t="shared" ca="1" si="32"/>
        <v>1.3147531592691788</v>
      </c>
      <c r="CL48" s="128">
        <f ca="1">INDEX(角色升级!$P:$P,MATCH(玩家节奏1!$CH48,角色升级!$A:$A,0))</f>
        <v>1300</v>
      </c>
      <c r="CM48" s="90">
        <f ca="1">INDEX(角色升级!Q:Q,MATCH(玩家节奏1!$CH48,角色升级!$A:$A,0))</f>
        <v>0.1</v>
      </c>
      <c r="CO48" s="128">
        <f t="shared" si="33"/>
        <v>2874</v>
      </c>
      <c r="CP48" s="90">
        <f t="shared" si="34"/>
        <v>3861</v>
      </c>
      <c r="CQ48" s="90">
        <f t="shared" si="35"/>
        <v>5056</v>
      </c>
      <c r="CR48" s="90">
        <f t="shared" ca="1" si="36"/>
        <v>8262.5</v>
      </c>
      <c r="CS48" s="90">
        <f t="shared" ca="1" si="37"/>
        <v>20053.5</v>
      </c>
      <c r="CT48" s="142">
        <f t="shared" ca="1" si="38"/>
        <v>0.14331662802004638</v>
      </c>
      <c r="CU48" s="142">
        <f t="shared" ca="1" si="39"/>
        <v>0.19253496895803726</v>
      </c>
      <c r="CV48" s="142">
        <f t="shared" ca="1" si="40"/>
        <v>0.25212556411598974</v>
      </c>
      <c r="CW48" s="142">
        <f t="shared" ca="1" si="41"/>
        <v>0.41202283890592667</v>
      </c>
      <c r="CY48" s="128">
        <f t="shared" si="42"/>
        <v>1438</v>
      </c>
      <c r="CZ48" s="90">
        <f t="shared" si="43"/>
        <v>1871</v>
      </c>
      <c r="DA48" s="90">
        <f t="shared" si="44"/>
        <v>2144</v>
      </c>
      <c r="DB48" s="90">
        <f t="shared" ca="1" si="66"/>
        <v>3957</v>
      </c>
      <c r="DC48" s="90">
        <f t="shared" ca="1" si="45"/>
        <v>9410</v>
      </c>
      <c r="DD48" s="142">
        <f t="shared" ca="1" si="46"/>
        <v>0.15281615302869289</v>
      </c>
      <c r="DE48" s="142">
        <f t="shared" ca="1" si="47"/>
        <v>0.19883103081827844</v>
      </c>
      <c r="DF48" s="142">
        <f t="shared" ca="1" si="48"/>
        <v>0.22784272051009563</v>
      </c>
      <c r="DG48" s="142">
        <f t="shared" ca="1" si="49"/>
        <v>0.42051009564293307</v>
      </c>
      <c r="DI48" s="128">
        <f t="shared" si="50"/>
        <v>598</v>
      </c>
      <c r="DJ48" s="90">
        <f t="shared" si="51"/>
        <v>782</v>
      </c>
      <c r="DK48" s="90">
        <f t="shared" si="52"/>
        <v>544</v>
      </c>
      <c r="DL48" s="90">
        <f t="shared" ca="1" si="53"/>
        <v>552.5</v>
      </c>
      <c r="DM48" s="90">
        <f t="shared" ca="1" si="54"/>
        <v>2476.5</v>
      </c>
      <c r="DN48" s="142">
        <f t="shared" ca="1" si="55"/>
        <v>0.24146981627296588</v>
      </c>
      <c r="DO48" s="142">
        <f t="shared" ca="1" si="56"/>
        <v>0.31576822128003229</v>
      </c>
      <c r="DP48" s="142">
        <f t="shared" ca="1" si="57"/>
        <v>0.21966484958610943</v>
      </c>
      <c r="DQ48" s="142">
        <f t="shared" ca="1" si="58"/>
        <v>0.2230971128608924</v>
      </c>
      <c r="DS48" s="128">
        <f t="shared" ca="1" si="59"/>
        <v>20053.5</v>
      </c>
      <c r="DT48" s="90">
        <f t="shared" ca="1" si="60"/>
        <v>9410</v>
      </c>
      <c r="DU48" s="90">
        <f t="shared" ca="1" si="61"/>
        <v>2476.5</v>
      </c>
      <c r="DV48" s="90">
        <f t="shared" si="62"/>
        <v>25</v>
      </c>
      <c r="DW48" s="90">
        <f ca="1">_xlfn.IFNA(INDEX(武器升级消耗!$H:$H,MATCH(玩家节奏1!DS48/玩家节奏1!DS$5,武器升级消耗!M:M,1)),0)</f>
        <v>14</v>
      </c>
      <c r="DX48" s="90">
        <f ca="1">_xlfn.IFNA(INDEX(武器升级消耗!$H:$H,MATCH(玩家节奏1!DT48/玩家节奏1!DT$5,武器升级消耗!N:N,1)),0)</f>
        <v>12</v>
      </c>
      <c r="DY48" s="90">
        <f ca="1">_xlfn.IFNA(INDEX(武器升级消耗!$H:$H,MATCH(玩家节奏1!DU48/玩家节奏1!DU$5,武器升级消耗!O:O,1)),0)</f>
        <v>7</v>
      </c>
      <c r="DZ48" s="90">
        <f>_xlfn.IFNA(INDEX(武器升级消耗!$H:$H,MATCH(玩家节奏1!DV48/玩家节奏1!DV$5,武器升级消耗!P:P,1)),0)</f>
        <v>5</v>
      </c>
      <c r="EA48" s="90">
        <f ca="1">_xlfn.IFNA(INDEX(武器升级消耗!$Q:$Q,MATCH(玩家节奏1!DW48,武器升级消耗!$H:$H,0))*2*EA$4,0)</f>
        <v>2.16</v>
      </c>
      <c r="EB48" s="90">
        <f ca="1">_xlfn.IFNA(INDEX(武器升级消耗!$Q:$Q,MATCH(玩家节奏1!DX48,武器升级消耗!$H:$H,0))*2*EB$4,0)</f>
        <v>2.4000000000000004</v>
      </c>
      <c r="EC48" s="90">
        <f ca="1">_xlfn.IFNA(INDEX(武器升级消耗!$Q:$Q,MATCH(玩家节奏1!DY48,武器升级消耗!$H:$H,0))*2*EC$4,1)</f>
        <v>2.4200000000000004</v>
      </c>
      <c r="ED48" s="90">
        <f>_xlfn.IFNA(INDEX(武器升级消耗!$Q:$Q,MATCH(玩家节奏1!DZ48,武器升级消耗!$H:$H,0))*2*ED$4,0)</f>
        <v>2.7</v>
      </c>
      <c r="EF48" s="128"/>
      <c r="EG48" s="90"/>
      <c r="EH48" s="90"/>
      <c r="EI48" s="90"/>
      <c r="EJ48" s="90"/>
      <c r="EK48" s="90"/>
      <c r="EL48" s="90"/>
      <c r="EM48" s="90"/>
      <c r="EO48" s="128"/>
      <c r="EP48" s="90"/>
      <c r="EQ48" s="90"/>
      <c r="ER48" s="90"/>
      <c r="ES48" s="90"/>
      <c r="ET48" s="90"/>
      <c r="EU48" s="90"/>
      <c r="EV48" s="90"/>
      <c r="EW48" s="90"/>
      <c r="EX48" s="90"/>
      <c r="EY48" s="90"/>
      <c r="EZ48" s="90"/>
      <c r="FA48" s="90"/>
      <c r="FB48" s="90"/>
      <c r="FD48" s="90">
        <f t="shared" ca="1" si="63"/>
        <v>2.4200000000000004</v>
      </c>
      <c r="FE48" s="90"/>
      <c r="FF48" s="90"/>
      <c r="FG48" s="90">
        <f t="shared" ca="1" si="64"/>
        <v>0</v>
      </c>
    </row>
    <row r="49" spans="1:163" x14ac:dyDescent="0.25">
      <c r="A49" s="123">
        <v>43</v>
      </c>
      <c r="B49" s="123">
        <f>INDEX(关卡对比!$Y:$Y,MATCH(关卡对比!Z49,关卡对比!$AA:$AA,1))</f>
        <v>29</v>
      </c>
      <c r="C49" s="124">
        <f>INDEX(关卡对比!$Y:$Y,MATCH(关卡对比!Z49,关卡对比!$AB:$AB,1))</f>
        <v>23</v>
      </c>
      <c r="D49" s="125">
        <f t="shared" si="70"/>
        <v>254.5</v>
      </c>
      <c r="E49" s="125">
        <v>3</v>
      </c>
      <c r="F49" s="128">
        <v>5</v>
      </c>
      <c r="G49" s="90">
        <v>1</v>
      </c>
      <c r="H49" s="90">
        <v>1</v>
      </c>
      <c r="J49" s="128">
        <v>43</v>
      </c>
      <c r="K49" s="90">
        <f t="shared" si="77"/>
        <v>5</v>
      </c>
      <c r="L49" s="90">
        <f t="shared" si="78"/>
        <v>1</v>
      </c>
      <c r="M49" s="90">
        <f t="shared" si="79"/>
        <v>1</v>
      </c>
      <c r="N49" s="140">
        <f>INDEX($A:$A,MATCH(SUM($K$7:K49),$D:$D,1))</f>
        <v>39</v>
      </c>
      <c r="O49" s="140">
        <v>0</v>
      </c>
      <c r="P49" s="141">
        <v>0</v>
      </c>
      <c r="Q49" s="126">
        <f>_xlfn.MAXIFS(关卡产出!X:X,关卡产出!$A:$A,玩家节奏1!$N$6,关卡产出!$B:$B,玩家节奏1!$N49)+_xlfn.MAXIFS(关卡产出!X:X,关卡产出!$A:$A,玩家节奏1!$O$6,关卡产出!$B:$B,玩家节奏1!$O49)+_xlfn.MAXIFS(关卡产出!X:X,关卡产出!$A:$A,玩家节奏1!$P$6,关卡产出!$B:$B,玩家节奏1!$P49)</f>
        <v>6300</v>
      </c>
      <c r="R49" s="90">
        <f>_xlfn.MAXIFS(关卡产出!Y:Y,关卡产出!$A:$A,玩家节奏1!$N$6,关卡产出!$B:$B,玩家节奏1!$N49)+_xlfn.MAXIFS(关卡产出!Y:Y,关卡产出!$A:$A,玩家节奏1!$O$6,关卡产出!$B:$B,玩家节奏1!$O49)+_xlfn.MAXIFS(关卡产出!Y:Y,关卡产出!$A:$A,玩家节奏1!$P$6,关卡产出!$B:$B,玩家节奏1!$P49)</f>
        <v>388300</v>
      </c>
      <c r="S49" s="90">
        <f>_xlfn.MAXIFS(关卡产出!Z:Z,关卡产出!$A:$A,玩家节奏1!$N$6,关卡产出!$B:$B,玩家节奏1!$N49)+_xlfn.MAXIFS(关卡产出!Z:Z,关卡产出!$A:$A,玩家节奏1!$O$6,关卡产出!$B:$B,玩家节奏1!$O49)+_xlfn.MAXIFS(关卡产出!Z:Z,关卡产出!$A:$A,玩家节奏1!$P$6,关卡产出!$B:$B,玩家节奏1!$P49)</f>
        <v>2874</v>
      </c>
      <c r="T49" s="90">
        <f>_xlfn.MAXIFS(关卡产出!AA:AA,关卡产出!$A:$A,玩家节奏1!$N$6,关卡产出!$B:$B,玩家节奏1!$N49)+_xlfn.MAXIFS(关卡产出!AA:AA,关卡产出!$A:$A,玩家节奏1!$O$6,关卡产出!$B:$B,玩家节奏1!$O49)+_xlfn.MAXIFS(关卡产出!AA:AA,关卡产出!$A:$A,玩家节奏1!$P$6,关卡产出!$B:$B,玩家节奏1!$P49)</f>
        <v>1438</v>
      </c>
      <c r="U49" s="90">
        <f>_xlfn.MAXIFS(关卡产出!AB:AB,关卡产出!$A:$A,玩家节奏1!$N$6,关卡产出!$B:$B,玩家节奏1!$N49)+_xlfn.MAXIFS(关卡产出!AB:AB,关卡产出!$A:$A,玩家节奏1!$O$6,关卡产出!$B:$B,玩家节奏1!$O49)+_xlfn.MAXIFS(关卡产出!AB:AB,关卡产出!$A:$A,玩家节奏1!$P$6,关卡产出!$B:$B,玩家节奏1!$P49)</f>
        <v>598</v>
      </c>
      <c r="V49" s="130">
        <f>_xlfn.MAXIFS(关卡产出!AC:AC,关卡产出!$A:$A,玩家节奏1!$N$6,关卡产出!$B:$B,玩家节奏1!$N49)+_xlfn.MAXIFS(关卡产出!AC:AC,关卡产出!$A:$A,玩家节奏1!$O$6,关卡产出!$B:$B,玩家节奏1!$O49)+_xlfn.MAXIFS(关卡产出!AC:AC,关卡产出!$A:$A,玩家节奏1!$P$6,关卡产出!$B:$B,玩家节奏1!$P49)</f>
        <v>234</v>
      </c>
      <c r="W49" s="126">
        <f>INDEX(关卡产出!C$8:C$207,MATCH(玩家节奏1!$N49,关卡产出!$B$8:$B$207,0))*$K49</f>
        <v>150</v>
      </c>
      <c r="X49" s="126">
        <f>INDEX(关卡产出!D$8:D$207,MATCH(玩家节奏1!$N49,关卡产出!$B$8:$B$207,0))*$K49</f>
        <v>75</v>
      </c>
      <c r="Y49" s="126">
        <f>INDEX(关卡产出!E$8:E$207,MATCH(玩家节奏1!$N49,关卡产出!$B$8:$B$207,0))*$K49</f>
        <v>35</v>
      </c>
      <c r="Z49" s="144">
        <f>INDEX(关卡产出!F$8:F$207,MATCH(玩家节奏1!$N49,关卡产出!$B$8:$B$207,0))*$K49</f>
        <v>2250</v>
      </c>
      <c r="AA49" s="126">
        <f>SUM(W$7:W49)</f>
        <v>4011</v>
      </c>
      <c r="AB49" s="126">
        <f>SUM(X$7:X49)</f>
        <v>1946</v>
      </c>
      <c r="AC49" s="126">
        <f>SUM(Y$7:Y49)</f>
        <v>817</v>
      </c>
      <c r="AD49" s="126">
        <f>SUM(Z$7:Z49)</f>
        <v>67210</v>
      </c>
      <c r="AE49" s="126">
        <f>INDEX(图鉴!AQ:AQ,MATCH($N49,图鉴!$S:$S,0))*8</f>
        <v>144</v>
      </c>
      <c r="AF49" s="90">
        <f>INDEX(图鉴!AR:AR,MATCH($N49,图鉴!$S:$S,0))*8</f>
        <v>72</v>
      </c>
      <c r="AG49" s="90">
        <f>INDEX(图鉴!AS:AS,MATCH($N49,图鉴!$S:$S,0))*8</f>
        <v>32</v>
      </c>
      <c r="AH49" s="129">
        <f ca="1">INDEX(图鉴!AT:AT,MATCH($N49,图鉴!$S:$S,0))*8</f>
        <v>5440</v>
      </c>
      <c r="AI49" s="128">
        <f>SUM($AE$7:AE49)</f>
        <v>5200</v>
      </c>
      <c r="AJ49" s="90">
        <f>SUM(AF$7:AF49)</f>
        <v>2216</v>
      </c>
      <c r="AK49" s="90">
        <f>SUM(AG$7:AG49)</f>
        <v>576</v>
      </c>
      <c r="AL49" s="130">
        <f ca="1">SUM(AH$7:AH49)</f>
        <v>170760</v>
      </c>
      <c r="AM49" s="133">
        <f>IF(M49=0,0,INDEX(关卡产出!$AU$11:$AU$15,MATCH(玩家节奏1!N49,关卡产出!$AW$11:$AW$15,1))*M49)</f>
        <v>5800</v>
      </c>
      <c r="AN49" s="126">
        <f>IF(L49=0,0,$L49*关卡产出!AU$21)</f>
        <v>1000</v>
      </c>
      <c r="AO49" s="90">
        <f>IF(M49=0,0,$L49*关卡产出!AV$21)</f>
        <v>50</v>
      </c>
      <c r="AP49" s="129">
        <f>IF(N49=0,0,$L49*关卡产出!AW$21)</f>
        <v>1</v>
      </c>
      <c r="AQ49" s="138">
        <f>SUM(AN$7:AN49)</f>
        <v>26000</v>
      </c>
      <c r="AR49" s="126">
        <f>SUM(AO$7:AO49)</f>
        <v>1300</v>
      </c>
      <c r="AS49" s="129">
        <f>SUM(AP$7:AP49)</f>
        <v>26</v>
      </c>
      <c r="AT49" s="128">
        <v>500</v>
      </c>
      <c r="AU49" s="129">
        <v>100</v>
      </c>
      <c r="AV49" s="128">
        <f>SUM(AT$7:AT49)</f>
        <v>21500</v>
      </c>
      <c r="AW49" s="90">
        <f>SUM(AU$7:AU49)</f>
        <v>4300</v>
      </c>
      <c r="AY49" s="128">
        <f t="shared" si="13"/>
        <v>6300</v>
      </c>
      <c r="AZ49" s="90">
        <f t="shared" si="14"/>
        <v>1300</v>
      </c>
      <c r="BA49" s="90">
        <f t="shared" si="15"/>
        <v>4300</v>
      </c>
      <c r="BB49" s="90">
        <f t="shared" ca="1" si="65"/>
        <v>1300</v>
      </c>
      <c r="BC49" s="90">
        <f t="shared" ca="1" si="68"/>
        <v>13200</v>
      </c>
      <c r="BD49" s="90"/>
      <c r="BE49" s="90">
        <f t="shared" ca="1" si="17"/>
        <v>13200</v>
      </c>
      <c r="BF49" s="142">
        <f t="shared" ca="1" si="18"/>
        <v>0.47727272727272729</v>
      </c>
      <c r="BG49" s="142">
        <f t="shared" ca="1" si="19"/>
        <v>9.8484848484848481E-2</v>
      </c>
      <c r="BH49" s="142">
        <f t="shared" ca="1" si="80"/>
        <v>0.32575757575757575</v>
      </c>
      <c r="BI49" s="142">
        <f t="shared" ca="1" si="81"/>
        <v>9.8484848484848481E-2</v>
      </c>
      <c r="BJ49" s="143"/>
      <c r="BK49" s="128">
        <f ca="1">INDEX(商城宝箱!$L:$L,MATCH(BC49,商城宝箱!$N:$N,1))</f>
        <v>5</v>
      </c>
      <c r="BL49" s="90">
        <f ca="1">_xlfn.IFNA(INDEX(商城宝箱!T:T,MATCH(玩家节奏1!$BK49,商城宝箱!$L:$L,0)),0)+($BC49-INDEX(商城宝箱!$N:$N,MATCH(玩家节奏1!$BK49,商城宝箱!$L:$L,0)))/$BK$5*INDEX(商城宝箱!E$23:E$42,MATCH(玩家节奏1!$BK49+1,商城宝箱!$C$23:$C$42,0))</f>
        <v>33000</v>
      </c>
      <c r="BM49" s="90">
        <f ca="1">_xlfn.IFNA(INDEX(商城宝箱!U:U,MATCH(玩家节奏1!$BK49,商城宝箱!$L:$L,0)),0)+($BC49-INDEX(商城宝箱!$N:$N,MATCH(玩家节奏1!$BK49,商城宝箱!$L:$L,0)))/$BK$5*INDEX(商城宝箱!F$23:F$42,MATCH(玩家节奏1!$BK49+1,商城宝箱!$C$23:$C$42,0))</f>
        <v>8412.5</v>
      </c>
      <c r="BN49" s="90">
        <f ca="1">_xlfn.IFNA(INDEX(商城宝箱!V:V,MATCH(玩家节奏1!$BK49,商城宝箱!$L:$L,0)),0)+($BC49-INDEX(商城宝箱!$N:$N,MATCH(玩家节奏1!$BK49,商城宝箱!$L:$L,0)))/$BK$5*INDEX(商城宝箱!G$23:G$42,MATCH(玩家节奏1!$BK49+1,商城宝箱!$C$23:$C$42,0))</f>
        <v>4047</v>
      </c>
      <c r="BO49" s="90">
        <f ca="1">_xlfn.IFNA(INDEX(商城宝箱!W:W,MATCH(玩家节奏1!$BK49,商城宝箱!$L:$L,0)),0)+($BC49-INDEX(商城宝箱!$N:$N,MATCH(玩家节奏1!$BK49,商城宝箱!$L:$L,0)))/$BK$5*INDEX(商城宝箱!H$23:H$42,MATCH(玩家节奏1!$BK49+1,商城宝箱!$C$23:$C$42,0))</f>
        <v>564.5</v>
      </c>
      <c r="BQ49" s="128">
        <f t="shared" si="71"/>
        <v>388300</v>
      </c>
      <c r="BR49" s="90">
        <f t="shared" si="72"/>
        <v>67210</v>
      </c>
      <c r="BS49" s="90">
        <f t="shared" ca="1" si="73"/>
        <v>170760</v>
      </c>
      <c r="BT49" s="90">
        <f t="shared" si="74"/>
        <v>5800</v>
      </c>
      <c r="BU49" s="90">
        <f t="shared" si="75"/>
        <v>26000</v>
      </c>
      <c r="BV49" s="90">
        <f t="shared" si="76"/>
        <v>21500</v>
      </c>
      <c r="BW49" s="90">
        <f t="shared" ca="1" si="22"/>
        <v>33000</v>
      </c>
      <c r="BX49" s="90">
        <f t="shared" ca="1" si="23"/>
        <v>712570</v>
      </c>
      <c r="BY49" s="142">
        <f t="shared" ca="1" si="24"/>
        <v>0.54492891926407228</v>
      </c>
      <c r="BZ49" s="142">
        <f t="shared" ca="1" si="25"/>
        <v>9.4320557980268602E-2</v>
      </c>
      <c r="CA49" s="142">
        <f t="shared" ca="1" si="26"/>
        <v>0.23963961435367753</v>
      </c>
      <c r="CB49" s="142">
        <f t="shared" ca="1" si="27"/>
        <v>8.1395512019871736E-3</v>
      </c>
      <c r="CC49" s="142">
        <f t="shared" ca="1" si="28"/>
        <v>3.6487643319252847E-2</v>
      </c>
      <c r="CD49" s="142">
        <f t="shared" ca="1" si="29"/>
        <v>3.0172474283228314E-2</v>
      </c>
      <c r="CE49" s="142">
        <f t="shared" ca="1" si="30"/>
        <v>4.6311239597513223E-2</v>
      </c>
      <c r="CG49" s="128">
        <f t="shared" si="31"/>
        <v>39</v>
      </c>
      <c r="CH49" s="90">
        <f ca="1">INDEX(角色升级!$A:$A,MATCH(玩家节奏1!$BX49,角色升级!$J:$J,1))</f>
        <v>260</v>
      </c>
      <c r="CI49" s="90">
        <f ca="1">INDEX(角色升级!$O:$O,MATCH(玩家节奏1!$BX49,角色升级!$J:$J,1))</f>
        <v>5105.389905</v>
      </c>
      <c r="CJ49" s="90">
        <f>INDEX(关卡对比!$J:$J,MATCH(玩家节奏1!N49,关卡对比!$A:$A,0))</f>
        <v>6700</v>
      </c>
      <c r="CK49" s="147">
        <f t="shared" ca="1" si="32"/>
        <v>1.3123385529160676</v>
      </c>
      <c r="CL49" s="128">
        <f ca="1">INDEX(角色升级!$P:$P,MATCH(玩家节奏1!$CH49,角色升级!$A:$A,0))</f>
        <v>1300</v>
      </c>
      <c r="CM49" s="90">
        <f ca="1">INDEX(角色升级!Q:Q,MATCH(玩家节奏1!$CH49,角色升级!$A:$A,0))</f>
        <v>0.2</v>
      </c>
      <c r="CO49" s="128">
        <f t="shared" si="33"/>
        <v>2874</v>
      </c>
      <c r="CP49" s="90">
        <f t="shared" si="34"/>
        <v>4011</v>
      </c>
      <c r="CQ49" s="90">
        <f t="shared" si="35"/>
        <v>5200</v>
      </c>
      <c r="CR49" s="90">
        <f t="shared" ca="1" si="36"/>
        <v>8412.5</v>
      </c>
      <c r="CS49" s="90">
        <f t="shared" ca="1" si="37"/>
        <v>20497.5</v>
      </c>
      <c r="CT49" s="142">
        <f t="shared" ca="1" si="38"/>
        <v>0.14021222100256128</v>
      </c>
      <c r="CU49" s="142">
        <f t="shared" ca="1" si="39"/>
        <v>0.19568240029271863</v>
      </c>
      <c r="CV49" s="142">
        <f t="shared" ca="1" si="40"/>
        <v>0.25368947432613731</v>
      </c>
      <c r="CW49" s="142">
        <f t="shared" ca="1" si="41"/>
        <v>0.41041590437858277</v>
      </c>
      <c r="CY49" s="128">
        <f t="shared" si="42"/>
        <v>1438</v>
      </c>
      <c r="CZ49" s="90">
        <f t="shared" si="43"/>
        <v>1946</v>
      </c>
      <c r="DA49" s="90">
        <f t="shared" si="44"/>
        <v>2216</v>
      </c>
      <c r="DB49" s="90">
        <f t="shared" ca="1" si="66"/>
        <v>4047</v>
      </c>
      <c r="DC49" s="90">
        <f t="shared" ca="1" si="45"/>
        <v>9647</v>
      </c>
      <c r="DD49" s="142">
        <f t="shared" ca="1" si="46"/>
        <v>0.14906188452368613</v>
      </c>
      <c r="DE49" s="142">
        <f t="shared" ca="1" si="47"/>
        <v>0.20172074219964756</v>
      </c>
      <c r="DF49" s="142">
        <f t="shared" ca="1" si="48"/>
        <v>0.22970871773608376</v>
      </c>
      <c r="DG49" s="142">
        <f t="shared" ca="1" si="49"/>
        <v>0.41950865554058259</v>
      </c>
      <c r="DI49" s="128">
        <f t="shared" si="50"/>
        <v>598</v>
      </c>
      <c r="DJ49" s="90">
        <f t="shared" si="51"/>
        <v>817</v>
      </c>
      <c r="DK49" s="90">
        <f t="shared" si="52"/>
        <v>576</v>
      </c>
      <c r="DL49" s="90">
        <f t="shared" ca="1" si="53"/>
        <v>564.5</v>
      </c>
      <c r="DM49" s="90">
        <f t="shared" ca="1" si="54"/>
        <v>2555.5</v>
      </c>
      <c r="DN49" s="142">
        <f t="shared" ca="1" si="55"/>
        <v>0.23400508706711015</v>
      </c>
      <c r="DO49" s="142">
        <f t="shared" ca="1" si="56"/>
        <v>0.31970260223048325</v>
      </c>
      <c r="DP49" s="142">
        <f t="shared" ca="1" si="57"/>
        <v>0.22539620426531012</v>
      </c>
      <c r="DQ49" s="142">
        <f t="shared" ca="1" si="58"/>
        <v>0.22089610643709645</v>
      </c>
      <c r="DS49" s="128">
        <f t="shared" ca="1" si="59"/>
        <v>20497.5</v>
      </c>
      <c r="DT49" s="90">
        <f t="shared" ca="1" si="60"/>
        <v>9647</v>
      </c>
      <c r="DU49" s="90">
        <f t="shared" ca="1" si="61"/>
        <v>2555.5</v>
      </c>
      <c r="DV49" s="90">
        <f t="shared" si="62"/>
        <v>26</v>
      </c>
      <c r="DW49" s="90">
        <f ca="1">_xlfn.IFNA(INDEX(武器升级消耗!$H:$H,MATCH(玩家节奏1!DS49/玩家节奏1!DS$5,武器升级消耗!M:M,1)),0)</f>
        <v>15</v>
      </c>
      <c r="DX49" s="90">
        <f ca="1">_xlfn.IFNA(INDEX(武器升级消耗!$H:$H,MATCH(玩家节奏1!DT49/玩家节奏1!DT$5,武器升级消耗!N:N,1)),0)</f>
        <v>12</v>
      </c>
      <c r="DY49" s="90">
        <f ca="1">_xlfn.IFNA(INDEX(武器升级消耗!$H:$H,MATCH(玩家节奏1!DU49/玩家节奏1!DU$5,武器升级消耗!O:O,1)),0)</f>
        <v>7</v>
      </c>
      <c r="DZ49" s="90">
        <f>_xlfn.IFNA(INDEX(武器升级消耗!$H:$H,MATCH(玩家节奏1!DV49/玩家节奏1!DV$5,武器升级消耗!P:P,1)),0)</f>
        <v>5</v>
      </c>
      <c r="EA49" s="90">
        <f ca="1">_xlfn.IFNA(INDEX(武器升级消耗!$Q:$Q,MATCH(玩家节奏1!DW49,武器升级消耗!$H:$H,0))*2*EA$4,0)</f>
        <v>2.2799999999999998</v>
      </c>
      <c r="EB49" s="90">
        <f ca="1">_xlfn.IFNA(INDEX(武器升级消耗!$Q:$Q,MATCH(玩家节奏1!DX49,武器升级消耗!$H:$H,0))*2*EB$4,0)</f>
        <v>2.4000000000000004</v>
      </c>
      <c r="EC49" s="90">
        <f ca="1">_xlfn.IFNA(INDEX(武器升级消耗!$Q:$Q,MATCH(玩家节奏1!DY49,武器升级消耗!$H:$H,0))*2*EC$4,1)</f>
        <v>2.4200000000000004</v>
      </c>
      <c r="ED49" s="90">
        <f>_xlfn.IFNA(INDEX(武器升级消耗!$Q:$Q,MATCH(玩家节奏1!DZ49,武器升级消耗!$H:$H,0))*2*ED$4,0)</f>
        <v>2.7</v>
      </c>
      <c r="EF49" s="128"/>
      <c r="EG49" s="90"/>
      <c r="EH49" s="90"/>
      <c r="EI49" s="90"/>
      <c r="EJ49" s="90"/>
      <c r="EK49" s="90"/>
      <c r="EL49" s="90"/>
      <c r="EM49" s="90"/>
      <c r="EO49" s="128"/>
      <c r="EP49" s="90"/>
      <c r="EQ49" s="90"/>
      <c r="ER49" s="90"/>
      <c r="ES49" s="90"/>
      <c r="ET49" s="90"/>
      <c r="EU49" s="90"/>
      <c r="EV49" s="90"/>
      <c r="EW49" s="90"/>
      <c r="EX49" s="90"/>
      <c r="EY49" s="90"/>
      <c r="EZ49" s="90"/>
      <c r="FA49" s="90"/>
      <c r="FB49" s="90"/>
      <c r="FD49" s="90">
        <f t="shared" ca="1" si="63"/>
        <v>2.4200000000000004</v>
      </c>
      <c r="FE49" s="90"/>
      <c r="FF49" s="90"/>
      <c r="FG49" s="90">
        <f t="shared" ca="1" si="64"/>
        <v>0</v>
      </c>
    </row>
    <row r="50" spans="1:163" x14ac:dyDescent="0.25">
      <c r="A50" s="123">
        <v>44</v>
      </c>
      <c r="B50" s="123">
        <f>INDEX(关卡对比!$Y:$Y,MATCH(关卡对比!Z50,关卡对比!$AA:$AA,1))</f>
        <v>30</v>
      </c>
      <c r="C50" s="124">
        <f>INDEX(关卡对比!$Y:$Y,MATCH(关卡对比!Z50,关卡对比!$AB:$AB,1))</f>
        <v>24</v>
      </c>
      <c r="D50" s="125">
        <f t="shared" si="70"/>
        <v>263.5</v>
      </c>
      <c r="E50" s="125">
        <v>3</v>
      </c>
      <c r="F50" s="128">
        <v>5</v>
      </c>
      <c r="G50" s="90">
        <v>1</v>
      </c>
      <c r="H50" s="90">
        <v>1</v>
      </c>
      <c r="J50" s="128">
        <v>44</v>
      </c>
      <c r="K50" s="90">
        <f t="shared" si="77"/>
        <v>5</v>
      </c>
      <c r="L50" s="90">
        <f t="shared" si="78"/>
        <v>1</v>
      </c>
      <c r="M50" s="90">
        <f t="shared" si="79"/>
        <v>1</v>
      </c>
      <c r="N50" s="140">
        <f>INDEX($A:$A,MATCH(SUM($K$7:K50),$D:$D,1))</f>
        <v>41</v>
      </c>
      <c r="O50" s="140">
        <v>0</v>
      </c>
      <c r="P50" s="141">
        <v>0</v>
      </c>
      <c r="Q50" s="126">
        <f>_xlfn.MAXIFS(关卡产出!X:X,关卡产出!$A:$A,玩家节奏1!$N$6,关卡产出!$B:$B,玩家节奏1!$N50)+_xlfn.MAXIFS(关卡产出!X:X,关卡产出!$A:$A,玩家节奏1!$O$6,关卡产出!$B:$B,玩家节奏1!$O50)+_xlfn.MAXIFS(关卡产出!X:X,关卡产出!$A:$A,玩家节奏1!$P$6,关卡产出!$B:$B,玩家节奏1!$P50)</f>
        <v>6700</v>
      </c>
      <c r="R50" s="90">
        <f>_xlfn.MAXIFS(关卡产出!Y:Y,关卡产出!$A:$A,玩家节奏1!$N$6,关卡产出!$B:$B,玩家节奏1!$N50)+_xlfn.MAXIFS(关卡产出!Y:Y,关卡产出!$A:$A,玩家节奏1!$O$6,关卡产出!$B:$B,玩家节奏1!$O50)+_xlfn.MAXIFS(关卡产出!Y:Y,关卡产出!$A:$A,玩家节奏1!$P$6,关卡产出!$B:$B,玩家节奏1!$P50)</f>
        <v>432300</v>
      </c>
      <c r="S50" s="90">
        <f>_xlfn.MAXIFS(关卡产出!Z:Z,关卡产出!$A:$A,玩家节奏1!$N$6,关卡产出!$B:$B,玩家节奏1!$N50)+_xlfn.MAXIFS(关卡产出!Z:Z,关卡产出!$A:$A,玩家节奏1!$O$6,关卡产出!$B:$B,玩家节奏1!$O50)+_xlfn.MAXIFS(关卡产出!Z:Z,关卡产出!$A:$A,玩家节奏1!$P$6,关卡产出!$B:$B,玩家节奏1!$P50)</f>
        <v>3182</v>
      </c>
      <c r="T50" s="90">
        <f>_xlfn.MAXIFS(关卡产出!AA:AA,关卡产出!$A:$A,玩家节奏1!$N$6,关卡产出!$B:$B,玩家节奏1!$N50)+_xlfn.MAXIFS(关卡产出!AA:AA,关卡产出!$A:$A,玩家节奏1!$O$6,关卡产出!$B:$B,玩家节奏1!$O50)+_xlfn.MAXIFS(关卡产出!AA:AA,关卡产出!$A:$A,玩家节奏1!$P$6,关卡产出!$B:$B,玩家节奏1!$P50)</f>
        <v>1592</v>
      </c>
      <c r="U50" s="90">
        <f>_xlfn.MAXIFS(关卡产出!AB:AB,关卡产出!$A:$A,玩家节奏1!$N$6,关卡产出!$B:$B,玩家节奏1!$N50)+_xlfn.MAXIFS(关卡产出!AB:AB,关卡产出!$A:$A,玩家节奏1!$O$6,关卡产出!$B:$B,玩家节奏1!$O50)+_xlfn.MAXIFS(关卡产出!AB:AB,关卡产出!$A:$A,玩家节奏1!$P$6,关卡产出!$B:$B,玩家节奏1!$P50)</f>
        <v>669</v>
      </c>
      <c r="V50" s="130">
        <f>_xlfn.MAXIFS(关卡产出!AC:AC,关卡产出!$A:$A,玩家节奏1!$N$6,关卡产出!$B:$B,玩家节奏1!$N50)+_xlfn.MAXIFS(关卡产出!AC:AC,关卡产出!$A:$A,玩家节奏1!$O$6,关卡产出!$B:$B,玩家节奏1!$O50)+_xlfn.MAXIFS(关卡产出!AC:AC,关卡产出!$A:$A,玩家节奏1!$P$6,关卡产出!$B:$B,玩家节奏1!$P50)</f>
        <v>246</v>
      </c>
      <c r="W50" s="126">
        <f>INDEX(关卡产出!C$8:C$207,MATCH(玩家节奏1!$N50,关卡产出!$B$8:$B$207,0))*$K50</f>
        <v>155</v>
      </c>
      <c r="X50" s="126">
        <f>INDEX(关卡产出!D$8:D$207,MATCH(玩家节奏1!$N50,关卡产出!$B$8:$B$207,0))*$K50</f>
        <v>75</v>
      </c>
      <c r="Y50" s="126">
        <f>INDEX(关卡产出!E$8:E$207,MATCH(玩家节奏1!$N50,关卡产出!$B$8:$B$207,0))*$K50</f>
        <v>35</v>
      </c>
      <c r="Z50" s="144">
        <f>INDEX(关卡产出!F$8:F$207,MATCH(玩家节奏1!$N50,关卡产出!$B$8:$B$207,0))*$K50</f>
        <v>2350</v>
      </c>
      <c r="AA50" s="126">
        <f>SUM(W$7:W50)</f>
        <v>4166</v>
      </c>
      <c r="AB50" s="126">
        <f>SUM(X$7:X50)</f>
        <v>2021</v>
      </c>
      <c r="AC50" s="126">
        <f>SUM(Y$7:Y50)</f>
        <v>852</v>
      </c>
      <c r="AD50" s="126">
        <f>SUM(Z$7:Z50)</f>
        <v>69560</v>
      </c>
      <c r="AE50" s="126">
        <f>INDEX(图鉴!AQ:AQ,MATCH($N50,图鉴!$S:$S,0))*8</f>
        <v>144</v>
      </c>
      <c r="AF50" s="90">
        <f>INDEX(图鉴!AR:AR,MATCH($N50,图鉴!$S:$S,0))*8</f>
        <v>72</v>
      </c>
      <c r="AG50" s="90">
        <f>INDEX(图鉴!AS:AS,MATCH($N50,图鉴!$S:$S,0))*8</f>
        <v>32</v>
      </c>
      <c r="AH50" s="129">
        <f ca="1">INDEX(图鉴!AT:AT,MATCH($N50,图鉴!$S:$S,0))*8</f>
        <v>5440</v>
      </c>
      <c r="AI50" s="128">
        <f>SUM($AE$7:AE50)</f>
        <v>5344</v>
      </c>
      <c r="AJ50" s="90">
        <f>SUM(AF$7:AF50)</f>
        <v>2288</v>
      </c>
      <c r="AK50" s="90">
        <f>SUM(AG$7:AG50)</f>
        <v>608</v>
      </c>
      <c r="AL50" s="130">
        <f ca="1">SUM(AH$7:AH50)</f>
        <v>176200</v>
      </c>
      <c r="AM50" s="133">
        <f>IF(M50=0,0,INDEX(关卡产出!$AU$11:$AU$15,MATCH(玩家节奏1!N50,关卡产出!$AW$11:$AW$15,1))*M50)</f>
        <v>5800</v>
      </c>
      <c r="AN50" s="126">
        <f>IF(L50=0,0,$L50*关卡产出!AU$21)</f>
        <v>1000</v>
      </c>
      <c r="AO50" s="90">
        <f>IF(M50=0,0,$L50*关卡产出!AV$21)</f>
        <v>50</v>
      </c>
      <c r="AP50" s="129">
        <f>IF(N50=0,0,$L50*关卡产出!AW$21)</f>
        <v>1</v>
      </c>
      <c r="AQ50" s="138">
        <f>SUM(AN$7:AN50)</f>
        <v>27000</v>
      </c>
      <c r="AR50" s="126">
        <f>SUM(AO$7:AO50)</f>
        <v>1350</v>
      </c>
      <c r="AS50" s="129">
        <f>SUM(AP$7:AP50)</f>
        <v>27</v>
      </c>
      <c r="AT50" s="128">
        <v>500</v>
      </c>
      <c r="AU50" s="129">
        <v>100</v>
      </c>
      <c r="AV50" s="128">
        <f>SUM(AT$7:AT50)</f>
        <v>22000</v>
      </c>
      <c r="AW50" s="90">
        <f>SUM(AU$7:AU50)</f>
        <v>4400</v>
      </c>
      <c r="AY50" s="128">
        <f t="shared" si="13"/>
        <v>6700</v>
      </c>
      <c r="AZ50" s="90">
        <f t="shared" si="14"/>
        <v>1350</v>
      </c>
      <c r="BA50" s="90">
        <f t="shared" si="15"/>
        <v>4400</v>
      </c>
      <c r="BB50" s="90">
        <f t="shared" ca="1" si="65"/>
        <v>1300</v>
      </c>
      <c r="BC50" s="90">
        <f t="shared" ca="1" si="68"/>
        <v>13750</v>
      </c>
      <c r="BD50" s="90"/>
      <c r="BE50" s="90">
        <f t="shared" ca="1" si="17"/>
        <v>13750</v>
      </c>
      <c r="BF50" s="142">
        <f t="shared" ca="1" si="18"/>
        <v>0.48727272727272725</v>
      </c>
      <c r="BG50" s="142">
        <f t="shared" ca="1" si="19"/>
        <v>9.8181818181818176E-2</v>
      </c>
      <c r="BH50" s="142">
        <f t="shared" ca="1" si="80"/>
        <v>0.32</v>
      </c>
      <c r="BI50" s="142">
        <f t="shared" ca="1" si="81"/>
        <v>9.4545454545454544E-2</v>
      </c>
      <c r="BJ50" s="143"/>
      <c r="BK50" s="128">
        <f ca="1">INDEX(商城宝箱!$L:$L,MATCH(BC50,商城宝箱!$N:$N,1))</f>
        <v>5</v>
      </c>
      <c r="BL50" s="90">
        <f ca="1">_xlfn.IFNA(INDEX(商城宝箱!T:T,MATCH(玩家节奏1!$BK50,商城宝箱!$L:$L,0)),0)+($BC50-INDEX(商城宝箱!$N:$N,MATCH(玩家节奏1!$BK50,商城宝箱!$L:$L,0)))/$BK$5*INDEX(商城宝箱!E$23:E$42,MATCH(玩家节奏1!$BK50+1,商城宝箱!$C$23:$C$42,0))</f>
        <v>34375</v>
      </c>
      <c r="BM50" s="90">
        <f ca="1">_xlfn.IFNA(INDEX(商城宝箱!U:U,MATCH(玩家节奏1!$BK50,商城宝箱!$L:$L,0)),0)+($BC50-INDEX(商城宝箱!$N:$N,MATCH(玩家节奏1!$BK50,商城宝箱!$L:$L,0)))/$BK$5*INDEX(商城宝箱!F$23:F$42,MATCH(玩家节奏1!$BK50+1,商城宝箱!$C$23:$C$42,0))</f>
        <v>8962.5</v>
      </c>
      <c r="BN50" s="90">
        <f ca="1">_xlfn.IFNA(INDEX(商城宝箱!V:V,MATCH(玩家节奏1!$BK50,商城宝箱!$L:$L,0)),0)+($BC50-INDEX(商城宝箱!$N:$N,MATCH(玩家节奏1!$BK50,商城宝箱!$L:$L,0)))/$BK$5*INDEX(商城宝箱!G$23:G$42,MATCH(玩家节奏1!$BK50+1,商城宝箱!$C$23:$C$42,0))</f>
        <v>4377</v>
      </c>
      <c r="BO50" s="90">
        <f ca="1">_xlfn.IFNA(INDEX(商城宝箱!W:W,MATCH(玩家节奏1!$BK50,商城宝箱!$L:$L,0)),0)+($BC50-INDEX(商城宝箱!$N:$N,MATCH(玩家节奏1!$BK50,商城宝箱!$L:$L,0)))/$BK$5*INDEX(商城宝箱!H$23:H$42,MATCH(玩家节奏1!$BK50+1,商城宝箱!$C$23:$C$42,0))</f>
        <v>608.5</v>
      </c>
      <c r="BQ50" s="128">
        <f t="shared" si="71"/>
        <v>432300</v>
      </c>
      <c r="BR50" s="90">
        <f t="shared" si="72"/>
        <v>69560</v>
      </c>
      <c r="BS50" s="90">
        <f t="shared" ca="1" si="73"/>
        <v>176200</v>
      </c>
      <c r="BT50" s="90">
        <f t="shared" si="74"/>
        <v>5800</v>
      </c>
      <c r="BU50" s="90">
        <f t="shared" si="75"/>
        <v>27000</v>
      </c>
      <c r="BV50" s="90">
        <f t="shared" si="76"/>
        <v>22000</v>
      </c>
      <c r="BW50" s="90">
        <f t="shared" ca="1" si="22"/>
        <v>34375</v>
      </c>
      <c r="BX50" s="90">
        <f t="shared" ca="1" si="23"/>
        <v>767235</v>
      </c>
      <c r="BY50" s="142">
        <f t="shared" ca="1" si="24"/>
        <v>0.56345187589200185</v>
      </c>
      <c r="BZ50" s="142">
        <f t="shared" ca="1" si="25"/>
        <v>9.06632257391803E-2</v>
      </c>
      <c r="CA50" s="142">
        <f t="shared" ca="1" si="26"/>
        <v>0.22965584208228249</v>
      </c>
      <c r="CB50" s="142">
        <f t="shared" ca="1" si="27"/>
        <v>7.5596134170104337E-3</v>
      </c>
      <c r="CC50" s="142">
        <f t="shared" ca="1" si="28"/>
        <v>3.5191303837807192E-2</v>
      </c>
      <c r="CD50" s="142">
        <f t="shared" ca="1" si="29"/>
        <v>2.8674395719694747E-2</v>
      </c>
      <c r="CE50" s="142">
        <f t="shared" ca="1" si="30"/>
        <v>4.4803743312023046E-2</v>
      </c>
      <c r="CG50" s="128">
        <f t="shared" si="31"/>
        <v>41</v>
      </c>
      <c r="CH50" s="90">
        <f ca="1">INDEX(角色升级!$A:$A,MATCH(玩家节奏1!$BX50,角色升级!$J:$J,1))</f>
        <v>272</v>
      </c>
      <c r="CI50" s="90">
        <f ca="1">INDEX(角色升级!$O:$O,MATCH(玩家节奏1!$BX50,角色升级!$J:$J,1))</f>
        <v>5346.0643500000006</v>
      </c>
      <c r="CJ50" s="90">
        <f>INDEX(关卡对比!$J:$J,MATCH(玩家节奏1!N50,关卡对比!$A:$A,0))</f>
        <v>7300</v>
      </c>
      <c r="CK50" s="147">
        <f t="shared" ca="1" si="32"/>
        <v>1.3654904846029396</v>
      </c>
      <c r="CL50" s="128">
        <f ca="1">INDEX(角色升级!$P:$P,MATCH(玩家节奏1!$CH50,角色升级!$A:$A,0))</f>
        <v>1300</v>
      </c>
      <c r="CM50" s="90">
        <f ca="1">INDEX(角色升级!Q:Q,MATCH(玩家节奏1!$CH50,角色升级!$A:$A,0))</f>
        <v>0.2</v>
      </c>
      <c r="CO50" s="128">
        <f t="shared" si="33"/>
        <v>3182</v>
      </c>
      <c r="CP50" s="90">
        <f t="shared" si="34"/>
        <v>4166</v>
      </c>
      <c r="CQ50" s="90">
        <f t="shared" si="35"/>
        <v>5344</v>
      </c>
      <c r="CR50" s="90">
        <f t="shared" ca="1" si="36"/>
        <v>8962.5</v>
      </c>
      <c r="CS50" s="90">
        <f t="shared" ca="1" si="37"/>
        <v>21654.5</v>
      </c>
      <c r="CT50" s="142">
        <f t="shared" ca="1" si="38"/>
        <v>0.14694405319910411</v>
      </c>
      <c r="CU50" s="142">
        <f t="shared" ca="1" si="39"/>
        <v>0.19238495462836824</v>
      </c>
      <c r="CV50" s="142">
        <f t="shared" ca="1" si="40"/>
        <v>0.24678473296543443</v>
      </c>
      <c r="CW50" s="142">
        <f t="shared" ca="1" si="41"/>
        <v>0.41388625920709321</v>
      </c>
      <c r="CY50" s="128">
        <f t="shared" si="42"/>
        <v>1592</v>
      </c>
      <c r="CZ50" s="90">
        <f t="shared" si="43"/>
        <v>2021</v>
      </c>
      <c r="DA50" s="90">
        <f t="shared" si="44"/>
        <v>2288</v>
      </c>
      <c r="DB50" s="90">
        <f t="shared" ca="1" si="66"/>
        <v>4377</v>
      </c>
      <c r="DC50" s="90">
        <f t="shared" ca="1" si="45"/>
        <v>10278</v>
      </c>
      <c r="DD50" s="142">
        <f t="shared" ca="1" si="46"/>
        <v>0.154893948238957</v>
      </c>
      <c r="DE50" s="142">
        <f t="shared" ca="1" si="47"/>
        <v>0.19663358630083674</v>
      </c>
      <c r="DF50" s="142">
        <f t="shared" ca="1" si="48"/>
        <v>0.22261140299669196</v>
      </c>
      <c r="DG50" s="142">
        <f t="shared" ca="1" si="49"/>
        <v>0.42586106246351429</v>
      </c>
      <c r="DI50" s="128">
        <f t="shared" si="50"/>
        <v>669</v>
      </c>
      <c r="DJ50" s="90">
        <f t="shared" si="51"/>
        <v>852</v>
      </c>
      <c r="DK50" s="90">
        <f t="shared" si="52"/>
        <v>608</v>
      </c>
      <c r="DL50" s="90">
        <f t="shared" ca="1" si="53"/>
        <v>608.5</v>
      </c>
      <c r="DM50" s="90">
        <f t="shared" ca="1" si="54"/>
        <v>2737.5</v>
      </c>
      <c r="DN50" s="142">
        <f t="shared" ca="1" si="55"/>
        <v>0.24438356164383562</v>
      </c>
      <c r="DO50" s="142">
        <f t="shared" ca="1" si="56"/>
        <v>0.31123287671232874</v>
      </c>
      <c r="DP50" s="142">
        <f t="shared" ca="1" si="57"/>
        <v>0.22210045662100455</v>
      </c>
      <c r="DQ50" s="142">
        <f t="shared" ca="1" si="58"/>
        <v>0.22228310502283105</v>
      </c>
      <c r="DS50" s="128">
        <f t="shared" ca="1" si="59"/>
        <v>21654.5</v>
      </c>
      <c r="DT50" s="90">
        <f t="shared" ca="1" si="60"/>
        <v>10278</v>
      </c>
      <c r="DU50" s="90">
        <f t="shared" ca="1" si="61"/>
        <v>2737.5</v>
      </c>
      <c r="DV50" s="90">
        <f t="shared" si="62"/>
        <v>27</v>
      </c>
      <c r="DW50" s="90">
        <f ca="1">_xlfn.IFNA(INDEX(武器升级消耗!$H:$H,MATCH(玩家节奏1!DS50/玩家节奏1!DS$5,武器升级消耗!M:M,1)),0)</f>
        <v>15</v>
      </c>
      <c r="DX50" s="90">
        <f ca="1">_xlfn.IFNA(INDEX(武器升级消耗!$H:$H,MATCH(玩家节奏1!DT50/玩家节奏1!DT$5,武器升级消耗!N:N,1)),0)</f>
        <v>12</v>
      </c>
      <c r="DY50" s="90">
        <f ca="1">_xlfn.IFNA(INDEX(武器升级消耗!$H:$H,MATCH(玩家节奏1!DU50/玩家节奏1!DU$5,武器升级消耗!O:O,1)),0)</f>
        <v>8</v>
      </c>
      <c r="DZ50" s="90">
        <f>_xlfn.IFNA(INDEX(武器升级消耗!$H:$H,MATCH(玩家节奏1!DV50/玩家节奏1!DV$5,武器升级消耗!P:P,1)),0)</f>
        <v>6</v>
      </c>
      <c r="EA50" s="90">
        <f ca="1">_xlfn.IFNA(INDEX(武器升级消耗!$Q:$Q,MATCH(玩家节奏1!DW50,武器升级消耗!$H:$H,0))*2*EA$4,0)</f>
        <v>2.2799999999999998</v>
      </c>
      <c r="EB50" s="90">
        <f ca="1">_xlfn.IFNA(INDEX(武器升级消耗!$Q:$Q,MATCH(玩家节奏1!DX50,武器升级消耗!$H:$H,0))*2*EB$4,0)</f>
        <v>2.4000000000000004</v>
      </c>
      <c r="EC50" s="90">
        <f ca="1">_xlfn.IFNA(INDEX(武器升级消耗!$Q:$Q,MATCH(玩家节奏1!DY50,武器升级消耗!$H:$H,0))*2*EC$4,1)</f>
        <v>2.64</v>
      </c>
      <c r="ED50" s="90">
        <f>_xlfn.IFNA(INDEX(武器升级消耗!$Q:$Q,MATCH(玩家节奏1!DZ50,武器升级消耗!$H:$H,0))*2*ED$4,0)</f>
        <v>3</v>
      </c>
      <c r="EF50" s="128"/>
      <c r="EG50" s="90"/>
      <c r="EH50" s="90"/>
      <c r="EI50" s="90"/>
      <c r="EJ50" s="90"/>
      <c r="EK50" s="90"/>
      <c r="EL50" s="90"/>
      <c r="EM50" s="90"/>
      <c r="EO50" s="128"/>
      <c r="EP50" s="90"/>
      <c r="EQ50" s="90"/>
      <c r="ER50" s="90"/>
      <c r="ES50" s="90"/>
      <c r="ET50" s="90"/>
      <c r="EU50" s="90"/>
      <c r="EV50" s="90"/>
      <c r="EW50" s="90"/>
      <c r="EX50" s="90"/>
      <c r="EY50" s="90"/>
      <c r="EZ50" s="90"/>
      <c r="FA50" s="90"/>
      <c r="FB50" s="90"/>
      <c r="FD50" s="90">
        <f t="shared" ca="1" si="63"/>
        <v>2.64</v>
      </c>
      <c r="FE50" s="90"/>
      <c r="FF50" s="90"/>
      <c r="FG50" s="90">
        <f t="shared" ca="1" si="64"/>
        <v>0</v>
      </c>
    </row>
    <row r="51" spans="1:163" x14ac:dyDescent="0.25">
      <c r="A51" s="123">
        <v>45</v>
      </c>
      <c r="B51" s="123">
        <f>INDEX(关卡对比!$Y:$Y,MATCH(关卡对比!Z51,关卡对比!$AA:$AA,1))</f>
        <v>31</v>
      </c>
      <c r="C51" s="124">
        <f>INDEX(关卡对比!$Y:$Y,MATCH(关卡对比!Z51,关卡对比!$AB:$AB,1))</f>
        <v>25</v>
      </c>
      <c r="D51" s="125">
        <f t="shared" si="70"/>
        <v>272.5</v>
      </c>
      <c r="E51" s="125">
        <v>3</v>
      </c>
      <c r="F51" s="128">
        <v>5</v>
      </c>
      <c r="G51" s="90">
        <v>1</v>
      </c>
      <c r="H51" s="90">
        <v>1</v>
      </c>
      <c r="J51" s="128">
        <v>45</v>
      </c>
      <c r="K51" s="90">
        <f t="shared" si="77"/>
        <v>5</v>
      </c>
      <c r="L51" s="90">
        <f t="shared" si="78"/>
        <v>1</v>
      </c>
      <c r="M51" s="90">
        <f t="shared" si="79"/>
        <v>1</v>
      </c>
      <c r="N51" s="140">
        <f>INDEX($A:$A,MATCH(SUM($K$7:K51),$D:$D,1))</f>
        <v>41</v>
      </c>
      <c r="O51" s="140">
        <v>0</v>
      </c>
      <c r="P51" s="141">
        <v>0</v>
      </c>
      <c r="Q51" s="126">
        <f>_xlfn.MAXIFS(关卡产出!X:X,关卡产出!$A:$A,玩家节奏1!$N$6,关卡产出!$B:$B,玩家节奏1!$N51)+_xlfn.MAXIFS(关卡产出!X:X,关卡产出!$A:$A,玩家节奏1!$O$6,关卡产出!$B:$B,玩家节奏1!$O51)+_xlfn.MAXIFS(关卡产出!X:X,关卡产出!$A:$A,玩家节奏1!$P$6,关卡产出!$B:$B,玩家节奏1!$P51)</f>
        <v>6700</v>
      </c>
      <c r="R51" s="90">
        <f>_xlfn.MAXIFS(关卡产出!Y:Y,关卡产出!$A:$A,玩家节奏1!$N$6,关卡产出!$B:$B,玩家节奏1!$N51)+_xlfn.MAXIFS(关卡产出!Y:Y,关卡产出!$A:$A,玩家节奏1!$O$6,关卡产出!$B:$B,玩家节奏1!$O51)+_xlfn.MAXIFS(关卡产出!Y:Y,关卡产出!$A:$A,玩家节奏1!$P$6,关卡产出!$B:$B,玩家节奏1!$P51)</f>
        <v>432300</v>
      </c>
      <c r="S51" s="90">
        <f>_xlfn.MAXIFS(关卡产出!Z:Z,关卡产出!$A:$A,玩家节奏1!$N$6,关卡产出!$B:$B,玩家节奏1!$N51)+_xlfn.MAXIFS(关卡产出!Z:Z,关卡产出!$A:$A,玩家节奏1!$O$6,关卡产出!$B:$B,玩家节奏1!$O51)+_xlfn.MAXIFS(关卡产出!Z:Z,关卡产出!$A:$A,玩家节奏1!$P$6,关卡产出!$B:$B,玩家节奏1!$P51)</f>
        <v>3182</v>
      </c>
      <c r="T51" s="90">
        <f>_xlfn.MAXIFS(关卡产出!AA:AA,关卡产出!$A:$A,玩家节奏1!$N$6,关卡产出!$B:$B,玩家节奏1!$N51)+_xlfn.MAXIFS(关卡产出!AA:AA,关卡产出!$A:$A,玩家节奏1!$O$6,关卡产出!$B:$B,玩家节奏1!$O51)+_xlfn.MAXIFS(关卡产出!AA:AA,关卡产出!$A:$A,玩家节奏1!$P$6,关卡产出!$B:$B,玩家节奏1!$P51)</f>
        <v>1592</v>
      </c>
      <c r="U51" s="90">
        <f>_xlfn.MAXIFS(关卡产出!AB:AB,关卡产出!$A:$A,玩家节奏1!$N$6,关卡产出!$B:$B,玩家节奏1!$N51)+_xlfn.MAXIFS(关卡产出!AB:AB,关卡产出!$A:$A,玩家节奏1!$O$6,关卡产出!$B:$B,玩家节奏1!$O51)+_xlfn.MAXIFS(关卡产出!AB:AB,关卡产出!$A:$A,玩家节奏1!$P$6,关卡产出!$B:$B,玩家节奏1!$P51)</f>
        <v>669</v>
      </c>
      <c r="V51" s="130">
        <f>_xlfn.MAXIFS(关卡产出!AC:AC,关卡产出!$A:$A,玩家节奏1!$N$6,关卡产出!$B:$B,玩家节奏1!$N51)+_xlfn.MAXIFS(关卡产出!AC:AC,关卡产出!$A:$A,玩家节奏1!$O$6,关卡产出!$B:$B,玩家节奏1!$O51)+_xlfn.MAXIFS(关卡产出!AC:AC,关卡产出!$A:$A,玩家节奏1!$P$6,关卡产出!$B:$B,玩家节奏1!$P51)</f>
        <v>246</v>
      </c>
      <c r="W51" s="126">
        <f>INDEX(关卡产出!C$8:C$207,MATCH(玩家节奏1!$N51,关卡产出!$B$8:$B$207,0))*$K51</f>
        <v>155</v>
      </c>
      <c r="X51" s="126">
        <f>INDEX(关卡产出!D$8:D$207,MATCH(玩家节奏1!$N51,关卡产出!$B$8:$B$207,0))*$K51</f>
        <v>75</v>
      </c>
      <c r="Y51" s="126">
        <f>INDEX(关卡产出!E$8:E$207,MATCH(玩家节奏1!$N51,关卡产出!$B$8:$B$207,0))*$K51</f>
        <v>35</v>
      </c>
      <c r="Z51" s="144">
        <f>INDEX(关卡产出!F$8:F$207,MATCH(玩家节奏1!$N51,关卡产出!$B$8:$B$207,0))*$K51</f>
        <v>2350</v>
      </c>
      <c r="AA51" s="126">
        <f>SUM(W$7:W51)</f>
        <v>4321</v>
      </c>
      <c r="AB51" s="126">
        <f>SUM(X$7:X51)</f>
        <v>2096</v>
      </c>
      <c r="AC51" s="126">
        <f>SUM(Y$7:Y51)</f>
        <v>887</v>
      </c>
      <c r="AD51" s="126">
        <f>SUM(Z$7:Z51)</f>
        <v>71910</v>
      </c>
      <c r="AE51" s="126">
        <f>INDEX(图鉴!AQ:AQ,MATCH($N51,图鉴!$S:$S,0))*8</f>
        <v>144</v>
      </c>
      <c r="AF51" s="90">
        <f>INDEX(图鉴!AR:AR,MATCH($N51,图鉴!$S:$S,0))*8</f>
        <v>72</v>
      </c>
      <c r="AG51" s="90">
        <f>INDEX(图鉴!AS:AS,MATCH($N51,图鉴!$S:$S,0))*8</f>
        <v>32</v>
      </c>
      <c r="AH51" s="129">
        <f ca="1">INDEX(图鉴!AT:AT,MATCH($N51,图鉴!$S:$S,0))*8</f>
        <v>5440</v>
      </c>
      <c r="AI51" s="128">
        <f>SUM($AE$7:AE51)</f>
        <v>5488</v>
      </c>
      <c r="AJ51" s="90">
        <f>SUM(AF$7:AF51)</f>
        <v>2360</v>
      </c>
      <c r="AK51" s="90">
        <f>SUM(AG$7:AG51)</f>
        <v>640</v>
      </c>
      <c r="AL51" s="130">
        <f ca="1">SUM(AH$7:AH51)</f>
        <v>181640</v>
      </c>
      <c r="AM51" s="133">
        <f>IF(M51=0,0,INDEX(关卡产出!$AU$11:$AU$15,MATCH(玩家节奏1!N51,关卡产出!$AW$11:$AW$15,1))*M51)</f>
        <v>5800</v>
      </c>
      <c r="AN51" s="126">
        <f>IF(L51=0,0,$L51*关卡产出!AU$21)</f>
        <v>1000</v>
      </c>
      <c r="AO51" s="90">
        <f>IF(M51=0,0,$L51*关卡产出!AV$21)</f>
        <v>50</v>
      </c>
      <c r="AP51" s="129">
        <f>IF(N51=0,0,$L51*关卡产出!AW$21)</f>
        <v>1</v>
      </c>
      <c r="AQ51" s="138">
        <f>SUM(AN$7:AN51)</f>
        <v>28000</v>
      </c>
      <c r="AR51" s="126">
        <f>SUM(AO$7:AO51)</f>
        <v>1400</v>
      </c>
      <c r="AS51" s="129">
        <f>SUM(AP$7:AP51)</f>
        <v>28</v>
      </c>
      <c r="AT51" s="128">
        <v>500</v>
      </c>
      <c r="AU51" s="129">
        <v>100</v>
      </c>
      <c r="AV51" s="128">
        <f>SUM(AT$7:AT51)</f>
        <v>22500</v>
      </c>
      <c r="AW51" s="90">
        <f>SUM(AU$7:AU51)</f>
        <v>4500</v>
      </c>
      <c r="AY51" s="128">
        <f t="shared" si="13"/>
        <v>6700</v>
      </c>
      <c r="AZ51" s="90">
        <f t="shared" si="14"/>
        <v>1400</v>
      </c>
      <c r="BA51" s="90">
        <f t="shared" si="15"/>
        <v>4500</v>
      </c>
      <c r="BB51" s="90">
        <f t="shared" ca="1" si="65"/>
        <v>1300</v>
      </c>
      <c r="BC51" s="90">
        <f t="shared" ca="1" si="68"/>
        <v>13900</v>
      </c>
      <c r="BD51" s="90"/>
      <c r="BE51" s="90">
        <f t="shared" ca="1" si="17"/>
        <v>13900</v>
      </c>
      <c r="BF51" s="142">
        <f t="shared" ca="1" si="18"/>
        <v>0.48201438848920863</v>
      </c>
      <c r="BG51" s="142">
        <f t="shared" ca="1" si="19"/>
        <v>0.10071942446043165</v>
      </c>
      <c r="BH51" s="142">
        <f t="shared" ca="1" si="80"/>
        <v>0.32374100719424459</v>
      </c>
      <c r="BI51" s="142">
        <f t="shared" ca="1" si="81"/>
        <v>9.3525179856115109E-2</v>
      </c>
      <c r="BJ51" s="143"/>
      <c r="BK51" s="128">
        <f ca="1">INDEX(商城宝箱!$L:$L,MATCH(BC51,商城宝箱!$N:$N,1))</f>
        <v>5</v>
      </c>
      <c r="BL51" s="90">
        <f ca="1">_xlfn.IFNA(INDEX(商城宝箱!T:T,MATCH(玩家节奏1!$BK51,商城宝箱!$L:$L,0)),0)+($BC51-INDEX(商城宝箱!$N:$N,MATCH(玩家节奏1!$BK51,商城宝箱!$L:$L,0)))/$BK$5*INDEX(商城宝箱!E$23:E$42,MATCH(玩家节奏1!$BK51+1,商城宝箱!$C$23:$C$42,0))</f>
        <v>34750</v>
      </c>
      <c r="BM51" s="90">
        <f ca="1">_xlfn.IFNA(INDEX(商城宝箱!U:U,MATCH(玩家节奏1!$BK51,商城宝箱!$L:$L,0)),0)+($BC51-INDEX(商城宝箱!$N:$N,MATCH(玩家节奏1!$BK51,商城宝箱!$L:$L,0)))/$BK$5*INDEX(商城宝箱!F$23:F$42,MATCH(玩家节奏1!$BK51+1,商城宝箱!$C$23:$C$42,0))</f>
        <v>9112.5</v>
      </c>
      <c r="BN51" s="90">
        <f ca="1">_xlfn.IFNA(INDEX(商城宝箱!V:V,MATCH(玩家节奏1!$BK51,商城宝箱!$L:$L,0)),0)+($BC51-INDEX(商城宝箱!$N:$N,MATCH(玩家节奏1!$BK51,商城宝箱!$L:$L,0)))/$BK$5*INDEX(商城宝箱!G$23:G$42,MATCH(玩家节奏1!$BK51+1,商城宝箱!$C$23:$C$42,0))</f>
        <v>4467</v>
      </c>
      <c r="BO51" s="90">
        <f ca="1">_xlfn.IFNA(INDEX(商城宝箱!W:W,MATCH(玩家节奏1!$BK51,商城宝箱!$L:$L,0)),0)+($BC51-INDEX(商城宝箱!$N:$N,MATCH(玩家节奏1!$BK51,商城宝箱!$L:$L,0)))/$BK$5*INDEX(商城宝箱!H$23:H$42,MATCH(玩家节奏1!$BK51+1,商城宝箱!$C$23:$C$42,0))</f>
        <v>620.5</v>
      </c>
      <c r="BQ51" s="128">
        <f t="shared" si="71"/>
        <v>432300</v>
      </c>
      <c r="BR51" s="90">
        <f t="shared" si="72"/>
        <v>71910</v>
      </c>
      <c r="BS51" s="90">
        <f t="shared" ca="1" si="73"/>
        <v>181640</v>
      </c>
      <c r="BT51" s="90">
        <f t="shared" si="74"/>
        <v>5800</v>
      </c>
      <c r="BU51" s="90">
        <f t="shared" si="75"/>
        <v>28000</v>
      </c>
      <c r="BV51" s="90">
        <f t="shared" si="76"/>
        <v>22500</v>
      </c>
      <c r="BW51" s="90">
        <f t="shared" ca="1" si="22"/>
        <v>34750</v>
      </c>
      <c r="BX51" s="90">
        <f t="shared" ca="1" si="23"/>
        <v>776900</v>
      </c>
      <c r="BY51" s="142">
        <f t="shared" ca="1" si="24"/>
        <v>0.55644227056249196</v>
      </c>
      <c r="BZ51" s="142">
        <f t="shared" ca="1" si="25"/>
        <v>9.2560175054704596E-2</v>
      </c>
      <c r="CA51" s="142">
        <f t="shared" ca="1" si="26"/>
        <v>0.23380100399021753</v>
      </c>
      <c r="CB51" s="142">
        <f t="shared" ca="1" si="27"/>
        <v>7.4655682842064619E-3</v>
      </c>
      <c r="CC51" s="142">
        <f t="shared" ca="1" si="28"/>
        <v>3.604067447547947E-2</v>
      </c>
      <c r="CD51" s="142">
        <f t="shared" ca="1" si="29"/>
        <v>2.8961256274938861E-2</v>
      </c>
      <c r="CE51" s="142">
        <f t="shared" ca="1" si="30"/>
        <v>4.4729051357961125E-2</v>
      </c>
      <c r="CG51" s="128">
        <f t="shared" si="31"/>
        <v>41</v>
      </c>
      <c r="CH51" s="90">
        <f ca="1">INDEX(角色升级!$A:$A,MATCH(玩家节奏1!$BX51,角色升级!$J:$J,1))</f>
        <v>273</v>
      </c>
      <c r="CI51" s="90">
        <f ca="1">INDEX(角色升级!$O:$O,MATCH(玩家节奏1!$BX51,角色升级!$J:$J,1))</f>
        <v>5459.8103999999994</v>
      </c>
      <c r="CJ51" s="90">
        <f>INDEX(关卡对比!$J:$J,MATCH(玩家节奏1!N51,关卡对比!$A:$A,0))</f>
        <v>7300</v>
      </c>
      <c r="CK51" s="147">
        <f t="shared" ca="1" si="32"/>
        <v>1.3370427661737119</v>
      </c>
      <c r="CL51" s="128">
        <f ca="1">INDEX(角色升级!$P:$P,MATCH(玩家节奏1!$CH51,角色升级!$A:$A,0))</f>
        <v>1300</v>
      </c>
      <c r="CM51" s="90">
        <f ca="1">INDEX(角色升级!Q:Q,MATCH(玩家节奏1!$CH51,角色升级!$A:$A,0))</f>
        <v>0.2</v>
      </c>
      <c r="CO51" s="128">
        <f t="shared" si="33"/>
        <v>3182</v>
      </c>
      <c r="CP51" s="90">
        <f t="shared" si="34"/>
        <v>4321</v>
      </c>
      <c r="CQ51" s="90">
        <f t="shared" si="35"/>
        <v>5488</v>
      </c>
      <c r="CR51" s="90">
        <f t="shared" ca="1" si="36"/>
        <v>9112.5</v>
      </c>
      <c r="CS51" s="90">
        <f t="shared" ca="1" si="37"/>
        <v>22103.5</v>
      </c>
      <c r="CT51" s="142">
        <f t="shared" ca="1" si="38"/>
        <v>0.14395910149976249</v>
      </c>
      <c r="CU51" s="142">
        <f t="shared" ca="1" si="39"/>
        <v>0.19548940213088425</v>
      </c>
      <c r="CV51" s="142">
        <f t="shared" ca="1" si="40"/>
        <v>0.24828647046847785</v>
      </c>
      <c r="CW51" s="142">
        <f t="shared" ca="1" si="41"/>
        <v>0.41226502590087544</v>
      </c>
      <c r="CY51" s="128">
        <f t="shared" si="42"/>
        <v>1592</v>
      </c>
      <c r="CZ51" s="90">
        <f t="shared" si="43"/>
        <v>2096</v>
      </c>
      <c r="DA51" s="90">
        <f t="shared" si="44"/>
        <v>2360</v>
      </c>
      <c r="DB51" s="90">
        <f t="shared" ca="1" si="66"/>
        <v>4467</v>
      </c>
      <c r="DC51" s="90">
        <f t="shared" ca="1" si="45"/>
        <v>10515</v>
      </c>
      <c r="DD51" s="142">
        <f t="shared" ca="1" si="46"/>
        <v>0.15140275796481217</v>
      </c>
      <c r="DE51" s="142">
        <f t="shared" ca="1" si="47"/>
        <v>0.19933428435568235</v>
      </c>
      <c r="DF51" s="142">
        <f t="shared" ca="1" si="48"/>
        <v>0.22444127436994771</v>
      </c>
      <c r="DG51" s="142">
        <f t="shared" ca="1" si="49"/>
        <v>0.42482168330955777</v>
      </c>
      <c r="DI51" s="128">
        <f t="shared" si="50"/>
        <v>669</v>
      </c>
      <c r="DJ51" s="90">
        <f t="shared" si="51"/>
        <v>887</v>
      </c>
      <c r="DK51" s="90">
        <f t="shared" si="52"/>
        <v>640</v>
      </c>
      <c r="DL51" s="90">
        <f t="shared" ca="1" si="53"/>
        <v>620.5</v>
      </c>
      <c r="DM51" s="90">
        <f t="shared" ca="1" si="54"/>
        <v>2816.5</v>
      </c>
      <c r="DN51" s="142">
        <f t="shared" ca="1" si="55"/>
        <v>0.23752884786082018</v>
      </c>
      <c r="DO51" s="142">
        <f t="shared" ca="1" si="56"/>
        <v>0.31492987750754481</v>
      </c>
      <c r="DP51" s="142">
        <f t="shared" ca="1" si="57"/>
        <v>0.22723238061423753</v>
      </c>
      <c r="DQ51" s="142">
        <f t="shared" ca="1" si="58"/>
        <v>0.22030889401739748</v>
      </c>
      <c r="DS51" s="128">
        <f t="shared" ca="1" si="59"/>
        <v>22103.5</v>
      </c>
      <c r="DT51" s="90">
        <f t="shared" ca="1" si="60"/>
        <v>10515</v>
      </c>
      <c r="DU51" s="90">
        <f t="shared" ca="1" si="61"/>
        <v>2816.5</v>
      </c>
      <c r="DV51" s="90">
        <f t="shared" si="62"/>
        <v>28</v>
      </c>
      <c r="DW51" s="90">
        <f ca="1">_xlfn.IFNA(INDEX(武器升级消耗!$H:$H,MATCH(玩家节奏1!DS51/玩家节奏1!DS$5,武器升级消耗!M:M,1)),0)</f>
        <v>15</v>
      </c>
      <c r="DX51" s="90">
        <f ca="1">_xlfn.IFNA(INDEX(武器升级消耗!$H:$H,MATCH(玩家节奏1!DT51/玩家节奏1!DT$5,武器升级消耗!N:N,1)),0)</f>
        <v>12</v>
      </c>
      <c r="DY51" s="90">
        <f ca="1">_xlfn.IFNA(INDEX(武器升级消耗!$H:$H,MATCH(玩家节奏1!DU51/玩家节奏1!DU$5,武器升级消耗!O:O,1)),0)</f>
        <v>8</v>
      </c>
      <c r="DZ51" s="90">
        <f>_xlfn.IFNA(INDEX(武器升级消耗!$H:$H,MATCH(玩家节奏1!DV51/玩家节奏1!DV$5,武器升级消耗!P:P,1)),0)</f>
        <v>6</v>
      </c>
      <c r="EA51" s="90">
        <f ca="1">_xlfn.IFNA(INDEX(武器升级消耗!$Q:$Q,MATCH(玩家节奏1!DW51,武器升级消耗!$H:$H,0))*2*EA$4,0)</f>
        <v>2.2799999999999998</v>
      </c>
      <c r="EB51" s="90">
        <f ca="1">_xlfn.IFNA(INDEX(武器升级消耗!$Q:$Q,MATCH(玩家节奏1!DX51,武器升级消耗!$H:$H,0))*2*EB$4,0)</f>
        <v>2.4000000000000004</v>
      </c>
      <c r="EC51" s="90">
        <f ca="1">_xlfn.IFNA(INDEX(武器升级消耗!$Q:$Q,MATCH(玩家节奏1!DY51,武器升级消耗!$H:$H,0))*2*EC$4,1)</f>
        <v>2.64</v>
      </c>
      <c r="ED51" s="90">
        <f>_xlfn.IFNA(INDEX(武器升级消耗!$Q:$Q,MATCH(玩家节奏1!DZ51,武器升级消耗!$H:$H,0))*2*ED$4,0)</f>
        <v>3</v>
      </c>
      <c r="EF51" s="128"/>
      <c r="EG51" s="90"/>
      <c r="EH51" s="90"/>
      <c r="EI51" s="90"/>
      <c r="EJ51" s="90"/>
      <c r="EK51" s="90"/>
      <c r="EL51" s="90"/>
      <c r="EM51" s="90"/>
      <c r="EO51" s="128"/>
      <c r="EP51" s="90"/>
      <c r="EQ51" s="90"/>
      <c r="ER51" s="90"/>
      <c r="ES51" s="90"/>
      <c r="ET51" s="90"/>
      <c r="EU51" s="90"/>
      <c r="EV51" s="90"/>
      <c r="EW51" s="90"/>
      <c r="EX51" s="90"/>
      <c r="EY51" s="90"/>
      <c r="EZ51" s="90"/>
      <c r="FA51" s="90"/>
      <c r="FB51" s="90"/>
      <c r="FD51" s="90">
        <f t="shared" ca="1" si="63"/>
        <v>2.64</v>
      </c>
      <c r="FE51" s="90"/>
      <c r="FF51" s="90"/>
      <c r="FG51" s="90">
        <f t="shared" ca="1" si="64"/>
        <v>0</v>
      </c>
    </row>
    <row r="52" spans="1:163" x14ac:dyDescent="0.25">
      <c r="A52" s="123">
        <v>46</v>
      </c>
      <c r="B52" s="123">
        <f>INDEX(关卡对比!$Y:$Y,MATCH(关卡对比!Z52,关卡对比!$AA:$AA,1))</f>
        <v>32</v>
      </c>
      <c r="C52" s="124">
        <f>INDEX(关卡对比!$Y:$Y,MATCH(关卡对比!Z52,关卡对比!$AB:$AB,1))</f>
        <v>25</v>
      </c>
      <c r="D52" s="125">
        <f t="shared" si="70"/>
        <v>278.5</v>
      </c>
      <c r="E52" s="125">
        <v>3</v>
      </c>
      <c r="F52" s="128">
        <v>5</v>
      </c>
      <c r="G52" s="90">
        <v>1</v>
      </c>
      <c r="H52" s="90">
        <v>1</v>
      </c>
      <c r="J52" s="128">
        <v>46</v>
      </c>
      <c r="K52" s="90">
        <f t="shared" si="77"/>
        <v>5</v>
      </c>
      <c r="L52" s="90">
        <f t="shared" si="78"/>
        <v>1</v>
      </c>
      <c r="M52" s="90">
        <f t="shared" si="79"/>
        <v>1</v>
      </c>
      <c r="N52" s="140">
        <f>INDEX($A:$A,MATCH(SUM($K$7:K52),$D:$D,1))</f>
        <v>42</v>
      </c>
      <c r="O52" s="140">
        <v>0</v>
      </c>
      <c r="P52" s="141">
        <v>0</v>
      </c>
      <c r="Q52" s="126">
        <f>_xlfn.MAXIFS(关卡产出!X:X,关卡产出!$A:$A,玩家节奏1!$N$6,关卡产出!$B:$B,玩家节奏1!$N52)+_xlfn.MAXIFS(关卡产出!X:X,关卡产出!$A:$A,玩家节奏1!$O$6,关卡产出!$B:$B,玩家节奏1!$O52)+_xlfn.MAXIFS(关卡产出!X:X,关卡产出!$A:$A,玩家节奏1!$P$6,关卡产出!$B:$B,玩家节奏1!$P52)</f>
        <v>6900</v>
      </c>
      <c r="R52" s="90">
        <f>_xlfn.MAXIFS(关卡产出!Y:Y,关卡产出!$A:$A,玩家节奏1!$N$6,关卡产出!$B:$B,玩家节奏1!$N52)+_xlfn.MAXIFS(关卡产出!Y:Y,关卡产出!$A:$A,玩家节奏1!$O$6,关卡产出!$B:$B,玩家节奏1!$O52)+_xlfn.MAXIFS(关卡产出!Y:Y,关卡产出!$A:$A,玩家节奏1!$P$6,关卡产出!$B:$B,玩家节奏1!$P52)</f>
        <v>455200</v>
      </c>
      <c r="S52" s="90">
        <f>_xlfn.MAXIFS(关卡产出!Z:Z,关卡产出!$A:$A,玩家节奏1!$N$6,关卡产出!$B:$B,玩家节奏1!$N52)+_xlfn.MAXIFS(关卡产出!Z:Z,关卡产出!$A:$A,玩家节奏1!$O$6,关卡产出!$B:$B,玩家节奏1!$O52)+_xlfn.MAXIFS(关卡产出!Z:Z,关卡产出!$A:$A,玩家节奏1!$P$6,关卡产出!$B:$B,玩家节奏1!$P52)</f>
        <v>3342</v>
      </c>
      <c r="T52" s="90">
        <f>_xlfn.MAXIFS(关卡产出!AA:AA,关卡产出!$A:$A,玩家节奏1!$N$6,关卡产出!$B:$B,玩家节奏1!$N52)+_xlfn.MAXIFS(关卡产出!AA:AA,关卡产出!$A:$A,玩家节奏1!$O$6,关卡产出!$B:$B,玩家节奏1!$O52)+_xlfn.MAXIFS(关卡产出!AA:AA,关卡产出!$A:$A,玩家节奏1!$P$6,关卡产出!$B:$B,玩家节奏1!$P52)</f>
        <v>1672</v>
      </c>
      <c r="U52" s="90">
        <f>_xlfn.MAXIFS(关卡产出!AB:AB,关卡产出!$A:$A,玩家节奏1!$N$6,关卡产出!$B:$B,玩家节奏1!$N52)+_xlfn.MAXIFS(关卡产出!AB:AB,关卡产出!$A:$A,玩家节奏1!$O$6,关卡产出!$B:$B,玩家节奏1!$O52)+_xlfn.MAXIFS(关卡产出!AB:AB,关卡产出!$A:$A,玩家节奏1!$P$6,关卡产出!$B:$B,玩家节奏1!$P52)</f>
        <v>706</v>
      </c>
      <c r="V52" s="130">
        <f>_xlfn.MAXIFS(关卡产出!AC:AC,关卡产出!$A:$A,玩家节奏1!$N$6,关卡产出!$B:$B,玩家节奏1!$N52)+_xlfn.MAXIFS(关卡产出!AC:AC,关卡产出!$A:$A,玩家节奏1!$O$6,关卡产出!$B:$B,玩家节奏1!$O52)+_xlfn.MAXIFS(关卡产出!AC:AC,关卡产出!$A:$A,玩家节奏1!$P$6,关卡产出!$B:$B,玩家节奏1!$P52)</f>
        <v>252</v>
      </c>
      <c r="W52" s="126">
        <f>INDEX(关卡产出!C$8:C$207,MATCH(玩家节奏1!$N52,关卡产出!$B$8:$B$207,0))*$K52</f>
        <v>160</v>
      </c>
      <c r="X52" s="126">
        <f>INDEX(关卡产出!D$8:D$207,MATCH(玩家节奏1!$N52,关卡产出!$B$8:$B$207,0))*$K52</f>
        <v>80</v>
      </c>
      <c r="Y52" s="126">
        <f>INDEX(关卡产出!E$8:E$207,MATCH(玩家节奏1!$N52,关卡产出!$B$8:$B$207,0))*$K52</f>
        <v>35</v>
      </c>
      <c r="Z52" s="144">
        <f>INDEX(关卡产出!F$8:F$207,MATCH(玩家节奏1!$N52,关卡产出!$B$8:$B$207,0))*$K52</f>
        <v>2350</v>
      </c>
      <c r="AA52" s="126">
        <f>SUM(W$7:W52)</f>
        <v>4481</v>
      </c>
      <c r="AB52" s="126">
        <f>SUM(X$7:X52)</f>
        <v>2176</v>
      </c>
      <c r="AC52" s="126">
        <f>SUM(Y$7:Y52)</f>
        <v>922</v>
      </c>
      <c r="AD52" s="126">
        <f>SUM(Z$7:Z52)</f>
        <v>74260</v>
      </c>
      <c r="AE52" s="126">
        <f>INDEX(图鉴!AQ:AQ,MATCH($N52,图鉴!$S:$S,0))*8</f>
        <v>144</v>
      </c>
      <c r="AF52" s="90">
        <f>INDEX(图鉴!AR:AR,MATCH($N52,图鉴!$S:$S,0))*8</f>
        <v>72</v>
      </c>
      <c r="AG52" s="90">
        <f>INDEX(图鉴!AS:AS,MATCH($N52,图鉴!$S:$S,0))*8</f>
        <v>32</v>
      </c>
      <c r="AH52" s="129">
        <f ca="1">INDEX(图鉴!AT:AT,MATCH($N52,图鉴!$S:$S,0))*8</f>
        <v>5440</v>
      </c>
      <c r="AI52" s="128">
        <f>SUM($AE$7:AE52)</f>
        <v>5632</v>
      </c>
      <c r="AJ52" s="90">
        <f>SUM(AF$7:AF52)</f>
        <v>2432</v>
      </c>
      <c r="AK52" s="90">
        <f>SUM(AG$7:AG52)</f>
        <v>672</v>
      </c>
      <c r="AL52" s="130">
        <f ca="1">SUM(AH$7:AH52)</f>
        <v>187080</v>
      </c>
      <c r="AM52" s="133">
        <f>IF(M52=0,0,INDEX(关卡产出!$AU$11:$AU$15,MATCH(玩家节奏1!N52,关卡产出!$AW$11:$AW$15,1))*M52)</f>
        <v>5800</v>
      </c>
      <c r="AN52" s="126">
        <f>IF(L52=0,0,$L52*关卡产出!AU$21)</f>
        <v>1000</v>
      </c>
      <c r="AO52" s="90">
        <f>IF(M52=0,0,$L52*关卡产出!AV$21)</f>
        <v>50</v>
      </c>
      <c r="AP52" s="129">
        <f>IF(N52=0,0,$L52*关卡产出!AW$21)</f>
        <v>1</v>
      </c>
      <c r="AQ52" s="138">
        <f>SUM(AN$7:AN52)</f>
        <v>29000</v>
      </c>
      <c r="AR52" s="126">
        <f>SUM(AO$7:AO52)</f>
        <v>1450</v>
      </c>
      <c r="AS52" s="129">
        <f>SUM(AP$7:AP52)</f>
        <v>29</v>
      </c>
      <c r="AT52" s="128">
        <v>500</v>
      </c>
      <c r="AU52" s="129">
        <v>100</v>
      </c>
      <c r="AV52" s="128">
        <f>SUM(AT$7:AT52)</f>
        <v>23000</v>
      </c>
      <c r="AW52" s="90">
        <f>SUM(AU$7:AU52)</f>
        <v>4600</v>
      </c>
      <c r="AY52" s="128">
        <f t="shared" si="13"/>
        <v>6900</v>
      </c>
      <c r="AZ52" s="90">
        <f t="shared" si="14"/>
        <v>1450</v>
      </c>
      <c r="BA52" s="90">
        <f t="shared" si="15"/>
        <v>4600</v>
      </c>
      <c r="BB52" s="90">
        <f t="shared" ca="1" si="65"/>
        <v>1300</v>
      </c>
      <c r="BC52" s="90">
        <f t="shared" ca="1" si="68"/>
        <v>14250</v>
      </c>
      <c r="BD52" s="90"/>
      <c r="BE52" s="90">
        <f t="shared" ca="1" si="17"/>
        <v>14250</v>
      </c>
      <c r="BF52" s="142">
        <f t="shared" ca="1" si="18"/>
        <v>0.48421052631578948</v>
      </c>
      <c r="BG52" s="142">
        <f t="shared" ca="1" si="19"/>
        <v>0.10175438596491228</v>
      </c>
      <c r="BH52" s="142">
        <f t="shared" ca="1" si="80"/>
        <v>0.32280701754385965</v>
      </c>
      <c r="BI52" s="142">
        <f t="shared" ca="1" si="81"/>
        <v>9.1228070175438603E-2</v>
      </c>
      <c r="BJ52" s="143"/>
      <c r="BK52" s="128">
        <f ca="1">INDEX(商城宝箱!$L:$L,MATCH(BC52,商城宝箱!$N:$N,1))</f>
        <v>5</v>
      </c>
      <c r="BL52" s="90">
        <f ca="1">_xlfn.IFNA(INDEX(商城宝箱!T:T,MATCH(玩家节奏1!$BK52,商城宝箱!$L:$L,0)),0)+($BC52-INDEX(商城宝箱!$N:$N,MATCH(玩家节奏1!$BK52,商城宝箱!$L:$L,0)))/$BK$5*INDEX(商城宝箱!E$23:E$42,MATCH(玩家节奏1!$BK52+1,商城宝箱!$C$23:$C$42,0))</f>
        <v>35625</v>
      </c>
      <c r="BM52" s="90">
        <f ca="1">_xlfn.IFNA(INDEX(商城宝箱!U:U,MATCH(玩家节奏1!$BK52,商城宝箱!$L:$L,0)),0)+($BC52-INDEX(商城宝箱!$N:$N,MATCH(玩家节奏1!$BK52,商城宝箱!$L:$L,0)))/$BK$5*INDEX(商城宝箱!F$23:F$42,MATCH(玩家节奏1!$BK52+1,商城宝箱!$C$23:$C$42,0))</f>
        <v>9462.5</v>
      </c>
      <c r="BN52" s="90">
        <f ca="1">_xlfn.IFNA(INDEX(商城宝箱!V:V,MATCH(玩家节奏1!$BK52,商城宝箱!$L:$L,0)),0)+($BC52-INDEX(商城宝箱!$N:$N,MATCH(玩家节奏1!$BK52,商城宝箱!$L:$L,0)))/$BK$5*INDEX(商城宝箱!G$23:G$42,MATCH(玩家节奏1!$BK52+1,商城宝箱!$C$23:$C$42,0))</f>
        <v>4677</v>
      </c>
      <c r="BO52" s="90">
        <f ca="1">_xlfn.IFNA(INDEX(商城宝箱!W:W,MATCH(玩家节奏1!$BK52,商城宝箱!$L:$L,0)),0)+($BC52-INDEX(商城宝箱!$N:$N,MATCH(玩家节奏1!$BK52,商城宝箱!$L:$L,0)))/$BK$5*INDEX(商城宝箱!H$23:H$42,MATCH(玩家节奏1!$BK52+1,商城宝箱!$C$23:$C$42,0))</f>
        <v>648.5</v>
      </c>
      <c r="BQ52" s="128">
        <f t="shared" si="71"/>
        <v>455200</v>
      </c>
      <c r="BR52" s="90">
        <f t="shared" si="72"/>
        <v>74260</v>
      </c>
      <c r="BS52" s="90">
        <f t="shared" ca="1" si="73"/>
        <v>187080</v>
      </c>
      <c r="BT52" s="90">
        <f t="shared" si="74"/>
        <v>5800</v>
      </c>
      <c r="BU52" s="90">
        <f t="shared" si="75"/>
        <v>29000</v>
      </c>
      <c r="BV52" s="90">
        <f t="shared" si="76"/>
        <v>23000</v>
      </c>
      <c r="BW52" s="90">
        <f t="shared" ca="1" si="22"/>
        <v>35625</v>
      </c>
      <c r="BX52" s="90">
        <f t="shared" ca="1" si="23"/>
        <v>809965</v>
      </c>
      <c r="BY52" s="142">
        <f t="shared" ca="1" si="24"/>
        <v>0.56199959257498777</v>
      </c>
      <c r="BZ52" s="142">
        <f t="shared" ca="1" si="25"/>
        <v>9.1682973955664757E-2</v>
      </c>
      <c r="CA52" s="142">
        <f t="shared" ca="1" si="26"/>
        <v>0.23097294327532672</v>
      </c>
      <c r="CB52" s="142">
        <f t="shared" ca="1" si="27"/>
        <v>7.1608032445846428E-3</v>
      </c>
      <c r="CC52" s="142">
        <f t="shared" ca="1" si="28"/>
        <v>3.5804016222923216E-2</v>
      </c>
      <c r="CD52" s="142">
        <f t="shared" ca="1" si="29"/>
        <v>2.8396288728525308E-2</v>
      </c>
      <c r="CE52" s="142">
        <f t="shared" ca="1" si="30"/>
        <v>4.398338199798757E-2</v>
      </c>
      <c r="CG52" s="128">
        <f t="shared" si="31"/>
        <v>42</v>
      </c>
      <c r="CH52" s="90">
        <f ca="1">INDEX(角色升级!$A:$A,MATCH(玩家节奏1!$BX52,角色升级!$J:$J,1))</f>
        <v>276</v>
      </c>
      <c r="CI52" s="90">
        <f ca="1">INDEX(角色升级!$O:$O,MATCH(玩家节奏1!$BX52,角色升级!$J:$J,1))</f>
        <v>5801.0485499999995</v>
      </c>
      <c r="CJ52" s="90">
        <f>INDEX(关卡对比!$J:$J,MATCH(玩家节奏1!N52,关卡对比!$A:$A,0))</f>
        <v>7600</v>
      </c>
      <c r="CK52" s="147">
        <f t="shared" ca="1" si="32"/>
        <v>1.3101079803926139</v>
      </c>
      <c r="CL52" s="128">
        <f ca="1">INDEX(角色升级!$P:$P,MATCH(玩家节奏1!$CH52,角色升级!$A:$A,0))</f>
        <v>1300</v>
      </c>
      <c r="CM52" s="90">
        <f ca="1">INDEX(角色升级!Q:Q,MATCH(玩家节奏1!$CH52,角色升级!$A:$A,0))</f>
        <v>0.2</v>
      </c>
      <c r="CO52" s="128">
        <f t="shared" si="33"/>
        <v>3342</v>
      </c>
      <c r="CP52" s="90">
        <f t="shared" si="34"/>
        <v>4481</v>
      </c>
      <c r="CQ52" s="90">
        <f t="shared" si="35"/>
        <v>5632</v>
      </c>
      <c r="CR52" s="90">
        <f t="shared" ca="1" si="36"/>
        <v>9462.5</v>
      </c>
      <c r="CS52" s="90">
        <f t="shared" ca="1" si="37"/>
        <v>22917.5</v>
      </c>
      <c r="CT52" s="142">
        <f t="shared" ca="1" si="38"/>
        <v>0.14582742445729246</v>
      </c>
      <c r="CU52" s="142">
        <f t="shared" ca="1" si="39"/>
        <v>0.19552743536598668</v>
      </c>
      <c r="CV52" s="142">
        <f t="shared" ca="1" si="40"/>
        <v>0.24575106359768736</v>
      </c>
      <c r="CW52" s="142">
        <f t="shared" ca="1" si="41"/>
        <v>0.41289407657903349</v>
      </c>
      <c r="CY52" s="128">
        <f t="shared" si="42"/>
        <v>1672</v>
      </c>
      <c r="CZ52" s="90">
        <f t="shared" si="43"/>
        <v>2176</v>
      </c>
      <c r="DA52" s="90">
        <f t="shared" si="44"/>
        <v>2432</v>
      </c>
      <c r="DB52" s="90">
        <f t="shared" ca="1" si="66"/>
        <v>4677</v>
      </c>
      <c r="DC52" s="90">
        <f t="shared" ca="1" si="45"/>
        <v>10957</v>
      </c>
      <c r="DD52" s="142">
        <f t="shared" ca="1" si="46"/>
        <v>0.1525965136442457</v>
      </c>
      <c r="DE52" s="142">
        <f t="shared" ca="1" si="47"/>
        <v>0.19859450579538196</v>
      </c>
      <c r="DF52" s="142">
        <f t="shared" ca="1" si="48"/>
        <v>0.221958565300721</v>
      </c>
      <c r="DG52" s="142">
        <f t="shared" ca="1" si="49"/>
        <v>0.42685041525965134</v>
      </c>
      <c r="DI52" s="128">
        <f t="shared" si="50"/>
        <v>706</v>
      </c>
      <c r="DJ52" s="90">
        <f t="shared" si="51"/>
        <v>922</v>
      </c>
      <c r="DK52" s="90">
        <f t="shared" si="52"/>
        <v>672</v>
      </c>
      <c r="DL52" s="90">
        <f t="shared" ca="1" si="53"/>
        <v>648.5</v>
      </c>
      <c r="DM52" s="90">
        <f t="shared" ca="1" si="54"/>
        <v>2948.5</v>
      </c>
      <c r="DN52" s="142">
        <f t="shared" ca="1" si="55"/>
        <v>0.23944378497541122</v>
      </c>
      <c r="DO52" s="142">
        <f t="shared" ca="1" si="56"/>
        <v>0.31270137357978633</v>
      </c>
      <c r="DP52" s="142">
        <f t="shared" ca="1" si="57"/>
        <v>0.22791249788027812</v>
      </c>
      <c r="DQ52" s="142">
        <f t="shared" ca="1" si="58"/>
        <v>0.21994234356452433</v>
      </c>
      <c r="DS52" s="128">
        <f t="shared" ca="1" si="59"/>
        <v>22917.5</v>
      </c>
      <c r="DT52" s="90">
        <f t="shared" ca="1" si="60"/>
        <v>10957</v>
      </c>
      <c r="DU52" s="90">
        <f t="shared" ca="1" si="61"/>
        <v>2948.5</v>
      </c>
      <c r="DV52" s="90">
        <f t="shared" si="62"/>
        <v>29</v>
      </c>
      <c r="DW52" s="90">
        <f ca="1">_xlfn.IFNA(INDEX(武器升级消耗!$H:$H,MATCH(玩家节奏1!DS52/玩家节奏1!DS$5,武器升级消耗!M:M,1)),0)</f>
        <v>15</v>
      </c>
      <c r="DX52" s="90">
        <f ca="1">_xlfn.IFNA(INDEX(武器升级消耗!$H:$H,MATCH(玩家节奏1!DT52/玩家节奏1!DT$5,武器升级消耗!N:N,1)),0)</f>
        <v>12</v>
      </c>
      <c r="DY52" s="90">
        <f ca="1">_xlfn.IFNA(INDEX(武器升级消耗!$H:$H,MATCH(玩家节奏1!DU52/玩家节奏1!DU$5,武器升级消耗!O:O,1)),0)</f>
        <v>8</v>
      </c>
      <c r="DZ52" s="90">
        <f>_xlfn.IFNA(INDEX(武器升级消耗!$H:$H,MATCH(玩家节奏1!DV52/玩家节奏1!DV$5,武器升级消耗!P:P,1)),0)</f>
        <v>6</v>
      </c>
      <c r="EA52" s="90">
        <f ca="1">_xlfn.IFNA(INDEX(武器升级消耗!$Q:$Q,MATCH(玩家节奏1!DW52,武器升级消耗!$H:$H,0))*2*EA$4,0)</f>
        <v>2.2799999999999998</v>
      </c>
      <c r="EB52" s="90">
        <f ca="1">_xlfn.IFNA(INDEX(武器升级消耗!$Q:$Q,MATCH(玩家节奏1!DX52,武器升级消耗!$H:$H,0))*2*EB$4,0)</f>
        <v>2.4000000000000004</v>
      </c>
      <c r="EC52" s="90">
        <f ca="1">_xlfn.IFNA(INDEX(武器升级消耗!$Q:$Q,MATCH(玩家节奏1!DY52,武器升级消耗!$H:$H,0))*2*EC$4,1)</f>
        <v>2.64</v>
      </c>
      <c r="ED52" s="90">
        <f>_xlfn.IFNA(INDEX(武器升级消耗!$Q:$Q,MATCH(玩家节奏1!DZ52,武器升级消耗!$H:$H,0))*2*ED$4,0)</f>
        <v>3</v>
      </c>
      <c r="EF52" s="128"/>
      <c r="EG52" s="90"/>
      <c r="EH52" s="90"/>
      <c r="EI52" s="90"/>
      <c r="EJ52" s="90"/>
      <c r="EK52" s="90"/>
      <c r="EL52" s="90"/>
      <c r="EM52" s="90"/>
      <c r="EO52" s="128"/>
      <c r="EP52" s="90"/>
      <c r="EQ52" s="90"/>
      <c r="ER52" s="90"/>
      <c r="ES52" s="90"/>
      <c r="ET52" s="90"/>
      <c r="EU52" s="90"/>
      <c r="EV52" s="90"/>
      <c r="EW52" s="90"/>
      <c r="EX52" s="90"/>
      <c r="EY52" s="90"/>
      <c r="EZ52" s="90"/>
      <c r="FA52" s="90"/>
      <c r="FB52" s="90"/>
      <c r="FD52" s="90">
        <f t="shared" ca="1" si="63"/>
        <v>2.64</v>
      </c>
      <c r="FE52" s="90"/>
      <c r="FF52" s="90"/>
      <c r="FG52" s="90">
        <f t="shared" ca="1" si="64"/>
        <v>0</v>
      </c>
    </row>
    <row r="53" spans="1:163" x14ac:dyDescent="0.25">
      <c r="A53" s="123">
        <v>47</v>
      </c>
      <c r="B53" s="123">
        <f>INDEX(关卡对比!$Y:$Y,MATCH(关卡对比!Z53,关卡对比!$AA:$AA,1))</f>
        <v>32</v>
      </c>
      <c r="C53" s="124">
        <f>INDEX(关卡对比!$Y:$Y,MATCH(关卡对比!Z53,关卡对比!$AB:$AB,1))</f>
        <v>26</v>
      </c>
      <c r="D53" s="125">
        <f t="shared" si="70"/>
        <v>284.5</v>
      </c>
      <c r="E53" s="125">
        <v>3</v>
      </c>
      <c r="F53" s="128">
        <v>5</v>
      </c>
      <c r="G53" s="90">
        <v>1</v>
      </c>
      <c r="H53" s="90">
        <v>1</v>
      </c>
      <c r="J53" s="128">
        <v>47</v>
      </c>
      <c r="K53" s="90">
        <f t="shared" si="77"/>
        <v>5</v>
      </c>
      <c r="L53" s="90">
        <f t="shared" si="78"/>
        <v>1</v>
      </c>
      <c r="M53" s="90">
        <f t="shared" si="79"/>
        <v>1</v>
      </c>
      <c r="N53" s="140">
        <f>INDEX($A:$A,MATCH(SUM($K$7:K53),$D:$D,1))</f>
        <v>43</v>
      </c>
      <c r="O53" s="140">
        <v>0</v>
      </c>
      <c r="P53" s="141">
        <v>0</v>
      </c>
      <c r="Q53" s="126">
        <f>_xlfn.MAXIFS(关卡产出!X:X,关卡产出!$A:$A,玩家节奏1!$N$6,关卡产出!$B:$B,玩家节奏1!$N53)+_xlfn.MAXIFS(关卡产出!X:X,关卡产出!$A:$A,玩家节奏1!$O$6,关卡产出!$B:$B,玩家节奏1!$O53)+_xlfn.MAXIFS(关卡产出!X:X,关卡产出!$A:$A,玩家节奏1!$P$6,关卡产出!$B:$B,玩家节奏1!$P53)</f>
        <v>7100</v>
      </c>
      <c r="R53" s="90">
        <f>_xlfn.MAXIFS(关卡产出!Y:Y,关卡产出!$A:$A,玩家节奏1!$N$6,关卡产出!$B:$B,玩家节奏1!$N53)+_xlfn.MAXIFS(关卡产出!Y:Y,关卡产出!$A:$A,玩家节奏1!$O$6,关卡产出!$B:$B,玩家节奏1!$O53)+_xlfn.MAXIFS(关卡产出!Y:Y,关卡产出!$A:$A,玩家节奏1!$P$6,关卡产出!$B:$B,玩家节奏1!$P53)</f>
        <v>478700</v>
      </c>
      <c r="S53" s="90">
        <f>_xlfn.MAXIFS(关卡产出!Z:Z,关卡产出!$A:$A,玩家节奏1!$N$6,关卡产出!$B:$B,玩家节奏1!$N53)+_xlfn.MAXIFS(关卡产出!Z:Z,关卡产出!$A:$A,玩家节奏1!$O$6,关卡产出!$B:$B,玩家节奏1!$O53)+_xlfn.MAXIFS(关卡产出!Z:Z,关卡产出!$A:$A,玩家节奏1!$P$6,关卡产出!$B:$B,玩家节奏1!$P53)</f>
        <v>3506</v>
      </c>
      <c r="T53" s="90">
        <f>_xlfn.MAXIFS(关卡产出!AA:AA,关卡产出!$A:$A,玩家节奏1!$N$6,关卡产出!$B:$B,玩家节奏1!$N53)+_xlfn.MAXIFS(关卡产出!AA:AA,关卡产出!$A:$A,玩家节奏1!$O$6,关卡产出!$B:$B,玩家节奏1!$O53)+_xlfn.MAXIFS(关卡产出!AA:AA,关卡产出!$A:$A,玩家节奏1!$P$6,关卡产出!$B:$B,玩家节奏1!$P53)</f>
        <v>1754</v>
      </c>
      <c r="U53" s="90">
        <f>_xlfn.MAXIFS(关卡产出!AB:AB,关卡产出!$A:$A,玩家节奏1!$N$6,关卡产出!$B:$B,玩家节奏1!$N53)+_xlfn.MAXIFS(关卡产出!AB:AB,关卡产出!$A:$A,玩家节奏1!$O$6,关卡产出!$B:$B,玩家节奏1!$O53)+_xlfn.MAXIFS(关卡产出!AB:AB,关卡产出!$A:$A,玩家节奏1!$P$6,关卡产出!$B:$B,玩家节奏1!$P53)</f>
        <v>744</v>
      </c>
      <c r="V53" s="130">
        <f>_xlfn.MAXIFS(关卡产出!AC:AC,关卡产出!$A:$A,玩家节奏1!$N$6,关卡产出!$B:$B,玩家节奏1!$N53)+_xlfn.MAXIFS(关卡产出!AC:AC,关卡产出!$A:$A,玩家节奏1!$O$6,关卡产出!$B:$B,玩家节奏1!$O53)+_xlfn.MAXIFS(关卡产出!AC:AC,关卡产出!$A:$A,玩家节奏1!$P$6,关卡产出!$B:$B,玩家节奏1!$P53)</f>
        <v>258</v>
      </c>
      <c r="W53" s="126">
        <f>INDEX(关卡产出!C$8:C$207,MATCH(玩家节奏1!$N53,关卡产出!$B$8:$B$207,0))*$K53</f>
        <v>165</v>
      </c>
      <c r="X53" s="126">
        <f>INDEX(关卡产出!D$8:D$207,MATCH(玩家节奏1!$N53,关卡产出!$B$8:$B$207,0))*$K53</f>
        <v>80</v>
      </c>
      <c r="Y53" s="126">
        <f>INDEX(关卡产出!E$8:E$207,MATCH(玩家节奏1!$N53,关卡产出!$B$8:$B$207,0))*$K53</f>
        <v>40</v>
      </c>
      <c r="Z53" s="144">
        <f>INDEX(关卡产出!F$8:F$207,MATCH(玩家节奏1!$N53,关卡产出!$B$8:$B$207,0))*$K53</f>
        <v>2450</v>
      </c>
      <c r="AA53" s="126">
        <f>SUM(W$7:W53)</f>
        <v>4646</v>
      </c>
      <c r="AB53" s="126">
        <f>SUM(X$7:X53)</f>
        <v>2256</v>
      </c>
      <c r="AC53" s="126">
        <f>SUM(Y$7:Y53)</f>
        <v>962</v>
      </c>
      <c r="AD53" s="126">
        <f>SUM(Z$7:Z53)</f>
        <v>76710</v>
      </c>
      <c r="AE53" s="126">
        <f>INDEX(图鉴!AQ:AQ,MATCH($N53,图鉴!$S:$S,0))*8</f>
        <v>144</v>
      </c>
      <c r="AF53" s="90">
        <f>INDEX(图鉴!AR:AR,MATCH($N53,图鉴!$S:$S,0))*8</f>
        <v>72</v>
      </c>
      <c r="AG53" s="90">
        <f>INDEX(图鉴!AS:AS,MATCH($N53,图鉴!$S:$S,0))*8</f>
        <v>32</v>
      </c>
      <c r="AH53" s="129">
        <f ca="1">INDEX(图鉴!AT:AT,MATCH($N53,图鉴!$S:$S,0))*8</f>
        <v>5440</v>
      </c>
      <c r="AI53" s="128">
        <f>SUM($AE$7:AE53)</f>
        <v>5776</v>
      </c>
      <c r="AJ53" s="90">
        <f>SUM(AF$7:AF53)</f>
        <v>2504</v>
      </c>
      <c r="AK53" s="90">
        <f>SUM(AG$7:AG53)</f>
        <v>704</v>
      </c>
      <c r="AL53" s="130">
        <f ca="1">SUM(AH$7:AH53)</f>
        <v>192520</v>
      </c>
      <c r="AM53" s="133">
        <f>IF(M53=0,0,INDEX(关卡产出!$AU$11:$AU$15,MATCH(玩家节奏1!N53,关卡产出!$AW$11:$AW$15,1))*M53)</f>
        <v>5800</v>
      </c>
      <c r="AN53" s="126">
        <f>IF(L53=0,0,$L53*关卡产出!AU$21)</f>
        <v>1000</v>
      </c>
      <c r="AO53" s="90">
        <f>IF(M53=0,0,$L53*关卡产出!AV$21)</f>
        <v>50</v>
      </c>
      <c r="AP53" s="129">
        <f>IF(N53=0,0,$L53*关卡产出!AW$21)</f>
        <v>1</v>
      </c>
      <c r="AQ53" s="138">
        <f>SUM(AN$7:AN53)</f>
        <v>30000</v>
      </c>
      <c r="AR53" s="126">
        <f>SUM(AO$7:AO53)</f>
        <v>1500</v>
      </c>
      <c r="AS53" s="129">
        <f>SUM(AP$7:AP53)</f>
        <v>30</v>
      </c>
      <c r="AT53" s="128">
        <v>500</v>
      </c>
      <c r="AU53" s="129">
        <v>100</v>
      </c>
      <c r="AV53" s="128">
        <f>SUM(AT$7:AT53)</f>
        <v>23500</v>
      </c>
      <c r="AW53" s="90">
        <f>SUM(AU$7:AU53)</f>
        <v>4700</v>
      </c>
      <c r="AY53" s="128">
        <f t="shared" si="13"/>
        <v>7100</v>
      </c>
      <c r="AZ53" s="90">
        <f t="shared" si="14"/>
        <v>1500</v>
      </c>
      <c r="BA53" s="90">
        <f t="shared" si="15"/>
        <v>4700</v>
      </c>
      <c r="BB53" s="90">
        <f t="shared" ca="1" si="65"/>
        <v>1300</v>
      </c>
      <c r="BC53" s="90">
        <f t="shared" ca="1" si="68"/>
        <v>14600</v>
      </c>
      <c r="BD53" s="90"/>
      <c r="BE53" s="90">
        <f t="shared" ca="1" si="17"/>
        <v>14600</v>
      </c>
      <c r="BF53" s="142">
        <f t="shared" ca="1" si="18"/>
        <v>0.4863013698630137</v>
      </c>
      <c r="BG53" s="142">
        <f t="shared" ca="1" si="19"/>
        <v>0.10273972602739725</v>
      </c>
      <c r="BH53" s="142">
        <f t="shared" ca="1" si="80"/>
        <v>0.32191780821917809</v>
      </c>
      <c r="BI53" s="142">
        <f t="shared" ca="1" si="81"/>
        <v>8.9041095890410954E-2</v>
      </c>
      <c r="BJ53" s="143"/>
      <c r="BK53" s="128">
        <f ca="1">INDEX(商城宝箱!$L:$L,MATCH(BC53,商城宝箱!$N:$N,1))</f>
        <v>5</v>
      </c>
      <c r="BL53" s="90">
        <f ca="1">_xlfn.IFNA(INDEX(商城宝箱!T:T,MATCH(玩家节奏1!$BK53,商城宝箱!$L:$L,0)),0)+($BC53-INDEX(商城宝箱!$N:$N,MATCH(玩家节奏1!$BK53,商城宝箱!$L:$L,0)))/$BK$5*INDEX(商城宝箱!E$23:E$42,MATCH(玩家节奏1!$BK53+1,商城宝箱!$C$23:$C$42,0))</f>
        <v>36500</v>
      </c>
      <c r="BM53" s="90">
        <f ca="1">_xlfn.IFNA(INDEX(商城宝箱!U:U,MATCH(玩家节奏1!$BK53,商城宝箱!$L:$L,0)),0)+($BC53-INDEX(商城宝箱!$N:$N,MATCH(玩家节奏1!$BK53,商城宝箱!$L:$L,0)))/$BK$5*INDEX(商城宝箱!F$23:F$42,MATCH(玩家节奏1!$BK53+1,商城宝箱!$C$23:$C$42,0))</f>
        <v>9812.5</v>
      </c>
      <c r="BN53" s="90">
        <f ca="1">_xlfn.IFNA(INDEX(商城宝箱!V:V,MATCH(玩家节奏1!$BK53,商城宝箱!$L:$L,0)),0)+($BC53-INDEX(商城宝箱!$N:$N,MATCH(玩家节奏1!$BK53,商城宝箱!$L:$L,0)))/$BK$5*INDEX(商城宝箱!G$23:G$42,MATCH(玩家节奏1!$BK53+1,商城宝箱!$C$23:$C$42,0))</f>
        <v>4887</v>
      </c>
      <c r="BO53" s="90">
        <f ca="1">_xlfn.IFNA(INDEX(商城宝箱!W:W,MATCH(玩家节奏1!$BK53,商城宝箱!$L:$L,0)),0)+($BC53-INDEX(商城宝箱!$N:$N,MATCH(玩家节奏1!$BK53,商城宝箱!$L:$L,0)))/$BK$5*INDEX(商城宝箱!H$23:H$42,MATCH(玩家节奏1!$BK53+1,商城宝箱!$C$23:$C$42,0))</f>
        <v>676.5</v>
      </c>
      <c r="BQ53" s="128">
        <f t="shared" si="71"/>
        <v>478700</v>
      </c>
      <c r="BR53" s="90">
        <f t="shared" si="72"/>
        <v>76710</v>
      </c>
      <c r="BS53" s="90">
        <f t="shared" ca="1" si="73"/>
        <v>192520</v>
      </c>
      <c r="BT53" s="90">
        <f t="shared" si="74"/>
        <v>5800</v>
      </c>
      <c r="BU53" s="90">
        <f t="shared" si="75"/>
        <v>30000</v>
      </c>
      <c r="BV53" s="90">
        <f t="shared" si="76"/>
        <v>23500</v>
      </c>
      <c r="BW53" s="90">
        <f t="shared" ca="1" si="22"/>
        <v>36500</v>
      </c>
      <c r="BX53" s="90">
        <f t="shared" ca="1" si="23"/>
        <v>843730</v>
      </c>
      <c r="BY53" s="142">
        <f t="shared" ca="1" si="24"/>
        <v>0.56736159671932962</v>
      </c>
      <c r="BZ53" s="142">
        <f t="shared" ca="1" si="25"/>
        <v>9.0917710642030039E-2</v>
      </c>
      <c r="CA53" s="142">
        <f t="shared" ca="1" si="26"/>
        <v>0.22817726049802661</v>
      </c>
      <c r="CB53" s="142">
        <f t="shared" ca="1" si="27"/>
        <v>6.87423701895156E-3</v>
      </c>
      <c r="CC53" s="142">
        <f t="shared" ca="1" si="28"/>
        <v>3.5556398373887382E-2</v>
      </c>
      <c r="CD53" s="142">
        <f t="shared" ca="1" si="29"/>
        <v>2.7852512059545115E-2</v>
      </c>
      <c r="CE53" s="142">
        <f t="shared" ca="1" si="30"/>
        <v>4.326028468822965E-2</v>
      </c>
      <c r="CG53" s="128">
        <f t="shared" si="31"/>
        <v>43</v>
      </c>
      <c r="CH53" s="90">
        <f ca="1">INDEX(角色升级!$A:$A,MATCH(玩家节奏1!$BX53,角色升级!$J:$J,1))</f>
        <v>280</v>
      </c>
      <c r="CI53" s="90">
        <f ca="1">INDEX(角色升级!$O:$O,MATCH(玩家节奏1!$BX53,角色升级!$J:$J,1))</f>
        <v>6256.0327500000003</v>
      </c>
      <c r="CJ53" s="90">
        <f>INDEX(关卡对比!$J:$J,MATCH(玩家节奏1!N53,关卡对比!$A:$A,0))</f>
        <v>7900</v>
      </c>
      <c r="CK53" s="147">
        <f t="shared" ca="1" si="32"/>
        <v>1.2627811131583351</v>
      </c>
      <c r="CL53" s="128">
        <f ca="1">INDEX(角色升级!$P:$P,MATCH(玩家节奏1!$CH53,角色升级!$A:$A,0))</f>
        <v>1700</v>
      </c>
      <c r="CM53" s="90">
        <f ca="1">INDEX(角色升级!Q:Q,MATCH(玩家节奏1!$CH53,角色升级!$A:$A,0))</f>
        <v>0.2</v>
      </c>
      <c r="CO53" s="128">
        <f t="shared" si="33"/>
        <v>3506</v>
      </c>
      <c r="CP53" s="90">
        <f t="shared" si="34"/>
        <v>4646</v>
      </c>
      <c r="CQ53" s="90">
        <f t="shared" si="35"/>
        <v>5776</v>
      </c>
      <c r="CR53" s="90">
        <f t="shared" ca="1" si="36"/>
        <v>9812.5</v>
      </c>
      <c r="CS53" s="90">
        <f t="shared" ca="1" si="37"/>
        <v>23740.5</v>
      </c>
      <c r="CT53" s="142">
        <f t="shared" ca="1" si="38"/>
        <v>0.14768012468145153</v>
      </c>
      <c r="CU53" s="142">
        <f t="shared" ca="1" si="39"/>
        <v>0.19569933236452475</v>
      </c>
      <c r="CV53" s="142">
        <f t="shared" ca="1" si="40"/>
        <v>0.24329731892757103</v>
      </c>
      <c r="CW53" s="142">
        <f t="shared" ca="1" si="41"/>
        <v>0.41332322402645266</v>
      </c>
      <c r="CY53" s="128">
        <f t="shared" si="42"/>
        <v>1754</v>
      </c>
      <c r="CZ53" s="90">
        <f t="shared" si="43"/>
        <v>2256</v>
      </c>
      <c r="DA53" s="90">
        <f t="shared" si="44"/>
        <v>2504</v>
      </c>
      <c r="DB53" s="90">
        <f t="shared" ca="1" si="66"/>
        <v>4887</v>
      </c>
      <c r="DC53" s="90">
        <f t="shared" ca="1" si="45"/>
        <v>11401</v>
      </c>
      <c r="DD53" s="142">
        <f t="shared" ca="1" si="46"/>
        <v>0.15384615384615385</v>
      </c>
      <c r="DE53" s="142">
        <f t="shared" ca="1" si="47"/>
        <v>0.19787737917726514</v>
      </c>
      <c r="DF53" s="142">
        <f t="shared" ca="1" si="48"/>
        <v>0.21962985703008508</v>
      </c>
      <c r="DG53" s="142">
        <f t="shared" ca="1" si="49"/>
        <v>0.42864660994649595</v>
      </c>
      <c r="DI53" s="128">
        <f t="shared" si="50"/>
        <v>744</v>
      </c>
      <c r="DJ53" s="90">
        <f t="shared" si="51"/>
        <v>962</v>
      </c>
      <c r="DK53" s="90">
        <f t="shared" si="52"/>
        <v>704</v>
      </c>
      <c r="DL53" s="90">
        <f t="shared" ca="1" si="53"/>
        <v>676.5</v>
      </c>
      <c r="DM53" s="90">
        <f t="shared" ca="1" si="54"/>
        <v>3086.5</v>
      </c>
      <c r="DN53" s="142">
        <f t="shared" ca="1" si="55"/>
        <v>0.24104973270694963</v>
      </c>
      <c r="DO53" s="142">
        <f t="shared" ca="1" si="56"/>
        <v>0.3116798963226956</v>
      </c>
      <c r="DP53" s="142">
        <f t="shared" ca="1" si="57"/>
        <v>0.2280900696581889</v>
      </c>
      <c r="DQ53" s="142">
        <f t="shared" ca="1" si="58"/>
        <v>0.21918030131216587</v>
      </c>
      <c r="DS53" s="128">
        <f t="shared" ca="1" si="59"/>
        <v>23740.5</v>
      </c>
      <c r="DT53" s="90">
        <f t="shared" ca="1" si="60"/>
        <v>11401</v>
      </c>
      <c r="DU53" s="90">
        <f t="shared" ca="1" si="61"/>
        <v>3086.5</v>
      </c>
      <c r="DV53" s="90">
        <f t="shared" si="62"/>
        <v>30</v>
      </c>
      <c r="DW53" s="90">
        <f ca="1">_xlfn.IFNA(INDEX(武器升级消耗!$H:$H,MATCH(玩家节奏1!DS53/玩家节奏1!DS$5,武器升级消耗!M:M,1)),0)</f>
        <v>16</v>
      </c>
      <c r="DX53" s="90">
        <f ca="1">_xlfn.IFNA(INDEX(武器升级消耗!$H:$H,MATCH(玩家节奏1!DT53/玩家节奏1!DT$5,武器升级消耗!N:N,1)),0)</f>
        <v>13</v>
      </c>
      <c r="DY53" s="90">
        <f ca="1">_xlfn.IFNA(INDEX(武器升级消耗!$H:$H,MATCH(玩家节奏1!DU53/玩家节奏1!DU$5,武器升级消耗!O:O,1)),0)</f>
        <v>8</v>
      </c>
      <c r="DZ53" s="90">
        <f>_xlfn.IFNA(INDEX(武器升级消耗!$H:$H,MATCH(玩家节奏1!DV53/玩家节奏1!DV$5,武器升级消耗!P:P,1)),0)</f>
        <v>6</v>
      </c>
      <c r="EA53" s="90">
        <f ca="1">_xlfn.IFNA(INDEX(武器升级消耗!$Q:$Q,MATCH(玩家节奏1!DW53,武器升级消耗!$H:$H,0))*2*EA$4,0)</f>
        <v>2.4</v>
      </c>
      <c r="EB53" s="90">
        <f ca="1">_xlfn.IFNA(INDEX(武器升级消耗!$Q:$Q,MATCH(玩家节奏1!DX53,武器升级消耗!$H:$H,0))*2*EB$4,0)</f>
        <v>2.5499999999999998</v>
      </c>
      <c r="EC53" s="90">
        <f ca="1">_xlfn.IFNA(INDEX(武器升级消耗!$Q:$Q,MATCH(玩家节奏1!DY53,武器升级消耗!$H:$H,0))*2*EC$4,1)</f>
        <v>2.64</v>
      </c>
      <c r="ED53" s="90">
        <f>_xlfn.IFNA(INDEX(武器升级消耗!$Q:$Q,MATCH(玩家节奏1!DZ53,武器升级消耗!$H:$H,0))*2*ED$4,0)</f>
        <v>3</v>
      </c>
      <c r="EF53" s="128"/>
      <c r="EG53" s="90"/>
      <c r="EH53" s="90"/>
      <c r="EI53" s="90"/>
      <c r="EJ53" s="90"/>
      <c r="EK53" s="90"/>
      <c r="EL53" s="90"/>
      <c r="EM53" s="90"/>
      <c r="EO53" s="128"/>
      <c r="EP53" s="90"/>
      <c r="EQ53" s="90"/>
      <c r="ER53" s="90"/>
      <c r="ES53" s="90"/>
      <c r="ET53" s="90"/>
      <c r="EU53" s="90"/>
      <c r="EV53" s="90"/>
      <c r="EW53" s="90"/>
      <c r="EX53" s="90"/>
      <c r="EY53" s="90"/>
      <c r="EZ53" s="90"/>
      <c r="FA53" s="90"/>
      <c r="FB53" s="90"/>
      <c r="FD53" s="90">
        <f t="shared" ca="1" si="63"/>
        <v>2.64</v>
      </c>
      <c r="FE53" s="90"/>
      <c r="FF53" s="90"/>
      <c r="FG53" s="90">
        <f t="shared" ca="1" si="64"/>
        <v>0</v>
      </c>
    </row>
    <row r="54" spans="1:163" x14ac:dyDescent="0.25">
      <c r="A54" s="123">
        <v>48</v>
      </c>
      <c r="B54" s="123">
        <f>INDEX(关卡对比!$Y:$Y,MATCH(关卡对比!Z54,关卡对比!$AA:$AA,1))</f>
        <v>33</v>
      </c>
      <c r="C54" s="124">
        <f>INDEX(关卡对比!$Y:$Y,MATCH(关卡对比!Z54,关卡对比!$AB:$AB,1))</f>
        <v>27</v>
      </c>
      <c r="D54" s="125">
        <f t="shared" si="70"/>
        <v>293.5</v>
      </c>
      <c r="E54" s="125">
        <v>3</v>
      </c>
      <c r="F54" s="128">
        <v>5</v>
      </c>
      <c r="G54" s="90">
        <v>1</v>
      </c>
      <c r="H54" s="90">
        <v>1</v>
      </c>
      <c r="J54" s="128">
        <v>48</v>
      </c>
      <c r="K54" s="90">
        <f t="shared" si="77"/>
        <v>5</v>
      </c>
      <c r="L54" s="90">
        <f t="shared" si="78"/>
        <v>1</v>
      </c>
      <c r="M54" s="90">
        <f t="shared" si="79"/>
        <v>1</v>
      </c>
      <c r="N54" s="140">
        <f>INDEX($A:$A,MATCH(SUM($K$7:K54),$D:$D,1))</f>
        <v>44</v>
      </c>
      <c r="O54" s="140">
        <v>0</v>
      </c>
      <c r="P54" s="141">
        <v>0</v>
      </c>
      <c r="Q54" s="126">
        <f>_xlfn.MAXIFS(关卡产出!X:X,关卡产出!$A:$A,玩家节奏1!$N$6,关卡产出!$B:$B,玩家节奏1!$N54)+_xlfn.MAXIFS(关卡产出!X:X,关卡产出!$A:$A,玩家节奏1!$O$6,关卡产出!$B:$B,玩家节奏1!$O54)+_xlfn.MAXIFS(关卡产出!X:X,关卡产出!$A:$A,玩家节奏1!$P$6,关卡产出!$B:$B,玩家节奏1!$P54)</f>
        <v>7300</v>
      </c>
      <c r="R54" s="90">
        <f>_xlfn.MAXIFS(关卡产出!Y:Y,关卡产出!$A:$A,玩家节奏1!$N$6,关卡产出!$B:$B,玩家节奏1!$N54)+_xlfn.MAXIFS(关卡产出!Y:Y,关卡产出!$A:$A,玩家节奏1!$O$6,关卡产出!$B:$B,玩家节奏1!$O54)+_xlfn.MAXIFS(关卡产出!Y:Y,关卡产出!$A:$A,玩家节奏1!$P$6,关卡产出!$B:$B,玩家节奏1!$P54)</f>
        <v>502800</v>
      </c>
      <c r="S54" s="90">
        <f>_xlfn.MAXIFS(关卡产出!Z:Z,关卡产出!$A:$A,玩家节奏1!$N$6,关卡产出!$B:$B,玩家节奏1!$N54)+_xlfn.MAXIFS(关卡产出!Z:Z,关卡产出!$A:$A,玩家节奏1!$O$6,关卡产出!$B:$B,玩家节奏1!$O54)+_xlfn.MAXIFS(关卡产出!Z:Z,关卡产出!$A:$A,玩家节奏1!$P$6,关卡产出!$B:$B,玩家节奏1!$P54)</f>
        <v>3674</v>
      </c>
      <c r="T54" s="90">
        <f>_xlfn.MAXIFS(关卡产出!AA:AA,关卡产出!$A:$A,玩家节奏1!$N$6,关卡产出!$B:$B,玩家节奏1!$N54)+_xlfn.MAXIFS(关卡产出!AA:AA,关卡产出!$A:$A,玩家节奏1!$O$6,关卡产出!$B:$B,玩家节奏1!$O54)+_xlfn.MAXIFS(关卡产出!AA:AA,关卡产出!$A:$A,玩家节奏1!$P$6,关卡产出!$B:$B,玩家节奏1!$P54)</f>
        <v>1838</v>
      </c>
      <c r="U54" s="90">
        <f>_xlfn.MAXIFS(关卡产出!AB:AB,关卡产出!$A:$A,玩家节奏1!$N$6,关卡产出!$B:$B,玩家节奏1!$N54)+_xlfn.MAXIFS(关卡产出!AB:AB,关卡产出!$A:$A,玩家节奏1!$O$6,关卡产出!$B:$B,玩家节奏1!$O54)+_xlfn.MAXIFS(关卡产出!AB:AB,关卡产出!$A:$A,玩家节奏1!$P$6,关卡产出!$B:$B,玩家节奏1!$P54)</f>
        <v>783</v>
      </c>
      <c r="V54" s="130">
        <f>_xlfn.MAXIFS(关卡产出!AC:AC,关卡产出!$A:$A,玩家节奏1!$N$6,关卡产出!$B:$B,玩家节奏1!$N54)+_xlfn.MAXIFS(关卡产出!AC:AC,关卡产出!$A:$A,玩家节奏1!$O$6,关卡产出!$B:$B,玩家节奏1!$O54)+_xlfn.MAXIFS(关卡产出!AC:AC,关卡产出!$A:$A,玩家节奏1!$P$6,关卡产出!$B:$B,玩家节奏1!$P54)</f>
        <v>264</v>
      </c>
      <c r="W54" s="126">
        <f>INDEX(关卡产出!C$8:C$207,MATCH(玩家节奏1!$N54,关卡产出!$B$8:$B$207,0))*$K54</f>
        <v>170</v>
      </c>
      <c r="X54" s="126">
        <f>INDEX(关卡产出!D$8:D$207,MATCH(玩家节奏1!$N54,关卡产出!$B$8:$B$207,0))*$K54</f>
        <v>85</v>
      </c>
      <c r="Y54" s="126">
        <f>INDEX(关卡产出!E$8:E$207,MATCH(玩家节奏1!$N54,关卡产出!$B$8:$B$207,0))*$K54</f>
        <v>40</v>
      </c>
      <c r="Z54" s="144">
        <f>INDEX(关卡产出!F$8:F$207,MATCH(玩家节奏1!$N54,关卡产出!$B$8:$B$207,0))*$K54</f>
        <v>2450</v>
      </c>
      <c r="AA54" s="126">
        <f>SUM(W$7:W54)</f>
        <v>4816</v>
      </c>
      <c r="AB54" s="126">
        <f>SUM(X$7:X54)</f>
        <v>2341</v>
      </c>
      <c r="AC54" s="126">
        <f>SUM(Y$7:Y54)</f>
        <v>1002</v>
      </c>
      <c r="AD54" s="126">
        <f>SUM(Z$7:Z54)</f>
        <v>79160</v>
      </c>
      <c r="AE54" s="126">
        <f>INDEX(图鉴!AQ:AQ,MATCH($N54,图鉴!$S:$S,0))*8</f>
        <v>144</v>
      </c>
      <c r="AF54" s="90">
        <f>INDEX(图鉴!AR:AR,MATCH($N54,图鉴!$S:$S,0))*8</f>
        <v>80</v>
      </c>
      <c r="AG54" s="90">
        <f>INDEX(图鉴!AS:AS,MATCH($N54,图鉴!$S:$S,0))*8</f>
        <v>32</v>
      </c>
      <c r="AH54" s="129">
        <f ca="1">INDEX(图鉴!AT:AT,MATCH($N54,图鉴!$S:$S,0))*8</f>
        <v>5640</v>
      </c>
      <c r="AI54" s="128">
        <f>SUM($AE$7:AE54)</f>
        <v>5920</v>
      </c>
      <c r="AJ54" s="90">
        <f>SUM(AF$7:AF54)</f>
        <v>2584</v>
      </c>
      <c r="AK54" s="90">
        <f>SUM(AG$7:AG54)</f>
        <v>736</v>
      </c>
      <c r="AL54" s="130">
        <f ca="1">SUM(AH$7:AH54)</f>
        <v>198160</v>
      </c>
      <c r="AM54" s="133">
        <f>IF(M54=0,0,INDEX(关卡产出!$AU$11:$AU$15,MATCH(玩家节奏1!N54,关卡产出!$AW$11:$AW$15,1))*M54)</f>
        <v>5800</v>
      </c>
      <c r="AN54" s="126">
        <f>IF(L54=0,0,$L54*关卡产出!AU$21)</f>
        <v>1000</v>
      </c>
      <c r="AO54" s="90">
        <f>IF(M54=0,0,$L54*关卡产出!AV$21)</f>
        <v>50</v>
      </c>
      <c r="AP54" s="129">
        <f>IF(N54=0,0,$L54*关卡产出!AW$21)</f>
        <v>1</v>
      </c>
      <c r="AQ54" s="138">
        <f>SUM(AN$7:AN54)</f>
        <v>31000</v>
      </c>
      <c r="AR54" s="126">
        <f>SUM(AO$7:AO54)</f>
        <v>1550</v>
      </c>
      <c r="AS54" s="129">
        <f>SUM(AP$7:AP54)</f>
        <v>31</v>
      </c>
      <c r="AT54" s="128">
        <v>500</v>
      </c>
      <c r="AU54" s="129">
        <v>100</v>
      </c>
      <c r="AV54" s="128">
        <f>SUM(AT$7:AT54)</f>
        <v>24000</v>
      </c>
      <c r="AW54" s="90">
        <f>SUM(AU$7:AU54)</f>
        <v>4800</v>
      </c>
      <c r="AY54" s="128">
        <f t="shared" si="13"/>
        <v>7300</v>
      </c>
      <c r="AZ54" s="90">
        <f t="shared" si="14"/>
        <v>1550</v>
      </c>
      <c r="BA54" s="90">
        <f t="shared" si="15"/>
        <v>4800</v>
      </c>
      <c r="BB54" s="90">
        <f t="shared" ca="1" si="65"/>
        <v>1700</v>
      </c>
      <c r="BC54" s="90">
        <f t="shared" ca="1" si="68"/>
        <v>15350</v>
      </c>
      <c r="BD54" s="90"/>
      <c r="BE54" s="90">
        <f t="shared" ca="1" si="17"/>
        <v>15350</v>
      </c>
      <c r="BF54" s="142">
        <f t="shared" ca="1" si="18"/>
        <v>0.47557003257328989</v>
      </c>
      <c r="BG54" s="142">
        <f t="shared" ca="1" si="19"/>
        <v>0.10097719869706841</v>
      </c>
      <c r="BH54" s="142">
        <f t="shared" ca="1" si="80"/>
        <v>0.31270358306188922</v>
      </c>
      <c r="BI54" s="142">
        <f t="shared" ca="1" si="81"/>
        <v>0.11074918566775244</v>
      </c>
      <c r="BJ54" s="143"/>
      <c r="BK54" s="128">
        <f ca="1">INDEX(商城宝箱!$L:$L,MATCH(BC54,商城宝箱!$N:$N,1))</f>
        <v>5</v>
      </c>
      <c r="BL54" s="90">
        <f ca="1">_xlfn.IFNA(INDEX(商城宝箱!T:T,MATCH(玩家节奏1!$BK54,商城宝箱!$L:$L,0)),0)+($BC54-INDEX(商城宝箱!$N:$N,MATCH(玩家节奏1!$BK54,商城宝箱!$L:$L,0)))/$BK$5*INDEX(商城宝箱!E$23:E$42,MATCH(玩家节奏1!$BK54+1,商城宝箱!$C$23:$C$42,0))</f>
        <v>38375</v>
      </c>
      <c r="BM54" s="90">
        <f ca="1">_xlfn.IFNA(INDEX(商城宝箱!U:U,MATCH(玩家节奏1!$BK54,商城宝箱!$L:$L,0)),0)+($BC54-INDEX(商城宝箱!$N:$N,MATCH(玩家节奏1!$BK54,商城宝箱!$L:$L,0)))/$BK$5*INDEX(商城宝箱!F$23:F$42,MATCH(玩家节奏1!$BK54+1,商城宝箱!$C$23:$C$42,0))</f>
        <v>10562.5</v>
      </c>
      <c r="BN54" s="90">
        <f ca="1">_xlfn.IFNA(INDEX(商城宝箱!V:V,MATCH(玩家节奏1!$BK54,商城宝箱!$L:$L,0)),0)+($BC54-INDEX(商城宝箱!$N:$N,MATCH(玩家节奏1!$BK54,商城宝箱!$L:$L,0)))/$BK$5*INDEX(商城宝箱!G$23:G$42,MATCH(玩家节奏1!$BK54+1,商城宝箱!$C$23:$C$42,0))</f>
        <v>5337</v>
      </c>
      <c r="BO54" s="90">
        <f ca="1">_xlfn.IFNA(INDEX(商城宝箱!W:W,MATCH(玩家节奏1!$BK54,商城宝箱!$L:$L,0)),0)+($BC54-INDEX(商城宝箱!$N:$N,MATCH(玩家节奏1!$BK54,商城宝箱!$L:$L,0)))/$BK$5*INDEX(商城宝箱!H$23:H$42,MATCH(玩家节奏1!$BK54+1,商城宝箱!$C$23:$C$42,0))</f>
        <v>736.5</v>
      </c>
      <c r="BQ54" s="128">
        <f t="shared" si="71"/>
        <v>502800</v>
      </c>
      <c r="BR54" s="90">
        <f t="shared" si="72"/>
        <v>79160</v>
      </c>
      <c r="BS54" s="90">
        <f t="shared" ca="1" si="73"/>
        <v>198160</v>
      </c>
      <c r="BT54" s="90">
        <f t="shared" si="74"/>
        <v>5800</v>
      </c>
      <c r="BU54" s="90">
        <f t="shared" si="75"/>
        <v>31000</v>
      </c>
      <c r="BV54" s="90">
        <f t="shared" si="76"/>
        <v>24000</v>
      </c>
      <c r="BW54" s="90">
        <f t="shared" ca="1" si="22"/>
        <v>38375</v>
      </c>
      <c r="BX54" s="90">
        <f t="shared" ca="1" si="23"/>
        <v>879295</v>
      </c>
      <c r="BY54" s="142">
        <f t="shared" ca="1" si="24"/>
        <v>0.57182174355591697</v>
      </c>
      <c r="BZ54" s="142">
        <f t="shared" ca="1" si="25"/>
        <v>9.0026669092852799E-2</v>
      </c>
      <c r="CA54" s="142">
        <f t="shared" ca="1" si="26"/>
        <v>0.22536236416674724</v>
      </c>
      <c r="CB54" s="142">
        <f t="shared" ca="1" si="27"/>
        <v>6.5961935414167033E-3</v>
      </c>
      <c r="CC54" s="142">
        <f t="shared" ca="1" si="28"/>
        <v>3.525551720412376E-2</v>
      </c>
      <c r="CD54" s="142">
        <f t="shared" ca="1" si="29"/>
        <v>2.7294593964482909E-2</v>
      </c>
      <c r="CE54" s="142">
        <f t="shared" ca="1" si="30"/>
        <v>4.3642918474459655E-2</v>
      </c>
      <c r="CG54" s="128">
        <f t="shared" si="31"/>
        <v>44</v>
      </c>
      <c r="CH54" s="90">
        <f ca="1">INDEX(角色升级!$A:$A,MATCH(玩家节奏1!$BX54,角色升级!$J:$J,1))</f>
        <v>286</v>
      </c>
      <c r="CI54" s="90">
        <f ca="1">INDEX(角色升级!$O:$O,MATCH(玩家节奏1!$BX54,角色升级!$J:$J,1))</f>
        <v>6290.5012500000003</v>
      </c>
      <c r="CJ54" s="90">
        <f>INDEX(关卡对比!$J:$J,MATCH(玩家节奏1!N54,关卡对比!$A:$A,0))</f>
        <v>8200</v>
      </c>
      <c r="CK54" s="147">
        <f t="shared" ca="1" si="32"/>
        <v>1.3035527176788972</v>
      </c>
      <c r="CL54" s="128">
        <f ca="1">INDEX(角色升级!$P:$P,MATCH(玩家节奏1!$CH54,角色升级!$A:$A,0))</f>
        <v>1700</v>
      </c>
      <c r="CM54" s="90">
        <f ca="1">INDEX(角色升级!Q:Q,MATCH(玩家节奏1!$CH54,角色升级!$A:$A,0))</f>
        <v>0.2</v>
      </c>
      <c r="CO54" s="128">
        <f t="shared" si="33"/>
        <v>3674</v>
      </c>
      <c r="CP54" s="90">
        <f t="shared" si="34"/>
        <v>4816</v>
      </c>
      <c r="CQ54" s="90">
        <f t="shared" si="35"/>
        <v>5920</v>
      </c>
      <c r="CR54" s="90">
        <f t="shared" ca="1" si="36"/>
        <v>10562.5</v>
      </c>
      <c r="CS54" s="90">
        <f t="shared" ca="1" si="37"/>
        <v>24972.5</v>
      </c>
      <c r="CT54" s="142">
        <f t="shared" ca="1" si="38"/>
        <v>0.14712183401741916</v>
      </c>
      <c r="CU54" s="142">
        <f t="shared" ca="1" si="39"/>
        <v>0.19285213735108619</v>
      </c>
      <c r="CV54" s="142">
        <f t="shared" ca="1" si="40"/>
        <v>0.23706076684352789</v>
      </c>
      <c r="CW54" s="142">
        <f t="shared" ca="1" si="41"/>
        <v>0.42296526178796678</v>
      </c>
      <c r="CY54" s="128">
        <f t="shared" si="42"/>
        <v>1838</v>
      </c>
      <c r="CZ54" s="90">
        <f t="shared" si="43"/>
        <v>2341</v>
      </c>
      <c r="DA54" s="90">
        <f t="shared" si="44"/>
        <v>2584</v>
      </c>
      <c r="DB54" s="90">
        <f t="shared" ca="1" si="66"/>
        <v>5337</v>
      </c>
      <c r="DC54" s="90">
        <f t="shared" ca="1" si="45"/>
        <v>12100</v>
      </c>
      <c r="DD54" s="142">
        <f t="shared" ca="1" si="46"/>
        <v>0.151900826446281</v>
      </c>
      <c r="DE54" s="142">
        <f t="shared" ca="1" si="47"/>
        <v>0.19347107438016528</v>
      </c>
      <c r="DF54" s="142">
        <f t="shared" ca="1" si="48"/>
        <v>0.21355371900826448</v>
      </c>
      <c r="DG54" s="142">
        <f t="shared" ca="1" si="49"/>
        <v>0.44107438016528927</v>
      </c>
      <c r="DI54" s="128">
        <f t="shared" si="50"/>
        <v>783</v>
      </c>
      <c r="DJ54" s="90">
        <f t="shared" si="51"/>
        <v>1002</v>
      </c>
      <c r="DK54" s="90">
        <f t="shared" si="52"/>
        <v>736</v>
      </c>
      <c r="DL54" s="90">
        <f t="shared" ca="1" si="53"/>
        <v>736.5</v>
      </c>
      <c r="DM54" s="90">
        <f t="shared" ca="1" si="54"/>
        <v>3257.5</v>
      </c>
      <c r="DN54" s="142">
        <f t="shared" ca="1" si="55"/>
        <v>0.24036838066001534</v>
      </c>
      <c r="DO54" s="142">
        <f t="shared" ca="1" si="56"/>
        <v>0.30759785111281657</v>
      </c>
      <c r="DP54" s="142">
        <f t="shared" ca="1" si="57"/>
        <v>0.22594013814274749</v>
      </c>
      <c r="DQ54" s="142">
        <f t="shared" ca="1" si="58"/>
        <v>0.22609363008442057</v>
      </c>
      <c r="DS54" s="128">
        <f t="shared" ca="1" si="59"/>
        <v>24972.5</v>
      </c>
      <c r="DT54" s="90">
        <f t="shared" ca="1" si="60"/>
        <v>12100</v>
      </c>
      <c r="DU54" s="90">
        <f t="shared" ca="1" si="61"/>
        <v>3257.5</v>
      </c>
      <c r="DV54" s="90">
        <f t="shared" si="62"/>
        <v>31</v>
      </c>
      <c r="DW54" s="90">
        <f ca="1">_xlfn.IFNA(INDEX(武器升级消耗!$H:$H,MATCH(玩家节奏1!DS54/玩家节奏1!DS$5,武器升级消耗!M:M,1)),0)</f>
        <v>16</v>
      </c>
      <c r="DX54" s="90">
        <f ca="1">_xlfn.IFNA(INDEX(武器升级消耗!$H:$H,MATCH(玩家节奏1!DT54/玩家节奏1!DT$5,武器升级消耗!N:N,1)),0)</f>
        <v>13</v>
      </c>
      <c r="DY54" s="90">
        <f ca="1">_xlfn.IFNA(INDEX(武器升级消耗!$H:$H,MATCH(玩家节奏1!DU54/玩家节奏1!DU$5,武器升级消耗!O:O,1)),0)</f>
        <v>8</v>
      </c>
      <c r="DZ54" s="90">
        <f>_xlfn.IFNA(INDEX(武器升级消耗!$H:$H,MATCH(玩家节奏1!DV54/玩家节奏1!DV$5,武器升级消耗!P:P,1)),0)</f>
        <v>6</v>
      </c>
      <c r="EA54" s="90">
        <f ca="1">_xlfn.IFNA(INDEX(武器升级消耗!$Q:$Q,MATCH(玩家节奏1!DW54,武器升级消耗!$H:$H,0))*2*EA$4,0)</f>
        <v>2.4</v>
      </c>
      <c r="EB54" s="90">
        <f ca="1">_xlfn.IFNA(INDEX(武器升级消耗!$Q:$Q,MATCH(玩家节奏1!DX54,武器升级消耗!$H:$H,0))*2*EB$4,0)</f>
        <v>2.5499999999999998</v>
      </c>
      <c r="EC54" s="90">
        <f ca="1">_xlfn.IFNA(INDEX(武器升级消耗!$Q:$Q,MATCH(玩家节奏1!DY54,武器升级消耗!$H:$H,0))*2*EC$4,1)</f>
        <v>2.64</v>
      </c>
      <c r="ED54" s="90">
        <f>_xlfn.IFNA(INDEX(武器升级消耗!$Q:$Q,MATCH(玩家节奏1!DZ54,武器升级消耗!$H:$H,0))*2*ED$4,0)</f>
        <v>3</v>
      </c>
      <c r="EF54" s="128"/>
      <c r="EG54" s="90"/>
      <c r="EH54" s="90"/>
      <c r="EI54" s="90"/>
      <c r="EJ54" s="90"/>
      <c r="EK54" s="90"/>
      <c r="EL54" s="90"/>
      <c r="EM54" s="90"/>
      <c r="EO54" s="128"/>
      <c r="EP54" s="90"/>
      <c r="EQ54" s="90"/>
      <c r="ER54" s="90"/>
      <c r="ES54" s="90"/>
      <c r="ET54" s="90"/>
      <c r="EU54" s="90"/>
      <c r="EV54" s="90"/>
      <c r="EW54" s="90"/>
      <c r="EX54" s="90"/>
      <c r="EY54" s="90"/>
      <c r="EZ54" s="90"/>
      <c r="FA54" s="90"/>
      <c r="FB54" s="90"/>
      <c r="FD54" s="90">
        <f t="shared" ca="1" si="63"/>
        <v>2.64</v>
      </c>
      <c r="FE54" s="90"/>
      <c r="FF54" s="90"/>
      <c r="FG54" s="90">
        <f t="shared" ca="1" si="64"/>
        <v>0</v>
      </c>
    </row>
    <row r="55" spans="1:163" x14ac:dyDescent="0.25">
      <c r="A55" s="123">
        <v>49</v>
      </c>
      <c r="B55" s="123">
        <f>INDEX(关卡对比!$Y:$Y,MATCH(关卡对比!Z55,关卡对比!$AA:$AA,1))</f>
        <v>34</v>
      </c>
      <c r="C55" s="124">
        <f>INDEX(关卡对比!$Y:$Y,MATCH(关卡对比!Z55,关卡对比!$AB:$AB,1))</f>
        <v>28</v>
      </c>
      <c r="D55" s="125">
        <f t="shared" si="70"/>
        <v>302.5</v>
      </c>
      <c r="E55" s="125">
        <v>3</v>
      </c>
      <c r="F55" s="128">
        <v>5</v>
      </c>
      <c r="G55" s="90">
        <v>1</v>
      </c>
      <c r="H55" s="90">
        <v>1</v>
      </c>
      <c r="J55" s="128">
        <v>49</v>
      </c>
      <c r="K55" s="90">
        <f t="shared" si="77"/>
        <v>5</v>
      </c>
      <c r="L55" s="90">
        <f t="shared" si="78"/>
        <v>1</v>
      </c>
      <c r="M55" s="90">
        <f t="shared" si="79"/>
        <v>1</v>
      </c>
      <c r="N55" s="140">
        <f>INDEX($A:$A,MATCH(SUM($K$7:K55),$D:$D,1))</f>
        <v>44</v>
      </c>
      <c r="O55" s="140">
        <v>0</v>
      </c>
      <c r="P55" s="141">
        <v>0</v>
      </c>
      <c r="Q55" s="126">
        <f>_xlfn.MAXIFS(关卡产出!X:X,关卡产出!$A:$A,玩家节奏1!$N$6,关卡产出!$B:$B,玩家节奏1!$N55)+_xlfn.MAXIFS(关卡产出!X:X,关卡产出!$A:$A,玩家节奏1!$O$6,关卡产出!$B:$B,玩家节奏1!$O55)+_xlfn.MAXIFS(关卡产出!X:X,关卡产出!$A:$A,玩家节奏1!$P$6,关卡产出!$B:$B,玩家节奏1!$P55)</f>
        <v>7300</v>
      </c>
      <c r="R55" s="90">
        <f>_xlfn.MAXIFS(关卡产出!Y:Y,关卡产出!$A:$A,玩家节奏1!$N$6,关卡产出!$B:$B,玩家节奏1!$N55)+_xlfn.MAXIFS(关卡产出!Y:Y,关卡产出!$A:$A,玩家节奏1!$O$6,关卡产出!$B:$B,玩家节奏1!$O55)+_xlfn.MAXIFS(关卡产出!Y:Y,关卡产出!$A:$A,玩家节奏1!$P$6,关卡产出!$B:$B,玩家节奏1!$P55)</f>
        <v>502800</v>
      </c>
      <c r="S55" s="90">
        <f>_xlfn.MAXIFS(关卡产出!Z:Z,关卡产出!$A:$A,玩家节奏1!$N$6,关卡产出!$B:$B,玩家节奏1!$N55)+_xlfn.MAXIFS(关卡产出!Z:Z,关卡产出!$A:$A,玩家节奏1!$O$6,关卡产出!$B:$B,玩家节奏1!$O55)+_xlfn.MAXIFS(关卡产出!Z:Z,关卡产出!$A:$A,玩家节奏1!$P$6,关卡产出!$B:$B,玩家节奏1!$P55)</f>
        <v>3674</v>
      </c>
      <c r="T55" s="90">
        <f>_xlfn.MAXIFS(关卡产出!AA:AA,关卡产出!$A:$A,玩家节奏1!$N$6,关卡产出!$B:$B,玩家节奏1!$N55)+_xlfn.MAXIFS(关卡产出!AA:AA,关卡产出!$A:$A,玩家节奏1!$O$6,关卡产出!$B:$B,玩家节奏1!$O55)+_xlfn.MAXIFS(关卡产出!AA:AA,关卡产出!$A:$A,玩家节奏1!$P$6,关卡产出!$B:$B,玩家节奏1!$P55)</f>
        <v>1838</v>
      </c>
      <c r="U55" s="90">
        <f>_xlfn.MAXIFS(关卡产出!AB:AB,关卡产出!$A:$A,玩家节奏1!$N$6,关卡产出!$B:$B,玩家节奏1!$N55)+_xlfn.MAXIFS(关卡产出!AB:AB,关卡产出!$A:$A,玩家节奏1!$O$6,关卡产出!$B:$B,玩家节奏1!$O55)+_xlfn.MAXIFS(关卡产出!AB:AB,关卡产出!$A:$A,玩家节奏1!$P$6,关卡产出!$B:$B,玩家节奏1!$P55)</f>
        <v>783</v>
      </c>
      <c r="V55" s="130">
        <f>_xlfn.MAXIFS(关卡产出!AC:AC,关卡产出!$A:$A,玩家节奏1!$N$6,关卡产出!$B:$B,玩家节奏1!$N55)+_xlfn.MAXIFS(关卡产出!AC:AC,关卡产出!$A:$A,玩家节奏1!$O$6,关卡产出!$B:$B,玩家节奏1!$O55)+_xlfn.MAXIFS(关卡产出!AC:AC,关卡产出!$A:$A,玩家节奏1!$P$6,关卡产出!$B:$B,玩家节奏1!$P55)</f>
        <v>264</v>
      </c>
      <c r="W55" s="126">
        <f>INDEX(关卡产出!C$8:C$207,MATCH(玩家节奏1!$N55,关卡产出!$B$8:$B$207,0))*$K55</f>
        <v>170</v>
      </c>
      <c r="X55" s="126">
        <f>INDEX(关卡产出!D$8:D$207,MATCH(玩家节奏1!$N55,关卡产出!$B$8:$B$207,0))*$K55</f>
        <v>85</v>
      </c>
      <c r="Y55" s="126">
        <f>INDEX(关卡产出!E$8:E$207,MATCH(玩家节奏1!$N55,关卡产出!$B$8:$B$207,0))*$K55</f>
        <v>40</v>
      </c>
      <c r="Z55" s="144">
        <f>INDEX(关卡产出!F$8:F$207,MATCH(玩家节奏1!$N55,关卡产出!$B$8:$B$207,0))*$K55</f>
        <v>2450</v>
      </c>
      <c r="AA55" s="126">
        <f>SUM(W$7:W55)</f>
        <v>4986</v>
      </c>
      <c r="AB55" s="126">
        <f>SUM(X$7:X55)</f>
        <v>2426</v>
      </c>
      <c r="AC55" s="126">
        <f>SUM(Y$7:Y55)</f>
        <v>1042</v>
      </c>
      <c r="AD55" s="126">
        <f>SUM(Z$7:Z55)</f>
        <v>81610</v>
      </c>
      <c r="AE55" s="126">
        <f>INDEX(图鉴!AQ:AQ,MATCH($N55,图鉴!$S:$S,0))*8</f>
        <v>144</v>
      </c>
      <c r="AF55" s="90">
        <f>INDEX(图鉴!AR:AR,MATCH($N55,图鉴!$S:$S,0))*8</f>
        <v>80</v>
      </c>
      <c r="AG55" s="90">
        <f>INDEX(图鉴!AS:AS,MATCH($N55,图鉴!$S:$S,0))*8</f>
        <v>32</v>
      </c>
      <c r="AH55" s="129">
        <f ca="1">INDEX(图鉴!AT:AT,MATCH($N55,图鉴!$S:$S,0))*8</f>
        <v>5640</v>
      </c>
      <c r="AI55" s="128">
        <f>SUM($AE$7:AE55)</f>
        <v>6064</v>
      </c>
      <c r="AJ55" s="90">
        <f>SUM(AF$7:AF55)</f>
        <v>2664</v>
      </c>
      <c r="AK55" s="90">
        <f>SUM(AG$7:AG55)</f>
        <v>768</v>
      </c>
      <c r="AL55" s="130">
        <f ca="1">SUM(AH$7:AH55)</f>
        <v>203800</v>
      </c>
      <c r="AM55" s="133">
        <f>IF(M55=0,0,INDEX(关卡产出!$AU$11:$AU$15,MATCH(玩家节奏1!N55,关卡产出!$AW$11:$AW$15,1))*M55)</f>
        <v>5800</v>
      </c>
      <c r="AN55" s="126">
        <f>IF(L55=0,0,$L55*关卡产出!AU$21)</f>
        <v>1000</v>
      </c>
      <c r="AO55" s="90">
        <f>IF(M55=0,0,$L55*关卡产出!AV$21)</f>
        <v>50</v>
      </c>
      <c r="AP55" s="129">
        <f>IF(N55=0,0,$L55*关卡产出!AW$21)</f>
        <v>1</v>
      </c>
      <c r="AQ55" s="138">
        <f>SUM(AN$7:AN55)</f>
        <v>32000</v>
      </c>
      <c r="AR55" s="126">
        <f>SUM(AO$7:AO55)</f>
        <v>1600</v>
      </c>
      <c r="AS55" s="129">
        <f>SUM(AP$7:AP55)</f>
        <v>32</v>
      </c>
      <c r="AT55" s="128">
        <v>500</v>
      </c>
      <c r="AU55" s="129">
        <v>100</v>
      </c>
      <c r="AV55" s="128">
        <f>SUM(AT$7:AT55)</f>
        <v>24500</v>
      </c>
      <c r="AW55" s="90">
        <f>SUM(AU$7:AU55)</f>
        <v>4900</v>
      </c>
      <c r="AY55" s="128">
        <f t="shared" si="13"/>
        <v>7300</v>
      </c>
      <c r="AZ55" s="90">
        <f t="shared" si="14"/>
        <v>1600</v>
      </c>
      <c r="BA55" s="90">
        <f t="shared" si="15"/>
        <v>4900</v>
      </c>
      <c r="BB55" s="90">
        <f t="shared" ca="1" si="65"/>
        <v>1700</v>
      </c>
      <c r="BC55" s="90">
        <f t="shared" ca="1" si="68"/>
        <v>15500</v>
      </c>
      <c r="BD55" s="90"/>
      <c r="BE55" s="90">
        <f t="shared" ca="1" si="17"/>
        <v>15500</v>
      </c>
      <c r="BF55" s="142">
        <f t="shared" ca="1" si="18"/>
        <v>0.47096774193548385</v>
      </c>
      <c r="BG55" s="142">
        <f t="shared" ca="1" si="19"/>
        <v>0.1032258064516129</v>
      </c>
      <c r="BH55" s="142">
        <f t="shared" ca="1" si="80"/>
        <v>0.31612903225806449</v>
      </c>
      <c r="BI55" s="142">
        <f t="shared" ca="1" si="81"/>
        <v>0.10967741935483871</v>
      </c>
      <c r="BJ55" s="143"/>
      <c r="BK55" s="128">
        <f ca="1">INDEX(商城宝箱!$L:$L,MATCH(BC55,商城宝箱!$N:$N,1))</f>
        <v>5</v>
      </c>
      <c r="BL55" s="90">
        <f ca="1">_xlfn.IFNA(INDEX(商城宝箱!T:T,MATCH(玩家节奏1!$BK55,商城宝箱!$L:$L,0)),0)+($BC55-INDEX(商城宝箱!$N:$N,MATCH(玩家节奏1!$BK55,商城宝箱!$L:$L,0)))/$BK$5*INDEX(商城宝箱!E$23:E$42,MATCH(玩家节奏1!$BK55+1,商城宝箱!$C$23:$C$42,0))</f>
        <v>38750</v>
      </c>
      <c r="BM55" s="90">
        <f ca="1">_xlfn.IFNA(INDEX(商城宝箱!U:U,MATCH(玩家节奏1!$BK55,商城宝箱!$L:$L,0)),0)+($BC55-INDEX(商城宝箱!$N:$N,MATCH(玩家节奏1!$BK55,商城宝箱!$L:$L,0)))/$BK$5*INDEX(商城宝箱!F$23:F$42,MATCH(玩家节奏1!$BK55+1,商城宝箱!$C$23:$C$42,0))</f>
        <v>10712.5</v>
      </c>
      <c r="BN55" s="90">
        <f ca="1">_xlfn.IFNA(INDEX(商城宝箱!V:V,MATCH(玩家节奏1!$BK55,商城宝箱!$L:$L,0)),0)+($BC55-INDEX(商城宝箱!$N:$N,MATCH(玩家节奏1!$BK55,商城宝箱!$L:$L,0)))/$BK$5*INDEX(商城宝箱!G$23:G$42,MATCH(玩家节奏1!$BK55+1,商城宝箱!$C$23:$C$42,0))</f>
        <v>5427</v>
      </c>
      <c r="BO55" s="90">
        <f ca="1">_xlfn.IFNA(INDEX(商城宝箱!W:W,MATCH(玩家节奏1!$BK55,商城宝箱!$L:$L,0)),0)+($BC55-INDEX(商城宝箱!$N:$N,MATCH(玩家节奏1!$BK55,商城宝箱!$L:$L,0)))/$BK$5*INDEX(商城宝箱!H$23:H$42,MATCH(玩家节奏1!$BK55+1,商城宝箱!$C$23:$C$42,0))</f>
        <v>748.5</v>
      </c>
      <c r="BQ55" s="128">
        <f t="shared" si="71"/>
        <v>502800</v>
      </c>
      <c r="BR55" s="90">
        <f t="shared" si="72"/>
        <v>81610</v>
      </c>
      <c r="BS55" s="90">
        <f t="shared" ca="1" si="73"/>
        <v>203800</v>
      </c>
      <c r="BT55" s="90">
        <f t="shared" si="74"/>
        <v>5800</v>
      </c>
      <c r="BU55" s="90">
        <f t="shared" si="75"/>
        <v>32000</v>
      </c>
      <c r="BV55" s="90">
        <f t="shared" si="76"/>
        <v>24500</v>
      </c>
      <c r="BW55" s="90">
        <f t="shared" ca="1" si="22"/>
        <v>38750</v>
      </c>
      <c r="BX55" s="90">
        <f t="shared" ca="1" si="23"/>
        <v>889260</v>
      </c>
      <c r="BY55" s="142">
        <f t="shared" ca="1" si="24"/>
        <v>0.5654139396801835</v>
      </c>
      <c r="BZ55" s="142">
        <f t="shared" ca="1" si="25"/>
        <v>9.1772934799721123E-2</v>
      </c>
      <c r="CA55" s="142">
        <f t="shared" ca="1" si="26"/>
        <v>0.22917931763488744</v>
      </c>
      <c r="CB55" s="142">
        <f t="shared" ca="1" si="27"/>
        <v>6.5222769493736366E-3</v>
      </c>
      <c r="CC55" s="142">
        <f t="shared" ca="1" si="28"/>
        <v>3.5984976272406273E-2</v>
      </c>
      <c r="CD55" s="142">
        <f t="shared" ca="1" si="29"/>
        <v>2.7550997458561051E-2</v>
      </c>
      <c r="CE55" s="142">
        <f t="shared" ca="1" si="30"/>
        <v>4.3575557204866971E-2</v>
      </c>
      <c r="CG55" s="128">
        <f t="shared" si="31"/>
        <v>44</v>
      </c>
      <c r="CH55" s="90">
        <f ca="1">INDEX(角色升级!$A:$A,MATCH(玩家节奏1!$BX55,角色升级!$J:$J,1))</f>
        <v>288</v>
      </c>
      <c r="CI55" s="90">
        <f ca="1">INDEX(角色升级!$O:$O,MATCH(玩家节奏1!$BX55,角色升级!$J:$J,1))</f>
        <v>6301.9907499999999</v>
      </c>
      <c r="CJ55" s="90">
        <f>INDEX(关卡对比!$J:$J,MATCH(玩家节奏1!N55,关卡对比!$A:$A,0))</f>
        <v>8200</v>
      </c>
      <c r="CK55" s="147">
        <f t="shared" ca="1" si="32"/>
        <v>1.3011761402537763</v>
      </c>
      <c r="CL55" s="128">
        <f ca="1">INDEX(角色升级!$P:$P,MATCH(玩家节奏1!$CH55,角色升级!$A:$A,0))</f>
        <v>1700</v>
      </c>
      <c r="CM55" s="90">
        <f ca="1">INDEX(角色升级!Q:Q,MATCH(玩家节奏1!$CH55,角色升级!$A:$A,0))</f>
        <v>0.2</v>
      </c>
      <c r="CO55" s="128">
        <f t="shared" si="33"/>
        <v>3674</v>
      </c>
      <c r="CP55" s="90">
        <f t="shared" si="34"/>
        <v>4986</v>
      </c>
      <c r="CQ55" s="90">
        <f t="shared" si="35"/>
        <v>6064</v>
      </c>
      <c r="CR55" s="90">
        <f t="shared" ca="1" si="36"/>
        <v>10712.5</v>
      </c>
      <c r="CS55" s="90">
        <f t="shared" ca="1" si="37"/>
        <v>25436.5</v>
      </c>
      <c r="CT55" s="142">
        <f t="shared" ca="1" si="38"/>
        <v>0.14443811058911407</v>
      </c>
      <c r="CU55" s="142">
        <f t="shared" ca="1" si="39"/>
        <v>0.19601753385882492</v>
      </c>
      <c r="CV55" s="142">
        <f t="shared" ca="1" si="40"/>
        <v>0.23839757828317576</v>
      </c>
      <c r="CW55" s="142">
        <f t="shared" ca="1" si="41"/>
        <v>0.42114677726888528</v>
      </c>
      <c r="CY55" s="128">
        <f t="shared" si="42"/>
        <v>1838</v>
      </c>
      <c r="CZ55" s="90">
        <f t="shared" si="43"/>
        <v>2426</v>
      </c>
      <c r="DA55" s="90">
        <f t="shared" si="44"/>
        <v>2664</v>
      </c>
      <c r="DB55" s="90">
        <f t="shared" ca="1" si="66"/>
        <v>5427</v>
      </c>
      <c r="DC55" s="90">
        <f t="shared" ca="1" si="45"/>
        <v>12355</v>
      </c>
      <c r="DD55" s="142">
        <f t="shared" ca="1" si="46"/>
        <v>0.14876568191015782</v>
      </c>
      <c r="DE55" s="142">
        <f t="shared" ca="1" si="47"/>
        <v>0.19635774989882637</v>
      </c>
      <c r="DF55" s="142">
        <f t="shared" ca="1" si="48"/>
        <v>0.21562120598947795</v>
      </c>
      <c r="DG55" s="142">
        <f t="shared" ca="1" si="49"/>
        <v>0.43925536220153782</v>
      </c>
      <c r="DI55" s="128">
        <f t="shared" si="50"/>
        <v>783</v>
      </c>
      <c r="DJ55" s="90">
        <f t="shared" si="51"/>
        <v>1042</v>
      </c>
      <c r="DK55" s="90">
        <f t="shared" si="52"/>
        <v>768</v>
      </c>
      <c r="DL55" s="90">
        <f t="shared" ca="1" si="53"/>
        <v>748.5</v>
      </c>
      <c r="DM55" s="90">
        <f t="shared" ca="1" si="54"/>
        <v>3341.5</v>
      </c>
      <c r="DN55" s="142">
        <f t="shared" ca="1" si="55"/>
        <v>0.23432590154122401</v>
      </c>
      <c r="DO55" s="142">
        <f t="shared" ca="1" si="56"/>
        <v>0.31183600179560078</v>
      </c>
      <c r="DP55" s="142">
        <f t="shared" ca="1" si="57"/>
        <v>0.22983689959598982</v>
      </c>
      <c r="DQ55" s="142">
        <f t="shared" ca="1" si="58"/>
        <v>0.22400119706718541</v>
      </c>
      <c r="DS55" s="128">
        <f t="shared" ca="1" si="59"/>
        <v>25436.5</v>
      </c>
      <c r="DT55" s="90">
        <f t="shared" ca="1" si="60"/>
        <v>12355</v>
      </c>
      <c r="DU55" s="90">
        <f t="shared" ca="1" si="61"/>
        <v>3341.5</v>
      </c>
      <c r="DV55" s="90">
        <f t="shared" si="62"/>
        <v>32</v>
      </c>
      <c r="DW55" s="90">
        <f ca="1">_xlfn.IFNA(INDEX(武器升级消耗!$H:$H,MATCH(玩家节奏1!DS55/玩家节奏1!DS$5,武器升级消耗!M:M,1)),0)</f>
        <v>16</v>
      </c>
      <c r="DX55" s="90">
        <f ca="1">_xlfn.IFNA(INDEX(武器升级消耗!$H:$H,MATCH(玩家节奏1!DT55/玩家节奏1!DT$5,武器升级消耗!N:N,1)),0)</f>
        <v>13</v>
      </c>
      <c r="DY55" s="90">
        <f ca="1">_xlfn.IFNA(INDEX(武器升级消耗!$H:$H,MATCH(玩家节奏1!DU55/玩家节奏1!DU$5,武器升级消耗!O:O,1)),0)</f>
        <v>8</v>
      </c>
      <c r="DZ55" s="90">
        <f>_xlfn.IFNA(INDEX(武器升级消耗!$H:$H,MATCH(玩家节奏1!DV55/玩家节奏1!DV$5,武器升级消耗!P:P,1)),0)</f>
        <v>6</v>
      </c>
      <c r="EA55" s="90">
        <f ca="1">_xlfn.IFNA(INDEX(武器升级消耗!$Q:$Q,MATCH(玩家节奏1!DW55,武器升级消耗!$H:$H,0))*2*EA$4,0)</f>
        <v>2.4</v>
      </c>
      <c r="EB55" s="90">
        <f ca="1">_xlfn.IFNA(INDEX(武器升级消耗!$Q:$Q,MATCH(玩家节奏1!DX55,武器升级消耗!$H:$H,0))*2*EB$4,0)</f>
        <v>2.5499999999999998</v>
      </c>
      <c r="EC55" s="90">
        <f ca="1">_xlfn.IFNA(INDEX(武器升级消耗!$Q:$Q,MATCH(玩家节奏1!DY55,武器升级消耗!$H:$H,0))*2*EC$4,1)</f>
        <v>2.64</v>
      </c>
      <c r="ED55" s="90">
        <f>_xlfn.IFNA(INDEX(武器升级消耗!$Q:$Q,MATCH(玩家节奏1!DZ55,武器升级消耗!$H:$H,0))*2*ED$4,0)</f>
        <v>3</v>
      </c>
      <c r="EF55" s="128"/>
      <c r="EG55" s="90"/>
      <c r="EH55" s="90"/>
      <c r="EI55" s="90"/>
      <c r="EJ55" s="90"/>
      <c r="EK55" s="90"/>
      <c r="EL55" s="90"/>
      <c r="EM55" s="90"/>
      <c r="EO55" s="128"/>
      <c r="EP55" s="90"/>
      <c r="EQ55" s="90"/>
      <c r="ER55" s="90"/>
      <c r="ES55" s="90"/>
      <c r="ET55" s="90"/>
      <c r="EU55" s="90"/>
      <c r="EV55" s="90"/>
      <c r="EW55" s="90"/>
      <c r="EX55" s="90"/>
      <c r="EY55" s="90"/>
      <c r="EZ55" s="90"/>
      <c r="FA55" s="90"/>
      <c r="FB55" s="90"/>
      <c r="FD55" s="90">
        <f t="shared" ca="1" si="63"/>
        <v>2.64</v>
      </c>
      <c r="FE55" s="90"/>
      <c r="FF55" s="90"/>
      <c r="FG55" s="90">
        <f t="shared" ca="1" si="64"/>
        <v>0</v>
      </c>
    </row>
    <row r="56" spans="1:163" x14ac:dyDescent="0.25">
      <c r="A56" s="123">
        <v>50</v>
      </c>
      <c r="B56" s="123">
        <f>INDEX(关卡对比!$Y:$Y,MATCH(关卡对比!Z56,关卡对比!$AA:$AA,1))</f>
        <v>35</v>
      </c>
      <c r="C56" s="124">
        <f>INDEX(关卡对比!$Y:$Y,MATCH(关卡对比!Z56,关卡对比!$AB:$AB,1))</f>
        <v>29</v>
      </c>
      <c r="D56" s="125">
        <f t="shared" si="70"/>
        <v>311.5</v>
      </c>
      <c r="E56" s="125">
        <v>3</v>
      </c>
      <c r="F56" s="128">
        <v>5</v>
      </c>
      <c r="G56" s="90">
        <v>1</v>
      </c>
      <c r="H56" s="90">
        <v>1</v>
      </c>
      <c r="J56" s="128">
        <v>50</v>
      </c>
      <c r="K56" s="90">
        <f t="shared" si="77"/>
        <v>5</v>
      </c>
      <c r="L56" s="90">
        <f t="shared" si="78"/>
        <v>1</v>
      </c>
      <c r="M56" s="90">
        <f t="shared" si="79"/>
        <v>1</v>
      </c>
      <c r="N56" s="140">
        <f>INDEX($A:$A,MATCH(SUM($K$7:K56),$D:$D,1))</f>
        <v>45</v>
      </c>
      <c r="O56" s="140">
        <v>0</v>
      </c>
      <c r="P56" s="141">
        <v>0</v>
      </c>
      <c r="Q56" s="126">
        <f>_xlfn.MAXIFS(关卡产出!X:X,关卡产出!$A:$A,玩家节奏1!$N$6,关卡产出!$B:$B,玩家节奏1!$N56)+_xlfn.MAXIFS(关卡产出!X:X,关卡产出!$A:$A,玩家节奏1!$O$6,关卡产出!$B:$B,玩家节奏1!$O56)+_xlfn.MAXIFS(关卡产出!X:X,关卡产出!$A:$A,玩家节奏1!$P$6,关卡产出!$B:$B,玩家节奏1!$P56)</f>
        <v>7500</v>
      </c>
      <c r="R56" s="90">
        <f>_xlfn.MAXIFS(关卡产出!Y:Y,关卡产出!$A:$A,玩家节奏1!$N$6,关卡产出!$B:$B,玩家节奏1!$N56)+_xlfn.MAXIFS(关卡产出!Y:Y,关卡产出!$A:$A,玩家节奏1!$O$6,关卡产出!$B:$B,玩家节奏1!$O56)+_xlfn.MAXIFS(关卡产出!Y:Y,关卡产出!$A:$A,玩家节奏1!$P$6,关卡产出!$B:$B,玩家节奏1!$P56)</f>
        <v>527500</v>
      </c>
      <c r="S56" s="90">
        <f>_xlfn.MAXIFS(关卡产出!Z:Z,关卡产出!$A:$A,玩家节奏1!$N$6,关卡产出!$B:$B,玩家节奏1!$N56)+_xlfn.MAXIFS(关卡产出!Z:Z,关卡产出!$A:$A,玩家节奏1!$O$6,关卡产出!$B:$B,玩家节奏1!$O56)+_xlfn.MAXIFS(关卡产出!Z:Z,关卡产出!$A:$A,玩家节奏1!$P$6,关卡产出!$B:$B,玩家节奏1!$P56)</f>
        <v>3846</v>
      </c>
      <c r="T56" s="90">
        <f>_xlfn.MAXIFS(关卡产出!AA:AA,关卡产出!$A:$A,玩家节奏1!$N$6,关卡产出!$B:$B,玩家节奏1!$N56)+_xlfn.MAXIFS(关卡产出!AA:AA,关卡产出!$A:$A,玩家节奏1!$O$6,关卡产出!$B:$B,玩家节奏1!$O56)+_xlfn.MAXIFS(关卡产出!AA:AA,关卡产出!$A:$A,玩家节奏1!$P$6,关卡产出!$B:$B,玩家节奏1!$P56)</f>
        <v>1924</v>
      </c>
      <c r="U56" s="90">
        <f>_xlfn.MAXIFS(关卡产出!AB:AB,关卡产出!$A:$A,玩家节奏1!$N$6,关卡产出!$B:$B,玩家节奏1!$N56)+_xlfn.MAXIFS(关卡产出!AB:AB,关卡产出!$A:$A,玩家节奏1!$O$6,关卡产出!$B:$B,玩家节奏1!$O56)+_xlfn.MAXIFS(关卡产出!AB:AB,关卡产出!$A:$A,玩家节奏1!$P$6,关卡产出!$B:$B,玩家节奏1!$P56)</f>
        <v>823</v>
      </c>
      <c r="V56" s="130">
        <f>_xlfn.MAXIFS(关卡产出!AC:AC,关卡产出!$A:$A,玩家节奏1!$N$6,关卡产出!$B:$B,玩家节奏1!$N56)+_xlfn.MAXIFS(关卡产出!AC:AC,关卡产出!$A:$A,玩家节奏1!$O$6,关卡产出!$B:$B,玩家节奏1!$O56)+_xlfn.MAXIFS(关卡产出!AC:AC,关卡产出!$A:$A,玩家节奏1!$P$6,关卡产出!$B:$B,玩家节奏1!$P56)</f>
        <v>270</v>
      </c>
      <c r="W56" s="126">
        <f>INDEX(关卡产出!C$8:C$207,MATCH(玩家节奏1!$N56,关卡产出!$B$8:$B$207,0))*$K56</f>
        <v>170</v>
      </c>
      <c r="X56" s="126">
        <f>INDEX(关卡产出!D$8:D$207,MATCH(玩家节奏1!$N56,关卡产出!$B$8:$B$207,0))*$K56</f>
        <v>85</v>
      </c>
      <c r="Y56" s="126">
        <f>INDEX(关卡产出!E$8:E$207,MATCH(玩家节奏1!$N56,关卡产出!$B$8:$B$207,0))*$K56</f>
        <v>40</v>
      </c>
      <c r="Z56" s="144">
        <f>INDEX(关卡产出!F$8:F$207,MATCH(玩家节奏1!$N56,关卡产出!$B$8:$B$207,0))*$K56</f>
        <v>2550</v>
      </c>
      <c r="AA56" s="126">
        <f>SUM(W$7:W56)</f>
        <v>5156</v>
      </c>
      <c r="AB56" s="126">
        <f>SUM(X$7:X56)</f>
        <v>2511</v>
      </c>
      <c r="AC56" s="126">
        <f>SUM(Y$7:Y56)</f>
        <v>1082</v>
      </c>
      <c r="AD56" s="126">
        <f>SUM(Z$7:Z56)</f>
        <v>84160</v>
      </c>
      <c r="AE56" s="126">
        <f>INDEX(图鉴!AQ:AQ,MATCH($N56,图鉴!$S:$S,0))*8</f>
        <v>152</v>
      </c>
      <c r="AF56" s="90">
        <f>INDEX(图鉴!AR:AR,MATCH($N56,图鉴!$S:$S,0))*8</f>
        <v>80</v>
      </c>
      <c r="AG56" s="90">
        <f>INDEX(图鉴!AS:AS,MATCH($N56,图鉴!$S:$S,0))*8</f>
        <v>32</v>
      </c>
      <c r="AH56" s="129">
        <f ca="1">INDEX(图鉴!AT:AT,MATCH($N56,图鉴!$S:$S,0))*8</f>
        <v>6080</v>
      </c>
      <c r="AI56" s="128">
        <f>SUM($AE$7:AE56)</f>
        <v>6216</v>
      </c>
      <c r="AJ56" s="90">
        <f>SUM(AF$7:AF56)</f>
        <v>2744</v>
      </c>
      <c r="AK56" s="90">
        <f>SUM(AG$7:AG56)</f>
        <v>800</v>
      </c>
      <c r="AL56" s="130">
        <f ca="1">SUM(AH$7:AH56)</f>
        <v>209880</v>
      </c>
      <c r="AM56" s="133">
        <f>IF(M56=0,0,INDEX(关卡产出!$AU$11:$AU$15,MATCH(玩家节奏1!N56,关卡产出!$AW$11:$AW$15,1))*M56)</f>
        <v>8500</v>
      </c>
      <c r="AN56" s="126">
        <f>IF(L56=0,0,$L56*关卡产出!AU$21)</f>
        <v>1000</v>
      </c>
      <c r="AO56" s="90">
        <f>IF(M56=0,0,$L56*关卡产出!AV$21)</f>
        <v>50</v>
      </c>
      <c r="AP56" s="129">
        <f>IF(N56=0,0,$L56*关卡产出!AW$21)</f>
        <v>1</v>
      </c>
      <c r="AQ56" s="138">
        <f>SUM(AN$7:AN56)</f>
        <v>33000</v>
      </c>
      <c r="AR56" s="126">
        <f>SUM(AO$7:AO56)</f>
        <v>1650</v>
      </c>
      <c r="AS56" s="129">
        <f>SUM(AP$7:AP56)</f>
        <v>33</v>
      </c>
      <c r="AT56" s="128">
        <v>500</v>
      </c>
      <c r="AU56" s="129">
        <v>100</v>
      </c>
      <c r="AV56" s="128">
        <f>SUM(AT$7:AT56)</f>
        <v>25000</v>
      </c>
      <c r="AW56" s="90">
        <f>SUM(AU$7:AU56)</f>
        <v>5000</v>
      </c>
      <c r="AY56" s="128">
        <f t="shared" si="13"/>
        <v>7500</v>
      </c>
      <c r="AZ56" s="90">
        <f t="shared" si="14"/>
        <v>1650</v>
      </c>
      <c r="BA56" s="90">
        <f t="shared" si="15"/>
        <v>5000</v>
      </c>
      <c r="BB56" s="90">
        <f t="shared" ca="1" si="65"/>
        <v>1700</v>
      </c>
      <c r="BC56" s="90">
        <f t="shared" ca="1" si="68"/>
        <v>15850</v>
      </c>
      <c r="BD56" s="90"/>
      <c r="BE56" s="90">
        <f t="shared" ca="1" si="17"/>
        <v>15850</v>
      </c>
      <c r="BF56" s="142">
        <f t="shared" ca="1" si="18"/>
        <v>0.47318611987381703</v>
      </c>
      <c r="BG56" s="142">
        <f t="shared" ca="1" si="19"/>
        <v>0.10410094637223975</v>
      </c>
      <c r="BH56" s="142">
        <f t="shared" ca="1" si="80"/>
        <v>0.31545741324921134</v>
      </c>
      <c r="BI56" s="142">
        <f t="shared" ca="1" si="81"/>
        <v>0.10725552050473186</v>
      </c>
      <c r="BJ56" s="143"/>
      <c r="BK56" s="128">
        <f ca="1">INDEX(商城宝箱!$L:$L,MATCH(BC56,商城宝箱!$N:$N,1))</f>
        <v>5</v>
      </c>
      <c r="BL56" s="90">
        <f ca="1">_xlfn.IFNA(INDEX(商城宝箱!T:T,MATCH(玩家节奏1!$BK56,商城宝箱!$L:$L,0)),0)+($BC56-INDEX(商城宝箱!$N:$N,MATCH(玩家节奏1!$BK56,商城宝箱!$L:$L,0)))/$BK$5*INDEX(商城宝箱!E$23:E$42,MATCH(玩家节奏1!$BK56+1,商城宝箱!$C$23:$C$42,0))</f>
        <v>39625</v>
      </c>
      <c r="BM56" s="90">
        <f ca="1">_xlfn.IFNA(INDEX(商城宝箱!U:U,MATCH(玩家节奏1!$BK56,商城宝箱!$L:$L,0)),0)+($BC56-INDEX(商城宝箱!$N:$N,MATCH(玩家节奏1!$BK56,商城宝箱!$L:$L,0)))/$BK$5*INDEX(商城宝箱!F$23:F$42,MATCH(玩家节奏1!$BK56+1,商城宝箱!$C$23:$C$42,0))</f>
        <v>11062.5</v>
      </c>
      <c r="BN56" s="90">
        <f ca="1">_xlfn.IFNA(INDEX(商城宝箱!V:V,MATCH(玩家节奏1!$BK56,商城宝箱!$L:$L,0)),0)+($BC56-INDEX(商城宝箱!$N:$N,MATCH(玩家节奏1!$BK56,商城宝箱!$L:$L,0)))/$BK$5*INDEX(商城宝箱!G$23:G$42,MATCH(玩家节奏1!$BK56+1,商城宝箱!$C$23:$C$42,0))</f>
        <v>5637</v>
      </c>
      <c r="BO56" s="90">
        <f ca="1">_xlfn.IFNA(INDEX(商城宝箱!W:W,MATCH(玩家节奏1!$BK56,商城宝箱!$L:$L,0)),0)+($BC56-INDEX(商城宝箱!$N:$N,MATCH(玩家节奏1!$BK56,商城宝箱!$L:$L,0)))/$BK$5*INDEX(商城宝箱!H$23:H$42,MATCH(玩家节奏1!$BK56+1,商城宝箱!$C$23:$C$42,0))</f>
        <v>776.5</v>
      </c>
      <c r="BQ56" s="128">
        <f t="shared" si="71"/>
        <v>527500</v>
      </c>
      <c r="BR56" s="90">
        <f t="shared" si="72"/>
        <v>84160</v>
      </c>
      <c r="BS56" s="90">
        <f t="shared" ca="1" si="73"/>
        <v>209880</v>
      </c>
      <c r="BT56" s="90">
        <f t="shared" si="74"/>
        <v>8500</v>
      </c>
      <c r="BU56" s="90">
        <f t="shared" si="75"/>
        <v>33000</v>
      </c>
      <c r="BV56" s="90">
        <f t="shared" si="76"/>
        <v>25000</v>
      </c>
      <c r="BW56" s="90">
        <f t="shared" ca="1" si="22"/>
        <v>39625</v>
      </c>
      <c r="BX56" s="90">
        <f t="shared" ca="1" si="23"/>
        <v>927665</v>
      </c>
      <c r="BY56" s="142">
        <f t="shared" ca="1" si="24"/>
        <v>0.56863199538626552</v>
      </c>
      <c r="BZ56" s="142">
        <f t="shared" ca="1" si="25"/>
        <v>9.0722405178593563E-2</v>
      </c>
      <c r="CA56" s="142">
        <f t="shared" ca="1" si="26"/>
        <v>0.22624546576619792</v>
      </c>
      <c r="CB56" s="142">
        <f t="shared" ca="1" si="27"/>
        <v>9.1627904469824776E-3</v>
      </c>
      <c r="CC56" s="142">
        <f t="shared" ca="1" si="28"/>
        <v>3.557318644122609E-2</v>
      </c>
      <c r="CD56" s="142">
        <f t="shared" ca="1" si="29"/>
        <v>2.6949383667595521E-2</v>
      </c>
      <c r="CE56" s="142">
        <f t="shared" ca="1" si="30"/>
        <v>4.2714773113138906E-2</v>
      </c>
      <c r="CG56" s="128">
        <f t="shared" si="31"/>
        <v>45</v>
      </c>
      <c r="CH56" s="90">
        <f ca="1">INDEX(角色升级!$A:$A,MATCH(玩家节奏1!$BX56,角色升级!$J:$J,1))</f>
        <v>297</v>
      </c>
      <c r="CI56" s="90">
        <f ca="1">INDEX(角色升级!$O:$O,MATCH(玩家节奏1!$BX56,角色升级!$J:$J,1))</f>
        <v>6334.6360000000004</v>
      </c>
      <c r="CJ56" s="90">
        <f>INDEX(关卡对比!$J:$J,MATCH(玩家节奏1!N56,关卡对比!$A:$A,0))</f>
        <v>8700</v>
      </c>
      <c r="CK56" s="147">
        <f t="shared" ca="1" si="32"/>
        <v>1.3734017234770868</v>
      </c>
      <c r="CL56" s="128">
        <f ca="1">INDEX(角色升级!$P:$P,MATCH(玩家节奏1!$CH56,角色升级!$A:$A,0))</f>
        <v>1700</v>
      </c>
      <c r="CM56" s="90">
        <f ca="1">INDEX(角色升级!Q:Q,MATCH(玩家节奏1!$CH56,角色升级!$A:$A,0))</f>
        <v>0.3</v>
      </c>
      <c r="CO56" s="128">
        <f t="shared" si="33"/>
        <v>3846</v>
      </c>
      <c r="CP56" s="90">
        <f t="shared" si="34"/>
        <v>5156</v>
      </c>
      <c r="CQ56" s="90">
        <f t="shared" si="35"/>
        <v>6216</v>
      </c>
      <c r="CR56" s="90">
        <f t="shared" ca="1" si="36"/>
        <v>11062.5</v>
      </c>
      <c r="CS56" s="90">
        <f t="shared" ca="1" si="37"/>
        <v>26280.5</v>
      </c>
      <c r="CT56" s="142">
        <f t="shared" ca="1" si="38"/>
        <v>0.14634424763607998</v>
      </c>
      <c r="CU56" s="142">
        <f t="shared" ca="1" si="39"/>
        <v>0.19619109225471357</v>
      </c>
      <c r="CV56" s="142">
        <f t="shared" ca="1" si="40"/>
        <v>0.23652518026673769</v>
      </c>
      <c r="CW56" s="142">
        <f t="shared" ca="1" si="41"/>
        <v>0.42093947984246877</v>
      </c>
      <c r="CY56" s="128">
        <f t="shared" si="42"/>
        <v>1924</v>
      </c>
      <c r="CZ56" s="90">
        <f t="shared" si="43"/>
        <v>2511</v>
      </c>
      <c r="DA56" s="90">
        <f t="shared" si="44"/>
        <v>2744</v>
      </c>
      <c r="DB56" s="90">
        <f t="shared" ca="1" si="66"/>
        <v>5637</v>
      </c>
      <c r="DC56" s="90">
        <f t="shared" ca="1" si="45"/>
        <v>12816</v>
      </c>
      <c r="DD56" s="142">
        <f t="shared" ca="1" si="46"/>
        <v>0.15012484394506867</v>
      </c>
      <c r="DE56" s="142">
        <f t="shared" ca="1" si="47"/>
        <v>0.19592696629213482</v>
      </c>
      <c r="DF56" s="142">
        <f t="shared" ca="1" si="48"/>
        <v>0.21410736579275905</v>
      </c>
      <c r="DG56" s="142">
        <f t="shared" ca="1" si="49"/>
        <v>0.43984082397003743</v>
      </c>
      <c r="DI56" s="128">
        <f t="shared" si="50"/>
        <v>823</v>
      </c>
      <c r="DJ56" s="90">
        <f t="shared" si="51"/>
        <v>1082</v>
      </c>
      <c r="DK56" s="90">
        <f t="shared" si="52"/>
        <v>800</v>
      </c>
      <c r="DL56" s="90">
        <f t="shared" ca="1" si="53"/>
        <v>776.5</v>
      </c>
      <c r="DM56" s="90">
        <f t="shared" ca="1" si="54"/>
        <v>3481.5</v>
      </c>
      <c r="DN56" s="142">
        <f t="shared" ca="1" si="55"/>
        <v>0.23639235961510843</v>
      </c>
      <c r="DO56" s="142">
        <f t="shared" ca="1" si="56"/>
        <v>0.31078558092776104</v>
      </c>
      <c r="DP56" s="142">
        <f t="shared" ca="1" si="57"/>
        <v>0.2297860117765331</v>
      </c>
      <c r="DQ56" s="142">
        <f t="shared" ca="1" si="58"/>
        <v>0.22303604768059745</v>
      </c>
      <c r="DS56" s="128">
        <f t="shared" ca="1" si="59"/>
        <v>26280.5</v>
      </c>
      <c r="DT56" s="90">
        <f t="shared" ca="1" si="60"/>
        <v>12816</v>
      </c>
      <c r="DU56" s="90">
        <f t="shared" ca="1" si="61"/>
        <v>3481.5</v>
      </c>
      <c r="DV56" s="90">
        <f t="shared" si="62"/>
        <v>33</v>
      </c>
      <c r="DW56" s="90">
        <f ca="1">_xlfn.IFNA(INDEX(武器升级消耗!$H:$H,MATCH(玩家节奏1!DS56/玩家节奏1!DS$5,武器升级消耗!M:M,1)),0)</f>
        <v>16</v>
      </c>
      <c r="DX56" s="90">
        <f ca="1">_xlfn.IFNA(INDEX(武器升级消耗!$H:$H,MATCH(玩家节奏1!DT56/玩家节奏1!DT$5,武器升级消耗!N:N,1)),0)</f>
        <v>13</v>
      </c>
      <c r="DY56" s="90">
        <f ca="1">_xlfn.IFNA(INDEX(武器升级消耗!$H:$H,MATCH(玩家节奏1!DU56/玩家节奏1!DU$5,武器升级消耗!O:O,1)),0)</f>
        <v>9</v>
      </c>
      <c r="DZ56" s="90">
        <f>_xlfn.IFNA(INDEX(武器升级消耗!$H:$H,MATCH(玩家节奏1!DV56/玩家节奏1!DV$5,武器升级消耗!P:P,1)),0)</f>
        <v>6</v>
      </c>
      <c r="EA56" s="90">
        <f ca="1">_xlfn.IFNA(INDEX(武器升级消耗!$Q:$Q,MATCH(玩家节奏1!DW56,武器升级消耗!$H:$H,0))*2*EA$4,0)</f>
        <v>2.4</v>
      </c>
      <c r="EB56" s="90">
        <f ca="1">_xlfn.IFNA(INDEX(武器升级消耗!$Q:$Q,MATCH(玩家节奏1!DX56,武器升级消耗!$H:$H,0))*2*EB$4,0)</f>
        <v>2.5499999999999998</v>
      </c>
      <c r="EC56" s="90">
        <f ca="1">_xlfn.IFNA(INDEX(武器升级消耗!$Q:$Q,MATCH(玩家节奏1!DY56,武器升级消耗!$H:$H,0))*2*EC$4,1)</f>
        <v>2.8600000000000003</v>
      </c>
      <c r="ED56" s="90">
        <f>_xlfn.IFNA(INDEX(武器升级消耗!$Q:$Q,MATCH(玩家节奏1!DZ56,武器升级消耗!$H:$H,0))*2*ED$4,0)</f>
        <v>3</v>
      </c>
      <c r="EF56" s="128"/>
      <c r="EG56" s="90"/>
      <c r="EH56" s="90"/>
      <c r="EI56" s="90"/>
      <c r="EJ56" s="90"/>
      <c r="EK56" s="90"/>
      <c r="EL56" s="90"/>
      <c r="EM56" s="90"/>
      <c r="EO56" s="128"/>
      <c r="EP56" s="90"/>
      <c r="EQ56" s="90"/>
      <c r="ER56" s="90"/>
      <c r="ES56" s="90"/>
      <c r="ET56" s="90"/>
      <c r="EU56" s="90"/>
      <c r="EV56" s="90"/>
      <c r="EW56" s="90"/>
      <c r="EX56" s="90"/>
      <c r="EY56" s="90"/>
      <c r="EZ56" s="90"/>
      <c r="FA56" s="90"/>
      <c r="FB56" s="90"/>
      <c r="FD56" s="90">
        <f t="shared" ca="1" si="63"/>
        <v>2.8600000000000003</v>
      </c>
      <c r="FE56" s="90"/>
      <c r="FF56" s="90"/>
      <c r="FG56" s="90">
        <f t="shared" ca="1" si="64"/>
        <v>0</v>
      </c>
    </row>
    <row r="57" spans="1:163" x14ac:dyDescent="0.25">
      <c r="A57" s="123">
        <v>51</v>
      </c>
      <c r="B57" s="123">
        <f>INDEX(关卡对比!$Y:$Y,MATCH(关卡对比!Z57,关卡对比!$AA:$AA,1))</f>
        <v>36</v>
      </c>
      <c r="C57" s="124">
        <f>INDEX(关卡对比!$Y:$Y,MATCH(关卡对比!Z57,关卡对比!$AB:$AB,1))</f>
        <v>29</v>
      </c>
      <c r="D57" s="125">
        <f t="shared" si="70"/>
        <v>317.5</v>
      </c>
      <c r="E57" s="125">
        <v>3</v>
      </c>
      <c r="F57" s="128">
        <v>5</v>
      </c>
      <c r="G57" s="90">
        <v>1</v>
      </c>
      <c r="H57" s="90">
        <v>1</v>
      </c>
      <c r="J57" s="128">
        <v>51</v>
      </c>
      <c r="K57" s="90">
        <f t="shared" si="77"/>
        <v>5</v>
      </c>
      <c r="L57" s="90">
        <f t="shared" si="78"/>
        <v>1</v>
      </c>
      <c r="M57" s="90">
        <f t="shared" si="79"/>
        <v>1</v>
      </c>
      <c r="N57" s="140">
        <f>INDEX($A:$A,MATCH(SUM($K$7:K57),$D:$D,1))</f>
        <v>46</v>
      </c>
      <c r="O57" s="140">
        <v>0</v>
      </c>
      <c r="P57" s="141">
        <v>0</v>
      </c>
      <c r="Q57" s="126">
        <f>_xlfn.MAXIFS(关卡产出!X:X,关卡产出!$A:$A,玩家节奏1!$N$6,关卡产出!$B:$B,玩家节奏1!$N57)+_xlfn.MAXIFS(关卡产出!X:X,关卡产出!$A:$A,玩家节奏1!$O$6,关卡产出!$B:$B,玩家节奏1!$O57)+_xlfn.MAXIFS(关卡产出!X:X,关卡产出!$A:$A,玩家节奏1!$P$6,关卡产出!$B:$B,玩家节奏1!$P57)</f>
        <v>7700</v>
      </c>
      <c r="R57" s="90">
        <f>_xlfn.MAXIFS(关卡产出!Y:Y,关卡产出!$A:$A,玩家节奏1!$N$6,关卡产出!$B:$B,玩家节奏1!$N57)+_xlfn.MAXIFS(关卡产出!Y:Y,关卡产出!$A:$A,玩家节奏1!$O$6,关卡产出!$B:$B,玩家节奏1!$O57)+_xlfn.MAXIFS(关卡产出!Y:Y,关卡产出!$A:$A,玩家节奏1!$P$6,关卡产出!$B:$B,玩家节奏1!$P57)</f>
        <v>552800</v>
      </c>
      <c r="S57" s="90">
        <f>_xlfn.MAXIFS(关卡产出!Z:Z,关卡产出!$A:$A,玩家节奏1!$N$6,关卡产出!$B:$B,玩家节奏1!$N57)+_xlfn.MAXIFS(关卡产出!Z:Z,关卡产出!$A:$A,玩家节奏1!$O$6,关卡产出!$B:$B,玩家节奏1!$O57)+_xlfn.MAXIFS(关卡产出!Z:Z,关卡产出!$A:$A,玩家节奏1!$P$6,关卡产出!$B:$B,玩家节奏1!$P57)</f>
        <v>4022</v>
      </c>
      <c r="T57" s="90">
        <f>_xlfn.MAXIFS(关卡产出!AA:AA,关卡产出!$A:$A,玩家节奏1!$N$6,关卡产出!$B:$B,玩家节奏1!$N57)+_xlfn.MAXIFS(关卡产出!AA:AA,关卡产出!$A:$A,玩家节奏1!$O$6,关卡产出!$B:$B,玩家节奏1!$O57)+_xlfn.MAXIFS(关卡产出!AA:AA,关卡产出!$A:$A,玩家节奏1!$P$6,关卡产出!$B:$B,玩家节奏1!$P57)</f>
        <v>2012</v>
      </c>
      <c r="U57" s="90">
        <f>_xlfn.MAXIFS(关卡产出!AB:AB,关卡产出!$A:$A,玩家节奏1!$N$6,关卡产出!$B:$B,玩家节奏1!$N57)+_xlfn.MAXIFS(关卡产出!AB:AB,关卡产出!$A:$A,玩家节奏1!$O$6,关卡产出!$B:$B,玩家节奏1!$O57)+_xlfn.MAXIFS(关卡产出!AB:AB,关卡产出!$A:$A,玩家节奏1!$P$6,关卡产出!$B:$B,玩家节奏1!$P57)</f>
        <v>864</v>
      </c>
      <c r="V57" s="130">
        <f>_xlfn.MAXIFS(关卡产出!AC:AC,关卡产出!$A:$A,玩家节奏1!$N$6,关卡产出!$B:$B,玩家节奏1!$N57)+_xlfn.MAXIFS(关卡产出!AC:AC,关卡产出!$A:$A,玩家节奏1!$O$6,关卡产出!$B:$B,玩家节奏1!$O57)+_xlfn.MAXIFS(关卡产出!AC:AC,关卡产出!$A:$A,玩家节奏1!$P$6,关卡产出!$B:$B,玩家节奏1!$P57)</f>
        <v>276</v>
      </c>
      <c r="W57" s="126">
        <f>INDEX(关卡产出!C$8:C$207,MATCH(玩家节奏1!$N57,关卡产出!$B$8:$B$207,0))*$K57</f>
        <v>175</v>
      </c>
      <c r="X57" s="126">
        <f>INDEX(关卡产出!D$8:D$207,MATCH(玩家节奏1!$N57,关卡产出!$B$8:$B$207,0))*$K57</f>
        <v>85</v>
      </c>
      <c r="Y57" s="126">
        <f>INDEX(关卡产出!E$8:E$207,MATCH(玩家节奏1!$N57,关卡产出!$B$8:$B$207,0))*$K57</f>
        <v>40</v>
      </c>
      <c r="Z57" s="144">
        <f>INDEX(关卡产出!F$8:F$207,MATCH(玩家节奏1!$N57,关卡产出!$B$8:$B$207,0))*$K57</f>
        <v>2550</v>
      </c>
      <c r="AA57" s="126">
        <f>SUM(W$7:W57)</f>
        <v>5331</v>
      </c>
      <c r="AB57" s="126">
        <f>SUM(X$7:X57)</f>
        <v>2596</v>
      </c>
      <c r="AC57" s="126">
        <f>SUM(Y$7:Y57)</f>
        <v>1122</v>
      </c>
      <c r="AD57" s="126">
        <f>SUM(Z$7:Z57)</f>
        <v>86710</v>
      </c>
      <c r="AE57" s="126">
        <f>INDEX(图鉴!AQ:AQ,MATCH($N57,图鉴!$S:$S,0))*8</f>
        <v>152</v>
      </c>
      <c r="AF57" s="90">
        <f>INDEX(图鉴!AR:AR,MATCH($N57,图鉴!$S:$S,0))*8</f>
        <v>80</v>
      </c>
      <c r="AG57" s="90">
        <f>INDEX(图鉴!AS:AS,MATCH($N57,图鉴!$S:$S,0))*8</f>
        <v>32</v>
      </c>
      <c r="AH57" s="129">
        <f ca="1">INDEX(图鉴!AT:AT,MATCH($N57,图鉴!$S:$S,0))*8</f>
        <v>6080</v>
      </c>
      <c r="AI57" s="128">
        <f>SUM($AE$7:AE57)</f>
        <v>6368</v>
      </c>
      <c r="AJ57" s="90">
        <f>SUM(AF$7:AF57)</f>
        <v>2824</v>
      </c>
      <c r="AK57" s="90">
        <f>SUM(AG$7:AG57)</f>
        <v>832</v>
      </c>
      <c r="AL57" s="130">
        <f ca="1">SUM(AH$7:AH57)</f>
        <v>215960</v>
      </c>
      <c r="AM57" s="133">
        <f>IF(M57=0,0,INDEX(关卡产出!$AU$11:$AU$15,MATCH(玩家节奏1!N57,关卡产出!$AW$11:$AW$15,1))*M57)</f>
        <v>8500</v>
      </c>
      <c r="AN57" s="126">
        <f>IF(L57=0,0,$L57*关卡产出!AU$21)</f>
        <v>1000</v>
      </c>
      <c r="AO57" s="90">
        <f>IF(M57=0,0,$L57*关卡产出!AV$21)</f>
        <v>50</v>
      </c>
      <c r="AP57" s="129">
        <f>IF(N57=0,0,$L57*关卡产出!AW$21)</f>
        <v>1</v>
      </c>
      <c r="AQ57" s="138">
        <f>SUM(AN$7:AN57)</f>
        <v>34000</v>
      </c>
      <c r="AR57" s="126">
        <f>SUM(AO$7:AO57)</f>
        <v>1700</v>
      </c>
      <c r="AS57" s="129">
        <f>SUM(AP$7:AP57)</f>
        <v>34</v>
      </c>
      <c r="AT57" s="128">
        <v>500</v>
      </c>
      <c r="AU57" s="129">
        <v>100</v>
      </c>
      <c r="AV57" s="128">
        <f>SUM(AT$7:AT57)</f>
        <v>25500</v>
      </c>
      <c r="AW57" s="90">
        <f>SUM(AU$7:AU57)</f>
        <v>5100</v>
      </c>
      <c r="AY57" s="128">
        <f t="shared" si="13"/>
        <v>7700</v>
      </c>
      <c r="AZ57" s="90">
        <f t="shared" si="14"/>
        <v>1700</v>
      </c>
      <c r="BA57" s="90">
        <f t="shared" si="15"/>
        <v>5100</v>
      </c>
      <c r="BB57" s="90">
        <f t="shared" ca="1" si="65"/>
        <v>1700</v>
      </c>
      <c r="BC57" s="90">
        <f t="shared" ca="1" si="68"/>
        <v>16200</v>
      </c>
      <c r="BD57" s="90"/>
      <c r="BE57" s="90">
        <f t="shared" ca="1" si="17"/>
        <v>16200</v>
      </c>
      <c r="BF57" s="142">
        <f t="shared" ca="1" si="18"/>
        <v>0.47530864197530864</v>
      </c>
      <c r="BG57" s="142">
        <f t="shared" ca="1" si="19"/>
        <v>0.10493827160493827</v>
      </c>
      <c r="BH57" s="142">
        <f t="shared" ca="1" si="80"/>
        <v>0.31481481481481483</v>
      </c>
      <c r="BI57" s="142">
        <f t="shared" ca="1" si="81"/>
        <v>0.10493827160493827</v>
      </c>
      <c r="BJ57" s="143"/>
      <c r="BK57" s="128">
        <f ca="1">INDEX(商城宝箱!$L:$L,MATCH(BC57,商城宝箱!$N:$N,1))</f>
        <v>6</v>
      </c>
      <c r="BL57" s="90">
        <f ca="1">_xlfn.IFNA(INDEX(商城宝箱!T:T,MATCH(玩家节奏1!$BK57,商城宝箱!$L:$L,0)),0)+($BC57-INDEX(商城宝箱!$N:$N,MATCH(玩家节奏1!$BK57,商城宝箱!$L:$L,0)))/$BK$5*INDEX(商城宝箱!E$23:E$42,MATCH(玩家节奏1!$BK57+1,商城宝箱!$C$23:$C$42,0))</f>
        <v>40500</v>
      </c>
      <c r="BM57" s="90">
        <f ca="1">_xlfn.IFNA(INDEX(商城宝箱!U:U,MATCH(玩家节奏1!$BK57,商城宝箱!$L:$L,0)),0)+($BC57-INDEX(商城宝箱!$N:$N,MATCH(玩家节奏1!$BK57,商城宝箱!$L:$L,0)))/$BK$5*INDEX(商城宝箱!F$23:F$42,MATCH(玩家节奏1!$BK57+1,商城宝箱!$C$23:$C$42,0))</f>
        <v>11442.5</v>
      </c>
      <c r="BN57" s="90">
        <f ca="1">_xlfn.IFNA(INDEX(商城宝箱!V:V,MATCH(玩家节奏1!$BK57,商城宝箱!$L:$L,0)),0)+($BC57-INDEX(商城宝箱!$N:$N,MATCH(玩家节奏1!$BK57,商城宝箱!$L:$L,0)))/$BK$5*INDEX(商城宝箱!G$23:G$42,MATCH(玩家节奏1!$BK57+1,商城宝箱!$C$23:$C$42,0))</f>
        <v>5872</v>
      </c>
      <c r="BO57" s="90">
        <f ca="1">_xlfn.IFNA(INDEX(商城宝箱!W:W,MATCH(玩家节奏1!$BK57,商城宝箱!$L:$L,0)),0)+($BC57-INDEX(商城宝箱!$N:$N,MATCH(玩家节奏1!$BK57,商城宝箱!$L:$L,0)))/$BK$5*INDEX(商城宝箱!H$23:H$42,MATCH(玩家节奏1!$BK57+1,商城宝箱!$C$23:$C$42,0))</f>
        <v>808</v>
      </c>
      <c r="BQ57" s="128">
        <f t="shared" si="71"/>
        <v>552800</v>
      </c>
      <c r="BR57" s="90">
        <f t="shared" si="72"/>
        <v>86710</v>
      </c>
      <c r="BS57" s="90">
        <f t="shared" ca="1" si="73"/>
        <v>215960</v>
      </c>
      <c r="BT57" s="90">
        <f t="shared" si="74"/>
        <v>8500</v>
      </c>
      <c r="BU57" s="90">
        <f t="shared" si="75"/>
        <v>34000</v>
      </c>
      <c r="BV57" s="90">
        <f t="shared" si="76"/>
        <v>25500</v>
      </c>
      <c r="BW57" s="90">
        <f t="shared" ca="1" si="22"/>
        <v>40500</v>
      </c>
      <c r="BX57" s="90">
        <f t="shared" ca="1" si="23"/>
        <v>963970</v>
      </c>
      <c r="BY57" s="142">
        <f t="shared" ca="1" si="24"/>
        <v>0.57346182972499149</v>
      </c>
      <c r="BZ57" s="142">
        <f t="shared" ca="1" si="25"/>
        <v>8.9950932082948645E-2</v>
      </c>
      <c r="CA57" s="142">
        <f t="shared" ca="1" si="26"/>
        <v>0.22403186821166635</v>
      </c>
      <c r="CB57" s="142">
        <f t="shared" ca="1" si="27"/>
        <v>8.8177017956990369E-3</v>
      </c>
      <c r="CC57" s="142">
        <f t="shared" ca="1" si="28"/>
        <v>3.5270807182796148E-2</v>
      </c>
      <c r="CD57" s="142">
        <f t="shared" ca="1" si="29"/>
        <v>2.6453105387097109E-2</v>
      </c>
      <c r="CE57" s="142">
        <f t="shared" ca="1" si="30"/>
        <v>4.2013755614801293E-2</v>
      </c>
      <c r="CG57" s="128">
        <f t="shared" si="31"/>
        <v>46</v>
      </c>
      <c r="CH57" s="90">
        <f ca="1">INDEX(角色升级!$A:$A,MATCH(玩家节奏1!$BX57,角色升级!$J:$J,1))</f>
        <v>302</v>
      </c>
      <c r="CI57" s="90">
        <f ca="1">INDEX(角色升级!$O:$O,MATCH(玩家节奏1!$BX57,角色升级!$J:$J,1))</f>
        <v>6585.9168550000004</v>
      </c>
      <c r="CJ57" s="90">
        <f>INDEX(关卡对比!$J:$J,MATCH(玩家节奏1!N57,关卡对比!$A:$A,0))</f>
        <v>9200</v>
      </c>
      <c r="CK57" s="147">
        <f t="shared" ca="1" si="32"/>
        <v>1.396920155925655</v>
      </c>
      <c r="CL57" s="128">
        <f ca="1">INDEX(角色升级!$P:$P,MATCH(玩家节奏1!$CH57,角色升级!$A:$A,0))</f>
        <v>1700</v>
      </c>
      <c r="CM57" s="90">
        <f ca="1">INDEX(角色升级!Q:Q,MATCH(玩家节奏1!$CH57,角色升级!$A:$A,0))</f>
        <v>0.3</v>
      </c>
      <c r="CO57" s="128">
        <f t="shared" si="33"/>
        <v>4022</v>
      </c>
      <c r="CP57" s="90">
        <f t="shared" si="34"/>
        <v>5331</v>
      </c>
      <c r="CQ57" s="90">
        <f t="shared" si="35"/>
        <v>6368</v>
      </c>
      <c r="CR57" s="90">
        <f t="shared" ca="1" si="36"/>
        <v>11442.5</v>
      </c>
      <c r="CS57" s="90">
        <f t="shared" ca="1" si="37"/>
        <v>27163.5</v>
      </c>
      <c r="CT57" s="142">
        <f t="shared" ca="1" si="38"/>
        <v>0.14806633902111288</v>
      </c>
      <c r="CU57" s="142">
        <f t="shared" ca="1" si="39"/>
        <v>0.19625600530123144</v>
      </c>
      <c r="CV57" s="142">
        <f t="shared" ca="1" si="40"/>
        <v>0.23443223443223443</v>
      </c>
      <c r="CW57" s="142">
        <f t="shared" ca="1" si="41"/>
        <v>0.42124542124542125</v>
      </c>
      <c r="CY57" s="128">
        <f t="shared" si="42"/>
        <v>2012</v>
      </c>
      <c r="CZ57" s="90">
        <f t="shared" si="43"/>
        <v>2596</v>
      </c>
      <c r="DA57" s="90">
        <f t="shared" si="44"/>
        <v>2824</v>
      </c>
      <c r="DB57" s="90">
        <f t="shared" ca="1" si="66"/>
        <v>5872</v>
      </c>
      <c r="DC57" s="90">
        <f t="shared" ca="1" si="45"/>
        <v>13304</v>
      </c>
      <c r="DD57" s="142">
        <f t="shared" ca="1" si="46"/>
        <v>0.15123271196632593</v>
      </c>
      <c r="DE57" s="142">
        <f t="shared" ca="1" si="47"/>
        <v>0.19512928442573663</v>
      </c>
      <c r="DF57" s="142">
        <f t="shared" ca="1" si="48"/>
        <v>0.21226698737221888</v>
      </c>
      <c r="DG57" s="142">
        <f t="shared" ca="1" si="49"/>
        <v>0.44137101623571856</v>
      </c>
      <c r="DI57" s="128">
        <f t="shared" si="50"/>
        <v>864</v>
      </c>
      <c r="DJ57" s="90">
        <f t="shared" si="51"/>
        <v>1122</v>
      </c>
      <c r="DK57" s="90">
        <f t="shared" si="52"/>
        <v>832</v>
      </c>
      <c r="DL57" s="90">
        <f t="shared" ca="1" si="53"/>
        <v>808</v>
      </c>
      <c r="DM57" s="90">
        <f t="shared" ca="1" si="54"/>
        <v>3626</v>
      </c>
      <c r="DN57" s="142">
        <f t="shared" ca="1" si="55"/>
        <v>0.23827909542195255</v>
      </c>
      <c r="DO57" s="142">
        <f t="shared" ca="1" si="56"/>
        <v>0.30943188086045231</v>
      </c>
      <c r="DP57" s="142">
        <f t="shared" ca="1" si="57"/>
        <v>0.22945394373965802</v>
      </c>
      <c r="DQ57" s="142">
        <f t="shared" ca="1" si="58"/>
        <v>0.22283507997793711</v>
      </c>
      <c r="DS57" s="128">
        <f t="shared" ca="1" si="59"/>
        <v>27163.5</v>
      </c>
      <c r="DT57" s="90">
        <f t="shared" ca="1" si="60"/>
        <v>13304</v>
      </c>
      <c r="DU57" s="90">
        <f t="shared" ca="1" si="61"/>
        <v>3626</v>
      </c>
      <c r="DV57" s="90">
        <f t="shared" si="62"/>
        <v>34</v>
      </c>
      <c r="DW57" s="90">
        <f ca="1">_xlfn.IFNA(INDEX(武器升级消耗!$H:$H,MATCH(玩家节奏1!DS57/玩家节奏1!DS$5,武器升级消耗!M:M,1)),0)</f>
        <v>16</v>
      </c>
      <c r="DX57" s="90">
        <f ca="1">_xlfn.IFNA(INDEX(武器升级消耗!$H:$H,MATCH(玩家节奏1!DT57/玩家节奏1!DT$5,武器升级消耗!N:N,1)),0)</f>
        <v>13</v>
      </c>
      <c r="DY57" s="90">
        <f ca="1">_xlfn.IFNA(INDEX(武器升级消耗!$H:$H,MATCH(玩家节奏1!DU57/玩家节奏1!DU$5,武器升级消耗!O:O,1)),0)</f>
        <v>9</v>
      </c>
      <c r="DZ57" s="90">
        <f>_xlfn.IFNA(INDEX(武器升级消耗!$H:$H,MATCH(玩家节奏1!DV57/玩家节奏1!DV$5,武器升级消耗!P:P,1)),0)</f>
        <v>6</v>
      </c>
      <c r="EA57" s="90">
        <f ca="1">_xlfn.IFNA(INDEX(武器升级消耗!$Q:$Q,MATCH(玩家节奏1!DW57,武器升级消耗!$H:$H,0))*2*EA$4,0)</f>
        <v>2.4</v>
      </c>
      <c r="EB57" s="90">
        <f ca="1">_xlfn.IFNA(INDEX(武器升级消耗!$Q:$Q,MATCH(玩家节奏1!DX57,武器升级消耗!$H:$H,0))*2*EB$4,0)</f>
        <v>2.5499999999999998</v>
      </c>
      <c r="EC57" s="90">
        <f ca="1">_xlfn.IFNA(INDEX(武器升级消耗!$Q:$Q,MATCH(玩家节奏1!DY57,武器升级消耗!$H:$H,0))*2*EC$4,1)</f>
        <v>2.8600000000000003</v>
      </c>
      <c r="ED57" s="90">
        <f>_xlfn.IFNA(INDEX(武器升级消耗!$Q:$Q,MATCH(玩家节奏1!DZ57,武器升级消耗!$H:$H,0))*2*ED$4,0)</f>
        <v>3</v>
      </c>
      <c r="EF57" s="128"/>
      <c r="EG57" s="90"/>
      <c r="EH57" s="90"/>
      <c r="EI57" s="90"/>
      <c r="EJ57" s="90"/>
      <c r="EK57" s="90"/>
      <c r="EL57" s="90"/>
      <c r="EM57" s="90"/>
      <c r="EO57" s="128"/>
      <c r="EP57" s="90"/>
      <c r="EQ57" s="90"/>
      <c r="ER57" s="90"/>
      <c r="ES57" s="90"/>
      <c r="ET57" s="90"/>
      <c r="EU57" s="90"/>
      <c r="EV57" s="90"/>
      <c r="EW57" s="90"/>
      <c r="EX57" s="90"/>
      <c r="EY57" s="90"/>
      <c r="EZ57" s="90"/>
      <c r="FA57" s="90"/>
      <c r="FB57" s="90"/>
      <c r="FD57" s="90">
        <f t="shared" ca="1" si="63"/>
        <v>2.8600000000000003</v>
      </c>
      <c r="FE57" s="90"/>
      <c r="FF57" s="90"/>
      <c r="FG57" s="90">
        <f t="shared" ca="1" si="64"/>
        <v>0</v>
      </c>
    </row>
    <row r="58" spans="1:163" x14ac:dyDescent="0.25">
      <c r="A58" s="123">
        <v>52</v>
      </c>
      <c r="B58" s="123">
        <f>INDEX(关卡对比!$Y:$Y,MATCH(关卡对比!Z58,关卡对比!$AA:$AA,1))</f>
        <v>37</v>
      </c>
      <c r="C58" s="124">
        <f>INDEX(关卡对比!$Y:$Y,MATCH(关卡对比!Z58,关卡对比!$AB:$AB,1))</f>
        <v>30</v>
      </c>
      <c r="D58" s="125">
        <f t="shared" si="70"/>
        <v>326.5</v>
      </c>
      <c r="E58" s="125">
        <v>3</v>
      </c>
      <c r="F58" s="128">
        <v>5</v>
      </c>
      <c r="G58" s="90">
        <v>1</v>
      </c>
      <c r="H58" s="90">
        <v>1</v>
      </c>
      <c r="J58" s="128">
        <v>52</v>
      </c>
      <c r="K58" s="90">
        <f t="shared" si="77"/>
        <v>5</v>
      </c>
      <c r="L58" s="90">
        <f t="shared" si="78"/>
        <v>1</v>
      </c>
      <c r="M58" s="90">
        <f t="shared" si="79"/>
        <v>1</v>
      </c>
      <c r="N58" s="140">
        <f>INDEX($A:$A,MATCH(SUM($K$7:K58),$D:$D,1))</f>
        <v>46</v>
      </c>
      <c r="O58" s="140">
        <v>0</v>
      </c>
      <c r="P58" s="141">
        <v>0</v>
      </c>
      <c r="Q58" s="126">
        <f>_xlfn.MAXIFS(关卡产出!X:X,关卡产出!$A:$A,玩家节奏1!$N$6,关卡产出!$B:$B,玩家节奏1!$N58)+_xlfn.MAXIFS(关卡产出!X:X,关卡产出!$A:$A,玩家节奏1!$O$6,关卡产出!$B:$B,玩家节奏1!$O58)+_xlfn.MAXIFS(关卡产出!X:X,关卡产出!$A:$A,玩家节奏1!$P$6,关卡产出!$B:$B,玩家节奏1!$P58)</f>
        <v>7700</v>
      </c>
      <c r="R58" s="90">
        <f>_xlfn.MAXIFS(关卡产出!Y:Y,关卡产出!$A:$A,玩家节奏1!$N$6,关卡产出!$B:$B,玩家节奏1!$N58)+_xlfn.MAXIFS(关卡产出!Y:Y,关卡产出!$A:$A,玩家节奏1!$O$6,关卡产出!$B:$B,玩家节奏1!$O58)+_xlfn.MAXIFS(关卡产出!Y:Y,关卡产出!$A:$A,玩家节奏1!$P$6,关卡产出!$B:$B,玩家节奏1!$P58)</f>
        <v>552800</v>
      </c>
      <c r="S58" s="90">
        <f>_xlfn.MAXIFS(关卡产出!Z:Z,关卡产出!$A:$A,玩家节奏1!$N$6,关卡产出!$B:$B,玩家节奏1!$N58)+_xlfn.MAXIFS(关卡产出!Z:Z,关卡产出!$A:$A,玩家节奏1!$O$6,关卡产出!$B:$B,玩家节奏1!$O58)+_xlfn.MAXIFS(关卡产出!Z:Z,关卡产出!$A:$A,玩家节奏1!$P$6,关卡产出!$B:$B,玩家节奏1!$P58)</f>
        <v>4022</v>
      </c>
      <c r="T58" s="90">
        <f>_xlfn.MAXIFS(关卡产出!AA:AA,关卡产出!$A:$A,玩家节奏1!$N$6,关卡产出!$B:$B,玩家节奏1!$N58)+_xlfn.MAXIFS(关卡产出!AA:AA,关卡产出!$A:$A,玩家节奏1!$O$6,关卡产出!$B:$B,玩家节奏1!$O58)+_xlfn.MAXIFS(关卡产出!AA:AA,关卡产出!$A:$A,玩家节奏1!$P$6,关卡产出!$B:$B,玩家节奏1!$P58)</f>
        <v>2012</v>
      </c>
      <c r="U58" s="90">
        <f>_xlfn.MAXIFS(关卡产出!AB:AB,关卡产出!$A:$A,玩家节奏1!$N$6,关卡产出!$B:$B,玩家节奏1!$N58)+_xlfn.MAXIFS(关卡产出!AB:AB,关卡产出!$A:$A,玩家节奏1!$O$6,关卡产出!$B:$B,玩家节奏1!$O58)+_xlfn.MAXIFS(关卡产出!AB:AB,关卡产出!$A:$A,玩家节奏1!$P$6,关卡产出!$B:$B,玩家节奏1!$P58)</f>
        <v>864</v>
      </c>
      <c r="V58" s="130">
        <f>_xlfn.MAXIFS(关卡产出!AC:AC,关卡产出!$A:$A,玩家节奏1!$N$6,关卡产出!$B:$B,玩家节奏1!$N58)+_xlfn.MAXIFS(关卡产出!AC:AC,关卡产出!$A:$A,玩家节奏1!$O$6,关卡产出!$B:$B,玩家节奏1!$O58)+_xlfn.MAXIFS(关卡产出!AC:AC,关卡产出!$A:$A,玩家节奏1!$P$6,关卡产出!$B:$B,玩家节奏1!$P58)</f>
        <v>276</v>
      </c>
      <c r="W58" s="126">
        <f>INDEX(关卡产出!C$8:C$207,MATCH(玩家节奏1!$N58,关卡产出!$B$8:$B$207,0))*$K58</f>
        <v>175</v>
      </c>
      <c r="X58" s="126">
        <f>INDEX(关卡产出!D$8:D$207,MATCH(玩家节奏1!$N58,关卡产出!$B$8:$B$207,0))*$K58</f>
        <v>85</v>
      </c>
      <c r="Y58" s="126">
        <f>INDEX(关卡产出!E$8:E$207,MATCH(玩家节奏1!$N58,关卡产出!$B$8:$B$207,0))*$K58</f>
        <v>40</v>
      </c>
      <c r="Z58" s="144">
        <f>INDEX(关卡产出!F$8:F$207,MATCH(玩家节奏1!$N58,关卡产出!$B$8:$B$207,0))*$K58</f>
        <v>2550</v>
      </c>
      <c r="AA58" s="126">
        <f>SUM(W$7:W58)</f>
        <v>5506</v>
      </c>
      <c r="AB58" s="126">
        <f>SUM(X$7:X58)</f>
        <v>2681</v>
      </c>
      <c r="AC58" s="126">
        <f>SUM(Y$7:Y58)</f>
        <v>1162</v>
      </c>
      <c r="AD58" s="126">
        <f>SUM(Z$7:Z58)</f>
        <v>89260</v>
      </c>
      <c r="AE58" s="126">
        <f>INDEX(图鉴!AQ:AQ,MATCH($N58,图鉴!$S:$S,0))*8</f>
        <v>152</v>
      </c>
      <c r="AF58" s="90">
        <f>INDEX(图鉴!AR:AR,MATCH($N58,图鉴!$S:$S,0))*8</f>
        <v>80</v>
      </c>
      <c r="AG58" s="90">
        <f>INDEX(图鉴!AS:AS,MATCH($N58,图鉴!$S:$S,0))*8</f>
        <v>32</v>
      </c>
      <c r="AH58" s="129">
        <f ca="1">INDEX(图鉴!AT:AT,MATCH($N58,图鉴!$S:$S,0))*8</f>
        <v>6080</v>
      </c>
      <c r="AI58" s="128">
        <f>SUM($AE$7:AE58)</f>
        <v>6520</v>
      </c>
      <c r="AJ58" s="90">
        <f>SUM(AF$7:AF58)</f>
        <v>2904</v>
      </c>
      <c r="AK58" s="90">
        <f>SUM(AG$7:AG58)</f>
        <v>864</v>
      </c>
      <c r="AL58" s="130">
        <f ca="1">SUM(AH$7:AH58)</f>
        <v>222040</v>
      </c>
      <c r="AM58" s="133">
        <f>IF(M58=0,0,INDEX(关卡产出!$AU$11:$AU$15,MATCH(玩家节奏1!N58,关卡产出!$AW$11:$AW$15,1))*M58)</f>
        <v>8500</v>
      </c>
      <c r="AN58" s="126">
        <f>IF(L58=0,0,$L58*关卡产出!AU$21)</f>
        <v>1000</v>
      </c>
      <c r="AO58" s="90">
        <f>IF(M58=0,0,$L58*关卡产出!AV$21)</f>
        <v>50</v>
      </c>
      <c r="AP58" s="129">
        <f>IF(N58=0,0,$L58*关卡产出!AW$21)</f>
        <v>1</v>
      </c>
      <c r="AQ58" s="138">
        <f>SUM(AN$7:AN58)</f>
        <v>35000</v>
      </c>
      <c r="AR58" s="126">
        <f>SUM(AO$7:AO58)</f>
        <v>1750</v>
      </c>
      <c r="AS58" s="129">
        <f>SUM(AP$7:AP58)</f>
        <v>35</v>
      </c>
      <c r="AT58" s="128">
        <v>500</v>
      </c>
      <c r="AU58" s="129">
        <v>100</v>
      </c>
      <c r="AV58" s="128">
        <f>SUM(AT$7:AT58)</f>
        <v>26000</v>
      </c>
      <c r="AW58" s="90">
        <f>SUM(AU$7:AU58)</f>
        <v>5200</v>
      </c>
      <c r="AY58" s="128">
        <f t="shared" si="13"/>
        <v>7700</v>
      </c>
      <c r="AZ58" s="90">
        <f t="shared" si="14"/>
        <v>1750</v>
      </c>
      <c r="BA58" s="90">
        <f t="shared" si="15"/>
        <v>5200</v>
      </c>
      <c r="BB58" s="90">
        <f t="shared" ca="1" si="65"/>
        <v>1700</v>
      </c>
      <c r="BC58" s="90">
        <f ca="1">BE58-BD58</f>
        <v>16350</v>
      </c>
      <c r="BD58" s="90"/>
      <c r="BE58" s="90">
        <f t="shared" ca="1" si="17"/>
        <v>16350</v>
      </c>
      <c r="BF58" s="142">
        <f t="shared" ca="1" si="18"/>
        <v>0.47094801223241589</v>
      </c>
      <c r="BG58" s="142">
        <f t="shared" ca="1" si="19"/>
        <v>0.10703363914373089</v>
      </c>
      <c r="BH58" s="142">
        <f t="shared" ca="1" si="80"/>
        <v>0.31804281345565749</v>
      </c>
      <c r="BI58" s="142">
        <f t="shared" ca="1" si="81"/>
        <v>0.10397553516819572</v>
      </c>
      <c r="BJ58" s="143"/>
      <c r="BK58" s="128">
        <f ca="1">INDEX(商城宝箱!$L:$L,MATCH(BC58,商城宝箱!$N:$N,1))</f>
        <v>6</v>
      </c>
      <c r="BL58" s="90">
        <f ca="1">_xlfn.IFNA(INDEX(商城宝箱!T:T,MATCH(玩家节奏1!$BK58,商城宝箱!$L:$L,0)),0)+($BC58-INDEX(商城宝箱!$N:$N,MATCH(玩家节奏1!$BK58,商城宝箱!$L:$L,0)))/$BK$5*INDEX(商城宝箱!E$23:E$42,MATCH(玩家节奏1!$BK58+1,商城宝箱!$C$23:$C$42,0))</f>
        <v>40875</v>
      </c>
      <c r="BM58" s="90">
        <f ca="1">_xlfn.IFNA(INDEX(商城宝箱!U:U,MATCH(玩家节奏1!$BK58,商城宝箱!$L:$L,0)),0)+($BC58-INDEX(商城宝箱!$N:$N,MATCH(玩家节奏1!$BK58,商城宝箱!$L:$L,0)))/$BK$5*INDEX(商城宝箱!F$23:F$42,MATCH(玩家节奏1!$BK58+1,商城宝箱!$C$23:$C$42,0))</f>
        <v>11637.5</v>
      </c>
      <c r="BN58" s="90">
        <f ca="1">_xlfn.IFNA(INDEX(商城宝箱!V:V,MATCH(玩家节奏1!$BK58,商城宝箱!$L:$L,0)),0)+($BC58-INDEX(商城宝箱!$N:$N,MATCH(玩家节奏1!$BK58,商城宝箱!$L:$L,0)))/$BK$5*INDEX(商城宝箱!G$23:G$42,MATCH(玩家节奏1!$BK58+1,商城宝箱!$C$23:$C$42,0))</f>
        <v>5999.5</v>
      </c>
      <c r="BO58" s="90">
        <f ca="1">_xlfn.IFNA(INDEX(商城宝箱!W:W,MATCH(玩家节奏1!$BK58,商城宝箱!$L:$L,0)),0)+($BC58-INDEX(商城宝箱!$N:$N,MATCH(玩家节奏1!$BK58,商城宝箱!$L:$L,0)))/$BK$5*INDEX(商城宝箱!H$23:H$42,MATCH(玩家节奏1!$BK58+1,商城宝箱!$C$23:$C$42,0))</f>
        <v>825.25</v>
      </c>
      <c r="BQ58" s="128">
        <f t="shared" si="71"/>
        <v>552800</v>
      </c>
      <c r="BR58" s="90">
        <f t="shared" si="72"/>
        <v>89260</v>
      </c>
      <c r="BS58" s="90">
        <f t="shared" ca="1" si="73"/>
        <v>222040</v>
      </c>
      <c r="BT58" s="90">
        <f t="shared" si="74"/>
        <v>8500</v>
      </c>
      <c r="BU58" s="90">
        <f t="shared" si="75"/>
        <v>35000</v>
      </c>
      <c r="BV58" s="90">
        <f t="shared" si="76"/>
        <v>26000</v>
      </c>
      <c r="BW58" s="90">
        <f t="shared" ca="1" si="22"/>
        <v>40875</v>
      </c>
      <c r="BX58" s="90">
        <f t="shared" ca="1" si="23"/>
        <v>974475</v>
      </c>
      <c r="BY58" s="142">
        <f t="shared" ca="1" si="24"/>
        <v>0.56727981733754074</v>
      </c>
      <c r="BZ58" s="142">
        <f t="shared" ca="1" si="25"/>
        <v>9.159803997024038E-2</v>
      </c>
      <c r="CA58" s="142">
        <f t="shared" ca="1" si="26"/>
        <v>0.22785602503912364</v>
      </c>
      <c r="CB58" s="142">
        <f t="shared" ca="1" si="27"/>
        <v>8.7226455270786839E-3</v>
      </c>
      <c r="CC58" s="142">
        <f t="shared" ca="1" si="28"/>
        <v>3.5916775699735753E-2</v>
      </c>
      <c r="CD58" s="142">
        <f t="shared" ca="1" si="29"/>
        <v>2.6681033376946561E-2</v>
      </c>
      <c r="CE58" s="142">
        <f t="shared" ca="1" si="30"/>
        <v>4.194566304933426E-2</v>
      </c>
      <c r="CG58" s="128">
        <f t="shared" si="31"/>
        <v>46</v>
      </c>
      <c r="CH58" s="90">
        <f ca="1">INDEX(角色升级!$A:$A,MATCH(玩家节奏1!$BX58,角色升级!$J:$J,1))</f>
        <v>303</v>
      </c>
      <c r="CI58" s="90">
        <f ca="1">INDEX(角色升级!$O:$O,MATCH(玩家节奏1!$BX58,角色升级!$J:$J,1))</f>
        <v>6712.7909100000006</v>
      </c>
      <c r="CJ58" s="90">
        <f>INDEX(关卡对比!$J:$J,MATCH(玩家节奏1!N58,关卡对比!$A:$A,0))</f>
        <v>9200</v>
      </c>
      <c r="CK58" s="147">
        <f t="shared" ca="1" si="32"/>
        <v>1.3705178849373694</v>
      </c>
      <c r="CL58" s="128">
        <f ca="1">INDEX(角色升级!$P:$P,MATCH(玩家节奏1!$CH58,角色升级!$A:$A,0))</f>
        <v>1700</v>
      </c>
      <c r="CM58" s="90">
        <f ca="1">INDEX(角色升级!Q:Q,MATCH(玩家节奏1!$CH58,角色升级!$A:$A,0))</f>
        <v>0.3</v>
      </c>
      <c r="CO58" s="128">
        <f t="shared" si="33"/>
        <v>4022</v>
      </c>
      <c r="CP58" s="90">
        <f t="shared" si="34"/>
        <v>5506</v>
      </c>
      <c r="CQ58" s="90">
        <f t="shared" si="35"/>
        <v>6520</v>
      </c>
      <c r="CR58" s="90">
        <f t="shared" ca="1" si="36"/>
        <v>11637.5</v>
      </c>
      <c r="CS58" s="90">
        <f t="shared" ca="1" si="37"/>
        <v>27685.5</v>
      </c>
      <c r="CT58" s="142">
        <f t="shared" ca="1" si="38"/>
        <v>0.14527460222860342</v>
      </c>
      <c r="CU58" s="142">
        <f t="shared" ca="1" si="39"/>
        <v>0.19887666829206624</v>
      </c>
      <c r="CV58" s="142">
        <f t="shared" ca="1" si="40"/>
        <v>0.23550233876939192</v>
      </c>
      <c r="CW58" s="142">
        <f t="shared" ca="1" si="41"/>
        <v>0.4203463907099384</v>
      </c>
      <c r="CY58" s="128">
        <f t="shared" si="42"/>
        <v>2012</v>
      </c>
      <c r="CZ58" s="90">
        <f t="shared" si="43"/>
        <v>2681</v>
      </c>
      <c r="DA58" s="90">
        <f t="shared" si="44"/>
        <v>2904</v>
      </c>
      <c r="DB58" s="90">
        <f t="shared" ca="1" si="66"/>
        <v>5999.5</v>
      </c>
      <c r="DC58" s="90">
        <f t="shared" ca="1" si="45"/>
        <v>13596.5</v>
      </c>
      <c r="DD58" s="142">
        <f t="shared" ca="1" si="46"/>
        <v>0.14797925936821976</v>
      </c>
      <c r="DE58" s="142">
        <f t="shared" ca="1" si="47"/>
        <v>0.19718309859154928</v>
      </c>
      <c r="DF58" s="142">
        <f t="shared" ca="1" si="48"/>
        <v>0.21358437833265914</v>
      </c>
      <c r="DG58" s="142">
        <f t="shared" ca="1" si="49"/>
        <v>0.44125326370757179</v>
      </c>
      <c r="DI58" s="128">
        <f t="shared" si="50"/>
        <v>864</v>
      </c>
      <c r="DJ58" s="90">
        <f t="shared" si="51"/>
        <v>1162</v>
      </c>
      <c r="DK58" s="90">
        <f t="shared" si="52"/>
        <v>864</v>
      </c>
      <c r="DL58" s="90">
        <f t="shared" ca="1" si="53"/>
        <v>825.25</v>
      </c>
      <c r="DM58" s="90">
        <f t="shared" ca="1" si="54"/>
        <v>3715.25</v>
      </c>
      <c r="DN58" s="142">
        <f t="shared" ca="1" si="55"/>
        <v>0.23255500975708229</v>
      </c>
      <c r="DO58" s="142">
        <f t="shared" ca="1" si="56"/>
        <v>0.31276495525200187</v>
      </c>
      <c r="DP58" s="142">
        <f t="shared" ca="1" si="57"/>
        <v>0.23255500975708229</v>
      </c>
      <c r="DQ58" s="142">
        <f t="shared" ca="1" si="58"/>
        <v>0.22212502523383351</v>
      </c>
      <c r="DS58" s="128">
        <f t="shared" ca="1" si="59"/>
        <v>27685.5</v>
      </c>
      <c r="DT58" s="90">
        <f t="shared" ca="1" si="60"/>
        <v>13596.5</v>
      </c>
      <c r="DU58" s="90">
        <f t="shared" ca="1" si="61"/>
        <v>3715.25</v>
      </c>
      <c r="DV58" s="90">
        <f t="shared" si="62"/>
        <v>35</v>
      </c>
      <c r="DW58" s="90">
        <f ca="1">_xlfn.IFNA(INDEX(武器升级消耗!$H:$H,MATCH(玩家节奏1!DS58/玩家节奏1!DS$5,武器升级消耗!M:M,1)),0)</f>
        <v>17</v>
      </c>
      <c r="DX58" s="90">
        <f ca="1">_xlfn.IFNA(INDEX(武器升级消耗!$H:$H,MATCH(玩家节奏1!DT58/玩家节奏1!DT$5,武器升级消耗!N:N,1)),0)</f>
        <v>14</v>
      </c>
      <c r="DY58" s="90">
        <f ca="1">_xlfn.IFNA(INDEX(武器升级消耗!$H:$H,MATCH(玩家节奏1!DU58/玩家节奏1!DU$5,武器升级消耗!O:O,1)),0)</f>
        <v>9</v>
      </c>
      <c r="DZ58" s="90">
        <f>_xlfn.IFNA(INDEX(武器升级消耗!$H:$H,MATCH(玩家节奏1!DV58/玩家节奏1!DV$5,武器升级消耗!P:P,1)),0)</f>
        <v>6</v>
      </c>
      <c r="EA58" s="90">
        <f ca="1">_xlfn.IFNA(INDEX(武器升级消耗!$Q:$Q,MATCH(玩家节奏1!DW58,武器升级消耗!$H:$H,0))*2*EA$4,0)</f>
        <v>2.52</v>
      </c>
      <c r="EB58" s="90">
        <f ca="1">_xlfn.IFNA(INDEX(武器升级消耗!$Q:$Q,MATCH(玩家节奏1!DX58,武器升级消耗!$H:$H,0))*2*EB$4,0)</f>
        <v>2.7</v>
      </c>
      <c r="EC58" s="90">
        <f ca="1">_xlfn.IFNA(INDEX(武器升级消耗!$Q:$Q,MATCH(玩家节奏1!DY58,武器升级消耗!$H:$H,0))*2*EC$4,1)</f>
        <v>2.8600000000000003</v>
      </c>
      <c r="ED58" s="90">
        <f>_xlfn.IFNA(INDEX(武器升级消耗!$Q:$Q,MATCH(玩家节奏1!DZ58,武器升级消耗!$H:$H,0))*2*ED$4,0)</f>
        <v>3</v>
      </c>
      <c r="EF58" s="128"/>
      <c r="EG58" s="90"/>
      <c r="EH58" s="90"/>
      <c r="EI58" s="90"/>
      <c r="EJ58" s="90"/>
      <c r="EK58" s="90"/>
      <c r="EL58" s="90"/>
      <c r="EM58" s="90"/>
      <c r="EO58" s="128"/>
      <c r="EP58" s="90"/>
      <c r="EQ58" s="90"/>
      <c r="ER58" s="90"/>
      <c r="ES58" s="90"/>
      <c r="ET58" s="90"/>
      <c r="EU58" s="90"/>
      <c r="EV58" s="90"/>
      <c r="EW58" s="90"/>
      <c r="EX58" s="90"/>
      <c r="EY58" s="90"/>
      <c r="EZ58" s="90"/>
      <c r="FA58" s="90"/>
      <c r="FB58" s="90"/>
      <c r="FD58" s="90">
        <f t="shared" ca="1" si="63"/>
        <v>2.8600000000000003</v>
      </c>
      <c r="FE58" s="90"/>
      <c r="FF58" s="90"/>
      <c r="FG58" s="90">
        <f t="shared" ca="1" si="64"/>
        <v>0</v>
      </c>
    </row>
    <row r="59" spans="1:163" x14ac:dyDescent="0.25">
      <c r="A59" s="123">
        <v>53</v>
      </c>
      <c r="B59" s="123">
        <f>INDEX(关卡对比!$Y:$Y,MATCH(关卡对比!Z59,关卡对比!$AA:$AA,1))</f>
        <v>37</v>
      </c>
      <c r="C59" s="124">
        <f>INDEX(关卡对比!$Y:$Y,MATCH(关卡对比!Z59,关卡对比!$AB:$AB,1))</f>
        <v>30</v>
      </c>
      <c r="D59" s="125">
        <f t="shared" si="70"/>
        <v>329.5</v>
      </c>
      <c r="E59" s="125">
        <v>3</v>
      </c>
      <c r="F59" s="128">
        <v>5</v>
      </c>
      <c r="G59" s="90">
        <v>1</v>
      </c>
      <c r="H59" s="90">
        <v>1</v>
      </c>
      <c r="J59" s="128">
        <v>53</v>
      </c>
      <c r="K59" s="90">
        <f t="shared" si="77"/>
        <v>5</v>
      </c>
      <c r="L59" s="90">
        <f t="shared" si="78"/>
        <v>1</v>
      </c>
      <c r="M59" s="90">
        <f t="shared" si="79"/>
        <v>1</v>
      </c>
      <c r="N59" s="140">
        <f>INDEX($A:$A,MATCH(SUM($K$7:K59),$D:$D,1))</f>
        <v>47</v>
      </c>
      <c r="O59" s="140">
        <v>0</v>
      </c>
      <c r="P59" s="141">
        <v>0</v>
      </c>
      <c r="Q59" s="126">
        <f>_xlfn.MAXIFS(关卡产出!X:X,关卡产出!$A:$A,玩家节奏1!$N$6,关卡产出!$B:$B,玩家节奏1!$N59)+_xlfn.MAXIFS(关卡产出!X:X,关卡产出!$A:$A,玩家节奏1!$O$6,关卡产出!$B:$B,玩家节奏1!$O59)+_xlfn.MAXIFS(关卡产出!X:X,关卡产出!$A:$A,玩家节奏1!$P$6,关卡产出!$B:$B,玩家节奏1!$P59)</f>
        <v>7900</v>
      </c>
      <c r="R59" s="90">
        <f>_xlfn.MAXIFS(关卡产出!Y:Y,关卡产出!$A:$A,玩家节奏1!$N$6,关卡产出!$B:$B,玩家节奏1!$N59)+_xlfn.MAXIFS(关卡产出!Y:Y,关卡产出!$A:$A,玩家节奏1!$O$6,关卡产出!$B:$B,玩家节奏1!$O59)+_xlfn.MAXIFS(关卡产出!Y:Y,关卡产出!$A:$A,玩家节奏1!$P$6,关卡产出!$B:$B,玩家节奏1!$P59)</f>
        <v>578700</v>
      </c>
      <c r="S59" s="90">
        <f>_xlfn.MAXIFS(关卡产出!Z:Z,关卡产出!$A:$A,玩家节奏1!$N$6,关卡产出!$B:$B,玩家节奏1!$N59)+_xlfn.MAXIFS(关卡产出!Z:Z,关卡产出!$A:$A,玩家节奏1!$O$6,关卡产出!$B:$B,玩家节奏1!$O59)+_xlfn.MAXIFS(关卡产出!Z:Z,关卡产出!$A:$A,玩家节奏1!$P$6,关卡产出!$B:$B,玩家节奏1!$P59)</f>
        <v>4202</v>
      </c>
      <c r="T59" s="90">
        <f>_xlfn.MAXIFS(关卡产出!AA:AA,关卡产出!$A:$A,玩家节奏1!$N$6,关卡产出!$B:$B,玩家节奏1!$N59)+_xlfn.MAXIFS(关卡产出!AA:AA,关卡产出!$A:$A,玩家节奏1!$O$6,关卡产出!$B:$B,玩家节奏1!$O59)+_xlfn.MAXIFS(关卡产出!AA:AA,关卡产出!$A:$A,玩家节奏1!$P$6,关卡产出!$B:$B,玩家节奏1!$P59)</f>
        <v>2102</v>
      </c>
      <c r="U59" s="90">
        <f>_xlfn.MAXIFS(关卡产出!AB:AB,关卡产出!$A:$A,玩家节奏1!$N$6,关卡产出!$B:$B,玩家节奏1!$N59)+_xlfn.MAXIFS(关卡产出!AB:AB,关卡产出!$A:$A,玩家节奏1!$O$6,关卡产出!$B:$B,玩家节奏1!$O59)+_xlfn.MAXIFS(关卡产出!AB:AB,关卡产出!$A:$A,玩家节奏1!$P$6,关卡产出!$B:$B,玩家节奏1!$P59)</f>
        <v>906</v>
      </c>
      <c r="V59" s="130">
        <f>_xlfn.MAXIFS(关卡产出!AC:AC,关卡产出!$A:$A,玩家节奏1!$N$6,关卡产出!$B:$B,玩家节奏1!$N59)+_xlfn.MAXIFS(关卡产出!AC:AC,关卡产出!$A:$A,玩家节奏1!$O$6,关卡产出!$B:$B,玩家节奏1!$O59)+_xlfn.MAXIFS(关卡产出!AC:AC,关卡产出!$A:$A,玩家节奏1!$P$6,关卡产出!$B:$B,玩家节奏1!$P59)</f>
        <v>282</v>
      </c>
      <c r="W59" s="126">
        <f>INDEX(关卡产出!C$8:C$207,MATCH(玩家节奏1!$N59,关卡产出!$B$8:$B$207,0))*$K59</f>
        <v>180</v>
      </c>
      <c r="X59" s="126">
        <f>INDEX(关卡产出!D$8:D$207,MATCH(玩家节奏1!$N59,关卡产出!$B$8:$B$207,0))*$K59</f>
        <v>90</v>
      </c>
      <c r="Y59" s="126">
        <f>INDEX(关卡产出!E$8:E$207,MATCH(玩家节奏1!$N59,关卡产出!$B$8:$B$207,0))*$K59</f>
        <v>40</v>
      </c>
      <c r="Z59" s="144">
        <f>INDEX(关卡产出!F$8:F$207,MATCH(玩家节奏1!$N59,关卡产出!$B$8:$B$207,0))*$K59</f>
        <v>2650</v>
      </c>
      <c r="AA59" s="126">
        <f>SUM(W$7:W59)</f>
        <v>5686</v>
      </c>
      <c r="AB59" s="126">
        <f>SUM(X$7:X59)</f>
        <v>2771</v>
      </c>
      <c r="AC59" s="126">
        <f>SUM(Y$7:Y59)</f>
        <v>1202</v>
      </c>
      <c r="AD59" s="126">
        <f>SUM(Z$7:Z59)</f>
        <v>91910</v>
      </c>
      <c r="AE59" s="126">
        <f>INDEX(图鉴!AQ:AQ,MATCH($N59,图鉴!$S:$S,0))*8</f>
        <v>152</v>
      </c>
      <c r="AF59" s="90">
        <f>INDEX(图鉴!AR:AR,MATCH($N59,图鉴!$S:$S,0))*8</f>
        <v>80</v>
      </c>
      <c r="AG59" s="90">
        <f>INDEX(图鉴!AS:AS,MATCH($N59,图鉴!$S:$S,0))*8</f>
        <v>32</v>
      </c>
      <c r="AH59" s="129">
        <f ca="1">INDEX(图鉴!AT:AT,MATCH($N59,图鉴!$S:$S,0))*8</f>
        <v>6080</v>
      </c>
      <c r="AI59" s="128">
        <f>SUM($AE$7:AE59)</f>
        <v>6672</v>
      </c>
      <c r="AJ59" s="90">
        <f>SUM(AF$7:AF59)</f>
        <v>2984</v>
      </c>
      <c r="AK59" s="90">
        <f>SUM(AG$7:AG59)</f>
        <v>896</v>
      </c>
      <c r="AL59" s="130">
        <f ca="1">SUM(AH$7:AH59)</f>
        <v>228120</v>
      </c>
      <c r="AM59" s="133">
        <f>IF(M59=0,0,INDEX(关卡产出!$AU$11:$AU$15,MATCH(玩家节奏1!N59,关卡产出!$AW$11:$AW$15,1))*M59)</f>
        <v>8500</v>
      </c>
      <c r="AN59" s="126">
        <f>IF(L59=0,0,$L59*关卡产出!AU$21)</f>
        <v>1000</v>
      </c>
      <c r="AO59" s="90">
        <f>IF(M59=0,0,$L59*关卡产出!AV$21)</f>
        <v>50</v>
      </c>
      <c r="AP59" s="129">
        <f>IF(N59=0,0,$L59*关卡产出!AW$21)</f>
        <v>1</v>
      </c>
      <c r="AQ59" s="138">
        <f>SUM(AN$7:AN59)</f>
        <v>36000</v>
      </c>
      <c r="AR59" s="126">
        <f>SUM(AO$7:AO59)</f>
        <v>1800</v>
      </c>
      <c r="AS59" s="129">
        <f>SUM(AP$7:AP59)</f>
        <v>36</v>
      </c>
      <c r="AT59" s="128">
        <v>500</v>
      </c>
      <c r="AU59" s="129">
        <v>100</v>
      </c>
      <c r="AV59" s="128">
        <f>SUM(AT$7:AT59)</f>
        <v>26500</v>
      </c>
      <c r="AW59" s="90">
        <f>SUM(AU$7:AU59)</f>
        <v>5300</v>
      </c>
      <c r="AY59" s="128">
        <f t="shared" si="13"/>
        <v>7900</v>
      </c>
      <c r="AZ59" s="90">
        <f t="shared" si="14"/>
        <v>1800</v>
      </c>
      <c r="BA59" s="90">
        <f t="shared" si="15"/>
        <v>5300</v>
      </c>
      <c r="BB59" s="90">
        <f t="shared" ca="1" si="65"/>
        <v>1700</v>
      </c>
      <c r="BC59" s="90">
        <f t="shared" ca="1" si="68"/>
        <v>16700</v>
      </c>
      <c r="BD59" s="90"/>
      <c r="BE59" s="90">
        <f t="shared" ca="1" si="17"/>
        <v>16700</v>
      </c>
      <c r="BF59" s="142">
        <f t="shared" ca="1" si="18"/>
        <v>0.47305389221556887</v>
      </c>
      <c r="BG59" s="142">
        <f t="shared" ca="1" si="19"/>
        <v>0.10778443113772455</v>
      </c>
      <c r="BH59" s="142">
        <f t="shared" ca="1" si="80"/>
        <v>0.31736526946107785</v>
      </c>
      <c r="BI59" s="142">
        <f t="shared" ca="1" si="81"/>
        <v>0.10179640718562874</v>
      </c>
      <c r="BJ59" s="143"/>
      <c r="BK59" s="128">
        <f ca="1">INDEX(商城宝箱!$L:$L,MATCH(BC59,商城宝箱!$N:$N,1))</f>
        <v>6</v>
      </c>
      <c r="BL59" s="90">
        <f ca="1">_xlfn.IFNA(INDEX(商城宝箱!T:T,MATCH(玩家节奏1!$BK59,商城宝箱!$L:$L,0)),0)+($BC59-INDEX(商城宝箱!$N:$N,MATCH(玩家节奏1!$BK59,商城宝箱!$L:$L,0)))/$BK$5*INDEX(商城宝箱!E$23:E$42,MATCH(玩家节奏1!$BK59+1,商城宝箱!$C$23:$C$42,0))</f>
        <v>41750</v>
      </c>
      <c r="BM59" s="90">
        <f ca="1">_xlfn.IFNA(INDEX(商城宝箱!U:U,MATCH(玩家节奏1!$BK59,商城宝箱!$L:$L,0)),0)+($BC59-INDEX(商城宝箱!$N:$N,MATCH(玩家节奏1!$BK59,商城宝箱!$L:$L,0)))/$BK$5*INDEX(商城宝箱!F$23:F$42,MATCH(玩家节奏1!$BK59+1,商城宝箱!$C$23:$C$42,0))</f>
        <v>12092.5</v>
      </c>
      <c r="BN59" s="90">
        <f ca="1">_xlfn.IFNA(INDEX(商城宝箱!V:V,MATCH(玩家节奏1!$BK59,商城宝箱!$L:$L,0)),0)+($BC59-INDEX(商城宝箱!$N:$N,MATCH(玩家节奏1!$BK59,商城宝箱!$L:$L,0)))/$BK$5*INDEX(商城宝箱!G$23:G$42,MATCH(玩家节奏1!$BK59+1,商城宝箱!$C$23:$C$42,0))</f>
        <v>6297</v>
      </c>
      <c r="BO59" s="90">
        <f ca="1">_xlfn.IFNA(INDEX(商城宝箱!W:W,MATCH(玩家节奏1!$BK59,商城宝箱!$L:$L,0)),0)+($BC59-INDEX(商城宝箱!$N:$N,MATCH(玩家节奏1!$BK59,商城宝箱!$L:$L,0)))/$BK$5*INDEX(商城宝箱!H$23:H$42,MATCH(玩家节奏1!$BK59+1,商城宝箱!$C$23:$C$42,0))</f>
        <v>865.5</v>
      </c>
      <c r="BQ59" s="128">
        <f t="shared" si="71"/>
        <v>578700</v>
      </c>
      <c r="BR59" s="90">
        <f t="shared" si="72"/>
        <v>91910</v>
      </c>
      <c r="BS59" s="90">
        <f t="shared" ca="1" si="73"/>
        <v>228120</v>
      </c>
      <c r="BT59" s="90">
        <f t="shared" si="74"/>
        <v>8500</v>
      </c>
      <c r="BU59" s="90">
        <f t="shared" si="75"/>
        <v>36000</v>
      </c>
      <c r="BV59" s="90">
        <f t="shared" si="76"/>
        <v>26500</v>
      </c>
      <c r="BW59" s="90">
        <f t="shared" ca="1" si="22"/>
        <v>41750</v>
      </c>
      <c r="BX59" s="90">
        <f t="shared" ca="1" si="23"/>
        <v>1011480</v>
      </c>
      <c r="BY59" s="142">
        <f t="shared" ca="1" si="24"/>
        <v>0.57213192549531378</v>
      </c>
      <c r="BZ59" s="142">
        <f t="shared" ca="1" si="25"/>
        <v>9.0866848578320877E-2</v>
      </c>
      <c r="CA59" s="142">
        <f t="shared" ca="1" si="26"/>
        <v>0.22553090520820976</v>
      </c>
      <c r="CB59" s="142">
        <f t="shared" ca="1" si="27"/>
        <v>8.4035275042511955E-3</v>
      </c>
      <c r="CC59" s="142">
        <f t="shared" ca="1" si="28"/>
        <v>3.559141060624036E-2</v>
      </c>
      <c r="CD59" s="142">
        <f t="shared" ca="1" si="29"/>
        <v>2.6199232807371377E-2</v>
      </c>
      <c r="CE59" s="142">
        <f t="shared" ca="1" si="30"/>
        <v>4.1276149800292643E-2</v>
      </c>
      <c r="CG59" s="128">
        <f t="shared" si="31"/>
        <v>47</v>
      </c>
      <c r="CH59" s="90">
        <f ca="1">INDEX(角色升级!$A:$A,MATCH(玩家节奏1!$BX59,角色升级!$J:$J,1))</f>
        <v>306</v>
      </c>
      <c r="CI59" s="90">
        <f ca="1">INDEX(角色升级!$O:$O,MATCH(玩家节奏1!$BX59,角色升级!$J:$J,1))</f>
        <v>7093.4130750000004</v>
      </c>
      <c r="CJ59" s="90">
        <f>INDEX(关卡对比!$J:$J,MATCH(玩家节奏1!N59,关卡对比!$A:$A,0))</f>
        <v>9700</v>
      </c>
      <c r="CK59" s="147">
        <f t="shared" ca="1" si="32"/>
        <v>1.3674658302625353</v>
      </c>
      <c r="CL59" s="128">
        <f ca="1">INDEX(角色升级!$P:$P,MATCH(玩家节奏1!$CH59,角色升级!$A:$A,0))</f>
        <v>1700</v>
      </c>
      <c r="CM59" s="90">
        <f ca="1">INDEX(角色升级!Q:Q,MATCH(玩家节奏1!$CH59,角色升级!$A:$A,0))</f>
        <v>0.3</v>
      </c>
      <c r="CO59" s="128">
        <f t="shared" si="33"/>
        <v>4202</v>
      </c>
      <c r="CP59" s="90">
        <f t="shared" si="34"/>
        <v>5686</v>
      </c>
      <c r="CQ59" s="90">
        <f t="shared" si="35"/>
        <v>6672</v>
      </c>
      <c r="CR59" s="90">
        <f t="shared" ca="1" si="36"/>
        <v>12092.5</v>
      </c>
      <c r="CS59" s="90">
        <f t="shared" ca="1" si="37"/>
        <v>28652.5</v>
      </c>
      <c r="CT59" s="142">
        <f t="shared" ca="1" si="38"/>
        <v>0.14665386964488264</v>
      </c>
      <c r="CU59" s="142">
        <f t="shared" ca="1" si="39"/>
        <v>0.19844690690166653</v>
      </c>
      <c r="CV59" s="142">
        <f t="shared" ca="1" si="40"/>
        <v>0.23285926184451619</v>
      </c>
      <c r="CW59" s="142">
        <f t="shared" ca="1" si="41"/>
        <v>0.42203996160893464</v>
      </c>
      <c r="CY59" s="128">
        <f t="shared" si="42"/>
        <v>2102</v>
      </c>
      <c r="CZ59" s="90">
        <f t="shared" si="43"/>
        <v>2771</v>
      </c>
      <c r="DA59" s="90">
        <f t="shared" si="44"/>
        <v>2984</v>
      </c>
      <c r="DB59" s="90">
        <f t="shared" ca="1" si="66"/>
        <v>6297</v>
      </c>
      <c r="DC59" s="90">
        <f t="shared" ca="1" si="45"/>
        <v>14154</v>
      </c>
      <c r="DD59" s="142">
        <f t="shared" ca="1" si="46"/>
        <v>0.14850925533418116</v>
      </c>
      <c r="DE59" s="142">
        <f t="shared" ca="1" si="47"/>
        <v>0.19577504592341388</v>
      </c>
      <c r="DF59" s="142">
        <f t="shared" ca="1" si="48"/>
        <v>0.21082379539352833</v>
      </c>
      <c r="DG59" s="142">
        <f t="shared" ca="1" si="49"/>
        <v>0.44489190334887663</v>
      </c>
      <c r="DI59" s="128">
        <f t="shared" si="50"/>
        <v>906</v>
      </c>
      <c r="DJ59" s="90">
        <f t="shared" si="51"/>
        <v>1202</v>
      </c>
      <c r="DK59" s="90">
        <f t="shared" si="52"/>
        <v>896</v>
      </c>
      <c r="DL59" s="90">
        <f t="shared" ca="1" si="53"/>
        <v>865.5</v>
      </c>
      <c r="DM59" s="90">
        <f t="shared" ca="1" si="54"/>
        <v>3869.5</v>
      </c>
      <c r="DN59" s="142">
        <f t="shared" ca="1" si="55"/>
        <v>0.23413877761984753</v>
      </c>
      <c r="DO59" s="142">
        <f t="shared" ca="1" si="56"/>
        <v>0.31063444889520608</v>
      </c>
      <c r="DP59" s="142">
        <f t="shared" ca="1" si="57"/>
        <v>0.2315544644010854</v>
      </c>
      <c r="DQ59" s="142">
        <f t="shared" ca="1" si="58"/>
        <v>0.22367230908386096</v>
      </c>
      <c r="DS59" s="128">
        <f t="shared" ca="1" si="59"/>
        <v>28652.5</v>
      </c>
      <c r="DT59" s="90">
        <f t="shared" ca="1" si="60"/>
        <v>14154</v>
      </c>
      <c r="DU59" s="90">
        <f t="shared" ca="1" si="61"/>
        <v>3869.5</v>
      </c>
      <c r="DV59" s="90">
        <f t="shared" si="62"/>
        <v>36</v>
      </c>
      <c r="DW59" s="90">
        <f ca="1">_xlfn.IFNA(INDEX(武器升级消耗!$H:$H,MATCH(玩家节奏1!DS59/玩家节奏1!DS$5,武器升级消耗!M:M,1)),0)</f>
        <v>17</v>
      </c>
      <c r="DX59" s="90">
        <f ca="1">_xlfn.IFNA(INDEX(武器升级消耗!$H:$H,MATCH(玩家节奏1!DT59/玩家节奏1!DT$5,武器升级消耗!N:N,1)),0)</f>
        <v>14</v>
      </c>
      <c r="DY59" s="90">
        <f ca="1">_xlfn.IFNA(INDEX(武器升级消耗!$H:$H,MATCH(玩家节奏1!DU59/玩家节奏1!DU$5,武器升级消耗!O:O,1)),0)</f>
        <v>9</v>
      </c>
      <c r="DZ59" s="90">
        <f>_xlfn.IFNA(INDEX(武器升级消耗!$H:$H,MATCH(玩家节奏1!DV59/玩家节奏1!DV$5,武器升级消耗!P:P,1)),0)</f>
        <v>6</v>
      </c>
      <c r="EA59" s="90">
        <f ca="1">_xlfn.IFNA(INDEX(武器升级消耗!$Q:$Q,MATCH(玩家节奏1!DW59,武器升级消耗!$H:$H,0))*2*EA$4,0)</f>
        <v>2.52</v>
      </c>
      <c r="EB59" s="90">
        <f ca="1">_xlfn.IFNA(INDEX(武器升级消耗!$Q:$Q,MATCH(玩家节奏1!DX59,武器升级消耗!$H:$H,0))*2*EB$4,0)</f>
        <v>2.7</v>
      </c>
      <c r="EC59" s="90">
        <f ca="1">_xlfn.IFNA(INDEX(武器升级消耗!$Q:$Q,MATCH(玩家节奏1!DY59,武器升级消耗!$H:$H,0))*2*EC$4,1)</f>
        <v>2.8600000000000003</v>
      </c>
      <c r="ED59" s="90">
        <f>_xlfn.IFNA(INDEX(武器升级消耗!$Q:$Q,MATCH(玩家节奏1!DZ59,武器升级消耗!$H:$H,0))*2*ED$4,0)</f>
        <v>3</v>
      </c>
      <c r="EF59" s="128"/>
      <c r="EG59" s="90"/>
      <c r="EH59" s="90"/>
      <c r="EI59" s="90"/>
      <c r="EJ59" s="90"/>
      <c r="EK59" s="90"/>
      <c r="EL59" s="90"/>
      <c r="EM59" s="90"/>
      <c r="EO59" s="128"/>
      <c r="EP59" s="90"/>
      <c r="EQ59" s="90"/>
      <c r="ER59" s="90"/>
      <c r="ES59" s="90"/>
      <c r="ET59" s="90"/>
      <c r="EU59" s="90"/>
      <c r="EV59" s="90"/>
      <c r="EW59" s="90"/>
      <c r="EX59" s="90"/>
      <c r="EY59" s="90"/>
      <c r="EZ59" s="90"/>
      <c r="FA59" s="90"/>
      <c r="FB59" s="90"/>
      <c r="FD59" s="90">
        <f t="shared" ca="1" si="63"/>
        <v>2.8600000000000003</v>
      </c>
      <c r="FE59" s="90"/>
      <c r="FF59" s="90"/>
      <c r="FG59" s="90">
        <f t="shared" ca="1" si="64"/>
        <v>0</v>
      </c>
    </row>
    <row r="60" spans="1:163" x14ac:dyDescent="0.25">
      <c r="A60" s="123">
        <v>54</v>
      </c>
      <c r="B60" s="123">
        <f>INDEX(关卡对比!$Y:$Y,MATCH(关卡对比!Z60,关卡对比!$AA:$AA,1))</f>
        <v>38</v>
      </c>
      <c r="C60" s="124">
        <f>INDEX(关卡对比!$Y:$Y,MATCH(关卡对比!Z60,关卡对比!$AB:$AB,1))</f>
        <v>31</v>
      </c>
      <c r="D60" s="125">
        <f t="shared" si="70"/>
        <v>338.5</v>
      </c>
      <c r="E60" s="125">
        <v>3</v>
      </c>
      <c r="F60" s="128">
        <v>5</v>
      </c>
      <c r="G60" s="90">
        <v>1</v>
      </c>
      <c r="H60" s="90">
        <v>1</v>
      </c>
      <c r="J60" s="128">
        <v>54</v>
      </c>
      <c r="K60" s="90">
        <f t="shared" si="77"/>
        <v>5</v>
      </c>
      <c r="L60" s="90">
        <f t="shared" si="78"/>
        <v>1</v>
      </c>
      <c r="M60" s="90">
        <f t="shared" si="79"/>
        <v>1</v>
      </c>
      <c r="N60" s="140">
        <f>INDEX($A:$A,MATCH(SUM($K$7:K60),$D:$D,1))</f>
        <v>48</v>
      </c>
      <c r="O60" s="140">
        <v>0</v>
      </c>
      <c r="P60" s="141">
        <v>0</v>
      </c>
      <c r="Q60" s="126">
        <f>_xlfn.MAXIFS(关卡产出!X:X,关卡产出!$A:$A,玩家节奏1!$N$6,关卡产出!$B:$B,玩家节奏1!$N60)+_xlfn.MAXIFS(关卡产出!X:X,关卡产出!$A:$A,玩家节奏1!$O$6,关卡产出!$B:$B,玩家节奏1!$O60)+_xlfn.MAXIFS(关卡产出!X:X,关卡产出!$A:$A,玩家节奏1!$P$6,关卡产出!$B:$B,玩家节奏1!$P60)</f>
        <v>8100</v>
      </c>
      <c r="R60" s="90">
        <f>_xlfn.MAXIFS(关卡产出!Y:Y,关卡产出!$A:$A,玩家节奏1!$N$6,关卡产出!$B:$B,玩家节奏1!$N60)+_xlfn.MAXIFS(关卡产出!Y:Y,关卡产出!$A:$A,玩家节奏1!$O$6,关卡产出!$B:$B,玩家节奏1!$O60)+_xlfn.MAXIFS(关卡产出!Y:Y,关卡产出!$A:$A,玩家节奏1!$P$6,关卡产出!$B:$B,玩家节奏1!$P60)</f>
        <v>605200</v>
      </c>
      <c r="S60" s="90">
        <f>_xlfn.MAXIFS(关卡产出!Z:Z,关卡产出!$A:$A,玩家节奏1!$N$6,关卡产出!$B:$B,玩家节奏1!$N60)+_xlfn.MAXIFS(关卡产出!Z:Z,关卡产出!$A:$A,玩家节奏1!$O$6,关卡产出!$B:$B,玩家节奏1!$O60)+_xlfn.MAXIFS(关卡产出!Z:Z,关卡产出!$A:$A,玩家节奏1!$P$6,关卡产出!$B:$B,玩家节奏1!$P60)</f>
        <v>4386</v>
      </c>
      <c r="T60" s="90">
        <f>_xlfn.MAXIFS(关卡产出!AA:AA,关卡产出!$A:$A,玩家节奏1!$N$6,关卡产出!$B:$B,玩家节奏1!$N60)+_xlfn.MAXIFS(关卡产出!AA:AA,关卡产出!$A:$A,玩家节奏1!$O$6,关卡产出!$B:$B,玩家节奏1!$O60)+_xlfn.MAXIFS(关卡产出!AA:AA,关卡产出!$A:$A,玩家节奏1!$P$6,关卡产出!$B:$B,玩家节奏1!$P60)</f>
        <v>2194</v>
      </c>
      <c r="U60" s="90">
        <f>_xlfn.MAXIFS(关卡产出!AB:AB,关卡产出!$A:$A,玩家节奏1!$N$6,关卡产出!$B:$B,玩家节奏1!$N60)+_xlfn.MAXIFS(关卡产出!AB:AB,关卡产出!$A:$A,玩家节奏1!$O$6,关卡产出!$B:$B,玩家节奏1!$O60)+_xlfn.MAXIFS(关卡产出!AB:AB,关卡产出!$A:$A,玩家节奏1!$P$6,关卡产出!$B:$B,玩家节奏1!$P60)</f>
        <v>949</v>
      </c>
      <c r="V60" s="130">
        <f>_xlfn.MAXIFS(关卡产出!AC:AC,关卡产出!$A:$A,玩家节奏1!$N$6,关卡产出!$B:$B,玩家节奏1!$N60)+_xlfn.MAXIFS(关卡产出!AC:AC,关卡产出!$A:$A,玩家节奏1!$O$6,关卡产出!$B:$B,玩家节奏1!$O60)+_xlfn.MAXIFS(关卡产出!AC:AC,关卡产出!$A:$A,玩家节奏1!$P$6,关卡产出!$B:$B,玩家节奏1!$P60)</f>
        <v>288</v>
      </c>
      <c r="W60" s="126">
        <f>INDEX(关卡产出!C$8:C$207,MATCH(玩家节奏1!$N60,关卡产出!$B$8:$B$207,0))*$K60</f>
        <v>185</v>
      </c>
      <c r="X60" s="126">
        <f>INDEX(关卡产出!D$8:D$207,MATCH(玩家节奏1!$N60,关卡产出!$B$8:$B$207,0))*$K60</f>
        <v>90</v>
      </c>
      <c r="Y60" s="126">
        <f>INDEX(关卡产出!E$8:E$207,MATCH(玩家节奏1!$N60,关卡产出!$B$8:$B$207,0))*$K60</f>
        <v>45</v>
      </c>
      <c r="Z60" s="144">
        <f>INDEX(关卡产出!F$8:F$207,MATCH(玩家节奏1!$N60,关卡产出!$B$8:$B$207,0))*$K60</f>
        <v>2650</v>
      </c>
      <c r="AA60" s="126">
        <f>SUM(W$7:W60)</f>
        <v>5871</v>
      </c>
      <c r="AB60" s="126">
        <f>SUM(X$7:X60)</f>
        <v>2861</v>
      </c>
      <c r="AC60" s="126">
        <f>SUM(Y$7:Y60)</f>
        <v>1247</v>
      </c>
      <c r="AD60" s="126">
        <f>SUM(Z$7:Z60)</f>
        <v>94560</v>
      </c>
      <c r="AE60" s="126">
        <f>INDEX(图鉴!AQ:AQ,MATCH($N60,图鉴!$S:$S,0))*8</f>
        <v>152</v>
      </c>
      <c r="AF60" s="90">
        <f>INDEX(图鉴!AR:AR,MATCH($N60,图鉴!$S:$S,0))*8</f>
        <v>80</v>
      </c>
      <c r="AG60" s="90">
        <f>INDEX(图鉴!AS:AS,MATCH($N60,图鉴!$S:$S,0))*8</f>
        <v>32</v>
      </c>
      <c r="AH60" s="129">
        <f ca="1">INDEX(图鉴!AT:AT,MATCH($N60,图鉴!$S:$S,0))*8</f>
        <v>6080</v>
      </c>
      <c r="AI60" s="128">
        <f>SUM($AE$7:AE60)</f>
        <v>6824</v>
      </c>
      <c r="AJ60" s="90">
        <f>SUM(AF$7:AF60)</f>
        <v>3064</v>
      </c>
      <c r="AK60" s="90">
        <f>SUM(AG$7:AG60)</f>
        <v>928</v>
      </c>
      <c r="AL60" s="130">
        <f ca="1">SUM(AH$7:AH60)</f>
        <v>234200</v>
      </c>
      <c r="AM60" s="133">
        <f>IF(M60=0,0,INDEX(关卡产出!$AU$11:$AU$15,MATCH(玩家节奏1!N60,关卡产出!$AW$11:$AW$15,1))*M60)</f>
        <v>8500</v>
      </c>
      <c r="AN60" s="126">
        <f>IF(L60=0,0,$L60*关卡产出!AU$21)</f>
        <v>1000</v>
      </c>
      <c r="AO60" s="90">
        <f>IF(M60=0,0,$L60*关卡产出!AV$21)</f>
        <v>50</v>
      </c>
      <c r="AP60" s="129">
        <f>IF(N60=0,0,$L60*关卡产出!AW$21)</f>
        <v>1</v>
      </c>
      <c r="AQ60" s="138">
        <f>SUM(AN$7:AN60)</f>
        <v>37000</v>
      </c>
      <c r="AR60" s="126">
        <f>SUM(AO$7:AO60)</f>
        <v>1850</v>
      </c>
      <c r="AS60" s="129">
        <f>SUM(AP$7:AP60)</f>
        <v>37</v>
      </c>
      <c r="AT60" s="128">
        <v>500</v>
      </c>
      <c r="AU60" s="129">
        <v>100</v>
      </c>
      <c r="AV60" s="128">
        <f>SUM(AT$7:AT60)</f>
        <v>27000</v>
      </c>
      <c r="AW60" s="90">
        <f>SUM(AU$7:AU60)</f>
        <v>5400</v>
      </c>
      <c r="AY60" s="128">
        <f t="shared" si="13"/>
        <v>8100</v>
      </c>
      <c r="AZ60" s="90">
        <f t="shared" si="14"/>
        <v>1850</v>
      </c>
      <c r="BA60" s="90">
        <f t="shared" si="15"/>
        <v>5400</v>
      </c>
      <c r="BB60" s="90">
        <f t="shared" ca="1" si="65"/>
        <v>1700</v>
      </c>
      <c r="BC60" s="90">
        <f t="shared" ca="1" si="68"/>
        <v>17050</v>
      </c>
      <c r="BD60" s="90"/>
      <c r="BE60" s="90">
        <f t="shared" ca="1" si="17"/>
        <v>17050</v>
      </c>
      <c r="BF60" s="142">
        <f t="shared" ca="1" si="18"/>
        <v>0.47507331378299122</v>
      </c>
      <c r="BG60" s="142">
        <f t="shared" ca="1" si="19"/>
        <v>0.10850439882697947</v>
      </c>
      <c r="BH60" s="142">
        <f t="shared" ca="1" si="80"/>
        <v>0.31671554252199413</v>
      </c>
      <c r="BI60" s="142">
        <f t="shared" ca="1" si="81"/>
        <v>9.9706744868035185E-2</v>
      </c>
      <c r="BJ60" s="143"/>
      <c r="BK60" s="128">
        <f ca="1">INDEX(商城宝箱!$L:$L,MATCH(BC60,商城宝箱!$N:$N,1))</f>
        <v>6</v>
      </c>
      <c r="BL60" s="90">
        <f ca="1">_xlfn.IFNA(INDEX(商城宝箱!T:T,MATCH(玩家节奏1!$BK60,商城宝箱!$L:$L,0)),0)+($BC60-INDEX(商城宝箱!$N:$N,MATCH(玩家节奏1!$BK60,商城宝箱!$L:$L,0)))/$BK$5*INDEX(商城宝箱!E$23:E$42,MATCH(玩家节奏1!$BK60+1,商城宝箱!$C$23:$C$42,0))</f>
        <v>42625</v>
      </c>
      <c r="BM60" s="90">
        <f ca="1">_xlfn.IFNA(INDEX(商城宝箱!U:U,MATCH(玩家节奏1!$BK60,商城宝箱!$L:$L,0)),0)+($BC60-INDEX(商城宝箱!$N:$N,MATCH(玩家节奏1!$BK60,商城宝箱!$L:$L,0)))/$BK$5*INDEX(商城宝箱!F$23:F$42,MATCH(玩家节奏1!$BK60+1,商城宝箱!$C$23:$C$42,0))</f>
        <v>12547.5</v>
      </c>
      <c r="BN60" s="90">
        <f ca="1">_xlfn.IFNA(INDEX(商城宝箱!V:V,MATCH(玩家节奏1!$BK60,商城宝箱!$L:$L,0)),0)+($BC60-INDEX(商城宝箱!$N:$N,MATCH(玩家节奏1!$BK60,商城宝箱!$L:$L,0)))/$BK$5*INDEX(商城宝箱!G$23:G$42,MATCH(玩家节奏1!$BK60+1,商城宝箱!$C$23:$C$42,0))</f>
        <v>6594.5</v>
      </c>
      <c r="BO60" s="90">
        <f ca="1">_xlfn.IFNA(INDEX(商城宝箱!W:W,MATCH(玩家节奏1!$BK60,商城宝箱!$L:$L,0)),0)+($BC60-INDEX(商城宝箱!$N:$N,MATCH(玩家节奏1!$BK60,商城宝箱!$L:$L,0)))/$BK$5*INDEX(商城宝箱!H$23:H$42,MATCH(玩家节奏1!$BK60+1,商城宝箱!$C$23:$C$42,0))</f>
        <v>905.75</v>
      </c>
      <c r="BQ60" s="128">
        <f t="shared" si="71"/>
        <v>605200</v>
      </c>
      <c r="BR60" s="90">
        <f t="shared" si="72"/>
        <v>94560</v>
      </c>
      <c r="BS60" s="90">
        <f t="shared" ca="1" si="73"/>
        <v>234200</v>
      </c>
      <c r="BT60" s="90">
        <f t="shared" si="74"/>
        <v>8500</v>
      </c>
      <c r="BU60" s="90">
        <f t="shared" si="75"/>
        <v>37000</v>
      </c>
      <c r="BV60" s="90">
        <f t="shared" si="76"/>
        <v>27000</v>
      </c>
      <c r="BW60" s="90">
        <f t="shared" ca="1" si="22"/>
        <v>42625</v>
      </c>
      <c r="BX60" s="90">
        <f t="shared" ca="1" si="23"/>
        <v>1049085</v>
      </c>
      <c r="BY60" s="142">
        <f t="shared" ca="1" si="24"/>
        <v>0.57688366528927593</v>
      </c>
      <c r="BZ60" s="142">
        <f t="shared" ca="1" si="25"/>
        <v>9.0135689672428826E-2</v>
      </c>
      <c r="CA60" s="142">
        <f t="shared" ca="1" si="26"/>
        <v>0.22324215864300795</v>
      </c>
      <c r="CB60" s="142">
        <f t="shared" ca="1" si="27"/>
        <v>8.1022986697932009E-3</v>
      </c>
      <c r="CC60" s="142">
        <f t="shared" ca="1" si="28"/>
        <v>3.52688295038057E-2</v>
      </c>
      <c r="CD60" s="142">
        <f t="shared" ca="1" si="29"/>
        <v>2.5736713421696051E-2</v>
      </c>
      <c r="CE60" s="142">
        <f t="shared" ca="1" si="30"/>
        <v>4.0630644799992371E-2</v>
      </c>
      <c r="CG60" s="128">
        <f t="shared" si="31"/>
        <v>48</v>
      </c>
      <c r="CH60" s="90">
        <f ca="1">INDEX(角色升级!$A:$A,MATCH(玩家节奏1!$BX60,角色升级!$J:$J,1))</f>
        <v>310</v>
      </c>
      <c r="CI60" s="90">
        <f ca="1">INDEX(角色升级!$O:$O,MATCH(玩家节奏1!$BX60,角色升级!$J:$J,1))</f>
        <v>7600.9092950000013</v>
      </c>
      <c r="CJ60" s="90">
        <f>INDEX(关卡对比!$J:$J,MATCH(玩家节奏1!N60,关卡对比!$A:$A,0))</f>
        <v>10200</v>
      </c>
      <c r="CK60" s="147">
        <f t="shared" ca="1" si="32"/>
        <v>1.3419447074193771</v>
      </c>
      <c r="CL60" s="128">
        <f ca="1">INDEX(角色升级!$P:$P,MATCH(玩家节奏1!$CH60,角色升级!$A:$A,0))</f>
        <v>2150</v>
      </c>
      <c r="CM60" s="90">
        <f ca="1">INDEX(角色升级!Q:Q,MATCH(玩家节奏1!$CH60,角色升级!$A:$A,0))</f>
        <v>0.3</v>
      </c>
      <c r="CO60" s="128">
        <f t="shared" si="33"/>
        <v>4386</v>
      </c>
      <c r="CP60" s="90">
        <f t="shared" si="34"/>
        <v>5871</v>
      </c>
      <c r="CQ60" s="90">
        <f t="shared" si="35"/>
        <v>6824</v>
      </c>
      <c r="CR60" s="90">
        <f t="shared" ca="1" si="36"/>
        <v>12547.5</v>
      </c>
      <c r="CS60" s="90">
        <f t="shared" ca="1" si="37"/>
        <v>29628.5</v>
      </c>
      <c r="CT60" s="142">
        <f t="shared" ca="1" si="38"/>
        <v>0.14803314376360599</v>
      </c>
      <c r="CU60" s="142">
        <f t="shared" ca="1" si="39"/>
        <v>0.19815380461380089</v>
      </c>
      <c r="CV60" s="142">
        <f t="shared" ca="1" si="40"/>
        <v>0.23031878090352195</v>
      </c>
      <c r="CW60" s="142">
        <f t="shared" ca="1" si="41"/>
        <v>0.42349427071907114</v>
      </c>
      <c r="CY60" s="128">
        <f t="shared" si="42"/>
        <v>2194</v>
      </c>
      <c r="CZ60" s="90">
        <f t="shared" si="43"/>
        <v>2861</v>
      </c>
      <c r="DA60" s="90">
        <f t="shared" si="44"/>
        <v>3064</v>
      </c>
      <c r="DB60" s="90">
        <f t="shared" ca="1" si="66"/>
        <v>6594.5</v>
      </c>
      <c r="DC60" s="90">
        <f t="shared" ca="1" si="45"/>
        <v>14713.5</v>
      </c>
      <c r="DD60" s="142">
        <f t="shared" ca="1" si="46"/>
        <v>0.14911475855506848</v>
      </c>
      <c r="DE60" s="142">
        <f t="shared" ca="1" si="47"/>
        <v>0.19444727631087097</v>
      </c>
      <c r="DF60" s="142">
        <f t="shared" ca="1" si="48"/>
        <v>0.20824412954089783</v>
      </c>
      <c r="DG60" s="142">
        <f t="shared" ca="1" si="49"/>
        <v>0.44819383559316273</v>
      </c>
      <c r="DI60" s="128">
        <f t="shared" si="50"/>
        <v>949</v>
      </c>
      <c r="DJ60" s="90">
        <f t="shared" si="51"/>
        <v>1247</v>
      </c>
      <c r="DK60" s="90">
        <f t="shared" si="52"/>
        <v>928</v>
      </c>
      <c r="DL60" s="90">
        <f t="shared" ca="1" si="53"/>
        <v>905.75</v>
      </c>
      <c r="DM60" s="90">
        <f t="shared" ca="1" si="54"/>
        <v>4029.75</v>
      </c>
      <c r="DN60" s="142">
        <f t="shared" ca="1" si="55"/>
        <v>0.23549848005459395</v>
      </c>
      <c r="DO60" s="142">
        <f t="shared" ca="1" si="56"/>
        <v>0.30944847695266453</v>
      </c>
      <c r="DP60" s="142">
        <f t="shared" ca="1" si="57"/>
        <v>0.23028723866244805</v>
      </c>
      <c r="DQ60" s="142">
        <f t="shared" ca="1" si="58"/>
        <v>0.22476580433029344</v>
      </c>
      <c r="DS60" s="128">
        <f t="shared" ca="1" si="59"/>
        <v>29628.5</v>
      </c>
      <c r="DT60" s="90">
        <f t="shared" ca="1" si="60"/>
        <v>14713.5</v>
      </c>
      <c r="DU60" s="90">
        <f t="shared" ca="1" si="61"/>
        <v>4029.75</v>
      </c>
      <c r="DV60" s="90">
        <f t="shared" si="62"/>
        <v>37</v>
      </c>
      <c r="DW60" s="90">
        <f ca="1">_xlfn.IFNA(INDEX(武器升级消耗!$H:$H,MATCH(玩家节奏1!DS60/玩家节奏1!DS$5,武器升级消耗!M:M,1)),0)</f>
        <v>17</v>
      </c>
      <c r="DX60" s="90">
        <f ca="1">_xlfn.IFNA(INDEX(武器升级消耗!$H:$H,MATCH(玩家节奏1!DT60/玩家节奏1!DT$5,武器升级消耗!N:N,1)),0)</f>
        <v>14</v>
      </c>
      <c r="DY60" s="90">
        <f ca="1">_xlfn.IFNA(INDEX(武器升级消耗!$H:$H,MATCH(玩家节奏1!DU60/玩家节奏1!DU$5,武器升级消耗!O:O,1)),0)</f>
        <v>9</v>
      </c>
      <c r="DZ60" s="90">
        <f>_xlfn.IFNA(INDEX(武器升级消耗!$H:$H,MATCH(玩家节奏1!DV60/玩家节奏1!DV$5,武器升级消耗!P:P,1)),0)</f>
        <v>6</v>
      </c>
      <c r="EA60" s="90">
        <f ca="1">_xlfn.IFNA(INDEX(武器升级消耗!$Q:$Q,MATCH(玩家节奏1!DW60,武器升级消耗!$H:$H,0))*2*EA$4,0)</f>
        <v>2.52</v>
      </c>
      <c r="EB60" s="90">
        <f ca="1">_xlfn.IFNA(INDEX(武器升级消耗!$Q:$Q,MATCH(玩家节奏1!DX60,武器升级消耗!$H:$H,0))*2*EB$4,0)</f>
        <v>2.7</v>
      </c>
      <c r="EC60" s="90">
        <f ca="1">_xlfn.IFNA(INDEX(武器升级消耗!$Q:$Q,MATCH(玩家节奏1!DY60,武器升级消耗!$H:$H,0))*2*EC$4,1)</f>
        <v>2.8600000000000003</v>
      </c>
      <c r="ED60" s="90">
        <f>_xlfn.IFNA(INDEX(武器升级消耗!$Q:$Q,MATCH(玩家节奏1!DZ60,武器升级消耗!$H:$H,0))*2*ED$4,0)</f>
        <v>3</v>
      </c>
      <c r="EF60" s="128"/>
      <c r="EG60" s="90"/>
      <c r="EH60" s="90"/>
      <c r="EI60" s="90"/>
      <c r="EJ60" s="90"/>
      <c r="EK60" s="90"/>
      <c r="EL60" s="90"/>
      <c r="EM60" s="90"/>
      <c r="EO60" s="128"/>
      <c r="EP60" s="90"/>
      <c r="EQ60" s="90"/>
      <c r="ER60" s="90"/>
      <c r="ES60" s="90"/>
      <c r="ET60" s="90"/>
      <c r="EU60" s="90"/>
      <c r="EV60" s="90"/>
      <c r="EW60" s="90"/>
      <c r="EX60" s="90"/>
      <c r="EY60" s="90"/>
      <c r="EZ60" s="90"/>
      <c r="FA60" s="90"/>
      <c r="FB60" s="90"/>
      <c r="FD60" s="90">
        <f t="shared" ca="1" si="63"/>
        <v>2.8600000000000003</v>
      </c>
      <c r="FE60" s="90"/>
      <c r="FF60" s="90"/>
      <c r="FG60" s="90">
        <f t="shared" ca="1" si="64"/>
        <v>0</v>
      </c>
    </row>
    <row r="61" spans="1:163" x14ac:dyDescent="0.25">
      <c r="A61" s="123">
        <v>55</v>
      </c>
      <c r="B61" s="123">
        <f>INDEX(关卡对比!$Y:$Y,MATCH(关卡对比!Z61,关卡对比!$AA:$AA,1))</f>
        <v>39</v>
      </c>
      <c r="C61" s="124">
        <f>INDEX(关卡对比!$Y:$Y,MATCH(关卡对比!Z61,关卡对比!$AB:$AB,1))</f>
        <v>31</v>
      </c>
      <c r="D61" s="125">
        <f t="shared" si="70"/>
        <v>344.5</v>
      </c>
      <c r="E61" s="125">
        <v>3</v>
      </c>
      <c r="F61" s="128">
        <v>5</v>
      </c>
      <c r="G61" s="90">
        <v>1</v>
      </c>
      <c r="H61" s="90">
        <v>1</v>
      </c>
      <c r="J61" s="128">
        <v>55</v>
      </c>
      <c r="K61" s="90">
        <f t="shared" si="77"/>
        <v>5</v>
      </c>
      <c r="L61" s="90">
        <f t="shared" si="78"/>
        <v>1</v>
      </c>
      <c r="M61" s="90">
        <f t="shared" si="79"/>
        <v>1</v>
      </c>
      <c r="N61" s="140">
        <f>INDEX($A:$A,MATCH(SUM($K$7:K61),$D:$D,1))</f>
        <v>48</v>
      </c>
      <c r="O61" s="140">
        <v>0</v>
      </c>
      <c r="P61" s="141">
        <v>0</v>
      </c>
      <c r="Q61" s="126">
        <f>_xlfn.MAXIFS(关卡产出!X:X,关卡产出!$A:$A,玩家节奏1!$N$6,关卡产出!$B:$B,玩家节奏1!$N61)+_xlfn.MAXIFS(关卡产出!X:X,关卡产出!$A:$A,玩家节奏1!$O$6,关卡产出!$B:$B,玩家节奏1!$O61)+_xlfn.MAXIFS(关卡产出!X:X,关卡产出!$A:$A,玩家节奏1!$P$6,关卡产出!$B:$B,玩家节奏1!$P61)</f>
        <v>8100</v>
      </c>
      <c r="R61" s="90">
        <f>_xlfn.MAXIFS(关卡产出!Y:Y,关卡产出!$A:$A,玩家节奏1!$N$6,关卡产出!$B:$B,玩家节奏1!$N61)+_xlfn.MAXIFS(关卡产出!Y:Y,关卡产出!$A:$A,玩家节奏1!$O$6,关卡产出!$B:$B,玩家节奏1!$O61)+_xlfn.MAXIFS(关卡产出!Y:Y,关卡产出!$A:$A,玩家节奏1!$P$6,关卡产出!$B:$B,玩家节奏1!$P61)</f>
        <v>605200</v>
      </c>
      <c r="S61" s="90">
        <f>_xlfn.MAXIFS(关卡产出!Z:Z,关卡产出!$A:$A,玩家节奏1!$N$6,关卡产出!$B:$B,玩家节奏1!$N61)+_xlfn.MAXIFS(关卡产出!Z:Z,关卡产出!$A:$A,玩家节奏1!$O$6,关卡产出!$B:$B,玩家节奏1!$O61)+_xlfn.MAXIFS(关卡产出!Z:Z,关卡产出!$A:$A,玩家节奏1!$P$6,关卡产出!$B:$B,玩家节奏1!$P61)</f>
        <v>4386</v>
      </c>
      <c r="T61" s="90">
        <f>_xlfn.MAXIFS(关卡产出!AA:AA,关卡产出!$A:$A,玩家节奏1!$N$6,关卡产出!$B:$B,玩家节奏1!$N61)+_xlfn.MAXIFS(关卡产出!AA:AA,关卡产出!$A:$A,玩家节奏1!$O$6,关卡产出!$B:$B,玩家节奏1!$O61)+_xlfn.MAXIFS(关卡产出!AA:AA,关卡产出!$A:$A,玩家节奏1!$P$6,关卡产出!$B:$B,玩家节奏1!$P61)</f>
        <v>2194</v>
      </c>
      <c r="U61" s="90">
        <f>_xlfn.MAXIFS(关卡产出!AB:AB,关卡产出!$A:$A,玩家节奏1!$N$6,关卡产出!$B:$B,玩家节奏1!$N61)+_xlfn.MAXIFS(关卡产出!AB:AB,关卡产出!$A:$A,玩家节奏1!$O$6,关卡产出!$B:$B,玩家节奏1!$O61)+_xlfn.MAXIFS(关卡产出!AB:AB,关卡产出!$A:$A,玩家节奏1!$P$6,关卡产出!$B:$B,玩家节奏1!$P61)</f>
        <v>949</v>
      </c>
      <c r="V61" s="130">
        <f>_xlfn.MAXIFS(关卡产出!AC:AC,关卡产出!$A:$A,玩家节奏1!$N$6,关卡产出!$B:$B,玩家节奏1!$N61)+_xlfn.MAXIFS(关卡产出!AC:AC,关卡产出!$A:$A,玩家节奏1!$O$6,关卡产出!$B:$B,玩家节奏1!$O61)+_xlfn.MAXIFS(关卡产出!AC:AC,关卡产出!$A:$A,玩家节奏1!$P$6,关卡产出!$B:$B,玩家节奏1!$P61)</f>
        <v>288</v>
      </c>
      <c r="W61" s="126">
        <f>INDEX(关卡产出!C$8:C$207,MATCH(玩家节奏1!$N61,关卡产出!$B$8:$B$207,0))*$K61</f>
        <v>185</v>
      </c>
      <c r="X61" s="126">
        <f>INDEX(关卡产出!D$8:D$207,MATCH(玩家节奏1!$N61,关卡产出!$B$8:$B$207,0))*$K61</f>
        <v>90</v>
      </c>
      <c r="Y61" s="126">
        <f>INDEX(关卡产出!E$8:E$207,MATCH(玩家节奏1!$N61,关卡产出!$B$8:$B$207,0))*$K61</f>
        <v>45</v>
      </c>
      <c r="Z61" s="144">
        <f>INDEX(关卡产出!F$8:F$207,MATCH(玩家节奏1!$N61,关卡产出!$B$8:$B$207,0))*$K61</f>
        <v>2650</v>
      </c>
      <c r="AA61" s="126">
        <f>SUM(W$7:W61)</f>
        <v>6056</v>
      </c>
      <c r="AB61" s="126">
        <f>SUM(X$7:X61)</f>
        <v>2951</v>
      </c>
      <c r="AC61" s="126">
        <f>SUM(Y$7:Y61)</f>
        <v>1292</v>
      </c>
      <c r="AD61" s="126">
        <f>SUM(Z$7:Z61)</f>
        <v>97210</v>
      </c>
      <c r="AE61" s="126">
        <f>INDEX(图鉴!AQ:AQ,MATCH($N61,图鉴!$S:$S,0))*8</f>
        <v>152</v>
      </c>
      <c r="AF61" s="90">
        <f>INDEX(图鉴!AR:AR,MATCH($N61,图鉴!$S:$S,0))*8</f>
        <v>80</v>
      </c>
      <c r="AG61" s="90">
        <f>INDEX(图鉴!AS:AS,MATCH($N61,图鉴!$S:$S,0))*8</f>
        <v>32</v>
      </c>
      <c r="AH61" s="129">
        <f ca="1">INDEX(图鉴!AT:AT,MATCH($N61,图鉴!$S:$S,0))*8</f>
        <v>6080</v>
      </c>
      <c r="AI61" s="128">
        <f>SUM($AE$7:AE61)</f>
        <v>6976</v>
      </c>
      <c r="AJ61" s="90">
        <f>SUM(AF$7:AF61)</f>
        <v>3144</v>
      </c>
      <c r="AK61" s="90">
        <f>SUM(AG$7:AG61)</f>
        <v>960</v>
      </c>
      <c r="AL61" s="130">
        <f ca="1">SUM(AH$7:AH61)</f>
        <v>240280</v>
      </c>
      <c r="AM61" s="133">
        <f>IF(M61=0,0,INDEX(关卡产出!$AU$11:$AU$15,MATCH(玩家节奏1!N61,关卡产出!$AW$11:$AW$15,1))*M61)</f>
        <v>8500</v>
      </c>
      <c r="AN61" s="126">
        <f>IF(L61=0,0,$L61*关卡产出!AU$21)</f>
        <v>1000</v>
      </c>
      <c r="AO61" s="90">
        <f>IF(M61=0,0,$L61*关卡产出!AV$21)</f>
        <v>50</v>
      </c>
      <c r="AP61" s="129">
        <f>IF(N61=0,0,$L61*关卡产出!AW$21)</f>
        <v>1</v>
      </c>
      <c r="AQ61" s="138">
        <f>SUM(AN$7:AN61)</f>
        <v>38000</v>
      </c>
      <c r="AR61" s="126">
        <f>SUM(AO$7:AO61)</f>
        <v>1900</v>
      </c>
      <c r="AS61" s="129">
        <f>SUM(AP$7:AP61)</f>
        <v>38</v>
      </c>
      <c r="AT61" s="128">
        <v>500</v>
      </c>
      <c r="AU61" s="129">
        <v>100</v>
      </c>
      <c r="AV61" s="128">
        <f>SUM(AT$7:AT61)</f>
        <v>27500</v>
      </c>
      <c r="AW61" s="90">
        <f>SUM(AU$7:AU61)</f>
        <v>5500</v>
      </c>
      <c r="AY61" s="128">
        <f t="shared" si="13"/>
        <v>8100</v>
      </c>
      <c r="AZ61" s="90">
        <f t="shared" si="14"/>
        <v>1900</v>
      </c>
      <c r="BA61" s="90">
        <f t="shared" si="15"/>
        <v>5500</v>
      </c>
      <c r="BB61" s="90">
        <f t="shared" ca="1" si="65"/>
        <v>2150</v>
      </c>
      <c r="BC61" s="90">
        <f t="shared" ca="1" si="68"/>
        <v>17650</v>
      </c>
      <c r="BD61" s="90"/>
      <c r="BE61" s="90">
        <f t="shared" ca="1" si="17"/>
        <v>17650</v>
      </c>
      <c r="BF61" s="142">
        <f t="shared" ca="1" si="18"/>
        <v>0.45892351274787535</v>
      </c>
      <c r="BG61" s="142">
        <f t="shared" ca="1" si="19"/>
        <v>0.10764872521246459</v>
      </c>
      <c r="BH61" s="142">
        <f t="shared" ca="1" si="80"/>
        <v>0.31161473087818697</v>
      </c>
      <c r="BI61" s="142">
        <f t="shared" ca="1" si="81"/>
        <v>0.12181303116147309</v>
      </c>
      <c r="BJ61" s="143"/>
      <c r="BK61" s="128">
        <f ca="1">INDEX(商城宝箱!$L:$L,MATCH(BC61,商城宝箱!$N:$N,1))</f>
        <v>6</v>
      </c>
      <c r="BL61" s="90">
        <f ca="1">_xlfn.IFNA(INDEX(商城宝箱!T:T,MATCH(玩家节奏1!$BK61,商城宝箱!$L:$L,0)),0)+($BC61-INDEX(商城宝箱!$N:$N,MATCH(玩家节奏1!$BK61,商城宝箱!$L:$L,0)))/$BK$5*INDEX(商城宝箱!E$23:E$42,MATCH(玩家节奏1!$BK61+1,商城宝箱!$C$23:$C$42,0))</f>
        <v>44125</v>
      </c>
      <c r="BM61" s="90">
        <f ca="1">_xlfn.IFNA(INDEX(商城宝箱!U:U,MATCH(玩家节奏1!$BK61,商城宝箱!$L:$L,0)),0)+($BC61-INDEX(商城宝箱!$N:$N,MATCH(玩家节奏1!$BK61,商城宝箱!$L:$L,0)))/$BK$5*INDEX(商城宝箱!F$23:F$42,MATCH(玩家节奏1!$BK61+1,商城宝箱!$C$23:$C$42,0))</f>
        <v>13327.5</v>
      </c>
      <c r="BN61" s="90">
        <f ca="1">_xlfn.IFNA(INDEX(商城宝箱!V:V,MATCH(玩家节奏1!$BK61,商城宝箱!$L:$L,0)),0)+($BC61-INDEX(商城宝箱!$N:$N,MATCH(玩家节奏1!$BK61,商城宝箱!$L:$L,0)))/$BK$5*INDEX(商城宝箱!G$23:G$42,MATCH(玩家节奏1!$BK61+1,商城宝箱!$C$23:$C$42,0))</f>
        <v>7104.5</v>
      </c>
      <c r="BO61" s="90">
        <f ca="1">_xlfn.IFNA(INDEX(商城宝箱!W:W,MATCH(玩家节奏1!$BK61,商城宝箱!$L:$L,0)),0)+($BC61-INDEX(商城宝箱!$N:$N,MATCH(玩家节奏1!$BK61,商城宝箱!$L:$L,0)))/$BK$5*INDEX(商城宝箱!H$23:H$42,MATCH(玩家节奏1!$BK61+1,商城宝箱!$C$23:$C$42,0))</f>
        <v>974.75</v>
      </c>
      <c r="BQ61" s="128">
        <f t="shared" si="71"/>
        <v>605200</v>
      </c>
      <c r="BR61" s="90">
        <f t="shared" si="72"/>
        <v>97210</v>
      </c>
      <c r="BS61" s="90">
        <f t="shared" ca="1" si="73"/>
        <v>240280</v>
      </c>
      <c r="BT61" s="90">
        <f t="shared" si="74"/>
        <v>8500</v>
      </c>
      <c r="BU61" s="90">
        <f t="shared" si="75"/>
        <v>38000</v>
      </c>
      <c r="BV61" s="90">
        <f t="shared" si="76"/>
        <v>27500</v>
      </c>
      <c r="BW61" s="90">
        <f t="shared" ca="1" si="22"/>
        <v>44125</v>
      </c>
      <c r="BX61" s="90">
        <f t="shared" ca="1" si="23"/>
        <v>1060815</v>
      </c>
      <c r="BY61" s="142">
        <f t="shared" ca="1" si="24"/>
        <v>0.57050475342071894</v>
      </c>
      <c r="BZ61" s="142">
        <f t="shared" ca="1" si="25"/>
        <v>9.1637090350343842E-2</v>
      </c>
      <c r="CA61" s="142">
        <f t="shared" ca="1" si="26"/>
        <v>0.22650509278243613</v>
      </c>
      <c r="CB61" s="142">
        <f t="shared" ca="1" si="27"/>
        <v>8.0127072109651542E-3</v>
      </c>
      <c r="CC61" s="142">
        <f t="shared" ca="1" si="28"/>
        <v>3.5821514590197161E-2</v>
      </c>
      <c r="CD61" s="142">
        <f t="shared" ca="1" si="29"/>
        <v>2.5923464506063733E-2</v>
      </c>
      <c r="CE61" s="142">
        <f t="shared" ca="1" si="30"/>
        <v>4.159537713927499E-2</v>
      </c>
      <c r="CG61" s="128">
        <f t="shared" si="31"/>
        <v>48</v>
      </c>
      <c r="CH61" s="90">
        <f ca="1">INDEX(角色升级!$A:$A,MATCH(玩家节奏1!$BX61,角色升级!$J:$J,1))</f>
        <v>312</v>
      </c>
      <c r="CI61" s="90">
        <f ca="1">INDEX(角色升级!$O:$O,MATCH(玩家节奏1!$BX61,角色升级!$J:$J,1))</f>
        <v>7614.7417050000022</v>
      </c>
      <c r="CJ61" s="90">
        <f>INDEX(关卡对比!$J:$J,MATCH(玩家节奏1!N61,关卡对比!$A:$A,0))</f>
        <v>10200</v>
      </c>
      <c r="CK61" s="147">
        <f t="shared" ca="1" si="32"/>
        <v>1.3395070240271527</v>
      </c>
      <c r="CL61" s="128">
        <f ca="1">INDEX(角色升级!$P:$P,MATCH(玩家节奏1!$CH61,角色升级!$A:$A,0))</f>
        <v>2150</v>
      </c>
      <c r="CM61" s="90">
        <f ca="1">INDEX(角色升级!Q:Q,MATCH(玩家节奏1!$CH61,角色升级!$A:$A,0))</f>
        <v>0.3</v>
      </c>
      <c r="CO61" s="128">
        <f t="shared" si="33"/>
        <v>4386</v>
      </c>
      <c r="CP61" s="90">
        <f t="shared" si="34"/>
        <v>6056</v>
      </c>
      <c r="CQ61" s="90">
        <f t="shared" si="35"/>
        <v>6976</v>
      </c>
      <c r="CR61" s="90">
        <f t="shared" ca="1" si="36"/>
        <v>13327.5</v>
      </c>
      <c r="CS61" s="90">
        <f t="shared" ca="1" si="37"/>
        <v>30745.5</v>
      </c>
      <c r="CT61" s="142">
        <f t="shared" ca="1" si="38"/>
        <v>0.14265502268624677</v>
      </c>
      <c r="CU61" s="142">
        <f t="shared" ca="1" si="39"/>
        <v>0.19697191458912686</v>
      </c>
      <c r="CV61" s="142">
        <f t="shared" ca="1" si="40"/>
        <v>0.2268949927631686</v>
      </c>
      <c r="CW61" s="142">
        <f t="shared" ca="1" si="41"/>
        <v>0.43347806996145777</v>
      </c>
      <c r="CY61" s="128">
        <f t="shared" si="42"/>
        <v>2194</v>
      </c>
      <c r="CZ61" s="90">
        <f t="shared" si="43"/>
        <v>2951</v>
      </c>
      <c r="DA61" s="90">
        <f t="shared" si="44"/>
        <v>3144</v>
      </c>
      <c r="DB61" s="90">
        <f t="shared" ca="1" si="66"/>
        <v>7104.5</v>
      </c>
      <c r="DC61" s="90">
        <f t="shared" ca="1" si="45"/>
        <v>15393.5</v>
      </c>
      <c r="DD61" s="142">
        <f t="shared" ca="1" si="46"/>
        <v>0.14252769025887549</v>
      </c>
      <c r="DE61" s="142">
        <f t="shared" ca="1" si="47"/>
        <v>0.19170429077207912</v>
      </c>
      <c r="DF61" s="142">
        <f t="shared" ca="1" si="48"/>
        <v>0.20424205021600025</v>
      </c>
      <c r="DG61" s="142">
        <f t="shared" ca="1" si="49"/>
        <v>0.46152596875304513</v>
      </c>
      <c r="DI61" s="128">
        <f t="shared" si="50"/>
        <v>949</v>
      </c>
      <c r="DJ61" s="90">
        <f t="shared" si="51"/>
        <v>1292</v>
      </c>
      <c r="DK61" s="90">
        <f t="shared" si="52"/>
        <v>960</v>
      </c>
      <c r="DL61" s="90">
        <f t="shared" ca="1" si="53"/>
        <v>974.75</v>
      </c>
      <c r="DM61" s="90">
        <f t="shared" ca="1" si="54"/>
        <v>4175.75</v>
      </c>
      <c r="DN61" s="142">
        <f t="shared" ca="1" si="55"/>
        <v>0.22726456325211039</v>
      </c>
      <c r="DO61" s="142">
        <f t="shared" ca="1" si="56"/>
        <v>0.30940549601867928</v>
      </c>
      <c r="DP61" s="142">
        <f t="shared" ca="1" si="57"/>
        <v>0.22989882057115488</v>
      </c>
      <c r="DQ61" s="142">
        <f t="shared" ca="1" si="58"/>
        <v>0.23343112015805545</v>
      </c>
      <c r="DS61" s="128">
        <f t="shared" ca="1" si="59"/>
        <v>30745.5</v>
      </c>
      <c r="DT61" s="90">
        <f t="shared" ca="1" si="60"/>
        <v>15393.5</v>
      </c>
      <c r="DU61" s="90">
        <f t="shared" ca="1" si="61"/>
        <v>4175.75</v>
      </c>
      <c r="DV61" s="90">
        <f t="shared" si="62"/>
        <v>38</v>
      </c>
      <c r="DW61" s="90">
        <f ca="1">_xlfn.IFNA(INDEX(武器升级消耗!$H:$H,MATCH(玩家节奏1!DS61/玩家节奏1!DS$5,武器升级消耗!M:M,1)),0)</f>
        <v>17</v>
      </c>
      <c r="DX61" s="90">
        <f ca="1">_xlfn.IFNA(INDEX(武器升级消耗!$H:$H,MATCH(玩家节奏1!DT61/玩家节奏1!DT$5,武器升级消耗!N:N,1)),0)</f>
        <v>14</v>
      </c>
      <c r="DY61" s="90">
        <f ca="1">_xlfn.IFNA(INDEX(武器升级消耗!$H:$H,MATCH(玩家节奏1!DU61/玩家节奏1!DU$5,武器升级消耗!O:O,1)),0)</f>
        <v>9</v>
      </c>
      <c r="DZ61" s="90">
        <f>_xlfn.IFNA(INDEX(武器升级消耗!$H:$H,MATCH(玩家节奏1!DV61/玩家节奏1!DV$5,武器升级消耗!P:P,1)),0)</f>
        <v>7</v>
      </c>
      <c r="EA61" s="90">
        <f ca="1">_xlfn.IFNA(INDEX(武器升级消耗!$Q:$Q,MATCH(玩家节奏1!DW61,武器升级消耗!$H:$H,0))*2*EA$4,0)</f>
        <v>2.52</v>
      </c>
      <c r="EB61" s="90">
        <f ca="1">_xlfn.IFNA(INDEX(武器升级消耗!$Q:$Q,MATCH(玩家节奏1!DX61,武器升级消耗!$H:$H,0))*2*EB$4,0)</f>
        <v>2.7</v>
      </c>
      <c r="EC61" s="90">
        <f ca="1">_xlfn.IFNA(INDEX(武器升级消耗!$Q:$Q,MATCH(玩家节奏1!DY61,武器升级消耗!$H:$H,0))*2*EC$4,1)</f>
        <v>2.8600000000000003</v>
      </c>
      <c r="ED61" s="90">
        <f>_xlfn.IFNA(INDEX(武器升级消耗!$Q:$Q,MATCH(玩家节奏1!DZ61,武器升级消耗!$H:$H,0))*2*ED$4,0)</f>
        <v>3.3000000000000003</v>
      </c>
      <c r="EF61" s="128"/>
      <c r="EG61" s="90"/>
      <c r="EH61" s="90"/>
      <c r="EI61" s="90"/>
      <c r="EJ61" s="90"/>
      <c r="EK61" s="90"/>
      <c r="EL61" s="90"/>
      <c r="EM61" s="90"/>
      <c r="EO61" s="128"/>
      <c r="EP61" s="90"/>
      <c r="EQ61" s="90"/>
      <c r="ER61" s="90"/>
      <c r="ES61" s="90"/>
      <c r="ET61" s="90"/>
      <c r="EU61" s="90"/>
      <c r="EV61" s="90"/>
      <c r="EW61" s="90"/>
      <c r="EX61" s="90"/>
      <c r="EY61" s="90"/>
      <c r="EZ61" s="90"/>
      <c r="FA61" s="90"/>
      <c r="FB61" s="90"/>
      <c r="FD61" s="90">
        <f t="shared" ca="1" si="63"/>
        <v>2.8600000000000003</v>
      </c>
      <c r="FE61" s="90"/>
      <c r="FF61" s="90"/>
      <c r="FG61" s="90">
        <f t="shared" ca="1" si="64"/>
        <v>0</v>
      </c>
    </row>
    <row r="62" spans="1:163" x14ac:dyDescent="0.25">
      <c r="A62" s="123">
        <v>56</v>
      </c>
      <c r="B62" s="123">
        <f>INDEX(关卡对比!$Y:$Y,MATCH(关卡对比!Z62,关卡对比!$AA:$AA,1))</f>
        <v>40</v>
      </c>
      <c r="C62" s="124">
        <f>INDEX(关卡对比!$Y:$Y,MATCH(关卡对比!Z62,关卡对比!$AB:$AB,1))</f>
        <v>32</v>
      </c>
      <c r="D62" s="125">
        <f t="shared" si="70"/>
        <v>353.5</v>
      </c>
      <c r="E62" s="125">
        <v>3</v>
      </c>
      <c r="F62" s="128">
        <v>5</v>
      </c>
      <c r="G62" s="90">
        <v>1</v>
      </c>
      <c r="H62" s="90">
        <v>1</v>
      </c>
      <c r="J62" s="128">
        <v>56</v>
      </c>
      <c r="K62" s="90">
        <f t="shared" si="77"/>
        <v>5</v>
      </c>
      <c r="L62" s="90">
        <f t="shared" si="78"/>
        <v>1</v>
      </c>
      <c r="M62" s="90">
        <f t="shared" si="79"/>
        <v>1</v>
      </c>
      <c r="N62" s="140">
        <f>INDEX($A:$A,MATCH(SUM($K$7:K62),$D:$D,1))</f>
        <v>49</v>
      </c>
      <c r="O62" s="140">
        <v>0</v>
      </c>
      <c r="P62" s="141">
        <v>0</v>
      </c>
      <c r="Q62" s="126">
        <f>_xlfn.MAXIFS(关卡产出!X:X,关卡产出!$A:$A,玩家节奏1!$N$6,关卡产出!$B:$B,玩家节奏1!$N62)+_xlfn.MAXIFS(关卡产出!X:X,关卡产出!$A:$A,玩家节奏1!$O$6,关卡产出!$B:$B,玩家节奏1!$O62)+_xlfn.MAXIFS(关卡产出!X:X,关卡产出!$A:$A,玩家节奏1!$P$6,关卡产出!$B:$B,玩家节奏1!$P62)</f>
        <v>8300</v>
      </c>
      <c r="R62" s="90">
        <f>_xlfn.MAXIFS(关卡产出!Y:Y,关卡产出!$A:$A,玩家节奏1!$N$6,关卡产出!$B:$B,玩家节奏1!$N62)+_xlfn.MAXIFS(关卡产出!Y:Y,关卡产出!$A:$A,玩家节奏1!$O$6,关卡产出!$B:$B,玩家节奏1!$O62)+_xlfn.MAXIFS(关卡产出!Y:Y,关卡产出!$A:$A,玩家节奏1!$P$6,关卡产出!$B:$B,玩家节奏1!$P62)</f>
        <v>632300</v>
      </c>
      <c r="S62" s="90">
        <f>_xlfn.MAXIFS(关卡产出!Z:Z,关卡产出!$A:$A,玩家节奏1!$N$6,关卡产出!$B:$B,玩家节奏1!$N62)+_xlfn.MAXIFS(关卡产出!Z:Z,关卡产出!$A:$A,玩家节奏1!$O$6,关卡产出!$B:$B,玩家节奏1!$O62)+_xlfn.MAXIFS(关卡产出!Z:Z,关卡产出!$A:$A,玩家节奏1!$P$6,关卡产出!$B:$B,玩家节奏1!$P62)</f>
        <v>4574</v>
      </c>
      <c r="T62" s="90">
        <f>_xlfn.MAXIFS(关卡产出!AA:AA,关卡产出!$A:$A,玩家节奏1!$N$6,关卡产出!$B:$B,玩家节奏1!$N62)+_xlfn.MAXIFS(关卡产出!AA:AA,关卡产出!$A:$A,玩家节奏1!$O$6,关卡产出!$B:$B,玩家节奏1!$O62)+_xlfn.MAXIFS(关卡产出!AA:AA,关卡产出!$A:$A,玩家节奏1!$P$6,关卡产出!$B:$B,玩家节奏1!$P62)</f>
        <v>2288</v>
      </c>
      <c r="U62" s="90">
        <f>_xlfn.MAXIFS(关卡产出!AB:AB,关卡产出!$A:$A,玩家节奏1!$N$6,关卡产出!$B:$B,玩家节奏1!$N62)+_xlfn.MAXIFS(关卡产出!AB:AB,关卡产出!$A:$A,玩家节奏1!$O$6,关卡产出!$B:$B,玩家节奏1!$O62)+_xlfn.MAXIFS(关卡产出!AB:AB,关卡产出!$A:$A,玩家节奏1!$P$6,关卡产出!$B:$B,玩家节奏1!$P62)</f>
        <v>993</v>
      </c>
      <c r="V62" s="130">
        <f>_xlfn.MAXIFS(关卡产出!AC:AC,关卡产出!$A:$A,玩家节奏1!$N$6,关卡产出!$B:$B,玩家节奏1!$N62)+_xlfn.MAXIFS(关卡产出!AC:AC,关卡产出!$A:$A,玩家节奏1!$O$6,关卡产出!$B:$B,玩家节奏1!$O62)+_xlfn.MAXIFS(关卡产出!AC:AC,关卡产出!$A:$A,玩家节奏1!$P$6,关卡产出!$B:$B,玩家节奏1!$P62)</f>
        <v>294</v>
      </c>
      <c r="W62" s="126">
        <f>INDEX(关卡产出!C$8:C$207,MATCH(玩家节奏1!$N62,关卡产出!$B$8:$B$207,0))*$K62</f>
        <v>190</v>
      </c>
      <c r="X62" s="126">
        <f>INDEX(关卡产出!D$8:D$207,MATCH(玩家节奏1!$N62,关卡产出!$B$8:$B$207,0))*$K62</f>
        <v>95</v>
      </c>
      <c r="Y62" s="126">
        <f>INDEX(关卡产出!E$8:E$207,MATCH(玩家节奏1!$N62,关卡产出!$B$8:$B$207,0))*$K62</f>
        <v>45</v>
      </c>
      <c r="Z62" s="144">
        <f>INDEX(关卡产出!F$8:F$207,MATCH(玩家节奏1!$N62,关卡产出!$B$8:$B$207,0))*$K62</f>
        <v>2750</v>
      </c>
      <c r="AA62" s="126">
        <f>SUM(W$7:W62)</f>
        <v>6246</v>
      </c>
      <c r="AB62" s="126">
        <f>SUM(X$7:X62)</f>
        <v>3046</v>
      </c>
      <c r="AC62" s="126">
        <f>SUM(Y$7:Y62)</f>
        <v>1337</v>
      </c>
      <c r="AD62" s="126">
        <f>SUM(Z$7:Z62)</f>
        <v>99960</v>
      </c>
      <c r="AE62" s="126">
        <f>INDEX(图鉴!AQ:AQ,MATCH($N62,图鉴!$S:$S,0))*8</f>
        <v>152</v>
      </c>
      <c r="AF62" s="90">
        <f>INDEX(图鉴!AR:AR,MATCH($N62,图鉴!$S:$S,0))*8</f>
        <v>80</v>
      </c>
      <c r="AG62" s="90">
        <f>INDEX(图鉴!AS:AS,MATCH($N62,图鉴!$S:$S,0))*8</f>
        <v>32</v>
      </c>
      <c r="AH62" s="129">
        <f ca="1">INDEX(图鉴!AT:AT,MATCH($N62,图鉴!$S:$S,0))*8</f>
        <v>6080</v>
      </c>
      <c r="AI62" s="128">
        <f>SUM($AE$7:AE62)</f>
        <v>7128</v>
      </c>
      <c r="AJ62" s="90">
        <f>SUM(AF$7:AF62)</f>
        <v>3224</v>
      </c>
      <c r="AK62" s="90">
        <f>SUM(AG$7:AG62)</f>
        <v>992</v>
      </c>
      <c r="AL62" s="130">
        <f ca="1">SUM(AH$7:AH62)</f>
        <v>246360</v>
      </c>
      <c r="AM62" s="133">
        <f>IF(M62=0,0,INDEX(关卡产出!$AU$11:$AU$15,MATCH(玩家节奏1!N62,关卡产出!$AW$11:$AW$15,1))*M62)</f>
        <v>8500</v>
      </c>
      <c r="AN62" s="126">
        <f>IF(L62=0,0,$L62*关卡产出!AU$21)</f>
        <v>1000</v>
      </c>
      <c r="AO62" s="90">
        <f>IF(M62=0,0,$L62*关卡产出!AV$21)</f>
        <v>50</v>
      </c>
      <c r="AP62" s="129">
        <f>IF(N62=0,0,$L62*关卡产出!AW$21)</f>
        <v>1</v>
      </c>
      <c r="AQ62" s="138">
        <f>SUM(AN$7:AN62)</f>
        <v>39000</v>
      </c>
      <c r="AR62" s="126">
        <f>SUM(AO$7:AO62)</f>
        <v>1950</v>
      </c>
      <c r="AS62" s="129">
        <f>SUM(AP$7:AP62)</f>
        <v>39</v>
      </c>
      <c r="AT62" s="128">
        <v>500</v>
      </c>
      <c r="AU62" s="129">
        <v>100</v>
      </c>
      <c r="AV62" s="128">
        <f>SUM(AT$7:AT62)</f>
        <v>28000</v>
      </c>
      <c r="AW62" s="90">
        <f>SUM(AU$7:AU62)</f>
        <v>5600</v>
      </c>
      <c r="AY62" s="128">
        <f t="shared" si="13"/>
        <v>8300</v>
      </c>
      <c r="AZ62" s="90">
        <f t="shared" si="14"/>
        <v>1950</v>
      </c>
      <c r="BA62" s="90">
        <f t="shared" si="15"/>
        <v>5600</v>
      </c>
      <c r="BB62" s="90">
        <f t="shared" ca="1" si="65"/>
        <v>2150</v>
      </c>
      <c r="BC62" s="90">
        <f t="shared" ca="1" si="68"/>
        <v>18000</v>
      </c>
      <c r="BD62" s="90"/>
      <c r="BE62" s="90">
        <f t="shared" ca="1" si="17"/>
        <v>18000</v>
      </c>
      <c r="BF62" s="142">
        <f t="shared" ca="1" si="18"/>
        <v>0.46111111111111114</v>
      </c>
      <c r="BG62" s="142">
        <f t="shared" ca="1" si="19"/>
        <v>0.10833333333333334</v>
      </c>
      <c r="BH62" s="142">
        <f t="shared" ca="1" si="80"/>
        <v>0.31111111111111112</v>
      </c>
      <c r="BI62" s="142">
        <f t="shared" ca="1" si="81"/>
        <v>0.11944444444444445</v>
      </c>
      <c r="BJ62" s="143"/>
      <c r="BK62" s="128">
        <f ca="1">INDEX(商城宝箱!$L:$L,MATCH(BC62,商城宝箱!$N:$N,1))</f>
        <v>6</v>
      </c>
      <c r="BL62" s="90">
        <f ca="1">_xlfn.IFNA(INDEX(商城宝箱!T:T,MATCH(玩家节奏1!$BK62,商城宝箱!$L:$L,0)),0)+($BC62-INDEX(商城宝箱!$N:$N,MATCH(玩家节奏1!$BK62,商城宝箱!$L:$L,0)))/$BK$5*INDEX(商城宝箱!E$23:E$42,MATCH(玩家节奏1!$BK62+1,商城宝箱!$C$23:$C$42,0))</f>
        <v>45000</v>
      </c>
      <c r="BM62" s="90">
        <f ca="1">_xlfn.IFNA(INDEX(商城宝箱!U:U,MATCH(玩家节奏1!$BK62,商城宝箱!$L:$L,0)),0)+($BC62-INDEX(商城宝箱!$N:$N,MATCH(玩家节奏1!$BK62,商城宝箱!$L:$L,0)))/$BK$5*INDEX(商城宝箱!F$23:F$42,MATCH(玩家节奏1!$BK62+1,商城宝箱!$C$23:$C$42,0))</f>
        <v>13782.5</v>
      </c>
      <c r="BN62" s="90">
        <f ca="1">_xlfn.IFNA(INDEX(商城宝箱!V:V,MATCH(玩家节奏1!$BK62,商城宝箱!$L:$L,0)),0)+($BC62-INDEX(商城宝箱!$N:$N,MATCH(玩家节奏1!$BK62,商城宝箱!$L:$L,0)))/$BK$5*INDEX(商城宝箱!G$23:G$42,MATCH(玩家节奏1!$BK62+1,商城宝箱!$C$23:$C$42,0))</f>
        <v>7402</v>
      </c>
      <c r="BO62" s="90">
        <f ca="1">_xlfn.IFNA(INDEX(商城宝箱!W:W,MATCH(玩家节奏1!$BK62,商城宝箱!$L:$L,0)),0)+($BC62-INDEX(商城宝箱!$N:$N,MATCH(玩家节奏1!$BK62,商城宝箱!$L:$L,0)))/$BK$5*INDEX(商城宝箱!H$23:H$42,MATCH(玩家节奏1!$BK62+1,商城宝箱!$C$23:$C$42,0))</f>
        <v>1015</v>
      </c>
      <c r="BQ62" s="128">
        <f t="shared" si="71"/>
        <v>632300</v>
      </c>
      <c r="BR62" s="90">
        <f t="shared" si="72"/>
        <v>99960</v>
      </c>
      <c r="BS62" s="90">
        <f t="shared" ca="1" si="73"/>
        <v>246360</v>
      </c>
      <c r="BT62" s="90">
        <f t="shared" si="74"/>
        <v>8500</v>
      </c>
      <c r="BU62" s="90">
        <f t="shared" si="75"/>
        <v>39000</v>
      </c>
      <c r="BV62" s="90">
        <f t="shared" si="76"/>
        <v>28000</v>
      </c>
      <c r="BW62" s="90">
        <f t="shared" ca="1" si="22"/>
        <v>45000</v>
      </c>
      <c r="BX62" s="90">
        <f t="shared" ca="1" si="23"/>
        <v>1099120</v>
      </c>
      <c r="BY62" s="142">
        <f t="shared" ca="1" si="24"/>
        <v>0.57527840454181522</v>
      </c>
      <c r="BZ62" s="142">
        <f t="shared" ca="1" si="25"/>
        <v>9.0945483659654991E-2</v>
      </c>
      <c r="CA62" s="142">
        <f t="shared" ca="1" si="26"/>
        <v>0.22414295072421572</v>
      </c>
      <c r="CB62" s="142">
        <f t="shared" ca="1" si="27"/>
        <v>7.7334594948686225E-3</v>
      </c>
      <c r="CC62" s="142">
        <f t="shared" ca="1" si="28"/>
        <v>3.5482931799985441E-2</v>
      </c>
      <c r="CD62" s="142">
        <f t="shared" ca="1" si="29"/>
        <v>2.5474925394861344E-2</v>
      </c>
      <c r="CE62" s="142">
        <f t="shared" ca="1" si="30"/>
        <v>4.0941844384598587E-2</v>
      </c>
      <c r="CG62" s="128">
        <f t="shared" si="31"/>
        <v>49</v>
      </c>
      <c r="CH62" s="90">
        <f ca="1">INDEX(角色升级!$A:$A,MATCH(玩家节奏1!$BX62,角色升级!$J:$J,1))</f>
        <v>318</v>
      </c>
      <c r="CI62" s="90">
        <f ca="1">INDEX(角色升级!$O:$O,MATCH(玩家节奏1!$BX62,角色升级!$J:$J,1))</f>
        <v>7656.2389350000021</v>
      </c>
      <c r="CJ62" s="90">
        <f>INDEX(关卡对比!$J:$J,MATCH(玩家节奏1!N62,关卡对比!$A:$A,0))</f>
        <v>10700</v>
      </c>
      <c r="CK62" s="147">
        <f t="shared" ca="1" si="32"/>
        <v>1.3975530401860423</v>
      </c>
      <c r="CL62" s="128">
        <f ca="1">INDEX(角色升级!$P:$P,MATCH(玩家节奏1!$CH62,角色升级!$A:$A,0))</f>
        <v>2150</v>
      </c>
      <c r="CM62" s="90">
        <f ca="1">INDEX(角色升级!Q:Q,MATCH(玩家节奏1!$CH62,角色升级!$A:$A,0))</f>
        <v>0.3</v>
      </c>
      <c r="CO62" s="128">
        <f t="shared" si="33"/>
        <v>4574</v>
      </c>
      <c r="CP62" s="90">
        <f t="shared" si="34"/>
        <v>6246</v>
      </c>
      <c r="CQ62" s="90">
        <f t="shared" si="35"/>
        <v>7128</v>
      </c>
      <c r="CR62" s="90">
        <f t="shared" ca="1" si="36"/>
        <v>13782.5</v>
      </c>
      <c r="CS62" s="90">
        <f t="shared" ca="1" si="37"/>
        <v>31730.5</v>
      </c>
      <c r="CT62" s="142">
        <f t="shared" ca="1" si="38"/>
        <v>0.14415152613416113</v>
      </c>
      <c r="CU62" s="142">
        <f t="shared" ca="1" si="39"/>
        <v>0.19684530656623753</v>
      </c>
      <c r="CV62" s="142">
        <f t="shared" ca="1" si="40"/>
        <v>0.2246419060525362</v>
      </c>
      <c r="CW62" s="142">
        <f t="shared" ca="1" si="41"/>
        <v>0.43436126124706514</v>
      </c>
      <c r="CY62" s="128">
        <f t="shared" si="42"/>
        <v>2288</v>
      </c>
      <c r="CZ62" s="90">
        <f t="shared" si="43"/>
        <v>3046</v>
      </c>
      <c r="DA62" s="90">
        <f t="shared" si="44"/>
        <v>3224</v>
      </c>
      <c r="DB62" s="90">
        <f t="shared" ca="1" si="66"/>
        <v>7402</v>
      </c>
      <c r="DC62" s="90">
        <f t="shared" ca="1" si="45"/>
        <v>15960</v>
      </c>
      <c r="DD62" s="142">
        <f t="shared" ca="1" si="46"/>
        <v>0.14335839598997493</v>
      </c>
      <c r="DE62" s="142">
        <f t="shared" ca="1" si="47"/>
        <v>0.19085213032581452</v>
      </c>
      <c r="DF62" s="142">
        <f t="shared" ca="1" si="48"/>
        <v>0.20200501253132833</v>
      </c>
      <c r="DG62" s="142">
        <f t="shared" ca="1" si="49"/>
        <v>0.46378446115288219</v>
      </c>
      <c r="DI62" s="128">
        <f t="shared" si="50"/>
        <v>993</v>
      </c>
      <c r="DJ62" s="90">
        <f t="shared" si="51"/>
        <v>1337</v>
      </c>
      <c r="DK62" s="90">
        <f t="shared" si="52"/>
        <v>992</v>
      </c>
      <c r="DL62" s="90">
        <f t="shared" ca="1" si="53"/>
        <v>1015</v>
      </c>
      <c r="DM62" s="90">
        <f t="shared" ca="1" si="54"/>
        <v>4337</v>
      </c>
      <c r="DN62" s="142">
        <f t="shared" ca="1" si="55"/>
        <v>0.2289601106755822</v>
      </c>
      <c r="DO62" s="142">
        <f t="shared" ca="1" si="56"/>
        <v>0.30827761125201752</v>
      </c>
      <c r="DP62" s="142">
        <f t="shared" ca="1" si="57"/>
        <v>0.22872953654599953</v>
      </c>
      <c r="DQ62" s="142">
        <f t="shared" ca="1" si="58"/>
        <v>0.23403274152640074</v>
      </c>
      <c r="DS62" s="128">
        <f t="shared" ca="1" si="59"/>
        <v>31730.5</v>
      </c>
      <c r="DT62" s="90">
        <f t="shared" ca="1" si="60"/>
        <v>15960</v>
      </c>
      <c r="DU62" s="90">
        <f t="shared" ca="1" si="61"/>
        <v>4337</v>
      </c>
      <c r="DV62" s="90">
        <f t="shared" si="62"/>
        <v>39</v>
      </c>
      <c r="DW62" s="90">
        <f ca="1">_xlfn.IFNA(INDEX(武器升级消耗!$H:$H,MATCH(玩家节奏1!DS62/玩家节奏1!DS$5,武器升级消耗!M:M,1)),0)</f>
        <v>18</v>
      </c>
      <c r="DX62" s="90">
        <f ca="1">_xlfn.IFNA(INDEX(武器升级消耗!$H:$H,MATCH(玩家节奏1!DT62/玩家节奏1!DT$5,武器升级消耗!N:N,1)),0)</f>
        <v>15</v>
      </c>
      <c r="DY62" s="90">
        <f ca="1">_xlfn.IFNA(INDEX(武器升级消耗!$H:$H,MATCH(玩家节奏1!DU62/玩家节奏1!DU$5,武器升级消耗!O:O,1)),0)</f>
        <v>9</v>
      </c>
      <c r="DZ62" s="90">
        <f>_xlfn.IFNA(INDEX(武器升级消耗!$H:$H,MATCH(玩家节奏1!DV62/玩家节奏1!DV$5,武器升级消耗!P:P,1)),0)</f>
        <v>7</v>
      </c>
      <c r="EA62" s="90">
        <f ca="1">_xlfn.IFNA(INDEX(武器升级消耗!$Q:$Q,MATCH(玩家节奏1!DW62,武器升级消耗!$H:$H,0))*2*EA$4,0)</f>
        <v>2.64</v>
      </c>
      <c r="EB62" s="90">
        <f ca="1">_xlfn.IFNA(INDEX(武器升级消耗!$Q:$Q,MATCH(玩家节奏1!DX62,武器升级消耗!$H:$H,0))*2*EB$4,0)</f>
        <v>2.8499999999999996</v>
      </c>
      <c r="EC62" s="90">
        <f ca="1">_xlfn.IFNA(INDEX(武器升级消耗!$Q:$Q,MATCH(玩家节奏1!DY62,武器升级消耗!$H:$H,0))*2*EC$4,1)</f>
        <v>2.8600000000000003</v>
      </c>
      <c r="ED62" s="90">
        <f>_xlfn.IFNA(INDEX(武器升级消耗!$Q:$Q,MATCH(玩家节奏1!DZ62,武器升级消耗!$H:$H,0))*2*ED$4,0)</f>
        <v>3.3000000000000003</v>
      </c>
      <c r="EF62" s="128"/>
      <c r="EG62" s="90"/>
      <c r="EH62" s="90"/>
      <c r="EI62" s="90"/>
      <c r="EJ62" s="90"/>
      <c r="EK62" s="90"/>
      <c r="EL62" s="90"/>
      <c r="EM62" s="90"/>
      <c r="EO62" s="128"/>
      <c r="EP62" s="90"/>
      <c r="EQ62" s="90"/>
      <c r="ER62" s="90"/>
      <c r="ES62" s="90"/>
      <c r="ET62" s="90"/>
      <c r="EU62" s="90"/>
      <c r="EV62" s="90"/>
      <c r="EW62" s="90"/>
      <c r="EX62" s="90"/>
      <c r="EY62" s="90"/>
      <c r="EZ62" s="90"/>
      <c r="FA62" s="90"/>
      <c r="FB62" s="90"/>
      <c r="FD62" s="90">
        <f t="shared" ca="1" si="63"/>
        <v>2.8600000000000003</v>
      </c>
      <c r="FE62" s="90"/>
      <c r="FF62" s="90"/>
      <c r="FG62" s="90">
        <f t="shared" ca="1" si="64"/>
        <v>0</v>
      </c>
    </row>
    <row r="63" spans="1:163" x14ac:dyDescent="0.25">
      <c r="A63" s="123">
        <v>57</v>
      </c>
      <c r="B63" s="123">
        <f>INDEX(关卡对比!$Y:$Y,MATCH(关卡对比!Z63,关卡对比!$AA:$AA,1))</f>
        <v>41</v>
      </c>
      <c r="C63" s="124">
        <f>INDEX(关卡对比!$Y:$Y,MATCH(关卡对比!Z63,关卡对比!$AB:$AB,1))</f>
        <v>33</v>
      </c>
      <c r="D63" s="125">
        <f t="shared" si="70"/>
        <v>362.5</v>
      </c>
      <c r="E63" s="125">
        <v>3</v>
      </c>
      <c r="F63" s="128">
        <v>5</v>
      </c>
      <c r="G63" s="90">
        <v>1</v>
      </c>
      <c r="H63" s="90">
        <v>1</v>
      </c>
      <c r="J63" s="128">
        <v>57</v>
      </c>
      <c r="K63" s="90">
        <f t="shared" si="77"/>
        <v>5</v>
      </c>
      <c r="L63" s="90">
        <f t="shared" si="78"/>
        <v>1</v>
      </c>
      <c r="M63" s="90">
        <f t="shared" si="79"/>
        <v>1</v>
      </c>
      <c r="N63" s="140">
        <f>INDEX($A:$A,MATCH(SUM($K$7:K63),$D:$D,1))</f>
        <v>49</v>
      </c>
      <c r="O63" s="140">
        <v>0</v>
      </c>
      <c r="P63" s="141">
        <v>0</v>
      </c>
      <c r="Q63" s="126">
        <f>_xlfn.MAXIFS(关卡产出!X:X,关卡产出!$A:$A,玩家节奏1!$N$6,关卡产出!$B:$B,玩家节奏1!$N63)+_xlfn.MAXIFS(关卡产出!X:X,关卡产出!$A:$A,玩家节奏1!$O$6,关卡产出!$B:$B,玩家节奏1!$O63)+_xlfn.MAXIFS(关卡产出!X:X,关卡产出!$A:$A,玩家节奏1!$P$6,关卡产出!$B:$B,玩家节奏1!$P63)</f>
        <v>8300</v>
      </c>
      <c r="R63" s="90">
        <f>_xlfn.MAXIFS(关卡产出!Y:Y,关卡产出!$A:$A,玩家节奏1!$N$6,关卡产出!$B:$B,玩家节奏1!$N63)+_xlfn.MAXIFS(关卡产出!Y:Y,关卡产出!$A:$A,玩家节奏1!$O$6,关卡产出!$B:$B,玩家节奏1!$O63)+_xlfn.MAXIFS(关卡产出!Y:Y,关卡产出!$A:$A,玩家节奏1!$P$6,关卡产出!$B:$B,玩家节奏1!$P63)</f>
        <v>632300</v>
      </c>
      <c r="S63" s="90">
        <f>_xlfn.MAXIFS(关卡产出!Z:Z,关卡产出!$A:$A,玩家节奏1!$N$6,关卡产出!$B:$B,玩家节奏1!$N63)+_xlfn.MAXIFS(关卡产出!Z:Z,关卡产出!$A:$A,玩家节奏1!$O$6,关卡产出!$B:$B,玩家节奏1!$O63)+_xlfn.MAXIFS(关卡产出!Z:Z,关卡产出!$A:$A,玩家节奏1!$P$6,关卡产出!$B:$B,玩家节奏1!$P63)</f>
        <v>4574</v>
      </c>
      <c r="T63" s="90">
        <f>_xlfn.MAXIFS(关卡产出!AA:AA,关卡产出!$A:$A,玩家节奏1!$N$6,关卡产出!$B:$B,玩家节奏1!$N63)+_xlfn.MAXIFS(关卡产出!AA:AA,关卡产出!$A:$A,玩家节奏1!$O$6,关卡产出!$B:$B,玩家节奏1!$O63)+_xlfn.MAXIFS(关卡产出!AA:AA,关卡产出!$A:$A,玩家节奏1!$P$6,关卡产出!$B:$B,玩家节奏1!$P63)</f>
        <v>2288</v>
      </c>
      <c r="U63" s="90">
        <f>_xlfn.MAXIFS(关卡产出!AB:AB,关卡产出!$A:$A,玩家节奏1!$N$6,关卡产出!$B:$B,玩家节奏1!$N63)+_xlfn.MAXIFS(关卡产出!AB:AB,关卡产出!$A:$A,玩家节奏1!$O$6,关卡产出!$B:$B,玩家节奏1!$O63)+_xlfn.MAXIFS(关卡产出!AB:AB,关卡产出!$A:$A,玩家节奏1!$P$6,关卡产出!$B:$B,玩家节奏1!$P63)</f>
        <v>993</v>
      </c>
      <c r="V63" s="130">
        <f>_xlfn.MAXIFS(关卡产出!AC:AC,关卡产出!$A:$A,玩家节奏1!$N$6,关卡产出!$B:$B,玩家节奏1!$N63)+_xlfn.MAXIFS(关卡产出!AC:AC,关卡产出!$A:$A,玩家节奏1!$O$6,关卡产出!$B:$B,玩家节奏1!$O63)+_xlfn.MAXIFS(关卡产出!AC:AC,关卡产出!$A:$A,玩家节奏1!$P$6,关卡产出!$B:$B,玩家节奏1!$P63)</f>
        <v>294</v>
      </c>
      <c r="W63" s="126">
        <f>INDEX(关卡产出!C$8:C$207,MATCH(玩家节奏1!$N63,关卡产出!$B$8:$B$207,0))*$K63</f>
        <v>190</v>
      </c>
      <c r="X63" s="126">
        <f>INDEX(关卡产出!D$8:D$207,MATCH(玩家节奏1!$N63,关卡产出!$B$8:$B$207,0))*$K63</f>
        <v>95</v>
      </c>
      <c r="Y63" s="126">
        <f>INDEX(关卡产出!E$8:E$207,MATCH(玩家节奏1!$N63,关卡产出!$B$8:$B$207,0))*$K63</f>
        <v>45</v>
      </c>
      <c r="Z63" s="144">
        <f>INDEX(关卡产出!F$8:F$207,MATCH(玩家节奏1!$N63,关卡产出!$B$8:$B$207,0))*$K63</f>
        <v>2750</v>
      </c>
      <c r="AA63" s="126">
        <f>SUM(W$7:W63)</f>
        <v>6436</v>
      </c>
      <c r="AB63" s="126">
        <f>SUM(X$7:X63)</f>
        <v>3141</v>
      </c>
      <c r="AC63" s="126">
        <f>SUM(Y$7:Y63)</f>
        <v>1382</v>
      </c>
      <c r="AD63" s="126">
        <f>SUM(Z$7:Z63)</f>
        <v>102710</v>
      </c>
      <c r="AE63" s="126">
        <f>INDEX(图鉴!AQ:AQ,MATCH($N63,图鉴!$S:$S,0))*8</f>
        <v>152</v>
      </c>
      <c r="AF63" s="90">
        <f>INDEX(图鉴!AR:AR,MATCH($N63,图鉴!$S:$S,0))*8</f>
        <v>80</v>
      </c>
      <c r="AG63" s="90">
        <f>INDEX(图鉴!AS:AS,MATCH($N63,图鉴!$S:$S,0))*8</f>
        <v>32</v>
      </c>
      <c r="AH63" s="129">
        <f ca="1">INDEX(图鉴!AT:AT,MATCH($N63,图鉴!$S:$S,0))*8</f>
        <v>6080</v>
      </c>
      <c r="AI63" s="128">
        <f>SUM($AE$7:AE63)</f>
        <v>7280</v>
      </c>
      <c r="AJ63" s="90">
        <f>SUM(AF$7:AF63)</f>
        <v>3304</v>
      </c>
      <c r="AK63" s="90">
        <f>SUM(AG$7:AG63)</f>
        <v>1024</v>
      </c>
      <c r="AL63" s="130">
        <f ca="1">SUM(AH$7:AH63)</f>
        <v>252440</v>
      </c>
      <c r="AM63" s="133">
        <f>IF(M63=0,0,INDEX(关卡产出!$AU$11:$AU$15,MATCH(玩家节奏1!N63,关卡产出!$AW$11:$AW$15,1))*M63)</f>
        <v>8500</v>
      </c>
      <c r="AN63" s="126">
        <f>IF(L63=0,0,$L63*关卡产出!AU$21)</f>
        <v>1000</v>
      </c>
      <c r="AO63" s="90">
        <f>IF(M63=0,0,$L63*关卡产出!AV$21)</f>
        <v>50</v>
      </c>
      <c r="AP63" s="129">
        <f>IF(N63=0,0,$L63*关卡产出!AW$21)</f>
        <v>1</v>
      </c>
      <c r="AQ63" s="138">
        <f>SUM(AN$7:AN63)</f>
        <v>40000</v>
      </c>
      <c r="AR63" s="126">
        <f>SUM(AO$7:AO63)</f>
        <v>2000</v>
      </c>
      <c r="AS63" s="129">
        <f>SUM(AP$7:AP63)</f>
        <v>40</v>
      </c>
      <c r="AT63" s="128">
        <v>500</v>
      </c>
      <c r="AU63" s="129">
        <v>100</v>
      </c>
      <c r="AV63" s="128">
        <f>SUM(AT$7:AT63)</f>
        <v>28500</v>
      </c>
      <c r="AW63" s="90">
        <f>SUM(AU$7:AU63)</f>
        <v>5700</v>
      </c>
      <c r="AY63" s="128">
        <f t="shared" si="13"/>
        <v>8300</v>
      </c>
      <c r="AZ63" s="90">
        <f t="shared" si="14"/>
        <v>2000</v>
      </c>
      <c r="BA63" s="90">
        <f t="shared" si="15"/>
        <v>5700</v>
      </c>
      <c r="BB63" s="90">
        <f t="shared" ca="1" si="65"/>
        <v>2150</v>
      </c>
      <c r="BC63" s="90">
        <f t="shared" ca="1" si="68"/>
        <v>18150</v>
      </c>
      <c r="BD63" s="90"/>
      <c r="BE63" s="90">
        <f t="shared" ca="1" si="17"/>
        <v>18150</v>
      </c>
      <c r="BF63" s="142">
        <f t="shared" ca="1" si="18"/>
        <v>0.45730027548209368</v>
      </c>
      <c r="BG63" s="142">
        <f t="shared" ca="1" si="19"/>
        <v>0.11019283746556474</v>
      </c>
      <c r="BH63" s="142">
        <f t="shared" ca="1" si="80"/>
        <v>0.31404958677685951</v>
      </c>
      <c r="BI63" s="142">
        <f t="shared" ca="1" si="81"/>
        <v>0.1184573002754821</v>
      </c>
      <c r="BJ63" s="143"/>
      <c r="BK63" s="128">
        <f ca="1">INDEX(商城宝箱!$L:$L,MATCH(BC63,商城宝箱!$N:$N,1))</f>
        <v>6</v>
      </c>
      <c r="BL63" s="90">
        <f ca="1">_xlfn.IFNA(INDEX(商城宝箱!T:T,MATCH(玩家节奏1!$BK63,商城宝箱!$L:$L,0)),0)+($BC63-INDEX(商城宝箱!$N:$N,MATCH(玩家节奏1!$BK63,商城宝箱!$L:$L,0)))/$BK$5*INDEX(商城宝箱!E$23:E$42,MATCH(玩家节奏1!$BK63+1,商城宝箱!$C$23:$C$42,0))</f>
        <v>45375</v>
      </c>
      <c r="BM63" s="90">
        <f ca="1">_xlfn.IFNA(INDEX(商城宝箱!U:U,MATCH(玩家节奏1!$BK63,商城宝箱!$L:$L,0)),0)+($BC63-INDEX(商城宝箱!$N:$N,MATCH(玩家节奏1!$BK63,商城宝箱!$L:$L,0)))/$BK$5*INDEX(商城宝箱!F$23:F$42,MATCH(玩家节奏1!$BK63+1,商城宝箱!$C$23:$C$42,0))</f>
        <v>13977.5</v>
      </c>
      <c r="BN63" s="90">
        <f ca="1">_xlfn.IFNA(INDEX(商城宝箱!V:V,MATCH(玩家节奏1!$BK63,商城宝箱!$L:$L,0)),0)+($BC63-INDEX(商城宝箱!$N:$N,MATCH(玩家节奏1!$BK63,商城宝箱!$L:$L,0)))/$BK$5*INDEX(商城宝箱!G$23:G$42,MATCH(玩家节奏1!$BK63+1,商城宝箱!$C$23:$C$42,0))</f>
        <v>7529.5</v>
      </c>
      <c r="BO63" s="90">
        <f ca="1">_xlfn.IFNA(INDEX(商城宝箱!W:W,MATCH(玩家节奏1!$BK63,商城宝箱!$L:$L,0)),0)+($BC63-INDEX(商城宝箱!$N:$N,MATCH(玩家节奏1!$BK63,商城宝箱!$L:$L,0)))/$BK$5*INDEX(商城宝箱!H$23:H$42,MATCH(玩家节奏1!$BK63+1,商城宝箱!$C$23:$C$42,0))</f>
        <v>1032.25</v>
      </c>
      <c r="BQ63" s="128">
        <f t="shared" si="71"/>
        <v>632300</v>
      </c>
      <c r="BR63" s="90">
        <f t="shared" si="72"/>
        <v>102710</v>
      </c>
      <c r="BS63" s="90">
        <f t="shared" ca="1" si="73"/>
        <v>252440</v>
      </c>
      <c r="BT63" s="90">
        <f t="shared" si="74"/>
        <v>8500</v>
      </c>
      <c r="BU63" s="90">
        <f t="shared" si="75"/>
        <v>40000</v>
      </c>
      <c r="BV63" s="90">
        <f t="shared" si="76"/>
        <v>28500</v>
      </c>
      <c r="BW63" s="90">
        <f t="shared" ca="1" si="22"/>
        <v>45375</v>
      </c>
      <c r="BX63" s="90">
        <f t="shared" ca="1" si="23"/>
        <v>1109825</v>
      </c>
      <c r="BY63" s="142">
        <f t="shared" ca="1" si="24"/>
        <v>0.56972946185209383</v>
      </c>
      <c r="BZ63" s="142">
        <f t="shared" ca="1" si="25"/>
        <v>9.2546122136372852E-2</v>
      </c>
      <c r="CA63" s="142">
        <f t="shared" ca="1" si="26"/>
        <v>0.22745928412137048</v>
      </c>
      <c r="CB63" s="142">
        <f t="shared" ca="1" si="27"/>
        <v>7.6588651363953776E-3</v>
      </c>
      <c r="CC63" s="142">
        <f t="shared" ca="1" si="28"/>
        <v>3.6041718288919423E-2</v>
      </c>
      <c r="CD63" s="142">
        <f t="shared" ca="1" si="29"/>
        <v>2.567972428085509E-2</v>
      </c>
      <c r="CE63" s="142">
        <f t="shared" ca="1" si="30"/>
        <v>4.0884824183992974E-2</v>
      </c>
      <c r="CG63" s="128">
        <f t="shared" si="31"/>
        <v>49</v>
      </c>
      <c r="CH63" s="90">
        <f ca="1">INDEX(角色升级!$A:$A,MATCH(玩家节奏1!$BX63,角色升级!$J:$J,1))</f>
        <v>320</v>
      </c>
      <c r="CI63" s="90">
        <f ca="1">INDEX(角色升级!$O:$O,MATCH(玩家节奏1!$BX63,角色升级!$J:$J,1))</f>
        <v>7670.0713450000021</v>
      </c>
      <c r="CJ63" s="90">
        <f>INDEX(关卡对比!$J:$J,MATCH(玩家节奏1!N63,关卡对比!$A:$A,0))</f>
        <v>10700</v>
      </c>
      <c r="CK63" s="147">
        <f t="shared" ca="1" si="32"/>
        <v>1.3950326559837232</v>
      </c>
      <c r="CL63" s="128">
        <f ca="1">INDEX(角色升级!$P:$P,MATCH(玩家节奏1!$CH63,角色升级!$A:$A,0))</f>
        <v>2150</v>
      </c>
      <c r="CM63" s="90">
        <f ca="1">INDEX(角色升级!Q:Q,MATCH(玩家节奏1!$CH63,角色升级!$A:$A,0))</f>
        <v>0.3</v>
      </c>
      <c r="CO63" s="128">
        <f t="shared" si="33"/>
        <v>4574</v>
      </c>
      <c r="CP63" s="90">
        <f t="shared" si="34"/>
        <v>6436</v>
      </c>
      <c r="CQ63" s="90">
        <f t="shared" si="35"/>
        <v>7280</v>
      </c>
      <c r="CR63" s="90">
        <f t="shared" ca="1" si="36"/>
        <v>13977.5</v>
      </c>
      <c r="CS63" s="90">
        <f t="shared" ca="1" si="37"/>
        <v>32267.5</v>
      </c>
      <c r="CT63" s="142">
        <f t="shared" ca="1" si="38"/>
        <v>0.14175253738281551</v>
      </c>
      <c r="CU63" s="142">
        <f t="shared" ca="1" si="39"/>
        <v>0.19945765863484929</v>
      </c>
      <c r="CV63" s="142">
        <f t="shared" ca="1" si="40"/>
        <v>0.22561400790268846</v>
      </c>
      <c r="CW63" s="142">
        <f t="shared" ca="1" si="41"/>
        <v>0.43317579607964668</v>
      </c>
      <c r="CY63" s="128">
        <f t="shared" si="42"/>
        <v>2288</v>
      </c>
      <c r="CZ63" s="90">
        <f t="shared" si="43"/>
        <v>3141</v>
      </c>
      <c r="DA63" s="90">
        <f t="shared" si="44"/>
        <v>3304</v>
      </c>
      <c r="DB63" s="90">
        <f t="shared" ca="1" si="66"/>
        <v>7529.5</v>
      </c>
      <c r="DC63" s="90">
        <f t="shared" ca="1" si="45"/>
        <v>16262.5</v>
      </c>
      <c r="DD63" s="142">
        <f t="shared" ca="1" si="46"/>
        <v>0.14069177555726364</v>
      </c>
      <c r="DE63" s="142">
        <f t="shared" ca="1" si="47"/>
        <v>0.19314373558800924</v>
      </c>
      <c r="DF63" s="142">
        <f t="shared" ca="1" si="48"/>
        <v>0.20316679477325134</v>
      </c>
      <c r="DG63" s="142">
        <f t="shared" ca="1" si="49"/>
        <v>0.46299769408147579</v>
      </c>
      <c r="DI63" s="128">
        <f t="shared" si="50"/>
        <v>993</v>
      </c>
      <c r="DJ63" s="90">
        <f t="shared" si="51"/>
        <v>1382</v>
      </c>
      <c r="DK63" s="90">
        <f t="shared" si="52"/>
        <v>1024</v>
      </c>
      <c r="DL63" s="90">
        <f t="shared" ca="1" si="53"/>
        <v>1032.25</v>
      </c>
      <c r="DM63" s="90">
        <f t="shared" ca="1" si="54"/>
        <v>4431.25</v>
      </c>
      <c r="DN63" s="142">
        <f t="shared" ca="1" si="55"/>
        <v>0.22409026798307474</v>
      </c>
      <c r="DO63" s="142">
        <f t="shared" ca="1" si="56"/>
        <v>0.31187588152327222</v>
      </c>
      <c r="DP63" s="142">
        <f t="shared" ca="1" si="57"/>
        <v>0.23108603667136812</v>
      </c>
      <c r="DQ63" s="142">
        <f t="shared" ca="1" si="58"/>
        <v>0.23294781382228491</v>
      </c>
      <c r="DS63" s="128">
        <f t="shared" ca="1" si="59"/>
        <v>32267.5</v>
      </c>
      <c r="DT63" s="90">
        <f t="shared" ca="1" si="60"/>
        <v>16262.5</v>
      </c>
      <c r="DU63" s="90">
        <f t="shared" ca="1" si="61"/>
        <v>4431.25</v>
      </c>
      <c r="DV63" s="90">
        <f t="shared" si="62"/>
        <v>40</v>
      </c>
      <c r="DW63" s="90">
        <f ca="1">_xlfn.IFNA(INDEX(武器升级消耗!$H:$H,MATCH(玩家节奏1!DS63/玩家节奏1!DS$5,武器升级消耗!M:M,1)),0)</f>
        <v>18</v>
      </c>
      <c r="DX63" s="90">
        <f ca="1">_xlfn.IFNA(INDEX(武器升级消耗!$H:$H,MATCH(玩家节奏1!DT63/玩家节奏1!DT$5,武器升级消耗!N:N,1)),0)</f>
        <v>15</v>
      </c>
      <c r="DY63" s="90">
        <f ca="1">_xlfn.IFNA(INDEX(武器升级消耗!$H:$H,MATCH(玩家节奏1!DU63/玩家节奏1!DU$5,武器升级消耗!O:O,1)),0)</f>
        <v>10</v>
      </c>
      <c r="DZ63" s="90">
        <f>_xlfn.IFNA(INDEX(武器升级消耗!$H:$H,MATCH(玩家节奏1!DV63/玩家节奏1!DV$5,武器升级消耗!P:P,1)),0)</f>
        <v>7</v>
      </c>
      <c r="EA63" s="90">
        <f ca="1">_xlfn.IFNA(INDEX(武器升级消耗!$Q:$Q,MATCH(玩家节奏1!DW63,武器升级消耗!$H:$H,0))*2*EA$4,0)</f>
        <v>2.64</v>
      </c>
      <c r="EB63" s="90">
        <f ca="1">_xlfn.IFNA(INDEX(武器升级消耗!$Q:$Q,MATCH(玩家节奏1!DX63,武器升级消耗!$H:$H,0))*2*EB$4,0)</f>
        <v>2.8499999999999996</v>
      </c>
      <c r="EC63" s="90">
        <f ca="1">_xlfn.IFNA(INDEX(武器升级消耗!$Q:$Q,MATCH(玩家节奏1!DY63,武器升级消耗!$H:$H,0))*2*EC$4,1)</f>
        <v>3.08</v>
      </c>
      <c r="ED63" s="90">
        <f>_xlfn.IFNA(INDEX(武器升级消耗!$Q:$Q,MATCH(玩家节奏1!DZ63,武器升级消耗!$H:$H,0))*2*ED$4,0)</f>
        <v>3.3000000000000003</v>
      </c>
      <c r="EF63" s="128"/>
      <c r="EG63" s="90"/>
      <c r="EH63" s="90"/>
      <c r="EI63" s="90"/>
      <c r="EJ63" s="90"/>
      <c r="EK63" s="90"/>
      <c r="EL63" s="90"/>
      <c r="EM63" s="90"/>
      <c r="EO63" s="128"/>
      <c r="EP63" s="90"/>
      <c r="EQ63" s="90"/>
      <c r="ER63" s="90"/>
      <c r="ES63" s="90"/>
      <c r="ET63" s="90"/>
      <c r="EU63" s="90"/>
      <c r="EV63" s="90"/>
      <c r="EW63" s="90"/>
      <c r="EX63" s="90"/>
      <c r="EY63" s="90"/>
      <c r="EZ63" s="90"/>
      <c r="FA63" s="90"/>
      <c r="FB63" s="90"/>
      <c r="FD63" s="90">
        <f t="shared" ca="1" si="63"/>
        <v>3.08</v>
      </c>
      <c r="FE63" s="90"/>
      <c r="FF63" s="90"/>
      <c r="FG63" s="90">
        <f t="shared" ca="1" si="64"/>
        <v>0</v>
      </c>
    </row>
    <row r="64" spans="1:163" x14ac:dyDescent="0.25">
      <c r="A64" s="123">
        <v>58</v>
      </c>
      <c r="B64" s="123">
        <f>INDEX(关卡对比!$Y:$Y,MATCH(关卡对比!Z64,关卡对比!$AA:$AA,1))</f>
        <v>42</v>
      </c>
      <c r="C64" s="124">
        <f>INDEX(关卡对比!$Y:$Y,MATCH(关卡对比!Z64,关卡对比!$AB:$AB,1))</f>
        <v>33</v>
      </c>
      <c r="D64" s="125">
        <f t="shared" si="70"/>
        <v>368.5</v>
      </c>
      <c r="E64" s="125">
        <v>3</v>
      </c>
      <c r="F64" s="128">
        <v>5</v>
      </c>
      <c r="G64" s="90">
        <v>1</v>
      </c>
      <c r="H64" s="90">
        <v>1</v>
      </c>
      <c r="J64" s="128">
        <v>58</v>
      </c>
      <c r="K64" s="90">
        <f t="shared" si="77"/>
        <v>5</v>
      </c>
      <c r="L64" s="90">
        <f t="shared" si="78"/>
        <v>1</v>
      </c>
      <c r="M64" s="90">
        <f t="shared" si="79"/>
        <v>1</v>
      </c>
      <c r="N64" s="140">
        <f>INDEX($A:$A,MATCH(SUM($K$7:K64),$D:$D,1))</f>
        <v>50</v>
      </c>
      <c r="O64" s="140">
        <v>0</v>
      </c>
      <c r="P64" s="141">
        <v>0</v>
      </c>
      <c r="Q64" s="126">
        <f>_xlfn.MAXIFS(关卡产出!X:X,关卡产出!$A:$A,玩家节奏1!$N$6,关卡产出!$B:$B,玩家节奏1!$N64)+_xlfn.MAXIFS(关卡产出!X:X,关卡产出!$A:$A,玩家节奏1!$O$6,关卡产出!$B:$B,玩家节奏1!$O64)+_xlfn.MAXIFS(关卡产出!X:X,关卡产出!$A:$A,玩家节奏1!$P$6,关卡产出!$B:$B,玩家节奏1!$P64)</f>
        <v>8500</v>
      </c>
      <c r="R64" s="90">
        <f>_xlfn.MAXIFS(关卡产出!Y:Y,关卡产出!$A:$A,玩家节奏1!$N$6,关卡产出!$B:$B,玩家节奏1!$N64)+_xlfn.MAXIFS(关卡产出!Y:Y,关卡产出!$A:$A,玩家节奏1!$O$6,关卡产出!$B:$B,玩家节奏1!$O64)+_xlfn.MAXIFS(关卡产出!Y:Y,关卡产出!$A:$A,玩家节奏1!$P$6,关卡产出!$B:$B,玩家节奏1!$P64)</f>
        <v>660000</v>
      </c>
      <c r="S64" s="90">
        <f>_xlfn.MAXIFS(关卡产出!Z:Z,关卡产出!$A:$A,玩家节奏1!$N$6,关卡产出!$B:$B,玩家节奏1!$N64)+_xlfn.MAXIFS(关卡产出!Z:Z,关卡产出!$A:$A,玩家节奏1!$O$6,关卡产出!$B:$B,玩家节奏1!$O64)+_xlfn.MAXIFS(关卡产出!Z:Z,关卡产出!$A:$A,玩家节奏1!$P$6,关卡产出!$B:$B,玩家节奏1!$P64)</f>
        <v>4766</v>
      </c>
      <c r="T64" s="90">
        <f>_xlfn.MAXIFS(关卡产出!AA:AA,关卡产出!$A:$A,玩家节奏1!$N$6,关卡产出!$B:$B,玩家节奏1!$N64)+_xlfn.MAXIFS(关卡产出!AA:AA,关卡产出!$A:$A,玩家节奏1!$O$6,关卡产出!$B:$B,玩家节奏1!$O64)+_xlfn.MAXIFS(关卡产出!AA:AA,关卡产出!$A:$A,玩家节奏1!$P$6,关卡产出!$B:$B,玩家节奏1!$P64)</f>
        <v>2384</v>
      </c>
      <c r="U64" s="90">
        <f>_xlfn.MAXIFS(关卡产出!AB:AB,关卡产出!$A:$A,玩家节奏1!$N$6,关卡产出!$B:$B,玩家节奏1!$N64)+_xlfn.MAXIFS(关卡产出!AB:AB,关卡产出!$A:$A,玩家节奏1!$O$6,关卡产出!$B:$B,玩家节奏1!$O64)+_xlfn.MAXIFS(关卡产出!AB:AB,关卡产出!$A:$A,玩家节奏1!$P$6,关卡产出!$B:$B,玩家节奏1!$P64)</f>
        <v>1038</v>
      </c>
      <c r="V64" s="130">
        <f>_xlfn.MAXIFS(关卡产出!AC:AC,关卡产出!$A:$A,玩家节奏1!$N$6,关卡产出!$B:$B,玩家节奏1!$N64)+_xlfn.MAXIFS(关卡产出!AC:AC,关卡产出!$A:$A,玩家节奏1!$O$6,关卡产出!$B:$B,玩家节奏1!$O64)+_xlfn.MAXIFS(关卡产出!AC:AC,关卡产出!$A:$A,玩家节奏1!$P$6,关卡产出!$B:$B,玩家节奏1!$P64)</f>
        <v>300</v>
      </c>
      <c r="W64" s="126">
        <f>INDEX(关卡产出!C$8:C$207,MATCH(玩家节奏1!$N64,关卡产出!$B$8:$B$207,0))*$K64</f>
        <v>190</v>
      </c>
      <c r="X64" s="126">
        <f>INDEX(关卡产出!D$8:D$207,MATCH(玩家节奏1!$N64,关卡产出!$B$8:$B$207,0))*$K64</f>
        <v>95</v>
      </c>
      <c r="Y64" s="126">
        <f>INDEX(关卡产出!E$8:E$207,MATCH(玩家节奏1!$N64,关卡产出!$B$8:$B$207,0))*$K64</f>
        <v>45</v>
      </c>
      <c r="Z64" s="144">
        <f>INDEX(关卡产出!F$8:F$207,MATCH(玩家节奏1!$N64,关卡产出!$B$8:$B$207,0))*$K64</f>
        <v>2750</v>
      </c>
      <c r="AA64" s="126">
        <f>SUM(W$7:W64)</f>
        <v>6626</v>
      </c>
      <c r="AB64" s="126">
        <f>SUM(X$7:X64)</f>
        <v>3236</v>
      </c>
      <c r="AC64" s="126">
        <f>SUM(Y$7:Y64)</f>
        <v>1427</v>
      </c>
      <c r="AD64" s="126">
        <f>SUM(Z$7:Z64)</f>
        <v>105460</v>
      </c>
      <c r="AE64" s="126">
        <f>INDEX(图鉴!AQ:AQ,MATCH($N64,图鉴!$S:$S,0))*8</f>
        <v>160</v>
      </c>
      <c r="AF64" s="90">
        <f>INDEX(图鉴!AR:AR,MATCH($N64,图鉴!$S:$S,0))*8</f>
        <v>80</v>
      </c>
      <c r="AG64" s="90">
        <f>INDEX(图鉴!AS:AS,MATCH($N64,图鉴!$S:$S,0))*8</f>
        <v>32</v>
      </c>
      <c r="AH64" s="129">
        <f ca="1">INDEX(图鉴!AT:AT,MATCH($N64,图鉴!$S:$S,0))*8</f>
        <v>6280</v>
      </c>
      <c r="AI64" s="128">
        <f>SUM($AE$7:AE64)</f>
        <v>7440</v>
      </c>
      <c r="AJ64" s="90">
        <f>SUM(AF$7:AF64)</f>
        <v>3384</v>
      </c>
      <c r="AK64" s="90">
        <f>SUM(AG$7:AG64)</f>
        <v>1056</v>
      </c>
      <c r="AL64" s="130">
        <f ca="1">SUM(AH$7:AH64)</f>
        <v>258720</v>
      </c>
      <c r="AM64" s="133">
        <f>IF(M64=0,0,INDEX(关卡产出!$AU$11:$AU$15,MATCH(玩家节奏1!N64,关卡产出!$AW$11:$AW$15,1))*M64)</f>
        <v>8500</v>
      </c>
      <c r="AN64" s="126">
        <f>IF(L64=0,0,$L64*关卡产出!AU$21)</f>
        <v>1000</v>
      </c>
      <c r="AO64" s="90">
        <f>IF(M64=0,0,$L64*关卡产出!AV$21)</f>
        <v>50</v>
      </c>
      <c r="AP64" s="129">
        <f>IF(N64=0,0,$L64*关卡产出!AW$21)</f>
        <v>1</v>
      </c>
      <c r="AQ64" s="138">
        <f>SUM(AN$7:AN64)</f>
        <v>41000</v>
      </c>
      <c r="AR64" s="126">
        <f>SUM(AO$7:AO64)</f>
        <v>2050</v>
      </c>
      <c r="AS64" s="129">
        <f>SUM(AP$7:AP64)</f>
        <v>41</v>
      </c>
      <c r="AT64" s="128">
        <v>500</v>
      </c>
      <c r="AU64" s="129">
        <v>100</v>
      </c>
      <c r="AV64" s="128">
        <f>SUM(AT$7:AT64)</f>
        <v>29000</v>
      </c>
      <c r="AW64" s="90">
        <f>SUM(AU$7:AU64)</f>
        <v>5800</v>
      </c>
      <c r="AY64" s="128">
        <f t="shared" si="13"/>
        <v>8500</v>
      </c>
      <c r="AZ64" s="90">
        <f t="shared" si="14"/>
        <v>2050</v>
      </c>
      <c r="BA64" s="90">
        <f t="shared" si="15"/>
        <v>5800</v>
      </c>
      <c r="BB64" s="90">
        <f t="shared" ca="1" si="65"/>
        <v>2150</v>
      </c>
      <c r="BC64" s="90">
        <f t="shared" ca="1" si="68"/>
        <v>18500</v>
      </c>
      <c r="BD64" s="90"/>
      <c r="BE64" s="90">
        <f t="shared" ca="1" si="17"/>
        <v>18500</v>
      </c>
      <c r="BF64" s="142">
        <f t="shared" ca="1" si="18"/>
        <v>0.45945945945945948</v>
      </c>
      <c r="BG64" s="142">
        <f t="shared" ca="1" si="19"/>
        <v>0.11081081081081082</v>
      </c>
      <c r="BH64" s="142">
        <f t="shared" ca="1" si="80"/>
        <v>0.31351351351351353</v>
      </c>
      <c r="BI64" s="142">
        <f t="shared" ca="1" si="81"/>
        <v>0.11621621621621622</v>
      </c>
      <c r="BJ64" s="143"/>
      <c r="BK64" s="128">
        <f ca="1">INDEX(商城宝箱!$L:$L,MATCH(BC64,商城宝箱!$N:$N,1))</f>
        <v>6</v>
      </c>
      <c r="BL64" s="90">
        <f ca="1">_xlfn.IFNA(INDEX(商城宝箱!T:T,MATCH(玩家节奏1!$BK64,商城宝箱!$L:$L,0)),0)+($BC64-INDEX(商城宝箱!$N:$N,MATCH(玩家节奏1!$BK64,商城宝箱!$L:$L,0)))/$BK$5*INDEX(商城宝箱!E$23:E$42,MATCH(玩家节奏1!$BK64+1,商城宝箱!$C$23:$C$42,0))</f>
        <v>46250</v>
      </c>
      <c r="BM64" s="90">
        <f ca="1">_xlfn.IFNA(INDEX(商城宝箱!U:U,MATCH(玩家节奏1!$BK64,商城宝箱!$L:$L,0)),0)+($BC64-INDEX(商城宝箱!$N:$N,MATCH(玩家节奏1!$BK64,商城宝箱!$L:$L,0)))/$BK$5*INDEX(商城宝箱!F$23:F$42,MATCH(玩家节奏1!$BK64+1,商城宝箱!$C$23:$C$42,0))</f>
        <v>14432.5</v>
      </c>
      <c r="BN64" s="90">
        <f ca="1">_xlfn.IFNA(INDEX(商城宝箱!V:V,MATCH(玩家节奏1!$BK64,商城宝箱!$L:$L,0)),0)+($BC64-INDEX(商城宝箱!$N:$N,MATCH(玩家节奏1!$BK64,商城宝箱!$L:$L,0)))/$BK$5*INDEX(商城宝箱!G$23:G$42,MATCH(玩家节奏1!$BK64+1,商城宝箱!$C$23:$C$42,0))</f>
        <v>7827</v>
      </c>
      <c r="BO64" s="90">
        <f ca="1">_xlfn.IFNA(INDEX(商城宝箱!W:W,MATCH(玩家节奏1!$BK64,商城宝箱!$L:$L,0)),0)+($BC64-INDEX(商城宝箱!$N:$N,MATCH(玩家节奏1!$BK64,商城宝箱!$L:$L,0)))/$BK$5*INDEX(商城宝箱!H$23:H$42,MATCH(玩家节奏1!$BK64+1,商城宝箱!$C$23:$C$42,0))</f>
        <v>1072.5</v>
      </c>
      <c r="BQ64" s="128">
        <f t="shared" si="71"/>
        <v>660000</v>
      </c>
      <c r="BR64" s="90">
        <f t="shared" si="72"/>
        <v>105460</v>
      </c>
      <c r="BS64" s="90">
        <f t="shared" ca="1" si="73"/>
        <v>258720</v>
      </c>
      <c r="BT64" s="90">
        <f t="shared" si="74"/>
        <v>8500</v>
      </c>
      <c r="BU64" s="90">
        <f t="shared" si="75"/>
        <v>41000</v>
      </c>
      <c r="BV64" s="90">
        <f t="shared" si="76"/>
        <v>29000</v>
      </c>
      <c r="BW64" s="90">
        <f t="shared" ca="1" si="22"/>
        <v>46250</v>
      </c>
      <c r="BX64" s="90">
        <f t="shared" ca="1" si="23"/>
        <v>1148930</v>
      </c>
      <c r="BY64" s="142">
        <f t="shared" ca="1" si="24"/>
        <v>0.57444752944043587</v>
      </c>
      <c r="BZ64" s="142">
        <f t="shared" ca="1" si="25"/>
        <v>9.1789752204224806E-2</v>
      </c>
      <c r="CA64" s="142">
        <f t="shared" ca="1" si="26"/>
        <v>0.22518343154065087</v>
      </c>
      <c r="CB64" s="142">
        <f t="shared" ca="1" si="27"/>
        <v>7.3981878791571287E-3</v>
      </c>
      <c r="CC64" s="142">
        <f t="shared" ca="1" si="28"/>
        <v>3.5685376828875563E-2</v>
      </c>
      <c r="CD64" s="142">
        <f t="shared" ca="1" si="29"/>
        <v>2.5240876293594911E-2</v>
      </c>
      <c r="CE64" s="142">
        <f t="shared" ca="1" si="30"/>
        <v>4.0254845813060845E-2</v>
      </c>
      <c r="CG64" s="128">
        <f t="shared" si="31"/>
        <v>50</v>
      </c>
      <c r="CH64" s="90">
        <f ca="1">INDEX(角色升级!$A:$A,MATCH(玩家节奏1!$BX64,角色升级!$J:$J,1))</f>
        <v>328</v>
      </c>
      <c r="CI64" s="90">
        <f ca="1">INDEX(角色升级!$O:$O,MATCH(玩家节奏1!$BX64,角色升级!$J:$J,1))</f>
        <v>7699.3045850000017</v>
      </c>
      <c r="CJ64" s="90">
        <f>INDEX(关卡对比!$J:$J,MATCH(玩家节奏1!N64,关卡对比!$A:$A,0))</f>
        <v>11200</v>
      </c>
      <c r="CK64" s="147">
        <f t="shared" ca="1" si="32"/>
        <v>1.4546768316998591</v>
      </c>
      <c r="CL64" s="128">
        <f ca="1">INDEX(角色升级!$P:$P,MATCH(玩家节奏1!$CH64,角色升级!$A:$A,0))</f>
        <v>2150</v>
      </c>
      <c r="CM64" s="90">
        <f ca="1">INDEX(角色升级!Q:Q,MATCH(玩家节奏1!$CH64,角色升级!$A:$A,0))</f>
        <v>0.3</v>
      </c>
      <c r="CO64" s="128">
        <f t="shared" si="33"/>
        <v>4766</v>
      </c>
      <c r="CP64" s="90">
        <f t="shared" si="34"/>
        <v>6626</v>
      </c>
      <c r="CQ64" s="90">
        <f t="shared" si="35"/>
        <v>7440</v>
      </c>
      <c r="CR64" s="90">
        <f t="shared" ca="1" si="36"/>
        <v>14432.5</v>
      </c>
      <c r="CS64" s="90">
        <f t="shared" ca="1" si="37"/>
        <v>33264.5</v>
      </c>
      <c r="CT64" s="142">
        <f t="shared" ca="1" si="38"/>
        <v>0.14327586466052397</v>
      </c>
      <c r="CU64" s="142">
        <f t="shared" ca="1" si="39"/>
        <v>0.19919133009664958</v>
      </c>
      <c r="CV64" s="142">
        <f t="shared" ca="1" si="40"/>
        <v>0.22366186174450239</v>
      </c>
      <c r="CW64" s="142">
        <f t="shared" ca="1" si="41"/>
        <v>0.43387094349832406</v>
      </c>
      <c r="CY64" s="128">
        <f t="shared" si="42"/>
        <v>2384</v>
      </c>
      <c r="CZ64" s="90">
        <f t="shared" si="43"/>
        <v>3236</v>
      </c>
      <c r="DA64" s="90">
        <f t="shared" si="44"/>
        <v>3384</v>
      </c>
      <c r="DB64" s="90">
        <f t="shared" ca="1" si="66"/>
        <v>7827</v>
      </c>
      <c r="DC64" s="90">
        <f t="shared" ca="1" si="45"/>
        <v>16831</v>
      </c>
      <c r="DD64" s="142">
        <f t="shared" ca="1" si="46"/>
        <v>0.14164339611431287</v>
      </c>
      <c r="DE64" s="142">
        <f t="shared" ca="1" si="47"/>
        <v>0.19226427425583745</v>
      </c>
      <c r="DF64" s="142">
        <f t="shared" ca="1" si="48"/>
        <v>0.20105757233675955</v>
      </c>
      <c r="DG64" s="142">
        <f t="shared" ca="1" si="49"/>
        <v>0.46503475729309013</v>
      </c>
      <c r="DI64" s="128">
        <f t="shared" si="50"/>
        <v>1038</v>
      </c>
      <c r="DJ64" s="90">
        <f t="shared" si="51"/>
        <v>1427</v>
      </c>
      <c r="DK64" s="90">
        <f t="shared" si="52"/>
        <v>1056</v>
      </c>
      <c r="DL64" s="90">
        <f t="shared" ca="1" si="53"/>
        <v>1072.5</v>
      </c>
      <c r="DM64" s="90">
        <f t="shared" ca="1" si="54"/>
        <v>4593.5</v>
      </c>
      <c r="DN64" s="142">
        <f t="shared" ca="1" si="55"/>
        <v>0.22597148144116685</v>
      </c>
      <c r="DO64" s="142">
        <f t="shared" ca="1" si="56"/>
        <v>0.31065636225100685</v>
      </c>
      <c r="DP64" s="142">
        <f t="shared" ca="1" si="57"/>
        <v>0.22989006204419288</v>
      </c>
      <c r="DQ64" s="142">
        <f t="shared" ca="1" si="58"/>
        <v>0.23348209426363339</v>
      </c>
      <c r="DS64" s="128">
        <f t="shared" ca="1" si="59"/>
        <v>33264.5</v>
      </c>
      <c r="DT64" s="90">
        <f t="shared" ca="1" si="60"/>
        <v>16831</v>
      </c>
      <c r="DU64" s="90">
        <f t="shared" ca="1" si="61"/>
        <v>4593.5</v>
      </c>
      <c r="DV64" s="90">
        <f t="shared" si="62"/>
        <v>41</v>
      </c>
      <c r="DW64" s="90">
        <f ca="1">_xlfn.IFNA(INDEX(武器升级消耗!$H:$H,MATCH(玩家节奏1!DS64/玩家节奏1!DS$5,武器升级消耗!M:M,1)),0)</f>
        <v>18</v>
      </c>
      <c r="DX64" s="90">
        <f ca="1">_xlfn.IFNA(INDEX(武器升级消耗!$H:$H,MATCH(玩家节奏1!DT64/玩家节奏1!DT$5,武器升级消耗!N:N,1)),0)</f>
        <v>15</v>
      </c>
      <c r="DY64" s="90">
        <f ca="1">_xlfn.IFNA(INDEX(武器升级消耗!$H:$H,MATCH(玩家节奏1!DU64/玩家节奏1!DU$5,武器升级消耗!O:O,1)),0)</f>
        <v>10</v>
      </c>
      <c r="DZ64" s="90">
        <f>_xlfn.IFNA(INDEX(武器升级消耗!$H:$H,MATCH(玩家节奏1!DV64/玩家节奏1!DV$5,武器升级消耗!P:P,1)),0)</f>
        <v>7</v>
      </c>
      <c r="EA64" s="90">
        <f ca="1">_xlfn.IFNA(INDEX(武器升级消耗!$Q:$Q,MATCH(玩家节奏1!DW64,武器升级消耗!$H:$H,0))*2*EA$4,0)</f>
        <v>2.64</v>
      </c>
      <c r="EB64" s="90">
        <f ca="1">_xlfn.IFNA(INDEX(武器升级消耗!$Q:$Q,MATCH(玩家节奏1!DX64,武器升级消耗!$H:$H,0))*2*EB$4,0)</f>
        <v>2.8499999999999996</v>
      </c>
      <c r="EC64" s="90">
        <f ca="1">_xlfn.IFNA(INDEX(武器升级消耗!$Q:$Q,MATCH(玩家节奏1!DY64,武器升级消耗!$H:$H,0))*2*EC$4,1)</f>
        <v>3.08</v>
      </c>
      <c r="ED64" s="90">
        <f>_xlfn.IFNA(INDEX(武器升级消耗!$Q:$Q,MATCH(玩家节奏1!DZ64,武器升级消耗!$H:$H,0))*2*ED$4,0)</f>
        <v>3.3000000000000003</v>
      </c>
      <c r="EF64" s="128"/>
      <c r="EG64" s="90"/>
      <c r="EH64" s="90"/>
      <c r="EI64" s="90"/>
      <c r="EJ64" s="90"/>
      <c r="EK64" s="90"/>
      <c r="EL64" s="90"/>
      <c r="EM64" s="90"/>
      <c r="EO64" s="128"/>
      <c r="EP64" s="90"/>
      <c r="EQ64" s="90"/>
      <c r="ER64" s="90"/>
      <c r="ES64" s="90"/>
      <c r="ET64" s="90"/>
      <c r="EU64" s="90"/>
      <c r="EV64" s="90"/>
      <c r="EW64" s="90"/>
      <c r="EX64" s="90"/>
      <c r="EY64" s="90"/>
      <c r="EZ64" s="90"/>
      <c r="FA64" s="90"/>
      <c r="FB64" s="90"/>
      <c r="FD64" s="90">
        <f t="shared" ca="1" si="63"/>
        <v>3.08</v>
      </c>
      <c r="FE64" s="90"/>
      <c r="FF64" s="90"/>
      <c r="FG64" s="90">
        <f t="shared" ca="1" si="64"/>
        <v>0</v>
      </c>
    </row>
    <row r="65" spans="1:163" x14ac:dyDescent="0.25">
      <c r="A65" s="123">
        <v>59</v>
      </c>
      <c r="B65" s="123">
        <f>INDEX(关卡对比!$Y:$Y,MATCH(关卡对比!Z65,关卡对比!$AA:$AA,1))</f>
        <v>42</v>
      </c>
      <c r="C65" s="124">
        <f>INDEX(关卡对比!$Y:$Y,MATCH(关卡对比!Z65,关卡对比!$AB:$AB,1))</f>
        <v>34</v>
      </c>
      <c r="D65" s="125">
        <f t="shared" si="70"/>
        <v>374.5</v>
      </c>
      <c r="E65" s="125">
        <v>3</v>
      </c>
      <c r="F65" s="128">
        <v>5</v>
      </c>
      <c r="G65" s="90">
        <v>1</v>
      </c>
      <c r="H65" s="90">
        <v>1</v>
      </c>
      <c r="J65" s="128">
        <v>59</v>
      </c>
      <c r="K65" s="90">
        <f t="shared" si="77"/>
        <v>5</v>
      </c>
      <c r="L65" s="90">
        <f t="shared" si="78"/>
        <v>1</v>
      </c>
      <c r="M65" s="90">
        <f t="shared" si="79"/>
        <v>1</v>
      </c>
      <c r="N65" s="140">
        <f>INDEX($A:$A,MATCH(SUM($K$7:K65),$D:$D,1))</f>
        <v>51</v>
      </c>
      <c r="O65" s="140">
        <v>0</v>
      </c>
      <c r="P65" s="141">
        <v>0</v>
      </c>
      <c r="Q65" s="126">
        <f>_xlfn.MAXIFS(关卡产出!X:X,关卡产出!$A:$A,玩家节奏1!$N$6,关卡产出!$B:$B,玩家节奏1!$N65)+_xlfn.MAXIFS(关卡产出!X:X,关卡产出!$A:$A,玩家节奏1!$O$6,关卡产出!$B:$B,玩家节奏1!$O65)+_xlfn.MAXIFS(关卡产出!X:X,关卡产出!$A:$A,玩家节奏1!$P$6,关卡产出!$B:$B,玩家节奏1!$P65)</f>
        <v>8700</v>
      </c>
      <c r="R65" s="90">
        <f>_xlfn.MAXIFS(关卡产出!Y:Y,关卡产出!$A:$A,玩家节奏1!$N$6,关卡产出!$B:$B,玩家节奏1!$N65)+_xlfn.MAXIFS(关卡产出!Y:Y,关卡产出!$A:$A,玩家节奏1!$O$6,关卡产出!$B:$B,玩家节奏1!$O65)+_xlfn.MAXIFS(关卡产出!Y:Y,关卡产出!$A:$A,玩家节奏1!$P$6,关卡产出!$B:$B,玩家节奏1!$P65)</f>
        <v>688300</v>
      </c>
      <c r="S65" s="90">
        <f>_xlfn.MAXIFS(关卡产出!Z:Z,关卡产出!$A:$A,玩家节奏1!$N$6,关卡产出!$B:$B,玩家节奏1!$N65)+_xlfn.MAXIFS(关卡产出!Z:Z,关卡产出!$A:$A,玩家节奏1!$O$6,关卡产出!$B:$B,玩家节奏1!$O65)+_xlfn.MAXIFS(关卡产出!Z:Z,关卡产出!$A:$A,玩家节奏1!$P$6,关卡产出!$B:$B,玩家节奏1!$P65)</f>
        <v>4962</v>
      </c>
      <c r="T65" s="90">
        <f>_xlfn.MAXIFS(关卡产出!AA:AA,关卡产出!$A:$A,玩家节奏1!$N$6,关卡产出!$B:$B,玩家节奏1!$N65)+_xlfn.MAXIFS(关卡产出!AA:AA,关卡产出!$A:$A,玩家节奏1!$O$6,关卡产出!$B:$B,玩家节奏1!$O65)+_xlfn.MAXIFS(关卡产出!AA:AA,关卡产出!$A:$A,玩家节奏1!$P$6,关卡产出!$B:$B,玩家节奏1!$P65)</f>
        <v>2482</v>
      </c>
      <c r="U65" s="90">
        <f>_xlfn.MAXIFS(关卡产出!AB:AB,关卡产出!$A:$A,玩家节奏1!$N$6,关卡产出!$B:$B,玩家节奏1!$N65)+_xlfn.MAXIFS(关卡产出!AB:AB,关卡产出!$A:$A,玩家节奏1!$O$6,关卡产出!$B:$B,玩家节奏1!$O65)+_xlfn.MAXIFS(关卡产出!AB:AB,关卡产出!$A:$A,玩家节奏1!$P$6,关卡产出!$B:$B,玩家节奏1!$P65)</f>
        <v>1084</v>
      </c>
      <c r="V65" s="130">
        <f>_xlfn.MAXIFS(关卡产出!AC:AC,关卡产出!$A:$A,玩家节奏1!$N$6,关卡产出!$B:$B,玩家节奏1!$N65)+_xlfn.MAXIFS(关卡产出!AC:AC,关卡产出!$A:$A,玩家节奏1!$O$6,关卡产出!$B:$B,玩家节奏1!$O65)+_xlfn.MAXIFS(关卡产出!AC:AC,关卡产出!$A:$A,玩家节奏1!$P$6,关卡产出!$B:$B,玩家节奏1!$P65)</f>
        <v>306</v>
      </c>
      <c r="W65" s="126">
        <f>INDEX(关卡产出!C$8:C$207,MATCH(玩家节奏1!$N65,关卡产出!$B$8:$B$207,0))*$K65</f>
        <v>195</v>
      </c>
      <c r="X65" s="126">
        <f>INDEX(关卡产出!D$8:D$207,MATCH(玩家节奏1!$N65,关卡产出!$B$8:$B$207,0))*$K65</f>
        <v>95</v>
      </c>
      <c r="Y65" s="126">
        <f>INDEX(关卡产出!E$8:E$207,MATCH(玩家节奏1!$N65,关卡产出!$B$8:$B$207,0))*$K65</f>
        <v>45</v>
      </c>
      <c r="Z65" s="144">
        <f>INDEX(关卡产出!F$8:F$207,MATCH(玩家节奏1!$N65,关卡产出!$B$8:$B$207,0))*$K65</f>
        <v>2850</v>
      </c>
      <c r="AA65" s="126">
        <f>SUM(W$7:W65)</f>
        <v>6821</v>
      </c>
      <c r="AB65" s="126">
        <f>SUM(X$7:X65)</f>
        <v>3331</v>
      </c>
      <c r="AC65" s="126">
        <f>SUM(Y$7:Y65)</f>
        <v>1472</v>
      </c>
      <c r="AD65" s="126">
        <f>SUM(Z$7:Z65)</f>
        <v>108310</v>
      </c>
      <c r="AE65" s="126">
        <f>INDEX(图鉴!AQ:AQ,MATCH($N65,图鉴!$S:$S,0))*8</f>
        <v>160</v>
      </c>
      <c r="AF65" s="90">
        <f>INDEX(图鉴!AR:AR,MATCH($N65,图鉴!$S:$S,0))*8</f>
        <v>80</v>
      </c>
      <c r="AG65" s="90">
        <f>INDEX(图鉴!AS:AS,MATCH($N65,图鉴!$S:$S,0))*8</f>
        <v>32</v>
      </c>
      <c r="AH65" s="129">
        <f ca="1">INDEX(图鉴!AT:AT,MATCH($N65,图鉴!$S:$S,0))*8</f>
        <v>6280</v>
      </c>
      <c r="AI65" s="128">
        <f>SUM($AE$7:AE65)</f>
        <v>7600</v>
      </c>
      <c r="AJ65" s="90">
        <f>SUM(AF$7:AF65)</f>
        <v>3464</v>
      </c>
      <c r="AK65" s="90">
        <f>SUM(AG$7:AG65)</f>
        <v>1088</v>
      </c>
      <c r="AL65" s="130">
        <f ca="1">SUM(AH$7:AH65)</f>
        <v>265000</v>
      </c>
      <c r="AM65" s="133">
        <f>IF(M65=0,0,INDEX(关卡产出!$AU$11:$AU$15,MATCH(玩家节奏1!N65,关卡产出!$AW$11:$AW$15,1))*M65)</f>
        <v>8500</v>
      </c>
      <c r="AN65" s="126">
        <f>IF(L65=0,0,$L65*关卡产出!AU$21)</f>
        <v>1000</v>
      </c>
      <c r="AO65" s="90">
        <f>IF(M65=0,0,$L65*关卡产出!AV$21)</f>
        <v>50</v>
      </c>
      <c r="AP65" s="129">
        <f>IF(N65=0,0,$L65*关卡产出!AW$21)</f>
        <v>1</v>
      </c>
      <c r="AQ65" s="138">
        <f>SUM(AN$7:AN65)</f>
        <v>42000</v>
      </c>
      <c r="AR65" s="126">
        <f>SUM(AO$7:AO65)</f>
        <v>2100</v>
      </c>
      <c r="AS65" s="129">
        <f>SUM(AP$7:AP65)</f>
        <v>42</v>
      </c>
      <c r="AT65" s="128">
        <v>500</v>
      </c>
      <c r="AU65" s="129">
        <v>100</v>
      </c>
      <c r="AV65" s="128">
        <f>SUM(AT$7:AT65)</f>
        <v>29500</v>
      </c>
      <c r="AW65" s="90">
        <f>SUM(AU$7:AU65)</f>
        <v>5900</v>
      </c>
      <c r="AY65" s="128">
        <f t="shared" si="13"/>
        <v>8700</v>
      </c>
      <c r="AZ65" s="90">
        <f t="shared" si="14"/>
        <v>2100</v>
      </c>
      <c r="BA65" s="90">
        <f t="shared" si="15"/>
        <v>5900</v>
      </c>
      <c r="BB65" s="90">
        <f t="shared" ca="1" si="65"/>
        <v>2150</v>
      </c>
      <c r="BC65" s="90">
        <f t="shared" ca="1" si="68"/>
        <v>18850</v>
      </c>
      <c r="BD65" s="90"/>
      <c r="BE65" s="90">
        <f t="shared" ca="1" si="17"/>
        <v>18850</v>
      </c>
      <c r="BF65" s="142">
        <f t="shared" ca="1" si="18"/>
        <v>0.46153846153846156</v>
      </c>
      <c r="BG65" s="142">
        <f t="shared" ca="1" si="19"/>
        <v>0.11140583554376658</v>
      </c>
      <c r="BH65" s="142">
        <f t="shared" ca="1" si="80"/>
        <v>0.3129973474801061</v>
      </c>
      <c r="BI65" s="142">
        <f t="shared" ca="1" si="81"/>
        <v>0.11405835543766578</v>
      </c>
      <c r="BJ65" s="143"/>
      <c r="BK65" s="128">
        <f ca="1">INDEX(商城宝箱!$L:$L,MATCH(BC65,商城宝箱!$N:$N,1))</f>
        <v>6</v>
      </c>
      <c r="BL65" s="90">
        <f ca="1">_xlfn.IFNA(INDEX(商城宝箱!T:T,MATCH(玩家节奏1!$BK65,商城宝箱!$L:$L,0)),0)+($BC65-INDEX(商城宝箱!$N:$N,MATCH(玩家节奏1!$BK65,商城宝箱!$L:$L,0)))/$BK$5*INDEX(商城宝箱!E$23:E$42,MATCH(玩家节奏1!$BK65+1,商城宝箱!$C$23:$C$42,0))</f>
        <v>47125</v>
      </c>
      <c r="BM65" s="90">
        <f ca="1">_xlfn.IFNA(INDEX(商城宝箱!U:U,MATCH(玩家节奏1!$BK65,商城宝箱!$L:$L,0)),0)+($BC65-INDEX(商城宝箱!$N:$N,MATCH(玩家节奏1!$BK65,商城宝箱!$L:$L,0)))/$BK$5*INDEX(商城宝箱!F$23:F$42,MATCH(玩家节奏1!$BK65+1,商城宝箱!$C$23:$C$42,0))</f>
        <v>14887.5</v>
      </c>
      <c r="BN65" s="90">
        <f ca="1">_xlfn.IFNA(INDEX(商城宝箱!V:V,MATCH(玩家节奏1!$BK65,商城宝箱!$L:$L,0)),0)+($BC65-INDEX(商城宝箱!$N:$N,MATCH(玩家节奏1!$BK65,商城宝箱!$L:$L,0)))/$BK$5*INDEX(商城宝箱!G$23:G$42,MATCH(玩家节奏1!$BK65+1,商城宝箱!$C$23:$C$42,0))</f>
        <v>8124.5</v>
      </c>
      <c r="BO65" s="90">
        <f ca="1">_xlfn.IFNA(INDEX(商城宝箱!W:W,MATCH(玩家节奏1!$BK65,商城宝箱!$L:$L,0)),0)+($BC65-INDEX(商城宝箱!$N:$N,MATCH(玩家节奏1!$BK65,商城宝箱!$L:$L,0)))/$BK$5*INDEX(商城宝箱!H$23:H$42,MATCH(玩家节奏1!$BK65+1,商城宝箱!$C$23:$C$42,0))</f>
        <v>1112.75</v>
      </c>
      <c r="BQ65" s="128">
        <f t="shared" si="71"/>
        <v>688300</v>
      </c>
      <c r="BR65" s="90">
        <f t="shared" si="72"/>
        <v>108310</v>
      </c>
      <c r="BS65" s="90">
        <f t="shared" ca="1" si="73"/>
        <v>265000</v>
      </c>
      <c r="BT65" s="90">
        <f t="shared" si="74"/>
        <v>8500</v>
      </c>
      <c r="BU65" s="90">
        <f t="shared" si="75"/>
        <v>42000</v>
      </c>
      <c r="BV65" s="90">
        <f t="shared" si="76"/>
        <v>29500</v>
      </c>
      <c r="BW65" s="90">
        <f t="shared" ca="1" si="22"/>
        <v>47125</v>
      </c>
      <c r="BX65" s="90">
        <f t="shared" ca="1" si="23"/>
        <v>1188735</v>
      </c>
      <c r="BY65" s="142">
        <f t="shared" ca="1" si="24"/>
        <v>0.57901887300365518</v>
      </c>
      <c r="BZ65" s="142">
        <f t="shared" ca="1" si="25"/>
        <v>9.1113662843274573E-2</v>
      </c>
      <c r="CA65" s="142">
        <f t="shared" ca="1" si="26"/>
        <v>0.22292605164313326</v>
      </c>
      <c r="CB65" s="142">
        <f t="shared" ca="1" si="27"/>
        <v>7.1504582602514438E-3</v>
      </c>
      <c r="CC65" s="142">
        <f t="shared" ca="1" si="28"/>
        <v>3.5331676109477725E-2</v>
      </c>
      <c r="CD65" s="142">
        <f t="shared" ca="1" si="29"/>
        <v>2.4816296314990306E-2</v>
      </c>
      <c r="CE65" s="142">
        <f t="shared" ca="1" si="30"/>
        <v>3.9642981825217562E-2</v>
      </c>
      <c r="CG65" s="128">
        <f t="shared" si="31"/>
        <v>51</v>
      </c>
      <c r="CH65" s="90">
        <f ca="1">INDEX(角色升级!$A:$A,MATCH(玩家节奏1!$BX65,角色升级!$J:$J,1))</f>
        <v>332</v>
      </c>
      <c r="CI65" s="90">
        <f ca="1">INDEX(角色升级!$O:$O,MATCH(玩家节奏1!$BX65,角色升级!$J:$J,1))</f>
        <v>7975.58421</v>
      </c>
      <c r="CJ65" s="90">
        <f>INDEX(关卡对比!$J:$J,MATCH(玩家节奏1!N65,关卡对比!$A:$A,0))</f>
        <v>11700</v>
      </c>
      <c r="CK65" s="147">
        <f t="shared" ca="1" si="32"/>
        <v>1.4669771758324899</v>
      </c>
      <c r="CL65" s="128">
        <f ca="1">INDEX(角色升级!$P:$P,MATCH(玩家节奏1!$CH65,角色升级!$A:$A,0))</f>
        <v>2150</v>
      </c>
      <c r="CM65" s="90">
        <f ca="1">INDEX(角色升级!Q:Q,MATCH(玩家节奏1!$CH65,角色升级!$A:$A,0))</f>
        <v>0.3</v>
      </c>
      <c r="CO65" s="128">
        <f t="shared" si="33"/>
        <v>4962</v>
      </c>
      <c r="CP65" s="90">
        <f t="shared" si="34"/>
        <v>6821</v>
      </c>
      <c r="CQ65" s="90">
        <f t="shared" si="35"/>
        <v>7600</v>
      </c>
      <c r="CR65" s="90">
        <f t="shared" ca="1" si="36"/>
        <v>14887.5</v>
      </c>
      <c r="CS65" s="90">
        <f t="shared" ca="1" si="37"/>
        <v>34270.5</v>
      </c>
      <c r="CT65" s="142">
        <f t="shared" ca="1" si="38"/>
        <v>0.14478925022978947</v>
      </c>
      <c r="CU65" s="142">
        <f t="shared" ca="1" si="39"/>
        <v>0.19903415473949898</v>
      </c>
      <c r="CV65" s="142">
        <f t="shared" ca="1" si="40"/>
        <v>0.22176507491866182</v>
      </c>
      <c r="CW65" s="142">
        <f t="shared" ca="1" si="41"/>
        <v>0.4344115201120497</v>
      </c>
      <c r="CY65" s="128">
        <f t="shared" si="42"/>
        <v>2482</v>
      </c>
      <c r="CZ65" s="90">
        <f t="shared" si="43"/>
        <v>3331</v>
      </c>
      <c r="DA65" s="90">
        <f t="shared" si="44"/>
        <v>3464</v>
      </c>
      <c r="DB65" s="90">
        <f t="shared" ca="1" si="66"/>
        <v>8124.5</v>
      </c>
      <c r="DC65" s="90">
        <f t="shared" ca="1" si="45"/>
        <v>17401.5</v>
      </c>
      <c r="DD65" s="142">
        <f t="shared" ca="1" si="46"/>
        <v>0.14263138235209608</v>
      </c>
      <c r="DE65" s="142">
        <f t="shared" ca="1" si="47"/>
        <v>0.19142027986093152</v>
      </c>
      <c r="DF65" s="142">
        <f t="shared" ca="1" si="48"/>
        <v>0.19906329914087867</v>
      </c>
      <c r="DG65" s="142">
        <f t="shared" ca="1" si="49"/>
        <v>0.46688503864609371</v>
      </c>
      <c r="DI65" s="128">
        <f t="shared" si="50"/>
        <v>1084</v>
      </c>
      <c r="DJ65" s="90">
        <f t="shared" si="51"/>
        <v>1472</v>
      </c>
      <c r="DK65" s="90">
        <f t="shared" si="52"/>
        <v>1088</v>
      </c>
      <c r="DL65" s="90">
        <f t="shared" ca="1" si="53"/>
        <v>1112.75</v>
      </c>
      <c r="DM65" s="90">
        <f t="shared" ca="1" si="54"/>
        <v>4756.75</v>
      </c>
      <c r="DN65" s="142">
        <f t="shared" ca="1" si="55"/>
        <v>0.22788668733904452</v>
      </c>
      <c r="DO65" s="142">
        <f t="shared" ca="1" si="56"/>
        <v>0.30945498502128554</v>
      </c>
      <c r="DP65" s="142">
        <f t="shared" ca="1" si="57"/>
        <v>0.22872759762442843</v>
      </c>
      <c r="DQ65" s="142">
        <f t="shared" ca="1" si="58"/>
        <v>0.23393073001524151</v>
      </c>
      <c r="DS65" s="128">
        <f t="shared" ca="1" si="59"/>
        <v>34270.5</v>
      </c>
      <c r="DT65" s="90">
        <f t="shared" ca="1" si="60"/>
        <v>17401.5</v>
      </c>
      <c r="DU65" s="90">
        <f t="shared" ca="1" si="61"/>
        <v>4756.75</v>
      </c>
      <c r="DV65" s="90">
        <f t="shared" si="62"/>
        <v>42</v>
      </c>
      <c r="DW65" s="90">
        <f ca="1">_xlfn.IFNA(INDEX(武器升级消耗!$H:$H,MATCH(玩家节奏1!DS65/玩家节奏1!DS$5,武器升级消耗!M:M,1)),0)</f>
        <v>18</v>
      </c>
      <c r="DX65" s="90">
        <f ca="1">_xlfn.IFNA(INDEX(武器升级消耗!$H:$H,MATCH(玩家节奏1!DT65/玩家节奏1!DT$5,武器升级消耗!N:N,1)),0)</f>
        <v>15</v>
      </c>
      <c r="DY65" s="90">
        <f ca="1">_xlfn.IFNA(INDEX(武器升级消耗!$H:$H,MATCH(玩家节奏1!DU65/玩家节奏1!DU$5,武器升级消耗!O:O,1)),0)</f>
        <v>10</v>
      </c>
      <c r="DZ65" s="90">
        <f>_xlfn.IFNA(INDEX(武器升级消耗!$H:$H,MATCH(玩家节奏1!DV65/玩家节奏1!DV$5,武器升级消耗!P:P,1)),0)</f>
        <v>7</v>
      </c>
      <c r="EA65" s="90">
        <f ca="1">_xlfn.IFNA(INDEX(武器升级消耗!$Q:$Q,MATCH(玩家节奏1!DW65,武器升级消耗!$H:$H,0))*2*EA$4,0)</f>
        <v>2.64</v>
      </c>
      <c r="EB65" s="90">
        <f ca="1">_xlfn.IFNA(INDEX(武器升级消耗!$Q:$Q,MATCH(玩家节奏1!DX65,武器升级消耗!$H:$H,0))*2*EB$4,0)</f>
        <v>2.8499999999999996</v>
      </c>
      <c r="EC65" s="90">
        <f ca="1">_xlfn.IFNA(INDEX(武器升级消耗!$Q:$Q,MATCH(玩家节奏1!DY65,武器升级消耗!$H:$H,0))*2*EC$4,1)</f>
        <v>3.08</v>
      </c>
      <c r="ED65" s="90">
        <f>_xlfn.IFNA(INDEX(武器升级消耗!$Q:$Q,MATCH(玩家节奏1!DZ65,武器升级消耗!$H:$H,0))*2*ED$4,0)</f>
        <v>3.3000000000000003</v>
      </c>
      <c r="EF65" s="128"/>
      <c r="EG65" s="90"/>
      <c r="EH65" s="90"/>
      <c r="EI65" s="90"/>
      <c r="EJ65" s="90"/>
      <c r="EK65" s="90"/>
      <c r="EL65" s="90"/>
      <c r="EM65" s="90"/>
      <c r="EO65" s="128"/>
      <c r="EP65" s="90"/>
      <c r="EQ65" s="90"/>
      <c r="ER65" s="90"/>
      <c r="ES65" s="90"/>
      <c r="ET65" s="90"/>
      <c r="EU65" s="90"/>
      <c r="EV65" s="90"/>
      <c r="EW65" s="90"/>
      <c r="EX65" s="90"/>
      <c r="EY65" s="90"/>
      <c r="EZ65" s="90"/>
      <c r="FA65" s="90"/>
      <c r="FB65" s="90"/>
      <c r="FD65" s="90">
        <f t="shared" ca="1" si="63"/>
        <v>3.08</v>
      </c>
      <c r="FE65" s="90"/>
      <c r="FF65" s="90"/>
      <c r="FG65" s="90">
        <f t="shared" ca="1" si="64"/>
        <v>0</v>
      </c>
    </row>
    <row r="66" spans="1:163" x14ac:dyDescent="0.25">
      <c r="A66" s="123">
        <v>60</v>
      </c>
      <c r="B66" s="123">
        <f>INDEX(关卡对比!$Y:$Y,MATCH(关卡对比!Z66,关卡对比!$AA:$AA,1))</f>
        <v>43</v>
      </c>
      <c r="C66" s="124">
        <f>INDEX(关卡对比!$Y:$Y,MATCH(关卡对比!Z66,关卡对比!$AB:$AB,1))</f>
        <v>34</v>
      </c>
      <c r="D66" s="125">
        <f t="shared" si="70"/>
        <v>380.5</v>
      </c>
      <c r="E66" s="125">
        <v>3</v>
      </c>
      <c r="F66" s="128">
        <v>5</v>
      </c>
      <c r="G66" s="90">
        <v>1</v>
      </c>
      <c r="H66" s="90">
        <v>1</v>
      </c>
      <c r="J66" s="128">
        <v>60</v>
      </c>
      <c r="K66" s="90">
        <f t="shared" si="77"/>
        <v>5</v>
      </c>
      <c r="L66" s="90">
        <f t="shared" si="78"/>
        <v>1</v>
      </c>
      <c r="M66" s="90">
        <f t="shared" si="79"/>
        <v>1</v>
      </c>
      <c r="N66" s="140">
        <f>INDEX($A:$A,MATCH(SUM($K$7:K66),$D:$D,1))</f>
        <v>51</v>
      </c>
      <c r="O66" s="140">
        <v>0</v>
      </c>
      <c r="P66" s="141">
        <v>0</v>
      </c>
      <c r="Q66" s="126">
        <f>_xlfn.MAXIFS(关卡产出!X:X,关卡产出!$A:$A,玩家节奏1!$N$6,关卡产出!$B:$B,玩家节奏1!$N66)+_xlfn.MAXIFS(关卡产出!X:X,关卡产出!$A:$A,玩家节奏1!$O$6,关卡产出!$B:$B,玩家节奏1!$O66)+_xlfn.MAXIFS(关卡产出!X:X,关卡产出!$A:$A,玩家节奏1!$P$6,关卡产出!$B:$B,玩家节奏1!$P66)</f>
        <v>8700</v>
      </c>
      <c r="R66" s="90">
        <f>_xlfn.MAXIFS(关卡产出!Y:Y,关卡产出!$A:$A,玩家节奏1!$N$6,关卡产出!$B:$B,玩家节奏1!$N66)+_xlfn.MAXIFS(关卡产出!Y:Y,关卡产出!$A:$A,玩家节奏1!$O$6,关卡产出!$B:$B,玩家节奏1!$O66)+_xlfn.MAXIFS(关卡产出!Y:Y,关卡产出!$A:$A,玩家节奏1!$P$6,关卡产出!$B:$B,玩家节奏1!$P66)</f>
        <v>688300</v>
      </c>
      <c r="S66" s="90">
        <f>_xlfn.MAXIFS(关卡产出!Z:Z,关卡产出!$A:$A,玩家节奏1!$N$6,关卡产出!$B:$B,玩家节奏1!$N66)+_xlfn.MAXIFS(关卡产出!Z:Z,关卡产出!$A:$A,玩家节奏1!$O$6,关卡产出!$B:$B,玩家节奏1!$O66)+_xlfn.MAXIFS(关卡产出!Z:Z,关卡产出!$A:$A,玩家节奏1!$P$6,关卡产出!$B:$B,玩家节奏1!$P66)</f>
        <v>4962</v>
      </c>
      <c r="T66" s="90">
        <f>_xlfn.MAXIFS(关卡产出!AA:AA,关卡产出!$A:$A,玩家节奏1!$N$6,关卡产出!$B:$B,玩家节奏1!$N66)+_xlfn.MAXIFS(关卡产出!AA:AA,关卡产出!$A:$A,玩家节奏1!$O$6,关卡产出!$B:$B,玩家节奏1!$O66)+_xlfn.MAXIFS(关卡产出!AA:AA,关卡产出!$A:$A,玩家节奏1!$P$6,关卡产出!$B:$B,玩家节奏1!$P66)</f>
        <v>2482</v>
      </c>
      <c r="U66" s="90">
        <f>_xlfn.MAXIFS(关卡产出!AB:AB,关卡产出!$A:$A,玩家节奏1!$N$6,关卡产出!$B:$B,玩家节奏1!$N66)+_xlfn.MAXIFS(关卡产出!AB:AB,关卡产出!$A:$A,玩家节奏1!$O$6,关卡产出!$B:$B,玩家节奏1!$O66)+_xlfn.MAXIFS(关卡产出!AB:AB,关卡产出!$A:$A,玩家节奏1!$P$6,关卡产出!$B:$B,玩家节奏1!$P66)</f>
        <v>1084</v>
      </c>
      <c r="V66" s="130">
        <f>_xlfn.MAXIFS(关卡产出!AC:AC,关卡产出!$A:$A,玩家节奏1!$N$6,关卡产出!$B:$B,玩家节奏1!$N66)+_xlfn.MAXIFS(关卡产出!AC:AC,关卡产出!$A:$A,玩家节奏1!$O$6,关卡产出!$B:$B,玩家节奏1!$O66)+_xlfn.MAXIFS(关卡产出!AC:AC,关卡产出!$A:$A,玩家节奏1!$P$6,关卡产出!$B:$B,玩家节奏1!$P66)</f>
        <v>306</v>
      </c>
      <c r="W66" s="126">
        <f>INDEX(关卡产出!C$8:C$207,MATCH(玩家节奏1!$N66,关卡产出!$B$8:$B$207,0))*$K66</f>
        <v>195</v>
      </c>
      <c r="X66" s="126">
        <f>INDEX(关卡产出!D$8:D$207,MATCH(玩家节奏1!$N66,关卡产出!$B$8:$B$207,0))*$K66</f>
        <v>95</v>
      </c>
      <c r="Y66" s="126">
        <f>INDEX(关卡产出!E$8:E$207,MATCH(玩家节奏1!$N66,关卡产出!$B$8:$B$207,0))*$K66</f>
        <v>45</v>
      </c>
      <c r="Z66" s="144">
        <f>INDEX(关卡产出!F$8:F$207,MATCH(玩家节奏1!$N66,关卡产出!$B$8:$B$207,0))*$K66</f>
        <v>2850</v>
      </c>
      <c r="AA66" s="126">
        <f>SUM(W$7:W66)</f>
        <v>7016</v>
      </c>
      <c r="AB66" s="126">
        <f>SUM(X$7:X66)</f>
        <v>3426</v>
      </c>
      <c r="AC66" s="126">
        <f>SUM(Y$7:Y66)</f>
        <v>1517</v>
      </c>
      <c r="AD66" s="126">
        <f>SUM(Z$7:Z66)</f>
        <v>111160</v>
      </c>
      <c r="AE66" s="126">
        <f>INDEX(图鉴!AQ:AQ,MATCH($N66,图鉴!$S:$S,0))*8</f>
        <v>160</v>
      </c>
      <c r="AF66" s="90">
        <f>INDEX(图鉴!AR:AR,MATCH($N66,图鉴!$S:$S,0))*8</f>
        <v>80</v>
      </c>
      <c r="AG66" s="90">
        <f>INDEX(图鉴!AS:AS,MATCH($N66,图鉴!$S:$S,0))*8</f>
        <v>32</v>
      </c>
      <c r="AH66" s="129">
        <f ca="1">INDEX(图鉴!AT:AT,MATCH($N66,图鉴!$S:$S,0))*8</f>
        <v>6280</v>
      </c>
      <c r="AI66" s="128">
        <f>SUM($AE$7:AE66)</f>
        <v>7760</v>
      </c>
      <c r="AJ66" s="90">
        <f>SUM(AF$7:AF66)</f>
        <v>3544</v>
      </c>
      <c r="AK66" s="90">
        <f>SUM(AG$7:AG66)</f>
        <v>1120</v>
      </c>
      <c r="AL66" s="130">
        <f ca="1">SUM(AH$7:AH66)</f>
        <v>271280</v>
      </c>
      <c r="AM66" s="133">
        <f>IF(M66=0,0,INDEX(关卡产出!$AU$11:$AU$15,MATCH(玩家节奏1!N66,关卡产出!$AW$11:$AW$15,1))*M66)</f>
        <v>8500</v>
      </c>
      <c r="AN66" s="126">
        <f>IF(L66=0,0,$L66*关卡产出!AU$21)</f>
        <v>1000</v>
      </c>
      <c r="AO66" s="90">
        <f>IF(M66=0,0,$L66*关卡产出!AV$21)</f>
        <v>50</v>
      </c>
      <c r="AP66" s="129">
        <f>IF(N66=0,0,$L66*关卡产出!AW$21)</f>
        <v>1</v>
      </c>
      <c r="AQ66" s="138">
        <f>SUM(AN$7:AN66)</f>
        <v>43000</v>
      </c>
      <c r="AR66" s="126">
        <f>SUM(AO$7:AO66)</f>
        <v>2150</v>
      </c>
      <c r="AS66" s="129">
        <f>SUM(AP$7:AP66)</f>
        <v>43</v>
      </c>
      <c r="AT66" s="128">
        <v>500</v>
      </c>
      <c r="AU66" s="129">
        <v>100</v>
      </c>
      <c r="AV66" s="128">
        <f>SUM(AT$7:AT66)</f>
        <v>30000</v>
      </c>
      <c r="AW66" s="90">
        <f>SUM(AU$7:AU66)</f>
        <v>6000</v>
      </c>
      <c r="AY66" s="128">
        <f t="shared" si="13"/>
        <v>8700</v>
      </c>
      <c r="AZ66" s="90">
        <f t="shared" si="14"/>
        <v>2150</v>
      </c>
      <c r="BA66" s="90">
        <f t="shared" si="15"/>
        <v>6000</v>
      </c>
      <c r="BB66" s="90">
        <f t="shared" ca="1" si="65"/>
        <v>2150</v>
      </c>
      <c r="BC66" s="90">
        <f t="shared" ca="1" si="68"/>
        <v>19000</v>
      </c>
      <c r="BD66" s="90"/>
      <c r="BE66" s="90">
        <f t="shared" ca="1" si="17"/>
        <v>19000</v>
      </c>
      <c r="BF66" s="142">
        <f t="shared" ca="1" si="18"/>
        <v>0.45789473684210524</v>
      </c>
      <c r="BG66" s="142">
        <f t="shared" ca="1" si="19"/>
        <v>0.11315789473684211</v>
      </c>
      <c r="BH66" s="142">
        <f t="shared" ca="1" si="80"/>
        <v>0.31578947368421051</v>
      </c>
      <c r="BI66" s="142">
        <f t="shared" ca="1" si="81"/>
        <v>0.11315789473684211</v>
      </c>
      <c r="BJ66" s="143"/>
      <c r="BK66" s="128">
        <f ca="1">INDEX(商城宝箱!$L:$L,MATCH(BC66,商城宝箱!$N:$N,1))</f>
        <v>6</v>
      </c>
      <c r="BL66" s="90">
        <f ca="1">_xlfn.IFNA(INDEX(商城宝箱!T:T,MATCH(玩家节奏1!$BK66,商城宝箱!$L:$L,0)),0)+($BC66-INDEX(商城宝箱!$N:$N,MATCH(玩家节奏1!$BK66,商城宝箱!$L:$L,0)))/$BK$5*INDEX(商城宝箱!E$23:E$42,MATCH(玩家节奏1!$BK66+1,商城宝箱!$C$23:$C$42,0))</f>
        <v>47500</v>
      </c>
      <c r="BM66" s="90">
        <f ca="1">_xlfn.IFNA(INDEX(商城宝箱!U:U,MATCH(玩家节奏1!$BK66,商城宝箱!$L:$L,0)),0)+($BC66-INDEX(商城宝箱!$N:$N,MATCH(玩家节奏1!$BK66,商城宝箱!$L:$L,0)))/$BK$5*INDEX(商城宝箱!F$23:F$42,MATCH(玩家节奏1!$BK66+1,商城宝箱!$C$23:$C$42,0))</f>
        <v>15082.5</v>
      </c>
      <c r="BN66" s="90">
        <f ca="1">_xlfn.IFNA(INDEX(商城宝箱!V:V,MATCH(玩家节奏1!$BK66,商城宝箱!$L:$L,0)),0)+($BC66-INDEX(商城宝箱!$N:$N,MATCH(玩家节奏1!$BK66,商城宝箱!$L:$L,0)))/$BK$5*INDEX(商城宝箱!G$23:G$42,MATCH(玩家节奏1!$BK66+1,商城宝箱!$C$23:$C$42,0))</f>
        <v>8252</v>
      </c>
      <c r="BO66" s="90">
        <f ca="1">_xlfn.IFNA(INDEX(商城宝箱!W:W,MATCH(玩家节奏1!$BK66,商城宝箱!$L:$L,0)),0)+($BC66-INDEX(商城宝箱!$N:$N,MATCH(玩家节奏1!$BK66,商城宝箱!$L:$L,0)))/$BK$5*INDEX(商城宝箱!H$23:H$42,MATCH(玩家节奏1!$BK66+1,商城宝箱!$C$23:$C$42,0))</f>
        <v>1130</v>
      </c>
      <c r="BQ66" s="128">
        <f t="shared" si="71"/>
        <v>688300</v>
      </c>
      <c r="BR66" s="90">
        <f t="shared" si="72"/>
        <v>111160</v>
      </c>
      <c r="BS66" s="90">
        <f t="shared" ca="1" si="73"/>
        <v>271280</v>
      </c>
      <c r="BT66" s="90">
        <f t="shared" si="74"/>
        <v>8500</v>
      </c>
      <c r="BU66" s="90">
        <f t="shared" si="75"/>
        <v>43000</v>
      </c>
      <c r="BV66" s="90">
        <f t="shared" si="76"/>
        <v>30000</v>
      </c>
      <c r="BW66" s="90">
        <f t="shared" ca="1" si="22"/>
        <v>47500</v>
      </c>
      <c r="BX66" s="90">
        <f t="shared" ca="1" si="23"/>
        <v>1199740</v>
      </c>
      <c r="BY66" s="142">
        <f t="shared" ca="1" si="24"/>
        <v>0.57370763665460844</v>
      </c>
      <c r="BZ66" s="142">
        <f t="shared" ca="1" si="25"/>
        <v>9.2653408238451668E-2</v>
      </c>
      <c r="CA66" s="142">
        <f t="shared" ca="1" si="26"/>
        <v>0.22611565839265174</v>
      </c>
      <c r="CB66" s="142">
        <f t="shared" ca="1" si="27"/>
        <v>7.0848683881507661E-3</v>
      </c>
      <c r="CC66" s="142">
        <f t="shared" ca="1" si="28"/>
        <v>3.5841098904762697E-2</v>
      </c>
      <c r="CD66" s="142">
        <f t="shared" ca="1" si="29"/>
        <v>2.5005417840532115E-2</v>
      </c>
      <c r="CE66" s="142">
        <f t="shared" ca="1" si="30"/>
        <v>3.9591911580842513E-2</v>
      </c>
      <c r="CG66" s="128">
        <f t="shared" si="31"/>
        <v>51</v>
      </c>
      <c r="CH66" s="90">
        <f ca="1">INDEX(角色升级!$A:$A,MATCH(玩家节奏1!$BX66,角色升级!$J:$J,1))</f>
        <v>333</v>
      </c>
      <c r="CI66" s="90">
        <f ca="1">INDEX(角色升级!$O:$O,MATCH(玩家节奏1!$BX66,角色升级!$J:$J,1))</f>
        <v>8115.9170700000013</v>
      </c>
      <c r="CJ66" s="90">
        <f>INDEX(关卡对比!$J:$J,MATCH(玩家节奏1!N66,关卡对比!$A:$A,0))</f>
        <v>11700</v>
      </c>
      <c r="CK66" s="147">
        <f t="shared" ca="1" si="32"/>
        <v>1.4416115762503716</v>
      </c>
      <c r="CL66" s="128">
        <f ca="1">INDEX(角色升级!$P:$P,MATCH(玩家节奏1!$CH66,角色升级!$A:$A,0))</f>
        <v>2150</v>
      </c>
      <c r="CM66" s="90">
        <f ca="1">INDEX(角色升级!Q:Q,MATCH(玩家节奏1!$CH66,角色升级!$A:$A,0))</f>
        <v>0.3</v>
      </c>
      <c r="CO66" s="128">
        <f t="shared" si="33"/>
        <v>4962</v>
      </c>
      <c r="CP66" s="90">
        <f t="shared" si="34"/>
        <v>7016</v>
      </c>
      <c r="CQ66" s="90">
        <f t="shared" si="35"/>
        <v>7760</v>
      </c>
      <c r="CR66" s="90">
        <f t="shared" ca="1" si="36"/>
        <v>15082.5</v>
      </c>
      <c r="CS66" s="90">
        <f t="shared" ca="1" si="37"/>
        <v>34820.5</v>
      </c>
      <c r="CT66" s="142">
        <f t="shared" ca="1" si="38"/>
        <v>0.14250226159877083</v>
      </c>
      <c r="CU66" s="142">
        <f t="shared" ca="1" si="39"/>
        <v>0.20149050128516247</v>
      </c>
      <c r="CV66" s="142">
        <f t="shared" ca="1" si="40"/>
        <v>0.22285722491061299</v>
      </c>
      <c r="CW66" s="142">
        <f t="shared" ca="1" si="41"/>
        <v>0.43315001220545368</v>
      </c>
      <c r="CY66" s="128">
        <f t="shared" si="42"/>
        <v>2482</v>
      </c>
      <c r="CZ66" s="90">
        <f t="shared" si="43"/>
        <v>3426</v>
      </c>
      <c r="DA66" s="90">
        <f t="shared" si="44"/>
        <v>3544</v>
      </c>
      <c r="DB66" s="90">
        <f t="shared" ca="1" si="66"/>
        <v>8252</v>
      </c>
      <c r="DC66" s="90">
        <f t="shared" ca="1" si="45"/>
        <v>17704</v>
      </c>
      <c r="DD66" s="142">
        <f t="shared" ca="1" si="46"/>
        <v>0.14019430637144148</v>
      </c>
      <c r="DE66" s="142">
        <f t="shared" ca="1" si="47"/>
        <v>0.19351558969724356</v>
      </c>
      <c r="DF66" s="142">
        <f t="shared" ca="1" si="48"/>
        <v>0.20018075011296882</v>
      </c>
      <c r="DG66" s="142">
        <f t="shared" ca="1" si="49"/>
        <v>0.46610935381834612</v>
      </c>
      <c r="DI66" s="128">
        <f t="shared" si="50"/>
        <v>1084</v>
      </c>
      <c r="DJ66" s="90">
        <f t="shared" si="51"/>
        <v>1517</v>
      </c>
      <c r="DK66" s="90">
        <f t="shared" si="52"/>
        <v>1120</v>
      </c>
      <c r="DL66" s="90">
        <f t="shared" ca="1" si="53"/>
        <v>1130</v>
      </c>
      <c r="DM66" s="90">
        <f t="shared" ca="1" si="54"/>
        <v>4851</v>
      </c>
      <c r="DN66" s="142">
        <f t="shared" ca="1" si="55"/>
        <v>0.22345908060193775</v>
      </c>
      <c r="DO66" s="142">
        <f t="shared" ca="1" si="56"/>
        <v>0.3127190270047413</v>
      </c>
      <c r="DP66" s="142">
        <f t="shared" ca="1" si="57"/>
        <v>0.23088023088023088</v>
      </c>
      <c r="DQ66" s="142">
        <f t="shared" ca="1" si="58"/>
        <v>0.23294166151309009</v>
      </c>
      <c r="DS66" s="128">
        <f t="shared" ca="1" si="59"/>
        <v>34820.5</v>
      </c>
      <c r="DT66" s="90">
        <f t="shared" ca="1" si="60"/>
        <v>17704</v>
      </c>
      <c r="DU66" s="90">
        <f t="shared" ca="1" si="61"/>
        <v>4851</v>
      </c>
      <c r="DV66" s="90">
        <f t="shared" si="62"/>
        <v>43</v>
      </c>
      <c r="DW66" s="90">
        <f ca="1">_xlfn.IFNA(INDEX(武器升级消耗!$H:$H,MATCH(玩家节奏1!DS66/玩家节奏1!DS$5,武器升级消耗!M:M,1)),0)</f>
        <v>18</v>
      </c>
      <c r="DX66" s="90">
        <f ca="1">_xlfn.IFNA(INDEX(武器升级消耗!$H:$H,MATCH(玩家节奏1!DT66/玩家节奏1!DT$5,武器升级消耗!N:N,1)),0)</f>
        <v>15</v>
      </c>
      <c r="DY66" s="90">
        <f ca="1">_xlfn.IFNA(INDEX(武器升级消耗!$H:$H,MATCH(玩家节奏1!DU66/玩家节奏1!DU$5,武器升级消耗!O:O,1)),0)</f>
        <v>10</v>
      </c>
      <c r="DZ66" s="90">
        <f>_xlfn.IFNA(INDEX(武器升级消耗!$H:$H,MATCH(玩家节奏1!DV66/玩家节奏1!DV$5,武器升级消耗!P:P,1)),0)</f>
        <v>7</v>
      </c>
      <c r="EA66" s="90">
        <f ca="1">_xlfn.IFNA(INDEX(武器升级消耗!$Q:$Q,MATCH(玩家节奏1!DW66,武器升级消耗!$H:$H,0))*2*EA$4,0)</f>
        <v>2.64</v>
      </c>
      <c r="EB66" s="90">
        <f ca="1">_xlfn.IFNA(INDEX(武器升级消耗!$Q:$Q,MATCH(玩家节奏1!DX66,武器升级消耗!$H:$H,0))*2*EB$4,0)</f>
        <v>2.8499999999999996</v>
      </c>
      <c r="EC66" s="90">
        <f ca="1">_xlfn.IFNA(INDEX(武器升级消耗!$Q:$Q,MATCH(玩家节奏1!DY66,武器升级消耗!$H:$H,0))*2*EC$4,1)</f>
        <v>3.08</v>
      </c>
      <c r="ED66" s="90">
        <f>_xlfn.IFNA(INDEX(武器升级消耗!$Q:$Q,MATCH(玩家节奏1!DZ66,武器升级消耗!$H:$H,0))*2*ED$4,0)</f>
        <v>3.3000000000000003</v>
      </c>
      <c r="EF66" s="128"/>
      <c r="EG66" s="90"/>
      <c r="EH66" s="90"/>
      <c r="EI66" s="90"/>
      <c r="EJ66" s="90"/>
      <c r="EK66" s="90"/>
      <c r="EL66" s="90"/>
      <c r="EM66" s="90"/>
      <c r="EO66" s="128"/>
      <c r="EP66" s="90"/>
      <c r="EQ66" s="90"/>
      <c r="ER66" s="90"/>
      <c r="ES66" s="90"/>
      <c r="ET66" s="90"/>
      <c r="EU66" s="90"/>
      <c r="EV66" s="90"/>
      <c r="EW66" s="90"/>
      <c r="EX66" s="90"/>
      <c r="EY66" s="90"/>
      <c r="EZ66" s="90"/>
      <c r="FA66" s="90"/>
      <c r="FB66" s="90"/>
      <c r="FD66" s="90">
        <f t="shared" ca="1" si="63"/>
        <v>3.08</v>
      </c>
      <c r="FE66" s="90"/>
      <c r="FF66" s="90"/>
      <c r="FG66" s="90">
        <f t="shared" ca="1" si="64"/>
        <v>0</v>
      </c>
    </row>
    <row r="67" spans="1:163" x14ac:dyDescent="0.25">
      <c r="A67" s="123">
        <v>61</v>
      </c>
      <c r="B67" s="123">
        <f>INDEX(关卡对比!$Y:$Y,MATCH(关卡对比!Z67,关卡对比!$AA:$AA,1))</f>
        <v>44</v>
      </c>
      <c r="C67" s="124">
        <f>INDEX(关卡对比!$Y:$Y,MATCH(关卡对比!Z67,关卡对比!$AB:$AB,1))</f>
        <v>35</v>
      </c>
      <c r="D67" s="125">
        <f t="shared" si="70"/>
        <v>389.5</v>
      </c>
      <c r="E67" s="125">
        <v>3</v>
      </c>
      <c r="F67" s="128">
        <v>5</v>
      </c>
      <c r="G67" s="90">
        <v>1</v>
      </c>
      <c r="H67" s="90">
        <v>1</v>
      </c>
      <c r="J67" s="128">
        <v>61</v>
      </c>
      <c r="K67" s="90">
        <f t="shared" si="77"/>
        <v>5</v>
      </c>
      <c r="L67" s="90">
        <f t="shared" si="78"/>
        <v>1</v>
      </c>
      <c r="M67" s="90">
        <f t="shared" si="79"/>
        <v>1</v>
      </c>
      <c r="N67" s="140">
        <f>INDEX($A:$A,MATCH(SUM($K$7:K67),$D:$D,1))</f>
        <v>52</v>
      </c>
      <c r="O67" s="140">
        <v>0</v>
      </c>
      <c r="P67" s="141">
        <v>0</v>
      </c>
      <c r="Q67" s="126">
        <f>_xlfn.MAXIFS(关卡产出!X:X,关卡产出!$A:$A,玩家节奏1!$N$6,关卡产出!$B:$B,玩家节奏1!$N67)+_xlfn.MAXIFS(关卡产出!X:X,关卡产出!$A:$A,玩家节奏1!$O$6,关卡产出!$B:$B,玩家节奏1!$O67)+_xlfn.MAXIFS(关卡产出!X:X,关卡产出!$A:$A,玩家节奏1!$P$6,关卡产出!$B:$B,玩家节奏1!$P67)</f>
        <v>8900</v>
      </c>
      <c r="R67" s="90">
        <f>_xlfn.MAXIFS(关卡产出!Y:Y,关卡产出!$A:$A,玩家节奏1!$N$6,关卡产出!$B:$B,玩家节奏1!$N67)+_xlfn.MAXIFS(关卡产出!Y:Y,关卡产出!$A:$A,玩家节奏1!$O$6,关卡产出!$B:$B,玩家节奏1!$O67)+_xlfn.MAXIFS(关卡产出!Y:Y,关卡产出!$A:$A,玩家节奏1!$P$6,关卡产出!$B:$B,玩家节奏1!$P67)</f>
        <v>717200</v>
      </c>
      <c r="S67" s="90">
        <f>_xlfn.MAXIFS(关卡产出!Z:Z,关卡产出!$A:$A,玩家节奏1!$N$6,关卡产出!$B:$B,玩家节奏1!$N67)+_xlfn.MAXIFS(关卡产出!Z:Z,关卡产出!$A:$A,玩家节奏1!$O$6,关卡产出!$B:$B,玩家节奏1!$O67)+_xlfn.MAXIFS(关卡产出!Z:Z,关卡产出!$A:$A,玩家节奏1!$P$6,关卡产出!$B:$B,玩家节奏1!$P67)</f>
        <v>5162</v>
      </c>
      <c r="T67" s="90">
        <f>_xlfn.MAXIFS(关卡产出!AA:AA,关卡产出!$A:$A,玩家节奏1!$N$6,关卡产出!$B:$B,玩家节奏1!$N67)+_xlfn.MAXIFS(关卡产出!AA:AA,关卡产出!$A:$A,玩家节奏1!$O$6,关卡产出!$B:$B,玩家节奏1!$O67)+_xlfn.MAXIFS(关卡产出!AA:AA,关卡产出!$A:$A,玩家节奏1!$P$6,关卡产出!$B:$B,玩家节奏1!$P67)</f>
        <v>2582</v>
      </c>
      <c r="U67" s="90">
        <f>_xlfn.MAXIFS(关卡产出!AB:AB,关卡产出!$A:$A,玩家节奏1!$N$6,关卡产出!$B:$B,玩家节奏1!$N67)+_xlfn.MAXIFS(关卡产出!AB:AB,关卡产出!$A:$A,玩家节奏1!$O$6,关卡产出!$B:$B,玩家节奏1!$O67)+_xlfn.MAXIFS(关卡产出!AB:AB,关卡产出!$A:$A,玩家节奏1!$P$6,关卡产出!$B:$B,玩家节奏1!$P67)</f>
        <v>1131</v>
      </c>
      <c r="V67" s="130">
        <f>_xlfn.MAXIFS(关卡产出!AC:AC,关卡产出!$A:$A,玩家节奏1!$N$6,关卡产出!$B:$B,玩家节奏1!$N67)+_xlfn.MAXIFS(关卡产出!AC:AC,关卡产出!$A:$A,玩家节奏1!$O$6,关卡产出!$B:$B,玩家节奏1!$O67)+_xlfn.MAXIFS(关卡产出!AC:AC,关卡产出!$A:$A,玩家节奏1!$P$6,关卡产出!$B:$B,玩家节奏1!$P67)</f>
        <v>312</v>
      </c>
      <c r="W67" s="126">
        <f>INDEX(关卡产出!C$8:C$207,MATCH(玩家节奏1!$N67,关卡产出!$B$8:$B$207,0))*$K67</f>
        <v>200</v>
      </c>
      <c r="X67" s="126">
        <f>INDEX(关卡产出!D$8:D$207,MATCH(玩家节奏1!$N67,关卡产出!$B$8:$B$207,0))*$K67</f>
        <v>100</v>
      </c>
      <c r="Y67" s="126">
        <f>INDEX(关卡产出!E$8:E$207,MATCH(玩家节奏1!$N67,关卡产出!$B$8:$B$207,0))*$K67</f>
        <v>45</v>
      </c>
      <c r="Z67" s="144">
        <f>INDEX(关卡产出!F$8:F$207,MATCH(玩家节奏1!$N67,关卡产出!$B$8:$B$207,0))*$K67</f>
        <v>2850</v>
      </c>
      <c r="AA67" s="126">
        <f>SUM(W$7:W67)</f>
        <v>7216</v>
      </c>
      <c r="AB67" s="126">
        <f>SUM(X$7:X67)</f>
        <v>3526</v>
      </c>
      <c r="AC67" s="126">
        <f>SUM(Y$7:Y67)</f>
        <v>1562</v>
      </c>
      <c r="AD67" s="126">
        <f>SUM(Z$7:Z67)</f>
        <v>114010</v>
      </c>
      <c r="AE67" s="126">
        <f>INDEX(图鉴!AQ:AQ,MATCH($N67,图鉴!$S:$S,0))*8</f>
        <v>160</v>
      </c>
      <c r="AF67" s="90">
        <f>INDEX(图鉴!AR:AR,MATCH($N67,图鉴!$S:$S,0))*8</f>
        <v>88</v>
      </c>
      <c r="AG67" s="90">
        <f>INDEX(图鉴!AS:AS,MATCH($N67,图鉴!$S:$S,0))*8</f>
        <v>32</v>
      </c>
      <c r="AH67" s="129">
        <f ca="1">INDEX(图鉴!AT:AT,MATCH($N67,图鉴!$S:$S,0))*8</f>
        <v>6560</v>
      </c>
      <c r="AI67" s="128">
        <f>SUM($AE$7:AE67)</f>
        <v>7920</v>
      </c>
      <c r="AJ67" s="90">
        <f>SUM(AF$7:AF67)</f>
        <v>3632</v>
      </c>
      <c r="AK67" s="90">
        <f>SUM(AG$7:AG67)</f>
        <v>1152</v>
      </c>
      <c r="AL67" s="130">
        <f ca="1">SUM(AH$7:AH67)</f>
        <v>277840</v>
      </c>
      <c r="AM67" s="133">
        <f>IF(M67=0,0,INDEX(关卡产出!$AU$11:$AU$15,MATCH(玩家节奏1!N67,关卡产出!$AW$11:$AW$15,1))*M67)</f>
        <v>8500</v>
      </c>
      <c r="AN67" s="126">
        <f>IF(L67=0,0,$L67*关卡产出!AU$21)</f>
        <v>1000</v>
      </c>
      <c r="AO67" s="90">
        <f>IF(M67=0,0,$L67*关卡产出!AV$21)</f>
        <v>50</v>
      </c>
      <c r="AP67" s="129">
        <f>IF(N67=0,0,$L67*关卡产出!AW$21)</f>
        <v>1</v>
      </c>
      <c r="AQ67" s="138">
        <f>SUM(AN$7:AN67)</f>
        <v>44000</v>
      </c>
      <c r="AR67" s="126">
        <f>SUM(AO$7:AO67)</f>
        <v>2200</v>
      </c>
      <c r="AS67" s="129">
        <f>SUM(AP$7:AP67)</f>
        <v>44</v>
      </c>
      <c r="AT67" s="128">
        <v>500</v>
      </c>
      <c r="AU67" s="129">
        <v>100</v>
      </c>
      <c r="AV67" s="128">
        <f>SUM(AT$7:AT67)</f>
        <v>30500</v>
      </c>
      <c r="AW67" s="90">
        <f>SUM(AU$7:AU67)</f>
        <v>6100</v>
      </c>
      <c r="AY67" s="128">
        <f t="shared" si="13"/>
        <v>8900</v>
      </c>
      <c r="AZ67" s="90">
        <f t="shared" si="14"/>
        <v>2200</v>
      </c>
      <c r="BA67" s="90">
        <f t="shared" si="15"/>
        <v>6100</v>
      </c>
      <c r="BB67" s="90">
        <f t="shared" ca="1" si="65"/>
        <v>2150</v>
      </c>
      <c r="BC67" s="90">
        <f t="shared" ca="1" si="68"/>
        <v>19350</v>
      </c>
      <c r="BD67" s="90"/>
      <c r="BE67" s="90">
        <f t="shared" ca="1" si="17"/>
        <v>19350</v>
      </c>
      <c r="BF67" s="142">
        <f t="shared" ca="1" si="18"/>
        <v>0.4599483204134367</v>
      </c>
      <c r="BG67" s="142">
        <f t="shared" ca="1" si="19"/>
        <v>0.11369509043927649</v>
      </c>
      <c r="BH67" s="142">
        <f t="shared" ca="1" si="80"/>
        <v>0.3152454780361757</v>
      </c>
      <c r="BI67" s="142">
        <f t="shared" ca="1" si="81"/>
        <v>0.1111111111111111</v>
      </c>
      <c r="BJ67" s="143"/>
      <c r="BK67" s="128">
        <f ca="1">INDEX(商城宝箱!$L:$L,MATCH(BC67,商城宝箱!$N:$N,1))</f>
        <v>6</v>
      </c>
      <c r="BL67" s="90">
        <f ca="1">_xlfn.IFNA(INDEX(商城宝箱!T:T,MATCH(玩家节奏1!$BK67,商城宝箱!$L:$L,0)),0)+($BC67-INDEX(商城宝箱!$N:$N,MATCH(玩家节奏1!$BK67,商城宝箱!$L:$L,0)))/$BK$5*INDEX(商城宝箱!E$23:E$42,MATCH(玩家节奏1!$BK67+1,商城宝箱!$C$23:$C$42,0))</f>
        <v>48375</v>
      </c>
      <c r="BM67" s="90">
        <f ca="1">_xlfn.IFNA(INDEX(商城宝箱!U:U,MATCH(玩家节奏1!$BK67,商城宝箱!$L:$L,0)),0)+($BC67-INDEX(商城宝箱!$N:$N,MATCH(玩家节奏1!$BK67,商城宝箱!$L:$L,0)))/$BK$5*INDEX(商城宝箱!F$23:F$42,MATCH(玩家节奏1!$BK67+1,商城宝箱!$C$23:$C$42,0))</f>
        <v>15537.5</v>
      </c>
      <c r="BN67" s="90">
        <f ca="1">_xlfn.IFNA(INDEX(商城宝箱!V:V,MATCH(玩家节奏1!$BK67,商城宝箱!$L:$L,0)),0)+($BC67-INDEX(商城宝箱!$N:$N,MATCH(玩家节奏1!$BK67,商城宝箱!$L:$L,0)))/$BK$5*INDEX(商城宝箱!G$23:G$42,MATCH(玩家节奏1!$BK67+1,商城宝箱!$C$23:$C$42,0))</f>
        <v>8549.5</v>
      </c>
      <c r="BO67" s="90">
        <f ca="1">_xlfn.IFNA(INDEX(商城宝箱!W:W,MATCH(玩家节奏1!$BK67,商城宝箱!$L:$L,0)),0)+($BC67-INDEX(商城宝箱!$N:$N,MATCH(玩家节奏1!$BK67,商城宝箱!$L:$L,0)))/$BK$5*INDEX(商城宝箱!H$23:H$42,MATCH(玩家节奏1!$BK67+1,商城宝箱!$C$23:$C$42,0))</f>
        <v>1170.25</v>
      </c>
      <c r="BQ67" s="128">
        <f t="shared" si="71"/>
        <v>717200</v>
      </c>
      <c r="BR67" s="90">
        <f t="shared" si="72"/>
        <v>114010</v>
      </c>
      <c r="BS67" s="90">
        <f t="shared" ca="1" si="73"/>
        <v>277840</v>
      </c>
      <c r="BT67" s="90">
        <f t="shared" si="74"/>
        <v>8500</v>
      </c>
      <c r="BU67" s="90">
        <f t="shared" si="75"/>
        <v>44000</v>
      </c>
      <c r="BV67" s="90">
        <f t="shared" si="76"/>
        <v>30500</v>
      </c>
      <c r="BW67" s="90">
        <f t="shared" ca="1" si="22"/>
        <v>48375</v>
      </c>
      <c r="BX67" s="90">
        <f t="shared" ca="1" si="23"/>
        <v>1240425</v>
      </c>
      <c r="BY67" s="142">
        <f t="shared" ca="1" si="24"/>
        <v>0.57818892718221582</v>
      </c>
      <c r="BZ67" s="142">
        <f t="shared" ca="1" si="25"/>
        <v>9.1912046274462381E-2</v>
      </c>
      <c r="CA67" s="142">
        <f t="shared" ca="1" si="26"/>
        <v>0.22398774613539715</v>
      </c>
      <c r="CB67" s="142">
        <f t="shared" ca="1" si="27"/>
        <v>6.8524900739665839E-3</v>
      </c>
      <c r="CC67" s="142">
        <f t="shared" ca="1" si="28"/>
        <v>3.5471713324062321E-2</v>
      </c>
      <c r="CD67" s="142">
        <f t="shared" ca="1" si="29"/>
        <v>2.4588346735997742E-2</v>
      </c>
      <c r="CE67" s="142">
        <f t="shared" ca="1" si="30"/>
        <v>3.8998730273898059E-2</v>
      </c>
      <c r="CG67" s="128">
        <f t="shared" si="31"/>
        <v>52</v>
      </c>
      <c r="CH67" s="90">
        <f ca="1">INDEX(角色升级!$A:$A,MATCH(玩家节奏1!$BX67,角色升级!$J:$J,1))</f>
        <v>337</v>
      </c>
      <c r="CI67" s="90">
        <f ca="1">INDEX(角色升级!$O:$O,MATCH(玩家节奏1!$BX67,角色升级!$J:$J,1))</f>
        <v>8677.2485100000013</v>
      </c>
      <c r="CJ67" s="90">
        <f>INDEX(关卡对比!$J:$J,MATCH(玩家节奏1!N67,关卡对比!$A:$A,0))</f>
        <v>12200</v>
      </c>
      <c r="CK67" s="147">
        <f t="shared" ca="1" si="32"/>
        <v>1.4059756368554204</v>
      </c>
      <c r="CL67" s="128">
        <f ca="1">INDEX(角色升级!$P:$P,MATCH(玩家节奏1!$CH67,角色升级!$A:$A,0))</f>
        <v>2150</v>
      </c>
      <c r="CM67" s="90">
        <f ca="1">INDEX(角色升级!Q:Q,MATCH(玩家节奏1!$CH67,角色升级!$A:$A,0))</f>
        <v>0.3</v>
      </c>
      <c r="CO67" s="128">
        <f t="shared" si="33"/>
        <v>5162</v>
      </c>
      <c r="CP67" s="90">
        <f t="shared" si="34"/>
        <v>7216</v>
      </c>
      <c r="CQ67" s="90">
        <f t="shared" si="35"/>
        <v>7920</v>
      </c>
      <c r="CR67" s="90">
        <f t="shared" ca="1" si="36"/>
        <v>15537.5</v>
      </c>
      <c r="CS67" s="90">
        <f t="shared" ca="1" si="37"/>
        <v>35835.5</v>
      </c>
      <c r="CT67" s="142">
        <f t="shared" ca="1" si="38"/>
        <v>0.14404710412858757</v>
      </c>
      <c r="CU67" s="142">
        <f t="shared" ca="1" si="39"/>
        <v>0.20136456865398836</v>
      </c>
      <c r="CV67" s="142">
        <f t="shared" ca="1" si="40"/>
        <v>0.22100989242510918</v>
      </c>
      <c r="CW67" s="142">
        <f t="shared" ca="1" si="41"/>
        <v>0.43357843479231489</v>
      </c>
      <c r="CY67" s="128">
        <f t="shared" si="42"/>
        <v>2582</v>
      </c>
      <c r="CZ67" s="90">
        <f t="shared" si="43"/>
        <v>3526</v>
      </c>
      <c r="DA67" s="90">
        <f t="shared" si="44"/>
        <v>3632</v>
      </c>
      <c r="DB67" s="90">
        <f t="shared" ca="1" si="66"/>
        <v>8549.5</v>
      </c>
      <c r="DC67" s="90">
        <f t="shared" ca="1" si="45"/>
        <v>18289.5</v>
      </c>
      <c r="DD67" s="142">
        <f t="shared" ca="1" si="46"/>
        <v>0.14117389759151425</v>
      </c>
      <c r="DE67" s="142">
        <f t="shared" ca="1" si="47"/>
        <v>0.19278821181552258</v>
      </c>
      <c r="DF67" s="142">
        <f t="shared" ca="1" si="48"/>
        <v>0.19858388692965909</v>
      </c>
      <c r="DG67" s="142">
        <f t="shared" ca="1" si="49"/>
        <v>0.46745400366330409</v>
      </c>
      <c r="DI67" s="128">
        <f t="shared" si="50"/>
        <v>1131</v>
      </c>
      <c r="DJ67" s="90">
        <f t="shared" si="51"/>
        <v>1562</v>
      </c>
      <c r="DK67" s="90">
        <f t="shared" si="52"/>
        <v>1152</v>
      </c>
      <c r="DL67" s="90">
        <f t="shared" ca="1" si="53"/>
        <v>1170.25</v>
      </c>
      <c r="DM67" s="90">
        <f t="shared" ca="1" si="54"/>
        <v>5015.25</v>
      </c>
      <c r="DN67" s="142">
        <f t="shared" ca="1" si="55"/>
        <v>0.22551218782712726</v>
      </c>
      <c r="DO67" s="142">
        <f t="shared" ca="1" si="56"/>
        <v>0.31145007726434376</v>
      </c>
      <c r="DP67" s="142">
        <f t="shared" ca="1" si="57"/>
        <v>0.22969941677882458</v>
      </c>
      <c r="DQ67" s="142">
        <f t="shared" ca="1" si="58"/>
        <v>0.2333383181297044</v>
      </c>
      <c r="DS67" s="128">
        <f t="shared" ca="1" si="59"/>
        <v>35835.5</v>
      </c>
      <c r="DT67" s="90">
        <f t="shared" ca="1" si="60"/>
        <v>18289.5</v>
      </c>
      <c r="DU67" s="90">
        <f t="shared" ca="1" si="61"/>
        <v>5015.25</v>
      </c>
      <c r="DV67" s="90">
        <f t="shared" si="62"/>
        <v>44</v>
      </c>
      <c r="DW67" s="90">
        <f ca="1">_xlfn.IFNA(INDEX(武器升级消耗!$H:$H,MATCH(玩家节奏1!DS67/玩家节奏1!DS$5,武器升级消耗!M:M,1)),0)</f>
        <v>18</v>
      </c>
      <c r="DX67" s="90">
        <f ca="1">_xlfn.IFNA(INDEX(武器升级消耗!$H:$H,MATCH(玩家节奏1!DT67/玩家节奏1!DT$5,武器升级消耗!N:N,1)),0)</f>
        <v>16</v>
      </c>
      <c r="DY67" s="90">
        <f ca="1">_xlfn.IFNA(INDEX(武器升级消耗!$H:$H,MATCH(玩家节奏1!DU67/玩家节奏1!DU$5,武器升级消耗!O:O,1)),0)</f>
        <v>10</v>
      </c>
      <c r="DZ67" s="90">
        <f>_xlfn.IFNA(INDEX(武器升级消耗!$H:$H,MATCH(玩家节奏1!DV67/玩家节奏1!DV$5,武器升级消耗!P:P,1)),0)</f>
        <v>7</v>
      </c>
      <c r="EA67" s="90">
        <f ca="1">_xlfn.IFNA(INDEX(武器升级消耗!$Q:$Q,MATCH(玩家节奏1!DW67,武器升级消耗!$H:$H,0))*2*EA$4,0)</f>
        <v>2.64</v>
      </c>
      <c r="EB67" s="90">
        <f ca="1">_xlfn.IFNA(INDEX(武器升级消耗!$Q:$Q,MATCH(玩家节奏1!DX67,武器升级消耗!$H:$H,0))*2*EB$4,0)</f>
        <v>3</v>
      </c>
      <c r="EC67" s="90">
        <f ca="1">_xlfn.IFNA(INDEX(武器升级消耗!$Q:$Q,MATCH(玩家节奏1!DY67,武器升级消耗!$H:$H,0))*2*EC$4,1)</f>
        <v>3.08</v>
      </c>
      <c r="ED67" s="90">
        <f>_xlfn.IFNA(INDEX(武器升级消耗!$Q:$Q,MATCH(玩家节奏1!DZ67,武器升级消耗!$H:$H,0))*2*ED$4,0)</f>
        <v>3.3000000000000003</v>
      </c>
      <c r="EF67" s="128"/>
      <c r="EG67" s="90"/>
      <c r="EH67" s="90"/>
      <c r="EI67" s="90"/>
      <c r="EJ67" s="90"/>
      <c r="EK67" s="90"/>
      <c r="EL67" s="90"/>
      <c r="EM67" s="90"/>
      <c r="EO67" s="128"/>
      <c r="EP67" s="90"/>
      <c r="EQ67" s="90"/>
      <c r="ER67" s="90"/>
      <c r="ES67" s="90"/>
      <c r="ET67" s="90"/>
      <c r="EU67" s="90"/>
      <c r="EV67" s="90"/>
      <c r="EW67" s="90"/>
      <c r="EX67" s="90"/>
      <c r="EY67" s="90"/>
      <c r="EZ67" s="90"/>
      <c r="FA67" s="90"/>
      <c r="FB67" s="90"/>
      <c r="FD67" s="90">
        <f t="shared" ca="1" si="63"/>
        <v>3.08</v>
      </c>
      <c r="FE67" s="90"/>
      <c r="FF67" s="90"/>
      <c r="FG67" s="90">
        <f t="shared" ca="1" si="64"/>
        <v>0</v>
      </c>
    </row>
    <row r="68" spans="1:163" x14ac:dyDescent="0.25">
      <c r="A68" s="123">
        <v>62</v>
      </c>
      <c r="B68" s="123">
        <f>INDEX(关卡对比!$Y:$Y,MATCH(关卡对比!Z68,关卡对比!$AA:$AA,1))</f>
        <v>44</v>
      </c>
      <c r="C68" s="124">
        <f>INDEX(关卡对比!$Y:$Y,MATCH(关卡对比!Z68,关卡对比!$AB:$AB,1))</f>
        <v>35</v>
      </c>
      <c r="D68" s="125">
        <f t="shared" si="70"/>
        <v>392.5</v>
      </c>
      <c r="E68" s="125">
        <v>3</v>
      </c>
      <c r="F68" s="128">
        <v>5</v>
      </c>
      <c r="G68" s="90">
        <v>1</v>
      </c>
      <c r="H68" s="90">
        <v>1</v>
      </c>
      <c r="J68" s="128">
        <v>62</v>
      </c>
      <c r="K68" s="90">
        <f t="shared" si="77"/>
        <v>5</v>
      </c>
      <c r="L68" s="90">
        <f t="shared" si="78"/>
        <v>1</v>
      </c>
      <c r="M68" s="90">
        <f t="shared" si="79"/>
        <v>1</v>
      </c>
      <c r="N68" s="140">
        <f>INDEX($A:$A,MATCH(SUM($K$7:K68),$D:$D,1))</f>
        <v>53</v>
      </c>
      <c r="O68" s="140">
        <v>0</v>
      </c>
      <c r="P68" s="141">
        <v>0</v>
      </c>
      <c r="Q68" s="126">
        <f>_xlfn.MAXIFS(关卡产出!X:X,关卡产出!$A:$A,玩家节奏1!$N$6,关卡产出!$B:$B,玩家节奏1!$N68)+_xlfn.MAXIFS(关卡产出!X:X,关卡产出!$A:$A,玩家节奏1!$O$6,关卡产出!$B:$B,玩家节奏1!$O68)+_xlfn.MAXIFS(关卡产出!X:X,关卡产出!$A:$A,玩家节奏1!$P$6,关卡产出!$B:$B,玩家节奏1!$P68)</f>
        <v>9100</v>
      </c>
      <c r="R68" s="90">
        <f>_xlfn.MAXIFS(关卡产出!Y:Y,关卡产出!$A:$A,玩家节奏1!$N$6,关卡产出!$B:$B,玩家节奏1!$N68)+_xlfn.MAXIFS(关卡产出!Y:Y,关卡产出!$A:$A,玩家节奏1!$O$6,关卡产出!$B:$B,玩家节奏1!$O68)+_xlfn.MAXIFS(关卡产出!Y:Y,关卡产出!$A:$A,玩家节奏1!$P$6,关卡产出!$B:$B,玩家节奏1!$P68)</f>
        <v>746700</v>
      </c>
      <c r="S68" s="90">
        <f>_xlfn.MAXIFS(关卡产出!Z:Z,关卡产出!$A:$A,玩家节奏1!$N$6,关卡产出!$B:$B,玩家节奏1!$N68)+_xlfn.MAXIFS(关卡产出!Z:Z,关卡产出!$A:$A,玩家节奏1!$O$6,关卡产出!$B:$B,玩家节奏1!$O68)+_xlfn.MAXIFS(关卡产出!Z:Z,关卡产出!$A:$A,玩家节奏1!$P$6,关卡产出!$B:$B,玩家节奏1!$P68)</f>
        <v>5366</v>
      </c>
      <c r="T68" s="90">
        <f>_xlfn.MAXIFS(关卡产出!AA:AA,关卡产出!$A:$A,玩家节奏1!$N$6,关卡产出!$B:$B,玩家节奏1!$N68)+_xlfn.MAXIFS(关卡产出!AA:AA,关卡产出!$A:$A,玩家节奏1!$O$6,关卡产出!$B:$B,玩家节奏1!$O68)+_xlfn.MAXIFS(关卡产出!AA:AA,关卡产出!$A:$A,玩家节奏1!$P$6,关卡产出!$B:$B,玩家节奏1!$P68)</f>
        <v>2684</v>
      </c>
      <c r="U68" s="90">
        <f>_xlfn.MAXIFS(关卡产出!AB:AB,关卡产出!$A:$A,玩家节奏1!$N$6,关卡产出!$B:$B,玩家节奏1!$N68)+_xlfn.MAXIFS(关卡产出!AB:AB,关卡产出!$A:$A,玩家节奏1!$O$6,关卡产出!$B:$B,玩家节奏1!$O68)+_xlfn.MAXIFS(关卡产出!AB:AB,关卡产出!$A:$A,玩家节奏1!$P$6,关卡产出!$B:$B,玩家节奏1!$P68)</f>
        <v>1179</v>
      </c>
      <c r="V68" s="130">
        <f>_xlfn.MAXIFS(关卡产出!AC:AC,关卡产出!$A:$A,玩家节奏1!$N$6,关卡产出!$B:$B,玩家节奏1!$N68)+_xlfn.MAXIFS(关卡产出!AC:AC,关卡产出!$A:$A,玩家节奏1!$O$6,关卡产出!$B:$B,玩家节奏1!$O68)+_xlfn.MAXIFS(关卡产出!AC:AC,关卡产出!$A:$A,玩家节奏1!$P$6,关卡产出!$B:$B,玩家节奏1!$P68)</f>
        <v>318</v>
      </c>
      <c r="W68" s="126">
        <f>INDEX(关卡产出!C$8:C$207,MATCH(玩家节奏1!$N68,关卡产出!$B$8:$B$207,0))*$K68</f>
        <v>205</v>
      </c>
      <c r="X68" s="126">
        <f>INDEX(关卡产出!D$8:D$207,MATCH(玩家节奏1!$N68,关卡产出!$B$8:$B$207,0))*$K68</f>
        <v>100</v>
      </c>
      <c r="Y68" s="126">
        <f>INDEX(关卡产出!E$8:E$207,MATCH(玩家节奏1!$N68,关卡产出!$B$8:$B$207,0))*$K68</f>
        <v>50</v>
      </c>
      <c r="Z68" s="144">
        <f>INDEX(关卡产出!F$8:F$207,MATCH(玩家节奏1!$N68,关卡产出!$B$8:$B$207,0))*$K68</f>
        <v>2950</v>
      </c>
      <c r="AA68" s="126">
        <f>SUM(W$7:W68)</f>
        <v>7421</v>
      </c>
      <c r="AB68" s="126">
        <f>SUM(X$7:X68)</f>
        <v>3626</v>
      </c>
      <c r="AC68" s="126">
        <f>SUM(Y$7:Y68)</f>
        <v>1612</v>
      </c>
      <c r="AD68" s="126">
        <f>SUM(Z$7:Z68)</f>
        <v>116960</v>
      </c>
      <c r="AE68" s="126">
        <f>INDEX(图鉴!AQ:AQ,MATCH($N68,图鉴!$S:$S,0))*8</f>
        <v>160</v>
      </c>
      <c r="AF68" s="90">
        <f>INDEX(图鉴!AR:AR,MATCH($N68,图鉴!$S:$S,0))*8</f>
        <v>88</v>
      </c>
      <c r="AG68" s="90">
        <f>INDEX(图鉴!AS:AS,MATCH($N68,图鉴!$S:$S,0))*8</f>
        <v>32</v>
      </c>
      <c r="AH68" s="129">
        <f ca="1">INDEX(图鉴!AT:AT,MATCH($N68,图鉴!$S:$S,0))*8</f>
        <v>6560</v>
      </c>
      <c r="AI68" s="128">
        <f>SUM($AE$7:AE68)</f>
        <v>8080</v>
      </c>
      <c r="AJ68" s="90">
        <f>SUM(AF$7:AF68)</f>
        <v>3720</v>
      </c>
      <c r="AK68" s="90">
        <f>SUM(AG$7:AG68)</f>
        <v>1184</v>
      </c>
      <c r="AL68" s="130">
        <f ca="1">SUM(AH$7:AH68)</f>
        <v>284400</v>
      </c>
      <c r="AM68" s="133">
        <f>IF(M68=0,0,INDEX(关卡产出!$AU$11:$AU$15,MATCH(玩家节奏1!N68,关卡产出!$AW$11:$AW$15,1))*M68)</f>
        <v>8500</v>
      </c>
      <c r="AN68" s="126">
        <f>IF(L68=0,0,$L68*关卡产出!AU$21)</f>
        <v>1000</v>
      </c>
      <c r="AO68" s="90">
        <f>IF(M68=0,0,$L68*关卡产出!AV$21)</f>
        <v>50</v>
      </c>
      <c r="AP68" s="129">
        <f>IF(N68=0,0,$L68*关卡产出!AW$21)</f>
        <v>1</v>
      </c>
      <c r="AQ68" s="138">
        <f>SUM(AN$7:AN68)</f>
        <v>45000</v>
      </c>
      <c r="AR68" s="126">
        <f>SUM(AO$7:AO68)</f>
        <v>2250</v>
      </c>
      <c r="AS68" s="129">
        <f>SUM(AP$7:AP68)</f>
        <v>45</v>
      </c>
      <c r="AT68" s="128">
        <v>500</v>
      </c>
      <c r="AU68" s="129">
        <v>100</v>
      </c>
      <c r="AV68" s="128">
        <f>SUM(AT$7:AT68)</f>
        <v>31000</v>
      </c>
      <c r="AW68" s="90">
        <f>SUM(AU$7:AU68)</f>
        <v>6200</v>
      </c>
      <c r="AY68" s="128">
        <f t="shared" si="13"/>
        <v>9100</v>
      </c>
      <c r="AZ68" s="90">
        <f t="shared" si="14"/>
        <v>2250</v>
      </c>
      <c r="BA68" s="90">
        <f t="shared" si="15"/>
        <v>6200</v>
      </c>
      <c r="BB68" s="90">
        <f t="shared" ca="1" si="65"/>
        <v>2150</v>
      </c>
      <c r="BC68" s="90">
        <f t="shared" ca="1" si="68"/>
        <v>19700</v>
      </c>
      <c r="BD68" s="90"/>
      <c r="BE68" s="90">
        <f t="shared" ca="1" si="17"/>
        <v>19700</v>
      </c>
      <c r="BF68" s="142">
        <f t="shared" ca="1" si="18"/>
        <v>0.46192893401015228</v>
      </c>
      <c r="BG68" s="142">
        <f t="shared" ca="1" si="19"/>
        <v>0.11421319796954314</v>
      </c>
      <c r="BH68" s="142">
        <f t="shared" ca="1" si="80"/>
        <v>0.31472081218274112</v>
      </c>
      <c r="BI68" s="142">
        <f t="shared" ca="1" si="81"/>
        <v>0.10913705583756345</v>
      </c>
      <c r="BJ68" s="143"/>
      <c r="BK68" s="128">
        <f ca="1">INDEX(商城宝箱!$L:$L,MATCH(BC68,商城宝箱!$N:$N,1))</f>
        <v>6</v>
      </c>
      <c r="BL68" s="90">
        <f ca="1">_xlfn.IFNA(INDEX(商城宝箱!T:T,MATCH(玩家节奏1!$BK68,商城宝箱!$L:$L,0)),0)+($BC68-INDEX(商城宝箱!$N:$N,MATCH(玩家节奏1!$BK68,商城宝箱!$L:$L,0)))/$BK$5*INDEX(商城宝箱!E$23:E$42,MATCH(玩家节奏1!$BK68+1,商城宝箱!$C$23:$C$42,0))</f>
        <v>49250</v>
      </c>
      <c r="BM68" s="90">
        <f ca="1">_xlfn.IFNA(INDEX(商城宝箱!U:U,MATCH(玩家节奏1!$BK68,商城宝箱!$L:$L,0)),0)+($BC68-INDEX(商城宝箱!$N:$N,MATCH(玩家节奏1!$BK68,商城宝箱!$L:$L,0)))/$BK$5*INDEX(商城宝箱!F$23:F$42,MATCH(玩家节奏1!$BK68+1,商城宝箱!$C$23:$C$42,0))</f>
        <v>15992.5</v>
      </c>
      <c r="BN68" s="90">
        <f ca="1">_xlfn.IFNA(INDEX(商城宝箱!V:V,MATCH(玩家节奏1!$BK68,商城宝箱!$L:$L,0)),0)+($BC68-INDEX(商城宝箱!$N:$N,MATCH(玩家节奏1!$BK68,商城宝箱!$L:$L,0)))/$BK$5*INDEX(商城宝箱!G$23:G$42,MATCH(玩家节奏1!$BK68+1,商城宝箱!$C$23:$C$42,0))</f>
        <v>8847</v>
      </c>
      <c r="BO68" s="90">
        <f ca="1">_xlfn.IFNA(INDEX(商城宝箱!W:W,MATCH(玩家节奏1!$BK68,商城宝箱!$L:$L,0)),0)+($BC68-INDEX(商城宝箱!$N:$N,MATCH(玩家节奏1!$BK68,商城宝箱!$L:$L,0)))/$BK$5*INDEX(商城宝箱!H$23:H$42,MATCH(玩家节奏1!$BK68+1,商城宝箱!$C$23:$C$42,0))</f>
        <v>1210.5</v>
      </c>
      <c r="BQ68" s="128">
        <f t="shared" si="71"/>
        <v>746700</v>
      </c>
      <c r="BR68" s="90">
        <f t="shared" si="72"/>
        <v>116960</v>
      </c>
      <c r="BS68" s="90">
        <f t="shared" ca="1" si="73"/>
        <v>284400</v>
      </c>
      <c r="BT68" s="90">
        <f t="shared" si="74"/>
        <v>8500</v>
      </c>
      <c r="BU68" s="90">
        <f t="shared" si="75"/>
        <v>45000</v>
      </c>
      <c r="BV68" s="90">
        <f t="shared" si="76"/>
        <v>31000</v>
      </c>
      <c r="BW68" s="90">
        <f t="shared" ca="1" si="22"/>
        <v>49250</v>
      </c>
      <c r="BX68" s="90">
        <f t="shared" ca="1" si="23"/>
        <v>1281810</v>
      </c>
      <c r="BY68" s="142">
        <f t="shared" ca="1" si="24"/>
        <v>0.58253563320616941</v>
      </c>
      <c r="BZ68" s="142">
        <f t="shared" ca="1" si="25"/>
        <v>9.1245972492023E-2</v>
      </c>
      <c r="CA68" s="142">
        <f t="shared" ca="1" si="26"/>
        <v>0.22187375664099984</v>
      </c>
      <c r="CB68" s="142">
        <f t="shared" ca="1" si="27"/>
        <v>6.6312480008737648E-3</v>
      </c>
      <c r="CC68" s="142">
        <f t="shared" ca="1" si="28"/>
        <v>3.5106607063449341E-2</v>
      </c>
      <c r="CD68" s="142">
        <f t="shared" ca="1" si="29"/>
        <v>2.4184551532598436E-2</v>
      </c>
      <c r="CE68" s="142">
        <f t="shared" ca="1" si="30"/>
        <v>3.8422231063886224E-2</v>
      </c>
      <c r="CG68" s="128">
        <f t="shared" si="31"/>
        <v>53</v>
      </c>
      <c r="CH68" s="90">
        <f ca="1">INDEX(角色升级!$A:$A,MATCH(玩家节奏1!$BX68,角色升级!$J:$J,1))</f>
        <v>341</v>
      </c>
      <c r="CI68" s="90">
        <f ca="1">INDEX(角色升级!$O:$O,MATCH(玩家节奏1!$BX68,角色升级!$J:$J,1))</f>
        <v>9106.4511000000002</v>
      </c>
      <c r="CJ68" s="90">
        <f>INDEX(关卡对比!$J:$J,MATCH(玩家节奏1!N68,关卡对比!$A:$A,0))</f>
        <v>12700</v>
      </c>
      <c r="CK68" s="147">
        <f t="shared" ca="1" si="32"/>
        <v>1.3946157356514</v>
      </c>
      <c r="CL68" s="128">
        <f ca="1">INDEX(角色升级!$P:$P,MATCH(玩家节奏1!$CH68,角色升级!$A:$A,0))</f>
        <v>2650</v>
      </c>
      <c r="CM68" s="90">
        <f ca="1">INDEX(角色升级!Q:Q,MATCH(玩家节奏1!$CH68,角色升级!$A:$A,0))</f>
        <v>0.3</v>
      </c>
      <c r="CO68" s="128">
        <f t="shared" si="33"/>
        <v>5366</v>
      </c>
      <c r="CP68" s="90">
        <f t="shared" si="34"/>
        <v>7421</v>
      </c>
      <c r="CQ68" s="90">
        <f t="shared" si="35"/>
        <v>8080</v>
      </c>
      <c r="CR68" s="90">
        <f t="shared" ca="1" si="36"/>
        <v>15992.5</v>
      </c>
      <c r="CS68" s="90">
        <f t="shared" ca="1" si="37"/>
        <v>36859.5</v>
      </c>
      <c r="CT68" s="142">
        <f t="shared" ca="1" si="38"/>
        <v>0.1455798369484122</v>
      </c>
      <c r="CU68" s="142">
        <f t="shared" ca="1" si="39"/>
        <v>0.20133208535113065</v>
      </c>
      <c r="CV68" s="142">
        <f t="shared" ca="1" si="40"/>
        <v>0.21921078690703888</v>
      </c>
      <c r="CW68" s="142">
        <f t="shared" ca="1" si="41"/>
        <v>0.43387729079341825</v>
      </c>
      <c r="CY68" s="128">
        <f t="shared" si="42"/>
        <v>2684</v>
      </c>
      <c r="CZ68" s="90">
        <f t="shared" si="43"/>
        <v>3626</v>
      </c>
      <c r="DA68" s="90">
        <f t="shared" si="44"/>
        <v>3720</v>
      </c>
      <c r="DB68" s="90">
        <f t="shared" ca="1" si="66"/>
        <v>8847</v>
      </c>
      <c r="DC68" s="90">
        <f t="shared" ca="1" si="45"/>
        <v>18877</v>
      </c>
      <c r="DD68" s="142">
        <f t="shared" ca="1" si="46"/>
        <v>0.14218360968374211</v>
      </c>
      <c r="DE68" s="142">
        <f t="shared" ca="1" si="47"/>
        <v>0.19208560682311809</v>
      </c>
      <c r="DF68" s="142">
        <f t="shared" ca="1" si="48"/>
        <v>0.19706521163320442</v>
      </c>
      <c r="DG68" s="142">
        <f t="shared" ca="1" si="49"/>
        <v>0.46866557185993535</v>
      </c>
      <c r="DI68" s="128">
        <f t="shared" si="50"/>
        <v>1179</v>
      </c>
      <c r="DJ68" s="90">
        <f t="shared" si="51"/>
        <v>1612</v>
      </c>
      <c r="DK68" s="90">
        <f t="shared" si="52"/>
        <v>1184</v>
      </c>
      <c r="DL68" s="90">
        <f t="shared" ca="1" si="53"/>
        <v>1210.5</v>
      </c>
      <c r="DM68" s="90">
        <f t="shared" ca="1" si="54"/>
        <v>5185.5</v>
      </c>
      <c r="DN68" s="142">
        <f t="shared" ca="1" si="55"/>
        <v>0.22736476713913797</v>
      </c>
      <c r="DO68" s="142">
        <f t="shared" ca="1" si="56"/>
        <v>0.31086684022755762</v>
      </c>
      <c r="DP68" s="142">
        <f t="shared" ca="1" si="57"/>
        <v>0.22832899431105969</v>
      </c>
      <c r="DQ68" s="142">
        <f t="shared" ca="1" si="58"/>
        <v>0.23343939832224472</v>
      </c>
      <c r="DS68" s="128">
        <f t="shared" ca="1" si="59"/>
        <v>36859.5</v>
      </c>
      <c r="DT68" s="90">
        <f t="shared" ca="1" si="60"/>
        <v>18877</v>
      </c>
      <c r="DU68" s="90">
        <f t="shared" ca="1" si="61"/>
        <v>5185.5</v>
      </c>
      <c r="DV68" s="90">
        <f t="shared" si="62"/>
        <v>45</v>
      </c>
      <c r="DW68" s="90">
        <f ca="1">_xlfn.IFNA(INDEX(武器升级消耗!$H:$H,MATCH(玩家节奏1!DS68/玩家节奏1!DS$5,武器升级消耗!M:M,1)),0)</f>
        <v>19</v>
      </c>
      <c r="DX68" s="90">
        <f ca="1">_xlfn.IFNA(INDEX(武器升级消耗!$H:$H,MATCH(玩家节奏1!DT68/玩家节奏1!DT$5,武器升级消耗!N:N,1)),0)</f>
        <v>16</v>
      </c>
      <c r="DY68" s="90">
        <f ca="1">_xlfn.IFNA(INDEX(武器升级消耗!$H:$H,MATCH(玩家节奏1!DU68/玩家节奏1!DU$5,武器升级消耗!O:O,1)),0)</f>
        <v>10</v>
      </c>
      <c r="DZ68" s="90">
        <f>_xlfn.IFNA(INDEX(武器升级消耗!$H:$H,MATCH(玩家节奏1!DV68/玩家节奏1!DV$5,武器升级消耗!P:P,1)),0)</f>
        <v>7</v>
      </c>
      <c r="EA68" s="90">
        <f ca="1">_xlfn.IFNA(INDEX(武器升级消耗!$Q:$Q,MATCH(玩家节奏1!DW68,武器升级消耗!$H:$H,0))*2*EA$4,0)</f>
        <v>2.76</v>
      </c>
      <c r="EB68" s="90">
        <f ca="1">_xlfn.IFNA(INDEX(武器升级消耗!$Q:$Q,MATCH(玩家节奏1!DX68,武器升级消耗!$H:$H,0))*2*EB$4,0)</f>
        <v>3</v>
      </c>
      <c r="EC68" s="90">
        <f ca="1">_xlfn.IFNA(INDEX(武器升级消耗!$Q:$Q,MATCH(玩家节奏1!DY68,武器升级消耗!$H:$H,0))*2*EC$4,1)</f>
        <v>3.08</v>
      </c>
      <c r="ED68" s="90">
        <f>_xlfn.IFNA(INDEX(武器升级消耗!$Q:$Q,MATCH(玩家节奏1!DZ68,武器升级消耗!$H:$H,0))*2*ED$4,0)</f>
        <v>3.3000000000000003</v>
      </c>
      <c r="EF68" s="128"/>
      <c r="EG68" s="90"/>
      <c r="EH68" s="90"/>
      <c r="EI68" s="90"/>
      <c r="EJ68" s="90"/>
      <c r="EK68" s="90"/>
      <c r="EL68" s="90"/>
      <c r="EM68" s="90"/>
      <c r="EO68" s="128"/>
      <c r="EP68" s="90"/>
      <c r="EQ68" s="90"/>
      <c r="ER68" s="90"/>
      <c r="ES68" s="90"/>
      <c r="ET68" s="90"/>
      <c r="EU68" s="90"/>
      <c r="EV68" s="90"/>
      <c r="EW68" s="90"/>
      <c r="EX68" s="90"/>
      <c r="EY68" s="90"/>
      <c r="EZ68" s="90"/>
      <c r="FA68" s="90"/>
      <c r="FB68" s="90"/>
      <c r="FD68" s="90">
        <f t="shared" ca="1" si="63"/>
        <v>3.08</v>
      </c>
      <c r="FE68" s="90"/>
      <c r="FF68" s="90"/>
      <c r="FG68" s="90">
        <f t="shared" ca="1" si="64"/>
        <v>0</v>
      </c>
    </row>
    <row r="69" spans="1:163" x14ac:dyDescent="0.25">
      <c r="A69" s="123">
        <v>63</v>
      </c>
      <c r="B69" s="123">
        <f>INDEX(关卡对比!$Y:$Y,MATCH(关卡对比!Z69,关卡对比!$AA:$AA,1))</f>
        <v>45</v>
      </c>
      <c r="C69" s="124">
        <f>INDEX(关卡对比!$Y:$Y,MATCH(关卡对比!Z69,关卡对比!$AB:$AB,1))</f>
        <v>36</v>
      </c>
      <c r="D69" s="125">
        <f t="shared" si="70"/>
        <v>401.5</v>
      </c>
      <c r="E69" s="125">
        <v>3</v>
      </c>
      <c r="F69" s="128">
        <v>5</v>
      </c>
      <c r="G69" s="90">
        <v>1</v>
      </c>
      <c r="H69" s="90">
        <v>1</v>
      </c>
      <c r="J69" s="128">
        <v>63</v>
      </c>
      <c r="K69" s="90">
        <f t="shared" si="77"/>
        <v>5</v>
      </c>
      <c r="L69" s="90">
        <f t="shared" si="78"/>
        <v>1</v>
      </c>
      <c r="M69" s="90">
        <f t="shared" si="79"/>
        <v>1</v>
      </c>
      <c r="N69" s="140">
        <f>INDEX($A:$A,MATCH(SUM($K$7:K69),$D:$D,1))</f>
        <v>54</v>
      </c>
      <c r="O69" s="140">
        <v>0</v>
      </c>
      <c r="P69" s="141">
        <v>0</v>
      </c>
      <c r="Q69" s="126">
        <f>_xlfn.MAXIFS(关卡产出!X:X,关卡产出!$A:$A,玩家节奏1!$N$6,关卡产出!$B:$B,玩家节奏1!$N69)+_xlfn.MAXIFS(关卡产出!X:X,关卡产出!$A:$A,玩家节奏1!$O$6,关卡产出!$B:$B,玩家节奏1!$O69)+_xlfn.MAXIFS(关卡产出!X:X,关卡产出!$A:$A,玩家节奏1!$P$6,关卡产出!$B:$B,玩家节奏1!$P69)</f>
        <v>9300</v>
      </c>
      <c r="R69" s="90">
        <f>_xlfn.MAXIFS(关卡产出!Y:Y,关卡产出!$A:$A,玩家节奏1!$N$6,关卡产出!$B:$B,玩家节奏1!$N69)+_xlfn.MAXIFS(关卡产出!Y:Y,关卡产出!$A:$A,玩家节奏1!$O$6,关卡产出!$B:$B,玩家节奏1!$O69)+_xlfn.MAXIFS(关卡产出!Y:Y,关卡产出!$A:$A,玩家节奏1!$P$6,关卡产出!$B:$B,玩家节奏1!$P69)</f>
        <v>776800</v>
      </c>
      <c r="S69" s="90">
        <f>_xlfn.MAXIFS(关卡产出!Z:Z,关卡产出!$A:$A,玩家节奏1!$N$6,关卡产出!$B:$B,玩家节奏1!$N69)+_xlfn.MAXIFS(关卡产出!Z:Z,关卡产出!$A:$A,玩家节奏1!$O$6,关卡产出!$B:$B,玩家节奏1!$O69)+_xlfn.MAXIFS(关卡产出!Z:Z,关卡产出!$A:$A,玩家节奏1!$P$6,关卡产出!$B:$B,玩家节奏1!$P69)</f>
        <v>5574</v>
      </c>
      <c r="T69" s="90">
        <f>_xlfn.MAXIFS(关卡产出!AA:AA,关卡产出!$A:$A,玩家节奏1!$N$6,关卡产出!$B:$B,玩家节奏1!$N69)+_xlfn.MAXIFS(关卡产出!AA:AA,关卡产出!$A:$A,玩家节奏1!$O$6,关卡产出!$B:$B,玩家节奏1!$O69)+_xlfn.MAXIFS(关卡产出!AA:AA,关卡产出!$A:$A,玩家节奏1!$P$6,关卡产出!$B:$B,玩家节奏1!$P69)</f>
        <v>2788</v>
      </c>
      <c r="U69" s="90">
        <f>_xlfn.MAXIFS(关卡产出!AB:AB,关卡产出!$A:$A,玩家节奏1!$N$6,关卡产出!$B:$B,玩家节奏1!$N69)+_xlfn.MAXIFS(关卡产出!AB:AB,关卡产出!$A:$A,玩家节奏1!$O$6,关卡产出!$B:$B,玩家节奏1!$O69)+_xlfn.MAXIFS(关卡产出!AB:AB,关卡产出!$A:$A,玩家节奏1!$P$6,关卡产出!$B:$B,玩家节奏1!$P69)</f>
        <v>1228</v>
      </c>
      <c r="V69" s="130">
        <f>_xlfn.MAXIFS(关卡产出!AC:AC,关卡产出!$A:$A,玩家节奏1!$N$6,关卡产出!$B:$B,玩家节奏1!$N69)+_xlfn.MAXIFS(关卡产出!AC:AC,关卡产出!$A:$A,玩家节奏1!$O$6,关卡产出!$B:$B,玩家节奏1!$O69)+_xlfn.MAXIFS(关卡产出!AC:AC,关卡产出!$A:$A,玩家节奏1!$P$6,关卡产出!$B:$B,玩家节奏1!$P69)</f>
        <v>324</v>
      </c>
      <c r="W69" s="126">
        <f>INDEX(关卡产出!C$8:C$207,MATCH(玩家节奏1!$N69,关卡产出!$B$8:$B$207,0))*$K69</f>
        <v>210</v>
      </c>
      <c r="X69" s="126">
        <f>INDEX(关卡产出!D$8:D$207,MATCH(玩家节奏1!$N69,关卡产出!$B$8:$B$207,0))*$K69</f>
        <v>105</v>
      </c>
      <c r="Y69" s="126">
        <f>INDEX(关卡产出!E$8:E$207,MATCH(玩家节奏1!$N69,关卡产出!$B$8:$B$207,0))*$K69</f>
        <v>50</v>
      </c>
      <c r="Z69" s="144">
        <f>INDEX(关卡产出!F$8:F$207,MATCH(玩家节奏1!$N69,关卡产出!$B$8:$B$207,0))*$K69</f>
        <v>2950</v>
      </c>
      <c r="AA69" s="126">
        <f>SUM(W$7:W69)</f>
        <v>7631</v>
      </c>
      <c r="AB69" s="126">
        <f>SUM(X$7:X69)</f>
        <v>3731</v>
      </c>
      <c r="AC69" s="126">
        <f>SUM(Y$7:Y69)</f>
        <v>1662</v>
      </c>
      <c r="AD69" s="126">
        <f>SUM(Z$7:Z69)</f>
        <v>119910</v>
      </c>
      <c r="AE69" s="126">
        <f>INDEX(图鉴!AQ:AQ,MATCH($N69,图鉴!$S:$S,0))*8</f>
        <v>160</v>
      </c>
      <c r="AF69" s="90">
        <f>INDEX(图鉴!AR:AR,MATCH($N69,图鉴!$S:$S,0))*8</f>
        <v>88</v>
      </c>
      <c r="AG69" s="90">
        <f>INDEX(图鉴!AS:AS,MATCH($N69,图鉴!$S:$S,0))*8</f>
        <v>32</v>
      </c>
      <c r="AH69" s="129">
        <f ca="1">INDEX(图鉴!AT:AT,MATCH($N69,图鉴!$S:$S,0))*8</f>
        <v>6560</v>
      </c>
      <c r="AI69" s="128">
        <f>SUM($AE$7:AE69)</f>
        <v>8240</v>
      </c>
      <c r="AJ69" s="90">
        <f>SUM(AF$7:AF69)</f>
        <v>3808</v>
      </c>
      <c r="AK69" s="90">
        <f>SUM(AG$7:AG69)</f>
        <v>1216</v>
      </c>
      <c r="AL69" s="130">
        <f ca="1">SUM(AH$7:AH69)</f>
        <v>290960</v>
      </c>
      <c r="AM69" s="133">
        <f>IF(M69=0,0,INDEX(关卡产出!$AU$11:$AU$15,MATCH(玩家节奏1!N69,关卡产出!$AW$11:$AW$15,1))*M69)</f>
        <v>8500</v>
      </c>
      <c r="AN69" s="126">
        <f>IF(L69=0,0,$L69*关卡产出!AU$21)</f>
        <v>1000</v>
      </c>
      <c r="AO69" s="90">
        <f>IF(M69=0,0,$L69*关卡产出!AV$21)</f>
        <v>50</v>
      </c>
      <c r="AP69" s="129">
        <f>IF(N69=0,0,$L69*关卡产出!AW$21)</f>
        <v>1</v>
      </c>
      <c r="AQ69" s="138">
        <f>SUM(AN$7:AN69)</f>
        <v>46000</v>
      </c>
      <c r="AR69" s="126">
        <f>SUM(AO$7:AO69)</f>
        <v>2300</v>
      </c>
      <c r="AS69" s="129">
        <f>SUM(AP$7:AP69)</f>
        <v>46</v>
      </c>
      <c r="AT69" s="128">
        <v>500</v>
      </c>
      <c r="AU69" s="129">
        <v>100</v>
      </c>
      <c r="AV69" s="128">
        <f>SUM(AT$7:AT69)</f>
        <v>31500</v>
      </c>
      <c r="AW69" s="90">
        <f>SUM(AU$7:AU69)</f>
        <v>6300</v>
      </c>
      <c r="AY69" s="128">
        <f t="shared" si="13"/>
        <v>9300</v>
      </c>
      <c r="AZ69" s="90">
        <f t="shared" si="14"/>
        <v>2300</v>
      </c>
      <c r="BA69" s="90">
        <f t="shared" si="15"/>
        <v>6300</v>
      </c>
      <c r="BB69" s="90">
        <f t="shared" ca="1" si="65"/>
        <v>2650</v>
      </c>
      <c r="BC69" s="90">
        <f t="shared" ca="1" si="68"/>
        <v>20550</v>
      </c>
      <c r="BD69" s="90"/>
      <c r="BE69" s="90">
        <f t="shared" ca="1" si="17"/>
        <v>20550</v>
      </c>
      <c r="BF69" s="142">
        <f t="shared" ca="1" si="18"/>
        <v>0.45255474452554745</v>
      </c>
      <c r="BG69" s="142">
        <f t="shared" ca="1" si="19"/>
        <v>0.11192214111922141</v>
      </c>
      <c r="BH69" s="142">
        <f t="shared" ca="1" si="80"/>
        <v>0.30656934306569344</v>
      </c>
      <c r="BI69" s="142">
        <f t="shared" ca="1" si="81"/>
        <v>0.12895377128953772</v>
      </c>
      <c r="BJ69" s="143"/>
      <c r="BK69" s="128">
        <f ca="1">INDEX(商城宝箱!$L:$L,MATCH(BC69,商城宝箱!$N:$N,1))</f>
        <v>6</v>
      </c>
      <c r="BL69" s="90">
        <f ca="1">_xlfn.IFNA(INDEX(商城宝箱!T:T,MATCH(玩家节奏1!$BK69,商城宝箱!$L:$L,0)),0)+($BC69-INDEX(商城宝箱!$N:$N,MATCH(玩家节奏1!$BK69,商城宝箱!$L:$L,0)))/$BK$5*INDEX(商城宝箱!E$23:E$42,MATCH(玩家节奏1!$BK69+1,商城宝箱!$C$23:$C$42,0))</f>
        <v>51375</v>
      </c>
      <c r="BM69" s="90">
        <f ca="1">_xlfn.IFNA(INDEX(商城宝箱!U:U,MATCH(玩家节奏1!$BK69,商城宝箱!$L:$L,0)),0)+($BC69-INDEX(商城宝箱!$N:$N,MATCH(玩家节奏1!$BK69,商城宝箱!$L:$L,0)))/$BK$5*INDEX(商城宝箱!F$23:F$42,MATCH(玩家节奏1!$BK69+1,商城宝箱!$C$23:$C$42,0))</f>
        <v>17097.5</v>
      </c>
      <c r="BN69" s="90">
        <f ca="1">_xlfn.IFNA(INDEX(商城宝箱!V:V,MATCH(玩家节奏1!$BK69,商城宝箱!$L:$L,0)),0)+($BC69-INDEX(商城宝箱!$N:$N,MATCH(玩家节奏1!$BK69,商城宝箱!$L:$L,0)))/$BK$5*INDEX(商城宝箱!G$23:G$42,MATCH(玩家节奏1!$BK69+1,商城宝箱!$C$23:$C$42,0))</f>
        <v>9569.5</v>
      </c>
      <c r="BO69" s="90">
        <f ca="1">_xlfn.IFNA(INDEX(商城宝箱!W:W,MATCH(玩家节奏1!$BK69,商城宝箱!$L:$L,0)),0)+($BC69-INDEX(商城宝箱!$N:$N,MATCH(玩家节奏1!$BK69,商城宝箱!$L:$L,0)))/$BK$5*INDEX(商城宝箱!H$23:H$42,MATCH(玩家节奏1!$BK69+1,商城宝箱!$C$23:$C$42,0))</f>
        <v>1308.25</v>
      </c>
      <c r="BQ69" s="128">
        <f t="shared" si="71"/>
        <v>776800</v>
      </c>
      <c r="BR69" s="90">
        <f t="shared" si="72"/>
        <v>119910</v>
      </c>
      <c r="BS69" s="90">
        <f t="shared" ca="1" si="73"/>
        <v>290960</v>
      </c>
      <c r="BT69" s="90">
        <f t="shared" si="74"/>
        <v>8500</v>
      </c>
      <c r="BU69" s="90">
        <f t="shared" si="75"/>
        <v>46000</v>
      </c>
      <c r="BV69" s="90">
        <f t="shared" si="76"/>
        <v>31500</v>
      </c>
      <c r="BW69" s="90">
        <f t="shared" ca="1" si="22"/>
        <v>51375</v>
      </c>
      <c r="BX69" s="90">
        <f t="shared" ca="1" si="23"/>
        <v>1325045</v>
      </c>
      <c r="BY69" s="142">
        <f t="shared" ca="1" si="24"/>
        <v>0.58624424076163451</v>
      </c>
      <c r="BZ69" s="142">
        <f t="shared" ca="1" si="25"/>
        <v>9.0495039791101434E-2</v>
      </c>
      <c r="CA69" s="142">
        <f t="shared" ca="1" si="26"/>
        <v>0.21958499522657721</v>
      </c>
      <c r="CB69" s="142">
        <f t="shared" ca="1" si="27"/>
        <v>6.4148764758932717E-3</v>
      </c>
      <c r="CC69" s="142">
        <f t="shared" ca="1" si="28"/>
        <v>3.4715802104834173E-2</v>
      </c>
      <c r="CD69" s="142">
        <f t="shared" ca="1" si="29"/>
        <v>2.3772777528310359E-2</v>
      </c>
      <c r="CE69" s="142">
        <f t="shared" ca="1" si="30"/>
        <v>3.8772268111649036E-2</v>
      </c>
      <c r="CG69" s="128">
        <f t="shared" si="31"/>
        <v>54</v>
      </c>
      <c r="CH69" s="90">
        <f ca="1">INDEX(角色升级!$A:$A,MATCH(玩家节奏1!$BX69,角色升级!$J:$J,1))</f>
        <v>347</v>
      </c>
      <c r="CI69" s="90">
        <f ca="1">INDEX(角色升级!$O:$O,MATCH(玩家节奏1!$BX69,角色升级!$J:$J,1))</f>
        <v>9155.6751600000007</v>
      </c>
      <c r="CJ69" s="90">
        <f>INDEX(关卡对比!$J:$J,MATCH(玩家节奏1!N69,关卡对比!$A:$A,0))</f>
        <v>13200</v>
      </c>
      <c r="CK69" s="147">
        <f t="shared" ca="1" si="32"/>
        <v>1.4417287386591815</v>
      </c>
      <c r="CL69" s="128">
        <f ca="1">INDEX(角色升级!$P:$P,MATCH(玩家节奏1!$CH69,角色升级!$A:$A,0))</f>
        <v>2650</v>
      </c>
      <c r="CM69" s="90">
        <f ca="1">INDEX(角色升级!Q:Q,MATCH(玩家节奏1!$CH69,角色升级!$A:$A,0))</f>
        <v>0.3</v>
      </c>
      <c r="CO69" s="128">
        <f t="shared" si="33"/>
        <v>5574</v>
      </c>
      <c r="CP69" s="90">
        <f t="shared" si="34"/>
        <v>7631</v>
      </c>
      <c r="CQ69" s="90">
        <f t="shared" si="35"/>
        <v>8240</v>
      </c>
      <c r="CR69" s="90">
        <f t="shared" ca="1" si="36"/>
        <v>17097.5</v>
      </c>
      <c r="CS69" s="90">
        <f t="shared" ca="1" si="37"/>
        <v>38542.5</v>
      </c>
      <c r="CT69" s="142">
        <f t="shared" ca="1" si="38"/>
        <v>0.14461957579295584</v>
      </c>
      <c r="CU69" s="142">
        <f t="shared" ca="1" si="39"/>
        <v>0.19798923266523968</v>
      </c>
      <c r="CV69" s="142">
        <f t="shared" ca="1" si="40"/>
        <v>0.21378997210871117</v>
      </c>
      <c r="CW69" s="142">
        <f t="shared" ca="1" si="41"/>
        <v>0.44360121943309333</v>
      </c>
      <c r="CY69" s="128">
        <f t="shared" si="42"/>
        <v>2788</v>
      </c>
      <c r="CZ69" s="90">
        <f t="shared" si="43"/>
        <v>3731</v>
      </c>
      <c r="DA69" s="90">
        <f t="shared" si="44"/>
        <v>3808</v>
      </c>
      <c r="DB69" s="90">
        <f t="shared" ca="1" si="66"/>
        <v>9569.5</v>
      </c>
      <c r="DC69" s="90">
        <f t="shared" ca="1" si="45"/>
        <v>19896.5</v>
      </c>
      <c r="DD69" s="142">
        <f t="shared" ca="1" si="46"/>
        <v>0.140125147639032</v>
      </c>
      <c r="DE69" s="142">
        <f t="shared" ca="1" si="47"/>
        <v>0.1875204181639987</v>
      </c>
      <c r="DF69" s="142">
        <f t="shared" ca="1" si="48"/>
        <v>0.19139044555575102</v>
      </c>
      <c r="DG69" s="142">
        <f t="shared" ca="1" si="49"/>
        <v>0.48096398864121831</v>
      </c>
      <c r="DI69" s="128">
        <f t="shared" si="50"/>
        <v>1228</v>
      </c>
      <c r="DJ69" s="90">
        <f t="shared" si="51"/>
        <v>1662</v>
      </c>
      <c r="DK69" s="90">
        <f t="shared" si="52"/>
        <v>1216</v>
      </c>
      <c r="DL69" s="90">
        <f t="shared" ca="1" si="53"/>
        <v>1308.25</v>
      </c>
      <c r="DM69" s="90">
        <f t="shared" ca="1" si="54"/>
        <v>5414.25</v>
      </c>
      <c r="DN69" s="142">
        <f t="shared" ca="1" si="55"/>
        <v>0.22680888396361454</v>
      </c>
      <c r="DO69" s="142">
        <f t="shared" ca="1" si="56"/>
        <v>0.30696772406150435</v>
      </c>
      <c r="DP69" s="142">
        <f t="shared" ca="1" si="57"/>
        <v>0.2245925105046867</v>
      </c>
      <c r="DQ69" s="142">
        <f t="shared" ca="1" si="58"/>
        <v>0.2416308814701944</v>
      </c>
      <c r="DS69" s="128">
        <f t="shared" ca="1" si="59"/>
        <v>38542.5</v>
      </c>
      <c r="DT69" s="90">
        <f t="shared" ca="1" si="60"/>
        <v>19896.5</v>
      </c>
      <c r="DU69" s="90">
        <f t="shared" ca="1" si="61"/>
        <v>5414.25</v>
      </c>
      <c r="DV69" s="90">
        <f t="shared" si="62"/>
        <v>46</v>
      </c>
      <c r="DW69" s="90">
        <f ca="1">_xlfn.IFNA(INDEX(武器升级消耗!$H:$H,MATCH(玩家节奏1!DS69/玩家节奏1!DS$5,武器升级消耗!M:M,1)),0)</f>
        <v>19</v>
      </c>
      <c r="DX69" s="90">
        <f ca="1">_xlfn.IFNA(INDEX(武器升级消耗!$H:$H,MATCH(玩家节奏1!DT69/玩家节奏1!DT$5,武器升级消耗!N:N,1)),0)</f>
        <v>16</v>
      </c>
      <c r="DY69" s="90">
        <f ca="1">_xlfn.IFNA(INDEX(武器升级消耗!$H:$H,MATCH(玩家节奏1!DU69/玩家节奏1!DU$5,武器升级消耗!O:O,1)),0)</f>
        <v>11</v>
      </c>
      <c r="DZ69" s="90">
        <f>_xlfn.IFNA(INDEX(武器升级消耗!$H:$H,MATCH(玩家节奏1!DV69/玩家节奏1!DV$5,武器升级消耗!P:P,1)),0)</f>
        <v>7</v>
      </c>
      <c r="EA69" s="90">
        <f ca="1">_xlfn.IFNA(INDEX(武器升级消耗!$Q:$Q,MATCH(玩家节奏1!DW69,武器升级消耗!$H:$H,0))*2*EA$4,0)</f>
        <v>2.76</v>
      </c>
      <c r="EB69" s="90">
        <f ca="1">_xlfn.IFNA(INDEX(武器升级消耗!$Q:$Q,MATCH(玩家节奏1!DX69,武器升级消耗!$H:$H,0))*2*EB$4,0)</f>
        <v>3</v>
      </c>
      <c r="EC69" s="90">
        <f ca="1">_xlfn.IFNA(INDEX(武器升级消耗!$Q:$Q,MATCH(玩家节奏1!DY69,武器升级消耗!$H:$H,0))*2*EC$4,1)</f>
        <v>3.3000000000000003</v>
      </c>
      <c r="ED69" s="90">
        <f>_xlfn.IFNA(INDEX(武器升级消耗!$Q:$Q,MATCH(玩家节奏1!DZ69,武器升级消耗!$H:$H,0))*2*ED$4,0)</f>
        <v>3.3000000000000003</v>
      </c>
      <c r="EF69" s="128"/>
      <c r="EG69" s="90"/>
      <c r="EH69" s="90"/>
      <c r="EI69" s="90"/>
      <c r="EJ69" s="90"/>
      <c r="EK69" s="90"/>
      <c r="EL69" s="90"/>
      <c r="EM69" s="90"/>
      <c r="EO69" s="128"/>
      <c r="EP69" s="90"/>
      <c r="EQ69" s="90"/>
      <c r="ER69" s="90"/>
      <c r="ES69" s="90"/>
      <c r="ET69" s="90"/>
      <c r="EU69" s="90"/>
      <c r="EV69" s="90"/>
      <c r="EW69" s="90"/>
      <c r="EX69" s="90"/>
      <c r="EY69" s="90"/>
      <c r="EZ69" s="90"/>
      <c r="FA69" s="90"/>
      <c r="FB69" s="90"/>
      <c r="FD69" s="90">
        <f t="shared" ca="1" si="63"/>
        <v>3.3000000000000003</v>
      </c>
      <c r="FE69" s="90"/>
      <c r="FF69" s="90"/>
      <c r="FG69" s="90">
        <f t="shared" ca="1" si="64"/>
        <v>0</v>
      </c>
    </row>
    <row r="70" spans="1:163" x14ac:dyDescent="0.25">
      <c r="A70" s="123">
        <v>64</v>
      </c>
      <c r="B70" s="123">
        <f>INDEX(关卡对比!$Y:$Y,MATCH(关卡对比!Z70,关卡对比!$AA:$AA,1))</f>
        <v>45</v>
      </c>
      <c r="C70" s="124">
        <f>INDEX(关卡对比!$Y:$Y,MATCH(关卡对比!Z70,关卡对比!$AB:$AB,1))</f>
        <v>36</v>
      </c>
      <c r="D70" s="125">
        <f t="shared" si="70"/>
        <v>404.5</v>
      </c>
      <c r="E70" s="125">
        <v>3</v>
      </c>
      <c r="F70" s="128">
        <v>5</v>
      </c>
      <c r="G70" s="90">
        <v>1</v>
      </c>
      <c r="H70" s="90">
        <v>1</v>
      </c>
      <c r="J70" s="128">
        <v>64</v>
      </c>
      <c r="K70" s="90">
        <f t="shared" si="77"/>
        <v>5</v>
      </c>
      <c r="L70" s="90">
        <f t="shared" si="78"/>
        <v>1</v>
      </c>
      <c r="M70" s="90">
        <f t="shared" si="79"/>
        <v>1</v>
      </c>
      <c r="N70" s="140">
        <f>INDEX($A:$A,MATCH(SUM($K$7:K70),$D:$D,1))</f>
        <v>54</v>
      </c>
      <c r="O70" s="140">
        <v>0</v>
      </c>
      <c r="P70" s="141">
        <v>0</v>
      </c>
      <c r="Q70" s="126">
        <f>_xlfn.MAXIFS(关卡产出!X:X,关卡产出!$A:$A,玩家节奏1!$N$6,关卡产出!$B:$B,玩家节奏1!$N70)+_xlfn.MAXIFS(关卡产出!X:X,关卡产出!$A:$A,玩家节奏1!$O$6,关卡产出!$B:$B,玩家节奏1!$O70)+_xlfn.MAXIFS(关卡产出!X:X,关卡产出!$A:$A,玩家节奏1!$P$6,关卡产出!$B:$B,玩家节奏1!$P70)</f>
        <v>9300</v>
      </c>
      <c r="R70" s="90">
        <f>_xlfn.MAXIFS(关卡产出!Y:Y,关卡产出!$A:$A,玩家节奏1!$N$6,关卡产出!$B:$B,玩家节奏1!$N70)+_xlfn.MAXIFS(关卡产出!Y:Y,关卡产出!$A:$A,玩家节奏1!$O$6,关卡产出!$B:$B,玩家节奏1!$O70)+_xlfn.MAXIFS(关卡产出!Y:Y,关卡产出!$A:$A,玩家节奏1!$P$6,关卡产出!$B:$B,玩家节奏1!$P70)</f>
        <v>776800</v>
      </c>
      <c r="S70" s="90">
        <f>_xlfn.MAXIFS(关卡产出!Z:Z,关卡产出!$A:$A,玩家节奏1!$N$6,关卡产出!$B:$B,玩家节奏1!$N70)+_xlfn.MAXIFS(关卡产出!Z:Z,关卡产出!$A:$A,玩家节奏1!$O$6,关卡产出!$B:$B,玩家节奏1!$O70)+_xlfn.MAXIFS(关卡产出!Z:Z,关卡产出!$A:$A,玩家节奏1!$P$6,关卡产出!$B:$B,玩家节奏1!$P70)</f>
        <v>5574</v>
      </c>
      <c r="T70" s="90">
        <f>_xlfn.MAXIFS(关卡产出!AA:AA,关卡产出!$A:$A,玩家节奏1!$N$6,关卡产出!$B:$B,玩家节奏1!$N70)+_xlfn.MAXIFS(关卡产出!AA:AA,关卡产出!$A:$A,玩家节奏1!$O$6,关卡产出!$B:$B,玩家节奏1!$O70)+_xlfn.MAXIFS(关卡产出!AA:AA,关卡产出!$A:$A,玩家节奏1!$P$6,关卡产出!$B:$B,玩家节奏1!$P70)</f>
        <v>2788</v>
      </c>
      <c r="U70" s="90">
        <f>_xlfn.MAXIFS(关卡产出!AB:AB,关卡产出!$A:$A,玩家节奏1!$N$6,关卡产出!$B:$B,玩家节奏1!$N70)+_xlfn.MAXIFS(关卡产出!AB:AB,关卡产出!$A:$A,玩家节奏1!$O$6,关卡产出!$B:$B,玩家节奏1!$O70)+_xlfn.MAXIFS(关卡产出!AB:AB,关卡产出!$A:$A,玩家节奏1!$P$6,关卡产出!$B:$B,玩家节奏1!$P70)</f>
        <v>1228</v>
      </c>
      <c r="V70" s="130">
        <f>_xlfn.MAXIFS(关卡产出!AC:AC,关卡产出!$A:$A,玩家节奏1!$N$6,关卡产出!$B:$B,玩家节奏1!$N70)+_xlfn.MAXIFS(关卡产出!AC:AC,关卡产出!$A:$A,玩家节奏1!$O$6,关卡产出!$B:$B,玩家节奏1!$O70)+_xlfn.MAXIFS(关卡产出!AC:AC,关卡产出!$A:$A,玩家节奏1!$P$6,关卡产出!$B:$B,玩家节奏1!$P70)</f>
        <v>324</v>
      </c>
      <c r="W70" s="126">
        <f>INDEX(关卡产出!C$8:C$207,MATCH(玩家节奏1!$N70,关卡产出!$B$8:$B$207,0))*$K70</f>
        <v>210</v>
      </c>
      <c r="X70" s="126">
        <f>INDEX(关卡产出!D$8:D$207,MATCH(玩家节奏1!$N70,关卡产出!$B$8:$B$207,0))*$K70</f>
        <v>105</v>
      </c>
      <c r="Y70" s="126">
        <f>INDEX(关卡产出!E$8:E$207,MATCH(玩家节奏1!$N70,关卡产出!$B$8:$B$207,0))*$K70</f>
        <v>50</v>
      </c>
      <c r="Z70" s="144">
        <f>INDEX(关卡产出!F$8:F$207,MATCH(玩家节奏1!$N70,关卡产出!$B$8:$B$207,0))*$K70</f>
        <v>2950</v>
      </c>
      <c r="AA70" s="126">
        <f>SUM(W$7:W70)</f>
        <v>7841</v>
      </c>
      <c r="AB70" s="126">
        <f>SUM(X$7:X70)</f>
        <v>3836</v>
      </c>
      <c r="AC70" s="126">
        <f>SUM(Y$7:Y70)</f>
        <v>1712</v>
      </c>
      <c r="AD70" s="126">
        <f>SUM(Z$7:Z70)</f>
        <v>122860</v>
      </c>
      <c r="AE70" s="126">
        <f>INDEX(图鉴!AQ:AQ,MATCH($N70,图鉴!$S:$S,0))*8</f>
        <v>160</v>
      </c>
      <c r="AF70" s="90">
        <f>INDEX(图鉴!AR:AR,MATCH($N70,图鉴!$S:$S,0))*8</f>
        <v>88</v>
      </c>
      <c r="AG70" s="90">
        <f>INDEX(图鉴!AS:AS,MATCH($N70,图鉴!$S:$S,0))*8</f>
        <v>32</v>
      </c>
      <c r="AH70" s="129">
        <f ca="1">INDEX(图鉴!AT:AT,MATCH($N70,图鉴!$S:$S,0))*8</f>
        <v>6560</v>
      </c>
      <c r="AI70" s="128">
        <f>SUM($AE$7:AE70)</f>
        <v>8400</v>
      </c>
      <c r="AJ70" s="90">
        <f>SUM(AF$7:AF70)</f>
        <v>3896</v>
      </c>
      <c r="AK70" s="90">
        <f>SUM(AG$7:AG70)</f>
        <v>1248</v>
      </c>
      <c r="AL70" s="130">
        <f ca="1">SUM(AH$7:AH70)</f>
        <v>297520</v>
      </c>
      <c r="AM70" s="133">
        <f>IF(M70=0,0,INDEX(关卡产出!$AU$11:$AU$15,MATCH(玩家节奏1!N70,关卡产出!$AW$11:$AW$15,1))*M70)</f>
        <v>8500</v>
      </c>
      <c r="AN70" s="126">
        <f>IF(L70=0,0,$L70*关卡产出!AU$21)</f>
        <v>1000</v>
      </c>
      <c r="AO70" s="90">
        <f>IF(M70=0,0,$L70*关卡产出!AV$21)</f>
        <v>50</v>
      </c>
      <c r="AP70" s="129">
        <f>IF(N70=0,0,$L70*关卡产出!AW$21)</f>
        <v>1</v>
      </c>
      <c r="AQ70" s="138">
        <f>SUM(AN$7:AN70)</f>
        <v>47000</v>
      </c>
      <c r="AR70" s="126">
        <f>SUM(AO$7:AO70)</f>
        <v>2350</v>
      </c>
      <c r="AS70" s="129">
        <f>SUM(AP$7:AP70)</f>
        <v>47</v>
      </c>
      <c r="AT70" s="128">
        <v>500</v>
      </c>
      <c r="AU70" s="129">
        <v>100</v>
      </c>
      <c r="AV70" s="128">
        <f>SUM(AT$7:AT70)</f>
        <v>32000</v>
      </c>
      <c r="AW70" s="90">
        <f>SUM(AU$7:AU70)</f>
        <v>6400</v>
      </c>
      <c r="AY70" s="128">
        <f t="shared" si="13"/>
        <v>9300</v>
      </c>
      <c r="AZ70" s="90">
        <f t="shared" si="14"/>
        <v>2350</v>
      </c>
      <c r="BA70" s="90">
        <f t="shared" si="15"/>
        <v>6400</v>
      </c>
      <c r="BB70" s="90">
        <f t="shared" ca="1" si="65"/>
        <v>2650</v>
      </c>
      <c r="BC70" s="90">
        <f t="shared" ca="1" si="68"/>
        <v>20700</v>
      </c>
      <c r="BD70" s="90"/>
      <c r="BE70" s="90">
        <f t="shared" ca="1" si="17"/>
        <v>20700</v>
      </c>
      <c r="BF70" s="142">
        <f t="shared" ca="1" si="18"/>
        <v>0.44927536231884058</v>
      </c>
      <c r="BG70" s="142">
        <f t="shared" ca="1" si="19"/>
        <v>0.11352657004830918</v>
      </c>
      <c r="BH70" s="142">
        <f t="shared" ca="1" si="80"/>
        <v>0.30917874396135264</v>
      </c>
      <c r="BI70" s="142">
        <f t="shared" ca="1" si="81"/>
        <v>0.1280193236714976</v>
      </c>
      <c r="BJ70" s="143"/>
      <c r="BK70" s="128">
        <f ca="1">INDEX(商城宝箱!$L:$L,MATCH(BC70,商城宝箱!$N:$N,1))</f>
        <v>6</v>
      </c>
      <c r="BL70" s="90">
        <f ca="1">_xlfn.IFNA(INDEX(商城宝箱!T:T,MATCH(玩家节奏1!$BK70,商城宝箱!$L:$L,0)),0)+($BC70-INDEX(商城宝箱!$N:$N,MATCH(玩家节奏1!$BK70,商城宝箱!$L:$L,0)))/$BK$5*INDEX(商城宝箱!E$23:E$42,MATCH(玩家节奏1!$BK70+1,商城宝箱!$C$23:$C$42,0))</f>
        <v>51750</v>
      </c>
      <c r="BM70" s="90">
        <f ca="1">_xlfn.IFNA(INDEX(商城宝箱!U:U,MATCH(玩家节奏1!$BK70,商城宝箱!$L:$L,0)),0)+($BC70-INDEX(商城宝箱!$N:$N,MATCH(玩家节奏1!$BK70,商城宝箱!$L:$L,0)))/$BK$5*INDEX(商城宝箱!F$23:F$42,MATCH(玩家节奏1!$BK70+1,商城宝箱!$C$23:$C$42,0))</f>
        <v>17292.5</v>
      </c>
      <c r="BN70" s="90">
        <f ca="1">_xlfn.IFNA(INDEX(商城宝箱!V:V,MATCH(玩家节奏1!$BK70,商城宝箱!$L:$L,0)),0)+($BC70-INDEX(商城宝箱!$N:$N,MATCH(玩家节奏1!$BK70,商城宝箱!$L:$L,0)))/$BK$5*INDEX(商城宝箱!G$23:G$42,MATCH(玩家节奏1!$BK70+1,商城宝箱!$C$23:$C$42,0))</f>
        <v>9697</v>
      </c>
      <c r="BO70" s="90">
        <f ca="1">_xlfn.IFNA(INDEX(商城宝箱!W:W,MATCH(玩家节奏1!$BK70,商城宝箱!$L:$L,0)),0)+($BC70-INDEX(商城宝箱!$N:$N,MATCH(玩家节奏1!$BK70,商城宝箱!$L:$L,0)))/$BK$5*INDEX(商城宝箱!H$23:H$42,MATCH(玩家节奏1!$BK70+1,商城宝箱!$C$23:$C$42,0))</f>
        <v>1325.5</v>
      </c>
      <c r="BQ70" s="128">
        <f t="shared" si="71"/>
        <v>776800</v>
      </c>
      <c r="BR70" s="90">
        <f t="shared" si="72"/>
        <v>122860</v>
      </c>
      <c r="BS70" s="90">
        <f t="shared" ca="1" si="73"/>
        <v>297520</v>
      </c>
      <c r="BT70" s="90">
        <f t="shared" si="74"/>
        <v>8500</v>
      </c>
      <c r="BU70" s="90">
        <f t="shared" si="75"/>
        <v>47000</v>
      </c>
      <c r="BV70" s="90">
        <f t="shared" si="76"/>
        <v>32000</v>
      </c>
      <c r="BW70" s="90">
        <f t="shared" ca="1" si="22"/>
        <v>51750</v>
      </c>
      <c r="BX70" s="90">
        <f t="shared" ca="1" si="23"/>
        <v>1336430</v>
      </c>
      <c r="BY70" s="142">
        <f t="shared" ca="1" si="24"/>
        <v>0.58125004676638503</v>
      </c>
      <c r="BZ70" s="142">
        <f t="shared" ca="1" si="25"/>
        <v>9.1931489116526863E-2</v>
      </c>
      <c r="CA70" s="142">
        <f t="shared" ca="1" si="26"/>
        <v>0.22262295817962782</v>
      </c>
      <c r="CB70" s="142">
        <f t="shared" ca="1" si="27"/>
        <v>6.3602283696115773E-3</v>
      </c>
      <c r="CC70" s="142">
        <f t="shared" ca="1" si="28"/>
        <v>3.5168321573146366E-2</v>
      </c>
      <c r="CD70" s="142">
        <f t="shared" ca="1" si="29"/>
        <v>2.394438915618476E-2</v>
      </c>
      <c r="CE70" s="142">
        <f t="shared" ca="1" si="30"/>
        <v>3.872256683851754E-2</v>
      </c>
      <c r="CG70" s="128">
        <f t="shared" si="31"/>
        <v>54</v>
      </c>
      <c r="CH70" s="90">
        <f ca="1">INDEX(角色升级!$A:$A,MATCH(玩家节奏1!$BX70,角色升级!$J:$J,1))</f>
        <v>348</v>
      </c>
      <c r="CI70" s="90">
        <f ca="1">INDEX(角色升级!$O:$O,MATCH(玩家节奏1!$BX70,角色升级!$J:$J,1))</f>
        <v>9163.8791700000002</v>
      </c>
      <c r="CJ70" s="90">
        <f>INDEX(关卡对比!$J:$J,MATCH(玩家节奏1!N70,关卡对比!$A:$A,0))</f>
        <v>13200</v>
      </c>
      <c r="CK70" s="147">
        <f t="shared" ca="1" si="32"/>
        <v>1.4404380235842853</v>
      </c>
      <c r="CL70" s="128">
        <f ca="1">INDEX(角色升级!$P:$P,MATCH(玩家节奏1!$CH70,角色升级!$A:$A,0))</f>
        <v>2650</v>
      </c>
      <c r="CM70" s="90">
        <f ca="1">INDEX(角色升级!Q:Q,MATCH(玩家节奏1!$CH70,角色升级!$A:$A,0))</f>
        <v>0.3</v>
      </c>
      <c r="CO70" s="128">
        <f t="shared" si="33"/>
        <v>5574</v>
      </c>
      <c r="CP70" s="90">
        <f t="shared" si="34"/>
        <v>7841</v>
      </c>
      <c r="CQ70" s="90">
        <f t="shared" si="35"/>
        <v>8400</v>
      </c>
      <c r="CR70" s="90">
        <f t="shared" ca="1" si="36"/>
        <v>17292.5</v>
      </c>
      <c r="CS70" s="90">
        <f t="shared" ca="1" si="37"/>
        <v>39107.5</v>
      </c>
      <c r="CT70" s="142">
        <f t="shared" ca="1" si="38"/>
        <v>0.14253020520360546</v>
      </c>
      <c r="CU70" s="142">
        <f t="shared" ca="1" si="39"/>
        <v>0.20049862558332801</v>
      </c>
      <c r="CV70" s="142">
        <f t="shared" ca="1" si="40"/>
        <v>0.21479255897206417</v>
      </c>
      <c r="CW70" s="142">
        <f t="shared" ca="1" si="41"/>
        <v>0.44217861024100236</v>
      </c>
      <c r="CY70" s="128">
        <f t="shared" si="42"/>
        <v>2788</v>
      </c>
      <c r="CZ70" s="90">
        <f t="shared" si="43"/>
        <v>3836</v>
      </c>
      <c r="DA70" s="90">
        <f t="shared" si="44"/>
        <v>3896</v>
      </c>
      <c r="DB70" s="90">
        <f t="shared" ca="1" si="66"/>
        <v>9697</v>
      </c>
      <c r="DC70" s="90">
        <f t="shared" ca="1" si="45"/>
        <v>20217</v>
      </c>
      <c r="DD70" s="142">
        <f t="shared" ca="1" si="46"/>
        <v>0.13790374437354702</v>
      </c>
      <c r="DE70" s="142">
        <f t="shared" ca="1" si="47"/>
        <v>0.18974130682099224</v>
      </c>
      <c r="DF70" s="142">
        <f t="shared" ca="1" si="48"/>
        <v>0.19270910619775436</v>
      </c>
      <c r="DG70" s="142">
        <f t="shared" ca="1" si="49"/>
        <v>0.47964584260770637</v>
      </c>
      <c r="DI70" s="128">
        <f t="shared" si="50"/>
        <v>1228</v>
      </c>
      <c r="DJ70" s="90">
        <f t="shared" si="51"/>
        <v>1712</v>
      </c>
      <c r="DK70" s="90">
        <f t="shared" si="52"/>
        <v>1248</v>
      </c>
      <c r="DL70" s="90">
        <f t="shared" ca="1" si="53"/>
        <v>1325.5</v>
      </c>
      <c r="DM70" s="90">
        <f t="shared" ca="1" si="54"/>
        <v>5513.5</v>
      </c>
      <c r="DN70" s="142">
        <f t="shared" ca="1" si="55"/>
        <v>0.22272603609322572</v>
      </c>
      <c r="DO70" s="142">
        <f t="shared" ca="1" si="56"/>
        <v>0.31051056497687496</v>
      </c>
      <c r="DP70" s="142">
        <f t="shared" ca="1" si="57"/>
        <v>0.2263534959644509</v>
      </c>
      <c r="DQ70" s="142">
        <f t="shared" ca="1" si="58"/>
        <v>0.24040990296544845</v>
      </c>
      <c r="DS70" s="128">
        <f t="shared" ca="1" si="59"/>
        <v>39107.5</v>
      </c>
      <c r="DT70" s="90">
        <f t="shared" ca="1" si="60"/>
        <v>20217</v>
      </c>
      <c r="DU70" s="90">
        <f t="shared" ca="1" si="61"/>
        <v>5513.5</v>
      </c>
      <c r="DV70" s="90">
        <f t="shared" si="62"/>
        <v>47</v>
      </c>
      <c r="DW70" s="90">
        <f ca="1">_xlfn.IFNA(INDEX(武器升级消耗!$H:$H,MATCH(玩家节奏1!DS70/玩家节奏1!DS$5,武器升级消耗!M:M,1)),0)</f>
        <v>19</v>
      </c>
      <c r="DX70" s="90">
        <f ca="1">_xlfn.IFNA(INDEX(武器升级消耗!$H:$H,MATCH(玩家节奏1!DT70/玩家节奏1!DT$5,武器升级消耗!N:N,1)),0)</f>
        <v>16</v>
      </c>
      <c r="DY70" s="90">
        <f ca="1">_xlfn.IFNA(INDEX(武器升级消耗!$H:$H,MATCH(玩家节奏1!DU70/玩家节奏1!DU$5,武器升级消耗!O:O,1)),0)</f>
        <v>11</v>
      </c>
      <c r="DZ70" s="90">
        <f>_xlfn.IFNA(INDEX(武器升级消耗!$H:$H,MATCH(玩家节奏1!DV70/玩家节奏1!DV$5,武器升级消耗!P:P,1)),0)</f>
        <v>7</v>
      </c>
      <c r="EA70" s="90">
        <f ca="1">_xlfn.IFNA(INDEX(武器升级消耗!$Q:$Q,MATCH(玩家节奏1!DW70,武器升级消耗!$H:$H,0))*2*EA$4,0)</f>
        <v>2.76</v>
      </c>
      <c r="EB70" s="90">
        <f ca="1">_xlfn.IFNA(INDEX(武器升级消耗!$Q:$Q,MATCH(玩家节奏1!DX70,武器升级消耗!$H:$H,0))*2*EB$4,0)</f>
        <v>3</v>
      </c>
      <c r="EC70" s="90">
        <f ca="1">_xlfn.IFNA(INDEX(武器升级消耗!$Q:$Q,MATCH(玩家节奏1!DY70,武器升级消耗!$H:$H,0))*2*EC$4,1)</f>
        <v>3.3000000000000003</v>
      </c>
      <c r="ED70" s="90">
        <f>_xlfn.IFNA(INDEX(武器升级消耗!$Q:$Q,MATCH(玩家节奏1!DZ70,武器升级消耗!$H:$H,0))*2*ED$4,0)</f>
        <v>3.3000000000000003</v>
      </c>
      <c r="EF70" s="128"/>
      <c r="EG70" s="90"/>
      <c r="EH70" s="90"/>
      <c r="EI70" s="90"/>
      <c r="EJ70" s="90"/>
      <c r="EK70" s="90"/>
      <c r="EL70" s="90"/>
      <c r="EM70" s="90"/>
      <c r="EO70" s="128"/>
      <c r="EP70" s="90"/>
      <c r="EQ70" s="90"/>
      <c r="ER70" s="90"/>
      <c r="ES70" s="90"/>
      <c r="ET70" s="90"/>
      <c r="EU70" s="90"/>
      <c r="EV70" s="90"/>
      <c r="EW70" s="90"/>
      <c r="EX70" s="90"/>
      <c r="EY70" s="90"/>
      <c r="EZ70" s="90"/>
      <c r="FA70" s="90"/>
      <c r="FB70" s="90"/>
      <c r="FD70" s="90">
        <f t="shared" ca="1" si="63"/>
        <v>3.3000000000000003</v>
      </c>
      <c r="FE70" s="90"/>
      <c r="FF70" s="90"/>
      <c r="FG70" s="90">
        <f t="shared" ca="1" si="64"/>
        <v>0</v>
      </c>
    </row>
    <row r="71" spans="1:163" x14ac:dyDescent="0.25">
      <c r="A71" s="123">
        <v>65</v>
      </c>
      <c r="B71" s="123">
        <f>INDEX(关卡对比!$Y:$Y,MATCH(关卡对比!Z71,关卡对比!$AA:$AA,1))</f>
        <v>46</v>
      </c>
      <c r="C71" s="124">
        <f>INDEX(关卡对比!$Y:$Y,MATCH(关卡对比!Z71,关卡对比!$AB:$AB,1))</f>
        <v>37</v>
      </c>
      <c r="D71" s="125">
        <f t="shared" si="70"/>
        <v>413.5</v>
      </c>
      <c r="E71" s="125">
        <v>3</v>
      </c>
      <c r="F71" s="128">
        <v>5</v>
      </c>
      <c r="G71" s="90">
        <v>1</v>
      </c>
      <c r="H71" s="90">
        <v>1</v>
      </c>
      <c r="J71" s="128">
        <v>65</v>
      </c>
      <c r="K71" s="90">
        <f t="shared" si="77"/>
        <v>5</v>
      </c>
      <c r="L71" s="90">
        <f t="shared" si="78"/>
        <v>1</v>
      </c>
      <c r="M71" s="90">
        <f t="shared" si="79"/>
        <v>1</v>
      </c>
      <c r="N71" s="140">
        <f>INDEX($A:$A,MATCH(SUM($K$7:K71),$D:$D,1))</f>
        <v>55</v>
      </c>
      <c r="O71" s="140">
        <v>0</v>
      </c>
      <c r="P71" s="141">
        <v>0</v>
      </c>
      <c r="Q71" s="126">
        <f>_xlfn.MAXIFS(关卡产出!X:X,关卡产出!$A:$A,玩家节奏1!$N$6,关卡产出!$B:$B,玩家节奏1!$N71)+_xlfn.MAXIFS(关卡产出!X:X,关卡产出!$A:$A,玩家节奏1!$O$6,关卡产出!$B:$B,玩家节奏1!$O71)+_xlfn.MAXIFS(关卡产出!X:X,关卡产出!$A:$A,玩家节奏1!$P$6,关卡产出!$B:$B,玩家节奏1!$P71)</f>
        <v>9500</v>
      </c>
      <c r="R71" s="90">
        <f>_xlfn.MAXIFS(关卡产出!Y:Y,关卡产出!$A:$A,玩家节奏1!$N$6,关卡产出!$B:$B,玩家节奏1!$N71)+_xlfn.MAXIFS(关卡产出!Y:Y,关卡产出!$A:$A,玩家节奏1!$O$6,关卡产出!$B:$B,玩家节奏1!$O71)+_xlfn.MAXIFS(关卡产出!Y:Y,关卡产出!$A:$A,玩家节奏1!$P$6,关卡产出!$B:$B,玩家节奏1!$P71)</f>
        <v>807500</v>
      </c>
      <c r="S71" s="90">
        <f>_xlfn.MAXIFS(关卡产出!Z:Z,关卡产出!$A:$A,玩家节奏1!$N$6,关卡产出!$B:$B,玩家节奏1!$N71)+_xlfn.MAXIFS(关卡产出!Z:Z,关卡产出!$A:$A,玩家节奏1!$O$6,关卡产出!$B:$B,玩家节奏1!$O71)+_xlfn.MAXIFS(关卡产出!Z:Z,关卡产出!$A:$A,玩家节奏1!$P$6,关卡产出!$B:$B,玩家节奏1!$P71)</f>
        <v>5786</v>
      </c>
      <c r="T71" s="90">
        <f>_xlfn.MAXIFS(关卡产出!AA:AA,关卡产出!$A:$A,玩家节奏1!$N$6,关卡产出!$B:$B,玩家节奏1!$N71)+_xlfn.MAXIFS(关卡产出!AA:AA,关卡产出!$A:$A,玩家节奏1!$O$6,关卡产出!$B:$B,玩家节奏1!$O71)+_xlfn.MAXIFS(关卡产出!AA:AA,关卡产出!$A:$A,玩家节奏1!$P$6,关卡产出!$B:$B,玩家节奏1!$P71)</f>
        <v>2894</v>
      </c>
      <c r="U71" s="90">
        <f>_xlfn.MAXIFS(关卡产出!AB:AB,关卡产出!$A:$A,玩家节奏1!$N$6,关卡产出!$B:$B,玩家节奏1!$N71)+_xlfn.MAXIFS(关卡产出!AB:AB,关卡产出!$A:$A,玩家节奏1!$O$6,关卡产出!$B:$B,玩家节奏1!$O71)+_xlfn.MAXIFS(关卡产出!AB:AB,关卡产出!$A:$A,玩家节奏1!$P$6,关卡产出!$B:$B,玩家节奏1!$P71)</f>
        <v>1278</v>
      </c>
      <c r="V71" s="130">
        <f>_xlfn.MAXIFS(关卡产出!AC:AC,关卡产出!$A:$A,玩家节奏1!$N$6,关卡产出!$B:$B,玩家节奏1!$N71)+_xlfn.MAXIFS(关卡产出!AC:AC,关卡产出!$A:$A,玩家节奏1!$O$6,关卡产出!$B:$B,玩家节奏1!$O71)+_xlfn.MAXIFS(关卡产出!AC:AC,关卡产出!$A:$A,玩家节奏1!$P$6,关卡产出!$B:$B,玩家节奏1!$P71)</f>
        <v>330</v>
      </c>
      <c r="W71" s="126">
        <f>INDEX(关卡产出!C$8:C$207,MATCH(玩家节奏1!$N71,关卡产出!$B$8:$B$207,0))*$K71</f>
        <v>210</v>
      </c>
      <c r="X71" s="126">
        <f>INDEX(关卡产出!D$8:D$207,MATCH(玩家节奏1!$N71,关卡产出!$B$8:$B$207,0))*$K71</f>
        <v>105</v>
      </c>
      <c r="Y71" s="126">
        <f>INDEX(关卡产出!E$8:E$207,MATCH(玩家节奏1!$N71,关卡产出!$B$8:$B$207,0))*$K71</f>
        <v>50</v>
      </c>
      <c r="Z71" s="144">
        <f>INDEX(关卡产出!F$8:F$207,MATCH(玩家节奏1!$N71,关卡产出!$B$8:$B$207,0))*$K71</f>
        <v>3050</v>
      </c>
      <c r="AA71" s="126">
        <f>SUM(W$7:W71)</f>
        <v>8051</v>
      </c>
      <c r="AB71" s="126">
        <f>SUM(X$7:X71)</f>
        <v>3941</v>
      </c>
      <c r="AC71" s="126">
        <f>SUM(Y$7:Y71)</f>
        <v>1762</v>
      </c>
      <c r="AD71" s="126">
        <f>SUM(Z$7:Z71)</f>
        <v>125910</v>
      </c>
      <c r="AE71" s="126">
        <f>INDEX(图鉴!AQ:AQ,MATCH($N71,图鉴!$S:$S,0))*8</f>
        <v>160</v>
      </c>
      <c r="AF71" s="90">
        <f>INDEX(图鉴!AR:AR,MATCH($N71,图鉴!$S:$S,0))*8</f>
        <v>88</v>
      </c>
      <c r="AG71" s="90">
        <f>INDEX(图鉴!AS:AS,MATCH($N71,图鉴!$S:$S,0))*8</f>
        <v>32</v>
      </c>
      <c r="AH71" s="129">
        <f ca="1">INDEX(图鉴!AT:AT,MATCH($N71,图鉴!$S:$S,0))*8</f>
        <v>6760</v>
      </c>
      <c r="AI71" s="128">
        <f>SUM($AE$7:AE71)</f>
        <v>8560</v>
      </c>
      <c r="AJ71" s="90">
        <f>SUM(AF$7:AF71)</f>
        <v>3984</v>
      </c>
      <c r="AK71" s="90">
        <f>SUM(AG$7:AG71)</f>
        <v>1280</v>
      </c>
      <c r="AL71" s="130">
        <f ca="1">SUM(AH$7:AH71)</f>
        <v>304280</v>
      </c>
      <c r="AM71" s="133">
        <f>IF(M71=0,0,INDEX(关卡产出!$AU$11:$AU$15,MATCH(玩家节奏1!N71,关卡产出!$AW$11:$AW$15,1))*M71)</f>
        <v>8500</v>
      </c>
      <c r="AN71" s="126">
        <f>IF(L71=0,0,$L71*关卡产出!AU$21)</f>
        <v>1000</v>
      </c>
      <c r="AO71" s="90">
        <f>IF(M71=0,0,$L71*关卡产出!AV$21)</f>
        <v>50</v>
      </c>
      <c r="AP71" s="129">
        <f>IF(N71=0,0,$L71*关卡产出!AW$21)</f>
        <v>1</v>
      </c>
      <c r="AQ71" s="138">
        <f>SUM(AN$7:AN71)</f>
        <v>48000</v>
      </c>
      <c r="AR71" s="126">
        <f>SUM(AO$7:AO71)</f>
        <v>2400</v>
      </c>
      <c r="AS71" s="129">
        <f>SUM(AP$7:AP71)</f>
        <v>48</v>
      </c>
      <c r="AT71" s="128">
        <v>500</v>
      </c>
      <c r="AU71" s="129">
        <v>100</v>
      </c>
      <c r="AV71" s="128">
        <f>SUM(AT$7:AT71)</f>
        <v>32500</v>
      </c>
      <c r="AW71" s="90">
        <f>SUM(AU$7:AU71)</f>
        <v>6500</v>
      </c>
      <c r="AY71" s="128">
        <f t="shared" si="13"/>
        <v>9500</v>
      </c>
      <c r="AZ71" s="90">
        <f t="shared" si="14"/>
        <v>2400</v>
      </c>
      <c r="BA71" s="90">
        <f t="shared" si="15"/>
        <v>6500</v>
      </c>
      <c r="BB71" s="90">
        <f t="shared" ca="1" si="65"/>
        <v>2650</v>
      </c>
      <c r="BC71" s="90">
        <f t="shared" ca="1" si="68"/>
        <v>21050</v>
      </c>
      <c r="BD71" s="90"/>
      <c r="BE71" s="90">
        <f t="shared" ca="1" si="17"/>
        <v>21050</v>
      </c>
      <c r="BF71" s="142">
        <f t="shared" ca="1" si="18"/>
        <v>0.45130641330166271</v>
      </c>
      <c r="BG71" s="142">
        <f t="shared" ca="1" si="19"/>
        <v>0.11401425178147269</v>
      </c>
      <c r="BH71" s="142">
        <f t="shared" ca="1" si="80"/>
        <v>0.30878859857482183</v>
      </c>
      <c r="BI71" s="142">
        <f t="shared" ca="1" si="81"/>
        <v>0.12589073634204276</v>
      </c>
      <c r="BJ71" s="143"/>
      <c r="BK71" s="128">
        <f ca="1">INDEX(商城宝箱!$L:$L,MATCH(BC71,商城宝箱!$N:$N,1))</f>
        <v>6</v>
      </c>
      <c r="BL71" s="90">
        <f ca="1">_xlfn.IFNA(INDEX(商城宝箱!T:T,MATCH(玩家节奏1!$BK71,商城宝箱!$L:$L,0)),0)+($BC71-INDEX(商城宝箱!$N:$N,MATCH(玩家节奏1!$BK71,商城宝箱!$L:$L,0)))/$BK$5*INDEX(商城宝箱!E$23:E$42,MATCH(玩家节奏1!$BK71+1,商城宝箱!$C$23:$C$42,0))</f>
        <v>52625</v>
      </c>
      <c r="BM71" s="90">
        <f ca="1">_xlfn.IFNA(INDEX(商城宝箱!U:U,MATCH(玩家节奏1!$BK71,商城宝箱!$L:$L,0)),0)+($BC71-INDEX(商城宝箱!$N:$N,MATCH(玩家节奏1!$BK71,商城宝箱!$L:$L,0)))/$BK$5*INDEX(商城宝箱!F$23:F$42,MATCH(玩家节奏1!$BK71+1,商城宝箱!$C$23:$C$42,0))</f>
        <v>17747.5</v>
      </c>
      <c r="BN71" s="90">
        <f ca="1">_xlfn.IFNA(INDEX(商城宝箱!V:V,MATCH(玩家节奏1!$BK71,商城宝箱!$L:$L,0)),0)+($BC71-INDEX(商城宝箱!$N:$N,MATCH(玩家节奏1!$BK71,商城宝箱!$L:$L,0)))/$BK$5*INDEX(商城宝箱!G$23:G$42,MATCH(玩家节奏1!$BK71+1,商城宝箱!$C$23:$C$42,0))</f>
        <v>9994.5</v>
      </c>
      <c r="BO71" s="90">
        <f ca="1">_xlfn.IFNA(INDEX(商城宝箱!W:W,MATCH(玩家节奏1!$BK71,商城宝箱!$L:$L,0)),0)+($BC71-INDEX(商城宝箱!$N:$N,MATCH(玩家节奏1!$BK71,商城宝箱!$L:$L,0)))/$BK$5*INDEX(商城宝箱!H$23:H$42,MATCH(玩家节奏1!$BK71+1,商城宝箱!$C$23:$C$42,0))</f>
        <v>1365.75</v>
      </c>
      <c r="BQ71" s="128">
        <f t="shared" ref="BQ71:BQ102" si="82">R71</f>
        <v>807500</v>
      </c>
      <c r="BR71" s="90">
        <f t="shared" ref="BR71:BR102" si="83">AD71</f>
        <v>125910</v>
      </c>
      <c r="BS71" s="90">
        <f t="shared" ref="BS71:BS102" ca="1" si="84">AL71</f>
        <v>304280</v>
      </c>
      <c r="BT71" s="90">
        <f t="shared" ref="BT71:BT102" si="85">AM71</f>
        <v>8500</v>
      </c>
      <c r="BU71" s="90">
        <f t="shared" ref="BU71:BU102" si="86">AQ71</f>
        <v>48000</v>
      </c>
      <c r="BV71" s="90">
        <f t="shared" ref="BV71:BV102" si="87">AV71</f>
        <v>32500</v>
      </c>
      <c r="BW71" s="90">
        <f t="shared" ca="1" si="22"/>
        <v>52625</v>
      </c>
      <c r="BX71" s="90">
        <f t="shared" ca="1" si="23"/>
        <v>1379315</v>
      </c>
      <c r="BY71" s="142">
        <f t="shared" ca="1" si="24"/>
        <v>0.58543552415510602</v>
      </c>
      <c r="BZ71" s="142">
        <f t="shared" ca="1" si="25"/>
        <v>9.1284441915008535E-2</v>
      </c>
      <c r="CA71" s="142">
        <f t="shared" ca="1" si="26"/>
        <v>0.22060225546738779</v>
      </c>
      <c r="CB71" s="142">
        <f t="shared" ca="1" si="27"/>
        <v>6.1624792016326943E-3</v>
      </c>
      <c r="CC71" s="142">
        <f t="shared" ca="1" si="28"/>
        <v>3.4799882550396392E-2</v>
      </c>
      <c r="CD71" s="142">
        <f t="shared" ca="1" si="29"/>
        <v>2.3562420476830891E-2</v>
      </c>
      <c r="CE71" s="142">
        <f t="shared" ca="1" si="30"/>
        <v>3.8152996233637715E-2</v>
      </c>
      <c r="CG71" s="128">
        <f t="shared" si="31"/>
        <v>55</v>
      </c>
      <c r="CH71" s="90">
        <f ca="1">INDEX(角色升级!$A:$A,MATCH(玩家节奏1!$BX71,角色升级!$J:$J,1))</f>
        <v>355</v>
      </c>
      <c r="CI71" s="90">
        <f ca="1">INDEX(角色升级!$O:$O,MATCH(玩家节奏1!$BX71,角色升级!$J:$J,1))</f>
        <v>9202.051739999999</v>
      </c>
      <c r="CJ71" s="90">
        <f>INDEX(关卡对比!$J:$J,MATCH(玩家节奏1!N71,关卡对比!$A:$A,0))</f>
        <v>13700</v>
      </c>
      <c r="CK71" s="147">
        <f t="shared" ca="1" si="32"/>
        <v>1.4887984100815328</v>
      </c>
      <c r="CL71" s="128">
        <f ca="1">INDEX(角色升级!$P:$P,MATCH(玩家节奏1!$CH71,角色升级!$A:$A,0))</f>
        <v>2650</v>
      </c>
      <c r="CM71" s="90">
        <f ca="1">INDEX(角色升级!Q:Q,MATCH(玩家节奏1!$CH71,角色升级!$A:$A,0))</f>
        <v>0.4</v>
      </c>
      <c r="CO71" s="128">
        <f t="shared" si="33"/>
        <v>5786</v>
      </c>
      <c r="CP71" s="90">
        <f t="shared" si="34"/>
        <v>8051</v>
      </c>
      <c r="CQ71" s="90">
        <f t="shared" si="35"/>
        <v>8560</v>
      </c>
      <c r="CR71" s="90">
        <f t="shared" ca="1" si="36"/>
        <v>17747.5</v>
      </c>
      <c r="CS71" s="90">
        <f t="shared" ca="1" si="37"/>
        <v>40144.5</v>
      </c>
      <c r="CT71" s="142">
        <f t="shared" ca="1" si="38"/>
        <v>0.14412933278531306</v>
      </c>
      <c r="CU71" s="142">
        <f t="shared" ca="1" si="39"/>
        <v>0.20055051127800819</v>
      </c>
      <c r="CV71" s="142">
        <f t="shared" ca="1" si="40"/>
        <v>0.21322970768100238</v>
      </c>
      <c r="CW71" s="142">
        <f t="shared" ca="1" si="41"/>
        <v>0.44209044825567639</v>
      </c>
      <c r="CY71" s="128">
        <f t="shared" si="42"/>
        <v>2894</v>
      </c>
      <c r="CZ71" s="90">
        <f t="shared" si="43"/>
        <v>3941</v>
      </c>
      <c r="DA71" s="90">
        <f t="shared" si="44"/>
        <v>3984</v>
      </c>
      <c r="DB71" s="90">
        <f t="shared" ca="1" si="66"/>
        <v>9994.5</v>
      </c>
      <c r="DC71" s="90">
        <f t="shared" ca="1" si="45"/>
        <v>20813.5</v>
      </c>
      <c r="DD71" s="142">
        <f t="shared" ca="1" si="46"/>
        <v>0.13904437024046892</v>
      </c>
      <c r="DE71" s="142">
        <f t="shared" ca="1" si="47"/>
        <v>0.18934825954308501</v>
      </c>
      <c r="DF71" s="142">
        <f t="shared" ca="1" si="48"/>
        <v>0.19141422634347899</v>
      </c>
      <c r="DG71" s="142">
        <f t="shared" ca="1" si="49"/>
        <v>0.48019314387296708</v>
      </c>
      <c r="DI71" s="128">
        <f t="shared" si="50"/>
        <v>1278</v>
      </c>
      <c r="DJ71" s="90">
        <f t="shared" si="51"/>
        <v>1762</v>
      </c>
      <c r="DK71" s="90">
        <f t="shared" si="52"/>
        <v>1280</v>
      </c>
      <c r="DL71" s="90">
        <f t="shared" ca="1" si="53"/>
        <v>1365.75</v>
      </c>
      <c r="DM71" s="90">
        <f t="shared" ca="1" si="54"/>
        <v>5685.75</v>
      </c>
      <c r="DN71" s="142">
        <f t="shared" ca="1" si="55"/>
        <v>0.22477245745943808</v>
      </c>
      <c r="DO71" s="142">
        <f t="shared" ca="1" si="56"/>
        <v>0.30989755089478083</v>
      </c>
      <c r="DP71" s="142">
        <f t="shared" ca="1" si="57"/>
        <v>0.22512421404388164</v>
      </c>
      <c r="DQ71" s="142">
        <f t="shared" ca="1" si="58"/>
        <v>0.24020577760189948</v>
      </c>
      <c r="DS71" s="128">
        <f t="shared" ca="1" si="59"/>
        <v>40144.5</v>
      </c>
      <c r="DT71" s="90">
        <f t="shared" ca="1" si="60"/>
        <v>20813.5</v>
      </c>
      <c r="DU71" s="90">
        <f t="shared" ca="1" si="61"/>
        <v>5685.75</v>
      </c>
      <c r="DV71" s="90">
        <f t="shared" si="62"/>
        <v>48</v>
      </c>
      <c r="DW71" s="90">
        <f ca="1">_xlfn.IFNA(INDEX(武器升级消耗!$H:$H,MATCH(玩家节奏1!DS71/玩家节奏1!DS$5,武器升级消耗!M:M,1)),0)</f>
        <v>19</v>
      </c>
      <c r="DX71" s="90">
        <f ca="1">_xlfn.IFNA(INDEX(武器升级消耗!$H:$H,MATCH(玩家节奏1!DT71/玩家节奏1!DT$5,武器升级消耗!N:N,1)),0)</f>
        <v>16</v>
      </c>
      <c r="DY71" s="90">
        <f ca="1">_xlfn.IFNA(INDEX(武器升级消耗!$H:$H,MATCH(玩家节奏1!DU71/玩家节奏1!DU$5,武器升级消耗!O:O,1)),0)</f>
        <v>11</v>
      </c>
      <c r="DZ71" s="90">
        <f>_xlfn.IFNA(INDEX(武器升级消耗!$H:$H,MATCH(玩家节奏1!DV71/玩家节奏1!DV$5,武器升级消耗!P:P,1)),0)</f>
        <v>7</v>
      </c>
      <c r="EA71" s="90">
        <f ca="1">_xlfn.IFNA(INDEX(武器升级消耗!$Q:$Q,MATCH(玩家节奏1!DW71,武器升级消耗!$H:$H,0))*2*EA$4,0)</f>
        <v>2.76</v>
      </c>
      <c r="EB71" s="90">
        <f ca="1">_xlfn.IFNA(INDEX(武器升级消耗!$Q:$Q,MATCH(玩家节奏1!DX71,武器升级消耗!$H:$H,0))*2*EB$4,0)</f>
        <v>3</v>
      </c>
      <c r="EC71" s="90">
        <f ca="1">_xlfn.IFNA(INDEX(武器升级消耗!$Q:$Q,MATCH(玩家节奏1!DY71,武器升级消耗!$H:$H,0))*2*EC$4,1)</f>
        <v>3.3000000000000003</v>
      </c>
      <c r="ED71" s="90">
        <f>_xlfn.IFNA(INDEX(武器升级消耗!$Q:$Q,MATCH(玩家节奏1!DZ71,武器升级消耗!$H:$H,0))*2*ED$4,0)</f>
        <v>3.3000000000000003</v>
      </c>
      <c r="EF71" s="128"/>
      <c r="EG71" s="90"/>
      <c r="EH71" s="90"/>
      <c r="EI71" s="90"/>
      <c r="EJ71" s="90"/>
      <c r="EK71" s="90"/>
      <c r="EL71" s="90"/>
      <c r="EM71" s="90"/>
      <c r="EO71" s="128"/>
      <c r="EP71" s="90"/>
      <c r="EQ71" s="90"/>
      <c r="ER71" s="90"/>
      <c r="ES71" s="90"/>
      <c r="ET71" s="90"/>
      <c r="EU71" s="90"/>
      <c r="EV71" s="90"/>
      <c r="EW71" s="90"/>
      <c r="EX71" s="90"/>
      <c r="EY71" s="90"/>
      <c r="EZ71" s="90"/>
      <c r="FA71" s="90"/>
      <c r="FB71" s="90"/>
      <c r="FD71" s="90">
        <f t="shared" ca="1" si="63"/>
        <v>3.3000000000000003</v>
      </c>
      <c r="FE71" s="90"/>
      <c r="FF71" s="90"/>
      <c r="FG71" s="90">
        <f t="shared" ca="1" si="64"/>
        <v>0</v>
      </c>
    </row>
    <row r="72" spans="1:163" x14ac:dyDescent="0.25">
      <c r="A72" s="123">
        <v>66</v>
      </c>
      <c r="B72" s="123">
        <f>INDEX(关卡对比!$Y:$Y,MATCH(关卡对比!Z72,关卡对比!$AA:$AA,1))</f>
        <v>46</v>
      </c>
      <c r="C72" s="124">
        <f>INDEX(关卡对比!$Y:$Y,MATCH(关卡对比!Z72,关卡对比!$AB:$AB,1))</f>
        <v>38</v>
      </c>
      <c r="D72" s="125">
        <f t="shared" si="70"/>
        <v>419.5</v>
      </c>
      <c r="E72" s="125">
        <v>3</v>
      </c>
      <c r="F72" s="128">
        <v>5</v>
      </c>
      <c r="G72" s="90">
        <v>1</v>
      </c>
      <c r="H72" s="90">
        <v>1</v>
      </c>
      <c r="J72" s="128">
        <v>66</v>
      </c>
      <c r="K72" s="90">
        <f t="shared" ref="K72:K103" si="88">INDEX($F:$F,MATCH(N71,$A:$A,0))</f>
        <v>5</v>
      </c>
      <c r="L72" s="90">
        <f t="shared" ref="L72:L103" si="89">INDEX($G:$G,MATCH(N71,$A:$A,0))</f>
        <v>1</v>
      </c>
      <c r="M72" s="90">
        <f t="shared" ref="M72:M103" si="90">INDEX($H:$H,MATCH(N71,$A:$A,0))</f>
        <v>1</v>
      </c>
      <c r="N72" s="140">
        <f>INDEX($A:$A,MATCH(SUM($K$7:K72),$D:$D,1))</f>
        <v>56</v>
      </c>
      <c r="O72" s="140">
        <v>0</v>
      </c>
      <c r="P72" s="141">
        <v>0</v>
      </c>
      <c r="Q72" s="126">
        <f>_xlfn.MAXIFS(关卡产出!X:X,关卡产出!$A:$A,玩家节奏1!$N$6,关卡产出!$B:$B,玩家节奏1!$N72)+_xlfn.MAXIFS(关卡产出!X:X,关卡产出!$A:$A,玩家节奏1!$O$6,关卡产出!$B:$B,玩家节奏1!$O72)+_xlfn.MAXIFS(关卡产出!X:X,关卡产出!$A:$A,玩家节奏1!$P$6,关卡产出!$B:$B,玩家节奏1!$P72)</f>
        <v>9700</v>
      </c>
      <c r="R72" s="90">
        <f>_xlfn.MAXIFS(关卡产出!Y:Y,关卡产出!$A:$A,玩家节奏1!$N$6,关卡产出!$B:$B,玩家节奏1!$N72)+_xlfn.MAXIFS(关卡产出!Y:Y,关卡产出!$A:$A,玩家节奏1!$O$6,关卡产出!$B:$B,玩家节奏1!$O72)+_xlfn.MAXIFS(关卡产出!Y:Y,关卡产出!$A:$A,玩家节奏1!$P$6,关卡产出!$B:$B,玩家节奏1!$P72)</f>
        <v>838800</v>
      </c>
      <c r="S72" s="90">
        <f>_xlfn.MAXIFS(关卡产出!Z:Z,关卡产出!$A:$A,玩家节奏1!$N$6,关卡产出!$B:$B,玩家节奏1!$N72)+_xlfn.MAXIFS(关卡产出!Z:Z,关卡产出!$A:$A,玩家节奏1!$O$6,关卡产出!$B:$B,玩家节奏1!$O72)+_xlfn.MAXIFS(关卡产出!Z:Z,关卡产出!$A:$A,玩家节奏1!$P$6,关卡产出!$B:$B,玩家节奏1!$P72)</f>
        <v>6002</v>
      </c>
      <c r="T72" s="90">
        <f>_xlfn.MAXIFS(关卡产出!AA:AA,关卡产出!$A:$A,玩家节奏1!$N$6,关卡产出!$B:$B,玩家节奏1!$N72)+_xlfn.MAXIFS(关卡产出!AA:AA,关卡产出!$A:$A,玩家节奏1!$O$6,关卡产出!$B:$B,玩家节奏1!$O72)+_xlfn.MAXIFS(关卡产出!AA:AA,关卡产出!$A:$A,玩家节奏1!$P$6,关卡产出!$B:$B,玩家节奏1!$P72)</f>
        <v>3002</v>
      </c>
      <c r="U72" s="90">
        <f>_xlfn.MAXIFS(关卡产出!AB:AB,关卡产出!$A:$A,玩家节奏1!$N$6,关卡产出!$B:$B,玩家节奏1!$N72)+_xlfn.MAXIFS(关卡产出!AB:AB,关卡产出!$A:$A,玩家节奏1!$O$6,关卡产出!$B:$B,玩家节奏1!$O72)+_xlfn.MAXIFS(关卡产出!AB:AB,关卡产出!$A:$A,玩家节奏1!$P$6,关卡产出!$B:$B,玩家节奏1!$P72)</f>
        <v>1329</v>
      </c>
      <c r="V72" s="130">
        <f>_xlfn.MAXIFS(关卡产出!AC:AC,关卡产出!$A:$A,玩家节奏1!$N$6,关卡产出!$B:$B,玩家节奏1!$N72)+_xlfn.MAXIFS(关卡产出!AC:AC,关卡产出!$A:$A,玩家节奏1!$O$6,关卡产出!$B:$B,玩家节奏1!$O72)+_xlfn.MAXIFS(关卡产出!AC:AC,关卡产出!$A:$A,玩家节奏1!$P$6,关卡产出!$B:$B,玩家节奏1!$P72)</f>
        <v>336</v>
      </c>
      <c r="W72" s="126">
        <f>INDEX(关卡产出!C$8:C$207,MATCH(玩家节奏1!$N72,关卡产出!$B$8:$B$207,0))*$K72</f>
        <v>215</v>
      </c>
      <c r="X72" s="126">
        <f>INDEX(关卡产出!D$8:D$207,MATCH(玩家节奏1!$N72,关卡产出!$B$8:$B$207,0))*$K72</f>
        <v>105</v>
      </c>
      <c r="Y72" s="126">
        <f>INDEX(关卡产出!E$8:E$207,MATCH(玩家节奏1!$N72,关卡产出!$B$8:$B$207,0))*$K72</f>
        <v>50</v>
      </c>
      <c r="Z72" s="144">
        <f>INDEX(关卡产出!F$8:F$207,MATCH(玩家节奏1!$N72,关卡产出!$B$8:$B$207,0))*$K72</f>
        <v>3050</v>
      </c>
      <c r="AA72" s="126">
        <f>SUM(W$7:W72)</f>
        <v>8266</v>
      </c>
      <c r="AB72" s="126">
        <f>SUM(X$7:X72)</f>
        <v>4046</v>
      </c>
      <c r="AC72" s="126">
        <f>SUM(Y$7:Y72)</f>
        <v>1812</v>
      </c>
      <c r="AD72" s="126">
        <f>SUM(Z$7:Z72)</f>
        <v>128960</v>
      </c>
      <c r="AE72" s="126">
        <f>INDEX(图鉴!AQ:AQ,MATCH($N72,图鉴!$S:$S,0))*8</f>
        <v>160</v>
      </c>
      <c r="AF72" s="90">
        <f>INDEX(图鉴!AR:AR,MATCH($N72,图鉴!$S:$S,0))*8</f>
        <v>96</v>
      </c>
      <c r="AG72" s="90">
        <f>INDEX(图鉴!AS:AS,MATCH($N72,图鉴!$S:$S,0))*8</f>
        <v>32</v>
      </c>
      <c r="AH72" s="129">
        <f ca="1">INDEX(图鉴!AT:AT,MATCH($N72,图鉴!$S:$S,0))*8</f>
        <v>6960</v>
      </c>
      <c r="AI72" s="128">
        <f>SUM($AE$7:AE72)</f>
        <v>8720</v>
      </c>
      <c r="AJ72" s="90">
        <f>SUM(AF$7:AF72)</f>
        <v>4080</v>
      </c>
      <c r="AK72" s="90">
        <f>SUM(AG$7:AG72)</f>
        <v>1312</v>
      </c>
      <c r="AL72" s="130">
        <f ca="1">SUM(AH$7:AH72)</f>
        <v>311240</v>
      </c>
      <c r="AM72" s="133">
        <f>IF(M72=0,0,INDEX(关卡产出!$AU$11:$AU$15,MATCH(玩家节奏1!N72,关卡产出!$AW$11:$AW$15,1))*M72)</f>
        <v>8500</v>
      </c>
      <c r="AN72" s="126">
        <f>IF(L72=0,0,$L72*关卡产出!AU$21)</f>
        <v>1000</v>
      </c>
      <c r="AO72" s="90">
        <f>IF(M72=0,0,$L72*关卡产出!AV$21)</f>
        <v>50</v>
      </c>
      <c r="AP72" s="129">
        <f>IF(N72=0,0,$L72*关卡产出!AW$21)</f>
        <v>1</v>
      </c>
      <c r="AQ72" s="138">
        <f>SUM(AN$7:AN72)</f>
        <v>49000</v>
      </c>
      <c r="AR72" s="126">
        <f>SUM(AO$7:AO72)</f>
        <v>2450</v>
      </c>
      <c r="AS72" s="129">
        <f>SUM(AP$7:AP72)</f>
        <v>49</v>
      </c>
      <c r="AT72" s="128">
        <v>500</v>
      </c>
      <c r="AU72" s="129">
        <v>100</v>
      </c>
      <c r="AV72" s="128">
        <f>SUM(AT$7:AT72)</f>
        <v>33000</v>
      </c>
      <c r="AW72" s="90">
        <f>SUM(AU$7:AU72)</f>
        <v>6600</v>
      </c>
      <c r="AY72" s="128">
        <f t="shared" ref="AY72:AY135" si="91">Q72</f>
        <v>9700</v>
      </c>
      <c r="AZ72" s="90">
        <f t="shared" ref="AZ72:AZ135" si="92">AR72</f>
        <v>2450</v>
      </c>
      <c r="BA72" s="90">
        <f t="shared" ref="BA72:BA135" si="93">AW72</f>
        <v>6600</v>
      </c>
      <c r="BB72" s="90">
        <f t="shared" ca="1" si="65"/>
        <v>2650</v>
      </c>
      <c r="BC72" s="90">
        <f t="shared" ca="1" si="68"/>
        <v>21400</v>
      </c>
      <c r="BD72" s="90"/>
      <c r="BE72" s="90">
        <f t="shared" ref="BE72:BE135" ca="1" si="94">SUM(AY72:BB72)</f>
        <v>21400</v>
      </c>
      <c r="BF72" s="142">
        <f t="shared" ref="BF72:BF135" ca="1" si="95">AY72/$BC72</f>
        <v>0.45327102803738317</v>
      </c>
      <c r="BG72" s="142">
        <f t="shared" ref="BG72:BG135" ca="1" si="96">AZ72/$BC72</f>
        <v>0.11448598130841121</v>
      </c>
      <c r="BH72" s="142">
        <f t="shared" ref="BH72:BH103" ca="1" si="97">BA72/$BC72</f>
        <v>0.30841121495327101</v>
      </c>
      <c r="BI72" s="142">
        <f t="shared" ref="BI72:BI103" ca="1" si="98">BB72/$BC72</f>
        <v>0.12383177570093458</v>
      </c>
      <c r="BJ72" s="143"/>
      <c r="BK72" s="128">
        <f ca="1">INDEX(商城宝箱!$L:$L,MATCH(BC72,商城宝箱!$N:$N,1))</f>
        <v>6</v>
      </c>
      <c r="BL72" s="90">
        <f ca="1">_xlfn.IFNA(INDEX(商城宝箱!T:T,MATCH(玩家节奏1!$BK72,商城宝箱!$L:$L,0)),0)+($BC72-INDEX(商城宝箱!$N:$N,MATCH(玩家节奏1!$BK72,商城宝箱!$L:$L,0)))/$BK$5*INDEX(商城宝箱!E$23:E$42,MATCH(玩家节奏1!$BK72+1,商城宝箱!$C$23:$C$42,0))</f>
        <v>53500</v>
      </c>
      <c r="BM72" s="90">
        <f ca="1">_xlfn.IFNA(INDEX(商城宝箱!U:U,MATCH(玩家节奏1!$BK72,商城宝箱!$L:$L,0)),0)+($BC72-INDEX(商城宝箱!$N:$N,MATCH(玩家节奏1!$BK72,商城宝箱!$L:$L,0)))/$BK$5*INDEX(商城宝箱!F$23:F$42,MATCH(玩家节奏1!$BK72+1,商城宝箱!$C$23:$C$42,0))</f>
        <v>18202.5</v>
      </c>
      <c r="BN72" s="90">
        <f ca="1">_xlfn.IFNA(INDEX(商城宝箱!V:V,MATCH(玩家节奏1!$BK72,商城宝箱!$L:$L,0)),0)+($BC72-INDEX(商城宝箱!$N:$N,MATCH(玩家节奏1!$BK72,商城宝箱!$L:$L,0)))/$BK$5*INDEX(商城宝箱!G$23:G$42,MATCH(玩家节奏1!$BK72+1,商城宝箱!$C$23:$C$42,0))</f>
        <v>10292</v>
      </c>
      <c r="BO72" s="90">
        <f ca="1">_xlfn.IFNA(INDEX(商城宝箱!W:W,MATCH(玩家节奏1!$BK72,商城宝箱!$L:$L,0)),0)+($BC72-INDEX(商城宝箱!$N:$N,MATCH(玩家节奏1!$BK72,商城宝箱!$L:$L,0)))/$BK$5*INDEX(商城宝箱!H$23:H$42,MATCH(玩家节奏1!$BK72+1,商城宝箱!$C$23:$C$42,0))</f>
        <v>1406</v>
      </c>
      <c r="BQ72" s="128">
        <f t="shared" si="82"/>
        <v>838800</v>
      </c>
      <c r="BR72" s="90">
        <f t="shared" si="83"/>
        <v>128960</v>
      </c>
      <c r="BS72" s="90">
        <f t="shared" ca="1" si="84"/>
        <v>311240</v>
      </c>
      <c r="BT72" s="90">
        <f t="shared" si="85"/>
        <v>8500</v>
      </c>
      <c r="BU72" s="90">
        <f t="shared" si="86"/>
        <v>49000</v>
      </c>
      <c r="BV72" s="90">
        <f t="shared" si="87"/>
        <v>33000</v>
      </c>
      <c r="BW72" s="90">
        <f t="shared" ref="BW72:BW135" ca="1" si="99">BL72</f>
        <v>53500</v>
      </c>
      <c r="BX72" s="90">
        <f t="shared" ref="BX72:BX135" ca="1" si="100">SUM(BQ72:BW72)</f>
        <v>1423000</v>
      </c>
      <c r="BY72" s="142">
        <f t="shared" ref="BY72:BY135" ca="1" si="101">BQ72/$BX72</f>
        <v>0.58945888966971183</v>
      </c>
      <c r="BZ72" s="142">
        <f t="shared" ref="BZ72:BZ135" ca="1" si="102">BR72/$BX72</f>
        <v>9.0625439212930425E-2</v>
      </c>
      <c r="CA72" s="142">
        <f t="shared" ref="CA72:CA135" ca="1" si="103">BS72/$BX72</f>
        <v>0.21872101194659171</v>
      </c>
      <c r="CB72" s="142">
        <f t="shared" ref="CB72:CB135" ca="1" si="104">BT72/$BX72</f>
        <v>5.9732958538299364E-3</v>
      </c>
      <c r="CC72" s="142">
        <f t="shared" ref="CC72:CC135" ca="1" si="105">BU72/$BX72</f>
        <v>3.4434293745607872E-2</v>
      </c>
      <c r="CD72" s="142">
        <f t="shared" ref="CD72:CD135" ca="1" si="106">BV72/$BX72</f>
        <v>2.3190442726633873E-2</v>
      </c>
      <c r="CE72" s="142">
        <f t="shared" ref="CE72:CE135" ca="1" si="107">BW72/$BX72</f>
        <v>3.7596626844694309E-2</v>
      </c>
      <c r="CG72" s="128">
        <f t="shared" ref="CG72:CG135" si="108">N72</f>
        <v>56</v>
      </c>
      <c r="CH72" s="90">
        <f ca="1">INDEX(角色升级!$A:$A,MATCH(玩家节奏1!$BX72,角色升级!$J:$J,1))</f>
        <v>361</v>
      </c>
      <c r="CI72" s="90">
        <f ca="1">INDEX(角色升级!$O:$O,MATCH(玩家节奏1!$BX72,角色升级!$J:$J,1))</f>
        <v>9366.0859499999988</v>
      </c>
      <c r="CJ72" s="90">
        <f>INDEX(关卡对比!$J:$J,MATCH(玩家节奏1!N72,关卡对比!$A:$A,0))</f>
        <v>14200</v>
      </c>
      <c r="CK72" s="147">
        <f t="shared" ref="CK72:CK135" ca="1" si="109">CJ72/CI72</f>
        <v>1.5161082308880587</v>
      </c>
      <c r="CL72" s="128">
        <f ca="1">INDEX(角色升级!$P:$P,MATCH(玩家节奏1!$CH72,角色升级!$A:$A,0))</f>
        <v>2650</v>
      </c>
      <c r="CM72" s="90">
        <f ca="1">INDEX(角色升级!Q:Q,MATCH(玩家节奏1!$CH72,角色升级!$A:$A,0))</f>
        <v>0.4</v>
      </c>
      <c r="CO72" s="128">
        <f t="shared" ref="CO72:CO135" si="110">S72</f>
        <v>6002</v>
      </c>
      <c r="CP72" s="90">
        <f t="shared" ref="CP72:CP135" si="111">AA72</f>
        <v>8266</v>
      </c>
      <c r="CQ72" s="90">
        <f t="shared" ref="CQ72:CQ135" si="112">AI72</f>
        <v>8720</v>
      </c>
      <c r="CR72" s="90">
        <f t="shared" ref="CR72:CR135" ca="1" si="113">BM72</f>
        <v>18202.5</v>
      </c>
      <c r="CS72" s="90">
        <f t="shared" ref="CS72:CS135" ca="1" si="114">SUM(CO72:CR72)</f>
        <v>41190.5</v>
      </c>
      <c r="CT72" s="142">
        <f t="shared" ref="CT72:CT135" ca="1" si="115">CO72/$CS72</f>
        <v>0.14571321057039852</v>
      </c>
      <c r="CU72" s="142">
        <f t="shared" ref="CU72:CU135" ca="1" si="116">CP72/$CS72</f>
        <v>0.20067734064893605</v>
      </c>
      <c r="CV72" s="142">
        <f t="shared" ref="CV72:CV135" ca="1" si="117">CQ72/$CS72</f>
        <v>0.21169929959578057</v>
      </c>
      <c r="CW72" s="142">
        <f t="shared" ref="CW72:CW135" ca="1" si="118">CR72/$CS72</f>
        <v>0.44191014918488486</v>
      </c>
      <c r="CY72" s="128">
        <f t="shared" ref="CY72:CY135" si="119">T72</f>
        <v>3002</v>
      </c>
      <c r="CZ72" s="90">
        <f t="shared" ref="CZ72:CZ135" si="120">AB72</f>
        <v>4046</v>
      </c>
      <c r="DA72" s="90">
        <f t="shared" ref="DA72:DA135" si="121">AJ72</f>
        <v>4080</v>
      </c>
      <c r="DB72" s="90">
        <f t="shared" ref="DB72:DB135" ca="1" si="122">BN72</f>
        <v>10292</v>
      </c>
      <c r="DC72" s="90">
        <f t="shared" ref="DC72:DC135" ca="1" si="123">SUM(CY72:DB72)</f>
        <v>21420</v>
      </c>
      <c r="DD72" s="142">
        <f t="shared" ref="DD72:DD135" ca="1" si="124">CY72/$DC72</f>
        <v>0.14014939309056956</v>
      </c>
      <c r="DE72" s="142">
        <f t="shared" ref="DE72:DE135" ca="1" si="125">CZ72/$DC72</f>
        <v>0.18888888888888888</v>
      </c>
      <c r="DF72" s="142">
        <f t="shared" ref="DF72:DF135" ca="1" si="126">DA72/$DC72</f>
        <v>0.19047619047619047</v>
      </c>
      <c r="DG72" s="142">
        <f t="shared" ref="DG72:DG135" ca="1" si="127">DB72/$DC72</f>
        <v>0.48048552754435109</v>
      </c>
      <c r="DI72" s="128">
        <f t="shared" ref="DI72:DI135" si="128">U72</f>
        <v>1329</v>
      </c>
      <c r="DJ72" s="90">
        <f t="shared" ref="DJ72:DJ135" si="129">AC72</f>
        <v>1812</v>
      </c>
      <c r="DK72" s="90">
        <f t="shared" ref="DK72:DK135" si="130">AK72</f>
        <v>1312</v>
      </c>
      <c r="DL72" s="90">
        <f t="shared" ref="DL72:DL135" ca="1" si="131">BO72</f>
        <v>1406</v>
      </c>
      <c r="DM72" s="90">
        <f t="shared" ref="DM72:DM135" ca="1" si="132">SUM(DI72:DL72)</f>
        <v>5859</v>
      </c>
      <c r="DN72" s="142">
        <f t="shared" ref="DN72:DN135" ca="1" si="133">DI72/$DM72</f>
        <v>0.22683051715309779</v>
      </c>
      <c r="DO72" s="142">
        <f t="shared" ref="DO72:DO135" ca="1" si="134">DJ72/$DM72</f>
        <v>0.3092677931387609</v>
      </c>
      <c r="DP72" s="142">
        <f t="shared" ref="DP72:DP135" ca="1" si="135">DK72/$DM72</f>
        <v>0.22392899812254652</v>
      </c>
      <c r="DQ72" s="142">
        <f t="shared" ref="DQ72:DQ135" ca="1" si="136">DL72/$DM72</f>
        <v>0.23997269158559481</v>
      </c>
      <c r="DS72" s="128">
        <f t="shared" ref="DS72:DS135" ca="1" si="137">CS72</f>
        <v>41190.5</v>
      </c>
      <c r="DT72" s="90">
        <f t="shared" ref="DT72:DT135" ca="1" si="138">DC72</f>
        <v>21420</v>
      </c>
      <c r="DU72" s="90">
        <f t="shared" ref="DU72:DU135" ca="1" si="139">DM72</f>
        <v>5859</v>
      </c>
      <c r="DV72" s="90">
        <f t="shared" ref="DV72:DV135" si="140">AS72</f>
        <v>49</v>
      </c>
      <c r="DW72" s="90">
        <f ca="1">_xlfn.IFNA(INDEX(武器升级消耗!$H:$H,MATCH(玩家节奏1!DS72/玩家节奏1!DS$5,武器升级消耗!M:M,1)),0)</f>
        <v>20</v>
      </c>
      <c r="DX72" s="90">
        <f ca="1">_xlfn.IFNA(INDEX(武器升级消耗!$H:$H,MATCH(玩家节奏1!DT72/玩家节奏1!DT$5,武器升级消耗!N:N,1)),0)</f>
        <v>17</v>
      </c>
      <c r="DY72" s="90">
        <f ca="1">_xlfn.IFNA(INDEX(武器升级消耗!$H:$H,MATCH(玩家节奏1!DU72/玩家节奏1!DU$5,武器升级消耗!O:O,1)),0)</f>
        <v>11</v>
      </c>
      <c r="DZ72" s="90">
        <f>_xlfn.IFNA(INDEX(武器升级消耗!$H:$H,MATCH(玩家节奏1!DV72/玩家节奏1!DV$5,武器升级消耗!P:P,1)),0)</f>
        <v>7</v>
      </c>
      <c r="EA72" s="90">
        <f ca="1">_xlfn.IFNA(INDEX(武器升级消耗!$Q:$Q,MATCH(玩家节奏1!DW72,武器升级消耗!$H:$H,0))*2*EA$4,0)</f>
        <v>2.88</v>
      </c>
      <c r="EB72" s="90">
        <f ca="1">_xlfn.IFNA(INDEX(武器升级消耗!$Q:$Q,MATCH(玩家节奏1!DX72,武器升级消耗!$H:$H,0))*2*EB$4,0)</f>
        <v>3.1500000000000004</v>
      </c>
      <c r="EC72" s="90">
        <f ca="1">_xlfn.IFNA(INDEX(武器升级消耗!$Q:$Q,MATCH(玩家节奏1!DY72,武器升级消耗!$H:$H,0))*2*EC$4,1)</f>
        <v>3.3000000000000003</v>
      </c>
      <c r="ED72" s="90">
        <f>_xlfn.IFNA(INDEX(武器升级消耗!$Q:$Q,MATCH(玩家节奏1!DZ72,武器升级消耗!$H:$H,0))*2*ED$4,0)</f>
        <v>3.3000000000000003</v>
      </c>
      <c r="EF72" s="128"/>
      <c r="EG72" s="90"/>
      <c r="EH72" s="90"/>
      <c r="EI72" s="90"/>
      <c r="EJ72" s="90"/>
      <c r="EK72" s="90"/>
      <c r="EL72" s="90"/>
      <c r="EM72" s="90"/>
      <c r="EO72" s="128"/>
      <c r="EP72" s="90"/>
      <c r="EQ72" s="90"/>
      <c r="ER72" s="90"/>
      <c r="ES72" s="90"/>
      <c r="ET72" s="90"/>
      <c r="EU72" s="90"/>
      <c r="EV72" s="90"/>
      <c r="EW72" s="90"/>
      <c r="EX72" s="90"/>
      <c r="EY72" s="90"/>
      <c r="EZ72" s="90"/>
      <c r="FA72" s="90"/>
      <c r="FB72" s="90"/>
      <c r="FD72" s="90">
        <f t="shared" ref="FD72:FD106" ca="1" si="141">EC72</f>
        <v>3.3000000000000003</v>
      </c>
      <c r="FE72" s="90"/>
      <c r="FF72" s="90"/>
      <c r="FG72" s="90">
        <f t="shared" ref="FG72:FG106" ca="1" si="142">FF72*FE72*FD72</f>
        <v>0</v>
      </c>
    </row>
    <row r="73" spans="1:163" x14ac:dyDescent="0.25">
      <c r="A73" s="123">
        <v>67</v>
      </c>
      <c r="B73" s="123">
        <f>INDEX(关卡对比!$Y:$Y,MATCH(关卡对比!Z73,关卡对比!$AA:$AA,1))</f>
        <v>47</v>
      </c>
      <c r="C73" s="124">
        <f>INDEX(关卡对比!$Y:$Y,MATCH(关卡对比!Z73,关卡对比!$AB:$AB,1))</f>
        <v>38</v>
      </c>
      <c r="D73" s="125">
        <f t="shared" si="70"/>
        <v>425.5</v>
      </c>
      <c r="E73" s="125">
        <v>3</v>
      </c>
      <c r="F73" s="128">
        <v>5</v>
      </c>
      <c r="G73" s="90">
        <v>1</v>
      </c>
      <c r="H73" s="90">
        <v>1</v>
      </c>
      <c r="J73" s="128">
        <v>67</v>
      </c>
      <c r="K73" s="90">
        <f t="shared" si="88"/>
        <v>5</v>
      </c>
      <c r="L73" s="90">
        <f t="shared" si="89"/>
        <v>1</v>
      </c>
      <c r="M73" s="90">
        <f t="shared" si="90"/>
        <v>1</v>
      </c>
      <c r="N73" s="140">
        <f>INDEX($A:$A,MATCH(SUM($K$7:K73),$D:$D,1))</f>
        <v>56</v>
      </c>
      <c r="O73" s="140">
        <v>0</v>
      </c>
      <c r="P73" s="141">
        <v>0</v>
      </c>
      <c r="Q73" s="126">
        <f>_xlfn.MAXIFS(关卡产出!X:X,关卡产出!$A:$A,玩家节奏1!$N$6,关卡产出!$B:$B,玩家节奏1!$N73)+_xlfn.MAXIFS(关卡产出!X:X,关卡产出!$A:$A,玩家节奏1!$O$6,关卡产出!$B:$B,玩家节奏1!$O73)+_xlfn.MAXIFS(关卡产出!X:X,关卡产出!$A:$A,玩家节奏1!$P$6,关卡产出!$B:$B,玩家节奏1!$P73)</f>
        <v>9700</v>
      </c>
      <c r="R73" s="90">
        <f>_xlfn.MAXIFS(关卡产出!Y:Y,关卡产出!$A:$A,玩家节奏1!$N$6,关卡产出!$B:$B,玩家节奏1!$N73)+_xlfn.MAXIFS(关卡产出!Y:Y,关卡产出!$A:$A,玩家节奏1!$O$6,关卡产出!$B:$B,玩家节奏1!$O73)+_xlfn.MAXIFS(关卡产出!Y:Y,关卡产出!$A:$A,玩家节奏1!$P$6,关卡产出!$B:$B,玩家节奏1!$P73)</f>
        <v>838800</v>
      </c>
      <c r="S73" s="90">
        <f>_xlfn.MAXIFS(关卡产出!Z:Z,关卡产出!$A:$A,玩家节奏1!$N$6,关卡产出!$B:$B,玩家节奏1!$N73)+_xlfn.MAXIFS(关卡产出!Z:Z,关卡产出!$A:$A,玩家节奏1!$O$6,关卡产出!$B:$B,玩家节奏1!$O73)+_xlfn.MAXIFS(关卡产出!Z:Z,关卡产出!$A:$A,玩家节奏1!$P$6,关卡产出!$B:$B,玩家节奏1!$P73)</f>
        <v>6002</v>
      </c>
      <c r="T73" s="90">
        <f>_xlfn.MAXIFS(关卡产出!AA:AA,关卡产出!$A:$A,玩家节奏1!$N$6,关卡产出!$B:$B,玩家节奏1!$N73)+_xlfn.MAXIFS(关卡产出!AA:AA,关卡产出!$A:$A,玩家节奏1!$O$6,关卡产出!$B:$B,玩家节奏1!$O73)+_xlfn.MAXIFS(关卡产出!AA:AA,关卡产出!$A:$A,玩家节奏1!$P$6,关卡产出!$B:$B,玩家节奏1!$P73)</f>
        <v>3002</v>
      </c>
      <c r="U73" s="90">
        <f>_xlfn.MAXIFS(关卡产出!AB:AB,关卡产出!$A:$A,玩家节奏1!$N$6,关卡产出!$B:$B,玩家节奏1!$N73)+_xlfn.MAXIFS(关卡产出!AB:AB,关卡产出!$A:$A,玩家节奏1!$O$6,关卡产出!$B:$B,玩家节奏1!$O73)+_xlfn.MAXIFS(关卡产出!AB:AB,关卡产出!$A:$A,玩家节奏1!$P$6,关卡产出!$B:$B,玩家节奏1!$P73)</f>
        <v>1329</v>
      </c>
      <c r="V73" s="130">
        <f>_xlfn.MAXIFS(关卡产出!AC:AC,关卡产出!$A:$A,玩家节奏1!$N$6,关卡产出!$B:$B,玩家节奏1!$N73)+_xlfn.MAXIFS(关卡产出!AC:AC,关卡产出!$A:$A,玩家节奏1!$O$6,关卡产出!$B:$B,玩家节奏1!$O73)+_xlfn.MAXIFS(关卡产出!AC:AC,关卡产出!$A:$A,玩家节奏1!$P$6,关卡产出!$B:$B,玩家节奏1!$P73)</f>
        <v>336</v>
      </c>
      <c r="W73" s="126">
        <f>INDEX(关卡产出!C$8:C$207,MATCH(玩家节奏1!$N73,关卡产出!$B$8:$B$207,0))*$K73</f>
        <v>215</v>
      </c>
      <c r="X73" s="126">
        <f>INDEX(关卡产出!D$8:D$207,MATCH(玩家节奏1!$N73,关卡产出!$B$8:$B$207,0))*$K73</f>
        <v>105</v>
      </c>
      <c r="Y73" s="126">
        <f>INDEX(关卡产出!E$8:E$207,MATCH(玩家节奏1!$N73,关卡产出!$B$8:$B$207,0))*$K73</f>
        <v>50</v>
      </c>
      <c r="Z73" s="144">
        <f>INDEX(关卡产出!F$8:F$207,MATCH(玩家节奏1!$N73,关卡产出!$B$8:$B$207,0))*$K73</f>
        <v>3050</v>
      </c>
      <c r="AA73" s="126">
        <f>SUM(W$7:W73)</f>
        <v>8481</v>
      </c>
      <c r="AB73" s="126">
        <f>SUM(X$7:X73)</f>
        <v>4151</v>
      </c>
      <c r="AC73" s="126">
        <f>SUM(Y$7:Y73)</f>
        <v>1862</v>
      </c>
      <c r="AD73" s="126">
        <f>SUM(Z$7:Z73)</f>
        <v>132010</v>
      </c>
      <c r="AE73" s="126">
        <f>INDEX(图鉴!AQ:AQ,MATCH($N73,图鉴!$S:$S,0))*8</f>
        <v>160</v>
      </c>
      <c r="AF73" s="90">
        <f>INDEX(图鉴!AR:AR,MATCH($N73,图鉴!$S:$S,0))*8</f>
        <v>96</v>
      </c>
      <c r="AG73" s="90">
        <f>INDEX(图鉴!AS:AS,MATCH($N73,图鉴!$S:$S,0))*8</f>
        <v>32</v>
      </c>
      <c r="AH73" s="129">
        <f ca="1">INDEX(图鉴!AT:AT,MATCH($N73,图鉴!$S:$S,0))*8</f>
        <v>6960</v>
      </c>
      <c r="AI73" s="128">
        <f>SUM($AE$7:AE73)</f>
        <v>8880</v>
      </c>
      <c r="AJ73" s="90">
        <f>SUM(AF$7:AF73)</f>
        <v>4176</v>
      </c>
      <c r="AK73" s="90">
        <f>SUM(AG$7:AG73)</f>
        <v>1344</v>
      </c>
      <c r="AL73" s="130">
        <f ca="1">SUM(AH$7:AH73)</f>
        <v>318200</v>
      </c>
      <c r="AM73" s="133">
        <f>IF(M73=0,0,INDEX(关卡产出!$AU$11:$AU$15,MATCH(玩家节奏1!N73,关卡产出!$AW$11:$AW$15,1))*M73)</f>
        <v>8500</v>
      </c>
      <c r="AN73" s="126">
        <f>IF(L73=0,0,$L73*关卡产出!AU$21)</f>
        <v>1000</v>
      </c>
      <c r="AO73" s="90">
        <f>IF(M73=0,0,$L73*关卡产出!AV$21)</f>
        <v>50</v>
      </c>
      <c r="AP73" s="129">
        <f>IF(N73=0,0,$L73*关卡产出!AW$21)</f>
        <v>1</v>
      </c>
      <c r="AQ73" s="138">
        <f>SUM(AN$7:AN73)</f>
        <v>50000</v>
      </c>
      <c r="AR73" s="126">
        <f>SUM(AO$7:AO73)</f>
        <v>2500</v>
      </c>
      <c r="AS73" s="129">
        <f>SUM(AP$7:AP73)</f>
        <v>50</v>
      </c>
      <c r="AT73" s="128">
        <v>500</v>
      </c>
      <c r="AU73" s="129">
        <v>100</v>
      </c>
      <c r="AV73" s="128">
        <f>SUM(AT$7:AT73)</f>
        <v>33500</v>
      </c>
      <c r="AW73" s="90">
        <f>SUM(AU$7:AU73)</f>
        <v>6700</v>
      </c>
      <c r="AY73" s="128">
        <f t="shared" si="91"/>
        <v>9700</v>
      </c>
      <c r="AZ73" s="90">
        <f t="shared" si="92"/>
        <v>2500</v>
      </c>
      <c r="BA73" s="90">
        <f t="shared" si="93"/>
        <v>6700</v>
      </c>
      <c r="BB73" s="90">
        <f t="shared" ref="BB73:BB136" ca="1" si="143">CL72</f>
        <v>2650</v>
      </c>
      <c r="BC73" s="90">
        <f t="shared" ca="1" si="68"/>
        <v>21550</v>
      </c>
      <c r="BD73" s="90"/>
      <c r="BE73" s="90">
        <f t="shared" ca="1" si="94"/>
        <v>21550</v>
      </c>
      <c r="BF73" s="142">
        <f t="shared" ca="1" si="95"/>
        <v>0.45011600928074247</v>
      </c>
      <c r="BG73" s="142">
        <f t="shared" ca="1" si="96"/>
        <v>0.11600928074245939</v>
      </c>
      <c r="BH73" s="142">
        <f t="shared" ca="1" si="97"/>
        <v>0.3109048723897912</v>
      </c>
      <c r="BI73" s="142">
        <f t="shared" ca="1" si="98"/>
        <v>0.12296983758700696</v>
      </c>
      <c r="BJ73" s="143"/>
      <c r="BK73" s="128">
        <f ca="1">INDEX(商城宝箱!$L:$L,MATCH(BC73,商城宝箱!$N:$N,1))</f>
        <v>6</v>
      </c>
      <c r="BL73" s="90">
        <f ca="1">_xlfn.IFNA(INDEX(商城宝箱!T:T,MATCH(玩家节奏1!$BK73,商城宝箱!$L:$L,0)),0)+($BC73-INDEX(商城宝箱!$N:$N,MATCH(玩家节奏1!$BK73,商城宝箱!$L:$L,0)))/$BK$5*INDEX(商城宝箱!E$23:E$42,MATCH(玩家节奏1!$BK73+1,商城宝箱!$C$23:$C$42,0))</f>
        <v>53875</v>
      </c>
      <c r="BM73" s="90">
        <f ca="1">_xlfn.IFNA(INDEX(商城宝箱!U:U,MATCH(玩家节奏1!$BK73,商城宝箱!$L:$L,0)),0)+($BC73-INDEX(商城宝箱!$N:$N,MATCH(玩家节奏1!$BK73,商城宝箱!$L:$L,0)))/$BK$5*INDEX(商城宝箱!F$23:F$42,MATCH(玩家节奏1!$BK73+1,商城宝箱!$C$23:$C$42,0))</f>
        <v>18397.5</v>
      </c>
      <c r="BN73" s="90">
        <f ca="1">_xlfn.IFNA(INDEX(商城宝箱!V:V,MATCH(玩家节奏1!$BK73,商城宝箱!$L:$L,0)),0)+($BC73-INDEX(商城宝箱!$N:$N,MATCH(玩家节奏1!$BK73,商城宝箱!$L:$L,0)))/$BK$5*INDEX(商城宝箱!G$23:G$42,MATCH(玩家节奏1!$BK73+1,商城宝箱!$C$23:$C$42,0))</f>
        <v>10419.5</v>
      </c>
      <c r="BO73" s="90">
        <f ca="1">_xlfn.IFNA(INDEX(商城宝箱!W:W,MATCH(玩家节奏1!$BK73,商城宝箱!$L:$L,0)),0)+($BC73-INDEX(商城宝箱!$N:$N,MATCH(玩家节奏1!$BK73,商城宝箱!$L:$L,0)))/$BK$5*INDEX(商城宝箱!H$23:H$42,MATCH(玩家节奏1!$BK73+1,商城宝箱!$C$23:$C$42,0))</f>
        <v>1423.25</v>
      </c>
      <c r="BQ73" s="128">
        <f t="shared" si="82"/>
        <v>838800</v>
      </c>
      <c r="BR73" s="90">
        <f t="shared" si="83"/>
        <v>132010</v>
      </c>
      <c r="BS73" s="90">
        <f t="shared" ca="1" si="84"/>
        <v>318200</v>
      </c>
      <c r="BT73" s="90">
        <f t="shared" si="85"/>
        <v>8500</v>
      </c>
      <c r="BU73" s="90">
        <f t="shared" si="86"/>
        <v>50000</v>
      </c>
      <c r="BV73" s="90">
        <f t="shared" si="87"/>
        <v>33500</v>
      </c>
      <c r="BW73" s="90">
        <f t="shared" ca="1" si="99"/>
        <v>53875</v>
      </c>
      <c r="BX73" s="90">
        <f t="shared" ca="1" si="100"/>
        <v>1434885</v>
      </c>
      <c r="BY73" s="142">
        <f t="shared" ca="1" si="101"/>
        <v>0.58457646431595567</v>
      </c>
      <c r="BZ73" s="142">
        <f t="shared" ca="1" si="102"/>
        <v>9.2000404213578094E-2</v>
      </c>
      <c r="CA73" s="142">
        <f t="shared" ca="1" si="103"/>
        <v>0.2217599319806117</v>
      </c>
      <c r="CB73" s="142">
        <f t="shared" ca="1" si="104"/>
        <v>5.9238196789289732E-3</v>
      </c>
      <c r="CC73" s="142">
        <f t="shared" ca="1" si="105"/>
        <v>3.48459981113469E-2</v>
      </c>
      <c r="CD73" s="142">
        <f t="shared" ca="1" si="106"/>
        <v>2.3346818734602426E-2</v>
      </c>
      <c r="CE73" s="142">
        <f t="shared" ca="1" si="107"/>
        <v>3.7546562964976285E-2</v>
      </c>
      <c r="CG73" s="128">
        <f t="shared" si="108"/>
        <v>56</v>
      </c>
      <c r="CH73" s="90">
        <f ca="1">INDEX(角色升级!$A:$A,MATCH(玩家节奏1!$BX73,角色升级!$J:$J,1))</f>
        <v>362</v>
      </c>
      <c r="CI73" s="90">
        <f ca="1">INDEX(角色升级!$O:$O,MATCH(玩家节奏1!$BX73,角色升级!$J:$J,1))</f>
        <v>9520.2114149999979</v>
      </c>
      <c r="CJ73" s="90">
        <f>INDEX(关卡对比!$J:$J,MATCH(玩家节奏1!N73,关卡对比!$A:$A,0))</f>
        <v>14200</v>
      </c>
      <c r="CK73" s="147">
        <f t="shared" ca="1" si="109"/>
        <v>1.4915635148213779</v>
      </c>
      <c r="CL73" s="128">
        <f ca="1">INDEX(角色升级!$P:$P,MATCH(玩家节奏1!$CH73,角色升级!$A:$A,0))</f>
        <v>2650</v>
      </c>
      <c r="CM73" s="90">
        <f ca="1">INDEX(角色升级!Q:Q,MATCH(玩家节奏1!$CH73,角色升级!$A:$A,0))</f>
        <v>0.4</v>
      </c>
      <c r="CO73" s="128">
        <f t="shared" si="110"/>
        <v>6002</v>
      </c>
      <c r="CP73" s="90">
        <f t="shared" si="111"/>
        <v>8481</v>
      </c>
      <c r="CQ73" s="90">
        <f t="shared" si="112"/>
        <v>8880</v>
      </c>
      <c r="CR73" s="90">
        <f t="shared" ca="1" si="113"/>
        <v>18397.5</v>
      </c>
      <c r="CS73" s="90">
        <f t="shared" ca="1" si="114"/>
        <v>41760.5</v>
      </c>
      <c r="CT73" s="142">
        <f t="shared" ca="1" si="115"/>
        <v>0.14372433280252869</v>
      </c>
      <c r="CU73" s="142">
        <f t="shared" ca="1" si="116"/>
        <v>0.20308664886675207</v>
      </c>
      <c r="CV73" s="142">
        <f t="shared" ca="1" si="117"/>
        <v>0.21264113217035235</v>
      </c>
      <c r="CW73" s="142">
        <f t="shared" ca="1" si="118"/>
        <v>0.44054788616036683</v>
      </c>
      <c r="CY73" s="128">
        <f t="shared" si="119"/>
        <v>3002</v>
      </c>
      <c r="CZ73" s="90">
        <f t="shared" si="120"/>
        <v>4151</v>
      </c>
      <c r="DA73" s="90">
        <f t="shared" si="121"/>
        <v>4176</v>
      </c>
      <c r="DB73" s="90">
        <f t="shared" ca="1" si="122"/>
        <v>10419.5</v>
      </c>
      <c r="DC73" s="90">
        <f t="shared" ca="1" si="123"/>
        <v>21748.5</v>
      </c>
      <c r="DD73" s="142">
        <f t="shared" ca="1" si="124"/>
        <v>0.13803250798905672</v>
      </c>
      <c r="DE73" s="142">
        <f t="shared" ca="1" si="125"/>
        <v>0.19086373772903878</v>
      </c>
      <c r="DF73" s="142">
        <f t="shared" ca="1" si="126"/>
        <v>0.19201324229257191</v>
      </c>
      <c r="DG73" s="142">
        <f t="shared" ca="1" si="127"/>
        <v>0.47909051198933261</v>
      </c>
      <c r="DI73" s="128">
        <f t="shared" si="128"/>
        <v>1329</v>
      </c>
      <c r="DJ73" s="90">
        <f t="shared" si="129"/>
        <v>1862</v>
      </c>
      <c r="DK73" s="90">
        <f t="shared" si="130"/>
        <v>1344</v>
      </c>
      <c r="DL73" s="90">
        <f t="shared" ca="1" si="131"/>
        <v>1423.25</v>
      </c>
      <c r="DM73" s="90">
        <f t="shared" ca="1" si="132"/>
        <v>5958.25</v>
      </c>
      <c r="DN73" s="142">
        <f t="shared" ca="1" si="133"/>
        <v>0.22305207065833088</v>
      </c>
      <c r="DO73" s="142">
        <f t="shared" ca="1" si="134"/>
        <v>0.31250786724289853</v>
      </c>
      <c r="DP73" s="142">
        <f t="shared" ca="1" si="135"/>
        <v>0.22556958838585156</v>
      </c>
      <c r="DQ73" s="142">
        <f t="shared" ca="1" si="136"/>
        <v>0.23887047371291906</v>
      </c>
      <c r="DS73" s="128">
        <f t="shared" ca="1" si="137"/>
        <v>41760.5</v>
      </c>
      <c r="DT73" s="90">
        <f t="shared" ca="1" si="138"/>
        <v>21748.5</v>
      </c>
      <c r="DU73" s="90">
        <f t="shared" ca="1" si="139"/>
        <v>5958.25</v>
      </c>
      <c r="DV73" s="90">
        <f t="shared" si="140"/>
        <v>50</v>
      </c>
      <c r="DW73" s="90">
        <f ca="1">_xlfn.IFNA(INDEX(武器升级消耗!$H:$H,MATCH(玩家节奏1!DS73/玩家节奏1!DS$5,武器升级消耗!M:M,1)),0)</f>
        <v>20</v>
      </c>
      <c r="DX73" s="90">
        <f ca="1">_xlfn.IFNA(INDEX(武器升级消耗!$H:$H,MATCH(玩家节奏1!DT73/玩家节奏1!DT$5,武器升级消耗!N:N,1)),0)</f>
        <v>17</v>
      </c>
      <c r="DY73" s="90">
        <f ca="1">_xlfn.IFNA(INDEX(武器升级消耗!$H:$H,MATCH(玩家节奏1!DU73/玩家节奏1!DU$5,武器升级消耗!O:O,1)),0)</f>
        <v>11</v>
      </c>
      <c r="DZ73" s="90">
        <f>_xlfn.IFNA(INDEX(武器升级消耗!$H:$H,MATCH(玩家节奏1!DV73/玩家节奏1!DV$5,武器升级消耗!P:P,1)),0)</f>
        <v>7</v>
      </c>
      <c r="EA73" s="90">
        <f ca="1">_xlfn.IFNA(INDEX(武器升级消耗!$Q:$Q,MATCH(玩家节奏1!DW73,武器升级消耗!$H:$H,0))*2*EA$4,0)</f>
        <v>2.88</v>
      </c>
      <c r="EB73" s="90">
        <f ca="1">_xlfn.IFNA(INDEX(武器升级消耗!$Q:$Q,MATCH(玩家节奏1!DX73,武器升级消耗!$H:$H,0))*2*EB$4,0)</f>
        <v>3.1500000000000004</v>
      </c>
      <c r="EC73" s="90">
        <f ca="1">_xlfn.IFNA(INDEX(武器升级消耗!$Q:$Q,MATCH(玩家节奏1!DY73,武器升级消耗!$H:$H,0))*2*EC$4,1)</f>
        <v>3.3000000000000003</v>
      </c>
      <c r="ED73" s="90">
        <f>_xlfn.IFNA(INDEX(武器升级消耗!$Q:$Q,MATCH(玩家节奏1!DZ73,武器升级消耗!$H:$H,0))*2*ED$4,0)</f>
        <v>3.3000000000000003</v>
      </c>
      <c r="EF73" s="128"/>
      <c r="EG73" s="90"/>
      <c r="EH73" s="90"/>
      <c r="EI73" s="90"/>
      <c r="EJ73" s="90"/>
      <c r="EK73" s="90"/>
      <c r="EL73" s="90"/>
      <c r="EM73" s="90"/>
      <c r="EO73" s="128"/>
      <c r="EP73" s="90"/>
      <c r="EQ73" s="90"/>
      <c r="ER73" s="90"/>
      <c r="ES73" s="90"/>
      <c r="ET73" s="90"/>
      <c r="EU73" s="90"/>
      <c r="EV73" s="90"/>
      <c r="EW73" s="90"/>
      <c r="EX73" s="90"/>
      <c r="EY73" s="90"/>
      <c r="EZ73" s="90"/>
      <c r="FA73" s="90"/>
      <c r="FB73" s="90"/>
      <c r="FD73" s="90">
        <f t="shared" ca="1" si="141"/>
        <v>3.3000000000000003</v>
      </c>
      <c r="FE73" s="90"/>
      <c r="FF73" s="90"/>
      <c r="FG73" s="90">
        <f t="shared" ca="1" si="142"/>
        <v>0</v>
      </c>
    </row>
    <row r="74" spans="1:163" x14ac:dyDescent="0.25">
      <c r="A74" s="123">
        <v>68</v>
      </c>
      <c r="B74" s="123">
        <f>INDEX(关卡对比!$Y:$Y,MATCH(关卡对比!Z74,关卡对比!$AA:$AA,1))</f>
        <v>47</v>
      </c>
      <c r="C74" s="124">
        <f>INDEX(关卡对比!$Y:$Y,MATCH(关卡对比!Z74,关卡对比!$AB:$AB,1))</f>
        <v>39</v>
      </c>
      <c r="D74" s="125">
        <f t="shared" si="70"/>
        <v>431.5</v>
      </c>
      <c r="E74" s="125">
        <v>3</v>
      </c>
      <c r="F74" s="128">
        <v>5</v>
      </c>
      <c r="G74" s="90">
        <v>1</v>
      </c>
      <c r="H74" s="90">
        <v>1</v>
      </c>
      <c r="J74" s="128">
        <v>68</v>
      </c>
      <c r="K74" s="90">
        <f t="shared" si="88"/>
        <v>5</v>
      </c>
      <c r="L74" s="90">
        <f t="shared" si="89"/>
        <v>1</v>
      </c>
      <c r="M74" s="90">
        <f t="shared" si="90"/>
        <v>1</v>
      </c>
      <c r="N74" s="140">
        <f>INDEX($A:$A,MATCH(SUM($K$7:K74),$D:$D,1))</f>
        <v>57</v>
      </c>
      <c r="O74" s="140">
        <v>0</v>
      </c>
      <c r="P74" s="141">
        <v>0</v>
      </c>
      <c r="Q74" s="126">
        <f>_xlfn.MAXIFS(关卡产出!X:X,关卡产出!$A:$A,玩家节奏1!$N$6,关卡产出!$B:$B,玩家节奏1!$N74)+_xlfn.MAXIFS(关卡产出!X:X,关卡产出!$A:$A,玩家节奏1!$O$6,关卡产出!$B:$B,玩家节奏1!$O74)+_xlfn.MAXIFS(关卡产出!X:X,关卡产出!$A:$A,玩家节奏1!$P$6,关卡产出!$B:$B,玩家节奏1!$P74)</f>
        <v>9900</v>
      </c>
      <c r="R74" s="90">
        <f>_xlfn.MAXIFS(关卡产出!Y:Y,关卡产出!$A:$A,玩家节奏1!$N$6,关卡产出!$B:$B,玩家节奏1!$N74)+_xlfn.MAXIFS(关卡产出!Y:Y,关卡产出!$A:$A,玩家节奏1!$O$6,关卡产出!$B:$B,玩家节奏1!$O74)+_xlfn.MAXIFS(关卡产出!Y:Y,关卡产出!$A:$A,玩家节奏1!$P$6,关卡产出!$B:$B,玩家节奏1!$P74)</f>
        <v>870700</v>
      </c>
      <c r="S74" s="90">
        <f>_xlfn.MAXIFS(关卡产出!Z:Z,关卡产出!$A:$A,玩家节奏1!$N$6,关卡产出!$B:$B,玩家节奏1!$N74)+_xlfn.MAXIFS(关卡产出!Z:Z,关卡产出!$A:$A,玩家节奏1!$O$6,关卡产出!$B:$B,玩家节奏1!$O74)+_xlfn.MAXIFS(关卡产出!Z:Z,关卡产出!$A:$A,玩家节奏1!$P$6,关卡产出!$B:$B,玩家节奏1!$P74)</f>
        <v>6222</v>
      </c>
      <c r="T74" s="90">
        <f>_xlfn.MAXIFS(关卡产出!AA:AA,关卡产出!$A:$A,玩家节奏1!$N$6,关卡产出!$B:$B,玩家节奏1!$N74)+_xlfn.MAXIFS(关卡产出!AA:AA,关卡产出!$A:$A,玩家节奏1!$O$6,关卡产出!$B:$B,玩家节奏1!$O74)+_xlfn.MAXIFS(关卡产出!AA:AA,关卡产出!$A:$A,玩家节奏1!$P$6,关卡产出!$B:$B,玩家节奏1!$P74)</f>
        <v>3112</v>
      </c>
      <c r="U74" s="90">
        <f>_xlfn.MAXIFS(关卡产出!AB:AB,关卡产出!$A:$A,玩家节奏1!$N$6,关卡产出!$B:$B,玩家节奏1!$N74)+_xlfn.MAXIFS(关卡产出!AB:AB,关卡产出!$A:$A,玩家节奏1!$O$6,关卡产出!$B:$B,玩家节奏1!$O74)+_xlfn.MAXIFS(关卡产出!AB:AB,关卡产出!$A:$A,玩家节奏1!$P$6,关卡产出!$B:$B,玩家节奏1!$P74)</f>
        <v>1381</v>
      </c>
      <c r="V74" s="130">
        <f>_xlfn.MAXIFS(关卡产出!AC:AC,关卡产出!$A:$A,玩家节奏1!$N$6,关卡产出!$B:$B,玩家节奏1!$N74)+_xlfn.MAXIFS(关卡产出!AC:AC,关卡产出!$A:$A,玩家节奏1!$O$6,关卡产出!$B:$B,玩家节奏1!$O74)+_xlfn.MAXIFS(关卡产出!AC:AC,关卡产出!$A:$A,玩家节奏1!$P$6,关卡产出!$B:$B,玩家节奏1!$P74)</f>
        <v>342</v>
      </c>
      <c r="W74" s="126">
        <f>INDEX(关卡产出!C$8:C$207,MATCH(玩家节奏1!$N74,关卡产出!$B$8:$B$207,0))*$K74</f>
        <v>220</v>
      </c>
      <c r="X74" s="126">
        <f>INDEX(关卡产出!D$8:D$207,MATCH(玩家节奏1!$N74,关卡产出!$B$8:$B$207,0))*$K74</f>
        <v>110</v>
      </c>
      <c r="Y74" s="126">
        <f>INDEX(关卡产出!E$8:E$207,MATCH(玩家节奏1!$N74,关卡产出!$B$8:$B$207,0))*$K74</f>
        <v>50</v>
      </c>
      <c r="Z74" s="144">
        <f>INDEX(关卡产出!F$8:F$207,MATCH(玩家节奏1!$N74,关卡产出!$B$8:$B$207,0))*$K74</f>
        <v>3150</v>
      </c>
      <c r="AA74" s="126">
        <f>SUM(W$7:W74)</f>
        <v>8701</v>
      </c>
      <c r="AB74" s="126">
        <f>SUM(X$7:X74)</f>
        <v>4261</v>
      </c>
      <c r="AC74" s="126">
        <f>SUM(Y$7:Y74)</f>
        <v>1912</v>
      </c>
      <c r="AD74" s="126">
        <f>SUM(Z$7:Z74)</f>
        <v>135160</v>
      </c>
      <c r="AE74" s="126">
        <f>INDEX(图鉴!AQ:AQ,MATCH($N74,图鉴!$S:$S,0))*8</f>
        <v>160</v>
      </c>
      <c r="AF74" s="90">
        <f>INDEX(图鉴!AR:AR,MATCH($N74,图鉴!$S:$S,0))*8</f>
        <v>96</v>
      </c>
      <c r="AG74" s="90">
        <f>INDEX(图鉴!AS:AS,MATCH($N74,图鉴!$S:$S,0))*8</f>
        <v>32</v>
      </c>
      <c r="AH74" s="129">
        <f ca="1">INDEX(图鉴!AT:AT,MATCH($N74,图鉴!$S:$S,0))*8</f>
        <v>6960</v>
      </c>
      <c r="AI74" s="128">
        <f>SUM($AE$7:AE74)</f>
        <v>9040</v>
      </c>
      <c r="AJ74" s="90">
        <f>SUM(AF$7:AF74)</f>
        <v>4272</v>
      </c>
      <c r="AK74" s="90">
        <f>SUM(AG$7:AG74)</f>
        <v>1376</v>
      </c>
      <c r="AL74" s="130">
        <f ca="1">SUM(AH$7:AH74)</f>
        <v>325160</v>
      </c>
      <c r="AM74" s="133">
        <f>IF(M74=0,0,INDEX(关卡产出!$AU$11:$AU$15,MATCH(玩家节奏1!N74,关卡产出!$AW$11:$AW$15,1))*M74)</f>
        <v>8500</v>
      </c>
      <c r="AN74" s="126">
        <f>IF(L74=0,0,$L74*关卡产出!AU$21)</f>
        <v>1000</v>
      </c>
      <c r="AO74" s="90">
        <f>IF(M74=0,0,$L74*关卡产出!AV$21)</f>
        <v>50</v>
      </c>
      <c r="AP74" s="129">
        <f>IF(N74=0,0,$L74*关卡产出!AW$21)</f>
        <v>1</v>
      </c>
      <c r="AQ74" s="138">
        <f>SUM(AN$7:AN74)</f>
        <v>51000</v>
      </c>
      <c r="AR74" s="126">
        <f>SUM(AO$7:AO74)</f>
        <v>2550</v>
      </c>
      <c r="AS74" s="129">
        <f>SUM(AP$7:AP74)</f>
        <v>51</v>
      </c>
      <c r="AT74" s="128">
        <v>500</v>
      </c>
      <c r="AU74" s="129">
        <v>100</v>
      </c>
      <c r="AV74" s="128">
        <f>SUM(AT$7:AT74)</f>
        <v>34000</v>
      </c>
      <c r="AW74" s="90">
        <f>SUM(AU$7:AU74)</f>
        <v>6800</v>
      </c>
      <c r="AY74" s="128">
        <f t="shared" si="91"/>
        <v>9900</v>
      </c>
      <c r="AZ74" s="90">
        <f t="shared" si="92"/>
        <v>2550</v>
      </c>
      <c r="BA74" s="90">
        <f t="shared" si="93"/>
        <v>6800</v>
      </c>
      <c r="BB74" s="90">
        <f t="shared" ca="1" si="143"/>
        <v>2650</v>
      </c>
      <c r="BC74" s="90">
        <f t="shared" ca="1" si="68"/>
        <v>21900</v>
      </c>
      <c r="BD74" s="90"/>
      <c r="BE74" s="90">
        <f t="shared" ca="1" si="94"/>
        <v>21900</v>
      </c>
      <c r="BF74" s="142">
        <f t="shared" ca="1" si="95"/>
        <v>0.45205479452054792</v>
      </c>
      <c r="BG74" s="142">
        <f t="shared" ca="1" si="96"/>
        <v>0.11643835616438356</v>
      </c>
      <c r="BH74" s="142">
        <f t="shared" ca="1" si="97"/>
        <v>0.31050228310502281</v>
      </c>
      <c r="BI74" s="142">
        <f t="shared" ca="1" si="98"/>
        <v>0.12100456621004566</v>
      </c>
      <c r="BJ74" s="143"/>
      <c r="BK74" s="128">
        <f ca="1">INDEX(商城宝箱!$L:$L,MATCH(BC74,商城宝箱!$N:$N,1))</f>
        <v>6</v>
      </c>
      <c r="BL74" s="90">
        <f ca="1">_xlfn.IFNA(INDEX(商城宝箱!T:T,MATCH(玩家节奏1!$BK74,商城宝箱!$L:$L,0)),0)+($BC74-INDEX(商城宝箱!$N:$N,MATCH(玩家节奏1!$BK74,商城宝箱!$L:$L,0)))/$BK$5*INDEX(商城宝箱!E$23:E$42,MATCH(玩家节奏1!$BK74+1,商城宝箱!$C$23:$C$42,0))</f>
        <v>54750</v>
      </c>
      <c r="BM74" s="90">
        <f ca="1">_xlfn.IFNA(INDEX(商城宝箱!U:U,MATCH(玩家节奏1!$BK74,商城宝箱!$L:$L,0)),0)+($BC74-INDEX(商城宝箱!$N:$N,MATCH(玩家节奏1!$BK74,商城宝箱!$L:$L,0)))/$BK$5*INDEX(商城宝箱!F$23:F$42,MATCH(玩家节奏1!$BK74+1,商城宝箱!$C$23:$C$42,0))</f>
        <v>18852.5</v>
      </c>
      <c r="BN74" s="90">
        <f ca="1">_xlfn.IFNA(INDEX(商城宝箱!V:V,MATCH(玩家节奏1!$BK74,商城宝箱!$L:$L,0)),0)+($BC74-INDEX(商城宝箱!$N:$N,MATCH(玩家节奏1!$BK74,商城宝箱!$L:$L,0)))/$BK$5*INDEX(商城宝箱!G$23:G$42,MATCH(玩家节奏1!$BK74+1,商城宝箱!$C$23:$C$42,0))</f>
        <v>10717</v>
      </c>
      <c r="BO74" s="90">
        <f ca="1">_xlfn.IFNA(INDEX(商城宝箱!W:W,MATCH(玩家节奏1!$BK74,商城宝箱!$L:$L,0)),0)+($BC74-INDEX(商城宝箱!$N:$N,MATCH(玩家节奏1!$BK74,商城宝箱!$L:$L,0)))/$BK$5*INDEX(商城宝箱!H$23:H$42,MATCH(玩家节奏1!$BK74+1,商城宝箱!$C$23:$C$42,0))</f>
        <v>1463.5</v>
      </c>
      <c r="BQ74" s="128">
        <f t="shared" si="82"/>
        <v>870700</v>
      </c>
      <c r="BR74" s="90">
        <f t="shared" si="83"/>
        <v>135160</v>
      </c>
      <c r="BS74" s="90">
        <f t="shared" ca="1" si="84"/>
        <v>325160</v>
      </c>
      <c r="BT74" s="90">
        <f t="shared" si="85"/>
        <v>8500</v>
      </c>
      <c r="BU74" s="90">
        <f t="shared" si="86"/>
        <v>51000</v>
      </c>
      <c r="BV74" s="90">
        <f t="shared" si="87"/>
        <v>34000</v>
      </c>
      <c r="BW74" s="90">
        <f t="shared" ca="1" si="99"/>
        <v>54750</v>
      </c>
      <c r="BX74" s="90">
        <f t="shared" ca="1" si="100"/>
        <v>1479270</v>
      </c>
      <c r="BY74" s="142">
        <f t="shared" ca="1" si="101"/>
        <v>0.58860113434329098</v>
      </c>
      <c r="BZ74" s="142">
        <f t="shared" ca="1" si="102"/>
        <v>9.1369391659399571E-2</v>
      </c>
      <c r="CA74" s="142">
        <f t="shared" ca="1" si="103"/>
        <v>0.21981112305393877</v>
      </c>
      <c r="CB74" s="142">
        <f t="shared" ca="1" si="104"/>
        <v>5.746077457124122E-3</v>
      </c>
      <c r="CC74" s="142">
        <f t="shared" ca="1" si="105"/>
        <v>3.4476464742744732E-2</v>
      </c>
      <c r="CD74" s="142">
        <f t="shared" ca="1" si="106"/>
        <v>2.2984309828496488E-2</v>
      </c>
      <c r="CE74" s="142">
        <f t="shared" ca="1" si="107"/>
        <v>3.7011498915005374E-2</v>
      </c>
      <c r="CG74" s="128">
        <f t="shared" si="108"/>
        <v>57</v>
      </c>
      <c r="CH74" s="90">
        <f ca="1">INDEX(角色升级!$A:$A,MATCH(玩家节奏1!$BX74,角色升级!$J:$J,1))</f>
        <v>366</v>
      </c>
      <c r="CI74" s="90">
        <f ca="1">INDEX(角色升级!$O:$O,MATCH(玩家节奏1!$BX74,角色升级!$J:$J,1))</f>
        <v>10136.713275</v>
      </c>
      <c r="CJ74" s="90">
        <f>INDEX(关卡对比!$J:$J,MATCH(玩家节奏1!N74,关卡对比!$A:$A,0))</f>
        <v>14700</v>
      </c>
      <c r="CK74" s="147">
        <f t="shared" ca="1" si="109"/>
        <v>1.450174193666339</v>
      </c>
      <c r="CL74" s="128">
        <f ca="1">INDEX(角色升级!$P:$P,MATCH(玩家节奏1!$CH74,角色升级!$A:$A,0))</f>
        <v>2650</v>
      </c>
      <c r="CM74" s="90">
        <f ca="1">INDEX(角色升级!Q:Q,MATCH(玩家节奏1!$CH74,角色升级!$A:$A,0))</f>
        <v>0.4</v>
      </c>
      <c r="CO74" s="128">
        <f t="shared" si="110"/>
        <v>6222</v>
      </c>
      <c r="CP74" s="90">
        <f t="shared" si="111"/>
        <v>8701</v>
      </c>
      <c r="CQ74" s="90">
        <f t="shared" si="112"/>
        <v>9040</v>
      </c>
      <c r="CR74" s="90">
        <f t="shared" ca="1" si="113"/>
        <v>18852.5</v>
      </c>
      <c r="CS74" s="90">
        <f t="shared" ca="1" si="114"/>
        <v>42815.5</v>
      </c>
      <c r="CT74" s="142">
        <f t="shared" ca="1" si="115"/>
        <v>0.14532120376966284</v>
      </c>
      <c r="CU74" s="142">
        <f t="shared" ca="1" si="116"/>
        <v>0.20322079620698111</v>
      </c>
      <c r="CV74" s="142">
        <f t="shared" ca="1" si="117"/>
        <v>0.21113848956569467</v>
      </c>
      <c r="CW74" s="142">
        <f t="shared" ca="1" si="118"/>
        <v>0.44031951045766138</v>
      </c>
      <c r="CY74" s="128">
        <f t="shared" si="119"/>
        <v>3112</v>
      </c>
      <c r="CZ74" s="90">
        <f t="shared" si="120"/>
        <v>4261</v>
      </c>
      <c r="DA74" s="90">
        <f t="shared" si="121"/>
        <v>4272</v>
      </c>
      <c r="DB74" s="90">
        <f t="shared" ca="1" si="122"/>
        <v>10717</v>
      </c>
      <c r="DC74" s="90">
        <f t="shared" ca="1" si="123"/>
        <v>22362</v>
      </c>
      <c r="DD74" s="142">
        <f t="shared" ca="1" si="124"/>
        <v>0.13916465432430014</v>
      </c>
      <c r="DE74" s="142">
        <f t="shared" ca="1" si="125"/>
        <v>0.19054646274930687</v>
      </c>
      <c r="DF74" s="142">
        <f t="shared" ca="1" si="126"/>
        <v>0.19103836866112153</v>
      </c>
      <c r="DG74" s="142">
        <f t="shared" ca="1" si="127"/>
        <v>0.47925051426527143</v>
      </c>
      <c r="DI74" s="128">
        <f t="shared" si="128"/>
        <v>1381</v>
      </c>
      <c r="DJ74" s="90">
        <f t="shared" si="129"/>
        <v>1912</v>
      </c>
      <c r="DK74" s="90">
        <f t="shared" si="130"/>
        <v>1376</v>
      </c>
      <c r="DL74" s="90">
        <f t="shared" ca="1" si="131"/>
        <v>1463.5</v>
      </c>
      <c r="DM74" s="90">
        <f t="shared" ca="1" si="132"/>
        <v>6132.5</v>
      </c>
      <c r="DN74" s="142">
        <f t="shared" ca="1" si="133"/>
        <v>0.2251936404402772</v>
      </c>
      <c r="DO74" s="142">
        <f t="shared" ca="1" si="134"/>
        <v>0.31178149205055034</v>
      </c>
      <c r="DP74" s="142">
        <f t="shared" ca="1" si="135"/>
        <v>0.22437831227068894</v>
      </c>
      <c r="DQ74" s="142">
        <f t="shared" ca="1" si="136"/>
        <v>0.23864655523848349</v>
      </c>
      <c r="DS74" s="128">
        <f t="shared" ca="1" si="137"/>
        <v>42815.5</v>
      </c>
      <c r="DT74" s="90">
        <f t="shared" ca="1" si="138"/>
        <v>22362</v>
      </c>
      <c r="DU74" s="90">
        <f t="shared" ca="1" si="139"/>
        <v>6132.5</v>
      </c>
      <c r="DV74" s="90">
        <f t="shared" si="140"/>
        <v>51</v>
      </c>
      <c r="DW74" s="90">
        <f ca="1">_xlfn.IFNA(INDEX(武器升级消耗!$H:$H,MATCH(玩家节奏1!DS74/玩家节奏1!DS$5,武器升级消耗!M:M,1)),0)</f>
        <v>20</v>
      </c>
      <c r="DX74" s="90">
        <f ca="1">_xlfn.IFNA(INDEX(武器升级消耗!$H:$H,MATCH(玩家节奏1!DT74/玩家节奏1!DT$5,武器升级消耗!N:N,1)),0)</f>
        <v>17</v>
      </c>
      <c r="DY74" s="90">
        <f ca="1">_xlfn.IFNA(INDEX(武器升级消耗!$H:$H,MATCH(玩家节奏1!DU74/玩家节奏1!DU$5,武器升级消耗!O:O,1)),0)</f>
        <v>11</v>
      </c>
      <c r="DZ74" s="90">
        <f>_xlfn.IFNA(INDEX(武器升级消耗!$H:$H,MATCH(玩家节奏1!DV74/玩家节奏1!DV$5,武器升级消耗!P:P,1)),0)</f>
        <v>8</v>
      </c>
      <c r="EA74" s="90">
        <f ca="1">_xlfn.IFNA(INDEX(武器升级消耗!$Q:$Q,MATCH(玩家节奏1!DW74,武器升级消耗!$H:$H,0))*2*EA$4,0)</f>
        <v>2.88</v>
      </c>
      <c r="EB74" s="90">
        <f ca="1">_xlfn.IFNA(INDEX(武器升级消耗!$Q:$Q,MATCH(玩家节奏1!DX74,武器升级消耗!$H:$H,0))*2*EB$4,0)</f>
        <v>3.1500000000000004</v>
      </c>
      <c r="EC74" s="90">
        <f ca="1">_xlfn.IFNA(INDEX(武器升级消耗!$Q:$Q,MATCH(玩家节奏1!DY74,武器升级消耗!$H:$H,0))*2*EC$4,1)</f>
        <v>3.3000000000000003</v>
      </c>
      <c r="ED74" s="90">
        <f>_xlfn.IFNA(INDEX(武器升级消耗!$Q:$Q,MATCH(玩家节奏1!DZ74,武器升级消耗!$H:$H,0))*2*ED$4,0)</f>
        <v>3.5999999999999996</v>
      </c>
      <c r="EF74" s="128"/>
      <c r="EG74" s="90"/>
      <c r="EH74" s="90"/>
      <c r="EI74" s="90"/>
      <c r="EJ74" s="90"/>
      <c r="EK74" s="90"/>
      <c r="EL74" s="90"/>
      <c r="EM74" s="90"/>
      <c r="EO74" s="128"/>
      <c r="EP74" s="90"/>
      <c r="EQ74" s="90"/>
      <c r="ER74" s="90"/>
      <c r="ES74" s="90"/>
      <c r="ET74" s="90"/>
      <c r="EU74" s="90"/>
      <c r="EV74" s="90"/>
      <c r="EW74" s="90"/>
      <c r="EX74" s="90"/>
      <c r="EY74" s="90"/>
      <c r="EZ74" s="90"/>
      <c r="FA74" s="90"/>
      <c r="FB74" s="90"/>
      <c r="FD74" s="90">
        <f t="shared" ca="1" si="141"/>
        <v>3.3000000000000003</v>
      </c>
      <c r="FE74" s="90"/>
      <c r="FF74" s="90"/>
      <c r="FG74" s="90">
        <f t="shared" ca="1" si="142"/>
        <v>0</v>
      </c>
    </row>
    <row r="75" spans="1:163" x14ac:dyDescent="0.25">
      <c r="A75" s="123">
        <v>69</v>
      </c>
      <c r="B75" s="123">
        <f>INDEX(关卡对比!$Y:$Y,MATCH(关卡对比!Z75,关卡对比!$AA:$AA,1))</f>
        <v>48</v>
      </c>
      <c r="C75" s="124">
        <f>INDEX(关卡对比!$Y:$Y,MATCH(关卡对比!Z75,关卡对比!$AB:$AB,1))</f>
        <v>39</v>
      </c>
      <c r="D75" s="125">
        <f t="shared" si="70"/>
        <v>437.5</v>
      </c>
      <c r="E75" s="125">
        <v>3</v>
      </c>
      <c r="F75" s="128">
        <v>5</v>
      </c>
      <c r="G75" s="90">
        <v>1</v>
      </c>
      <c r="H75" s="90">
        <v>1</v>
      </c>
      <c r="J75" s="128">
        <v>69</v>
      </c>
      <c r="K75" s="90">
        <f t="shared" si="88"/>
        <v>5</v>
      </c>
      <c r="L75" s="90">
        <f t="shared" si="89"/>
        <v>1</v>
      </c>
      <c r="M75" s="90">
        <f t="shared" si="90"/>
        <v>1</v>
      </c>
      <c r="N75" s="140">
        <f>INDEX($A:$A,MATCH(SUM($K$7:K75),$D:$D,1))</f>
        <v>58</v>
      </c>
      <c r="O75" s="140">
        <v>0</v>
      </c>
      <c r="P75" s="141">
        <v>0</v>
      </c>
      <c r="Q75" s="126">
        <f>_xlfn.MAXIFS(关卡产出!X:X,关卡产出!$A:$A,玩家节奏1!$N$6,关卡产出!$B:$B,玩家节奏1!$N75)+_xlfn.MAXIFS(关卡产出!X:X,关卡产出!$A:$A,玩家节奏1!$O$6,关卡产出!$B:$B,玩家节奏1!$O75)+_xlfn.MAXIFS(关卡产出!X:X,关卡产出!$A:$A,玩家节奏1!$P$6,关卡产出!$B:$B,玩家节奏1!$P75)</f>
        <v>10100</v>
      </c>
      <c r="R75" s="90">
        <f>_xlfn.MAXIFS(关卡产出!Y:Y,关卡产出!$A:$A,玩家节奏1!$N$6,关卡产出!$B:$B,玩家节奏1!$N75)+_xlfn.MAXIFS(关卡产出!Y:Y,关卡产出!$A:$A,玩家节奏1!$O$6,关卡产出!$B:$B,玩家节奏1!$O75)+_xlfn.MAXIFS(关卡产出!Y:Y,关卡产出!$A:$A,玩家节奏1!$P$6,关卡产出!$B:$B,玩家节奏1!$P75)</f>
        <v>903200</v>
      </c>
      <c r="S75" s="90">
        <f>_xlfn.MAXIFS(关卡产出!Z:Z,关卡产出!$A:$A,玩家节奏1!$N$6,关卡产出!$B:$B,玩家节奏1!$N75)+_xlfn.MAXIFS(关卡产出!Z:Z,关卡产出!$A:$A,玩家节奏1!$O$6,关卡产出!$B:$B,玩家节奏1!$O75)+_xlfn.MAXIFS(关卡产出!Z:Z,关卡产出!$A:$A,玩家节奏1!$P$6,关卡产出!$B:$B,玩家节奏1!$P75)</f>
        <v>6446</v>
      </c>
      <c r="T75" s="90">
        <f>_xlfn.MAXIFS(关卡产出!AA:AA,关卡产出!$A:$A,玩家节奏1!$N$6,关卡产出!$B:$B,玩家节奏1!$N75)+_xlfn.MAXIFS(关卡产出!AA:AA,关卡产出!$A:$A,玩家节奏1!$O$6,关卡产出!$B:$B,玩家节奏1!$O75)+_xlfn.MAXIFS(关卡产出!AA:AA,关卡产出!$A:$A,玩家节奏1!$P$6,关卡产出!$B:$B,玩家节奏1!$P75)</f>
        <v>3224</v>
      </c>
      <c r="U75" s="90">
        <f>_xlfn.MAXIFS(关卡产出!AB:AB,关卡产出!$A:$A,玩家节奏1!$N$6,关卡产出!$B:$B,玩家节奏1!$N75)+_xlfn.MAXIFS(关卡产出!AB:AB,关卡产出!$A:$A,玩家节奏1!$O$6,关卡产出!$B:$B,玩家节奏1!$O75)+_xlfn.MAXIFS(关卡产出!AB:AB,关卡产出!$A:$A,玩家节奏1!$P$6,关卡产出!$B:$B,玩家节奏1!$P75)</f>
        <v>1434</v>
      </c>
      <c r="V75" s="130">
        <f>_xlfn.MAXIFS(关卡产出!AC:AC,关卡产出!$A:$A,玩家节奏1!$N$6,关卡产出!$B:$B,玩家节奏1!$N75)+_xlfn.MAXIFS(关卡产出!AC:AC,关卡产出!$A:$A,玩家节奏1!$O$6,关卡产出!$B:$B,玩家节奏1!$O75)+_xlfn.MAXIFS(关卡产出!AC:AC,关卡产出!$A:$A,玩家节奏1!$P$6,关卡产出!$B:$B,玩家节奏1!$P75)</f>
        <v>348</v>
      </c>
      <c r="W75" s="126">
        <f>INDEX(关卡产出!C$8:C$207,MATCH(玩家节奏1!$N75,关卡产出!$B$8:$B$207,0))*$K75</f>
        <v>225</v>
      </c>
      <c r="X75" s="126">
        <f>INDEX(关卡产出!D$8:D$207,MATCH(玩家节奏1!$N75,关卡产出!$B$8:$B$207,0))*$K75</f>
        <v>110</v>
      </c>
      <c r="Y75" s="126">
        <f>INDEX(关卡产出!E$8:E$207,MATCH(玩家节奏1!$N75,关卡产出!$B$8:$B$207,0))*$K75</f>
        <v>55</v>
      </c>
      <c r="Z75" s="144">
        <f>INDEX(关卡产出!F$8:F$207,MATCH(玩家节奏1!$N75,关卡产出!$B$8:$B$207,0))*$K75</f>
        <v>3150</v>
      </c>
      <c r="AA75" s="126">
        <f>SUM(W$7:W75)</f>
        <v>8926</v>
      </c>
      <c r="AB75" s="126">
        <f>SUM(X$7:X75)</f>
        <v>4371</v>
      </c>
      <c r="AC75" s="126">
        <f>SUM(Y$7:Y75)</f>
        <v>1967</v>
      </c>
      <c r="AD75" s="126">
        <f>SUM(Z$7:Z75)</f>
        <v>138310</v>
      </c>
      <c r="AE75" s="126">
        <f>INDEX(图鉴!AQ:AQ,MATCH($N75,图鉴!$S:$S,0))*8</f>
        <v>160</v>
      </c>
      <c r="AF75" s="90">
        <f>INDEX(图鉴!AR:AR,MATCH($N75,图鉴!$S:$S,0))*8</f>
        <v>96</v>
      </c>
      <c r="AG75" s="90">
        <f>INDEX(图鉴!AS:AS,MATCH($N75,图鉴!$S:$S,0))*8</f>
        <v>32</v>
      </c>
      <c r="AH75" s="129">
        <f ca="1">INDEX(图鉴!AT:AT,MATCH($N75,图鉴!$S:$S,0))*8</f>
        <v>6960</v>
      </c>
      <c r="AI75" s="128">
        <f>SUM($AE$7:AE75)</f>
        <v>9200</v>
      </c>
      <c r="AJ75" s="90">
        <f>SUM(AF$7:AF75)</f>
        <v>4368</v>
      </c>
      <c r="AK75" s="90">
        <f>SUM(AG$7:AG75)</f>
        <v>1408</v>
      </c>
      <c r="AL75" s="130">
        <f ca="1">SUM(AH$7:AH75)</f>
        <v>332120</v>
      </c>
      <c r="AM75" s="133">
        <f>IF(M75=0,0,INDEX(关卡产出!$AU$11:$AU$15,MATCH(玩家节奏1!N75,关卡产出!$AW$11:$AW$15,1))*M75)</f>
        <v>8500</v>
      </c>
      <c r="AN75" s="126">
        <f>IF(L75=0,0,$L75*关卡产出!AU$21)</f>
        <v>1000</v>
      </c>
      <c r="AO75" s="90">
        <f>IF(M75=0,0,$L75*关卡产出!AV$21)</f>
        <v>50</v>
      </c>
      <c r="AP75" s="129">
        <f>IF(N75=0,0,$L75*关卡产出!AW$21)</f>
        <v>1</v>
      </c>
      <c r="AQ75" s="138">
        <f>SUM(AN$7:AN75)</f>
        <v>52000</v>
      </c>
      <c r="AR75" s="126">
        <f>SUM(AO$7:AO75)</f>
        <v>2600</v>
      </c>
      <c r="AS75" s="129">
        <f>SUM(AP$7:AP75)</f>
        <v>52</v>
      </c>
      <c r="AT75" s="128">
        <v>500</v>
      </c>
      <c r="AU75" s="129">
        <v>100</v>
      </c>
      <c r="AV75" s="128">
        <f>SUM(AT$7:AT75)</f>
        <v>34500</v>
      </c>
      <c r="AW75" s="90">
        <f>SUM(AU$7:AU75)</f>
        <v>6900</v>
      </c>
      <c r="AY75" s="128">
        <f t="shared" si="91"/>
        <v>10100</v>
      </c>
      <c r="AZ75" s="90">
        <f t="shared" si="92"/>
        <v>2600</v>
      </c>
      <c r="BA75" s="90">
        <f t="shared" si="93"/>
        <v>6900</v>
      </c>
      <c r="BB75" s="90">
        <f t="shared" ca="1" si="143"/>
        <v>2650</v>
      </c>
      <c r="BC75" s="90">
        <f t="shared" ref="BC75:BC138" ca="1" si="144">BE75-BD75</f>
        <v>22250</v>
      </c>
      <c r="BD75" s="90"/>
      <c r="BE75" s="90">
        <f t="shared" ca="1" si="94"/>
        <v>22250</v>
      </c>
      <c r="BF75" s="142">
        <f t="shared" ca="1" si="95"/>
        <v>0.45393258426966293</v>
      </c>
      <c r="BG75" s="142">
        <f t="shared" ca="1" si="96"/>
        <v>0.11685393258426967</v>
      </c>
      <c r="BH75" s="142">
        <f t="shared" ca="1" si="97"/>
        <v>0.31011235955056182</v>
      </c>
      <c r="BI75" s="142">
        <f t="shared" ca="1" si="98"/>
        <v>0.11910112359550562</v>
      </c>
      <c r="BJ75" s="143"/>
      <c r="BK75" s="128">
        <f ca="1">INDEX(商城宝箱!$L:$L,MATCH(BC75,商城宝箱!$N:$N,1))</f>
        <v>6</v>
      </c>
      <c r="BL75" s="90">
        <f ca="1">_xlfn.IFNA(INDEX(商城宝箱!T:T,MATCH(玩家节奏1!$BK75,商城宝箱!$L:$L,0)),0)+($BC75-INDEX(商城宝箱!$N:$N,MATCH(玩家节奏1!$BK75,商城宝箱!$L:$L,0)))/$BK$5*INDEX(商城宝箱!E$23:E$42,MATCH(玩家节奏1!$BK75+1,商城宝箱!$C$23:$C$42,0))</f>
        <v>55625</v>
      </c>
      <c r="BM75" s="90">
        <f ca="1">_xlfn.IFNA(INDEX(商城宝箱!U:U,MATCH(玩家节奏1!$BK75,商城宝箱!$L:$L,0)),0)+($BC75-INDEX(商城宝箱!$N:$N,MATCH(玩家节奏1!$BK75,商城宝箱!$L:$L,0)))/$BK$5*INDEX(商城宝箱!F$23:F$42,MATCH(玩家节奏1!$BK75+1,商城宝箱!$C$23:$C$42,0))</f>
        <v>19307.5</v>
      </c>
      <c r="BN75" s="90">
        <f ca="1">_xlfn.IFNA(INDEX(商城宝箱!V:V,MATCH(玩家节奏1!$BK75,商城宝箱!$L:$L,0)),0)+($BC75-INDEX(商城宝箱!$N:$N,MATCH(玩家节奏1!$BK75,商城宝箱!$L:$L,0)))/$BK$5*INDEX(商城宝箱!G$23:G$42,MATCH(玩家节奏1!$BK75+1,商城宝箱!$C$23:$C$42,0))</f>
        <v>11014.5</v>
      </c>
      <c r="BO75" s="90">
        <f ca="1">_xlfn.IFNA(INDEX(商城宝箱!W:W,MATCH(玩家节奏1!$BK75,商城宝箱!$L:$L,0)),0)+($BC75-INDEX(商城宝箱!$N:$N,MATCH(玩家节奏1!$BK75,商城宝箱!$L:$L,0)))/$BK$5*INDEX(商城宝箱!H$23:H$42,MATCH(玩家节奏1!$BK75+1,商城宝箱!$C$23:$C$42,0))</f>
        <v>1503.75</v>
      </c>
      <c r="BQ75" s="128">
        <f t="shared" si="82"/>
        <v>903200</v>
      </c>
      <c r="BR75" s="90">
        <f t="shared" si="83"/>
        <v>138310</v>
      </c>
      <c r="BS75" s="90">
        <f t="shared" ca="1" si="84"/>
        <v>332120</v>
      </c>
      <c r="BT75" s="90">
        <f t="shared" si="85"/>
        <v>8500</v>
      </c>
      <c r="BU75" s="90">
        <f t="shared" si="86"/>
        <v>52000</v>
      </c>
      <c r="BV75" s="90">
        <f t="shared" si="87"/>
        <v>34500</v>
      </c>
      <c r="BW75" s="90">
        <f t="shared" ca="1" si="99"/>
        <v>55625</v>
      </c>
      <c r="BX75" s="90">
        <f t="shared" ca="1" si="100"/>
        <v>1524255</v>
      </c>
      <c r="BY75" s="142">
        <f t="shared" ca="1" si="101"/>
        <v>0.59255177119314029</v>
      </c>
      <c r="BZ75" s="142">
        <f t="shared" ca="1" si="102"/>
        <v>9.073941040049073E-2</v>
      </c>
      <c r="CA75" s="142">
        <f t="shared" ca="1" si="103"/>
        <v>0.21789005120534294</v>
      </c>
      <c r="CB75" s="142">
        <f t="shared" ca="1" si="104"/>
        <v>5.5764947466139195E-3</v>
      </c>
      <c r="CC75" s="142">
        <f t="shared" ca="1" si="105"/>
        <v>3.4115026685167506E-2</v>
      </c>
      <c r="CD75" s="142">
        <f t="shared" ca="1" si="106"/>
        <v>2.2634008089197674E-2</v>
      </c>
      <c r="CE75" s="142">
        <f t="shared" ca="1" si="107"/>
        <v>3.6493237680046975E-2</v>
      </c>
      <c r="CG75" s="128">
        <f t="shared" si="108"/>
        <v>58</v>
      </c>
      <c r="CH75" s="90">
        <f ca="1">INDEX(角色升级!$A:$A,MATCH(玩家节奏1!$BX75,角色升级!$J:$J,1))</f>
        <v>369</v>
      </c>
      <c r="CI75" s="90">
        <f ca="1">INDEX(角色升级!$O:$O,MATCH(玩家节奏1!$BX75,角色升级!$J:$J,1))</f>
        <v>10599.089669999999</v>
      </c>
      <c r="CJ75" s="90">
        <f>INDEX(关卡对比!$J:$J,MATCH(玩家节奏1!N75,关卡对比!$A:$A,0))</f>
        <v>15200</v>
      </c>
      <c r="CK75" s="147">
        <f t="shared" ca="1" si="109"/>
        <v>1.434085423677711</v>
      </c>
      <c r="CL75" s="128">
        <f ca="1">INDEX(角色升级!$P:$P,MATCH(玩家节奏1!$CH75,角色升级!$A:$A,0))</f>
        <v>2650</v>
      </c>
      <c r="CM75" s="90">
        <f ca="1">INDEX(角色升级!Q:Q,MATCH(玩家节奏1!$CH75,角色升级!$A:$A,0))</f>
        <v>0.4</v>
      </c>
      <c r="CO75" s="128">
        <f t="shared" si="110"/>
        <v>6446</v>
      </c>
      <c r="CP75" s="90">
        <f t="shared" si="111"/>
        <v>8926</v>
      </c>
      <c r="CQ75" s="90">
        <f t="shared" si="112"/>
        <v>9200</v>
      </c>
      <c r="CR75" s="90">
        <f t="shared" ca="1" si="113"/>
        <v>19307.5</v>
      </c>
      <c r="CS75" s="90">
        <f t="shared" ca="1" si="114"/>
        <v>43879.5</v>
      </c>
      <c r="CT75" s="142">
        <f t="shared" ca="1" si="115"/>
        <v>0.14690231201358264</v>
      </c>
      <c r="CU75" s="142">
        <f t="shared" ca="1" si="116"/>
        <v>0.20342073177679781</v>
      </c>
      <c r="CV75" s="142">
        <f t="shared" ca="1" si="117"/>
        <v>0.20966510557321758</v>
      </c>
      <c r="CW75" s="142">
        <f t="shared" ca="1" si="118"/>
        <v>0.44001185063640197</v>
      </c>
      <c r="CY75" s="128">
        <f t="shared" si="119"/>
        <v>3224</v>
      </c>
      <c r="CZ75" s="90">
        <f t="shared" si="120"/>
        <v>4371</v>
      </c>
      <c r="DA75" s="90">
        <f t="shared" si="121"/>
        <v>4368</v>
      </c>
      <c r="DB75" s="90">
        <f t="shared" ca="1" si="122"/>
        <v>11014.5</v>
      </c>
      <c r="DC75" s="90">
        <f t="shared" ca="1" si="123"/>
        <v>22977.5</v>
      </c>
      <c r="DD75" s="142">
        <f t="shared" ca="1" si="124"/>
        <v>0.14031117397454032</v>
      </c>
      <c r="DE75" s="142">
        <f t="shared" ca="1" si="125"/>
        <v>0.19022957240779023</v>
      </c>
      <c r="DF75" s="142">
        <f t="shared" ca="1" si="126"/>
        <v>0.1900990099009901</v>
      </c>
      <c r="DG75" s="142">
        <f t="shared" ca="1" si="127"/>
        <v>0.47936024371667935</v>
      </c>
      <c r="DI75" s="128">
        <f t="shared" si="128"/>
        <v>1434</v>
      </c>
      <c r="DJ75" s="90">
        <f t="shared" si="129"/>
        <v>1967</v>
      </c>
      <c r="DK75" s="90">
        <f t="shared" si="130"/>
        <v>1408</v>
      </c>
      <c r="DL75" s="90">
        <f t="shared" ca="1" si="131"/>
        <v>1503.75</v>
      </c>
      <c r="DM75" s="90">
        <f t="shared" ca="1" si="132"/>
        <v>6312.75</v>
      </c>
      <c r="DN75" s="142">
        <f t="shared" ca="1" si="133"/>
        <v>0.22715932042295356</v>
      </c>
      <c r="DO75" s="142">
        <f t="shared" ca="1" si="134"/>
        <v>0.31159162013385611</v>
      </c>
      <c r="DP75" s="142">
        <f t="shared" ca="1" si="135"/>
        <v>0.22304067165656805</v>
      </c>
      <c r="DQ75" s="142">
        <f t="shared" ca="1" si="136"/>
        <v>0.23820838778662232</v>
      </c>
      <c r="DS75" s="128">
        <f t="shared" ca="1" si="137"/>
        <v>43879.5</v>
      </c>
      <c r="DT75" s="90">
        <f t="shared" ca="1" si="138"/>
        <v>22977.5</v>
      </c>
      <c r="DU75" s="90">
        <f t="shared" ca="1" si="139"/>
        <v>6312.75</v>
      </c>
      <c r="DV75" s="90">
        <f t="shared" si="140"/>
        <v>52</v>
      </c>
      <c r="DW75" s="90">
        <f ca="1">_xlfn.IFNA(INDEX(武器升级消耗!$H:$H,MATCH(玩家节奏1!DS75/玩家节奏1!DS$5,武器升级消耗!M:M,1)),0)</f>
        <v>20</v>
      </c>
      <c r="DX75" s="90">
        <f ca="1">_xlfn.IFNA(INDEX(武器升级消耗!$H:$H,MATCH(玩家节奏1!DT75/玩家节奏1!DT$5,武器升级消耗!N:N,1)),0)</f>
        <v>17</v>
      </c>
      <c r="DY75" s="90">
        <f ca="1">_xlfn.IFNA(INDEX(武器升级消耗!$H:$H,MATCH(玩家节奏1!DU75/玩家节奏1!DU$5,武器升级消耗!O:O,1)),0)</f>
        <v>11</v>
      </c>
      <c r="DZ75" s="90">
        <f>_xlfn.IFNA(INDEX(武器升级消耗!$H:$H,MATCH(玩家节奏1!DV75/玩家节奏1!DV$5,武器升级消耗!P:P,1)),0)</f>
        <v>8</v>
      </c>
      <c r="EA75" s="90">
        <f ca="1">_xlfn.IFNA(INDEX(武器升级消耗!$Q:$Q,MATCH(玩家节奏1!DW75,武器升级消耗!$H:$H,0))*2*EA$4,0)</f>
        <v>2.88</v>
      </c>
      <c r="EB75" s="90">
        <f ca="1">_xlfn.IFNA(INDEX(武器升级消耗!$Q:$Q,MATCH(玩家节奏1!DX75,武器升级消耗!$H:$H,0))*2*EB$4,0)</f>
        <v>3.1500000000000004</v>
      </c>
      <c r="EC75" s="90">
        <f ca="1">_xlfn.IFNA(INDEX(武器升级消耗!$Q:$Q,MATCH(玩家节奏1!DY75,武器升级消耗!$H:$H,0))*2*EC$4,1)</f>
        <v>3.3000000000000003</v>
      </c>
      <c r="ED75" s="90">
        <f>_xlfn.IFNA(INDEX(武器升级消耗!$Q:$Q,MATCH(玩家节奏1!DZ75,武器升级消耗!$H:$H,0))*2*ED$4,0)</f>
        <v>3.5999999999999996</v>
      </c>
      <c r="EF75" s="128"/>
      <c r="EG75" s="90"/>
      <c r="EH75" s="90"/>
      <c r="EI75" s="90"/>
      <c r="EJ75" s="90"/>
      <c r="EK75" s="90"/>
      <c r="EL75" s="90"/>
      <c r="EM75" s="90"/>
      <c r="EO75" s="128"/>
      <c r="EP75" s="90"/>
      <c r="EQ75" s="90"/>
      <c r="ER75" s="90"/>
      <c r="ES75" s="90"/>
      <c r="ET75" s="90"/>
      <c r="EU75" s="90"/>
      <c r="EV75" s="90"/>
      <c r="EW75" s="90"/>
      <c r="EX75" s="90"/>
      <c r="EY75" s="90"/>
      <c r="EZ75" s="90"/>
      <c r="FA75" s="90"/>
      <c r="FB75" s="90"/>
      <c r="FD75" s="90">
        <f t="shared" ca="1" si="141"/>
        <v>3.3000000000000003</v>
      </c>
      <c r="FE75" s="90"/>
      <c r="FF75" s="90"/>
      <c r="FG75" s="90">
        <f t="shared" ca="1" si="142"/>
        <v>0</v>
      </c>
    </row>
    <row r="76" spans="1:163" x14ac:dyDescent="0.25">
      <c r="A76" s="123">
        <v>70</v>
      </c>
      <c r="B76" s="123">
        <f>INDEX(关卡对比!$Y:$Y,MATCH(关卡对比!Z76,关卡对比!$AA:$AA,1))</f>
        <v>48</v>
      </c>
      <c r="C76" s="124">
        <f>INDEX(关卡对比!$Y:$Y,MATCH(关卡对比!Z76,关卡对比!$AB:$AB,1))</f>
        <v>40</v>
      </c>
      <c r="D76" s="125">
        <f t="shared" si="70"/>
        <v>443.5</v>
      </c>
      <c r="E76" s="125">
        <v>3</v>
      </c>
      <c r="F76" s="128">
        <v>5</v>
      </c>
      <c r="G76" s="90">
        <v>1</v>
      </c>
      <c r="H76" s="90">
        <v>1</v>
      </c>
      <c r="J76" s="128">
        <v>70</v>
      </c>
      <c r="K76" s="90">
        <f t="shared" si="88"/>
        <v>5</v>
      </c>
      <c r="L76" s="90">
        <f t="shared" si="89"/>
        <v>1</v>
      </c>
      <c r="M76" s="90">
        <f t="shared" si="90"/>
        <v>1</v>
      </c>
      <c r="N76" s="140">
        <f>INDEX($A:$A,MATCH(SUM($K$7:K76),$D:$D,1))</f>
        <v>58</v>
      </c>
      <c r="O76" s="140">
        <v>0</v>
      </c>
      <c r="P76" s="141">
        <v>0</v>
      </c>
      <c r="Q76" s="126">
        <f>_xlfn.MAXIFS(关卡产出!X:X,关卡产出!$A:$A,玩家节奏1!$N$6,关卡产出!$B:$B,玩家节奏1!$N76)+_xlfn.MAXIFS(关卡产出!X:X,关卡产出!$A:$A,玩家节奏1!$O$6,关卡产出!$B:$B,玩家节奏1!$O76)+_xlfn.MAXIFS(关卡产出!X:X,关卡产出!$A:$A,玩家节奏1!$P$6,关卡产出!$B:$B,玩家节奏1!$P76)</f>
        <v>10100</v>
      </c>
      <c r="R76" s="90">
        <f>_xlfn.MAXIFS(关卡产出!Y:Y,关卡产出!$A:$A,玩家节奏1!$N$6,关卡产出!$B:$B,玩家节奏1!$N76)+_xlfn.MAXIFS(关卡产出!Y:Y,关卡产出!$A:$A,玩家节奏1!$O$6,关卡产出!$B:$B,玩家节奏1!$O76)+_xlfn.MAXIFS(关卡产出!Y:Y,关卡产出!$A:$A,玩家节奏1!$P$6,关卡产出!$B:$B,玩家节奏1!$P76)</f>
        <v>903200</v>
      </c>
      <c r="S76" s="90">
        <f>_xlfn.MAXIFS(关卡产出!Z:Z,关卡产出!$A:$A,玩家节奏1!$N$6,关卡产出!$B:$B,玩家节奏1!$N76)+_xlfn.MAXIFS(关卡产出!Z:Z,关卡产出!$A:$A,玩家节奏1!$O$6,关卡产出!$B:$B,玩家节奏1!$O76)+_xlfn.MAXIFS(关卡产出!Z:Z,关卡产出!$A:$A,玩家节奏1!$P$6,关卡产出!$B:$B,玩家节奏1!$P76)</f>
        <v>6446</v>
      </c>
      <c r="T76" s="90">
        <f>_xlfn.MAXIFS(关卡产出!AA:AA,关卡产出!$A:$A,玩家节奏1!$N$6,关卡产出!$B:$B,玩家节奏1!$N76)+_xlfn.MAXIFS(关卡产出!AA:AA,关卡产出!$A:$A,玩家节奏1!$O$6,关卡产出!$B:$B,玩家节奏1!$O76)+_xlfn.MAXIFS(关卡产出!AA:AA,关卡产出!$A:$A,玩家节奏1!$P$6,关卡产出!$B:$B,玩家节奏1!$P76)</f>
        <v>3224</v>
      </c>
      <c r="U76" s="90">
        <f>_xlfn.MAXIFS(关卡产出!AB:AB,关卡产出!$A:$A,玩家节奏1!$N$6,关卡产出!$B:$B,玩家节奏1!$N76)+_xlfn.MAXIFS(关卡产出!AB:AB,关卡产出!$A:$A,玩家节奏1!$O$6,关卡产出!$B:$B,玩家节奏1!$O76)+_xlfn.MAXIFS(关卡产出!AB:AB,关卡产出!$A:$A,玩家节奏1!$P$6,关卡产出!$B:$B,玩家节奏1!$P76)</f>
        <v>1434</v>
      </c>
      <c r="V76" s="130">
        <f>_xlfn.MAXIFS(关卡产出!AC:AC,关卡产出!$A:$A,玩家节奏1!$N$6,关卡产出!$B:$B,玩家节奏1!$N76)+_xlfn.MAXIFS(关卡产出!AC:AC,关卡产出!$A:$A,玩家节奏1!$O$6,关卡产出!$B:$B,玩家节奏1!$O76)+_xlfn.MAXIFS(关卡产出!AC:AC,关卡产出!$A:$A,玩家节奏1!$P$6,关卡产出!$B:$B,玩家节奏1!$P76)</f>
        <v>348</v>
      </c>
      <c r="W76" s="126">
        <f>INDEX(关卡产出!C$8:C$207,MATCH(玩家节奏1!$N76,关卡产出!$B$8:$B$207,0))*$K76</f>
        <v>225</v>
      </c>
      <c r="X76" s="126">
        <f>INDEX(关卡产出!D$8:D$207,MATCH(玩家节奏1!$N76,关卡产出!$B$8:$B$207,0))*$K76</f>
        <v>110</v>
      </c>
      <c r="Y76" s="126">
        <f>INDEX(关卡产出!E$8:E$207,MATCH(玩家节奏1!$N76,关卡产出!$B$8:$B$207,0))*$K76</f>
        <v>55</v>
      </c>
      <c r="Z76" s="144">
        <f>INDEX(关卡产出!F$8:F$207,MATCH(玩家节奏1!$N76,关卡产出!$B$8:$B$207,0))*$K76</f>
        <v>3150</v>
      </c>
      <c r="AA76" s="126">
        <f>SUM(W$7:W76)</f>
        <v>9151</v>
      </c>
      <c r="AB76" s="126">
        <f>SUM(X$7:X76)</f>
        <v>4481</v>
      </c>
      <c r="AC76" s="126">
        <f>SUM(Y$7:Y76)</f>
        <v>2022</v>
      </c>
      <c r="AD76" s="126">
        <f>SUM(Z$7:Z76)</f>
        <v>141460</v>
      </c>
      <c r="AE76" s="126">
        <f>INDEX(图鉴!AQ:AQ,MATCH($N76,图鉴!$S:$S,0))*8</f>
        <v>160</v>
      </c>
      <c r="AF76" s="90">
        <f>INDEX(图鉴!AR:AR,MATCH($N76,图鉴!$S:$S,0))*8</f>
        <v>96</v>
      </c>
      <c r="AG76" s="90">
        <f>INDEX(图鉴!AS:AS,MATCH($N76,图鉴!$S:$S,0))*8</f>
        <v>32</v>
      </c>
      <c r="AH76" s="129">
        <f ca="1">INDEX(图鉴!AT:AT,MATCH($N76,图鉴!$S:$S,0))*8</f>
        <v>6960</v>
      </c>
      <c r="AI76" s="128">
        <f>SUM($AE$7:AE76)</f>
        <v>9360</v>
      </c>
      <c r="AJ76" s="90">
        <f>SUM(AF$7:AF76)</f>
        <v>4464</v>
      </c>
      <c r="AK76" s="90">
        <f>SUM(AG$7:AG76)</f>
        <v>1440</v>
      </c>
      <c r="AL76" s="130">
        <f ca="1">SUM(AH$7:AH76)</f>
        <v>339080</v>
      </c>
      <c r="AM76" s="133">
        <f>IF(M76=0,0,INDEX(关卡产出!$AU$11:$AU$15,MATCH(玩家节奏1!N76,关卡产出!$AW$11:$AW$15,1))*M76)</f>
        <v>8500</v>
      </c>
      <c r="AN76" s="126">
        <f>IF(L76=0,0,$L76*关卡产出!AU$21)</f>
        <v>1000</v>
      </c>
      <c r="AO76" s="90">
        <f>IF(M76=0,0,$L76*关卡产出!AV$21)</f>
        <v>50</v>
      </c>
      <c r="AP76" s="129">
        <f>IF(N76=0,0,$L76*关卡产出!AW$21)</f>
        <v>1</v>
      </c>
      <c r="AQ76" s="138">
        <f>SUM(AN$7:AN76)</f>
        <v>53000</v>
      </c>
      <c r="AR76" s="126">
        <f>SUM(AO$7:AO76)</f>
        <v>2650</v>
      </c>
      <c r="AS76" s="129">
        <f>SUM(AP$7:AP76)</f>
        <v>53</v>
      </c>
      <c r="AT76" s="128">
        <v>500</v>
      </c>
      <c r="AU76" s="129">
        <v>100</v>
      </c>
      <c r="AV76" s="128">
        <f>SUM(AT$7:AT76)</f>
        <v>35000</v>
      </c>
      <c r="AW76" s="90">
        <f>SUM(AU$7:AU76)</f>
        <v>7000</v>
      </c>
      <c r="AY76" s="128">
        <f t="shared" si="91"/>
        <v>10100</v>
      </c>
      <c r="AZ76" s="90">
        <f t="shared" si="92"/>
        <v>2650</v>
      </c>
      <c r="BA76" s="90">
        <f t="shared" si="93"/>
        <v>7000</v>
      </c>
      <c r="BB76" s="90">
        <f t="shared" ca="1" si="143"/>
        <v>2650</v>
      </c>
      <c r="BC76" s="90">
        <f t="shared" ca="1" si="144"/>
        <v>22400</v>
      </c>
      <c r="BD76" s="90"/>
      <c r="BE76" s="90">
        <f t="shared" ca="1" si="94"/>
        <v>22400</v>
      </c>
      <c r="BF76" s="142">
        <f t="shared" ca="1" si="95"/>
        <v>0.45089285714285715</v>
      </c>
      <c r="BG76" s="142">
        <f t="shared" ca="1" si="96"/>
        <v>0.11830357142857142</v>
      </c>
      <c r="BH76" s="142">
        <f t="shared" ca="1" si="97"/>
        <v>0.3125</v>
      </c>
      <c r="BI76" s="142">
        <f t="shared" ca="1" si="98"/>
        <v>0.11830357142857142</v>
      </c>
      <c r="BJ76" s="143"/>
      <c r="BK76" s="128">
        <f ca="1">INDEX(商城宝箱!$L:$L,MATCH(BC76,商城宝箱!$N:$N,1))</f>
        <v>6</v>
      </c>
      <c r="BL76" s="90">
        <f ca="1">_xlfn.IFNA(INDEX(商城宝箱!T:T,MATCH(玩家节奏1!$BK76,商城宝箱!$L:$L,0)),0)+($BC76-INDEX(商城宝箱!$N:$N,MATCH(玩家节奏1!$BK76,商城宝箱!$L:$L,0)))/$BK$5*INDEX(商城宝箱!E$23:E$42,MATCH(玩家节奏1!$BK76+1,商城宝箱!$C$23:$C$42,0))</f>
        <v>56000</v>
      </c>
      <c r="BM76" s="90">
        <f ca="1">_xlfn.IFNA(INDEX(商城宝箱!U:U,MATCH(玩家节奏1!$BK76,商城宝箱!$L:$L,0)),0)+($BC76-INDEX(商城宝箱!$N:$N,MATCH(玩家节奏1!$BK76,商城宝箱!$L:$L,0)))/$BK$5*INDEX(商城宝箱!F$23:F$42,MATCH(玩家节奏1!$BK76+1,商城宝箱!$C$23:$C$42,0))</f>
        <v>19502.5</v>
      </c>
      <c r="BN76" s="90">
        <f ca="1">_xlfn.IFNA(INDEX(商城宝箱!V:V,MATCH(玩家节奏1!$BK76,商城宝箱!$L:$L,0)),0)+($BC76-INDEX(商城宝箱!$N:$N,MATCH(玩家节奏1!$BK76,商城宝箱!$L:$L,0)))/$BK$5*INDEX(商城宝箱!G$23:G$42,MATCH(玩家节奏1!$BK76+1,商城宝箱!$C$23:$C$42,0))</f>
        <v>11142</v>
      </c>
      <c r="BO76" s="90">
        <f ca="1">_xlfn.IFNA(INDEX(商城宝箱!W:W,MATCH(玩家节奏1!$BK76,商城宝箱!$L:$L,0)),0)+($BC76-INDEX(商城宝箱!$N:$N,MATCH(玩家节奏1!$BK76,商城宝箱!$L:$L,0)))/$BK$5*INDEX(商城宝箱!H$23:H$42,MATCH(玩家节奏1!$BK76+1,商城宝箱!$C$23:$C$42,0))</f>
        <v>1521</v>
      </c>
      <c r="BQ76" s="128">
        <f t="shared" si="82"/>
        <v>903200</v>
      </c>
      <c r="BR76" s="90">
        <f t="shared" si="83"/>
        <v>141460</v>
      </c>
      <c r="BS76" s="90">
        <f t="shared" ca="1" si="84"/>
        <v>339080</v>
      </c>
      <c r="BT76" s="90">
        <f t="shared" si="85"/>
        <v>8500</v>
      </c>
      <c r="BU76" s="90">
        <f t="shared" si="86"/>
        <v>53000</v>
      </c>
      <c r="BV76" s="90">
        <f t="shared" si="87"/>
        <v>35000</v>
      </c>
      <c r="BW76" s="90">
        <f t="shared" ca="1" si="99"/>
        <v>56000</v>
      </c>
      <c r="BX76" s="90">
        <f t="shared" ca="1" si="100"/>
        <v>1536240</v>
      </c>
      <c r="BY76" s="142">
        <f t="shared" ca="1" si="101"/>
        <v>0.58792896943185957</v>
      </c>
      <c r="BZ76" s="142">
        <f t="shared" ca="1" si="102"/>
        <v>9.2081966359423006E-2</v>
      </c>
      <c r="CA76" s="142">
        <f t="shared" ca="1" si="103"/>
        <v>0.22072072072072071</v>
      </c>
      <c r="CB76" s="142">
        <f t="shared" ca="1" si="104"/>
        <v>5.5329896370358801E-3</v>
      </c>
      <c r="CC76" s="142">
        <f t="shared" ca="1" si="105"/>
        <v>3.4499817736811954E-2</v>
      </c>
      <c r="CD76" s="142">
        <f t="shared" ca="1" si="106"/>
        <v>2.2782898505441858E-2</v>
      </c>
      <c r="CE76" s="142">
        <f t="shared" ca="1" si="107"/>
        <v>3.645263760870697E-2</v>
      </c>
      <c r="CG76" s="128">
        <f t="shared" si="108"/>
        <v>58</v>
      </c>
      <c r="CH76" s="90">
        <f ca="1">INDEX(角色升级!$A:$A,MATCH(玩家节奏1!$BX76,角色升级!$J:$J,1))</f>
        <v>370</v>
      </c>
      <c r="CI76" s="90">
        <f ca="1">INDEX(角色升级!$O:$O,MATCH(玩家节奏1!$BX76,角色升级!$J:$J,1))</f>
        <v>10753.215134999999</v>
      </c>
      <c r="CJ76" s="90">
        <f>INDEX(关卡对比!$J:$J,MATCH(玩家节奏1!N76,关卡对比!$A:$A,0))</f>
        <v>15200</v>
      </c>
      <c r="CK76" s="147">
        <f t="shared" ca="1" si="109"/>
        <v>1.4135307263151862</v>
      </c>
      <c r="CL76" s="128">
        <f ca="1">INDEX(角色升级!$P:$P,MATCH(玩家节奏1!$CH76,角色升级!$A:$A,0))</f>
        <v>3200</v>
      </c>
      <c r="CM76" s="90">
        <f ca="1">INDEX(角色升级!Q:Q,MATCH(玩家节奏1!$CH76,角色升级!$A:$A,0))</f>
        <v>0.4</v>
      </c>
      <c r="CO76" s="128">
        <f t="shared" si="110"/>
        <v>6446</v>
      </c>
      <c r="CP76" s="90">
        <f t="shared" si="111"/>
        <v>9151</v>
      </c>
      <c r="CQ76" s="90">
        <f t="shared" si="112"/>
        <v>9360</v>
      </c>
      <c r="CR76" s="90">
        <f t="shared" ca="1" si="113"/>
        <v>19502.5</v>
      </c>
      <c r="CS76" s="90">
        <f t="shared" ca="1" si="114"/>
        <v>44459.5</v>
      </c>
      <c r="CT76" s="142">
        <f t="shared" ca="1" si="115"/>
        <v>0.14498588603110696</v>
      </c>
      <c r="CU76" s="142">
        <f t="shared" ca="1" si="116"/>
        <v>0.2058277758409339</v>
      </c>
      <c r="CV76" s="142">
        <f t="shared" ca="1" si="117"/>
        <v>0.21052868340849537</v>
      </c>
      <c r="CW76" s="142">
        <f t="shared" ca="1" si="118"/>
        <v>0.43865765471946377</v>
      </c>
      <c r="CY76" s="128">
        <f t="shared" si="119"/>
        <v>3224</v>
      </c>
      <c r="CZ76" s="90">
        <f t="shared" si="120"/>
        <v>4481</v>
      </c>
      <c r="DA76" s="90">
        <f t="shared" si="121"/>
        <v>4464</v>
      </c>
      <c r="DB76" s="90">
        <f t="shared" ca="1" si="122"/>
        <v>11142</v>
      </c>
      <c r="DC76" s="90">
        <f t="shared" ca="1" si="123"/>
        <v>23311</v>
      </c>
      <c r="DD76" s="142">
        <f t="shared" ca="1" si="124"/>
        <v>0.13830380507056755</v>
      </c>
      <c r="DE76" s="142">
        <f t="shared" ca="1" si="125"/>
        <v>0.19222684569516538</v>
      </c>
      <c r="DF76" s="142">
        <f t="shared" ca="1" si="126"/>
        <v>0.19149757625155506</v>
      </c>
      <c r="DG76" s="142">
        <f t="shared" ca="1" si="127"/>
        <v>0.47797177298271204</v>
      </c>
      <c r="DI76" s="128">
        <f t="shared" si="128"/>
        <v>1434</v>
      </c>
      <c r="DJ76" s="90">
        <f t="shared" si="129"/>
        <v>2022</v>
      </c>
      <c r="DK76" s="90">
        <f t="shared" si="130"/>
        <v>1440</v>
      </c>
      <c r="DL76" s="90">
        <f t="shared" ca="1" si="131"/>
        <v>1521</v>
      </c>
      <c r="DM76" s="90">
        <f t="shared" ca="1" si="132"/>
        <v>6417</v>
      </c>
      <c r="DN76" s="142">
        <f t="shared" ca="1" si="133"/>
        <v>0.22346891070593736</v>
      </c>
      <c r="DO76" s="142">
        <f t="shared" ca="1" si="134"/>
        <v>0.31510051425899954</v>
      </c>
      <c r="DP76" s="142">
        <f t="shared" ca="1" si="135"/>
        <v>0.2244039270687237</v>
      </c>
      <c r="DQ76" s="142">
        <f t="shared" ca="1" si="136"/>
        <v>0.2370266479663394</v>
      </c>
      <c r="DS76" s="128">
        <f t="shared" ca="1" si="137"/>
        <v>44459.5</v>
      </c>
      <c r="DT76" s="90">
        <f t="shared" ca="1" si="138"/>
        <v>23311</v>
      </c>
      <c r="DU76" s="90">
        <f t="shared" ca="1" si="139"/>
        <v>6417</v>
      </c>
      <c r="DV76" s="90">
        <f t="shared" si="140"/>
        <v>53</v>
      </c>
      <c r="DW76" s="90">
        <f ca="1">_xlfn.IFNA(INDEX(武器升级消耗!$H:$H,MATCH(玩家节奏1!DS76/玩家节奏1!DS$5,武器升级消耗!M:M,1)),0)</f>
        <v>20</v>
      </c>
      <c r="DX76" s="90">
        <f ca="1">_xlfn.IFNA(INDEX(武器升级消耗!$H:$H,MATCH(玩家节奏1!DT76/玩家节奏1!DT$5,武器升级消耗!N:N,1)),0)</f>
        <v>17</v>
      </c>
      <c r="DY76" s="90">
        <f ca="1">_xlfn.IFNA(INDEX(武器升级消耗!$H:$H,MATCH(玩家节奏1!DU76/玩家节奏1!DU$5,武器升级消耗!O:O,1)),0)</f>
        <v>11</v>
      </c>
      <c r="DZ76" s="90">
        <f>_xlfn.IFNA(INDEX(武器升级消耗!$H:$H,MATCH(玩家节奏1!DV76/玩家节奏1!DV$5,武器升级消耗!P:P,1)),0)</f>
        <v>8</v>
      </c>
      <c r="EA76" s="90">
        <f ca="1">_xlfn.IFNA(INDEX(武器升级消耗!$Q:$Q,MATCH(玩家节奏1!DW76,武器升级消耗!$H:$H,0))*2*EA$4,0)</f>
        <v>2.88</v>
      </c>
      <c r="EB76" s="90">
        <f ca="1">_xlfn.IFNA(INDEX(武器升级消耗!$Q:$Q,MATCH(玩家节奏1!DX76,武器升级消耗!$H:$H,0))*2*EB$4,0)</f>
        <v>3.1500000000000004</v>
      </c>
      <c r="EC76" s="90">
        <f ca="1">_xlfn.IFNA(INDEX(武器升级消耗!$Q:$Q,MATCH(玩家节奏1!DY76,武器升级消耗!$H:$H,0))*2*EC$4,1)</f>
        <v>3.3000000000000003</v>
      </c>
      <c r="ED76" s="90">
        <f>_xlfn.IFNA(INDEX(武器升级消耗!$Q:$Q,MATCH(玩家节奏1!DZ76,武器升级消耗!$H:$H,0))*2*ED$4,0)</f>
        <v>3.5999999999999996</v>
      </c>
      <c r="EF76" s="128"/>
      <c r="EG76" s="90"/>
      <c r="EH76" s="90"/>
      <c r="EI76" s="90"/>
      <c r="EJ76" s="90"/>
      <c r="EK76" s="90"/>
      <c r="EL76" s="90"/>
      <c r="EM76" s="90"/>
      <c r="EO76" s="128"/>
      <c r="EP76" s="90"/>
      <c r="EQ76" s="90"/>
      <c r="ER76" s="90"/>
      <c r="ES76" s="90"/>
      <c r="ET76" s="90"/>
      <c r="EU76" s="90"/>
      <c r="EV76" s="90"/>
      <c r="EW76" s="90"/>
      <c r="EX76" s="90"/>
      <c r="EY76" s="90"/>
      <c r="EZ76" s="90"/>
      <c r="FA76" s="90"/>
      <c r="FB76" s="90"/>
      <c r="FD76" s="90">
        <f t="shared" ca="1" si="141"/>
        <v>3.3000000000000003</v>
      </c>
      <c r="FE76" s="90"/>
      <c r="FF76" s="90"/>
      <c r="FG76" s="90">
        <f t="shared" ca="1" si="142"/>
        <v>0</v>
      </c>
    </row>
    <row r="77" spans="1:163" x14ac:dyDescent="0.25">
      <c r="A77" s="123">
        <v>71</v>
      </c>
      <c r="B77" s="123">
        <f>INDEX(关卡对比!$Y:$Y,MATCH(关卡对比!Z77,关卡对比!$AA:$AA,1))</f>
        <v>49</v>
      </c>
      <c r="C77" s="124">
        <f>INDEX(关卡对比!$Y:$Y,MATCH(关卡对比!Z77,关卡对比!$AB:$AB,1))</f>
        <v>40</v>
      </c>
      <c r="D77" s="125">
        <f t="shared" si="70"/>
        <v>449.5</v>
      </c>
      <c r="E77" s="125">
        <v>3</v>
      </c>
      <c r="F77" s="128">
        <v>5</v>
      </c>
      <c r="G77" s="90">
        <v>1</v>
      </c>
      <c r="H77" s="90">
        <v>1</v>
      </c>
      <c r="J77" s="128">
        <v>71</v>
      </c>
      <c r="K77" s="90">
        <f t="shared" si="88"/>
        <v>5</v>
      </c>
      <c r="L77" s="90">
        <f t="shared" si="89"/>
        <v>1</v>
      </c>
      <c r="M77" s="90">
        <f t="shared" si="90"/>
        <v>1</v>
      </c>
      <c r="N77" s="140">
        <f>INDEX($A:$A,MATCH(SUM($K$7:K77),$D:$D,1))</f>
        <v>59</v>
      </c>
      <c r="O77" s="140">
        <v>0</v>
      </c>
      <c r="P77" s="141">
        <v>0</v>
      </c>
      <c r="Q77" s="126">
        <f>_xlfn.MAXIFS(关卡产出!X:X,关卡产出!$A:$A,玩家节奏1!$N$6,关卡产出!$B:$B,玩家节奏1!$N77)+_xlfn.MAXIFS(关卡产出!X:X,关卡产出!$A:$A,玩家节奏1!$O$6,关卡产出!$B:$B,玩家节奏1!$O77)+_xlfn.MAXIFS(关卡产出!X:X,关卡产出!$A:$A,玩家节奏1!$P$6,关卡产出!$B:$B,玩家节奏1!$P77)</f>
        <v>10300</v>
      </c>
      <c r="R77" s="90">
        <f>_xlfn.MAXIFS(关卡产出!Y:Y,关卡产出!$A:$A,玩家节奏1!$N$6,关卡产出!$B:$B,玩家节奏1!$N77)+_xlfn.MAXIFS(关卡产出!Y:Y,关卡产出!$A:$A,玩家节奏1!$O$6,关卡产出!$B:$B,玩家节奏1!$O77)+_xlfn.MAXIFS(关卡产出!Y:Y,关卡产出!$A:$A,玩家节奏1!$P$6,关卡产出!$B:$B,玩家节奏1!$P77)</f>
        <v>936300</v>
      </c>
      <c r="S77" s="90">
        <f>_xlfn.MAXIFS(关卡产出!Z:Z,关卡产出!$A:$A,玩家节奏1!$N$6,关卡产出!$B:$B,玩家节奏1!$N77)+_xlfn.MAXIFS(关卡产出!Z:Z,关卡产出!$A:$A,玩家节奏1!$O$6,关卡产出!$B:$B,玩家节奏1!$O77)+_xlfn.MAXIFS(关卡产出!Z:Z,关卡产出!$A:$A,玩家节奏1!$P$6,关卡产出!$B:$B,玩家节奏1!$P77)</f>
        <v>6674</v>
      </c>
      <c r="T77" s="90">
        <f>_xlfn.MAXIFS(关卡产出!AA:AA,关卡产出!$A:$A,玩家节奏1!$N$6,关卡产出!$B:$B,玩家节奏1!$N77)+_xlfn.MAXIFS(关卡产出!AA:AA,关卡产出!$A:$A,玩家节奏1!$O$6,关卡产出!$B:$B,玩家节奏1!$O77)+_xlfn.MAXIFS(关卡产出!AA:AA,关卡产出!$A:$A,玩家节奏1!$P$6,关卡产出!$B:$B,玩家节奏1!$P77)</f>
        <v>3338</v>
      </c>
      <c r="U77" s="90">
        <f>_xlfn.MAXIFS(关卡产出!AB:AB,关卡产出!$A:$A,玩家节奏1!$N$6,关卡产出!$B:$B,玩家节奏1!$N77)+_xlfn.MAXIFS(关卡产出!AB:AB,关卡产出!$A:$A,玩家节奏1!$O$6,关卡产出!$B:$B,玩家节奏1!$O77)+_xlfn.MAXIFS(关卡产出!AB:AB,关卡产出!$A:$A,玩家节奏1!$P$6,关卡产出!$B:$B,玩家节奏1!$P77)</f>
        <v>1488</v>
      </c>
      <c r="V77" s="130">
        <f>_xlfn.MAXIFS(关卡产出!AC:AC,关卡产出!$A:$A,玩家节奏1!$N$6,关卡产出!$B:$B,玩家节奏1!$N77)+_xlfn.MAXIFS(关卡产出!AC:AC,关卡产出!$A:$A,玩家节奏1!$O$6,关卡产出!$B:$B,玩家节奏1!$O77)+_xlfn.MAXIFS(关卡产出!AC:AC,关卡产出!$A:$A,玩家节奏1!$P$6,关卡产出!$B:$B,玩家节奏1!$P77)</f>
        <v>354</v>
      </c>
      <c r="W77" s="126">
        <f>INDEX(关卡产出!C$8:C$207,MATCH(玩家节奏1!$N77,关卡产出!$B$8:$B$207,0))*$K77</f>
        <v>230</v>
      </c>
      <c r="X77" s="126">
        <f>INDEX(关卡产出!D$8:D$207,MATCH(玩家节奏1!$N77,关卡产出!$B$8:$B$207,0))*$K77</f>
        <v>115</v>
      </c>
      <c r="Y77" s="126">
        <f>INDEX(关卡产出!E$8:E$207,MATCH(玩家节奏1!$N77,关卡产出!$B$8:$B$207,0))*$K77</f>
        <v>55</v>
      </c>
      <c r="Z77" s="144">
        <f>INDEX(关卡产出!F$8:F$207,MATCH(玩家节奏1!$N77,关卡产出!$B$8:$B$207,0))*$K77</f>
        <v>3250</v>
      </c>
      <c r="AA77" s="126">
        <f>SUM(W$7:W77)</f>
        <v>9381</v>
      </c>
      <c r="AB77" s="126">
        <f>SUM(X$7:X77)</f>
        <v>4596</v>
      </c>
      <c r="AC77" s="126">
        <f>SUM(Y$7:Y77)</f>
        <v>2077</v>
      </c>
      <c r="AD77" s="126">
        <f>SUM(Z$7:Z77)</f>
        <v>144710</v>
      </c>
      <c r="AE77" s="126">
        <f>INDEX(图鉴!AQ:AQ,MATCH($N77,图鉴!$S:$S,0))*8</f>
        <v>160</v>
      </c>
      <c r="AF77" s="90">
        <f>INDEX(图鉴!AR:AR,MATCH($N77,图鉴!$S:$S,0))*8</f>
        <v>96</v>
      </c>
      <c r="AG77" s="90">
        <f>INDEX(图鉴!AS:AS,MATCH($N77,图鉴!$S:$S,0))*8</f>
        <v>32</v>
      </c>
      <c r="AH77" s="129">
        <f ca="1">INDEX(图鉴!AT:AT,MATCH($N77,图鉴!$S:$S,0))*8</f>
        <v>6960</v>
      </c>
      <c r="AI77" s="128">
        <f>SUM($AE$7:AE77)</f>
        <v>9520</v>
      </c>
      <c r="AJ77" s="90">
        <f>SUM(AF$7:AF77)</f>
        <v>4560</v>
      </c>
      <c r="AK77" s="90">
        <f>SUM(AG$7:AG77)</f>
        <v>1472</v>
      </c>
      <c r="AL77" s="130">
        <f ca="1">SUM(AH$7:AH77)</f>
        <v>346040</v>
      </c>
      <c r="AM77" s="133">
        <f>IF(M77=0,0,INDEX(关卡产出!$AU$11:$AU$15,MATCH(玩家节奏1!N77,关卡产出!$AW$11:$AW$15,1))*M77)</f>
        <v>8500</v>
      </c>
      <c r="AN77" s="126">
        <f>IF(L77=0,0,$L77*关卡产出!AU$21)</f>
        <v>1000</v>
      </c>
      <c r="AO77" s="90">
        <f>IF(M77=0,0,$L77*关卡产出!AV$21)</f>
        <v>50</v>
      </c>
      <c r="AP77" s="129">
        <f>IF(N77=0,0,$L77*关卡产出!AW$21)</f>
        <v>1</v>
      </c>
      <c r="AQ77" s="138">
        <f>SUM(AN$7:AN77)</f>
        <v>54000</v>
      </c>
      <c r="AR77" s="126">
        <f>SUM(AO$7:AO77)</f>
        <v>2700</v>
      </c>
      <c r="AS77" s="129">
        <f>SUM(AP$7:AP77)</f>
        <v>54</v>
      </c>
      <c r="AT77" s="128">
        <v>500</v>
      </c>
      <c r="AU77" s="129">
        <v>100</v>
      </c>
      <c r="AV77" s="128">
        <f>SUM(AT$7:AT77)</f>
        <v>35500</v>
      </c>
      <c r="AW77" s="90">
        <f>SUM(AU$7:AU77)</f>
        <v>7100</v>
      </c>
      <c r="AY77" s="128">
        <f t="shared" si="91"/>
        <v>10300</v>
      </c>
      <c r="AZ77" s="90">
        <f t="shared" si="92"/>
        <v>2700</v>
      </c>
      <c r="BA77" s="90">
        <f t="shared" si="93"/>
        <v>7100</v>
      </c>
      <c r="BB77" s="90">
        <f t="shared" ca="1" si="143"/>
        <v>3200</v>
      </c>
      <c r="BC77" s="90">
        <f t="shared" ca="1" si="144"/>
        <v>23300</v>
      </c>
      <c r="BD77" s="90"/>
      <c r="BE77" s="90">
        <f t="shared" ca="1" si="94"/>
        <v>23300</v>
      </c>
      <c r="BF77" s="142">
        <f t="shared" ca="1" si="95"/>
        <v>0.44206008583690987</v>
      </c>
      <c r="BG77" s="142">
        <f t="shared" ca="1" si="96"/>
        <v>0.11587982832618025</v>
      </c>
      <c r="BH77" s="142">
        <f t="shared" ca="1" si="97"/>
        <v>0.30472103004291845</v>
      </c>
      <c r="BI77" s="142">
        <f t="shared" ca="1" si="98"/>
        <v>0.13733905579399142</v>
      </c>
      <c r="BJ77" s="143"/>
      <c r="BK77" s="128">
        <f ca="1">INDEX(商城宝箱!$L:$L,MATCH(BC77,商城宝箱!$N:$N,1))</f>
        <v>7</v>
      </c>
      <c r="BL77" s="90">
        <f ca="1">_xlfn.IFNA(INDEX(商城宝箱!T:T,MATCH(玩家节奏1!$BK77,商城宝箱!$L:$L,0)),0)+($BC77-INDEX(商城宝箱!$N:$N,MATCH(玩家节奏1!$BK77,商城宝箱!$L:$L,0)))/$BK$5*INDEX(商城宝箱!E$23:E$42,MATCH(玩家节奏1!$BK77+1,商城宝箱!$C$23:$C$42,0))</f>
        <v>58250</v>
      </c>
      <c r="BM77" s="90">
        <f ca="1">_xlfn.IFNA(INDEX(商城宝箱!U:U,MATCH(玩家节奏1!$BK77,商城宝箱!$L:$L,0)),0)+($BC77-INDEX(商城宝箱!$N:$N,MATCH(玩家节奏1!$BK77,商城宝箱!$L:$L,0)))/$BK$5*INDEX(商城宝箱!F$23:F$42,MATCH(玩家节奏1!$BK77+1,商城宝箱!$C$23:$C$42,0))</f>
        <v>20762.5</v>
      </c>
      <c r="BN77" s="90">
        <f ca="1">_xlfn.IFNA(INDEX(商城宝箱!V:V,MATCH(玩家节奏1!$BK77,商城宝箱!$L:$L,0)),0)+($BC77-INDEX(商城宝箱!$N:$N,MATCH(玩家节奏1!$BK77,商城宝箱!$L:$L,0)))/$BK$5*INDEX(商城宝箱!G$23:G$42,MATCH(玩家节奏1!$BK77+1,商城宝箱!$C$23:$C$42,0))</f>
        <v>11967</v>
      </c>
      <c r="BO77" s="90">
        <f ca="1">_xlfn.IFNA(INDEX(商城宝箱!W:W,MATCH(玩家节奏1!$BK77,商城宝箱!$L:$L,0)),0)+($BC77-INDEX(商城宝箱!$N:$N,MATCH(玩家节奏1!$BK77,商城宝箱!$L:$L,0)))/$BK$5*INDEX(商城宝箱!H$23:H$42,MATCH(玩家节奏1!$BK77+1,商城宝箱!$C$23:$C$42,0))</f>
        <v>1631.5</v>
      </c>
      <c r="BQ77" s="128">
        <f t="shared" si="82"/>
        <v>936300</v>
      </c>
      <c r="BR77" s="90">
        <f t="shared" si="83"/>
        <v>144710</v>
      </c>
      <c r="BS77" s="90">
        <f t="shared" ca="1" si="84"/>
        <v>346040</v>
      </c>
      <c r="BT77" s="90">
        <f t="shared" si="85"/>
        <v>8500</v>
      </c>
      <c r="BU77" s="90">
        <f t="shared" si="86"/>
        <v>54000</v>
      </c>
      <c r="BV77" s="90">
        <f t="shared" si="87"/>
        <v>35500</v>
      </c>
      <c r="BW77" s="90">
        <f t="shared" ca="1" si="99"/>
        <v>58250</v>
      </c>
      <c r="BX77" s="90">
        <f t="shared" ca="1" si="100"/>
        <v>1583300</v>
      </c>
      <c r="BY77" s="142">
        <f t="shared" ca="1" si="101"/>
        <v>0.59135981810143368</v>
      </c>
      <c r="BZ77" s="142">
        <f t="shared" ca="1" si="102"/>
        <v>9.1397713636076544E-2</v>
      </c>
      <c r="CA77" s="142">
        <f t="shared" ca="1" si="103"/>
        <v>0.218556180130108</v>
      </c>
      <c r="CB77" s="142">
        <f t="shared" ca="1" si="104"/>
        <v>5.368534074401566E-3</v>
      </c>
      <c r="CC77" s="142">
        <f t="shared" ca="1" si="105"/>
        <v>3.4105981178551126E-2</v>
      </c>
      <c r="CD77" s="142">
        <f t="shared" ca="1" si="106"/>
        <v>2.2421524663677129E-2</v>
      </c>
      <c r="CE77" s="142">
        <f t="shared" ca="1" si="107"/>
        <v>3.6790248215751914E-2</v>
      </c>
      <c r="CG77" s="128">
        <f t="shared" si="108"/>
        <v>59</v>
      </c>
      <c r="CH77" s="90">
        <f ca="1">INDEX(角色升级!$A:$A,MATCH(玩家节奏1!$BX77,角色升级!$J:$J,1))</f>
        <v>376</v>
      </c>
      <c r="CI77" s="90">
        <f ca="1">INDEX(角色升级!$O:$O,MATCH(玩家节奏1!$BX77,角色升级!$J:$J,1))</f>
        <v>10810.873124999998</v>
      </c>
      <c r="CJ77" s="90">
        <f>INDEX(关卡对比!$J:$J,MATCH(玩家节奏1!N77,关卡对比!$A:$A,0))</f>
        <v>15700</v>
      </c>
      <c r="CK77" s="147">
        <f t="shared" ca="1" si="109"/>
        <v>1.4522416291884845</v>
      </c>
      <c r="CL77" s="128">
        <f ca="1">INDEX(角色升级!$P:$P,MATCH(玩家节奏1!$CH77,角色升级!$A:$A,0))</f>
        <v>3200</v>
      </c>
      <c r="CM77" s="90">
        <f ca="1">INDEX(角色升级!Q:Q,MATCH(玩家节奏1!$CH77,角色升级!$A:$A,0))</f>
        <v>0.4</v>
      </c>
      <c r="CO77" s="128">
        <f t="shared" si="110"/>
        <v>6674</v>
      </c>
      <c r="CP77" s="90">
        <f t="shared" si="111"/>
        <v>9381</v>
      </c>
      <c r="CQ77" s="90">
        <f t="shared" si="112"/>
        <v>9520</v>
      </c>
      <c r="CR77" s="90">
        <f t="shared" ca="1" si="113"/>
        <v>20762.5</v>
      </c>
      <c r="CS77" s="90">
        <f t="shared" ca="1" si="114"/>
        <v>46337.5</v>
      </c>
      <c r="CT77" s="142">
        <f t="shared" ca="1" si="115"/>
        <v>0.14403021311033182</v>
      </c>
      <c r="CU77" s="142">
        <f t="shared" ca="1" si="116"/>
        <v>0.2024494200161856</v>
      </c>
      <c r="CV77" s="142">
        <f t="shared" ca="1" si="117"/>
        <v>0.20544915025627192</v>
      </c>
      <c r="CW77" s="142">
        <f t="shared" ca="1" si="118"/>
        <v>0.44807121661721067</v>
      </c>
      <c r="CY77" s="128">
        <f t="shared" si="119"/>
        <v>3338</v>
      </c>
      <c r="CZ77" s="90">
        <f t="shared" si="120"/>
        <v>4596</v>
      </c>
      <c r="DA77" s="90">
        <f t="shared" si="121"/>
        <v>4560</v>
      </c>
      <c r="DB77" s="90">
        <f t="shared" ca="1" si="122"/>
        <v>11967</v>
      </c>
      <c r="DC77" s="90">
        <f t="shared" ca="1" si="123"/>
        <v>24461</v>
      </c>
      <c r="DD77" s="142">
        <f t="shared" ca="1" si="124"/>
        <v>0.13646212338007441</v>
      </c>
      <c r="DE77" s="142">
        <f t="shared" ca="1" si="125"/>
        <v>0.18789092841666327</v>
      </c>
      <c r="DF77" s="142">
        <f t="shared" ca="1" si="126"/>
        <v>0.18641919790687217</v>
      </c>
      <c r="DG77" s="142">
        <f t="shared" ca="1" si="127"/>
        <v>0.48922775029639015</v>
      </c>
      <c r="DI77" s="128">
        <f t="shared" si="128"/>
        <v>1488</v>
      </c>
      <c r="DJ77" s="90">
        <f t="shared" si="129"/>
        <v>2077</v>
      </c>
      <c r="DK77" s="90">
        <f t="shared" si="130"/>
        <v>1472</v>
      </c>
      <c r="DL77" s="90">
        <f t="shared" ca="1" si="131"/>
        <v>1631.5</v>
      </c>
      <c r="DM77" s="90">
        <f t="shared" ca="1" si="132"/>
        <v>6668.5</v>
      </c>
      <c r="DN77" s="142">
        <f t="shared" ca="1" si="133"/>
        <v>0.22313863687485941</v>
      </c>
      <c r="DO77" s="142">
        <f t="shared" ca="1" si="134"/>
        <v>0.31146434730449124</v>
      </c>
      <c r="DP77" s="142">
        <f t="shared" ca="1" si="135"/>
        <v>0.2207392966934093</v>
      </c>
      <c r="DQ77" s="142">
        <f t="shared" ca="1" si="136"/>
        <v>0.24465771912724002</v>
      </c>
      <c r="DS77" s="128">
        <f t="shared" ca="1" si="137"/>
        <v>46337.5</v>
      </c>
      <c r="DT77" s="90">
        <f t="shared" ca="1" si="138"/>
        <v>24461</v>
      </c>
      <c r="DU77" s="90">
        <f t="shared" ca="1" si="139"/>
        <v>6668.5</v>
      </c>
      <c r="DV77" s="90">
        <f t="shared" si="140"/>
        <v>54</v>
      </c>
      <c r="DW77" s="90">
        <f ca="1">_xlfn.IFNA(INDEX(武器升级消耗!$H:$H,MATCH(玩家节奏1!DS77/玩家节奏1!DS$5,武器升级消耗!M:M,1)),0)</f>
        <v>21</v>
      </c>
      <c r="DX77" s="90">
        <f ca="1">_xlfn.IFNA(INDEX(武器升级消耗!$H:$H,MATCH(玩家节奏1!DT77/玩家节奏1!DT$5,武器升级消耗!N:N,1)),0)</f>
        <v>18</v>
      </c>
      <c r="DY77" s="90">
        <f ca="1">_xlfn.IFNA(INDEX(武器升级消耗!$H:$H,MATCH(玩家节奏1!DU77/玩家节奏1!DU$5,武器升级消耗!O:O,1)),0)</f>
        <v>12</v>
      </c>
      <c r="DZ77" s="90">
        <f>_xlfn.IFNA(INDEX(武器升级消耗!$H:$H,MATCH(玩家节奏1!DV77/玩家节奏1!DV$5,武器升级消耗!P:P,1)),0)</f>
        <v>8</v>
      </c>
      <c r="EA77" s="90">
        <f ca="1">_xlfn.IFNA(INDEX(武器升级消耗!$Q:$Q,MATCH(玩家节奏1!DW77,武器升级消耗!$H:$H,0))*2*EA$4,0)</f>
        <v>3</v>
      </c>
      <c r="EB77" s="90">
        <f ca="1">_xlfn.IFNA(INDEX(武器升级消耗!$Q:$Q,MATCH(玩家节奏1!DX77,武器升级消耗!$H:$H,0))*2*EB$4,0)</f>
        <v>3.3000000000000003</v>
      </c>
      <c r="EC77" s="90">
        <f ca="1">_xlfn.IFNA(INDEX(武器升级消耗!$Q:$Q,MATCH(玩家节奏1!DY77,武器升级消耗!$H:$H,0))*2*EC$4,1)</f>
        <v>3.5200000000000005</v>
      </c>
      <c r="ED77" s="90">
        <f>_xlfn.IFNA(INDEX(武器升级消耗!$Q:$Q,MATCH(玩家节奏1!DZ77,武器升级消耗!$H:$H,0))*2*ED$4,0)</f>
        <v>3.5999999999999996</v>
      </c>
      <c r="EF77" s="128"/>
      <c r="EG77" s="90"/>
      <c r="EH77" s="90"/>
      <c r="EI77" s="90"/>
      <c r="EJ77" s="90"/>
      <c r="EK77" s="90"/>
      <c r="EL77" s="90"/>
      <c r="EM77" s="90"/>
      <c r="EO77" s="128"/>
      <c r="EP77" s="90"/>
      <c r="EQ77" s="90"/>
      <c r="ER77" s="90"/>
      <c r="ES77" s="90"/>
      <c r="ET77" s="90"/>
      <c r="EU77" s="90"/>
      <c r="EV77" s="90"/>
      <c r="EW77" s="90"/>
      <c r="EX77" s="90"/>
      <c r="EY77" s="90"/>
      <c r="EZ77" s="90"/>
      <c r="FA77" s="90"/>
      <c r="FB77" s="90"/>
      <c r="FD77" s="90">
        <f t="shared" ca="1" si="141"/>
        <v>3.5200000000000005</v>
      </c>
      <c r="FE77" s="90"/>
      <c r="FF77" s="90"/>
      <c r="FG77" s="90">
        <f t="shared" ca="1" si="142"/>
        <v>0</v>
      </c>
    </row>
    <row r="78" spans="1:163" x14ac:dyDescent="0.25">
      <c r="A78" s="123">
        <v>72</v>
      </c>
      <c r="B78" s="123">
        <f>INDEX(关卡对比!$Y:$Y,MATCH(关卡对比!Z78,关卡对比!$AA:$AA,1))</f>
        <v>49</v>
      </c>
      <c r="C78" s="124">
        <f>INDEX(关卡对比!$Y:$Y,MATCH(关卡对比!Z78,关卡对比!$AB:$AB,1))</f>
        <v>41</v>
      </c>
      <c r="D78" s="125">
        <f t="shared" si="70"/>
        <v>455.5</v>
      </c>
      <c r="E78" s="125">
        <v>3</v>
      </c>
      <c r="F78" s="128">
        <v>5</v>
      </c>
      <c r="G78" s="90">
        <v>1</v>
      </c>
      <c r="H78" s="90">
        <v>1</v>
      </c>
      <c r="J78" s="128">
        <v>72</v>
      </c>
      <c r="K78" s="90">
        <f t="shared" si="88"/>
        <v>5</v>
      </c>
      <c r="L78" s="90">
        <f t="shared" si="89"/>
        <v>1</v>
      </c>
      <c r="M78" s="90">
        <f t="shared" si="90"/>
        <v>1</v>
      </c>
      <c r="N78" s="140">
        <f>INDEX($A:$A,MATCH(SUM($K$7:K78),$D:$D,1))</f>
        <v>60</v>
      </c>
      <c r="O78" s="140">
        <v>0</v>
      </c>
      <c r="P78" s="141">
        <v>0</v>
      </c>
      <c r="Q78" s="126">
        <f>_xlfn.MAXIFS(关卡产出!X:X,关卡产出!$A:$A,玩家节奏1!$N$6,关卡产出!$B:$B,玩家节奏1!$N78)+_xlfn.MAXIFS(关卡产出!X:X,关卡产出!$A:$A,玩家节奏1!$O$6,关卡产出!$B:$B,玩家节奏1!$O78)+_xlfn.MAXIFS(关卡产出!X:X,关卡产出!$A:$A,玩家节奏1!$P$6,关卡产出!$B:$B,玩家节奏1!$P78)</f>
        <v>10500</v>
      </c>
      <c r="R78" s="90">
        <f>_xlfn.MAXIFS(关卡产出!Y:Y,关卡产出!$A:$A,玩家节奏1!$N$6,关卡产出!$B:$B,玩家节奏1!$N78)+_xlfn.MAXIFS(关卡产出!Y:Y,关卡产出!$A:$A,玩家节奏1!$O$6,关卡产出!$B:$B,玩家节奏1!$O78)+_xlfn.MAXIFS(关卡产出!Y:Y,关卡产出!$A:$A,玩家节奏1!$P$6,关卡产出!$B:$B,玩家节奏1!$P78)</f>
        <v>970000</v>
      </c>
      <c r="S78" s="90">
        <f>_xlfn.MAXIFS(关卡产出!Z:Z,关卡产出!$A:$A,玩家节奏1!$N$6,关卡产出!$B:$B,玩家节奏1!$N78)+_xlfn.MAXIFS(关卡产出!Z:Z,关卡产出!$A:$A,玩家节奏1!$O$6,关卡产出!$B:$B,玩家节奏1!$O78)+_xlfn.MAXIFS(关卡产出!Z:Z,关卡产出!$A:$A,玩家节奏1!$P$6,关卡产出!$B:$B,玩家节奏1!$P78)</f>
        <v>6906</v>
      </c>
      <c r="T78" s="90">
        <f>_xlfn.MAXIFS(关卡产出!AA:AA,关卡产出!$A:$A,玩家节奏1!$N$6,关卡产出!$B:$B,玩家节奏1!$N78)+_xlfn.MAXIFS(关卡产出!AA:AA,关卡产出!$A:$A,玩家节奏1!$O$6,关卡产出!$B:$B,玩家节奏1!$O78)+_xlfn.MAXIFS(关卡产出!AA:AA,关卡产出!$A:$A,玩家节奏1!$P$6,关卡产出!$B:$B,玩家节奏1!$P78)</f>
        <v>3454</v>
      </c>
      <c r="U78" s="90">
        <f>_xlfn.MAXIFS(关卡产出!AB:AB,关卡产出!$A:$A,玩家节奏1!$N$6,关卡产出!$B:$B,玩家节奏1!$N78)+_xlfn.MAXIFS(关卡产出!AB:AB,关卡产出!$A:$A,玩家节奏1!$O$6,关卡产出!$B:$B,玩家节奏1!$O78)+_xlfn.MAXIFS(关卡产出!AB:AB,关卡产出!$A:$A,玩家节奏1!$P$6,关卡产出!$B:$B,玩家节奏1!$P78)</f>
        <v>1543</v>
      </c>
      <c r="V78" s="130">
        <f>_xlfn.MAXIFS(关卡产出!AC:AC,关卡产出!$A:$A,玩家节奏1!$N$6,关卡产出!$B:$B,玩家节奏1!$N78)+_xlfn.MAXIFS(关卡产出!AC:AC,关卡产出!$A:$A,玩家节奏1!$O$6,关卡产出!$B:$B,玩家节奏1!$O78)+_xlfn.MAXIFS(关卡产出!AC:AC,关卡产出!$A:$A,玩家节奏1!$P$6,关卡产出!$B:$B,玩家节奏1!$P78)</f>
        <v>360</v>
      </c>
      <c r="W78" s="126">
        <f>INDEX(关卡产出!C$8:C$207,MATCH(玩家节奏1!$N78,关卡产出!$B$8:$B$207,0))*$K78</f>
        <v>230</v>
      </c>
      <c r="X78" s="126">
        <f>INDEX(关卡产出!D$8:D$207,MATCH(玩家节奏1!$N78,关卡产出!$B$8:$B$207,0))*$K78</f>
        <v>115</v>
      </c>
      <c r="Y78" s="126">
        <f>INDEX(关卡产出!E$8:E$207,MATCH(玩家节奏1!$N78,关卡产出!$B$8:$B$207,0))*$K78</f>
        <v>55</v>
      </c>
      <c r="Z78" s="144">
        <f>INDEX(关卡产出!F$8:F$207,MATCH(玩家节奏1!$N78,关卡产出!$B$8:$B$207,0))*$K78</f>
        <v>3250</v>
      </c>
      <c r="AA78" s="126">
        <f>SUM(W$7:W78)</f>
        <v>9611</v>
      </c>
      <c r="AB78" s="126">
        <f>SUM(X$7:X78)</f>
        <v>4711</v>
      </c>
      <c r="AC78" s="126">
        <f>SUM(Y$7:Y78)</f>
        <v>2132</v>
      </c>
      <c r="AD78" s="126">
        <f>SUM(Z$7:Z78)</f>
        <v>147960</v>
      </c>
      <c r="AE78" s="126">
        <f>INDEX(图鉴!AQ:AQ,MATCH($N78,图鉴!$S:$S,0))*8</f>
        <v>160</v>
      </c>
      <c r="AF78" s="90">
        <f>INDEX(图鉴!AR:AR,MATCH($N78,图鉴!$S:$S,0))*8</f>
        <v>96</v>
      </c>
      <c r="AG78" s="90">
        <f>INDEX(图鉴!AS:AS,MATCH($N78,图鉴!$S:$S,0))*8</f>
        <v>32</v>
      </c>
      <c r="AH78" s="129">
        <f ca="1">INDEX(图鉴!AT:AT,MATCH($N78,图鉴!$S:$S,0))*8</f>
        <v>6960</v>
      </c>
      <c r="AI78" s="128">
        <f>SUM($AE$7:AE78)</f>
        <v>9680</v>
      </c>
      <c r="AJ78" s="90">
        <f>SUM(AF$7:AF78)</f>
        <v>4656</v>
      </c>
      <c r="AK78" s="90">
        <f>SUM(AG$7:AG78)</f>
        <v>1504</v>
      </c>
      <c r="AL78" s="130">
        <f ca="1">SUM(AH$7:AH78)</f>
        <v>353000</v>
      </c>
      <c r="AM78" s="133">
        <f>IF(M78=0,0,INDEX(关卡产出!$AU$11:$AU$15,MATCH(玩家节奏1!N78,关卡产出!$AW$11:$AW$15,1))*M78)</f>
        <v>12200</v>
      </c>
      <c r="AN78" s="126">
        <f>IF(L78=0,0,$L78*关卡产出!AU$21)</f>
        <v>1000</v>
      </c>
      <c r="AO78" s="90">
        <f>IF(M78=0,0,$L78*关卡产出!AV$21)</f>
        <v>50</v>
      </c>
      <c r="AP78" s="129">
        <f>IF(N78=0,0,$L78*关卡产出!AW$21)</f>
        <v>1</v>
      </c>
      <c r="AQ78" s="138">
        <f>SUM(AN$7:AN78)</f>
        <v>55000</v>
      </c>
      <c r="AR78" s="126">
        <f>SUM(AO$7:AO78)</f>
        <v>2750</v>
      </c>
      <c r="AS78" s="129">
        <f>SUM(AP$7:AP78)</f>
        <v>55</v>
      </c>
      <c r="AT78" s="128">
        <v>500</v>
      </c>
      <c r="AU78" s="129">
        <v>100</v>
      </c>
      <c r="AV78" s="128">
        <f>SUM(AT$7:AT78)</f>
        <v>36000</v>
      </c>
      <c r="AW78" s="90">
        <f>SUM(AU$7:AU78)</f>
        <v>7200</v>
      </c>
      <c r="AY78" s="128">
        <f t="shared" si="91"/>
        <v>10500</v>
      </c>
      <c r="AZ78" s="90">
        <f t="shared" si="92"/>
        <v>2750</v>
      </c>
      <c r="BA78" s="90">
        <f t="shared" si="93"/>
        <v>7200</v>
      </c>
      <c r="BB78" s="90">
        <f t="shared" ca="1" si="143"/>
        <v>3200</v>
      </c>
      <c r="BC78" s="90">
        <f t="shared" ca="1" si="144"/>
        <v>23650</v>
      </c>
      <c r="BD78" s="90"/>
      <c r="BE78" s="90">
        <f t="shared" ca="1" si="94"/>
        <v>23650</v>
      </c>
      <c r="BF78" s="142">
        <f t="shared" ca="1" si="95"/>
        <v>0.44397463002114163</v>
      </c>
      <c r="BG78" s="142">
        <f t="shared" ca="1" si="96"/>
        <v>0.11627906976744186</v>
      </c>
      <c r="BH78" s="142">
        <f t="shared" ca="1" si="97"/>
        <v>0.30443974630021142</v>
      </c>
      <c r="BI78" s="142">
        <f t="shared" ca="1" si="98"/>
        <v>0.13530655391120508</v>
      </c>
      <c r="BJ78" s="143"/>
      <c r="BK78" s="128">
        <f ca="1">INDEX(商城宝箱!$L:$L,MATCH(BC78,商城宝箱!$N:$N,1))</f>
        <v>7</v>
      </c>
      <c r="BL78" s="90">
        <f ca="1">_xlfn.IFNA(INDEX(商城宝箱!T:T,MATCH(玩家节奏1!$BK78,商城宝箱!$L:$L,0)),0)+($BC78-INDEX(商城宝箱!$N:$N,MATCH(玩家节奏1!$BK78,商城宝箱!$L:$L,0)))/$BK$5*INDEX(商城宝箱!E$23:E$42,MATCH(玩家节奏1!$BK78+1,商城宝箱!$C$23:$C$42,0))</f>
        <v>59125</v>
      </c>
      <c r="BM78" s="90">
        <f ca="1">_xlfn.IFNA(INDEX(商城宝箱!U:U,MATCH(玩家节奏1!$BK78,商城宝箱!$L:$L,0)),0)+($BC78-INDEX(商城宝箱!$N:$N,MATCH(玩家节奏1!$BK78,商城宝箱!$L:$L,0)))/$BK$5*INDEX(商城宝箱!F$23:F$42,MATCH(玩家节奏1!$BK78+1,商城宝箱!$C$23:$C$42,0))</f>
        <v>21375</v>
      </c>
      <c r="BN78" s="90">
        <f ca="1">_xlfn.IFNA(INDEX(商城宝箱!V:V,MATCH(玩家节奏1!$BK78,商城宝箱!$L:$L,0)),0)+($BC78-INDEX(商城宝箱!$N:$N,MATCH(玩家节奏1!$BK78,商城宝箱!$L:$L,0)))/$BK$5*INDEX(商城宝箱!G$23:G$42,MATCH(玩家节奏1!$BK78+1,商城宝箱!$C$23:$C$42,0))</f>
        <v>12369.5</v>
      </c>
      <c r="BO78" s="90">
        <f ca="1">_xlfn.IFNA(INDEX(商城宝箱!W:W,MATCH(玩家节奏1!$BK78,商城宝箱!$L:$L,0)),0)+($BC78-INDEX(商城宝箱!$N:$N,MATCH(玩家节奏1!$BK78,商城宝箱!$L:$L,0)))/$BK$5*INDEX(商城宝箱!H$23:H$42,MATCH(玩家节奏1!$BK78+1,商城宝箱!$C$23:$C$42,0))</f>
        <v>1684</v>
      </c>
      <c r="BQ78" s="128">
        <f t="shared" si="82"/>
        <v>970000</v>
      </c>
      <c r="BR78" s="90">
        <f t="shared" si="83"/>
        <v>147960</v>
      </c>
      <c r="BS78" s="90">
        <f t="shared" ca="1" si="84"/>
        <v>353000</v>
      </c>
      <c r="BT78" s="90">
        <f t="shared" si="85"/>
        <v>12200</v>
      </c>
      <c r="BU78" s="90">
        <f t="shared" si="86"/>
        <v>55000</v>
      </c>
      <c r="BV78" s="90">
        <f t="shared" si="87"/>
        <v>36000</v>
      </c>
      <c r="BW78" s="90">
        <f t="shared" ca="1" si="99"/>
        <v>59125</v>
      </c>
      <c r="BX78" s="90">
        <f t="shared" ca="1" si="100"/>
        <v>1633285</v>
      </c>
      <c r="BY78" s="142">
        <f t="shared" ca="1" si="101"/>
        <v>0.5938951254679985</v>
      </c>
      <c r="BZ78" s="142">
        <f t="shared" ca="1" si="102"/>
        <v>9.0590435839427899E-2</v>
      </c>
      <c r="CA78" s="142">
        <f t="shared" ca="1" si="103"/>
        <v>0.21612884462907575</v>
      </c>
      <c r="CB78" s="142">
        <f t="shared" ca="1" si="104"/>
        <v>7.4696087945459611E-3</v>
      </c>
      <c r="CC78" s="142">
        <f t="shared" ca="1" si="105"/>
        <v>3.3674465877051467E-2</v>
      </c>
      <c r="CD78" s="142">
        <f t="shared" ca="1" si="106"/>
        <v>2.204146857407005E-2</v>
      </c>
      <c r="CE78" s="142">
        <f t="shared" ca="1" si="107"/>
        <v>3.6200050817830322E-2</v>
      </c>
      <c r="CG78" s="128">
        <f t="shared" si="108"/>
        <v>60</v>
      </c>
      <c r="CH78" s="90">
        <f ca="1">INDEX(角色升级!$A:$A,MATCH(玩家节奏1!$BX78,角色升级!$J:$J,1))</f>
        <v>382</v>
      </c>
      <c r="CI78" s="90">
        <f ca="1">INDEX(角色升级!$O:$O,MATCH(玩家节奏1!$BX78,角色升级!$J:$J,1))</f>
        <v>10859.551815000001</v>
      </c>
      <c r="CJ78" s="90">
        <f>INDEX(关卡对比!$J:$J,MATCH(玩家节奏1!N78,关卡对比!$A:$A,0))</f>
        <v>16200</v>
      </c>
      <c r="CK78" s="147">
        <f t="shared" ca="1" si="109"/>
        <v>1.4917742717174924</v>
      </c>
      <c r="CL78" s="128">
        <f ca="1">INDEX(角色升级!$P:$P,MATCH(玩家节奏1!$CH78,角色升级!$A:$A,0))</f>
        <v>3200</v>
      </c>
      <c r="CM78" s="90">
        <f ca="1">INDEX(角色升级!Q:Q,MATCH(玩家节奏1!$CH78,角色升级!$A:$A,0))</f>
        <v>0.5</v>
      </c>
      <c r="CO78" s="128">
        <f t="shared" si="110"/>
        <v>6906</v>
      </c>
      <c r="CP78" s="90">
        <f t="shared" si="111"/>
        <v>9611</v>
      </c>
      <c r="CQ78" s="90">
        <f t="shared" si="112"/>
        <v>9680</v>
      </c>
      <c r="CR78" s="90">
        <f t="shared" ca="1" si="113"/>
        <v>21375</v>
      </c>
      <c r="CS78" s="90">
        <f t="shared" ca="1" si="114"/>
        <v>47572</v>
      </c>
      <c r="CT78" s="142">
        <f t="shared" ca="1" si="115"/>
        <v>0.14516942739426553</v>
      </c>
      <c r="CU78" s="142">
        <f t="shared" ca="1" si="116"/>
        <v>0.2020306062389641</v>
      </c>
      <c r="CV78" s="142">
        <f t="shared" ca="1" si="117"/>
        <v>0.20348103926679559</v>
      </c>
      <c r="CW78" s="142">
        <f t="shared" ca="1" si="118"/>
        <v>0.44931892709997479</v>
      </c>
      <c r="CY78" s="128">
        <f t="shared" si="119"/>
        <v>3454</v>
      </c>
      <c r="CZ78" s="90">
        <f t="shared" si="120"/>
        <v>4711</v>
      </c>
      <c r="DA78" s="90">
        <f t="shared" si="121"/>
        <v>4656</v>
      </c>
      <c r="DB78" s="90">
        <f t="shared" ca="1" si="122"/>
        <v>12369.5</v>
      </c>
      <c r="DC78" s="90">
        <f t="shared" ca="1" si="123"/>
        <v>25190.5</v>
      </c>
      <c r="DD78" s="142">
        <f t="shared" ca="1" si="124"/>
        <v>0.13711518231079176</v>
      </c>
      <c r="DE78" s="142">
        <f t="shared" ca="1" si="125"/>
        <v>0.18701494611063696</v>
      </c>
      <c r="DF78" s="142">
        <f t="shared" ca="1" si="126"/>
        <v>0.18483158333498739</v>
      </c>
      <c r="DG78" s="142">
        <f t="shared" ca="1" si="127"/>
        <v>0.49103828824358386</v>
      </c>
      <c r="DI78" s="128">
        <f t="shared" si="128"/>
        <v>1543</v>
      </c>
      <c r="DJ78" s="90">
        <f t="shared" si="129"/>
        <v>2132</v>
      </c>
      <c r="DK78" s="90">
        <f t="shared" si="130"/>
        <v>1504</v>
      </c>
      <c r="DL78" s="90">
        <f t="shared" ca="1" si="131"/>
        <v>1684</v>
      </c>
      <c r="DM78" s="90">
        <f t="shared" ca="1" si="132"/>
        <v>6863</v>
      </c>
      <c r="DN78" s="142">
        <f t="shared" ca="1" si="133"/>
        <v>0.22482879207343728</v>
      </c>
      <c r="DO78" s="142">
        <f t="shared" ca="1" si="134"/>
        <v>0.31065131866530671</v>
      </c>
      <c r="DP78" s="142">
        <f t="shared" ca="1" si="135"/>
        <v>0.21914614600029142</v>
      </c>
      <c r="DQ78" s="142">
        <f t="shared" ca="1" si="136"/>
        <v>0.24537374326096459</v>
      </c>
      <c r="DS78" s="128">
        <f t="shared" ca="1" si="137"/>
        <v>47572</v>
      </c>
      <c r="DT78" s="90">
        <f t="shared" ca="1" si="138"/>
        <v>25190.5</v>
      </c>
      <c r="DU78" s="90">
        <f t="shared" ca="1" si="139"/>
        <v>6863</v>
      </c>
      <c r="DV78" s="90">
        <f t="shared" si="140"/>
        <v>55</v>
      </c>
      <c r="DW78" s="90">
        <f ca="1">_xlfn.IFNA(INDEX(武器升级消耗!$H:$H,MATCH(玩家节奏1!DS78/玩家节奏1!DS$5,武器升级消耗!M:M,1)),0)</f>
        <v>21</v>
      </c>
      <c r="DX78" s="90">
        <f ca="1">_xlfn.IFNA(INDEX(武器升级消耗!$H:$H,MATCH(玩家节奏1!DT78/玩家节奏1!DT$5,武器升级消耗!N:N,1)),0)</f>
        <v>18</v>
      </c>
      <c r="DY78" s="90">
        <f ca="1">_xlfn.IFNA(INDEX(武器升级消耗!$H:$H,MATCH(玩家节奏1!DU78/玩家节奏1!DU$5,武器升级消耗!O:O,1)),0)</f>
        <v>12</v>
      </c>
      <c r="DZ78" s="90">
        <f>_xlfn.IFNA(INDEX(武器升级消耗!$H:$H,MATCH(玩家节奏1!DV78/玩家节奏1!DV$5,武器升级消耗!P:P,1)),0)</f>
        <v>8</v>
      </c>
      <c r="EA78" s="90">
        <f ca="1">_xlfn.IFNA(INDEX(武器升级消耗!$Q:$Q,MATCH(玩家节奏1!DW78,武器升级消耗!$H:$H,0))*2*EA$4,0)</f>
        <v>3</v>
      </c>
      <c r="EB78" s="90">
        <f ca="1">_xlfn.IFNA(INDEX(武器升级消耗!$Q:$Q,MATCH(玩家节奏1!DX78,武器升级消耗!$H:$H,0))*2*EB$4,0)</f>
        <v>3.3000000000000003</v>
      </c>
      <c r="EC78" s="90">
        <f ca="1">_xlfn.IFNA(INDEX(武器升级消耗!$Q:$Q,MATCH(玩家节奏1!DY78,武器升级消耗!$H:$H,0))*2*EC$4,1)</f>
        <v>3.5200000000000005</v>
      </c>
      <c r="ED78" s="90">
        <f>_xlfn.IFNA(INDEX(武器升级消耗!$Q:$Q,MATCH(玩家节奏1!DZ78,武器升级消耗!$H:$H,0))*2*ED$4,0)</f>
        <v>3.5999999999999996</v>
      </c>
      <c r="EF78" s="128"/>
      <c r="EG78" s="90"/>
      <c r="EH78" s="90"/>
      <c r="EI78" s="90"/>
      <c r="EJ78" s="90"/>
      <c r="EK78" s="90"/>
      <c r="EL78" s="90"/>
      <c r="EM78" s="90"/>
      <c r="EO78" s="128"/>
      <c r="EP78" s="90"/>
      <c r="EQ78" s="90"/>
      <c r="ER78" s="90"/>
      <c r="ES78" s="90"/>
      <c r="ET78" s="90"/>
      <c r="EU78" s="90"/>
      <c r="EV78" s="90"/>
      <c r="EW78" s="90"/>
      <c r="EX78" s="90"/>
      <c r="EY78" s="90"/>
      <c r="EZ78" s="90"/>
      <c r="FA78" s="90"/>
      <c r="FB78" s="90"/>
      <c r="FD78" s="90">
        <f t="shared" ca="1" si="141"/>
        <v>3.5200000000000005</v>
      </c>
      <c r="FE78" s="90"/>
      <c r="FF78" s="90"/>
      <c r="FG78" s="90">
        <f t="shared" ca="1" si="142"/>
        <v>0</v>
      </c>
    </row>
    <row r="79" spans="1:163" x14ac:dyDescent="0.25">
      <c r="A79" s="123">
        <v>73</v>
      </c>
      <c r="B79" s="123">
        <f>INDEX(关卡对比!$Y:$Y,MATCH(关卡对比!Z79,关卡对比!$AA:$AA,1))</f>
        <v>50</v>
      </c>
      <c r="C79" s="124">
        <f>INDEX(关卡对比!$Y:$Y,MATCH(关卡对比!Z79,关卡对比!$AB:$AB,1))</f>
        <v>41</v>
      </c>
      <c r="D79" s="125">
        <f t="shared" si="70"/>
        <v>461.5</v>
      </c>
      <c r="E79" s="125">
        <v>3</v>
      </c>
      <c r="F79" s="128">
        <v>5</v>
      </c>
      <c r="G79" s="90">
        <v>1</v>
      </c>
      <c r="H79" s="90">
        <v>1</v>
      </c>
      <c r="J79" s="128">
        <v>73</v>
      </c>
      <c r="K79" s="90">
        <f t="shared" si="88"/>
        <v>5</v>
      </c>
      <c r="L79" s="90">
        <f t="shared" si="89"/>
        <v>1</v>
      </c>
      <c r="M79" s="90">
        <f t="shared" si="90"/>
        <v>1</v>
      </c>
      <c r="N79" s="140">
        <f>INDEX($A:$A,MATCH(SUM($K$7:K79),$D:$D,1))</f>
        <v>60</v>
      </c>
      <c r="O79" s="140">
        <v>0</v>
      </c>
      <c r="P79" s="141">
        <v>0</v>
      </c>
      <c r="Q79" s="126">
        <f>_xlfn.MAXIFS(关卡产出!X:X,关卡产出!$A:$A,玩家节奏1!$N$6,关卡产出!$B:$B,玩家节奏1!$N79)+_xlfn.MAXIFS(关卡产出!X:X,关卡产出!$A:$A,玩家节奏1!$O$6,关卡产出!$B:$B,玩家节奏1!$O79)+_xlfn.MAXIFS(关卡产出!X:X,关卡产出!$A:$A,玩家节奏1!$P$6,关卡产出!$B:$B,玩家节奏1!$P79)</f>
        <v>10500</v>
      </c>
      <c r="R79" s="90">
        <f>_xlfn.MAXIFS(关卡产出!Y:Y,关卡产出!$A:$A,玩家节奏1!$N$6,关卡产出!$B:$B,玩家节奏1!$N79)+_xlfn.MAXIFS(关卡产出!Y:Y,关卡产出!$A:$A,玩家节奏1!$O$6,关卡产出!$B:$B,玩家节奏1!$O79)+_xlfn.MAXIFS(关卡产出!Y:Y,关卡产出!$A:$A,玩家节奏1!$P$6,关卡产出!$B:$B,玩家节奏1!$P79)</f>
        <v>970000</v>
      </c>
      <c r="S79" s="90">
        <f>_xlfn.MAXIFS(关卡产出!Z:Z,关卡产出!$A:$A,玩家节奏1!$N$6,关卡产出!$B:$B,玩家节奏1!$N79)+_xlfn.MAXIFS(关卡产出!Z:Z,关卡产出!$A:$A,玩家节奏1!$O$6,关卡产出!$B:$B,玩家节奏1!$O79)+_xlfn.MAXIFS(关卡产出!Z:Z,关卡产出!$A:$A,玩家节奏1!$P$6,关卡产出!$B:$B,玩家节奏1!$P79)</f>
        <v>6906</v>
      </c>
      <c r="T79" s="90">
        <f>_xlfn.MAXIFS(关卡产出!AA:AA,关卡产出!$A:$A,玩家节奏1!$N$6,关卡产出!$B:$B,玩家节奏1!$N79)+_xlfn.MAXIFS(关卡产出!AA:AA,关卡产出!$A:$A,玩家节奏1!$O$6,关卡产出!$B:$B,玩家节奏1!$O79)+_xlfn.MAXIFS(关卡产出!AA:AA,关卡产出!$A:$A,玩家节奏1!$P$6,关卡产出!$B:$B,玩家节奏1!$P79)</f>
        <v>3454</v>
      </c>
      <c r="U79" s="90">
        <f>_xlfn.MAXIFS(关卡产出!AB:AB,关卡产出!$A:$A,玩家节奏1!$N$6,关卡产出!$B:$B,玩家节奏1!$N79)+_xlfn.MAXIFS(关卡产出!AB:AB,关卡产出!$A:$A,玩家节奏1!$O$6,关卡产出!$B:$B,玩家节奏1!$O79)+_xlfn.MAXIFS(关卡产出!AB:AB,关卡产出!$A:$A,玩家节奏1!$P$6,关卡产出!$B:$B,玩家节奏1!$P79)</f>
        <v>1543</v>
      </c>
      <c r="V79" s="130">
        <f>_xlfn.MAXIFS(关卡产出!AC:AC,关卡产出!$A:$A,玩家节奏1!$N$6,关卡产出!$B:$B,玩家节奏1!$N79)+_xlfn.MAXIFS(关卡产出!AC:AC,关卡产出!$A:$A,玩家节奏1!$O$6,关卡产出!$B:$B,玩家节奏1!$O79)+_xlfn.MAXIFS(关卡产出!AC:AC,关卡产出!$A:$A,玩家节奏1!$P$6,关卡产出!$B:$B,玩家节奏1!$P79)</f>
        <v>360</v>
      </c>
      <c r="W79" s="126">
        <f>INDEX(关卡产出!C$8:C$207,MATCH(玩家节奏1!$N79,关卡产出!$B$8:$B$207,0))*$K79</f>
        <v>230</v>
      </c>
      <c r="X79" s="126">
        <f>INDEX(关卡产出!D$8:D$207,MATCH(玩家节奏1!$N79,关卡产出!$B$8:$B$207,0))*$K79</f>
        <v>115</v>
      </c>
      <c r="Y79" s="126">
        <f>INDEX(关卡产出!E$8:E$207,MATCH(玩家节奏1!$N79,关卡产出!$B$8:$B$207,0))*$K79</f>
        <v>55</v>
      </c>
      <c r="Z79" s="144">
        <f>INDEX(关卡产出!F$8:F$207,MATCH(玩家节奏1!$N79,关卡产出!$B$8:$B$207,0))*$K79</f>
        <v>3250</v>
      </c>
      <c r="AA79" s="126">
        <f>SUM(W$7:W79)</f>
        <v>9841</v>
      </c>
      <c r="AB79" s="126">
        <f>SUM(X$7:X79)</f>
        <v>4826</v>
      </c>
      <c r="AC79" s="126">
        <f>SUM(Y$7:Y79)</f>
        <v>2187</v>
      </c>
      <c r="AD79" s="126">
        <f>SUM(Z$7:Z79)</f>
        <v>151210</v>
      </c>
      <c r="AE79" s="126">
        <f>INDEX(图鉴!AQ:AQ,MATCH($N79,图鉴!$S:$S,0))*8</f>
        <v>160</v>
      </c>
      <c r="AF79" s="90">
        <f>INDEX(图鉴!AR:AR,MATCH($N79,图鉴!$S:$S,0))*8</f>
        <v>96</v>
      </c>
      <c r="AG79" s="90">
        <f>INDEX(图鉴!AS:AS,MATCH($N79,图鉴!$S:$S,0))*8</f>
        <v>32</v>
      </c>
      <c r="AH79" s="129">
        <f ca="1">INDEX(图鉴!AT:AT,MATCH($N79,图鉴!$S:$S,0))*8</f>
        <v>6960</v>
      </c>
      <c r="AI79" s="128">
        <f>SUM($AE$7:AE79)</f>
        <v>9840</v>
      </c>
      <c r="AJ79" s="90">
        <f>SUM(AF$7:AF79)</f>
        <v>4752</v>
      </c>
      <c r="AK79" s="90">
        <f>SUM(AG$7:AG79)</f>
        <v>1536</v>
      </c>
      <c r="AL79" s="130">
        <f ca="1">SUM(AH$7:AH79)</f>
        <v>359960</v>
      </c>
      <c r="AM79" s="133">
        <f>IF(M79=0,0,INDEX(关卡产出!$AU$11:$AU$15,MATCH(玩家节奏1!N79,关卡产出!$AW$11:$AW$15,1))*M79)</f>
        <v>12200</v>
      </c>
      <c r="AN79" s="126">
        <f>IF(L79=0,0,$L79*关卡产出!AU$21)</f>
        <v>1000</v>
      </c>
      <c r="AO79" s="90">
        <f>IF(M79=0,0,$L79*关卡产出!AV$21)</f>
        <v>50</v>
      </c>
      <c r="AP79" s="129">
        <f>IF(N79=0,0,$L79*关卡产出!AW$21)</f>
        <v>1</v>
      </c>
      <c r="AQ79" s="138">
        <f>SUM(AN$7:AN79)</f>
        <v>56000</v>
      </c>
      <c r="AR79" s="126">
        <f>SUM(AO$7:AO79)</f>
        <v>2800</v>
      </c>
      <c r="AS79" s="129">
        <f>SUM(AP$7:AP79)</f>
        <v>56</v>
      </c>
      <c r="AT79" s="128">
        <v>500</v>
      </c>
      <c r="AU79" s="129">
        <v>100</v>
      </c>
      <c r="AV79" s="128">
        <f>SUM(AT$7:AT79)</f>
        <v>36500</v>
      </c>
      <c r="AW79" s="90">
        <f>SUM(AU$7:AU79)</f>
        <v>7300</v>
      </c>
      <c r="AY79" s="128">
        <f t="shared" si="91"/>
        <v>10500</v>
      </c>
      <c r="AZ79" s="90">
        <f t="shared" si="92"/>
        <v>2800</v>
      </c>
      <c r="BA79" s="90">
        <f t="shared" si="93"/>
        <v>7300</v>
      </c>
      <c r="BB79" s="90">
        <f t="shared" ca="1" si="143"/>
        <v>3200</v>
      </c>
      <c r="BC79" s="90">
        <f t="shared" ca="1" si="144"/>
        <v>23800</v>
      </c>
      <c r="BD79" s="90"/>
      <c r="BE79" s="90">
        <f t="shared" ca="1" si="94"/>
        <v>23800</v>
      </c>
      <c r="BF79" s="142">
        <f t="shared" ca="1" si="95"/>
        <v>0.44117647058823528</v>
      </c>
      <c r="BG79" s="142">
        <f t="shared" ca="1" si="96"/>
        <v>0.11764705882352941</v>
      </c>
      <c r="BH79" s="142">
        <f t="shared" ca="1" si="97"/>
        <v>0.30672268907563027</v>
      </c>
      <c r="BI79" s="142">
        <f t="shared" ca="1" si="98"/>
        <v>0.13445378151260504</v>
      </c>
      <c r="BJ79" s="143"/>
      <c r="BK79" s="128">
        <f ca="1">INDEX(商城宝箱!$L:$L,MATCH(BC79,商城宝箱!$N:$N,1))</f>
        <v>7</v>
      </c>
      <c r="BL79" s="90">
        <f ca="1">_xlfn.IFNA(INDEX(商城宝箱!T:T,MATCH(玩家节奏1!$BK79,商城宝箱!$L:$L,0)),0)+($BC79-INDEX(商城宝箱!$N:$N,MATCH(玩家节奏1!$BK79,商城宝箱!$L:$L,0)))/$BK$5*INDEX(商城宝箱!E$23:E$42,MATCH(玩家节奏1!$BK79+1,商城宝箱!$C$23:$C$42,0))</f>
        <v>59500</v>
      </c>
      <c r="BM79" s="90">
        <f ca="1">_xlfn.IFNA(INDEX(商城宝箱!U:U,MATCH(玩家节奏1!$BK79,商城宝箱!$L:$L,0)),0)+($BC79-INDEX(商城宝箱!$N:$N,MATCH(玩家节奏1!$BK79,商城宝箱!$L:$L,0)))/$BK$5*INDEX(商城宝箱!F$23:F$42,MATCH(玩家节奏1!$BK79+1,商城宝箱!$C$23:$C$42,0))</f>
        <v>21637.5</v>
      </c>
      <c r="BN79" s="90">
        <f ca="1">_xlfn.IFNA(INDEX(商城宝箱!V:V,MATCH(玩家节奏1!$BK79,商城宝箱!$L:$L,0)),0)+($BC79-INDEX(商城宝箱!$N:$N,MATCH(玩家节奏1!$BK79,商城宝箱!$L:$L,0)))/$BK$5*INDEX(商城宝箱!G$23:G$42,MATCH(玩家节奏1!$BK79+1,商城宝箱!$C$23:$C$42,0))</f>
        <v>12542</v>
      </c>
      <c r="BO79" s="90">
        <f ca="1">_xlfn.IFNA(INDEX(商城宝箱!W:W,MATCH(玩家节奏1!$BK79,商城宝箱!$L:$L,0)),0)+($BC79-INDEX(商城宝箱!$N:$N,MATCH(玩家节奏1!$BK79,商城宝箱!$L:$L,0)))/$BK$5*INDEX(商城宝箱!H$23:H$42,MATCH(玩家节奏1!$BK79+1,商城宝箱!$C$23:$C$42,0))</f>
        <v>1706.5</v>
      </c>
      <c r="BQ79" s="128">
        <f t="shared" si="82"/>
        <v>970000</v>
      </c>
      <c r="BR79" s="90">
        <f t="shared" si="83"/>
        <v>151210</v>
      </c>
      <c r="BS79" s="90">
        <f t="shared" ca="1" si="84"/>
        <v>359960</v>
      </c>
      <c r="BT79" s="90">
        <f t="shared" si="85"/>
        <v>12200</v>
      </c>
      <c r="BU79" s="90">
        <f t="shared" si="86"/>
        <v>56000</v>
      </c>
      <c r="BV79" s="90">
        <f t="shared" si="87"/>
        <v>36500</v>
      </c>
      <c r="BW79" s="90">
        <f t="shared" ca="1" si="99"/>
        <v>59500</v>
      </c>
      <c r="BX79" s="90">
        <f t="shared" ca="1" si="100"/>
        <v>1645370</v>
      </c>
      <c r="BY79" s="142">
        <f t="shared" ca="1" si="101"/>
        <v>0.58953305335578021</v>
      </c>
      <c r="BZ79" s="142">
        <f t="shared" ca="1" si="102"/>
        <v>9.1900302059719094E-2</v>
      </c>
      <c r="CA79" s="142">
        <f t="shared" ca="1" si="103"/>
        <v>0.21877146173808931</v>
      </c>
      <c r="CB79" s="142">
        <f t="shared" ca="1" si="104"/>
        <v>7.4147456195263074E-3</v>
      </c>
      <c r="CC79" s="142">
        <f t="shared" ca="1" si="105"/>
        <v>3.4034897925694522E-2</v>
      </c>
      <c r="CD79" s="142">
        <f t="shared" ca="1" si="106"/>
        <v>2.2183460255140182E-2</v>
      </c>
      <c r="CE79" s="142">
        <f t="shared" ca="1" si="107"/>
        <v>3.6162079046050434E-2</v>
      </c>
      <c r="CG79" s="128">
        <f t="shared" si="108"/>
        <v>60</v>
      </c>
      <c r="CH79" s="90">
        <f ca="1">INDEX(角色升级!$A:$A,MATCH(玩家节奏1!$BX79,角色升级!$J:$J,1))</f>
        <v>384</v>
      </c>
      <c r="CI79" s="90">
        <f ca="1">INDEX(角色升级!$O:$O,MATCH(玩家节奏1!$BX79,角色升级!$J:$J,1))</f>
        <v>10869.791845000002</v>
      </c>
      <c r="CJ79" s="90">
        <f>INDEX(关卡对比!$J:$J,MATCH(玩家节奏1!N79,关卡对比!$A:$A,0))</f>
        <v>16200</v>
      </c>
      <c r="CK79" s="147">
        <f t="shared" ca="1" si="109"/>
        <v>1.4903689261953845</v>
      </c>
      <c r="CL79" s="128">
        <f ca="1">INDEX(角色升级!$P:$P,MATCH(玩家节奏1!$CH79,角色升级!$A:$A,0))</f>
        <v>3200</v>
      </c>
      <c r="CM79" s="90">
        <f ca="1">INDEX(角色升级!Q:Q,MATCH(玩家节奏1!$CH79,角色升级!$A:$A,0))</f>
        <v>0.5</v>
      </c>
      <c r="CO79" s="128">
        <f t="shared" si="110"/>
        <v>6906</v>
      </c>
      <c r="CP79" s="90">
        <f t="shared" si="111"/>
        <v>9841</v>
      </c>
      <c r="CQ79" s="90">
        <f t="shared" si="112"/>
        <v>9840</v>
      </c>
      <c r="CR79" s="90">
        <f t="shared" ca="1" si="113"/>
        <v>21637.5</v>
      </c>
      <c r="CS79" s="90">
        <f t="shared" ca="1" si="114"/>
        <v>48224.5</v>
      </c>
      <c r="CT79" s="142">
        <f t="shared" ca="1" si="115"/>
        <v>0.14320521726508309</v>
      </c>
      <c r="CU79" s="142">
        <f t="shared" ca="1" si="116"/>
        <v>0.20406639778535807</v>
      </c>
      <c r="CV79" s="142">
        <f t="shared" ca="1" si="117"/>
        <v>0.20404566143765099</v>
      </c>
      <c r="CW79" s="142">
        <f t="shared" ca="1" si="118"/>
        <v>0.44868272351190785</v>
      </c>
      <c r="CY79" s="128">
        <f t="shared" si="119"/>
        <v>3454</v>
      </c>
      <c r="CZ79" s="90">
        <f t="shared" si="120"/>
        <v>4826</v>
      </c>
      <c r="DA79" s="90">
        <f t="shared" si="121"/>
        <v>4752</v>
      </c>
      <c r="DB79" s="90">
        <f t="shared" ca="1" si="122"/>
        <v>12542</v>
      </c>
      <c r="DC79" s="90">
        <f t="shared" ca="1" si="123"/>
        <v>25574</v>
      </c>
      <c r="DD79" s="142">
        <f t="shared" ca="1" si="124"/>
        <v>0.13505904434190974</v>
      </c>
      <c r="DE79" s="142">
        <f t="shared" ca="1" si="125"/>
        <v>0.18870728083209509</v>
      </c>
      <c r="DF79" s="142">
        <f t="shared" ca="1" si="126"/>
        <v>0.18581371705638539</v>
      </c>
      <c r="DG79" s="142">
        <f t="shared" ca="1" si="127"/>
        <v>0.49041995776960978</v>
      </c>
      <c r="DI79" s="128">
        <f t="shared" si="128"/>
        <v>1543</v>
      </c>
      <c r="DJ79" s="90">
        <f t="shared" si="129"/>
        <v>2187</v>
      </c>
      <c r="DK79" s="90">
        <f t="shared" si="130"/>
        <v>1536</v>
      </c>
      <c r="DL79" s="90">
        <f t="shared" ca="1" si="131"/>
        <v>1706.5</v>
      </c>
      <c r="DM79" s="90">
        <f t="shared" ca="1" si="132"/>
        <v>6972.5</v>
      </c>
      <c r="DN79" s="142">
        <f t="shared" ca="1" si="133"/>
        <v>0.22129795625672283</v>
      </c>
      <c r="DO79" s="142">
        <f t="shared" ca="1" si="134"/>
        <v>0.31366081032628185</v>
      </c>
      <c r="DP79" s="142">
        <f t="shared" ca="1" si="135"/>
        <v>0.22029401219074937</v>
      </c>
      <c r="DQ79" s="142">
        <f t="shared" ca="1" si="136"/>
        <v>0.24474722122624595</v>
      </c>
      <c r="DS79" s="128">
        <f t="shared" ca="1" si="137"/>
        <v>48224.5</v>
      </c>
      <c r="DT79" s="90">
        <f t="shared" ca="1" si="138"/>
        <v>25574</v>
      </c>
      <c r="DU79" s="90">
        <f t="shared" ca="1" si="139"/>
        <v>6972.5</v>
      </c>
      <c r="DV79" s="90">
        <f t="shared" si="140"/>
        <v>56</v>
      </c>
      <c r="DW79" s="90">
        <f ca="1">_xlfn.IFNA(INDEX(武器升级消耗!$H:$H,MATCH(玩家节奏1!DS79/玩家节奏1!DS$5,武器升级消耗!M:M,1)),0)</f>
        <v>21</v>
      </c>
      <c r="DX79" s="90">
        <f ca="1">_xlfn.IFNA(INDEX(武器升级消耗!$H:$H,MATCH(玩家节奏1!DT79/玩家节奏1!DT$5,武器升级消耗!N:N,1)),0)</f>
        <v>18</v>
      </c>
      <c r="DY79" s="90">
        <f ca="1">_xlfn.IFNA(INDEX(武器升级消耗!$H:$H,MATCH(玩家节奏1!DU79/玩家节奏1!DU$5,武器升级消耗!O:O,1)),0)</f>
        <v>12</v>
      </c>
      <c r="DZ79" s="90">
        <f>_xlfn.IFNA(INDEX(武器升级消耗!$H:$H,MATCH(玩家节奏1!DV79/玩家节奏1!DV$5,武器升级消耗!P:P,1)),0)</f>
        <v>8</v>
      </c>
      <c r="EA79" s="90">
        <f ca="1">_xlfn.IFNA(INDEX(武器升级消耗!$Q:$Q,MATCH(玩家节奏1!DW79,武器升级消耗!$H:$H,0))*2*EA$4,0)</f>
        <v>3</v>
      </c>
      <c r="EB79" s="90">
        <f ca="1">_xlfn.IFNA(INDEX(武器升级消耗!$Q:$Q,MATCH(玩家节奏1!DX79,武器升级消耗!$H:$H,0))*2*EB$4,0)</f>
        <v>3.3000000000000003</v>
      </c>
      <c r="EC79" s="90">
        <f ca="1">_xlfn.IFNA(INDEX(武器升级消耗!$Q:$Q,MATCH(玩家节奏1!DY79,武器升级消耗!$H:$H,0))*2*EC$4,1)</f>
        <v>3.5200000000000005</v>
      </c>
      <c r="ED79" s="90">
        <f>_xlfn.IFNA(INDEX(武器升级消耗!$Q:$Q,MATCH(玩家节奏1!DZ79,武器升级消耗!$H:$H,0))*2*ED$4,0)</f>
        <v>3.5999999999999996</v>
      </c>
      <c r="EF79" s="128"/>
      <c r="EG79" s="90"/>
      <c r="EH79" s="90"/>
      <c r="EI79" s="90"/>
      <c r="EJ79" s="90"/>
      <c r="EK79" s="90"/>
      <c r="EL79" s="90"/>
      <c r="EM79" s="90"/>
      <c r="EO79" s="128"/>
      <c r="EP79" s="90"/>
      <c r="EQ79" s="90"/>
      <c r="ER79" s="90"/>
      <c r="ES79" s="90"/>
      <c r="ET79" s="90"/>
      <c r="EU79" s="90"/>
      <c r="EV79" s="90"/>
      <c r="EW79" s="90"/>
      <c r="EX79" s="90"/>
      <c r="EY79" s="90"/>
      <c r="EZ79" s="90"/>
      <c r="FA79" s="90"/>
      <c r="FB79" s="90"/>
      <c r="FD79" s="90">
        <f t="shared" ca="1" si="141"/>
        <v>3.5200000000000005</v>
      </c>
      <c r="FE79" s="90"/>
      <c r="FF79" s="90"/>
      <c r="FG79" s="90">
        <f t="shared" ca="1" si="142"/>
        <v>0</v>
      </c>
    </row>
    <row r="80" spans="1:163" x14ac:dyDescent="0.25">
      <c r="A80" s="123">
        <v>74</v>
      </c>
      <c r="B80" s="123">
        <f>INDEX(关卡对比!$Y:$Y,MATCH(关卡对比!Z80,关卡对比!$AA:$AA,1))</f>
        <v>50</v>
      </c>
      <c r="C80" s="124">
        <f>INDEX(关卡对比!$Y:$Y,MATCH(关卡对比!Z80,关卡对比!$AB:$AB,1))</f>
        <v>42</v>
      </c>
      <c r="D80" s="125">
        <f t="shared" si="70"/>
        <v>467.5</v>
      </c>
      <c r="E80" s="125">
        <v>3</v>
      </c>
      <c r="F80" s="128">
        <v>5</v>
      </c>
      <c r="G80" s="90">
        <v>1</v>
      </c>
      <c r="H80" s="90">
        <v>1</v>
      </c>
      <c r="J80" s="128">
        <v>74</v>
      </c>
      <c r="K80" s="90">
        <f t="shared" si="88"/>
        <v>5</v>
      </c>
      <c r="L80" s="90">
        <f t="shared" si="89"/>
        <v>1</v>
      </c>
      <c r="M80" s="90">
        <f t="shared" si="90"/>
        <v>1</v>
      </c>
      <c r="N80" s="140">
        <f>INDEX($A:$A,MATCH(SUM($K$7:K80),$D:$D,1))</f>
        <v>62</v>
      </c>
      <c r="O80" s="140">
        <v>0</v>
      </c>
      <c r="P80" s="141">
        <v>0</v>
      </c>
      <c r="Q80" s="126">
        <f>_xlfn.MAXIFS(关卡产出!X:X,关卡产出!$A:$A,玩家节奏1!$N$6,关卡产出!$B:$B,玩家节奏1!$N80)+_xlfn.MAXIFS(关卡产出!X:X,关卡产出!$A:$A,玩家节奏1!$O$6,关卡产出!$B:$B,玩家节奏1!$O80)+_xlfn.MAXIFS(关卡产出!X:X,关卡产出!$A:$A,玩家节奏1!$P$6,关卡产出!$B:$B,玩家节奏1!$P80)</f>
        <v>10900</v>
      </c>
      <c r="R80" s="90">
        <f>_xlfn.MAXIFS(关卡产出!Y:Y,关卡产出!$A:$A,玩家节奏1!$N$6,关卡产出!$B:$B,玩家节奏1!$N80)+_xlfn.MAXIFS(关卡产出!Y:Y,关卡产出!$A:$A,玩家节奏1!$O$6,关卡产出!$B:$B,玩家节奏1!$O80)+_xlfn.MAXIFS(关卡产出!Y:Y,关卡产出!$A:$A,玩家节奏1!$P$6,关卡产出!$B:$B,玩家节奏1!$P80)</f>
        <v>1039200</v>
      </c>
      <c r="S80" s="90">
        <f>_xlfn.MAXIFS(关卡产出!Z:Z,关卡产出!$A:$A,玩家节奏1!$N$6,关卡产出!$B:$B,玩家节奏1!$N80)+_xlfn.MAXIFS(关卡产出!Z:Z,关卡产出!$A:$A,玩家节奏1!$O$6,关卡产出!$B:$B,玩家节奏1!$O80)+_xlfn.MAXIFS(关卡产出!Z:Z,关卡产出!$A:$A,玩家节奏1!$P$6,关卡产出!$B:$B,玩家节奏1!$P80)</f>
        <v>7382</v>
      </c>
      <c r="T80" s="90">
        <f>_xlfn.MAXIFS(关卡产出!AA:AA,关卡产出!$A:$A,玩家节奏1!$N$6,关卡产出!$B:$B,玩家节奏1!$N80)+_xlfn.MAXIFS(关卡产出!AA:AA,关卡产出!$A:$A,玩家节奏1!$O$6,关卡产出!$B:$B,玩家节奏1!$O80)+_xlfn.MAXIFS(关卡产出!AA:AA,关卡产出!$A:$A,玩家节奏1!$P$6,关卡产出!$B:$B,玩家节奏1!$P80)</f>
        <v>3692</v>
      </c>
      <c r="U80" s="90">
        <f>_xlfn.MAXIFS(关卡产出!AB:AB,关卡产出!$A:$A,玩家节奏1!$N$6,关卡产出!$B:$B,玩家节奏1!$N80)+_xlfn.MAXIFS(关卡产出!AB:AB,关卡产出!$A:$A,玩家节奏1!$O$6,关卡产出!$B:$B,玩家节奏1!$O80)+_xlfn.MAXIFS(关卡产出!AB:AB,关卡产出!$A:$A,玩家节奏1!$P$6,关卡产出!$B:$B,玩家节奏1!$P80)</f>
        <v>1656</v>
      </c>
      <c r="V80" s="130">
        <f>_xlfn.MAXIFS(关卡产出!AC:AC,关卡产出!$A:$A,玩家节奏1!$N$6,关卡产出!$B:$B,玩家节奏1!$N80)+_xlfn.MAXIFS(关卡产出!AC:AC,关卡产出!$A:$A,玩家节奏1!$O$6,关卡产出!$B:$B,玩家节奏1!$O80)+_xlfn.MAXIFS(关卡产出!AC:AC,关卡产出!$A:$A,玩家节奏1!$P$6,关卡产出!$B:$B,玩家节奏1!$P80)</f>
        <v>372</v>
      </c>
      <c r="W80" s="126">
        <f>INDEX(关卡产出!C$8:C$207,MATCH(玩家节奏1!$N80,关卡产出!$B$8:$B$207,0))*$K80</f>
        <v>240</v>
      </c>
      <c r="X80" s="126">
        <f>INDEX(关卡产出!D$8:D$207,MATCH(玩家节奏1!$N80,关卡产出!$B$8:$B$207,0))*$K80</f>
        <v>120</v>
      </c>
      <c r="Y80" s="126">
        <f>INDEX(关卡产出!E$8:E$207,MATCH(玩家节奏1!$N80,关卡产出!$B$8:$B$207,0))*$K80</f>
        <v>55</v>
      </c>
      <c r="Z80" s="144">
        <f>INDEX(关卡产出!F$8:F$207,MATCH(玩家节奏1!$N80,关卡产出!$B$8:$B$207,0))*$K80</f>
        <v>3350</v>
      </c>
      <c r="AA80" s="126">
        <f>SUM(W$7:W80)</f>
        <v>10081</v>
      </c>
      <c r="AB80" s="126">
        <f>SUM(X$7:X80)</f>
        <v>4946</v>
      </c>
      <c r="AC80" s="126">
        <f>SUM(Y$7:Y80)</f>
        <v>2242</v>
      </c>
      <c r="AD80" s="126">
        <f>SUM(Z$7:Z80)</f>
        <v>154560</v>
      </c>
      <c r="AE80" s="126">
        <f>INDEX(图鉴!AQ:AQ,MATCH($N80,图鉴!$S:$S,0))*8</f>
        <v>168</v>
      </c>
      <c r="AF80" s="90">
        <f>INDEX(图鉴!AR:AR,MATCH($N80,图鉴!$S:$S,0))*8</f>
        <v>96</v>
      </c>
      <c r="AG80" s="90">
        <f>INDEX(图鉴!AS:AS,MATCH($N80,图鉴!$S:$S,0))*8</f>
        <v>32</v>
      </c>
      <c r="AH80" s="129">
        <f ca="1">INDEX(图鉴!AT:AT,MATCH($N80,图鉴!$S:$S,0))*8</f>
        <v>7240</v>
      </c>
      <c r="AI80" s="128">
        <f>SUM($AE$7:AE80)</f>
        <v>10008</v>
      </c>
      <c r="AJ80" s="90">
        <f>SUM(AF$7:AF80)</f>
        <v>4848</v>
      </c>
      <c r="AK80" s="90">
        <f>SUM(AG$7:AG80)</f>
        <v>1568</v>
      </c>
      <c r="AL80" s="130">
        <f ca="1">SUM(AH$7:AH80)</f>
        <v>367200</v>
      </c>
      <c r="AM80" s="133">
        <f>IF(M80=0,0,INDEX(关卡产出!$AU$11:$AU$15,MATCH(玩家节奏1!N80,关卡产出!$AW$11:$AW$15,1))*M80)</f>
        <v>12200</v>
      </c>
      <c r="AN80" s="126">
        <f>IF(L80=0,0,$L80*关卡产出!AU$21)</f>
        <v>1000</v>
      </c>
      <c r="AO80" s="90">
        <f>IF(M80=0,0,$L80*关卡产出!AV$21)</f>
        <v>50</v>
      </c>
      <c r="AP80" s="129">
        <f>IF(N80=0,0,$L80*关卡产出!AW$21)</f>
        <v>1</v>
      </c>
      <c r="AQ80" s="138">
        <f>SUM(AN$7:AN80)</f>
        <v>57000</v>
      </c>
      <c r="AR80" s="126">
        <f>SUM(AO$7:AO80)</f>
        <v>2850</v>
      </c>
      <c r="AS80" s="129">
        <f>SUM(AP$7:AP80)</f>
        <v>57</v>
      </c>
      <c r="AT80" s="128">
        <v>500</v>
      </c>
      <c r="AU80" s="129">
        <v>100</v>
      </c>
      <c r="AV80" s="128">
        <f>SUM(AT$7:AT80)</f>
        <v>37000</v>
      </c>
      <c r="AW80" s="90">
        <f>SUM(AU$7:AU80)</f>
        <v>7400</v>
      </c>
      <c r="AY80" s="128">
        <f t="shared" si="91"/>
        <v>10900</v>
      </c>
      <c r="AZ80" s="90">
        <f t="shared" si="92"/>
        <v>2850</v>
      </c>
      <c r="BA80" s="90">
        <f t="shared" si="93"/>
        <v>7400</v>
      </c>
      <c r="BB80" s="90">
        <f t="shared" ca="1" si="143"/>
        <v>3200</v>
      </c>
      <c r="BC80" s="90">
        <f t="shared" ca="1" si="144"/>
        <v>24350</v>
      </c>
      <c r="BD80" s="90"/>
      <c r="BE80" s="90">
        <f t="shared" ca="1" si="94"/>
        <v>24350</v>
      </c>
      <c r="BF80" s="142">
        <f t="shared" ca="1" si="95"/>
        <v>0.44763860369609854</v>
      </c>
      <c r="BG80" s="142">
        <f t="shared" ca="1" si="96"/>
        <v>0.11704312114989733</v>
      </c>
      <c r="BH80" s="142">
        <f t="shared" ca="1" si="97"/>
        <v>0.30390143737166325</v>
      </c>
      <c r="BI80" s="142">
        <f t="shared" ca="1" si="98"/>
        <v>0.13141683778234087</v>
      </c>
      <c r="BJ80" s="143"/>
      <c r="BK80" s="128">
        <f ca="1">INDEX(商城宝箱!$L:$L,MATCH(BC80,商城宝箱!$N:$N,1))</f>
        <v>7</v>
      </c>
      <c r="BL80" s="90">
        <f ca="1">_xlfn.IFNA(INDEX(商城宝箱!T:T,MATCH(玩家节奏1!$BK80,商城宝箱!$L:$L,0)),0)+($BC80-INDEX(商城宝箱!$N:$N,MATCH(玩家节奏1!$BK80,商城宝箱!$L:$L,0)))/$BK$5*INDEX(商城宝箱!E$23:E$42,MATCH(玩家节奏1!$BK80+1,商城宝箱!$C$23:$C$42,0))</f>
        <v>60875</v>
      </c>
      <c r="BM80" s="90">
        <f ca="1">_xlfn.IFNA(INDEX(商城宝箱!U:U,MATCH(玩家节奏1!$BK80,商城宝箱!$L:$L,0)),0)+($BC80-INDEX(商城宝箱!$N:$N,MATCH(玩家节奏1!$BK80,商城宝箱!$L:$L,0)))/$BK$5*INDEX(商城宝箱!F$23:F$42,MATCH(玩家节奏1!$BK80+1,商城宝箱!$C$23:$C$42,0))</f>
        <v>22600</v>
      </c>
      <c r="BN80" s="90">
        <f ca="1">_xlfn.IFNA(INDEX(商城宝箱!V:V,MATCH(玩家节奏1!$BK80,商城宝箱!$L:$L,0)),0)+($BC80-INDEX(商城宝箱!$N:$N,MATCH(玩家节奏1!$BK80,商城宝箱!$L:$L,0)))/$BK$5*INDEX(商城宝箱!G$23:G$42,MATCH(玩家节奏1!$BK80+1,商城宝箱!$C$23:$C$42,0))</f>
        <v>13174.5</v>
      </c>
      <c r="BO80" s="90">
        <f ca="1">_xlfn.IFNA(INDEX(商城宝箱!W:W,MATCH(玩家节奏1!$BK80,商城宝箱!$L:$L,0)),0)+($BC80-INDEX(商城宝箱!$N:$N,MATCH(玩家节奏1!$BK80,商城宝箱!$L:$L,0)))/$BK$5*INDEX(商城宝箱!H$23:H$42,MATCH(玩家节奏1!$BK80+1,商城宝箱!$C$23:$C$42,0))</f>
        <v>1789</v>
      </c>
      <c r="BQ80" s="128">
        <f t="shared" si="82"/>
        <v>1039200</v>
      </c>
      <c r="BR80" s="90">
        <f t="shared" si="83"/>
        <v>154560</v>
      </c>
      <c r="BS80" s="90">
        <f t="shared" ca="1" si="84"/>
        <v>367200</v>
      </c>
      <c r="BT80" s="90">
        <f t="shared" si="85"/>
        <v>12200</v>
      </c>
      <c r="BU80" s="90">
        <f t="shared" si="86"/>
        <v>57000</v>
      </c>
      <c r="BV80" s="90">
        <f t="shared" si="87"/>
        <v>37000</v>
      </c>
      <c r="BW80" s="90">
        <f t="shared" ca="1" si="99"/>
        <v>60875</v>
      </c>
      <c r="BX80" s="90">
        <f t="shared" ca="1" si="100"/>
        <v>1728035</v>
      </c>
      <c r="BY80" s="142">
        <f t="shared" ca="1" si="101"/>
        <v>0.60137670822639588</v>
      </c>
      <c r="BZ80" s="142">
        <f t="shared" ca="1" si="102"/>
        <v>8.9442632817043635E-2</v>
      </c>
      <c r="CA80" s="142">
        <f t="shared" ca="1" si="103"/>
        <v>0.21249569597838006</v>
      </c>
      <c r="CB80" s="142">
        <f t="shared" ca="1" si="104"/>
        <v>7.0600421866455253E-3</v>
      </c>
      <c r="CC80" s="142">
        <f t="shared" ca="1" si="105"/>
        <v>3.2985443003179911E-2</v>
      </c>
      <c r="CD80" s="142">
        <f t="shared" ca="1" si="106"/>
        <v>2.1411603352941348E-2</v>
      </c>
      <c r="CE80" s="142">
        <f t="shared" ca="1" si="107"/>
        <v>3.5227874435413635E-2</v>
      </c>
      <c r="CG80" s="128">
        <f t="shared" si="108"/>
        <v>62</v>
      </c>
      <c r="CH80" s="90">
        <f ca="1">INDEX(角色升级!$A:$A,MATCH(玩家节奏1!$BX80,角色升级!$J:$J,1))</f>
        <v>393</v>
      </c>
      <c r="CI80" s="90">
        <f ca="1">INDEX(角色升级!$O:$O,MATCH(玩家节奏1!$BX80,角色升级!$J:$J,1))</f>
        <v>11393.25834</v>
      </c>
      <c r="CJ80" s="90">
        <f>INDEX(关卡对比!$J:$J,MATCH(玩家节奏1!N80,关卡对比!$A:$A,0))</f>
        <v>17200</v>
      </c>
      <c r="CK80" s="147">
        <f t="shared" ca="1" si="109"/>
        <v>1.5096647058035551</v>
      </c>
      <c r="CL80" s="128">
        <f ca="1">INDEX(角色升级!$P:$P,MATCH(玩家节奏1!$CH80,角色升级!$A:$A,0))</f>
        <v>3200</v>
      </c>
      <c r="CM80" s="90">
        <f ca="1">INDEX(角色升级!Q:Q,MATCH(玩家节奏1!$CH80,角色升级!$A:$A,0))</f>
        <v>0.5</v>
      </c>
      <c r="CO80" s="128">
        <f t="shared" si="110"/>
        <v>7382</v>
      </c>
      <c r="CP80" s="90">
        <f t="shared" si="111"/>
        <v>10081</v>
      </c>
      <c r="CQ80" s="90">
        <f t="shared" si="112"/>
        <v>10008</v>
      </c>
      <c r="CR80" s="90">
        <f t="shared" ca="1" si="113"/>
        <v>22600</v>
      </c>
      <c r="CS80" s="90">
        <f t="shared" ca="1" si="114"/>
        <v>50071</v>
      </c>
      <c r="CT80" s="142">
        <f t="shared" ca="1" si="115"/>
        <v>0.1474306484791596</v>
      </c>
      <c r="CU80" s="142">
        <f t="shared" ca="1" si="116"/>
        <v>0.20133410557009046</v>
      </c>
      <c r="CV80" s="142">
        <f t="shared" ca="1" si="117"/>
        <v>0.19987617583032094</v>
      </c>
      <c r="CW80" s="142">
        <f t="shared" ca="1" si="118"/>
        <v>0.45135907012042897</v>
      </c>
      <c r="CY80" s="128">
        <f t="shared" si="119"/>
        <v>3692</v>
      </c>
      <c r="CZ80" s="90">
        <f t="shared" si="120"/>
        <v>4946</v>
      </c>
      <c r="DA80" s="90">
        <f t="shared" si="121"/>
        <v>4848</v>
      </c>
      <c r="DB80" s="90">
        <f t="shared" ca="1" si="122"/>
        <v>13174.5</v>
      </c>
      <c r="DC80" s="90">
        <f t="shared" ca="1" si="123"/>
        <v>26660.5</v>
      </c>
      <c r="DD80" s="142">
        <f t="shared" ca="1" si="124"/>
        <v>0.1384820239680426</v>
      </c>
      <c r="DE80" s="142">
        <f t="shared" ca="1" si="125"/>
        <v>0.18551790101460963</v>
      </c>
      <c r="DF80" s="142">
        <f t="shared" ca="1" si="126"/>
        <v>0.18184205097428779</v>
      </c>
      <c r="DG80" s="142">
        <f t="shared" ca="1" si="127"/>
        <v>0.49415802404305997</v>
      </c>
      <c r="DI80" s="128">
        <f t="shared" si="128"/>
        <v>1656</v>
      </c>
      <c r="DJ80" s="90">
        <f t="shared" si="129"/>
        <v>2242</v>
      </c>
      <c r="DK80" s="90">
        <f t="shared" si="130"/>
        <v>1568</v>
      </c>
      <c r="DL80" s="90">
        <f t="shared" ca="1" si="131"/>
        <v>1789</v>
      </c>
      <c r="DM80" s="90">
        <f t="shared" ca="1" si="132"/>
        <v>7255</v>
      </c>
      <c r="DN80" s="142">
        <f t="shared" ca="1" si="133"/>
        <v>0.22825637491385251</v>
      </c>
      <c r="DO80" s="142">
        <f t="shared" ca="1" si="134"/>
        <v>0.30902825637491388</v>
      </c>
      <c r="DP80" s="142">
        <f t="shared" ca="1" si="135"/>
        <v>0.21612680909717435</v>
      </c>
      <c r="DQ80" s="142">
        <f t="shared" ca="1" si="136"/>
        <v>0.24658855961405926</v>
      </c>
      <c r="DS80" s="128">
        <f t="shared" ca="1" si="137"/>
        <v>50071</v>
      </c>
      <c r="DT80" s="90">
        <f t="shared" ca="1" si="138"/>
        <v>26660.5</v>
      </c>
      <c r="DU80" s="90">
        <f t="shared" ca="1" si="139"/>
        <v>7255</v>
      </c>
      <c r="DV80" s="90">
        <f t="shared" si="140"/>
        <v>57</v>
      </c>
      <c r="DW80" s="90">
        <f ca="1">_xlfn.IFNA(INDEX(武器升级消耗!$H:$H,MATCH(玩家节奏1!DS80/玩家节奏1!DS$5,武器升级消耗!M:M,1)),0)</f>
        <v>21</v>
      </c>
      <c r="DX80" s="90">
        <f ca="1">_xlfn.IFNA(INDEX(武器升级消耗!$H:$H,MATCH(玩家节奏1!DT80/玩家节奏1!DT$5,武器升级消耗!N:N,1)),0)</f>
        <v>18</v>
      </c>
      <c r="DY80" s="90">
        <f ca="1">_xlfn.IFNA(INDEX(武器升级消耗!$H:$H,MATCH(玩家节奏1!DU80/玩家节奏1!DU$5,武器升级消耗!O:O,1)),0)</f>
        <v>12</v>
      </c>
      <c r="DZ80" s="90">
        <f>_xlfn.IFNA(INDEX(武器升级消耗!$H:$H,MATCH(玩家节奏1!DV80/玩家节奏1!DV$5,武器升级消耗!P:P,1)),0)</f>
        <v>8</v>
      </c>
      <c r="EA80" s="90">
        <f ca="1">_xlfn.IFNA(INDEX(武器升级消耗!$Q:$Q,MATCH(玩家节奏1!DW80,武器升级消耗!$H:$H,0))*2*EA$4,0)</f>
        <v>3</v>
      </c>
      <c r="EB80" s="90">
        <f ca="1">_xlfn.IFNA(INDEX(武器升级消耗!$Q:$Q,MATCH(玩家节奏1!DX80,武器升级消耗!$H:$H,0))*2*EB$4,0)</f>
        <v>3.3000000000000003</v>
      </c>
      <c r="EC80" s="90">
        <f ca="1">_xlfn.IFNA(INDEX(武器升级消耗!$Q:$Q,MATCH(玩家节奏1!DY80,武器升级消耗!$H:$H,0))*2*EC$4,1)</f>
        <v>3.5200000000000005</v>
      </c>
      <c r="ED80" s="90">
        <f>_xlfn.IFNA(INDEX(武器升级消耗!$Q:$Q,MATCH(玩家节奏1!DZ80,武器升级消耗!$H:$H,0))*2*ED$4,0)</f>
        <v>3.5999999999999996</v>
      </c>
      <c r="EF80" s="128"/>
      <c r="EG80" s="90"/>
      <c r="EH80" s="90"/>
      <c r="EI80" s="90"/>
      <c r="EJ80" s="90"/>
      <c r="EK80" s="90"/>
      <c r="EL80" s="90"/>
      <c r="EM80" s="90"/>
      <c r="EO80" s="128"/>
      <c r="EP80" s="90"/>
      <c r="EQ80" s="90"/>
      <c r="ER80" s="90"/>
      <c r="ES80" s="90"/>
      <c r="ET80" s="90"/>
      <c r="EU80" s="90"/>
      <c r="EV80" s="90"/>
      <c r="EW80" s="90"/>
      <c r="EX80" s="90"/>
      <c r="EY80" s="90"/>
      <c r="EZ80" s="90"/>
      <c r="FA80" s="90"/>
      <c r="FB80" s="90"/>
      <c r="FD80" s="90">
        <f t="shared" ca="1" si="141"/>
        <v>3.5200000000000005</v>
      </c>
      <c r="FE80" s="90"/>
      <c r="FF80" s="90"/>
      <c r="FG80" s="90">
        <f t="shared" ca="1" si="142"/>
        <v>0</v>
      </c>
    </row>
    <row r="81" spans="1:163" x14ac:dyDescent="0.25">
      <c r="A81" s="123">
        <v>75</v>
      </c>
      <c r="B81" s="123">
        <f>INDEX(关卡对比!$Y:$Y,MATCH(关卡对比!Z81,关卡对比!$AA:$AA,1))</f>
        <v>51</v>
      </c>
      <c r="C81" s="124">
        <f>INDEX(关卡对比!$Y:$Y,MATCH(关卡对比!Z81,关卡对比!$AB:$AB,1))</f>
        <v>43</v>
      </c>
      <c r="D81" s="125">
        <f t="shared" si="70"/>
        <v>476.5</v>
      </c>
      <c r="E81" s="125">
        <v>3</v>
      </c>
      <c r="F81" s="128">
        <v>5</v>
      </c>
      <c r="G81" s="90">
        <v>1</v>
      </c>
      <c r="H81" s="90">
        <v>1</v>
      </c>
      <c r="J81" s="128">
        <v>75</v>
      </c>
      <c r="K81" s="90">
        <f t="shared" si="88"/>
        <v>5</v>
      </c>
      <c r="L81" s="90">
        <f t="shared" si="89"/>
        <v>1</v>
      </c>
      <c r="M81" s="90">
        <f t="shared" si="90"/>
        <v>1</v>
      </c>
      <c r="N81" s="140">
        <f>INDEX($A:$A,MATCH(SUM($K$7:K81),$D:$D,1))</f>
        <v>62</v>
      </c>
      <c r="O81" s="140">
        <v>0</v>
      </c>
      <c r="P81" s="141">
        <v>0</v>
      </c>
      <c r="Q81" s="126">
        <f>_xlfn.MAXIFS(关卡产出!X:X,关卡产出!$A:$A,玩家节奏1!$N$6,关卡产出!$B:$B,玩家节奏1!$N81)+_xlfn.MAXIFS(关卡产出!X:X,关卡产出!$A:$A,玩家节奏1!$O$6,关卡产出!$B:$B,玩家节奏1!$O81)+_xlfn.MAXIFS(关卡产出!X:X,关卡产出!$A:$A,玩家节奏1!$P$6,关卡产出!$B:$B,玩家节奏1!$P81)</f>
        <v>10900</v>
      </c>
      <c r="R81" s="90">
        <f>_xlfn.MAXIFS(关卡产出!Y:Y,关卡产出!$A:$A,玩家节奏1!$N$6,关卡产出!$B:$B,玩家节奏1!$N81)+_xlfn.MAXIFS(关卡产出!Y:Y,关卡产出!$A:$A,玩家节奏1!$O$6,关卡产出!$B:$B,玩家节奏1!$O81)+_xlfn.MAXIFS(关卡产出!Y:Y,关卡产出!$A:$A,玩家节奏1!$P$6,关卡产出!$B:$B,玩家节奏1!$P81)</f>
        <v>1039200</v>
      </c>
      <c r="S81" s="90">
        <f>_xlfn.MAXIFS(关卡产出!Z:Z,关卡产出!$A:$A,玩家节奏1!$N$6,关卡产出!$B:$B,玩家节奏1!$N81)+_xlfn.MAXIFS(关卡产出!Z:Z,关卡产出!$A:$A,玩家节奏1!$O$6,关卡产出!$B:$B,玩家节奏1!$O81)+_xlfn.MAXIFS(关卡产出!Z:Z,关卡产出!$A:$A,玩家节奏1!$P$6,关卡产出!$B:$B,玩家节奏1!$P81)</f>
        <v>7382</v>
      </c>
      <c r="T81" s="90">
        <f>_xlfn.MAXIFS(关卡产出!AA:AA,关卡产出!$A:$A,玩家节奏1!$N$6,关卡产出!$B:$B,玩家节奏1!$N81)+_xlfn.MAXIFS(关卡产出!AA:AA,关卡产出!$A:$A,玩家节奏1!$O$6,关卡产出!$B:$B,玩家节奏1!$O81)+_xlfn.MAXIFS(关卡产出!AA:AA,关卡产出!$A:$A,玩家节奏1!$P$6,关卡产出!$B:$B,玩家节奏1!$P81)</f>
        <v>3692</v>
      </c>
      <c r="U81" s="90">
        <f>_xlfn.MAXIFS(关卡产出!AB:AB,关卡产出!$A:$A,玩家节奏1!$N$6,关卡产出!$B:$B,玩家节奏1!$N81)+_xlfn.MAXIFS(关卡产出!AB:AB,关卡产出!$A:$A,玩家节奏1!$O$6,关卡产出!$B:$B,玩家节奏1!$O81)+_xlfn.MAXIFS(关卡产出!AB:AB,关卡产出!$A:$A,玩家节奏1!$P$6,关卡产出!$B:$B,玩家节奏1!$P81)</f>
        <v>1656</v>
      </c>
      <c r="V81" s="130">
        <f>_xlfn.MAXIFS(关卡产出!AC:AC,关卡产出!$A:$A,玩家节奏1!$N$6,关卡产出!$B:$B,玩家节奏1!$N81)+_xlfn.MAXIFS(关卡产出!AC:AC,关卡产出!$A:$A,玩家节奏1!$O$6,关卡产出!$B:$B,玩家节奏1!$O81)+_xlfn.MAXIFS(关卡产出!AC:AC,关卡产出!$A:$A,玩家节奏1!$P$6,关卡产出!$B:$B,玩家节奏1!$P81)</f>
        <v>372</v>
      </c>
      <c r="W81" s="126">
        <f>INDEX(关卡产出!C$8:C$207,MATCH(玩家节奏1!$N81,关卡产出!$B$8:$B$207,0))*$K81</f>
        <v>240</v>
      </c>
      <c r="X81" s="126">
        <f>INDEX(关卡产出!D$8:D$207,MATCH(玩家节奏1!$N81,关卡产出!$B$8:$B$207,0))*$K81</f>
        <v>120</v>
      </c>
      <c r="Y81" s="126">
        <f>INDEX(关卡产出!E$8:E$207,MATCH(玩家节奏1!$N81,关卡产出!$B$8:$B$207,0))*$K81</f>
        <v>55</v>
      </c>
      <c r="Z81" s="144">
        <f>INDEX(关卡产出!F$8:F$207,MATCH(玩家节奏1!$N81,关卡产出!$B$8:$B$207,0))*$K81</f>
        <v>3350</v>
      </c>
      <c r="AA81" s="126">
        <f>SUM(W$7:W81)</f>
        <v>10321</v>
      </c>
      <c r="AB81" s="126">
        <f>SUM(X$7:X81)</f>
        <v>5066</v>
      </c>
      <c r="AC81" s="126">
        <f>SUM(Y$7:Y81)</f>
        <v>2297</v>
      </c>
      <c r="AD81" s="126">
        <f>SUM(Z$7:Z81)</f>
        <v>157910</v>
      </c>
      <c r="AE81" s="126">
        <f>INDEX(图鉴!AQ:AQ,MATCH($N81,图鉴!$S:$S,0))*8</f>
        <v>168</v>
      </c>
      <c r="AF81" s="90">
        <f>INDEX(图鉴!AR:AR,MATCH($N81,图鉴!$S:$S,0))*8</f>
        <v>96</v>
      </c>
      <c r="AG81" s="90">
        <f>INDEX(图鉴!AS:AS,MATCH($N81,图鉴!$S:$S,0))*8</f>
        <v>32</v>
      </c>
      <c r="AH81" s="129">
        <f ca="1">INDEX(图鉴!AT:AT,MATCH($N81,图鉴!$S:$S,0))*8</f>
        <v>7240</v>
      </c>
      <c r="AI81" s="128">
        <f>SUM($AE$7:AE81)</f>
        <v>10176</v>
      </c>
      <c r="AJ81" s="90">
        <f>SUM(AF$7:AF81)</f>
        <v>4944</v>
      </c>
      <c r="AK81" s="90">
        <f>SUM(AG$7:AG81)</f>
        <v>1600</v>
      </c>
      <c r="AL81" s="130">
        <f ca="1">SUM(AH$7:AH81)</f>
        <v>374440</v>
      </c>
      <c r="AM81" s="133">
        <f>IF(M81=0,0,INDEX(关卡产出!$AU$11:$AU$15,MATCH(玩家节奏1!N81,关卡产出!$AW$11:$AW$15,1))*M81)</f>
        <v>12200</v>
      </c>
      <c r="AN81" s="126">
        <f>IF(L81=0,0,$L81*关卡产出!AU$21)</f>
        <v>1000</v>
      </c>
      <c r="AO81" s="90">
        <f>IF(M81=0,0,$L81*关卡产出!AV$21)</f>
        <v>50</v>
      </c>
      <c r="AP81" s="129">
        <f>IF(N81=0,0,$L81*关卡产出!AW$21)</f>
        <v>1</v>
      </c>
      <c r="AQ81" s="138">
        <f>SUM(AN$7:AN81)</f>
        <v>58000</v>
      </c>
      <c r="AR81" s="126">
        <f>SUM(AO$7:AO81)</f>
        <v>2900</v>
      </c>
      <c r="AS81" s="129">
        <f>SUM(AP$7:AP81)</f>
        <v>58</v>
      </c>
      <c r="AT81" s="128">
        <v>500</v>
      </c>
      <c r="AU81" s="129">
        <v>100</v>
      </c>
      <c r="AV81" s="128">
        <f>SUM(AT$7:AT81)</f>
        <v>37500</v>
      </c>
      <c r="AW81" s="90">
        <f>SUM(AU$7:AU81)</f>
        <v>7500</v>
      </c>
      <c r="AY81" s="128">
        <f t="shared" si="91"/>
        <v>10900</v>
      </c>
      <c r="AZ81" s="90">
        <f t="shared" si="92"/>
        <v>2900</v>
      </c>
      <c r="BA81" s="90">
        <f t="shared" si="93"/>
        <v>7500</v>
      </c>
      <c r="BB81" s="90">
        <f t="shared" ca="1" si="143"/>
        <v>3200</v>
      </c>
      <c r="BC81" s="90">
        <f t="shared" ca="1" si="144"/>
        <v>24500</v>
      </c>
      <c r="BD81" s="90"/>
      <c r="BE81" s="90">
        <f t="shared" ca="1" si="94"/>
        <v>24500</v>
      </c>
      <c r="BF81" s="142">
        <f t="shared" ca="1" si="95"/>
        <v>0.44489795918367347</v>
      </c>
      <c r="BG81" s="142">
        <f t="shared" ca="1" si="96"/>
        <v>0.11836734693877551</v>
      </c>
      <c r="BH81" s="142">
        <f t="shared" ca="1" si="97"/>
        <v>0.30612244897959184</v>
      </c>
      <c r="BI81" s="142">
        <f t="shared" ca="1" si="98"/>
        <v>0.1306122448979592</v>
      </c>
      <c r="BJ81" s="143"/>
      <c r="BK81" s="128">
        <f ca="1">INDEX(商城宝箱!$L:$L,MATCH(BC81,商城宝箱!$N:$N,1))</f>
        <v>7</v>
      </c>
      <c r="BL81" s="90">
        <f ca="1">_xlfn.IFNA(INDEX(商城宝箱!T:T,MATCH(玩家节奏1!$BK81,商城宝箱!$L:$L,0)),0)+($BC81-INDEX(商城宝箱!$N:$N,MATCH(玩家节奏1!$BK81,商城宝箱!$L:$L,0)))/$BK$5*INDEX(商城宝箱!E$23:E$42,MATCH(玩家节奏1!$BK81+1,商城宝箱!$C$23:$C$42,0))</f>
        <v>61250</v>
      </c>
      <c r="BM81" s="90">
        <f ca="1">_xlfn.IFNA(INDEX(商城宝箱!U:U,MATCH(玩家节奏1!$BK81,商城宝箱!$L:$L,0)),0)+($BC81-INDEX(商城宝箱!$N:$N,MATCH(玩家节奏1!$BK81,商城宝箱!$L:$L,0)))/$BK$5*INDEX(商城宝箱!F$23:F$42,MATCH(玩家节奏1!$BK81+1,商城宝箱!$C$23:$C$42,0))</f>
        <v>22862.5</v>
      </c>
      <c r="BN81" s="90">
        <f ca="1">_xlfn.IFNA(INDEX(商城宝箱!V:V,MATCH(玩家节奏1!$BK81,商城宝箱!$L:$L,0)),0)+($BC81-INDEX(商城宝箱!$N:$N,MATCH(玩家节奏1!$BK81,商城宝箱!$L:$L,0)))/$BK$5*INDEX(商城宝箱!G$23:G$42,MATCH(玩家节奏1!$BK81+1,商城宝箱!$C$23:$C$42,0))</f>
        <v>13347</v>
      </c>
      <c r="BO81" s="90">
        <f ca="1">_xlfn.IFNA(INDEX(商城宝箱!W:W,MATCH(玩家节奏1!$BK81,商城宝箱!$L:$L,0)),0)+($BC81-INDEX(商城宝箱!$N:$N,MATCH(玩家节奏1!$BK81,商城宝箱!$L:$L,0)))/$BK$5*INDEX(商城宝箱!H$23:H$42,MATCH(玩家节奏1!$BK81+1,商城宝箱!$C$23:$C$42,0))</f>
        <v>1811.5</v>
      </c>
      <c r="BQ81" s="128">
        <f t="shared" si="82"/>
        <v>1039200</v>
      </c>
      <c r="BR81" s="90">
        <f t="shared" si="83"/>
        <v>157910</v>
      </c>
      <c r="BS81" s="90">
        <f t="shared" ca="1" si="84"/>
        <v>374440</v>
      </c>
      <c r="BT81" s="90">
        <f t="shared" si="85"/>
        <v>12200</v>
      </c>
      <c r="BU81" s="90">
        <f t="shared" si="86"/>
        <v>58000</v>
      </c>
      <c r="BV81" s="90">
        <f t="shared" si="87"/>
        <v>37500</v>
      </c>
      <c r="BW81" s="90">
        <f t="shared" ca="1" si="99"/>
        <v>61250</v>
      </c>
      <c r="BX81" s="90">
        <f t="shared" ca="1" si="100"/>
        <v>1740500</v>
      </c>
      <c r="BY81" s="142">
        <f t="shared" ca="1" si="101"/>
        <v>0.59706980752657279</v>
      </c>
      <c r="BZ81" s="142">
        <f t="shared" ca="1" si="102"/>
        <v>9.07268026429187E-2</v>
      </c>
      <c r="CA81" s="142">
        <f t="shared" ca="1" si="103"/>
        <v>0.21513358230393564</v>
      </c>
      <c r="CB81" s="142">
        <f t="shared" ca="1" si="104"/>
        <v>7.0094800344728527E-3</v>
      </c>
      <c r="CC81" s="142">
        <f t="shared" ca="1" si="105"/>
        <v>3.3323757540936513E-2</v>
      </c>
      <c r="CD81" s="142">
        <f t="shared" ca="1" si="106"/>
        <v>2.1545532892846882E-2</v>
      </c>
      <c r="CE81" s="142">
        <f t="shared" ca="1" si="107"/>
        <v>3.5191037058316575E-2</v>
      </c>
      <c r="CG81" s="128">
        <f t="shared" si="108"/>
        <v>62</v>
      </c>
      <c r="CH81" s="90">
        <f ca="1">INDEX(角色升级!$A:$A,MATCH(玩家节奏1!$BX81,角色升级!$J:$J,1))</f>
        <v>393</v>
      </c>
      <c r="CI81" s="90">
        <f ca="1">INDEX(角色升级!$O:$O,MATCH(玩家节奏1!$BX81,角色升级!$J:$J,1))</f>
        <v>11393.25834</v>
      </c>
      <c r="CJ81" s="90">
        <f>INDEX(关卡对比!$J:$J,MATCH(玩家节奏1!N81,关卡对比!$A:$A,0))</f>
        <v>17200</v>
      </c>
      <c r="CK81" s="147">
        <f t="shared" ca="1" si="109"/>
        <v>1.5096647058035551</v>
      </c>
      <c r="CL81" s="128">
        <f ca="1">INDEX(角色升级!$P:$P,MATCH(玩家节奏1!$CH81,角色升级!$A:$A,0))</f>
        <v>3200</v>
      </c>
      <c r="CM81" s="90">
        <f ca="1">INDEX(角色升级!Q:Q,MATCH(玩家节奏1!$CH81,角色升级!$A:$A,0))</f>
        <v>0.5</v>
      </c>
      <c r="CO81" s="128">
        <f t="shared" si="110"/>
        <v>7382</v>
      </c>
      <c r="CP81" s="90">
        <f t="shared" si="111"/>
        <v>10321</v>
      </c>
      <c r="CQ81" s="90">
        <f t="shared" si="112"/>
        <v>10176</v>
      </c>
      <c r="CR81" s="90">
        <f t="shared" ca="1" si="113"/>
        <v>22862.5</v>
      </c>
      <c r="CS81" s="90">
        <f t="shared" ca="1" si="114"/>
        <v>50741.5</v>
      </c>
      <c r="CT81" s="142">
        <f t="shared" ca="1" si="115"/>
        <v>0.14548249460500773</v>
      </c>
      <c r="CU81" s="142">
        <f t="shared" ca="1" si="116"/>
        <v>0.20340352571366632</v>
      </c>
      <c r="CV81" s="142">
        <f t="shared" ca="1" si="117"/>
        <v>0.20054590424011903</v>
      </c>
      <c r="CW81" s="142">
        <f t="shared" ca="1" si="118"/>
        <v>0.45056807544120692</v>
      </c>
      <c r="CY81" s="128">
        <f t="shared" si="119"/>
        <v>3692</v>
      </c>
      <c r="CZ81" s="90">
        <f t="shared" si="120"/>
        <v>5066</v>
      </c>
      <c r="DA81" s="90">
        <f t="shared" si="121"/>
        <v>4944</v>
      </c>
      <c r="DB81" s="90">
        <f t="shared" ca="1" si="122"/>
        <v>13347</v>
      </c>
      <c r="DC81" s="90">
        <f t="shared" ca="1" si="123"/>
        <v>27049</v>
      </c>
      <c r="DD81" s="142">
        <f t="shared" ca="1" si="124"/>
        <v>0.1364930311656623</v>
      </c>
      <c r="DE81" s="142">
        <f t="shared" ca="1" si="125"/>
        <v>0.18728973344670782</v>
      </c>
      <c r="DF81" s="142">
        <f t="shared" ca="1" si="126"/>
        <v>0.18277940034751747</v>
      </c>
      <c r="DG81" s="142">
        <f t="shared" ca="1" si="127"/>
        <v>0.4934378350401124</v>
      </c>
      <c r="DI81" s="128">
        <f t="shared" si="128"/>
        <v>1656</v>
      </c>
      <c r="DJ81" s="90">
        <f t="shared" si="129"/>
        <v>2297</v>
      </c>
      <c r="DK81" s="90">
        <f t="shared" si="130"/>
        <v>1600</v>
      </c>
      <c r="DL81" s="90">
        <f t="shared" ca="1" si="131"/>
        <v>1811.5</v>
      </c>
      <c r="DM81" s="90">
        <f t="shared" ca="1" si="132"/>
        <v>7364.5</v>
      </c>
      <c r="DN81" s="142">
        <f t="shared" ca="1" si="133"/>
        <v>0.22486251612465205</v>
      </c>
      <c r="DO81" s="142">
        <f t="shared" ca="1" si="134"/>
        <v>0.31190169054246725</v>
      </c>
      <c r="DP81" s="142">
        <f t="shared" ca="1" si="135"/>
        <v>0.21725846968565415</v>
      </c>
      <c r="DQ81" s="142">
        <f t="shared" ca="1" si="136"/>
        <v>0.24597732364722655</v>
      </c>
      <c r="DS81" s="128">
        <f t="shared" ca="1" si="137"/>
        <v>50741.5</v>
      </c>
      <c r="DT81" s="90">
        <f t="shared" ca="1" si="138"/>
        <v>27049</v>
      </c>
      <c r="DU81" s="90">
        <f t="shared" ca="1" si="139"/>
        <v>7364.5</v>
      </c>
      <c r="DV81" s="90">
        <f t="shared" si="140"/>
        <v>58</v>
      </c>
      <c r="DW81" s="90">
        <f ca="1">_xlfn.IFNA(INDEX(武器升级消耗!$H:$H,MATCH(玩家节奏1!DS81/玩家节奏1!DS$5,武器升级消耗!M:M,1)),0)</f>
        <v>21</v>
      </c>
      <c r="DX81" s="90">
        <f ca="1">_xlfn.IFNA(INDEX(武器升级消耗!$H:$H,MATCH(玩家节奏1!DT81/玩家节奏1!DT$5,武器升级消耗!N:N,1)),0)</f>
        <v>18</v>
      </c>
      <c r="DY81" s="90">
        <f ca="1">_xlfn.IFNA(INDEX(武器升级消耗!$H:$H,MATCH(玩家节奏1!DU81/玩家节奏1!DU$5,武器升级消耗!O:O,1)),0)</f>
        <v>12</v>
      </c>
      <c r="DZ81" s="90">
        <f>_xlfn.IFNA(INDEX(武器升级消耗!$H:$H,MATCH(玩家节奏1!DV81/玩家节奏1!DV$5,武器升级消耗!P:P,1)),0)</f>
        <v>8</v>
      </c>
      <c r="EA81" s="90">
        <f ca="1">_xlfn.IFNA(INDEX(武器升级消耗!$Q:$Q,MATCH(玩家节奏1!DW81,武器升级消耗!$H:$H,0))*2*EA$4,0)</f>
        <v>3</v>
      </c>
      <c r="EB81" s="90">
        <f ca="1">_xlfn.IFNA(INDEX(武器升级消耗!$Q:$Q,MATCH(玩家节奏1!DX81,武器升级消耗!$H:$H,0))*2*EB$4,0)</f>
        <v>3.3000000000000003</v>
      </c>
      <c r="EC81" s="90">
        <f ca="1">_xlfn.IFNA(INDEX(武器升级消耗!$Q:$Q,MATCH(玩家节奏1!DY81,武器升级消耗!$H:$H,0))*2*EC$4,1)</f>
        <v>3.5200000000000005</v>
      </c>
      <c r="ED81" s="90">
        <f>_xlfn.IFNA(INDEX(武器升级消耗!$Q:$Q,MATCH(玩家节奏1!DZ81,武器升级消耗!$H:$H,0))*2*ED$4,0)</f>
        <v>3.5999999999999996</v>
      </c>
      <c r="EF81" s="128"/>
      <c r="EG81" s="90"/>
      <c r="EH81" s="90"/>
      <c r="EI81" s="90"/>
      <c r="EJ81" s="90"/>
      <c r="EK81" s="90"/>
      <c r="EL81" s="90"/>
      <c r="EM81" s="90"/>
      <c r="EO81" s="128"/>
      <c r="EP81" s="90"/>
      <c r="EQ81" s="90"/>
      <c r="ER81" s="90"/>
      <c r="ES81" s="90"/>
      <c r="ET81" s="90"/>
      <c r="EU81" s="90"/>
      <c r="EV81" s="90"/>
      <c r="EW81" s="90"/>
      <c r="EX81" s="90"/>
      <c r="EY81" s="90"/>
      <c r="EZ81" s="90"/>
      <c r="FA81" s="90"/>
      <c r="FB81" s="90"/>
      <c r="FD81" s="90">
        <f t="shared" ca="1" si="141"/>
        <v>3.5200000000000005</v>
      </c>
      <c r="FE81" s="90"/>
      <c r="FF81" s="90"/>
      <c r="FG81" s="90">
        <f t="shared" ca="1" si="142"/>
        <v>0</v>
      </c>
    </row>
    <row r="82" spans="1:163" x14ac:dyDescent="0.25">
      <c r="A82" s="123">
        <v>76</v>
      </c>
      <c r="B82" s="123">
        <f>INDEX(关卡对比!$Y:$Y,MATCH(关卡对比!Z82,关卡对比!$AA:$AA,1))</f>
        <v>51</v>
      </c>
      <c r="C82" s="124">
        <f>INDEX(关卡对比!$Y:$Y,MATCH(关卡对比!Z82,关卡对比!$AB:$AB,1))</f>
        <v>43</v>
      </c>
      <c r="D82" s="125">
        <f t="shared" si="70"/>
        <v>479.5</v>
      </c>
      <c r="E82" s="125">
        <v>3</v>
      </c>
      <c r="F82" s="128">
        <v>5</v>
      </c>
      <c r="G82" s="90">
        <v>1</v>
      </c>
      <c r="H82" s="90">
        <v>1</v>
      </c>
      <c r="J82" s="128">
        <v>76</v>
      </c>
      <c r="K82" s="90">
        <f t="shared" si="88"/>
        <v>5</v>
      </c>
      <c r="L82" s="90">
        <f t="shared" si="89"/>
        <v>1</v>
      </c>
      <c r="M82" s="90">
        <f t="shared" si="90"/>
        <v>1</v>
      </c>
      <c r="N82" s="140">
        <f>INDEX($A:$A,MATCH(SUM($K$7:K82),$D:$D,1))</f>
        <v>63</v>
      </c>
      <c r="O82" s="140">
        <v>0</v>
      </c>
      <c r="P82" s="141">
        <v>0</v>
      </c>
      <c r="Q82" s="126">
        <f>_xlfn.MAXIFS(关卡产出!X:X,关卡产出!$A:$A,玩家节奏1!$N$6,关卡产出!$B:$B,玩家节奏1!$N82)+_xlfn.MAXIFS(关卡产出!X:X,关卡产出!$A:$A,玩家节奏1!$O$6,关卡产出!$B:$B,玩家节奏1!$O82)+_xlfn.MAXIFS(关卡产出!X:X,关卡产出!$A:$A,玩家节奏1!$P$6,关卡产出!$B:$B,玩家节奏1!$P82)</f>
        <v>11100</v>
      </c>
      <c r="R82" s="90">
        <f>_xlfn.MAXIFS(关卡产出!Y:Y,关卡产出!$A:$A,玩家节奏1!$N$6,关卡产出!$B:$B,玩家节奏1!$N82)+_xlfn.MAXIFS(关卡产出!Y:Y,关卡产出!$A:$A,玩家节奏1!$O$6,关卡产出!$B:$B,玩家节奏1!$O82)+_xlfn.MAXIFS(关卡产出!Y:Y,关卡产出!$A:$A,玩家节奏1!$P$6,关卡产出!$B:$B,玩家节奏1!$P82)</f>
        <v>1074700</v>
      </c>
      <c r="S82" s="90">
        <f>_xlfn.MAXIFS(关卡产出!Z:Z,关卡产出!$A:$A,玩家节奏1!$N$6,关卡产出!$B:$B,玩家节奏1!$N82)+_xlfn.MAXIFS(关卡产出!Z:Z,关卡产出!$A:$A,玩家节奏1!$O$6,关卡产出!$B:$B,玩家节奏1!$O82)+_xlfn.MAXIFS(关卡产出!Z:Z,关卡产出!$A:$A,玩家节奏1!$P$6,关卡产出!$B:$B,玩家节奏1!$P82)</f>
        <v>7626</v>
      </c>
      <c r="T82" s="90">
        <f>_xlfn.MAXIFS(关卡产出!AA:AA,关卡产出!$A:$A,玩家节奏1!$N$6,关卡产出!$B:$B,玩家节奏1!$N82)+_xlfn.MAXIFS(关卡产出!AA:AA,关卡产出!$A:$A,玩家节奏1!$O$6,关卡产出!$B:$B,玩家节奏1!$O82)+_xlfn.MAXIFS(关卡产出!AA:AA,关卡产出!$A:$A,玩家节奏1!$P$6,关卡产出!$B:$B,玩家节奏1!$P82)</f>
        <v>3814</v>
      </c>
      <c r="U82" s="90">
        <f>_xlfn.MAXIFS(关卡产出!AB:AB,关卡产出!$A:$A,玩家节奏1!$N$6,关卡产出!$B:$B,玩家节奏1!$N82)+_xlfn.MAXIFS(关卡产出!AB:AB,关卡产出!$A:$A,玩家节奏1!$O$6,关卡产出!$B:$B,玩家节奏1!$O82)+_xlfn.MAXIFS(关卡产出!AB:AB,关卡产出!$A:$A,玩家节奏1!$P$6,关卡产出!$B:$B,玩家节奏1!$P82)</f>
        <v>1714</v>
      </c>
      <c r="V82" s="130">
        <f>_xlfn.MAXIFS(关卡产出!AC:AC,关卡产出!$A:$A,玩家节奏1!$N$6,关卡产出!$B:$B,玩家节奏1!$N82)+_xlfn.MAXIFS(关卡产出!AC:AC,关卡产出!$A:$A,玩家节奏1!$O$6,关卡产出!$B:$B,玩家节奏1!$O82)+_xlfn.MAXIFS(关卡产出!AC:AC,关卡产出!$A:$A,玩家节奏1!$P$6,关卡产出!$B:$B,玩家节奏1!$P82)</f>
        <v>378</v>
      </c>
      <c r="W82" s="126">
        <f>INDEX(关卡产出!C$8:C$207,MATCH(玩家节奏1!$N82,关卡产出!$B$8:$B$207,0))*$K82</f>
        <v>245</v>
      </c>
      <c r="X82" s="126">
        <f>INDEX(关卡产出!D$8:D$207,MATCH(玩家节奏1!$N82,关卡产出!$B$8:$B$207,0))*$K82</f>
        <v>120</v>
      </c>
      <c r="Y82" s="126">
        <f>INDEX(关卡产出!E$8:E$207,MATCH(玩家节奏1!$N82,关卡产出!$B$8:$B$207,0))*$K82</f>
        <v>60</v>
      </c>
      <c r="Z82" s="144">
        <f>INDEX(关卡产出!F$8:F$207,MATCH(玩家节奏1!$N82,关卡产出!$B$8:$B$207,0))*$K82</f>
        <v>3450</v>
      </c>
      <c r="AA82" s="126">
        <f>SUM(W$7:W82)</f>
        <v>10566</v>
      </c>
      <c r="AB82" s="126">
        <f>SUM(X$7:X82)</f>
        <v>5186</v>
      </c>
      <c r="AC82" s="126">
        <f>SUM(Y$7:Y82)</f>
        <v>2357</v>
      </c>
      <c r="AD82" s="126">
        <f>SUM(Z$7:Z82)</f>
        <v>161360</v>
      </c>
      <c r="AE82" s="126">
        <f>INDEX(图鉴!AQ:AQ,MATCH($N82,图鉴!$S:$S,0))*8</f>
        <v>168</v>
      </c>
      <c r="AF82" s="90">
        <f>INDEX(图鉴!AR:AR,MATCH($N82,图鉴!$S:$S,0))*8</f>
        <v>104</v>
      </c>
      <c r="AG82" s="90">
        <f>INDEX(图鉴!AS:AS,MATCH($N82,图鉴!$S:$S,0))*8</f>
        <v>32</v>
      </c>
      <c r="AH82" s="129">
        <f ca="1">INDEX(图鉴!AT:AT,MATCH($N82,图鉴!$S:$S,0))*8</f>
        <v>7440</v>
      </c>
      <c r="AI82" s="128">
        <f>SUM($AE$7:AE82)</f>
        <v>10344</v>
      </c>
      <c r="AJ82" s="90">
        <f>SUM(AF$7:AF82)</f>
        <v>5048</v>
      </c>
      <c r="AK82" s="90">
        <f>SUM(AG$7:AG82)</f>
        <v>1632</v>
      </c>
      <c r="AL82" s="130">
        <f ca="1">SUM(AH$7:AH82)</f>
        <v>381880</v>
      </c>
      <c r="AM82" s="133">
        <f>IF(M82=0,0,INDEX(关卡产出!$AU$11:$AU$15,MATCH(玩家节奏1!N82,关卡产出!$AW$11:$AW$15,1))*M82)</f>
        <v>12200</v>
      </c>
      <c r="AN82" s="126">
        <f>IF(L82=0,0,$L82*关卡产出!AU$21)</f>
        <v>1000</v>
      </c>
      <c r="AO82" s="90">
        <f>IF(M82=0,0,$L82*关卡产出!AV$21)</f>
        <v>50</v>
      </c>
      <c r="AP82" s="129">
        <f>IF(N82=0,0,$L82*关卡产出!AW$21)</f>
        <v>1</v>
      </c>
      <c r="AQ82" s="138">
        <f>SUM(AN$7:AN82)</f>
        <v>59000</v>
      </c>
      <c r="AR82" s="126">
        <f>SUM(AO$7:AO82)</f>
        <v>2950</v>
      </c>
      <c r="AS82" s="129">
        <f>SUM(AP$7:AP82)</f>
        <v>59</v>
      </c>
      <c r="AT82" s="128">
        <v>500</v>
      </c>
      <c r="AU82" s="129">
        <v>100</v>
      </c>
      <c r="AV82" s="128">
        <f>SUM(AT$7:AT82)</f>
        <v>38000</v>
      </c>
      <c r="AW82" s="90">
        <f>SUM(AU$7:AU82)</f>
        <v>7600</v>
      </c>
      <c r="AY82" s="128">
        <f t="shared" si="91"/>
        <v>11100</v>
      </c>
      <c r="AZ82" s="90">
        <f t="shared" si="92"/>
        <v>2950</v>
      </c>
      <c r="BA82" s="90">
        <f t="shared" si="93"/>
        <v>7600</v>
      </c>
      <c r="BB82" s="90">
        <f t="shared" ca="1" si="143"/>
        <v>3200</v>
      </c>
      <c r="BC82" s="90">
        <f t="shared" ca="1" si="144"/>
        <v>24850</v>
      </c>
      <c r="BD82" s="90"/>
      <c r="BE82" s="90">
        <f t="shared" ca="1" si="94"/>
        <v>24850</v>
      </c>
      <c r="BF82" s="142">
        <f t="shared" ca="1" si="95"/>
        <v>0.44668008048289737</v>
      </c>
      <c r="BG82" s="142">
        <f t="shared" ca="1" si="96"/>
        <v>0.11871227364185111</v>
      </c>
      <c r="BH82" s="142">
        <f t="shared" ca="1" si="97"/>
        <v>0.30583501006036218</v>
      </c>
      <c r="BI82" s="142">
        <f t="shared" ca="1" si="98"/>
        <v>0.12877263581488935</v>
      </c>
      <c r="BJ82" s="143"/>
      <c r="BK82" s="128">
        <f ca="1">INDEX(商城宝箱!$L:$L,MATCH(BC82,商城宝箱!$N:$N,1))</f>
        <v>7</v>
      </c>
      <c r="BL82" s="90">
        <f ca="1">_xlfn.IFNA(INDEX(商城宝箱!T:T,MATCH(玩家节奏1!$BK82,商城宝箱!$L:$L,0)),0)+($BC82-INDEX(商城宝箱!$N:$N,MATCH(玩家节奏1!$BK82,商城宝箱!$L:$L,0)))/$BK$5*INDEX(商城宝箱!E$23:E$42,MATCH(玩家节奏1!$BK82+1,商城宝箱!$C$23:$C$42,0))</f>
        <v>62125</v>
      </c>
      <c r="BM82" s="90">
        <f ca="1">_xlfn.IFNA(INDEX(商城宝箱!U:U,MATCH(玩家节奏1!$BK82,商城宝箱!$L:$L,0)),0)+($BC82-INDEX(商城宝箱!$N:$N,MATCH(玩家节奏1!$BK82,商城宝箱!$L:$L,0)))/$BK$5*INDEX(商城宝箱!F$23:F$42,MATCH(玩家节奏1!$BK82+1,商城宝箱!$C$23:$C$42,0))</f>
        <v>23475</v>
      </c>
      <c r="BN82" s="90">
        <f ca="1">_xlfn.IFNA(INDEX(商城宝箱!V:V,MATCH(玩家节奏1!$BK82,商城宝箱!$L:$L,0)),0)+($BC82-INDEX(商城宝箱!$N:$N,MATCH(玩家节奏1!$BK82,商城宝箱!$L:$L,0)))/$BK$5*INDEX(商城宝箱!G$23:G$42,MATCH(玩家节奏1!$BK82+1,商城宝箱!$C$23:$C$42,0))</f>
        <v>13749.5</v>
      </c>
      <c r="BO82" s="90">
        <f ca="1">_xlfn.IFNA(INDEX(商城宝箱!W:W,MATCH(玩家节奏1!$BK82,商城宝箱!$L:$L,0)),0)+($BC82-INDEX(商城宝箱!$N:$N,MATCH(玩家节奏1!$BK82,商城宝箱!$L:$L,0)))/$BK$5*INDEX(商城宝箱!H$23:H$42,MATCH(玩家节奏1!$BK82+1,商城宝箱!$C$23:$C$42,0))</f>
        <v>1864</v>
      </c>
      <c r="BQ82" s="128">
        <f t="shared" si="82"/>
        <v>1074700</v>
      </c>
      <c r="BR82" s="90">
        <f t="shared" si="83"/>
        <v>161360</v>
      </c>
      <c r="BS82" s="90">
        <f t="shared" ca="1" si="84"/>
        <v>381880</v>
      </c>
      <c r="BT82" s="90">
        <f t="shared" si="85"/>
        <v>12200</v>
      </c>
      <c r="BU82" s="90">
        <f t="shared" si="86"/>
        <v>59000</v>
      </c>
      <c r="BV82" s="90">
        <f t="shared" si="87"/>
        <v>38000</v>
      </c>
      <c r="BW82" s="90">
        <f t="shared" ca="1" si="99"/>
        <v>62125</v>
      </c>
      <c r="BX82" s="90">
        <f t="shared" ca="1" si="100"/>
        <v>1789265</v>
      </c>
      <c r="BY82" s="142">
        <f t="shared" ca="1" si="101"/>
        <v>0.60063769201320094</v>
      </c>
      <c r="BZ82" s="142">
        <f t="shared" ca="1" si="102"/>
        <v>9.0182281551363264E-2</v>
      </c>
      <c r="CA82" s="142">
        <f t="shared" ca="1" si="103"/>
        <v>0.21342841893179601</v>
      </c>
      <c r="CB82" s="142">
        <f t="shared" ca="1" si="104"/>
        <v>6.8184422095106095E-3</v>
      </c>
      <c r="CC82" s="142">
        <f t="shared" ca="1" si="105"/>
        <v>3.2974433636157867E-2</v>
      </c>
      <c r="CD82" s="142">
        <f t="shared" ca="1" si="106"/>
        <v>2.1237770816508454E-2</v>
      </c>
      <c r="CE82" s="142">
        <f t="shared" ca="1" si="107"/>
        <v>3.4720960841462832E-2</v>
      </c>
      <c r="CG82" s="128">
        <f t="shared" si="108"/>
        <v>63</v>
      </c>
      <c r="CH82" s="90">
        <f ca="1">INDEX(角色升级!$A:$A,MATCH(玩家节奏1!$BX82,角色升级!$J:$J,1))</f>
        <v>396</v>
      </c>
      <c r="CI82" s="90">
        <f ca="1">INDEX(角色升级!$O:$O,MATCH(玩家节奏1!$BX82,角色升级!$J:$J,1))</f>
        <v>11898.02295</v>
      </c>
      <c r="CJ82" s="90">
        <f>INDEX(关卡对比!$J:$J,MATCH(玩家节奏1!N82,关卡对比!$A:$A,0))</f>
        <v>17700</v>
      </c>
      <c r="CK82" s="147">
        <f t="shared" ca="1" si="109"/>
        <v>1.4876421128436299</v>
      </c>
      <c r="CL82" s="128">
        <f ca="1">INDEX(角色升级!$P:$P,MATCH(玩家节奏1!$CH82,角色升级!$A:$A,0))</f>
        <v>3200</v>
      </c>
      <c r="CM82" s="90">
        <f ca="1">INDEX(角色升级!Q:Q,MATCH(玩家节奏1!$CH82,角色升级!$A:$A,0))</f>
        <v>0.5</v>
      </c>
      <c r="CO82" s="128">
        <f t="shared" si="110"/>
        <v>7626</v>
      </c>
      <c r="CP82" s="90">
        <f t="shared" si="111"/>
        <v>10566</v>
      </c>
      <c r="CQ82" s="90">
        <f t="shared" si="112"/>
        <v>10344</v>
      </c>
      <c r="CR82" s="90">
        <f t="shared" ca="1" si="113"/>
        <v>23475</v>
      </c>
      <c r="CS82" s="90">
        <f t="shared" ca="1" si="114"/>
        <v>52011</v>
      </c>
      <c r="CT82" s="142">
        <f t="shared" ca="1" si="115"/>
        <v>0.1466228297860068</v>
      </c>
      <c r="CU82" s="142">
        <f t="shared" ca="1" si="116"/>
        <v>0.20314933379477418</v>
      </c>
      <c r="CV82" s="142">
        <f t="shared" ca="1" si="117"/>
        <v>0.19888100594105093</v>
      </c>
      <c r="CW82" s="142">
        <f t="shared" ca="1" si="118"/>
        <v>0.45134683047816809</v>
      </c>
      <c r="CY82" s="128">
        <f t="shared" si="119"/>
        <v>3814</v>
      </c>
      <c r="CZ82" s="90">
        <f t="shared" si="120"/>
        <v>5186</v>
      </c>
      <c r="DA82" s="90">
        <f t="shared" si="121"/>
        <v>5048</v>
      </c>
      <c r="DB82" s="90">
        <f t="shared" ca="1" si="122"/>
        <v>13749.5</v>
      </c>
      <c r="DC82" s="90">
        <f t="shared" ca="1" si="123"/>
        <v>27797.5</v>
      </c>
      <c r="DD82" s="142">
        <f t="shared" ca="1" si="124"/>
        <v>0.13720658332583865</v>
      </c>
      <c r="DE82" s="142">
        <f t="shared" ca="1" si="125"/>
        <v>0.18656353988668045</v>
      </c>
      <c r="DF82" s="142">
        <f t="shared" ca="1" si="126"/>
        <v>0.18159906466408851</v>
      </c>
      <c r="DG82" s="142">
        <f t="shared" ca="1" si="127"/>
        <v>0.49463081212339238</v>
      </c>
      <c r="DI82" s="128">
        <f t="shared" si="128"/>
        <v>1714</v>
      </c>
      <c r="DJ82" s="90">
        <f t="shared" si="129"/>
        <v>2357</v>
      </c>
      <c r="DK82" s="90">
        <f t="shared" si="130"/>
        <v>1632</v>
      </c>
      <c r="DL82" s="90">
        <f t="shared" ca="1" si="131"/>
        <v>1864</v>
      </c>
      <c r="DM82" s="90">
        <f t="shared" ca="1" si="132"/>
        <v>7567</v>
      </c>
      <c r="DN82" s="142">
        <f t="shared" ca="1" si="133"/>
        <v>0.22650984538126073</v>
      </c>
      <c r="DO82" s="142">
        <f t="shared" ca="1" si="134"/>
        <v>0.31148407559138364</v>
      </c>
      <c r="DP82" s="142">
        <f t="shared" ca="1" si="135"/>
        <v>0.21567331835601955</v>
      </c>
      <c r="DQ82" s="142">
        <f t="shared" ca="1" si="136"/>
        <v>0.24633276067133605</v>
      </c>
      <c r="DS82" s="128">
        <f t="shared" ca="1" si="137"/>
        <v>52011</v>
      </c>
      <c r="DT82" s="90">
        <f t="shared" ca="1" si="138"/>
        <v>27797.5</v>
      </c>
      <c r="DU82" s="90">
        <f t="shared" ca="1" si="139"/>
        <v>7567</v>
      </c>
      <c r="DV82" s="90">
        <f t="shared" si="140"/>
        <v>59</v>
      </c>
      <c r="DW82" s="90">
        <f ca="1">_xlfn.IFNA(INDEX(武器升级消耗!$H:$H,MATCH(玩家节奏1!DS82/玩家节奏1!DS$5,武器升级消耗!M:M,1)),0)</f>
        <v>22</v>
      </c>
      <c r="DX82" s="90">
        <f ca="1">_xlfn.IFNA(INDEX(武器升级消耗!$H:$H,MATCH(玩家节奏1!DT82/玩家节奏1!DT$5,武器升级消耗!N:N,1)),0)</f>
        <v>19</v>
      </c>
      <c r="DY82" s="90">
        <f ca="1">_xlfn.IFNA(INDEX(武器升级消耗!$H:$H,MATCH(玩家节奏1!DU82/玩家节奏1!DU$5,武器升级消耗!O:O,1)),0)</f>
        <v>12</v>
      </c>
      <c r="DZ82" s="90">
        <f>_xlfn.IFNA(INDEX(武器升级消耗!$H:$H,MATCH(玩家节奏1!DV82/玩家节奏1!DV$5,武器升级消耗!P:P,1)),0)</f>
        <v>8</v>
      </c>
      <c r="EA82" s="90">
        <f ca="1">_xlfn.IFNA(INDEX(武器升级消耗!$Q:$Q,MATCH(玩家节奏1!DW82,武器升级消耗!$H:$H,0))*2*EA$4,0)</f>
        <v>3.12</v>
      </c>
      <c r="EB82" s="90">
        <f ca="1">_xlfn.IFNA(INDEX(武器升级消耗!$Q:$Q,MATCH(玩家节奏1!DX82,武器升级消耗!$H:$H,0))*2*EB$4,0)</f>
        <v>3.4499999999999997</v>
      </c>
      <c r="EC82" s="90">
        <f ca="1">_xlfn.IFNA(INDEX(武器升级消耗!$Q:$Q,MATCH(玩家节奏1!DY82,武器升级消耗!$H:$H,0))*2*EC$4,1)</f>
        <v>3.5200000000000005</v>
      </c>
      <c r="ED82" s="90">
        <f>_xlfn.IFNA(INDEX(武器升级消耗!$Q:$Q,MATCH(玩家节奏1!DZ82,武器升级消耗!$H:$H,0))*2*ED$4,0)</f>
        <v>3.5999999999999996</v>
      </c>
      <c r="EF82" s="128"/>
      <c r="EG82" s="90"/>
      <c r="EH82" s="90"/>
      <c r="EI82" s="90"/>
      <c r="EJ82" s="90"/>
      <c r="EK82" s="90"/>
      <c r="EL82" s="90"/>
      <c r="EM82" s="90"/>
      <c r="EO82" s="128"/>
      <c r="EP82" s="90"/>
      <c r="EQ82" s="90"/>
      <c r="ER82" s="90"/>
      <c r="ES82" s="90"/>
      <c r="ET82" s="90"/>
      <c r="EU82" s="90"/>
      <c r="EV82" s="90"/>
      <c r="EW82" s="90"/>
      <c r="EX82" s="90"/>
      <c r="EY82" s="90"/>
      <c r="EZ82" s="90"/>
      <c r="FA82" s="90"/>
      <c r="FB82" s="90"/>
      <c r="FD82" s="90">
        <f t="shared" ca="1" si="141"/>
        <v>3.5200000000000005</v>
      </c>
      <c r="FE82" s="90"/>
      <c r="FF82" s="90"/>
      <c r="FG82" s="90">
        <f t="shared" ca="1" si="142"/>
        <v>0</v>
      </c>
    </row>
    <row r="83" spans="1:163" x14ac:dyDescent="0.25">
      <c r="A83" s="123">
        <v>77</v>
      </c>
      <c r="B83" s="123">
        <f>INDEX(关卡对比!$Y:$Y,MATCH(关卡对比!Z83,关卡对比!$AA:$AA,1))</f>
        <v>52</v>
      </c>
      <c r="C83" s="124">
        <f>INDEX(关卡对比!$Y:$Y,MATCH(关卡对比!Z83,关卡对比!$AB:$AB,1))</f>
        <v>44</v>
      </c>
      <c r="D83" s="125">
        <f t="shared" si="70"/>
        <v>488.5</v>
      </c>
      <c r="E83" s="125">
        <v>3</v>
      </c>
      <c r="F83" s="128">
        <v>5</v>
      </c>
      <c r="G83" s="90">
        <v>1</v>
      </c>
      <c r="H83" s="90">
        <v>1</v>
      </c>
      <c r="J83" s="128">
        <v>77</v>
      </c>
      <c r="K83" s="90">
        <f t="shared" si="88"/>
        <v>5</v>
      </c>
      <c r="L83" s="90">
        <f t="shared" si="89"/>
        <v>1</v>
      </c>
      <c r="M83" s="90">
        <f t="shared" si="90"/>
        <v>1</v>
      </c>
      <c r="N83" s="140">
        <f>INDEX($A:$A,MATCH(SUM($K$7:K83),$D:$D,1))</f>
        <v>64</v>
      </c>
      <c r="O83" s="140">
        <v>0</v>
      </c>
      <c r="P83" s="141">
        <v>0</v>
      </c>
      <c r="Q83" s="126">
        <f>_xlfn.MAXIFS(关卡产出!X:X,关卡产出!$A:$A,玩家节奏1!$N$6,关卡产出!$B:$B,玩家节奏1!$N83)+_xlfn.MAXIFS(关卡产出!X:X,关卡产出!$A:$A,玩家节奏1!$O$6,关卡产出!$B:$B,玩家节奏1!$O83)+_xlfn.MAXIFS(关卡产出!X:X,关卡产出!$A:$A,玩家节奏1!$P$6,关卡产出!$B:$B,玩家节奏1!$P83)</f>
        <v>11300</v>
      </c>
      <c r="R83" s="90">
        <f>_xlfn.MAXIFS(关卡产出!Y:Y,关卡产出!$A:$A,玩家节奏1!$N$6,关卡产出!$B:$B,玩家节奏1!$N83)+_xlfn.MAXIFS(关卡产出!Y:Y,关卡产出!$A:$A,玩家节奏1!$O$6,关卡产出!$B:$B,玩家节奏1!$O83)+_xlfn.MAXIFS(关卡产出!Y:Y,关卡产出!$A:$A,玩家节奏1!$P$6,关卡产出!$B:$B,玩家节奏1!$P83)</f>
        <v>1110800</v>
      </c>
      <c r="S83" s="90">
        <f>_xlfn.MAXIFS(关卡产出!Z:Z,关卡产出!$A:$A,玩家节奏1!$N$6,关卡产出!$B:$B,玩家节奏1!$N83)+_xlfn.MAXIFS(关卡产出!Z:Z,关卡产出!$A:$A,玩家节奏1!$O$6,关卡产出!$B:$B,玩家节奏1!$O83)+_xlfn.MAXIFS(关卡产出!Z:Z,关卡产出!$A:$A,玩家节奏1!$P$6,关卡产出!$B:$B,玩家节奏1!$P83)</f>
        <v>7874</v>
      </c>
      <c r="T83" s="90">
        <f>_xlfn.MAXIFS(关卡产出!AA:AA,关卡产出!$A:$A,玩家节奏1!$N$6,关卡产出!$B:$B,玩家节奏1!$N83)+_xlfn.MAXIFS(关卡产出!AA:AA,关卡产出!$A:$A,玩家节奏1!$O$6,关卡产出!$B:$B,玩家节奏1!$O83)+_xlfn.MAXIFS(关卡产出!AA:AA,关卡产出!$A:$A,玩家节奏1!$P$6,关卡产出!$B:$B,玩家节奏1!$P83)</f>
        <v>3938</v>
      </c>
      <c r="U83" s="90">
        <f>_xlfn.MAXIFS(关卡产出!AB:AB,关卡产出!$A:$A,玩家节奏1!$N$6,关卡产出!$B:$B,玩家节奏1!$N83)+_xlfn.MAXIFS(关卡产出!AB:AB,关卡产出!$A:$A,玩家节奏1!$O$6,关卡产出!$B:$B,玩家节奏1!$O83)+_xlfn.MAXIFS(关卡产出!AB:AB,关卡产出!$A:$A,玩家节奏1!$P$6,关卡产出!$B:$B,玩家节奏1!$P83)</f>
        <v>1773</v>
      </c>
      <c r="V83" s="130">
        <f>_xlfn.MAXIFS(关卡产出!AC:AC,关卡产出!$A:$A,玩家节奏1!$N$6,关卡产出!$B:$B,玩家节奏1!$N83)+_xlfn.MAXIFS(关卡产出!AC:AC,关卡产出!$A:$A,玩家节奏1!$O$6,关卡产出!$B:$B,玩家节奏1!$O83)+_xlfn.MAXIFS(关卡产出!AC:AC,关卡产出!$A:$A,玩家节奏1!$P$6,关卡产出!$B:$B,玩家节奏1!$P83)</f>
        <v>384</v>
      </c>
      <c r="W83" s="126">
        <f>INDEX(关卡产出!C$8:C$207,MATCH(玩家节奏1!$N83,关卡产出!$B$8:$B$207,0))*$K83</f>
        <v>250</v>
      </c>
      <c r="X83" s="126">
        <f>INDEX(关卡产出!D$8:D$207,MATCH(玩家节奏1!$N83,关卡产出!$B$8:$B$207,0))*$K83</f>
        <v>125</v>
      </c>
      <c r="Y83" s="126">
        <f>INDEX(关卡产出!E$8:E$207,MATCH(玩家节奏1!$N83,关卡产出!$B$8:$B$207,0))*$K83</f>
        <v>60</v>
      </c>
      <c r="Z83" s="144">
        <f>INDEX(关卡产出!F$8:F$207,MATCH(玩家节奏1!$N83,关卡产出!$B$8:$B$207,0))*$K83</f>
        <v>3450</v>
      </c>
      <c r="AA83" s="126">
        <f>SUM(W$7:W83)</f>
        <v>10816</v>
      </c>
      <c r="AB83" s="126">
        <f>SUM(X$7:X83)</f>
        <v>5311</v>
      </c>
      <c r="AC83" s="126">
        <f>SUM(Y$7:Y83)</f>
        <v>2417</v>
      </c>
      <c r="AD83" s="126">
        <f>SUM(Z$7:Z83)</f>
        <v>164810</v>
      </c>
      <c r="AE83" s="126">
        <f>INDEX(图鉴!AQ:AQ,MATCH($N83,图鉴!$S:$S,0))*8</f>
        <v>168</v>
      </c>
      <c r="AF83" s="90">
        <f>INDEX(图鉴!AR:AR,MATCH($N83,图鉴!$S:$S,0))*8</f>
        <v>104</v>
      </c>
      <c r="AG83" s="90">
        <f>INDEX(图鉴!AS:AS,MATCH($N83,图鉴!$S:$S,0))*8</f>
        <v>32</v>
      </c>
      <c r="AH83" s="129">
        <f ca="1">INDEX(图鉴!AT:AT,MATCH($N83,图鉴!$S:$S,0))*8</f>
        <v>7440</v>
      </c>
      <c r="AI83" s="128">
        <f>SUM($AE$7:AE83)</f>
        <v>10512</v>
      </c>
      <c r="AJ83" s="90">
        <f>SUM(AF$7:AF83)</f>
        <v>5152</v>
      </c>
      <c r="AK83" s="90">
        <f>SUM(AG$7:AG83)</f>
        <v>1664</v>
      </c>
      <c r="AL83" s="130">
        <f ca="1">SUM(AH$7:AH83)</f>
        <v>389320</v>
      </c>
      <c r="AM83" s="133">
        <f>IF(M83=0,0,INDEX(关卡产出!$AU$11:$AU$15,MATCH(玩家节奏1!N83,关卡产出!$AW$11:$AW$15,1))*M83)</f>
        <v>12200</v>
      </c>
      <c r="AN83" s="126">
        <f>IF(L83=0,0,$L83*关卡产出!AU$21)</f>
        <v>1000</v>
      </c>
      <c r="AO83" s="90">
        <f>IF(M83=0,0,$L83*关卡产出!AV$21)</f>
        <v>50</v>
      </c>
      <c r="AP83" s="129">
        <f>IF(N83=0,0,$L83*关卡产出!AW$21)</f>
        <v>1</v>
      </c>
      <c r="AQ83" s="138">
        <f>SUM(AN$7:AN83)</f>
        <v>60000</v>
      </c>
      <c r="AR83" s="126">
        <f>SUM(AO$7:AO83)</f>
        <v>3000</v>
      </c>
      <c r="AS83" s="129">
        <f>SUM(AP$7:AP83)</f>
        <v>60</v>
      </c>
      <c r="AT83" s="128">
        <v>500</v>
      </c>
      <c r="AU83" s="129">
        <v>100</v>
      </c>
      <c r="AV83" s="128">
        <f>SUM(AT$7:AT83)</f>
        <v>38500</v>
      </c>
      <c r="AW83" s="90">
        <f>SUM(AU$7:AU83)</f>
        <v>7700</v>
      </c>
      <c r="AY83" s="128">
        <f t="shared" si="91"/>
        <v>11300</v>
      </c>
      <c r="AZ83" s="90">
        <f t="shared" si="92"/>
        <v>3000</v>
      </c>
      <c r="BA83" s="90">
        <f t="shared" si="93"/>
        <v>7700</v>
      </c>
      <c r="BB83" s="90">
        <f t="shared" ca="1" si="143"/>
        <v>3200</v>
      </c>
      <c r="BC83" s="90">
        <f t="shared" ca="1" si="144"/>
        <v>25200</v>
      </c>
      <c r="BD83" s="90"/>
      <c r="BE83" s="90">
        <f t="shared" ca="1" si="94"/>
        <v>25200</v>
      </c>
      <c r="BF83" s="142">
        <f t="shared" ca="1" si="95"/>
        <v>0.44841269841269843</v>
      </c>
      <c r="BG83" s="142">
        <f t="shared" ca="1" si="96"/>
        <v>0.11904761904761904</v>
      </c>
      <c r="BH83" s="142">
        <f t="shared" ca="1" si="97"/>
        <v>0.30555555555555558</v>
      </c>
      <c r="BI83" s="142">
        <f t="shared" ca="1" si="98"/>
        <v>0.12698412698412698</v>
      </c>
      <c r="BJ83" s="143"/>
      <c r="BK83" s="128">
        <f ca="1">INDEX(商城宝箱!$L:$L,MATCH(BC83,商城宝箱!$N:$N,1))</f>
        <v>7</v>
      </c>
      <c r="BL83" s="90">
        <f ca="1">_xlfn.IFNA(INDEX(商城宝箱!T:T,MATCH(玩家节奏1!$BK83,商城宝箱!$L:$L,0)),0)+($BC83-INDEX(商城宝箱!$N:$N,MATCH(玩家节奏1!$BK83,商城宝箱!$L:$L,0)))/$BK$5*INDEX(商城宝箱!E$23:E$42,MATCH(玩家节奏1!$BK83+1,商城宝箱!$C$23:$C$42,0))</f>
        <v>63000</v>
      </c>
      <c r="BM83" s="90">
        <f ca="1">_xlfn.IFNA(INDEX(商城宝箱!U:U,MATCH(玩家节奏1!$BK83,商城宝箱!$L:$L,0)),0)+($BC83-INDEX(商城宝箱!$N:$N,MATCH(玩家节奏1!$BK83,商城宝箱!$L:$L,0)))/$BK$5*INDEX(商城宝箱!F$23:F$42,MATCH(玩家节奏1!$BK83+1,商城宝箱!$C$23:$C$42,0))</f>
        <v>24087.5</v>
      </c>
      <c r="BN83" s="90">
        <f ca="1">_xlfn.IFNA(INDEX(商城宝箱!V:V,MATCH(玩家节奏1!$BK83,商城宝箱!$L:$L,0)),0)+($BC83-INDEX(商城宝箱!$N:$N,MATCH(玩家节奏1!$BK83,商城宝箱!$L:$L,0)))/$BK$5*INDEX(商城宝箱!G$23:G$42,MATCH(玩家节奏1!$BK83+1,商城宝箱!$C$23:$C$42,0))</f>
        <v>14152</v>
      </c>
      <c r="BO83" s="90">
        <f ca="1">_xlfn.IFNA(INDEX(商城宝箱!W:W,MATCH(玩家节奏1!$BK83,商城宝箱!$L:$L,0)),0)+($BC83-INDEX(商城宝箱!$N:$N,MATCH(玩家节奏1!$BK83,商城宝箱!$L:$L,0)))/$BK$5*INDEX(商城宝箱!H$23:H$42,MATCH(玩家节奏1!$BK83+1,商城宝箱!$C$23:$C$42,0))</f>
        <v>1916.5</v>
      </c>
      <c r="BQ83" s="128">
        <f t="shared" si="82"/>
        <v>1110800</v>
      </c>
      <c r="BR83" s="90">
        <f t="shared" si="83"/>
        <v>164810</v>
      </c>
      <c r="BS83" s="90">
        <f t="shared" ca="1" si="84"/>
        <v>389320</v>
      </c>
      <c r="BT83" s="90">
        <f t="shared" si="85"/>
        <v>12200</v>
      </c>
      <c r="BU83" s="90">
        <f t="shared" si="86"/>
        <v>60000</v>
      </c>
      <c r="BV83" s="90">
        <f t="shared" si="87"/>
        <v>38500</v>
      </c>
      <c r="BW83" s="90">
        <f t="shared" ca="1" si="99"/>
        <v>63000</v>
      </c>
      <c r="BX83" s="90">
        <f t="shared" ca="1" si="100"/>
        <v>1838630</v>
      </c>
      <c r="BY83" s="142">
        <f t="shared" ca="1" si="101"/>
        <v>0.604145477882989</v>
      </c>
      <c r="BZ83" s="142">
        <f t="shared" ca="1" si="102"/>
        <v>8.9637393058962386E-2</v>
      </c>
      <c r="CA83" s="142">
        <f t="shared" ca="1" si="103"/>
        <v>0.21174461419643975</v>
      </c>
      <c r="CB83" s="142">
        <f t="shared" ca="1" si="104"/>
        <v>6.6353752522258424E-3</v>
      </c>
      <c r="CC83" s="142">
        <f t="shared" ca="1" si="105"/>
        <v>3.2632993043733648E-2</v>
      </c>
      <c r="CD83" s="142">
        <f t="shared" ca="1" si="106"/>
        <v>2.0939503869729093E-2</v>
      </c>
      <c r="CE83" s="142">
        <f t="shared" ca="1" si="107"/>
        <v>3.4264642695920333E-2</v>
      </c>
      <c r="CG83" s="128">
        <f t="shared" si="108"/>
        <v>64</v>
      </c>
      <c r="CH83" s="90">
        <f ca="1">INDEX(角色升级!$A:$A,MATCH(玩家节奏1!$BX83,角色升级!$J:$J,1))</f>
        <v>400</v>
      </c>
      <c r="CI83" s="90">
        <f ca="1">INDEX(角色升级!$O:$O,MATCH(玩家节奏1!$BX83,角色升级!$J:$J,1))</f>
        <v>12571.04243</v>
      </c>
      <c r="CJ83" s="90">
        <f>INDEX(关卡对比!$J:$J,MATCH(玩家节奏1!N83,关卡对比!$A:$A,0))</f>
        <v>18200</v>
      </c>
      <c r="CK83" s="147">
        <f t="shared" ca="1" si="109"/>
        <v>1.4477717421879708</v>
      </c>
      <c r="CL83" s="128">
        <f ca="1">INDEX(角色升级!$P:$P,MATCH(玩家节奏1!$CH83,角色升级!$A:$A,0))</f>
        <v>3800</v>
      </c>
      <c r="CM83" s="90">
        <f ca="1">INDEX(角色升级!Q:Q,MATCH(玩家节奏1!$CH83,角色升级!$A:$A,0))</f>
        <v>0.5</v>
      </c>
      <c r="CO83" s="128">
        <f t="shared" si="110"/>
        <v>7874</v>
      </c>
      <c r="CP83" s="90">
        <f t="shared" si="111"/>
        <v>10816</v>
      </c>
      <c r="CQ83" s="90">
        <f t="shared" si="112"/>
        <v>10512</v>
      </c>
      <c r="CR83" s="90">
        <f t="shared" ca="1" si="113"/>
        <v>24087.5</v>
      </c>
      <c r="CS83" s="90">
        <f t="shared" ca="1" si="114"/>
        <v>53289.5</v>
      </c>
      <c r="CT83" s="142">
        <f t="shared" ca="1" si="115"/>
        <v>0.14775893937830153</v>
      </c>
      <c r="CU83" s="142">
        <f t="shared" ca="1" si="116"/>
        <v>0.2029668133497218</v>
      </c>
      <c r="CV83" s="142">
        <f t="shared" ca="1" si="117"/>
        <v>0.19726212480882727</v>
      </c>
      <c r="CW83" s="142">
        <f t="shared" ca="1" si="118"/>
        <v>0.45201212246314942</v>
      </c>
      <c r="CY83" s="128">
        <f t="shared" si="119"/>
        <v>3938</v>
      </c>
      <c r="CZ83" s="90">
        <f t="shared" si="120"/>
        <v>5311</v>
      </c>
      <c r="DA83" s="90">
        <f t="shared" si="121"/>
        <v>5152</v>
      </c>
      <c r="DB83" s="90">
        <f t="shared" ca="1" si="122"/>
        <v>14152</v>
      </c>
      <c r="DC83" s="90">
        <f t="shared" ca="1" si="123"/>
        <v>28553</v>
      </c>
      <c r="DD83" s="142">
        <f t="shared" ca="1" si="124"/>
        <v>0.13791895772773438</v>
      </c>
      <c r="DE83" s="142">
        <f t="shared" ca="1" si="125"/>
        <v>0.18600497320771897</v>
      </c>
      <c r="DF83" s="142">
        <f t="shared" ca="1" si="126"/>
        <v>0.1804363814660456</v>
      </c>
      <c r="DG83" s="142">
        <f t="shared" ca="1" si="127"/>
        <v>0.49563968759850102</v>
      </c>
      <c r="DI83" s="128">
        <f t="shared" si="128"/>
        <v>1773</v>
      </c>
      <c r="DJ83" s="90">
        <f t="shared" si="129"/>
        <v>2417</v>
      </c>
      <c r="DK83" s="90">
        <f t="shared" si="130"/>
        <v>1664</v>
      </c>
      <c r="DL83" s="90">
        <f t="shared" ca="1" si="131"/>
        <v>1916.5</v>
      </c>
      <c r="DM83" s="90">
        <f t="shared" ca="1" si="132"/>
        <v>7770.5</v>
      </c>
      <c r="DN83" s="142">
        <f t="shared" ca="1" si="133"/>
        <v>0.22817064538961457</v>
      </c>
      <c r="DO83" s="142">
        <f t="shared" ca="1" si="134"/>
        <v>0.31104819509684062</v>
      </c>
      <c r="DP83" s="142">
        <f t="shared" ca="1" si="135"/>
        <v>0.21414323402612445</v>
      </c>
      <c r="DQ83" s="142">
        <f t="shared" ca="1" si="136"/>
        <v>0.24663792548742036</v>
      </c>
      <c r="DS83" s="128">
        <f t="shared" ca="1" si="137"/>
        <v>53289.5</v>
      </c>
      <c r="DT83" s="90">
        <f t="shared" ca="1" si="138"/>
        <v>28553</v>
      </c>
      <c r="DU83" s="90">
        <f t="shared" ca="1" si="139"/>
        <v>7770.5</v>
      </c>
      <c r="DV83" s="90">
        <f t="shared" si="140"/>
        <v>60</v>
      </c>
      <c r="DW83" s="90">
        <f ca="1">_xlfn.IFNA(INDEX(武器升级消耗!$H:$H,MATCH(玩家节奏1!DS83/玩家节奏1!DS$5,武器升级消耗!M:M,1)),0)</f>
        <v>22</v>
      </c>
      <c r="DX83" s="90">
        <f ca="1">_xlfn.IFNA(INDEX(武器升级消耗!$H:$H,MATCH(玩家节奏1!DT83/玩家节奏1!DT$5,武器升级消耗!N:N,1)),0)</f>
        <v>19</v>
      </c>
      <c r="DY83" s="90">
        <f ca="1">_xlfn.IFNA(INDEX(武器升级消耗!$H:$H,MATCH(玩家节奏1!DU83/玩家节奏1!DU$5,武器升级消耗!O:O,1)),0)</f>
        <v>12</v>
      </c>
      <c r="DZ83" s="90">
        <f>_xlfn.IFNA(INDEX(武器升级消耗!$H:$H,MATCH(玩家节奏1!DV83/玩家节奏1!DV$5,武器升级消耗!P:P,1)),0)</f>
        <v>8</v>
      </c>
      <c r="EA83" s="90">
        <f ca="1">_xlfn.IFNA(INDEX(武器升级消耗!$Q:$Q,MATCH(玩家节奏1!DW83,武器升级消耗!$H:$H,0))*2*EA$4,0)</f>
        <v>3.12</v>
      </c>
      <c r="EB83" s="90">
        <f ca="1">_xlfn.IFNA(INDEX(武器升级消耗!$Q:$Q,MATCH(玩家节奏1!DX83,武器升级消耗!$H:$H,0))*2*EB$4,0)</f>
        <v>3.4499999999999997</v>
      </c>
      <c r="EC83" s="90">
        <f ca="1">_xlfn.IFNA(INDEX(武器升级消耗!$Q:$Q,MATCH(玩家节奏1!DY83,武器升级消耗!$H:$H,0))*2*EC$4,1)</f>
        <v>3.5200000000000005</v>
      </c>
      <c r="ED83" s="90">
        <f>_xlfn.IFNA(INDEX(武器升级消耗!$Q:$Q,MATCH(玩家节奏1!DZ83,武器升级消耗!$H:$H,0))*2*ED$4,0)</f>
        <v>3.5999999999999996</v>
      </c>
      <c r="EF83" s="128"/>
      <c r="EG83" s="90"/>
      <c r="EH83" s="90"/>
      <c r="EI83" s="90"/>
      <c r="EJ83" s="90"/>
      <c r="EK83" s="90"/>
      <c r="EL83" s="90"/>
      <c r="EM83" s="90"/>
      <c r="EO83" s="128"/>
      <c r="EP83" s="90"/>
      <c r="EQ83" s="90"/>
      <c r="ER83" s="90"/>
      <c r="ES83" s="90"/>
      <c r="ET83" s="90"/>
      <c r="EU83" s="90"/>
      <c r="EV83" s="90"/>
      <c r="EW83" s="90"/>
      <c r="EX83" s="90"/>
      <c r="EY83" s="90"/>
      <c r="EZ83" s="90"/>
      <c r="FA83" s="90"/>
      <c r="FB83" s="90"/>
      <c r="FD83" s="90">
        <f t="shared" ca="1" si="141"/>
        <v>3.5200000000000005</v>
      </c>
      <c r="FE83" s="90"/>
      <c r="FF83" s="90"/>
      <c r="FG83" s="90">
        <f t="shared" ca="1" si="142"/>
        <v>0</v>
      </c>
    </row>
    <row r="84" spans="1:163" x14ac:dyDescent="0.25">
      <c r="A84" s="123">
        <v>78</v>
      </c>
      <c r="B84" s="123">
        <f>INDEX(关卡对比!$Y:$Y,MATCH(关卡对比!Z84,关卡对比!$AA:$AA,1))</f>
        <v>52</v>
      </c>
      <c r="C84" s="124">
        <f>INDEX(关卡对比!$Y:$Y,MATCH(关卡对比!Z84,关卡对比!$AB:$AB,1))</f>
        <v>44</v>
      </c>
      <c r="D84" s="125">
        <f t="shared" si="70"/>
        <v>491.5</v>
      </c>
      <c r="E84" s="125">
        <v>3</v>
      </c>
      <c r="F84" s="128">
        <v>5</v>
      </c>
      <c r="G84" s="90">
        <v>1</v>
      </c>
      <c r="H84" s="90">
        <v>1</v>
      </c>
      <c r="J84" s="128">
        <v>78</v>
      </c>
      <c r="K84" s="90">
        <f t="shared" si="88"/>
        <v>5</v>
      </c>
      <c r="L84" s="90">
        <f t="shared" si="89"/>
        <v>1</v>
      </c>
      <c r="M84" s="90">
        <f t="shared" si="90"/>
        <v>1</v>
      </c>
      <c r="N84" s="140">
        <f>INDEX($A:$A,MATCH(SUM($K$7:K84),$D:$D,1))</f>
        <v>65</v>
      </c>
      <c r="O84" s="140">
        <v>0</v>
      </c>
      <c r="P84" s="141">
        <v>0</v>
      </c>
      <c r="Q84" s="126">
        <f>_xlfn.MAXIFS(关卡产出!X:X,关卡产出!$A:$A,玩家节奏1!$N$6,关卡产出!$B:$B,玩家节奏1!$N84)+_xlfn.MAXIFS(关卡产出!X:X,关卡产出!$A:$A,玩家节奏1!$O$6,关卡产出!$B:$B,玩家节奏1!$O84)+_xlfn.MAXIFS(关卡产出!X:X,关卡产出!$A:$A,玩家节奏1!$P$6,关卡产出!$B:$B,玩家节奏1!$P84)</f>
        <v>11500</v>
      </c>
      <c r="R84" s="90">
        <f>_xlfn.MAXIFS(关卡产出!Y:Y,关卡产出!$A:$A,玩家节奏1!$N$6,关卡产出!$B:$B,玩家节奏1!$N84)+_xlfn.MAXIFS(关卡产出!Y:Y,关卡产出!$A:$A,玩家节奏1!$O$6,关卡产出!$B:$B,玩家节奏1!$O84)+_xlfn.MAXIFS(关卡产出!Y:Y,关卡产出!$A:$A,玩家节奏1!$P$6,关卡产出!$B:$B,玩家节奏1!$P84)</f>
        <v>1147500</v>
      </c>
      <c r="S84" s="90">
        <f>_xlfn.MAXIFS(关卡产出!Z:Z,关卡产出!$A:$A,玩家节奏1!$N$6,关卡产出!$B:$B,玩家节奏1!$N84)+_xlfn.MAXIFS(关卡产出!Z:Z,关卡产出!$A:$A,玩家节奏1!$O$6,关卡产出!$B:$B,玩家节奏1!$O84)+_xlfn.MAXIFS(关卡产出!Z:Z,关卡产出!$A:$A,玩家节奏1!$P$6,关卡产出!$B:$B,玩家节奏1!$P84)</f>
        <v>8126</v>
      </c>
      <c r="T84" s="90">
        <f>_xlfn.MAXIFS(关卡产出!AA:AA,关卡产出!$A:$A,玩家节奏1!$N$6,关卡产出!$B:$B,玩家节奏1!$N84)+_xlfn.MAXIFS(关卡产出!AA:AA,关卡产出!$A:$A,玩家节奏1!$O$6,关卡产出!$B:$B,玩家节奏1!$O84)+_xlfn.MAXIFS(关卡产出!AA:AA,关卡产出!$A:$A,玩家节奏1!$P$6,关卡产出!$B:$B,玩家节奏1!$P84)</f>
        <v>4064</v>
      </c>
      <c r="U84" s="90">
        <f>_xlfn.MAXIFS(关卡产出!AB:AB,关卡产出!$A:$A,玩家节奏1!$N$6,关卡产出!$B:$B,玩家节奏1!$N84)+_xlfn.MAXIFS(关卡产出!AB:AB,关卡产出!$A:$A,玩家节奏1!$O$6,关卡产出!$B:$B,玩家节奏1!$O84)+_xlfn.MAXIFS(关卡产出!AB:AB,关卡产出!$A:$A,玩家节奏1!$P$6,关卡产出!$B:$B,玩家节奏1!$P84)</f>
        <v>1833</v>
      </c>
      <c r="V84" s="130">
        <f>_xlfn.MAXIFS(关卡产出!AC:AC,关卡产出!$A:$A,玩家节奏1!$N$6,关卡产出!$B:$B,玩家节奏1!$N84)+_xlfn.MAXIFS(关卡产出!AC:AC,关卡产出!$A:$A,玩家节奏1!$O$6,关卡产出!$B:$B,玩家节奏1!$O84)+_xlfn.MAXIFS(关卡产出!AC:AC,关卡产出!$A:$A,玩家节奏1!$P$6,关卡产出!$B:$B,玩家节奏1!$P84)</f>
        <v>390</v>
      </c>
      <c r="W84" s="126">
        <f>INDEX(关卡产出!C$8:C$207,MATCH(玩家节奏1!$N84,关卡产出!$B$8:$B$207,0))*$K84</f>
        <v>250</v>
      </c>
      <c r="X84" s="126">
        <f>INDEX(关卡产出!D$8:D$207,MATCH(玩家节奏1!$N84,关卡产出!$B$8:$B$207,0))*$K84</f>
        <v>125</v>
      </c>
      <c r="Y84" s="126">
        <f>INDEX(关卡产出!E$8:E$207,MATCH(玩家节奏1!$N84,关卡产出!$B$8:$B$207,0))*$K84</f>
        <v>60</v>
      </c>
      <c r="Z84" s="144">
        <f>INDEX(关卡产出!F$8:F$207,MATCH(玩家节奏1!$N84,关卡产出!$B$8:$B$207,0))*$K84</f>
        <v>3550</v>
      </c>
      <c r="AA84" s="126">
        <f>SUM(W$7:W84)</f>
        <v>11066</v>
      </c>
      <c r="AB84" s="126">
        <f>SUM(X$7:X84)</f>
        <v>5436</v>
      </c>
      <c r="AC84" s="126">
        <f>SUM(Y$7:Y84)</f>
        <v>2477</v>
      </c>
      <c r="AD84" s="126">
        <f>SUM(Z$7:Z84)</f>
        <v>168360</v>
      </c>
      <c r="AE84" s="126">
        <f>INDEX(图鉴!AQ:AQ,MATCH($N84,图鉴!$S:$S,0))*8</f>
        <v>168</v>
      </c>
      <c r="AF84" s="90">
        <f>INDEX(图鉴!AR:AR,MATCH($N84,图鉴!$S:$S,0))*8</f>
        <v>104</v>
      </c>
      <c r="AG84" s="90">
        <f>INDEX(图鉴!AS:AS,MATCH($N84,图鉴!$S:$S,0))*8</f>
        <v>32</v>
      </c>
      <c r="AH84" s="129">
        <f ca="1">INDEX(图鉴!AT:AT,MATCH($N84,图鉴!$S:$S,0))*8</f>
        <v>7640</v>
      </c>
      <c r="AI84" s="128">
        <f>SUM($AE$7:AE84)</f>
        <v>10680</v>
      </c>
      <c r="AJ84" s="90">
        <f>SUM(AF$7:AF84)</f>
        <v>5256</v>
      </c>
      <c r="AK84" s="90">
        <f>SUM(AG$7:AG84)</f>
        <v>1696</v>
      </c>
      <c r="AL84" s="130">
        <f ca="1">SUM(AH$7:AH84)</f>
        <v>396960</v>
      </c>
      <c r="AM84" s="133">
        <f>IF(M84=0,0,INDEX(关卡产出!$AU$11:$AU$15,MATCH(玩家节奏1!N84,关卡产出!$AW$11:$AW$15,1))*M84)</f>
        <v>12200</v>
      </c>
      <c r="AN84" s="126">
        <f>IF(L84=0,0,$L84*关卡产出!AU$21)</f>
        <v>1000</v>
      </c>
      <c r="AO84" s="90">
        <f>IF(M84=0,0,$L84*关卡产出!AV$21)</f>
        <v>50</v>
      </c>
      <c r="AP84" s="129">
        <f>IF(N84=0,0,$L84*关卡产出!AW$21)</f>
        <v>1</v>
      </c>
      <c r="AQ84" s="138">
        <f>SUM(AN$7:AN84)</f>
        <v>61000</v>
      </c>
      <c r="AR84" s="126">
        <f>SUM(AO$7:AO84)</f>
        <v>3050</v>
      </c>
      <c r="AS84" s="129">
        <f>SUM(AP$7:AP84)</f>
        <v>61</v>
      </c>
      <c r="AT84" s="128">
        <v>500</v>
      </c>
      <c r="AU84" s="129">
        <v>100</v>
      </c>
      <c r="AV84" s="128">
        <f>SUM(AT$7:AT84)</f>
        <v>39000</v>
      </c>
      <c r="AW84" s="90">
        <f>SUM(AU$7:AU84)</f>
        <v>7800</v>
      </c>
      <c r="AY84" s="128">
        <f t="shared" si="91"/>
        <v>11500</v>
      </c>
      <c r="AZ84" s="90">
        <f t="shared" si="92"/>
        <v>3050</v>
      </c>
      <c r="BA84" s="90">
        <f t="shared" si="93"/>
        <v>7800</v>
      </c>
      <c r="BB84" s="90">
        <f t="shared" ca="1" si="143"/>
        <v>3800</v>
      </c>
      <c r="BC84" s="90">
        <f t="shared" ca="1" si="144"/>
        <v>26150</v>
      </c>
      <c r="BD84" s="90"/>
      <c r="BE84" s="90">
        <f t="shared" ca="1" si="94"/>
        <v>26150</v>
      </c>
      <c r="BF84" s="142">
        <f t="shared" ca="1" si="95"/>
        <v>0.43977055449330782</v>
      </c>
      <c r="BG84" s="142">
        <f t="shared" ca="1" si="96"/>
        <v>0.11663479923518165</v>
      </c>
      <c r="BH84" s="142">
        <f t="shared" ca="1" si="97"/>
        <v>0.29827915869980881</v>
      </c>
      <c r="BI84" s="142">
        <f t="shared" ca="1" si="98"/>
        <v>0.14531548757170173</v>
      </c>
      <c r="BJ84" s="143"/>
      <c r="BK84" s="128">
        <f ca="1">INDEX(商城宝箱!$L:$L,MATCH(BC84,商城宝箱!$N:$N,1))</f>
        <v>7</v>
      </c>
      <c r="BL84" s="90">
        <f ca="1">_xlfn.IFNA(INDEX(商城宝箱!T:T,MATCH(玩家节奏1!$BK84,商城宝箱!$L:$L,0)),0)+($BC84-INDEX(商城宝箱!$N:$N,MATCH(玩家节奏1!$BK84,商城宝箱!$L:$L,0)))/$BK$5*INDEX(商城宝箱!E$23:E$42,MATCH(玩家节奏1!$BK84+1,商城宝箱!$C$23:$C$42,0))</f>
        <v>65375</v>
      </c>
      <c r="BM84" s="90">
        <f ca="1">_xlfn.IFNA(INDEX(商城宝箱!U:U,MATCH(玩家节奏1!$BK84,商城宝箱!$L:$L,0)),0)+($BC84-INDEX(商城宝箱!$N:$N,MATCH(玩家节奏1!$BK84,商城宝箱!$L:$L,0)))/$BK$5*INDEX(商城宝箱!F$23:F$42,MATCH(玩家节奏1!$BK84+1,商城宝箱!$C$23:$C$42,0))</f>
        <v>25750</v>
      </c>
      <c r="BN84" s="90">
        <f ca="1">_xlfn.IFNA(INDEX(商城宝箱!V:V,MATCH(玩家节奏1!$BK84,商城宝箱!$L:$L,0)),0)+($BC84-INDEX(商城宝箱!$N:$N,MATCH(玩家节奏1!$BK84,商城宝箱!$L:$L,0)))/$BK$5*INDEX(商城宝箱!G$23:G$42,MATCH(玩家节奏1!$BK84+1,商城宝箱!$C$23:$C$42,0))</f>
        <v>15244.5</v>
      </c>
      <c r="BO84" s="90">
        <f ca="1">_xlfn.IFNA(INDEX(商城宝箱!W:W,MATCH(玩家节奏1!$BK84,商城宝箱!$L:$L,0)),0)+($BC84-INDEX(商城宝箱!$N:$N,MATCH(玩家节奏1!$BK84,商城宝箱!$L:$L,0)))/$BK$5*INDEX(商城宝箱!H$23:H$42,MATCH(玩家节奏1!$BK84+1,商城宝箱!$C$23:$C$42,0))</f>
        <v>2059</v>
      </c>
      <c r="BQ84" s="128">
        <f t="shared" si="82"/>
        <v>1147500</v>
      </c>
      <c r="BR84" s="90">
        <f t="shared" si="83"/>
        <v>168360</v>
      </c>
      <c r="BS84" s="90">
        <f t="shared" ca="1" si="84"/>
        <v>396960</v>
      </c>
      <c r="BT84" s="90">
        <f t="shared" si="85"/>
        <v>12200</v>
      </c>
      <c r="BU84" s="90">
        <f t="shared" si="86"/>
        <v>61000</v>
      </c>
      <c r="BV84" s="90">
        <f t="shared" si="87"/>
        <v>39000</v>
      </c>
      <c r="BW84" s="90">
        <f t="shared" ca="1" si="99"/>
        <v>65375</v>
      </c>
      <c r="BX84" s="90">
        <f t="shared" ca="1" si="100"/>
        <v>1890395</v>
      </c>
      <c r="BY84" s="142">
        <f t="shared" ca="1" si="101"/>
        <v>0.60701599401183348</v>
      </c>
      <c r="BZ84" s="142">
        <f t="shared" ca="1" si="102"/>
        <v>8.9060751853448625E-2</v>
      </c>
      <c r="CA84" s="142">
        <f t="shared" ca="1" si="103"/>
        <v>0.20998785968011976</v>
      </c>
      <c r="CB84" s="142">
        <f t="shared" ca="1" si="104"/>
        <v>6.4536776705397553E-3</v>
      </c>
      <c r="CC84" s="142">
        <f t="shared" ca="1" si="105"/>
        <v>3.2268388352698775E-2</v>
      </c>
      <c r="CD84" s="142">
        <f t="shared" ca="1" si="106"/>
        <v>2.0630608946807412E-2</v>
      </c>
      <c r="CE84" s="142">
        <f t="shared" ca="1" si="107"/>
        <v>3.4582719484552167E-2</v>
      </c>
      <c r="CG84" s="128">
        <f t="shared" si="108"/>
        <v>65</v>
      </c>
      <c r="CH84" s="90">
        <f ca="1">INDEX(角色升级!$A:$A,MATCH(玩家节奏1!$BX84,角色升级!$J:$J,1))</f>
        <v>405</v>
      </c>
      <c r="CI84" s="90">
        <f ca="1">INDEX(角色升级!$O:$O,MATCH(玩家节奏1!$BX84,角色升级!$J:$J,1))</f>
        <v>12626.715779999999</v>
      </c>
      <c r="CJ84" s="90">
        <f>INDEX(关卡对比!$J:$J,MATCH(玩家节奏1!N84,关卡对比!$A:$A,0))</f>
        <v>18700</v>
      </c>
      <c r="CK84" s="147">
        <f t="shared" ca="1" si="109"/>
        <v>1.4809868477137769</v>
      </c>
      <c r="CL84" s="128">
        <f ca="1">INDEX(角色升级!$P:$P,MATCH(玩家节奏1!$CH84,角色升级!$A:$A,0))</f>
        <v>3800</v>
      </c>
      <c r="CM84" s="90">
        <f ca="1">INDEX(角色升级!Q:Q,MATCH(玩家节奏1!$CH84,角色升级!$A:$A,0))</f>
        <v>0.5</v>
      </c>
      <c r="CO84" s="128">
        <f t="shared" si="110"/>
        <v>8126</v>
      </c>
      <c r="CP84" s="90">
        <f t="shared" si="111"/>
        <v>11066</v>
      </c>
      <c r="CQ84" s="90">
        <f t="shared" si="112"/>
        <v>10680</v>
      </c>
      <c r="CR84" s="90">
        <f t="shared" ca="1" si="113"/>
        <v>25750</v>
      </c>
      <c r="CS84" s="90">
        <f t="shared" ca="1" si="114"/>
        <v>55622</v>
      </c>
      <c r="CT84" s="142">
        <f t="shared" ca="1" si="115"/>
        <v>0.14609327244615439</v>
      </c>
      <c r="CU84" s="142">
        <f t="shared" ca="1" si="116"/>
        <v>0.19895005573334293</v>
      </c>
      <c r="CV84" s="142">
        <f t="shared" ca="1" si="117"/>
        <v>0.19201035561468482</v>
      </c>
      <c r="CW84" s="142">
        <f t="shared" ca="1" si="118"/>
        <v>0.46294631620581783</v>
      </c>
      <c r="CY84" s="128">
        <f t="shared" si="119"/>
        <v>4064</v>
      </c>
      <c r="CZ84" s="90">
        <f t="shared" si="120"/>
        <v>5436</v>
      </c>
      <c r="DA84" s="90">
        <f t="shared" si="121"/>
        <v>5256</v>
      </c>
      <c r="DB84" s="90">
        <f t="shared" ca="1" si="122"/>
        <v>15244.5</v>
      </c>
      <c r="DC84" s="90">
        <f t="shared" ca="1" si="123"/>
        <v>30000.5</v>
      </c>
      <c r="DD84" s="142">
        <f t="shared" ca="1" si="124"/>
        <v>0.1354644089265179</v>
      </c>
      <c r="DE84" s="142">
        <f t="shared" ca="1" si="125"/>
        <v>0.1811969800503325</v>
      </c>
      <c r="DF84" s="142">
        <f t="shared" ca="1" si="126"/>
        <v>0.17519708004866585</v>
      </c>
      <c r="DG84" s="142">
        <f t="shared" ca="1" si="127"/>
        <v>0.50814153097448378</v>
      </c>
      <c r="DI84" s="128">
        <f t="shared" si="128"/>
        <v>1833</v>
      </c>
      <c r="DJ84" s="90">
        <f t="shared" si="129"/>
        <v>2477</v>
      </c>
      <c r="DK84" s="90">
        <f t="shared" si="130"/>
        <v>1696</v>
      </c>
      <c r="DL84" s="90">
        <f t="shared" ca="1" si="131"/>
        <v>2059</v>
      </c>
      <c r="DM84" s="90">
        <f t="shared" ca="1" si="132"/>
        <v>8065</v>
      </c>
      <c r="DN84" s="142">
        <f t="shared" ca="1" si="133"/>
        <v>0.22727836329820211</v>
      </c>
      <c r="DO84" s="142">
        <f t="shared" ca="1" si="134"/>
        <v>0.30712957222566645</v>
      </c>
      <c r="DP84" s="142">
        <f t="shared" ca="1" si="135"/>
        <v>0.21029138251704899</v>
      </c>
      <c r="DQ84" s="142">
        <f t="shared" ca="1" si="136"/>
        <v>0.25530068195908245</v>
      </c>
      <c r="DS84" s="128">
        <f t="shared" ca="1" si="137"/>
        <v>55622</v>
      </c>
      <c r="DT84" s="90">
        <f t="shared" ca="1" si="138"/>
        <v>30000.5</v>
      </c>
      <c r="DU84" s="90">
        <f t="shared" ca="1" si="139"/>
        <v>8065</v>
      </c>
      <c r="DV84" s="90">
        <f t="shared" si="140"/>
        <v>61</v>
      </c>
      <c r="DW84" s="90">
        <f ca="1">_xlfn.IFNA(INDEX(武器升级消耗!$H:$H,MATCH(玩家节奏1!DS84/玩家节奏1!DS$5,武器升级消耗!M:M,1)),0)</f>
        <v>22</v>
      </c>
      <c r="DX84" s="90">
        <f ca="1">_xlfn.IFNA(INDEX(武器升级消耗!$H:$H,MATCH(玩家节奏1!DT84/玩家节奏1!DT$5,武器升级消耗!N:N,1)),0)</f>
        <v>19</v>
      </c>
      <c r="DY84" s="90">
        <f ca="1">_xlfn.IFNA(INDEX(武器升级消耗!$H:$H,MATCH(玩家节奏1!DU84/玩家节奏1!DU$5,武器升级消耗!O:O,1)),0)</f>
        <v>13</v>
      </c>
      <c r="DZ84" s="90">
        <f>_xlfn.IFNA(INDEX(武器升级消耗!$H:$H,MATCH(玩家节奏1!DV84/玩家节奏1!DV$5,武器升级消耗!P:P,1)),0)</f>
        <v>8</v>
      </c>
      <c r="EA84" s="90">
        <f ca="1">_xlfn.IFNA(INDEX(武器升级消耗!$Q:$Q,MATCH(玩家节奏1!DW84,武器升级消耗!$H:$H,0))*2*EA$4,0)</f>
        <v>3.12</v>
      </c>
      <c r="EB84" s="90">
        <f ca="1">_xlfn.IFNA(INDEX(武器升级消耗!$Q:$Q,MATCH(玩家节奏1!DX84,武器升级消耗!$H:$H,0))*2*EB$4,0)</f>
        <v>3.4499999999999997</v>
      </c>
      <c r="EC84" s="90">
        <f ca="1">_xlfn.IFNA(INDEX(武器升级消耗!$Q:$Q,MATCH(玩家节奏1!DY84,武器升级消耗!$H:$H,0))*2*EC$4,1)</f>
        <v>3.74</v>
      </c>
      <c r="ED84" s="90">
        <f>_xlfn.IFNA(INDEX(武器升级消耗!$Q:$Q,MATCH(玩家节奏1!DZ84,武器升级消耗!$H:$H,0))*2*ED$4,0)</f>
        <v>3.5999999999999996</v>
      </c>
      <c r="EF84" s="128"/>
      <c r="EG84" s="90"/>
      <c r="EH84" s="90"/>
      <c r="EI84" s="90"/>
      <c r="EJ84" s="90"/>
      <c r="EK84" s="90"/>
      <c r="EL84" s="90"/>
      <c r="EM84" s="90"/>
      <c r="EO84" s="128"/>
      <c r="EP84" s="90"/>
      <c r="EQ84" s="90"/>
      <c r="ER84" s="90"/>
      <c r="ES84" s="90"/>
      <c r="ET84" s="90"/>
      <c r="EU84" s="90"/>
      <c r="EV84" s="90"/>
      <c r="EW84" s="90"/>
      <c r="EX84" s="90"/>
      <c r="EY84" s="90"/>
      <c r="EZ84" s="90"/>
      <c r="FA84" s="90"/>
      <c r="FB84" s="90"/>
      <c r="FD84" s="90">
        <f t="shared" ca="1" si="141"/>
        <v>3.74</v>
      </c>
      <c r="FE84" s="90"/>
      <c r="FF84" s="90"/>
      <c r="FG84" s="90">
        <f t="shared" ca="1" si="142"/>
        <v>0</v>
      </c>
    </row>
    <row r="85" spans="1:163" x14ac:dyDescent="0.25">
      <c r="A85" s="123">
        <v>79</v>
      </c>
      <c r="B85" s="123">
        <f>INDEX(关卡对比!$Y:$Y,MATCH(关卡对比!Z85,关卡对比!$AA:$AA,1))</f>
        <v>53</v>
      </c>
      <c r="C85" s="124">
        <f>INDEX(关卡对比!$Y:$Y,MATCH(关卡对比!Z85,关卡对比!$AB:$AB,1))</f>
        <v>44</v>
      </c>
      <c r="D85" s="125">
        <f t="shared" si="70"/>
        <v>497.5</v>
      </c>
      <c r="E85" s="125">
        <v>3</v>
      </c>
      <c r="F85" s="128">
        <v>5</v>
      </c>
      <c r="G85" s="90">
        <v>1</v>
      </c>
      <c r="H85" s="90">
        <v>1</v>
      </c>
      <c r="J85" s="128">
        <v>79</v>
      </c>
      <c r="K85" s="90">
        <f t="shared" si="88"/>
        <v>5</v>
      </c>
      <c r="L85" s="90">
        <f t="shared" si="89"/>
        <v>1</v>
      </c>
      <c r="M85" s="90">
        <f t="shared" si="90"/>
        <v>1</v>
      </c>
      <c r="N85" s="140">
        <f>INDEX($A:$A,MATCH(SUM($K$7:K85),$D:$D,1))</f>
        <v>65</v>
      </c>
      <c r="O85" s="140">
        <v>0</v>
      </c>
      <c r="P85" s="141">
        <v>0</v>
      </c>
      <c r="Q85" s="126">
        <f>_xlfn.MAXIFS(关卡产出!X:X,关卡产出!$A:$A,玩家节奏1!$N$6,关卡产出!$B:$B,玩家节奏1!$N85)+_xlfn.MAXIFS(关卡产出!X:X,关卡产出!$A:$A,玩家节奏1!$O$6,关卡产出!$B:$B,玩家节奏1!$O85)+_xlfn.MAXIFS(关卡产出!X:X,关卡产出!$A:$A,玩家节奏1!$P$6,关卡产出!$B:$B,玩家节奏1!$P85)</f>
        <v>11500</v>
      </c>
      <c r="R85" s="90">
        <f>_xlfn.MAXIFS(关卡产出!Y:Y,关卡产出!$A:$A,玩家节奏1!$N$6,关卡产出!$B:$B,玩家节奏1!$N85)+_xlfn.MAXIFS(关卡产出!Y:Y,关卡产出!$A:$A,玩家节奏1!$O$6,关卡产出!$B:$B,玩家节奏1!$O85)+_xlfn.MAXIFS(关卡产出!Y:Y,关卡产出!$A:$A,玩家节奏1!$P$6,关卡产出!$B:$B,玩家节奏1!$P85)</f>
        <v>1147500</v>
      </c>
      <c r="S85" s="90">
        <f>_xlfn.MAXIFS(关卡产出!Z:Z,关卡产出!$A:$A,玩家节奏1!$N$6,关卡产出!$B:$B,玩家节奏1!$N85)+_xlfn.MAXIFS(关卡产出!Z:Z,关卡产出!$A:$A,玩家节奏1!$O$6,关卡产出!$B:$B,玩家节奏1!$O85)+_xlfn.MAXIFS(关卡产出!Z:Z,关卡产出!$A:$A,玩家节奏1!$P$6,关卡产出!$B:$B,玩家节奏1!$P85)</f>
        <v>8126</v>
      </c>
      <c r="T85" s="90">
        <f>_xlfn.MAXIFS(关卡产出!AA:AA,关卡产出!$A:$A,玩家节奏1!$N$6,关卡产出!$B:$B,玩家节奏1!$N85)+_xlfn.MAXIFS(关卡产出!AA:AA,关卡产出!$A:$A,玩家节奏1!$O$6,关卡产出!$B:$B,玩家节奏1!$O85)+_xlfn.MAXIFS(关卡产出!AA:AA,关卡产出!$A:$A,玩家节奏1!$P$6,关卡产出!$B:$B,玩家节奏1!$P85)</f>
        <v>4064</v>
      </c>
      <c r="U85" s="90">
        <f>_xlfn.MAXIFS(关卡产出!AB:AB,关卡产出!$A:$A,玩家节奏1!$N$6,关卡产出!$B:$B,玩家节奏1!$N85)+_xlfn.MAXIFS(关卡产出!AB:AB,关卡产出!$A:$A,玩家节奏1!$O$6,关卡产出!$B:$B,玩家节奏1!$O85)+_xlfn.MAXIFS(关卡产出!AB:AB,关卡产出!$A:$A,玩家节奏1!$P$6,关卡产出!$B:$B,玩家节奏1!$P85)</f>
        <v>1833</v>
      </c>
      <c r="V85" s="130">
        <f>_xlfn.MAXIFS(关卡产出!AC:AC,关卡产出!$A:$A,玩家节奏1!$N$6,关卡产出!$B:$B,玩家节奏1!$N85)+_xlfn.MAXIFS(关卡产出!AC:AC,关卡产出!$A:$A,玩家节奏1!$O$6,关卡产出!$B:$B,玩家节奏1!$O85)+_xlfn.MAXIFS(关卡产出!AC:AC,关卡产出!$A:$A,玩家节奏1!$P$6,关卡产出!$B:$B,玩家节奏1!$P85)</f>
        <v>390</v>
      </c>
      <c r="W85" s="126">
        <f>INDEX(关卡产出!C$8:C$207,MATCH(玩家节奏1!$N85,关卡产出!$B$8:$B$207,0))*$K85</f>
        <v>250</v>
      </c>
      <c r="X85" s="126">
        <f>INDEX(关卡产出!D$8:D$207,MATCH(玩家节奏1!$N85,关卡产出!$B$8:$B$207,0))*$K85</f>
        <v>125</v>
      </c>
      <c r="Y85" s="126">
        <f>INDEX(关卡产出!E$8:E$207,MATCH(玩家节奏1!$N85,关卡产出!$B$8:$B$207,0))*$K85</f>
        <v>60</v>
      </c>
      <c r="Z85" s="144">
        <f>INDEX(关卡产出!F$8:F$207,MATCH(玩家节奏1!$N85,关卡产出!$B$8:$B$207,0))*$K85</f>
        <v>3550</v>
      </c>
      <c r="AA85" s="126">
        <f>SUM(W$7:W85)</f>
        <v>11316</v>
      </c>
      <c r="AB85" s="126">
        <f>SUM(X$7:X85)</f>
        <v>5561</v>
      </c>
      <c r="AC85" s="126">
        <f>SUM(Y$7:Y85)</f>
        <v>2537</v>
      </c>
      <c r="AD85" s="126">
        <f>SUM(Z$7:Z85)</f>
        <v>171910</v>
      </c>
      <c r="AE85" s="126">
        <f>INDEX(图鉴!AQ:AQ,MATCH($N85,图鉴!$S:$S,0))*8</f>
        <v>168</v>
      </c>
      <c r="AF85" s="90">
        <f>INDEX(图鉴!AR:AR,MATCH($N85,图鉴!$S:$S,0))*8</f>
        <v>104</v>
      </c>
      <c r="AG85" s="90">
        <f>INDEX(图鉴!AS:AS,MATCH($N85,图鉴!$S:$S,0))*8</f>
        <v>32</v>
      </c>
      <c r="AH85" s="129">
        <f ca="1">INDEX(图鉴!AT:AT,MATCH($N85,图鉴!$S:$S,0))*8</f>
        <v>7640</v>
      </c>
      <c r="AI85" s="128">
        <f>SUM($AE$7:AE85)</f>
        <v>10848</v>
      </c>
      <c r="AJ85" s="90">
        <f>SUM(AF$7:AF85)</f>
        <v>5360</v>
      </c>
      <c r="AK85" s="90">
        <f>SUM(AG$7:AG85)</f>
        <v>1728</v>
      </c>
      <c r="AL85" s="130">
        <f ca="1">SUM(AH$7:AH85)</f>
        <v>404600</v>
      </c>
      <c r="AM85" s="133">
        <f>IF(M85=0,0,INDEX(关卡产出!$AU$11:$AU$15,MATCH(玩家节奏1!N85,关卡产出!$AW$11:$AW$15,1))*M85)</f>
        <v>12200</v>
      </c>
      <c r="AN85" s="126">
        <f>IF(L85=0,0,$L85*关卡产出!AU$21)</f>
        <v>1000</v>
      </c>
      <c r="AO85" s="90">
        <f>IF(M85=0,0,$L85*关卡产出!AV$21)</f>
        <v>50</v>
      </c>
      <c r="AP85" s="129">
        <f>IF(N85=0,0,$L85*关卡产出!AW$21)</f>
        <v>1</v>
      </c>
      <c r="AQ85" s="138">
        <f>SUM(AN$7:AN85)</f>
        <v>62000</v>
      </c>
      <c r="AR85" s="126">
        <f>SUM(AO$7:AO85)</f>
        <v>3100</v>
      </c>
      <c r="AS85" s="129">
        <f>SUM(AP$7:AP85)</f>
        <v>62</v>
      </c>
      <c r="AT85" s="128">
        <v>500</v>
      </c>
      <c r="AU85" s="129">
        <v>100</v>
      </c>
      <c r="AV85" s="128">
        <f>SUM(AT$7:AT85)</f>
        <v>39500</v>
      </c>
      <c r="AW85" s="90">
        <f>SUM(AU$7:AU85)</f>
        <v>7900</v>
      </c>
      <c r="AY85" s="128">
        <f t="shared" si="91"/>
        <v>11500</v>
      </c>
      <c r="AZ85" s="90">
        <f t="shared" si="92"/>
        <v>3100</v>
      </c>
      <c r="BA85" s="90">
        <f t="shared" si="93"/>
        <v>7900</v>
      </c>
      <c r="BB85" s="90">
        <f t="shared" ca="1" si="143"/>
        <v>3800</v>
      </c>
      <c r="BC85" s="90">
        <f t="shared" ca="1" si="144"/>
        <v>26300</v>
      </c>
      <c r="BD85" s="90"/>
      <c r="BE85" s="90">
        <f t="shared" ca="1" si="94"/>
        <v>26300</v>
      </c>
      <c r="BF85" s="142">
        <f t="shared" ca="1" si="95"/>
        <v>0.43726235741444869</v>
      </c>
      <c r="BG85" s="142">
        <f t="shared" ca="1" si="96"/>
        <v>0.11787072243346007</v>
      </c>
      <c r="BH85" s="142">
        <f t="shared" ca="1" si="97"/>
        <v>0.30038022813688214</v>
      </c>
      <c r="BI85" s="142">
        <f t="shared" ca="1" si="98"/>
        <v>0.14448669201520911</v>
      </c>
      <c r="BJ85" s="143"/>
      <c r="BK85" s="128">
        <f ca="1">INDEX(商城宝箱!$L:$L,MATCH(BC85,商城宝箱!$N:$N,1))</f>
        <v>7</v>
      </c>
      <c r="BL85" s="90">
        <f ca="1">_xlfn.IFNA(INDEX(商城宝箱!T:T,MATCH(玩家节奏1!$BK85,商城宝箱!$L:$L,0)),0)+($BC85-INDEX(商城宝箱!$N:$N,MATCH(玩家节奏1!$BK85,商城宝箱!$L:$L,0)))/$BK$5*INDEX(商城宝箱!E$23:E$42,MATCH(玩家节奏1!$BK85+1,商城宝箱!$C$23:$C$42,0))</f>
        <v>65750</v>
      </c>
      <c r="BM85" s="90">
        <f ca="1">_xlfn.IFNA(INDEX(商城宝箱!U:U,MATCH(玩家节奏1!$BK85,商城宝箱!$L:$L,0)),0)+($BC85-INDEX(商城宝箱!$N:$N,MATCH(玩家节奏1!$BK85,商城宝箱!$L:$L,0)))/$BK$5*INDEX(商城宝箱!F$23:F$42,MATCH(玩家节奏1!$BK85+1,商城宝箱!$C$23:$C$42,0))</f>
        <v>26012.5</v>
      </c>
      <c r="BN85" s="90">
        <f ca="1">_xlfn.IFNA(INDEX(商城宝箱!V:V,MATCH(玩家节奏1!$BK85,商城宝箱!$L:$L,0)),0)+($BC85-INDEX(商城宝箱!$N:$N,MATCH(玩家节奏1!$BK85,商城宝箱!$L:$L,0)))/$BK$5*INDEX(商城宝箱!G$23:G$42,MATCH(玩家节奏1!$BK85+1,商城宝箱!$C$23:$C$42,0))</f>
        <v>15417</v>
      </c>
      <c r="BO85" s="90">
        <f ca="1">_xlfn.IFNA(INDEX(商城宝箱!W:W,MATCH(玩家节奏1!$BK85,商城宝箱!$L:$L,0)),0)+($BC85-INDEX(商城宝箱!$N:$N,MATCH(玩家节奏1!$BK85,商城宝箱!$L:$L,0)))/$BK$5*INDEX(商城宝箱!H$23:H$42,MATCH(玩家节奏1!$BK85+1,商城宝箱!$C$23:$C$42,0))</f>
        <v>2081.5</v>
      </c>
      <c r="BQ85" s="128">
        <f t="shared" si="82"/>
        <v>1147500</v>
      </c>
      <c r="BR85" s="90">
        <f t="shared" si="83"/>
        <v>171910</v>
      </c>
      <c r="BS85" s="90">
        <f t="shared" ca="1" si="84"/>
        <v>404600</v>
      </c>
      <c r="BT85" s="90">
        <f t="shared" si="85"/>
        <v>12200</v>
      </c>
      <c r="BU85" s="90">
        <f t="shared" si="86"/>
        <v>62000</v>
      </c>
      <c r="BV85" s="90">
        <f t="shared" si="87"/>
        <v>39500</v>
      </c>
      <c r="BW85" s="90">
        <f t="shared" ca="1" si="99"/>
        <v>65750</v>
      </c>
      <c r="BX85" s="90">
        <f t="shared" ca="1" si="100"/>
        <v>1903460</v>
      </c>
      <c r="BY85" s="142">
        <f t="shared" ca="1" si="101"/>
        <v>0.60284954766582954</v>
      </c>
      <c r="BZ85" s="142">
        <f t="shared" ca="1" si="102"/>
        <v>9.0314479947043808E-2</v>
      </c>
      <c r="CA85" s="142">
        <f t="shared" ca="1" si="103"/>
        <v>0.21256028495476659</v>
      </c>
      <c r="CB85" s="142">
        <f t="shared" ca="1" si="104"/>
        <v>6.4093808117848547E-3</v>
      </c>
      <c r="CC85" s="142">
        <f t="shared" ca="1" si="105"/>
        <v>3.257226314185746E-2</v>
      </c>
      <c r="CD85" s="142">
        <f t="shared" ca="1" si="106"/>
        <v>2.0751683775860799E-2</v>
      </c>
      <c r="CE85" s="142">
        <f t="shared" ca="1" si="107"/>
        <v>3.4542359702856899E-2</v>
      </c>
      <c r="CG85" s="128">
        <f t="shared" si="108"/>
        <v>65</v>
      </c>
      <c r="CH85" s="90">
        <f ca="1">INDEX(角色升级!$A:$A,MATCH(玩家节奏1!$BX85,角色升级!$J:$J,1))</f>
        <v>406</v>
      </c>
      <c r="CI85" s="90">
        <f ca="1">INDEX(角色升级!$O:$O,MATCH(玩家节奏1!$BX85,角色升级!$J:$J,1))</f>
        <v>12637.85045</v>
      </c>
      <c r="CJ85" s="90">
        <f>INDEX(关卡对比!$J:$J,MATCH(玩家节奏1!N85,关卡对比!$A:$A,0))</f>
        <v>18700</v>
      </c>
      <c r="CK85" s="147">
        <f t="shared" ca="1" si="109"/>
        <v>1.4796820134867161</v>
      </c>
      <c r="CL85" s="128">
        <f ca="1">INDEX(角色升级!$P:$P,MATCH(玩家节奏1!$CH85,角色升级!$A:$A,0))</f>
        <v>3800</v>
      </c>
      <c r="CM85" s="90">
        <f ca="1">INDEX(角色升级!Q:Q,MATCH(玩家节奏1!$CH85,角色升级!$A:$A,0))</f>
        <v>0.5</v>
      </c>
      <c r="CO85" s="128">
        <f t="shared" si="110"/>
        <v>8126</v>
      </c>
      <c r="CP85" s="90">
        <f t="shared" si="111"/>
        <v>11316</v>
      </c>
      <c r="CQ85" s="90">
        <f t="shared" si="112"/>
        <v>10848</v>
      </c>
      <c r="CR85" s="90">
        <f t="shared" ca="1" si="113"/>
        <v>26012.5</v>
      </c>
      <c r="CS85" s="90">
        <f t="shared" ca="1" si="114"/>
        <v>56302.5</v>
      </c>
      <c r="CT85" s="142">
        <f t="shared" ca="1" si="115"/>
        <v>0.14432751654011811</v>
      </c>
      <c r="CU85" s="142">
        <f t="shared" ca="1" si="116"/>
        <v>0.20098574663647262</v>
      </c>
      <c r="CV85" s="142">
        <f t="shared" ca="1" si="117"/>
        <v>0.19267350472891967</v>
      </c>
      <c r="CW85" s="142">
        <f t="shared" ca="1" si="118"/>
        <v>0.46201323209448958</v>
      </c>
      <c r="CY85" s="128">
        <f t="shared" si="119"/>
        <v>4064</v>
      </c>
      <c r="CZ85" s="90">
        <f t="shared" si="120"/>
        <v>5561</v>
      </c>
      <c r="DA85" s="90">
        <f t="shared" si="121"/>
        <v>5360</v>
      </c>
      <c r="DB85" s="90">
        <f t="shared" ca="1" si="122"/>
        <v>15417</v>
      </c>
      <c r="DC85" s="90">
        <f t="shared" ca="1" si="123"/>
        <v>30402</v>
      </c>
      <c r="DD85" s="142">
        <f t="shared" ca="1" si="124"/>
        <v>0.13367541609104663</v>
      </c>
      <c r="DE85" s="142">
        <f t="shared" ca="1" si="125"/>
        <v>0.18291559765804882</v>
      </c>
      <c r="DF85" s="142">
        <f t="shared" ca="1" si="126"/>
        <v>0.17630419051378199</v>
      </c>
      <c r="DG85" s="142">
        <f t="shared" ca="1" si="127"/>
        <v>0.50710479573712253</v>
      </c>
      <c r="DI85" s="128">
        <f t="shared" si="128"/>
        <v>1833</v>
      </c>
      <c r="DJ85" s="90">
        <f t="shared" si="129"/>
        <v>2537</v>
      </c>
      <c r="DK85" s="90">
        <f t="shared" si="130"/>
        <v>1728</v>
      </c>
      <c r="DL85" s="90">
        <f t="shared" ca="1" si="131"/>
        <v>2081.5</v>
      </c>
      <c r="DM85" s="90">
        <f t="shared" ca="1" si="132"/>
        <v>8179.5</v>
      </c>
      <c r="DN85" s="142">
        <f t="shared" ca="1" si="133"/>
        <v>0.22409682743443976</v>
      </c>
      <c r="DO85" s="142">
        <f t="shared" ca="1" si="134"/>
        <v>0.31016565804755791</v>
      </c>
      <c r="DP85" s="142">
        <f t="shared" ca="1" si="135"/>
        <v>0.21125985695947186</v>
      </c>
      <c r="DQ85" s="142">
        <f t="shared" ca="1" si="136"/>
        <v>0.25447765755853047</v>
      </c>
      <c r="DS85" s="128">
        <f t="shared" ca="1" si="137"/>
        <v>56302.5</v>
      </c>
      <c r="DT85" s="90">
        <f t="shared" ca="1" si="138"/>
        <v>30402</v>
      </c>
      <c r="DU85" s="90">
        <f t="shared" ca="1" si="139"/>
        <v>8179.5</v>
      </c>
      <c r="DV85" s="90">
        <f t="shared" si="140"/>
        <v>62</v>
      </c>
      <c r="DW85" s="90">
        <f ca="1">_xlfn.IFNA(INDEX(武器升级消耗!$H:$H,MATCH(玩家节奏1!DS85/玩家节奏1!DS$5,武器升级消耗!M:M,1)),0)</f>
        <v>22</v>
      </c>
      <c r="DX85" s="90">
        <f ca="1">_xlfn.IFNA(INDEX(武器升级消耗!$H:$H,MATCH(玩家节奏1!DT85/玩家节奏1!DT$5,武器升级消耗!N:N,1)),0)</f>
        <v>20</v>
      </c>
      <c r="DY85" s="90">
        <f ca="1">_xlfn.IFNA(INDEX(武器升级消耗!$H:$H,MATCH(玩家节奏1!DU85/玩家节奏1!DU$5,武器升级消耗!O:O,1)),0)</f>
        <v>13</v>
      </c>
      <c r="DZ85" s="90">
        <f>_xlfn.IFNA(INDEX(武器升级消耗!$H:$H,MATCH(玩家节奏1!DV85/玩家节奏1!DV$5,武器升级消耗!P:P,1)),0)</f>
        <v>8</v>
      </c>
      <c r="EA85" s="90">
        <f ca="1">_xlfn.IFNA(INDEX(武器升级消耗!$Q:$Q,MATCH(玩家节奏1!DW85,武器升级消耗!$H:$H,0))*2*EA$4,0)</f>
        <v>3.12</v>
      </c>
      <c r="EB85" s="90">
        <f ca="1">_xlfn.IFNA(INDEX(武器升级消耗!$Q:$Q,MATCH(玩家节奏1!DX85,武器升级消耗!$H:$H,0))*2*EB$4,0)</f>
        <v>3.5999999999999996</v>
      </c>
      <c r="EC85" s="90">
        <f ca="1">_xlfn.IFNA(INDEX(武器升级消耗!$Q:$Q,MATCH(玩家节奏1!DY85,武器升级消耗!$H:$H,0))*2*EC$4,1)</f>
        <v>3.74</v>
      </c>
      <c r="ED85" s="90">
        <f>_xlfn.IFNA(INDEX(武器升级消耗!$Q:$Q,MATCH(玩家节奏1!DZ85,武器升级消耗!$H:$H,0))*2*ED$4,0)</f>
        <v>3.5999999999999996</v>
      </c>
      <c r="EF85" s="128"/>
      <c r="EG85" s="90"/>
      <c r="EH85" s="90"/>
      <c r="EI85" s="90"/>
      <c r="EJ85" s="90"/>
      <c r="EK85" s="90"/>
      <c r="EL85" s="90"/>
      <c r="EM85" s="90"/>
      <c r="EO85" s="128"/>
      <c r="EP85" s="90"/>
      <c r="EQ85" s="90"/>
      <c r="ER85" s="90"/>
      <c r="ES85" s="90"/>
      <c r="ET85" s="90"/>
      <c r="EU85" s="90"/>
      <c r="EV85" s="90"/>
      <c r="EW85" s="90"/>
      <c r="EX85" s="90"/>
      <c r="EY85" s="90"/>
      <c r="EZ85" s="90"/>
      <c r="FA85" s="90"/>
      <c r="FB85" s="90"/>
      <c r="FD85" s="90">
        <f t="shared" ca="1" si="141"/>
        <v>3.74</v>
      </c>
      <c r="FE85" s="90"/>
      <c r="FF85" s="90"/>
      <c r="FG85" s="90">
        <f t="shared" ca="1" si="142"/>
        <v>0</v>
      </c>
    </row>
    <row r="86" spans="1:163" x14ac:dyDescent="0.25">
      <c r="A86" s="123">
        <v>80</v>
      </c>
      <c r="B86" s="123">
        <f>INDEX(关卡对比!$Y:$Y,MATCH(关卡对比!Z86,关卡对比!$AA:$AA,1))</f>
        <v>53</v>
      </c>
      <c r="C86" s="124">
        <f>INDEX(关卡对比!$Y:$Y,MATCH(关卡对比!Z86,关卡对比!$AB:$AB,1))</f>
        <v>45</v>
      </c>
      <c r="D86" s="125">
        <f t="shared" si="70"/>
        <v>503.5</v>
      </c>
      <c r="E86" s="125">
        <v>3</v>
      </c>
      <c r="F86" s="128">
        <v>5</v>
      </c>
      <c r="G86" s="90">
        <v>1</v>
      </c>
      <c r="H86" s="90">
        <v>1</v>
      </c>
      <c r="J86" s="128">
        <v>80</v>
      </c>
      <c r="K86" s="90">
        <f t="shared" si="88"/>
        <v>5</v>
      </c>
      <c r="L86" s="90">
        <f t="shared" si="89"/>
        <v>1</v>
      </c>
      <c r="M86" s="90">
        <f t="shared" si="90"/>
        <v>1</v>
      </c>
      <c r="N86" s="140">
        <f>INDEX($A:$A,MATCH(SUM($K$7:K86),$D:$D,1))</f>
        <v>66</v>
      </c>
      <c r="O86" s="140">
        <v>0</v>
      </c>
      <c r="P86" s="141">
        <v>0</v>
      </c>
      <c r="Q86" s="126">
        <f>_xlfn.MAXIFS(关卡产出!X:X,关卡产出!$A:$A,玩家节奏1!$N$6,关卡产出!$B:$B,玩家节奏1!$N86)+_xlfn.MAXIFS(关卡产出!X:X,关卡产出!$A:$A,玩家节奏1!$O$6,关卡产出!$B:$B,玩家节奏1!$O86)+_xlfn.MAXIFS(关卡产出!X:X,关卡产出!$A:$A,玩家节奏1!$P$6,关卡产出!$B:$B,玩家节奏1!$P86)</f>
        <v>11700</v>
      </c>
      <c r="R86" s="90">
        <f>_xlfn.MAXIFS(关卡产出!Y:Y,关卡产出!$A:$A,玩家节奏1!$N$6,关卡产出!$B:$B,玩家节奏1!$N86)+_xlfn.MAXIFS(关卡产出!Y:Y,关卡产出!$A:$A,玩家节奏1!$O$6,关卡产出!$B:$B,玩家节奏1!$O86)+_xlfn.MAXIFS(关卡产出!Y:Y,关卡产出!$A:$A,玩家节奏1!$P$6,关卡产出!$B:$B,玩家节奏1!$P86)</f>
        <v>1184800</v>
      </c>
      <c r="S86" s="90">
        <f>_xlfn.MAXIFS(关卡产出!Z:Z,关卡产出!$A:$A,玩家节奏1!$N$6,关卡产出!$B:$B,玩家节奏1!$N86)+_xlfn.MAXIFS(关卡产出!Z:Z,关卡产出!$A:$A,玩家节奏1!$O$6,关卡产出!$B:$B,玩家节奏1!$O86)+_xlfn.MAXIFS(关卡产出!Z:Z,关卡产出!$A:$A,玩家节奏1!$P$6,关卡产出!$B:$B,玩家节奏1!$P86)</f>
        <v>8382</v>
      </c>
      <c r="T86" s="90">
        <f>_xlfn.MAXIFS(关卡产出!AA:AA,关卡产出!$A:$A,玩家节奏1!$N$6,关卡产出!$B:$B,玩家节奏1!$N86)+_xlfn.MAXIFS(关卡产出!AA:AA,关卡产出!$A:$A,玩家节奏1!$O$6,关卡产出!$B:$B,玩家节奏1!$O86)+_xlfn.MAXIFS(关卡产出!AA:AA,关卡产出!$A:$A,玩家节奏1!$P$6,关卡产出!$B:$B,玩家节奏1!$P86)</f>
        <v>4192</v>
      </c>
      <c r="U86" s="90">
        <f>_xlfn.MAXIFS(关卡产出!AB:AB,关卡产出!$A:$A,玩家节奏1!$N$6,关卡产出!$B:$B,玩家节奏1!$N86)+_xlfn.MAXIFS(关卡产出!AB:AB,关卡产出!$A:$A,玩家节奏1!$O$6,关卡产出!$B:$B,玩家节奏1!$O86)+_xlfn.MAXIFS(关卡产出!AB:AB,关卡产出!$A:$A,玩家节奏1!$P$6,关卡产出!$B:$B,玩家节奏1!$P86)</f>
        <v>1894</v>
      </c>
      <c r="V86" s="130">
        <f>_xlfn.MAXIFS(关卡产出!AC:AC,关卡产出!$A:$A,玩家节奏1!$N$6,关卡产出!$B:$B,玩家节奏1!$N86)+_xlfn.MAXIFS(关卡产出!AC:AC,关卡产出!$A:$A,玩家节奏1!$O$6,关卡产出!$B:$B,玩家节奏1!$O86)+_xlfn.MAXIFS(关卡产出!AC:AC,关卡产出!$A:$A,玩家节奏1!$P$6,关卡产出!$B:$B,玩家节奏1!$P86)</f>
        <v>396</v>
      </c>
      <c r="W86" s="126">
        <f>INDEX(关卡产出!C$8:C$207,MATCH(玩家节奏1!$N86,关卡产出!$B$8:$B$207,0))*$K86</f>
        <v>255</v>
      </c>
      <c r="X86" s="126">
        <f>INDEX(关卡产出!D$8:D$207,MATCH(玩家节奏1!$N86,关卡产出!$B$8:$B$207,0))*$K86</f>
        <v>125</v>
      </c>
      <c r="Y86" s="126">
        <f>INDEX(关卡产出!E$8:E$207,MATCH(玩家节奏1!$N86,关卡产出!$B$8:$B$207,0))*$K86</f>
        <v>60</v>
      </c>
      <c r="Z86" s="144">
        <f>INDEX(关卡产出!F$8:F$207,MATCH(玩家节奏1!$N86,关卡产出!$B$8:$B$207,0))*$K86</f>
        <v>3550</v>
      </c>
      <c r="AA86" s="126">
        <f>SUM(W$7:W86)</f>
        <v>11571</v>
      </c>
      <c r="AB86" s="126">
        <f>SUM(X$7:X86)</f>
        <v>5686</v>
      </c>
      <c r="AC86" s="126">
        <f>SUM(Y$7:Y86)</f>
        <v>2597</v>
      </c>
      <c r="AD86" s="126">
        <f>SUM(Z$7:Z86)</f>
        <v>175460</v>
      </c>
      <c r="AE86" s="126">
        <f>INDEX(图鉴!AQ:AQ,MATCH($N86,图鉴!$S:$S,0))*8</f>
        <v>168</v>
      </c>
      <c r="AF86" s="90">
        <f>INDEX(图鉴!AR:AR,MATCH($N86,图鉴!$S:$S,0))*8</f>
        <v>104</v>
      </c>
      <c r="AG86" s="90">
        <f>INDEX(图鉴!AS:AS,MATCH($N86,图鉴!$S:$S,0))*8</f>
        <v>32</v>
      </c>
      <c r="AH86" s="129">
        <f ca="1">INDEX(图鉴!AT:AT,MATCH($N86,图鉴!$S:$S,0))*8</f>
        <v>7640</v>
      </c>
      <c r="AI86" s="128">
        <f>SUM($AE$7:AE86)</f>
        <v>11016</v>
      </c>
      <c r="AJ86" s="90">
        <f>SUM(AF$7:AF86)</f>
        <v>5464</v>
      </c>
      <c r="AK86" s="90">
        <f>SUM(AG$7:AG86)</f>
        <v>1760</v>
      </c>
      <c r="AL86" s="130">
        <f ca="1">SUM(AH$7:AH86)</f>
        <v>412240</v>
      </c>
      <c r="AM86" s="133">
        <f>IF(M86=0,0,INDEX(关卡产出!$AU$11:$AU$15,MATCH(玩家节奏1!N86,关卡产出!$AW$11:$AW$15,1))*M86)</f>
        <v>12200</v>
      </c>
      <c r="AN86" s="126">
        <f>IF(L86=0,0,$L86*关卡产出!AU$21)</f>
        <v>1000</v>
      </c>
      <c r="AO86" s="90">
        <f>IF(M86=0,0,$L86*关卡产出!AV$21)</f>
        <v>50</v>
      </c>
      <c r="AP86" s="129">
        <f>IF(N86=0,0,$L86*关卡产出!AW$21)</f>
        <v>1</v>
      </c>
      <c r="AQ86" s="138">
        <f>SUM(AN$7:AN86)</f>
        <v>63000</v>
      </c>
      <c r="AR86" s="126">
        <f>SUM(AO$7:AO86)</f>
        <v>3150</v>
      </c>
      <c r="AS86" s="129">
        <f>SUM(AP$7:AP86)</f>
        <v>63</v>
      </c>
      <c r="AT86" s="128">
        <v>500</v>
      </c>
      <c r="AU86" s="129">
        <v>100</v>
      </c>
      <c r="AV86" s="128">
        <f>SUM(AT$7:AT86)</f>
        <v>40000</v>
      </c>
      <c r="AW86" s="90">
        <f>SUM(AU$7:AU86)</f>
        <v>8000</v>
      </c>
      <c r="AY86" s="128">
        <f t="shared" si="91"/>
        <v>11700</v>
      </c>
      <c r="AZ86" s="90">
        <f t="shared" si="92"/>
        <v>3150</v>
      </c>
      <c r="BA86" s="90">
        <f t="shared" si="93"/>
        <v>8000</v>
      </c>
      <c r="BB86" s="90">
        <f t="shared" ca="1" si="143"/>
        <v>3800</v>
      </c>
      <c r="BC86" s="90">
        <f t="shared" ca="1" si="144"/>
        <v>26650</v>
      </c>
      <c r="BD86" s="90"/>
      <c r="BE86" s="90">
        <f t="shared" ca="1" si="94"/>
        <v>26650</v>
      </c>
      <c r="BF86" s="142">
        <f t="shared" ca="1" si="95"/>
        <v>0.43902439024390244</v>
      </c>
      <c r="BG86" s="142">
        <f t="shared" ca="1" si="96"/>
        <v>0.11819887429643527</v>
      </c>
      <c r="BH86" s="142">
        <f t="shared" ca="1" si="97"/>
        <v>0.30018761726078802</v>
      </c>
      <c r="BI86" s="142">
        <f t="shared" ca="1" si="98"/>
        <v>0.14258911819887429</v>
      </c>
      <c r="BJ86" s="143"/>
      <c r="BK86" s="128">
        <f ca="1">INDEX(商城宝箱!$L:$L,MATCH(BC86,商城宝箱!$N:$N,1))</f>
        <v>7</v>
      </c>
      <c r="BL86" s="90">
        <f ca="1">_xlfn.IFNA(INDEX(商城宝箱!T:T,MATCH(玩家节奏1!$BK86,商城宝箱!$L:$L,0)),0)+($BC86-INDEX(商城宝箱!$N:$N,MATCH(玩家节奏1!$BK86,商城宝箱!$L:$L,0)))/$BK$5*INDEX(商城宝箱!E$23:E$42,MATCH(玩家节奏1!$BK86+1,商城宝箱!$C$23:$C$42,0))</f>
        <v>66625</v>
      </c>
      <c r="BM86" s="90">
        <f ca="1">_xlfn.IFNA(INDEX(商城宝箱!U:U,MATCH(玩家节奏1!$BK86,商城宝箱!$L:$L,0)),0)+($BC86-INDEX(商城宝箱!$N:$N,MATCH(玩家节奏1!$BK86,商城宝箱!$L:$L,0)))/$BK$5*INDEX(商城宝箱!F$23:F$42,MATCH(玩家节奏1!$BK86+1,商城宝箱!$C$23:$C$42,0))</f>
        <v>26625</v>
      </c>
      <c r="BN86" s="90">
        <f ca="1">_xlfn.IFNA(INDEX(商城宝箱!V:V,MATCH(玩家节奏1!$BK86,商城宝箱!$L:$L,0)),0)+($BC86-INDEX(商城宝箱!$N:$N,MATCH(玩家节奏1!$BK86,商城宝箱!$L:$L,0)))/$BK$5*INDEX(商城宝箱!G$23:G$42,MATCH(玩家节奏1!$BK86+1,商城宝箱!$C$23:$C$42,0))</f>
        <v>15819.5</v>
      </c>
      <c r="BO86" s="90">
        <f ca="1">_xlfn.IFNA(INDEX(商城宝箱!W:W,MATCH(玩家节奏1!$BK86,商城宝箱!$L:$L,0)),0)+($BC86-INDEX(商城宝箱!$N:$N,MATCH(玩家节奏1!$BK86,商城宝箱!$L:$L,0)))/$BK$5*INDEX(商城宝箱!H$23:H$42,MATCH(玩家节奏1!$BK86+1,商城宝箱!$C$23:$C$42,0))</f>
        <v>2134</v>
      </c>
      <c r="BQ86" s="128">
        <f t="shared" si="82"/>
        <v>1184800</v>
      </c>
      <c r="BR86" s="90">
        <f t="shared" si="83"/>
        <v>175460</v>
      </c>
      <c r="BS86" s="90">
        <f t="shared" ca="1" si="84"/>
        <v>412240</v>
      </c>
      <c r="BT86" s="90">
        <f t="shared" si="85"/>
        <v>12200</v>
      </c>
      <c r="BU86" s="90">
        <f t="shared" si="86"/>
        <v>63000</v>
      </c>
      <c r="BV86" s="90">
        <f t="shared" si="87"/>
        <v>40000</v>
      </c>
      <c r="BW86" s="90">
        <f t="shared" ca="1" si="99"/>
        <v>66625</v>
      </c>
      <c r="BX86" s="90">
        <f t="shared" ca="1" si="100"/>
        <v>1954325</v>
      </c>
      <c r="BY86" s="142">
        <f t="shared" ca="1" si="101"/>
        <v>0.60624512299643096</v>
      </c>
      <c r="BZ86" s="142">
        <f t="shared" ca="1" si="102"/>
        <v>8.9780358947462682E-2</v>
      </c>
      <c r="CA86" s="142">
        <f t="shared" ca="1" si="103"/>
        <v>0.210937280135085</v>
      </c>
      <c r="CB86" s="142">
        <f t="shared" ca="1" si="104"/>
        <v>6.2425645683292187E-3</v>
      </c>
      <c r="CC86" s="142">
        <f t="shared" ca="1" si="105"/>
        <v>3.2236194082355799E-2</v>
      </c>
      <c r="CD86" s="142">
        <f t="shared" ca="1" si="106"/>
        <v>2.0467424814194158E-2</v>
      </c>
      <c r="CE86" s="142">
        <f t="shared" ca="1" si="107"/>
        <v>3.4091054456142147E-2</v>
      </c>
      <c r="CG86" s="128">
        <f t="shared" si="108"/>
        <v>66</v>
      </c>
      <c r="CH86" s="90">
        <f ca="1">INDEX(角色升级!$A:$A,MATCH(玩家节奏1!$BX86,角色升级!$J:$J,1))</f>
        <v>411</v>
      </c>
      <c r="CI86" s="90">
        <f ca="1">INDEX(角色升级!$O:$O,MATCH(玩家节奏1!$BX86,角色升级!$J:$J,1))</f>
        <v>12688.346100000001</v>
      </c>
      <c r="CJ86" s="90">
        <f>INDEX(关卡对比!$J:$J,MATCH(玩家节奏1!N86,关卡对比!$A:$A,0))</f>
        <v>19200</v>
      </c>
      <c r="CK86" s="147">
        <f t="shared" ca="1" si="109"/>
        <v>1.5131995808342584</v>
      </c>
      <c r="CL86" s="128">
        <f ca="1">INDEX(角色升级!$P:$P,MATCH(玩家节奏1!$CH86,角色升级!$A:$A,0))</f>
        <v>3800</v>
      </c>
      <c r="CM86" s="90">
        <f ca="1">INDEX(角色升级!Q:Q,MATCH(玩家节奏1!$CH86,角色升级!$A:$A,0))</f>
        <v>0.6</v>
      </c>
      <c r="CO86" s="128">
        <f t="shared" si="110"/>
        <v>8382</v>
      </c>
      <c r="CP86" s="90">
        <f t="shared" si="111"/>
        <v>11571</v>
      </c>
      <c r="CQ86" s="90">
        <f t="shared" si="112"/>
        <v>11016</v>
      </c>
      <c r="CR86" s="90">
        <f t="shared" ca="1" si="113"/>
        <v>26625</v>
      </c>
      <c r="CS86" s="90">
        <f t="shared" ca="1" si="114"/>
        <v>57594</v>
      </c>
      <c r="CT86" s="142">
        <f t="shared" ca="1" si="115"/>
        <v>0.14553599333263881</v>
      </c>
      <c r="CU86" s="142">
        <f t="shared" ca="1" si="116"/>
        <v>0.20090634441087613</v>
      </c>
      <c r="CV86" s="142">
        <f t="shared" ca="1" si="117"/>
        <v>0.19126992395041151</v>
      </c>
      <c r="CW86" s="142">
        <f t="shared" ca="1" si="118"/>
        <v>0.46228773830607356</v>
      </c>
      <c r="CY86" s="128">
        <f t="shared" si="119"/>
        <v>4192</v>
      </c>
      <c r="CZ86" s="90">
        <f t="shared" si="120"/>
        <v>5686</v>
      </c>
      <c r="DA86" s="90">
        <f t="shared" si="121"/>
        <v>5464</v>
      </c>
      <c r="DB86" s="90">
        <f t="shared" ca="1" si="122"/>
        <v>15819.5</v>
      </c>
      <c r="DC86" s="90">
        <f t="shared" ca="1" si="123"/>
        <v>31161.5</v>
      </c>
      <c r="DD86" s="142">
        <f t="shared" ca="1" si="124"/>
        <v>0.13452497472843092</v>
      </c>
      <c r="DE86" s="142">
        <f t="shared" ca="1" si="125"/>
        <v>0.18246875150426006</v>
      </c>
      <c r="DF86" s="142">
        <f t="shared" ca="1" si="126"/>
        <v>0.17534457583877541</v>
      </c>
      <c r="DG86" s="142">
        <f t="shared" ca="1" si="127"/>
        <v>0.50766169792853366</v>
      </c>
      <c r="DI86" s="128">
        <f t="shared" si="128"/>
        <v>1894</v>
      </c>
      <c r="DJ86" s="90">
        <f t="shared" si="129"/>
        <v>2597</v>
      </c>
      <c r="DK86" s="90">
        <f t="shared" si="130"/>
        <v>1760</v>
      </c>
      <c r="DL86" s="90">
        <f t="shared" ca="1" si="131"/>
        <v>2134</v>
      </c>
      <c r="DM86" s="90">
        <f t="shared" ca="1" si="132"/>
        <v>8385</v>
      </c>
      <c r="DN86" s="142">
        <f t="shared" ca="1" si="133"/>
        <v>0.22587954680977937</v>
      </c>
      <c r="DO86" s="142">
        <f t="shared" ca="1" si="134"/>
        <v>0.3097197376267144</v>
      </c>
      <c r="DP86" s="142">
        <f t="shared" ca="1" si="135"/>
        <v>0.20989862850327967</v>
      </c>
      <c r="DQ86" s="142">
        <f t="shared" ca="1" si="136"/>
        <v>0.25450208706022659</v>
      </c>
      <c r="DS86" s="128">
        <f t="shared" ca="1" si="137"/>
        <v>57594</v>
      </c>
      <c r="DT86" s="90">
        <f t="shared" ca="1" si="138"/>
        <v>31161.5</v>
      </c>
      <c r="DU86" s="90">
        <f t="shared" ca="1" si="139"/>
        <v>8385</v>
      </c>
      <c r="DV86" s="90">
        <f t="shared" si="140"/>
        <v>63</v>
      </c>
      <c r="DW86" s="90">
        <f ca="1">_xlfn.IFNA(INDEX(武器升级消耗!$H:$H,MATCH(玩家节奏1!DS86/玩家节奏1!DS$5,武器升级消耗!M:M,1)),0)</f>
        <v>23</v>
      </c>
      <c r="DX86" s="90">
        <f ca="1">_xlfn.IFNA(INDEX(武器升级消耗!$H:$H,MATCH(玩家节奏1!DT86/玩家节奏1!DT$5,武器升级消耗!N:N,1)),0)</f>
        <v>20</v>
      </c>
      <c r="DY86" s="90">
        <f ca="1">_xlfn.IFNA(INDEX(武器升级消耗!$H:$H,MATCH(玩家节奏1!DU86/玩家节奏1!DU$5,武器升级消耗!O:O,1)),0)</f>
        <v>13</v>
      </c>
      <c r="DZ86" s="90">
        <f>_xlfn.IFNA(INDEX(武器升级消耗!$H:$H,MATCH(玩家节奏1!DV86/玩家节奏1!DV$5,武器升级消耗!P:P,1)),0)</f>
        <v>8</v>
      </c>
      <c r="EA86" s="90">
        <f ca="1">_xlfn.IFNA(INDEX(武器升级消耗!$Q:$Q,MATCH(玩家节奏1!DW86,武器升级消耗!$H:$H,0))*2*EA$4,0)</f>
        <v>3.24</v>
      </c>
      <c r="EB86" s="90">
        <f ca="1">_xlfn.IFNA(INDEX(武器升级消耗!$Q:$Q,MATCH(玩家节奏1!DX86,武器升级消耗!$H:$H,0))*2*EB$4,0)</f>
        <v>3.5999999999999996</v>
      </c>
      <c r="EC86" s="90">
        <f ca="1">_xlfn.IFNA(INDEX(武器升级消耗!$Q:$Q,MATCH(玩家节奏1!DY86,武器升级消耗!$H:$H,0))*2*EC$4,1)</f>
        <v>3.74</v>
      </c>
      <c r="ED86" s="90">
        <f>_xlfn.IFNA(INDEX(武器升级消耗!$Q:$Q,MATCH(玩家节奏1!DZ86,武器升级消耗!$H:$H,0))*2*ED$4,0)</f>
        <v>3.5999999999999996</v>
      </c>
      <c r="EF86" s="128"/>
      <c r="EG86" s="90"/>
      <c r="EH86" s="90"/>
      <c r="EI86" s="90"/>
      <c r="EJ86" s="90"/>
      <c r="EK86" s="90"/>
      <c r="EL86" s="90"/>
      <c r="EM86" s="90"/>
      <c r="EO86" s="128"/>
      <c r="EP86" s="90"/>
      <c r="EQ86" s="90"/>
      <c r="ER86" s="90"/>
      <c r="ES86" s="90"/>
      <c r="ET86" s="90"/>
      <c r="EU86" s="90"/>
      <c r="EV86" s="90"/>
      <c r="EW86" s="90"/>
      <c r="EX86" s="90"/>
      <c r="EY86" s="90"/>
      <c r="EZ86" s="90"/>
      <c r="FA86" s="90"/>
      <c r="FB86" s="90"/>
      <c r="FD86" s="90">
        <f t="shared" ca="1" si="141"/>
        <v>3.74</v>
      </c>
      <c r="FE86" s="90"/>
      <c r="FF86" s="90"/>
      <c r="FG86" s="90">
        <f t="shared" ca="1" si="142"/>
        <v>0</v>
      </c>
    </row>
    <row r="87" spans="1:163" x14ac:dyDescent="0.25">
      <c r="A87" s="123">
        <v>81</v>
      </c>
      <c r="B87" s="123">
        <f>INDEX(关卡对比!$Y:$Y,MATCH(关卡对比!Z87,关卡对比!$AA:$AA,1))</f>
        <v>54</v>
      </c>
      <c r="C87" s="124">
        <f>INDEX(关卡对比!$Y:$Y,MATCH(关卡对比!Z87,关卡对比!$AB:$AB,1))</f>
        <v>45</v>
      </c>
      <c r="D87" s="125">
        <f t="shared" si="70"/>
        <v>509.5</v>
      </c>
      <c r="E87" s="125">
        <v>3</v>
      </c>
      <c r="F87" s="128">
        <v>5</v>
      </c>
      <c r="G87" s="90">
        <v>1</v>
      </c>
      <c r="H87" s="90">
        <v>1</v>
      </c>
      <c r="J87" s="128">
        <v>81</v>
      </c>
      <c r="K87" s="90">
        <f t="shared" si="88"/>
        <v>5</v>
      </c>
      <c r="L87" s="90">
        <f t="shared" si="89"/>
        <v>1</v>
      </c>
      <c r="M87" s="90">
        <f t="shared" si="90"/>
        <v>1</v>
      </c>
      <c r="N87" s="140">
        <f>INDEX($A:$A,MATCH(SUM($K$7:K87),$D:$D,1))</f>
        <v>67</v>
      </c>
      <c r="O87" s="140">
        <v>0</v>
      </c>
      <c r="P87" s="141">
        <v>0</v>
      </c>
      <c r="Q87" s="126">
        <f>_xlfn.MAXIFS(关卡产出!X:X,关卡产出!$A:$A,玩家节奏1!$N$6,关卡产出!$B:$B,玩家节奏1!$N87)+_xlfn.MAXIFS(关卡产出!X:X,关卡产出!$A:$A,玩家节奏1!$O$6,关卡产出!$B:$B,玩家节奏1!$O87)+_xlfn.MAXIFS(关卡产出!X:X,关卡产出!$A:$A,玩家节奏1!$P$6,关卡产出!$B:$B,玩家节奏1!$P87)</f>
        <v>11900</v>
      </c>
      <c r="R87" s="90">
        <f>_xlfn.MAXIFS(关卡产出!Y:Y,关卡产出!$A:$A,玩家节奏1!$N$6,关卡产出!$B:$B,玩家节奏1!$N87)+_xlfn.MAXIFS(关卡产出!Y:Y,关卡产出!$A:$A,玩家节奏1!$O$6,关卡产出!$B:$B,玩家节奏1!$O87)+_xlfn.MAXIFS(关卡产出!Y:Y,关卡产出!$A:$A,玩家节奏1!$P$6,关卡产出!$B:$B,玩家节奏1!$P87)</f>
        <v>1222700</v>
      </c>
      <c r="S87" s="90">
        <f>_xlfn.MAXIFS(关卡产出!Z:Z,关卡产出!$A:$A,玩家节奏1!$N$6,关卡产出!$B:$B,玩家节奏1!$N87)+_xlfn.MAXIFS(关卡产出!Z:Z,关卡产出!$A:$A,玩家节奏1!$O$6,关卡产出!$B:$B,玩家节奏1!$O87)+_xlfn.MAXIFS(关卡产出!Z:Z,关卡产出!$A:$A,玩家节奏1!$P$6,关卡产出!$B:$B,玩家节奏1!$P87)</f>
        <v>8642</v>
      </c>
      <c r="T87" s="90">
        <f>_xlfn.MAXIFS(关卡产出!AA:AA,关卡产出!$A:$A,玩家节奏1!$N$6,关卡产出!$B:$B,玩家节奏1!$N87)+_xlfn.MAXIFS(关卡产出!AA:AA,关卡产出!$A:$A,玩家节奏1!$O$6,关卡产出!$B:$B,玩家节奏1!$O87)+_xlfn.MAXIFS(关卡产出!AA:AA,关卡产出!$A:$A,玩家节奏1!$P$6,关卡产出!$B:$B,玩家节奏1!$P87)</f>
        <v>4322</v>
      </c>
      <c r="U87" s="90">
        <f>_xlfn.MAXIFS(关卡产出!AB:AB,关卡产出!$A:$A,玩家节奏1!$N$6,关卡产出!$B:$B,玩家节奏1!$N87)+_xlfn.MAXIFS(关卡产出!AB:AB,关卡产出!$A:$A,玩家节奏1!$O$6,关卡产出!$B:$B,玩家节奏1!$O87)+_xlfn.MAXIFS(关卡产出!AB:AB,关卡产出!$A:$A,玩家节奏1!$P$6,关卡产出!$B:$B,玩家节奏1!$P87)</f>
        <v>1956</v>
      </c>
      <c r="V87" s="130">
        <f>_xlfn.MAXIFS(关卡产出!AC:AC,关卡产出!$A:$A,玩家节奏1!$N$6,关卡产出!$B:$B,玩家节奏1!$N87)+_xlfn.MAXIFS(关卡产出!AC:AC,关卡产出!$A:$A,玩家节奏1!$O$6,关卡产出!$B:$B,玩家节奏1!$O87)+_xlfn.MAXIFS(关卡产出!AC:AC,关卡产出!$A:$A,玩家节奏1!$P$6,关卡产出!$B:$B,玩家节奏1!$P87)</f>
        <v>402</v>
      </c>
      <c r="W87" s="126">
        <f>INDEX(关卡产出!C$8:C$207,MATCH(玩家节奏1!$N87,关卡产出!$B$8:$B$207,0))*$K87</f>
        <v>260</v>
      </c>
      <c r="X87" s="126">
        <f>INDEX(关卡产出!D$8:D$207,MATCH(玩家节奏1!$N87,关卡产出!$B$8:$B$207,0))*$K87</f>
        <v>130</v>
      </c>
      <c r="Y87" s="126">
        <f>INDEX(关卡产出!E$8:E$207,MATCH(玩家节奏1!$N87,关卡产出!$B$8:$B$207,0))*$K87</f>
        <v>60</v>
      </c>
      <c r="Z87" s="144">
        <f>INDEX(关卡产出!F$8:F$207,MATCH(玩家节奏1!$N87,关卡产出!$B$8:$B$207,0))*$K87</f>
        <v>3650</v>
      </c>
      <c r="AA87" s="126">
        <f>SUM(W$7:W87)</f>
        <v>11831</v>
      </c>
      <c r="AB87" s="126">
        <f>SUM(X$7:X87)</f>
        <v>5816</v>
      </c>
      <c r="AC87" s="126">
        <f>SUM(Y$7:Y87)</f>
        <v>2657</v>
      </c>
      <c r="AD87" s="126">
        <f>SUM(Z$7:Z87)</f>
        <v>179110</v>
      </c>
      <c r="AE87" s="126">
        <f>INDEX(图鉴!AQ:AQ,MATCH($N87,图鉴!$S:$S,0))*8</f>
        <v>168</v>
      </c>
      <c r="AF87" s="90">
        <f>INDEX(图鉴!AR:AR,MATCH($N87,图鉴!$S:$S,0))*8</f>
        <v>104</v>
      </c>
      <c r="AG87" s="90">
        <f>INDEX(图鉴!AS:AS,MATCH($N87,图鉴!$S:$S,0))*8</f>
        <v>32</v>
      </c>
      <c r="AH87" s="129">
        <f ca="1">INDEX(图鉴!AT:AT,MATCH($N87,图鉴!$S:$S,0))*8</f>
        <v>7640</v>
      </c>
      <c r="AI87" s="128">
        <f>SUM($AE$7:AE87)</f>
        <v>11184</v>
      </c>
      <c r="AJ87" s="90">
        <f>SUM(AF$7:AF87)</f>
        <v>5568</v>
      </c>
      <c r="AK87" s="90">
        <f>SUM(AG$7:AG87)</f>
        <v>1792</v>
      </c>
      <c r="AL87" s="130">
        <f ca="1">SUM(AH$7:AH87)</f>
        <v>419880</v>
      </c>
      <c r="AM87" s="133">
        <f>IF(M87=0,0,INDEX(关卡产出!$AU$11:$AU$15,MATCH(玩家节奏1!N87,关卡产出!$AW$11:$AW$15,1))*M87)</f>
        <v>12200</v>
      </c>
      <c r="AN87" s="126">
        <f>IF(L87=0,0,$L87*关卡产出!AU$21)</f>
        <v>1000</v>
      </c>
      <c r="AO87" s="90">
        <f>IF(M87=0,0,$L87*关卡产出!AV$21)</f>
        <v>50</v>
      </c>
      <c r="AP87" s="129">
        <f>IF(N87=0,0,$L87*关卡产出!AW$21)</f>
        <v>1</v>
      </c>
      <c r="AQ87" s="138">
        <f>SUM(AN$7:AN87)</f>
        <v>64000</v>
      </c>
      <c r="AR87" s="126">
        <f>SUM(AO$7:AO87)</f>
        <v>3200</v>
      </c>
      <c r="AS87" s="129">
        <f>SUM(AP$7:AP87)</f>
        <v>64</v>
      </c>
      <c r="AT87" s="128">
        <v>500</v>
      </c>
      <c r="AU87" s="129">
        <v>100</v>
      </c>
      <c r="AV87" s="128">
        <f>SUM(AT$7:AT87)</f>
        <v>40500</v>
      </c>
      <c r="AW87" s="90">
        <f>SUM(AU$7:AU87)</f>
        <v>8100</v>
      </c>
      <c r="AY87" s="128">
        <f t="shared" si="91"/>
        <v>11900</v>
      </c>
      <c r="AZ87" s="90">
        <f t="shared" si="92"/>
        <v>3200</v>
      </c>
      <c r="BA87" s="90">
        <f t="shared" si="93"/>
        <v>8100</v>
      </c>
      <c r="BB87" s="90">
        <f t="shared" ca="1" si="143"/>
        <v>3800</v>
      </c>
      <c r="BC87" s="90">
        <f t="shared" ca="1" si="144"/>
        <v>27000</v>
      </c>
      <c r="BD87" s="90"/>
      <c r="BE87" s="90">
        <f t="shared" ca="1" si="94"/>
        <v>27000</v>
      </c>
      <c r="BF87" s="142">
        <f t="shared" ca="1" si="95"/>
        <v>0.44074074074074077</v>
      </c>
      <c r="BG87" s="142">
        <f t="shared" ca="1" si="96"/>
        <v>0.11851851851851852</v>
      </c>
      <c r="BH87" s="142">
        <f t="shared" ca="1" si="97"/>
        <v>0.3</v>
      </c>
      <c r="BI87" s="142">
        <f t="shared" ca="1" si="98"/>
        <v>0.14074074074074075</v>
      </c>
      <c r="BJ87" s="143"/>
      <c r="BK87" s="128">
        <f ca="1">INDEX(商城宝箱!$L:$L,MATCH(BC87,商城宝箱!$N:$N,1))</f>
        <v>7</v>
      </c>
      <c r="BL87" s="90">
        <f ca="1">_xlfn.IFNA(INDEX(商城宝箱!T:T,MATCH(玩家节奏1!$BK87,商城宝箱!$L:$L,0)),0)+($BC87-INDEX(商城宝箱!$N:$N,MATCH(玩家节奏1!$BK87,商城宝箱!$L:$L,0)))/$BK$5*INDEX(商城宝箱!E$23:E$42,MATCH(玩家节奏1!$BK87+1,商城宝箱!$C$23:$C$42,0))</f>
        <v>67500</v>
      </c>
      <c r="BM87" s="90">
        <f ca="1">_xlfn.IFNA(INDEX(商城宝箱!U:U,MATCH(玩家节奏1!$BK87,商城宝箱!$L:$L,0)),0)+($BC87-INDEX(商城宝箱!$N:$N,MATCH(玩家节奏1!$BK87,商城宝箱!$L:$L,0)))/$BK$5*INDEX(商城宝箱!F$23:F$42,MATCH(玩家节奏1!$BK87+1,商城宝箱!$C$23:$C$42,0))</f>
        <v>27237.5</v>
      </c>
      <c r="BN87" s="90">
        <f ca="1">_xlfn.IFNA(INDEX(商城宝箱!V:V,MATCH(玩家节奏1!$BK87,商城宝箱!$L:$L,0)),0)+($BC87-INDEX(商城宝箱!$N:$N,MATCH(玩家节奏1!$BK87,商城宝箱!$L:$L,0)))/$BK$5*INDEX(商城宝箱!G$23:G$42,MATCH(玩家节奏1!$BK87+1,商城宝箱!$C$23:$C$42,0))</f>
        <v>16222</v>
      </c>
      <c r="BO87" s="90">
        <f ca="1">_xlfn.IFNA(INDEX(商城宝箱!W:W,MATCH(玩家节奏1!$BK87,商城宝箱!$L:$L,0)),0)+($BC87-INDEX(商城宝箱!$N:$N,MATCH(玩家节奏1!$BK87,商城宝箱!$L:$L,0)))/$BK$5*INDEX(商城宝箱!H$23:H$42,MATCH(玩家节奏1!$BK87+1,商城宝箱!$C$23:$C$42,0))</f>
        <v>2186.5</v>
      </c>
      <c r="BQ87" s="128">
        <f t="shared" si="82"/>
        <v>1222700</v>
      </c>
      <c r="BR87" s="90">
        <f t="shared" si="83"/>
        <v>179110</v>
      </c>
      <c r="BS87" s="90">
        <f t="shared" ca="1" si="84"/>
        <v>419880</v>
      </c>
      <c r="BT87" s="90">
        <f t="shared" si="85"/>
        <v>12200</v>
      </c>
      <c r="BU87" s="90">
        <f t="shared" si="86"/>
        <v>64000</v>
      </c>
      <c r="BV87" s="90">
        <f t="shared" si="87"/>
        <v>40500</v>
      </c>
      <c r="BW87" s="90">
        <f t="shared" ca="1" si="99"/>
        <v>67500</v>
      </c>
      <c r="BX87" s="90">
        <f t="shared" ca="1" si="100"/>
        <v>2005890</v>
      </c>
      <c r="BY87" s="142">
        <f t="shared" ca="1" si="101"/>
        <v>0.6095548609345478</v>
      </c>
      <c r="BZ87" s="142">
        <f t="shared" ca="1" si="102"/>
        <v>8.9292034957051486E-2</v>
      </c>
      <c r="CA87" s="142">
        <f t="shared" ca="1" si="103"/>
        <v>0.20932354216831431</v>
      </c>
      <c r="CB87" s="142">
        <f t="shared" ca="1" si="104"/>
        <v>6.0820882501034451E-3</v>
      </c>
      <c r="CC87" s="142">
        <f t="shared" ca="1" si="105"/>
        <v>3.1906036721854138E-2</v>
      </c>
      <c r="CD87" s="142">
        <f t="shared" ca="1" si="106"/>
        <v>2.0190538863048321E-2</v>
      </c>
      <c r="CE87" s="142">
        <f t="shared" ca="1" si="107"/>
        <v>3.365089810508054E-2</v>
      </c>
      <c r="CG87" s="128">
        <f t="shared" si="108"/>
        <v>67</v>
      </c>
      <c r="CH87" s="90">
        <f ca="1">INDEX(角色升级!$A:$A,MATCH(玩家节奏1!$BX87,角色升级!$J:$J,1))</f>
        <v>418</v>
      </c>
      <c r="CI87" s="90">
        <f ca="1">INDEX(角色升级!$O:$O,MATCH(玩家节奏1!$BX87,角色升级!$J:$J,1))</f>
        <v>12730.044890000001</v>
      </c>
      <c r="CJ87" s="90">
        <f>INDEX(关卡对比!$J:$J,MATCH(玩家节奏1!N87,关卡对比!$A:$A,0))</f>
        <v>19700</v>
      </c>
      <c r="CK87" s="147">
        <f t="shared" ca="1" si="109"/>
        <v>1.5475200731990504</v>
      </c>
      <c r="CL87" s="128">
        <f ca="1">INDEX(角色升级!$P:$P,MATCH(玩家节奏1!$CH87,角色升级!$A:$A,0))</f>
        <v>3800</v>
      </c>
      <c r="CM87" s="90">
        <f ca="1">INDEX(角色升级!Q:Q,MATCH(玩家节奏1!$CH87,角色升级!$A:$A,0))</f>
        <v>0.6</v>
      </c>
      <c r="CO87" s="128">
        <f t="shared" si="110"/>
        <v>8642</v>
      </c>
      <c r="CP87" s="90">
        <f t="shared" si="111"/>
        <v>11831</v>
      </c>
      <c r="CQ87" s="90">
        <f t="shared" si="112"/>
        <v>11184</v>
      </c>
      <c r="CR87" s="90">
        <f t="shared" ca="1" si="113"/>
        <v>27237.5</v>
      </c>
      <c r="CS87" s="90">
        <f t="shared" ca="1" si="114"/>
        <v>58894.5</v>
      </c>
      <c r="CT87" s="142">
        <f t="shared" ca="1" si="115"/>
        <v>0.14673696185552132</v>
      </c>
      <c r="CU87" s="142">
        <f t="shared" ca="1" si="116"/>
        <v>0.20088463269065873</v>
      </c>
      <c r="CV87" s="142">
        <f t="shared" ca="1" si="117"/>
        <v>0.18989888699284313</v>
      </c>
      <c r="CW87" s="142">
        <f t="shared" ca="1" si="118"/>
        <v>0.46247951846097685</v>
      </c>
      <c r="CY87" s="128">
        <f t="shared" si="119"/>
        <v>4322</v>
      </c>
      <c r="CZ87" s="90">
        <f t="shared" si="120"/>
        <v>5816</v>
      </c>
      <c r="DA87" s="90">
        <f t="shared" si="121"/>
        <v>5568</v>
      </c>
      <c r="DB87" s="90">
        <f t="shared" ca="1" si="122"/>
        <v>16222</v>
      </c>
      <c r="DC87" s="90">
        <f t="shared" ca="1" si="123"/>
        <v>31928</v>
      </c>
      <c r="DD87" s="142">
        <f t="shared" ca="1" si="124"/>
        <v>0.13536707592082184</v>
      </c>
      <c r="DE87" s="142">
        <f t="shared" ca="1" si="125"/>
        <v>0.18215985968428966</v>
      </c>
      <c r="DF87" s="142">
        <f t="shared" ca="1" si="126"/>
        <v>0.17439238286143824</v>
      </c>
      <c r="DG87" s="142">
        <f t="shared" ca="1" si="127"/>
        <v>0.50808068153345032</v>
      </c>
      <c r="DI87" s="128">
        <f t="shared" si="128"/>
        <v>1956</v>
      </c>
      <c r="DJ87" s="90">
        <f t="shared" si="129"/>
        <v>2657</v>
      </c>
      <c r="DK87" s="90">
        <f t="shared" si="130"/>
        <v>1792</v>
      </c>
      <c r="DL87" s="90">
        <f t="shared" ca="1" si="131"/>
        <v>2186.5</v>
      </c>
      <c r="DM87" s="90">
        <f t="shared" ca="1" si="132"/>
        <v>8591.5</v>
      </c>
      <c r="DN87" s="142">
        <f t="shared" ca="1" si="133"/>
        <v>0.22766688005586919</v>
      </c>
      <c r="DO87" s="142">
        <f t="shared" ca="1" si="134"/>
        <v>0.30925915148693478</v>
      </c>
      <c r="DP87" s="142">
        <f t="shared" ca="1" si="135"/>
        <v>0.20857824594075539</v>
      </c>
      <c r="DQ87" s="142">
        <f t="shared" ca="1" si="136"/>
        <v>0.25449572251644065</v>
      </c>
      <c r="DS87" s="128">
        <f t="shared" ca="1" si="137"/>
        <v>58894.5</v>
      </c>
      <c r="DT87" s="90">
        <f t="shared" ca="1" si="138"/>
        <v>31928</v>
      </c>
      <c r="DU87" s="90">
        <f t="shared" ca="1" si="139"/>
        <v>8591.5</v>
      </c>
      <c r="DV87" s="90">
        <f t="shared" si="140"/>
        <v>64</v>
      </c>
      <c r="DW87" s="90">
        <f ca="1">_xlfn.IFNA(INDEX(武器升级消耗!$H:$H,MATCH(玩家节奏1!DS87/玩家节奏1!DS$5,武器升级消耗!M:M,1)),0)</f>
        <v>23</v>
      </c>
      <c r="DX87" s="90">
        <f ca="1">_xlfn.IFNA(INDEX(武器升级消耗!$H:$H,MATCH(玩家节奏1!DT87/玩家节奏1!DT$5,武器升级消耗!N:N,1)),0)</f>
        <v>20</v>
      </c>
      <c r="DY87" s="90">
        <f ca="1">_xlfn.IFNA(INDEX(武器升级消耗!$H:$H,MATCH(玩家节奏1!DU87/玩家节奏1!DU$5,武器升级消耗!O:O,1)),0)</f>
        <v>13</v>
      </c>
      <c r="DZ87" s="90">
        <f>_xlfn.IFNA(INDEX(武器升级消耗!$H:$H,MATCH(玩家节奏1!DV87/玩家节奏1!DV$5,武器升级消耗!P:P,1)),0)</f>
        <v>8</v>
      </c>
      <c r="EA87" s="90">
        <f ca="1">_xlfn.IFNA(INDEX(武器升级消耗!$Q:$Q,MATCH(玩家节奏1!DW87,武器升级消耗!$H:$H,0))*2*EA$4,0)</f>
        <v>3.24</v>
      </c>
      <c r="EB87" s="90">
        <f ca="1">_xlfn.IFNA(INDEX(武器升级消耗!$Q:$Q,MATCH(玩家节奏1!DX87,武器升级消耗!$H:$H,0))*2*EB$4,0)</f>
        <v>3.5999999999999996</v>
      </c>
      <c r="EC87" s="90">
        <f ca="1">_xlfn.IFNA(INDEX(武器升级消耗!$Q:$Q,MATCH(玩家节奏1!DY87,武器升级消耗!$H:$H,0))*2*EC$4,1)</f>
        <v>3.74</v>
      </c>
      <c r="ED87" s="90">
        <f>_xlfn.IFNA(INDEX(武器升级消耗!$Q:$Q,MATCH(玩家节奏1!DZ87,武器升级消耗!$H:$H,0))*2*ED$4,0)</f>
        <v>3.5999999999999996</v>
      </c>
      <c r="EF87" s="128"/>
      <c r="EG87" s="90"/>
      <c r="EH87" s="90"/>
      <c r="EI87" s="90"/>
      <c r="EJ87" s="90"/>
      <c r="EK87" s="90"/>
      <c r="EL87" s="90"/>
      <c r="EM87" s="90"/>
      <c r="EO87" s="128"/>
      <c r="EP87" s="90"/>
      <c r="EQ87" s="90"/>
      <c r="ER87" s="90"/>
      <c r="ES87" s="90"/>
      <c r="ET87" s="90"/>
      <c r="EU87" s="90"/>
      <c r="EV87" s="90"/>
      <c r="EW87" s="90"/>
      <c r="EX87" s="90"/>
      <c r="EY87" s="90"/>
      <c r="EZ87" s="90"/>
      <c r="FA87" s="90"/>
      <c r="FB87" s="90"/>
      <c r="FD87" s="90">
        <f t="shared" ca="1" si="141"/>
        <v>3.74</v>
      </c>
      <c r="FE87" s="90"/>
      <c r="FF87" s="90"/>
      <c r="FG87" s="90">
        <f t="shared" ca="1" si="142"/>
        <v>0</v>
      </c>
    </row>
    <row r="88" spans="1:163" x14ac:dyDescent="0.25">
      <c r="A88" s="123">
        <v>82</v>
      </c>
      <c r="B88" s="123">
        <f>INDEX(关卡对比!$Y:$Y,MATCH(关卡对比!Z88,关卡对比!$AA:$AA,1))</f>
        <v>54</v>
      </c>
      <c r="C88" s="124">
        <f>INDEX(关卡对比!$Y:$Y,MATCH(关卡对比!Z88,关卡对比!$AB:$AB,1))</f>
        <v>45</v>
      </c>
      <c r="D88" s="125">
        <f t="shared" ref="D88:D106" si="145">A88*E88+B88*E88+C88*E88-4.5-10-16</f>
        <v>512.5</v>
      </c>
      <c r="E88" s="125">
        <v>3</v>
      </c>
      <c r="F88" s="128">
        <v>5</v>
      </c>
      <c r="G88" s="90">
        <v>1</v>
      </c>
      <c r="H88" s="90">
        <v>1</v>
      </c>
      <c r="J88" s="128">
        <v>82</v>
      </c>
      <c r="K88" s="90">
        <f t="shared" si="88"/>
        <v>5</v>
      </c>
      <c r="L88" s="90">
        <f t="shared" si="89"/>
        <v>1</v>
      </c>
      <c r="M88" s="90">
        <f t="shared" si="90"/>
        <v>1</v>
      </c>
      <c r="N88" s="140">
        <f>INDEX($A:$A,MATCH(SUM($K$7:K88),$D:$D,1))</f>
        <v>68</v>
      </c>
      <c r="O88" s="140">
        <v>0</v>
      </c>
      <c r="P88" s="141">
        <v>0</v>
      </c>
      <c r="Q88" s="126">
        <f>_xlfn.MAXIFS(关卡产出!X:X,关卡产出!$A:$A,玩家节奏1!$N$6,关卡产出!$B:$B,玩家节奏1!$N88)+_xlfn.MAXIFS(关卡产出!X:X,关卡产出!$A:$A,玩家节奏1!$O$6,关卡产出!$B:$B,玩家节奏1!$O88)+_xlfn.MAXIFS(关卡产出!X:X,关卡产出!$A:$A,玩家节奏1!$P$6,关卡产出!$B:$B,玩家节奏1!$P88)</f>
        <v>12100</v>
      </c>
      <c r="R88" s="90">
        <f>_xlfn.MAXIFS(关卡产出!Y:Y,关卡产出!$A:$A,玩家节奏1!$N$6,关卡产出!$B:$B,玩家节奏1!$N88)+_xlfn.MAXIFS(关卡产出!Y:Y,关卡产出!$A:$A,玩家节奏1!$O$6,关卡产出!$B:$B,玩家节奏1!$O88)+_xlfn.MAXIFS(关卡产出!Y:Y,关卡产出!$A:$A,玩家节奏1!$P$6,关卡产出!$B:$B,玩家节奏1!$P88)</f>
        <v>1261200</v>
      </c>
      <c r="S88" s="90">
        <f>_xlfn.MAXIFS(关卡产出!Z:Z,关卡产出!$A:$A,玩家节奏1!$N$6,关卡产出!$B:$B,玩家节奏1!$N88)+_xlfn.MAXIFS(关卡产出!Z:Z,关卡产出!$A:$A,玩家节奏1!$O$6,关卡产出!$B:$B,玩家节奏1!$O88)+_xlfn.MAXIFS(关卡产出!Z:Z,关卡产出!$A:$A,玩家节奏1!$P$6,关卡产出!$B:$B,玩家节奏1!$P88)</f>
        <v>8906</v>
      </c>
      <c r="T88" s="90">
        <f>_xlfn.MAXIFS(关卡产出!AA:AA,关卡产出!$A:$A,玩家节奏1!$N$6,关卡产出!$B:$B,玩家节奏1!$N88)+_xlfn.MAXIFS(关卡产出!AA:AA,关卡产出!$A:$A,玩家节奏1!$O$6,关卡产出!$B:$B,玩家节奏1!$O88)+_xlfn.MAXIFS(关卡产出!AA:AA,关卡产出!$A:$A,玩家节奏1!$P$6,关卡产出!$B:$B,玩家节奏1!$P88)</f>
        <v>4454</v>
      </c>
      <c r="U88" s="90">
        <f>_xlfn.MAXIFS(关卡产出!AB:AB,关卡产出!$A:$A,玩家节奏1!$N$6,关卡产出!$B:$B,玩家节奏1!$N88)+_xlfn.MAXIFS(关卡产出!AB:AB,关卡产出!$A:$A,玩家节奏1!$O$6,关卡产出!$B:$B,玩家节奏1!$O88)+_xlfn.MAXIFS(关卡产出!AB:AB,关卡产出!$A:$A,玩家节奏1!$P$6,关卡产出!$B:$B,玩家节奏1!$P88)</f>
        <v>2019</v>
      </c>
      <c r="V88" s="130">
        <f>_xlfn.MAXIFS(关卡产出!AC:AC,关卡产出!$A:$A,玩家节奏1!$N$6,关卡产出!$B:$B,玩家节奏1!$N88)+_xlfn.MAXIFS(关卡产出!AC:AC,关卡产出!$A:$A,玩家节奏1!$O$6,关卡产出!$B:$B,玩家节奏1!$O88)+_xlfn.MAXIFS(关卡产出!AC:AC,关卡产出!$A:$A,玩家节奏1!$P$6,关卡产出!$B:$B,玩家节奏1!$P88)</f>
        <v>408</v>
      </c>
      <c r="W88" s="126">
        <f>INDEX(关卡产出!C$8:C$207,MATCH(玩家节奏1!$N88,关卡产出!$B$8:$B$207,0))*$K88</f>
        <v>265</v>
      </c>
      <c r="X88" s="126">
        <f>INDEX(关卡产出!D$8:D$207,MATCH(玩家节奏1!$N88,关卡产出!$B$8:$B$207,0))*$K88</f>
        <v>130</v>
      </c>
      <c r="Y88" s="126">
        <f>INDEX(关卡产出!E$8:E$207,MATCH(玩家节奏1!$N88,关卡产出!$B$8:$B$207,0))*$K88</f>
        <v>65</v>
      </c>
      <c r="Z88" s="144">
        <f>INDEX(关卡产出!F$8:F$207,MATCH(玩家节奏1!$N88,关卡产出!$B$8:$B$207,0))*$K88</f>
        <v>3650</v>
      </c>
      <c r="AA88" s="126">
        <f>SUM(W$7:W88)</f>
        <v>12096</v>
      </c>
      <c r="AB88" s="126">
        <f>SUM(X$7:X88)</f>
        <v>5946</v>
      </c>
      <c r="AC88" s="126">
        <f>SUM(Y$7:Y88)</f>
        <v>2722</v>
      </c>
      <c r="AD88" s="126">
        <f>SUM(Z$7:Z88)</f>
        <v>182760</v>
      </c>
      <c r="AE88" s="126">
        <f>INDEX(图鉴!AQ:AQ,MATCH($N88,图鉴!$S:$S,0))*8</f>
        <v>168</v>
      </c>
      <c r="AF88" s="90">
        <f>INDEX(图鉴!AR:AR,MATCH($N88,图鉴!$S:$S,0))*8</f>
        <v>104</v>
      </c>
      <c r="AG88" s="90">
        <f>INDEX(图鉴!AS:AS,MATCH($N88,图鉴!$S:$S,0))*8</f>
        <v>32</v>
      </c>
      <c r="AH88" s="129">
        <f ca="1">INDEX(图鉴!AT:AT,MATCH($N88,图鉴!$S:$S,0))*8</f>
        <v>7640</v>
      </c>
      <c r="AI88" s="128">
        <f>SUM($AE$7:AE88)</f>
        <v>11352</v>
      </c>
      <c r="AJ88" s="90">
        <f>SUM(AF$7:AF88)</f>
        <v>5672</v>
      </c>
      <c r="AK88" s="90">
        <f>SUM(AG$7:AG88)</f>
        <v>1824</v>
      </c>
      <c r="AL88" s="130">
        <f ca="1">SUM(AH$7:AH88)</f>
        <v>427520</v>
      </c>
      <c r="AM88" s="133">
        <f>IF(M88=0,0,INDEX(关卡产出!$AU$11:$AU$15,MATCH(玩家节奏1!N88,关卡产出!$AW$11:$AW$15,1))*M88)</f>
        <v>12200</v>
      </c>
      <c r="AN88" s="126">
        <f>IF(L88=0,0,$L88*关卡产出!AU$21)</f>
        <v>1000</v>
      </c>
      <c r="AO88" s="90">
        <f>IF(M88=0,0,$L88*关卡产出!AV$21)</f>
        <v>50</v>
      </c>
      <c r="AP88" s="129">
        <f>IF(N88=0,0,$L88*关卡产出!AW$21)</f>
        <v>1</v>
      </c>
      <c r="AQ88" s="138">
        <f>SUM(AN$7:AN88)</f>
        <v>65000</v>
      </c>
      <c r="AR88" s="126">
        <f>SUM(AO$7:AO88)</f>
        <v>3250</v>
      </c>
      <c r="AS88" s="129">
        <f>SUM(AP$7:AP88)</f>
        <v>65</v>
      </c>
      <c r="AT88" s="128">
        <v>500</v>
      </c>
      <c r="AU88" s="129">
        <v>100</v>
      </c>
      <c r="AV88" s="128">
        <f>SUM(AT$7:AT88)</f>
        <v>41000</v>
      </c>
      <c r="AW88" s="90">
        <f>SUM(AU$7:AU88)</f>
        <v>8200</v>
      </c>
      <c r="AY88" s="128">
        <f t="shared" si="91"/>
        <v>12100</v>
      </c>
      <c r="AZ88" s="90">
        <f t="shared" si="92"/>
        <v>3250</v>
      </c>
      <c r="BA88" s="90">
        <f t="shared" si="93"/>
        <v>8200</v>
      </c>
      <c r="BB88" s="90">
        <f t="shared" ca="1" si="143"/>
        <v>3800</v>
      </c>
      <c r="BC88" s="90">
        <f t="shared" ca="1" si="144"/>
        <v>27350</v>
      </c>
      <c r="BD88" s="90"/>
      <c r="BE88" s="90">
        <f t="shared" ca="1" si="94"/>
        <v>27350</v>
      </c>
      <c r="BF88" s="142">
        <f t="shared" ca="1" si="95"/>
        <v>0.44241316270566727</v>
      </c>
      <c r="BG88" s="142">
        <f t="shared" ca="1" si="96"/>
        <v>0.11882998171846434</v>
      </c>
      <c r="BH88" s="142">
        <f t="shared" ca="1" si="97"/>
        <v>0.29981718464351004</v>
      </c>
      <c r="BI88" s="142">
        <f t="shared" ca="1" si="98"/>
        <v>0.13893967093235832</v>
      </c>
      <c r="BJ88" s="143"/>
      <c r="BK88" s="128">
        <f ca="1">INDEX(商城宝箱!$L:$L,MATCH(BC88,商城宝箱!$N:$N,1))</f>
        <v>7</v>
      </c>
      <c r="BL88" s="90">
        <f ca="1">_xlfn.IFNA(INDEX(商城宝箱!T:T,MATCH(玩家节奏1!$BK88,商城宝箱!$L:$L,0)),0)+($BC88-INDEX(商城宝箱!$N:$N,MATCH(玩家节奏1!$BK88,商城宝箱!$L:$L,0)))/$BK$5*INDEX(商城宝箱!E$23:E$42,MATCH(玩家节奏1!$BK88+1,商城宝箱!$C$23:$C$42,0))</f>
        <v>68375</v>
      </c>
      <c r="BM88" s="90">
        <f ca="1">_xlfn.IFNA(INDEX(商城宝箱!U:U,MATCH(玩家节奏1!$BK88,商城宝箱!$L:$L,0)),0)+($BC88-INDEX(商城宝箱!$N:$N,MATCH(玩家节奏1!$BK88,商城宝箱!$L:$L,0)))/$BK$5*INDEX(商城宝箱!F$23:F$42,MATCH(玩家节奏1!$BK88+1,商城宝箱!$C$23:$C$42,0))</f>
        <v>27850</v>
      </c>
      <c r="BN88" s="90">
        <f ca="1">_xlfn.IFNA(INDEX(商城宝箱!V:V,MATCH(玩家节奏1!$BK88,商城宝箱!$L:$L,0)),0)+($BC88-INDEX(商城宝箱!$N:$N,MATCH(玩家节奏1!$BK88,商城宝箱!$L:$L,0)))/$BK$5*INDEX(商城宝箱!G$23:G$42,MATCH(玩家节奏1!$BK88+1,商城宝箱!$C$23:$C$42,0))</f>
        <v>16624.5</v>
      </c>
      <c r="BO88" s="90">
        <f ca="1">_xlfn.IFNA(INDEX(商城宝箱!W:W,MATCH(玩家节奏1!$BK88,商城宝箱!$L:$L,0)),0)+($BC88-INDEX(商城宝箱!$N:$N,MATCH(玩家节奏1!$BK88,商城宝箱!$L:$L,0)))/$BK$5*INDEX(商城宝箱!H$23:H$42,MATCH(玩家节奏1!$BK88+1,商城宝箱!$C$23:$C$42,0))</f>
        <v>2239</v>
      </c>
      <c r="BQ88" s="128">
        <f t="shared" si="82"/>
        <v>1261200</v>
      </c>
      <c r="BR88" s="90">
        <f t="shared" si="83"/>
        <v>182760</v>
      </c>
      <c r="BS88" s="90">
        <f t="shared" ca="1" si="84"/>
        <v>427520</v>
      </c>
      <c r="BT88" s="90">
        <f t="shared" si="85"/>
        <v>12200</v>
      </c>
      <c r="BU88" s="90">
        <f t="shared" si="86"/>
        <v>65000</v>
      </c>
      <c r="BV88" s="90">
        <f t="shared" si="87"/>
        <v>41000</v>
      </c>
      <c r="BW88" s="90">
        <f t="shared" ca="1" si="99"/>
        <v>68375</v>
      </c>
      <c r="BX88" s="90">
        <f t="shared" ca="1" si="100"/>
        <v>2058055</v>
      </c>
      <c r="BY88" s="142">
        <f t="shared" ca="1" si="101"/>
        <v>0.61281161096277792</v>
      </c>
      <c r="BZ88" s="142">
        <f t="shared" ca="1" si="102"/>
        <v>8.880229148394965E-2</v>
      </c>
      <c r="CA88" s="142">
        <f t="shared" ca="1" si="103"/>
        <v>0.20773011411259659</v>
      </c>
      <c r="CB88" s="142">
        <f t="shared" ca="1" si="104"/>
        <v>5.9279270962146295E-3</v>
      </c>
      <c r="CC88" s="142">
        <f t="shared" ca="1" si="105"/>
        <v>3.1583218135569746E-2</v>
      </c>
      <c r="CD88" s="142">
        <f t="shared" ca="1" si="106"/>
        <v>1.9921722208590148E-2</v>
      </c>
      <c r="CE88" s="142">
        <f t="shared" ca="1" si="107"/>
        <v>3.3223116000301256E-2</v>
      </c>
      <c r="CG88" s="128">
        <f t="shared" si="108"/>
        <v>68</v>
      </c>
      <c r="CH88" s="90">
        <f ca="1">INDEX(角色升级!$A:$A,MATCH(玩家节奏1!$BX88,角色升级!$J:$J,1))</f>
        <v>422</v>
      </c>
      <c r="CI88" s="90">
        <f ca="1">INDEX(角色升级!$O:$O,MATCH(玩家节奏1!$BX88,角色升级!$J:$J,1))</f>
        <v>13095.225375000002</v>
      </c>
      <c r="CJ88" s="90">
        <f>INDEX(关卡对比!$J:$J,MATCH(玩家节奏1!N88,关卡对比!$A:$A,0))</f>
        <v>20200</v>
      </c>
      <c r="CK88" s="147">
        <f t="shared" ca="1" si="109"/>
        <v>1.5425469529194717</v>
      </c>
      <c r="CL88" s="128">
        <f ca="1">INDEX(角色升级!$P:$P,MATCH(玩家节奏1!$CH88,角色升级!$A:$A,0))</f>
        <v>3800</v>
      </c>
      <c r="CM88" s="90">
        <f ca="1">INDEX(角色升级!Q:Q,MATCH(玩家节奏1!$CH88,角色升级!$A:$A,0))</f>
        <v>0.6</v>
      </c>
      <c r="CO88" s="128">
        <f t="shared" si="110"/>
        <v>8906</v>
      </c>
      <c r="CP88" s="90">
        <f t="shared" si="111"/>
        <v>12096</v>
      </c>
      <c r="CQ88" s="90">
        <f t="shared" si="112"/>
        <v>11352</v>
      </c>
      <c r="CR88" s="90">
        <f t="shared" ca="1" si="113"/>
        <v>27850</v>
      </c>
      <c r="CS88" s="90">
        <f t="shared" ca="1" si="114"/>
        <v>60204</v>
      </c>
      <c r="CT88" s="142">
        <f t="shared" ca="1" si="115"/>
        <v>0.14793037007507806</v>
      </c>
      <c r="CU88" s="142">
        <f t="shared" ca="1" si="116"/>
        <v>0.20091688259916285</v>
      </c>
      <c r="CV88" s="142">
        <f t="shared" ca="1" si="117"/>
        <v>0.188558899740881</v>
      </c>
      <c r="CW88" s="142">
        <f t="shared" ca="1" si="118"/>
        <v>0.46259384758487809</v>
      </c>
      <c r="CY88" s="128">
        <f t="shared" si="119"/>
        <v>4454</v>
      </c>
      <c r="CZ88" s="90">
        <f t="shared" si="120"/>
        <v>5946</v>
      </c>
      <c r="DA88" s="90">
        <f t="shared" si="121"/>
        <v>5672</v>
      </c>
      <c r="DB88" s="90">
        <f t="shared" ca="1" si="122"/>
        <v>16624.5</v>
      </c>
      <c r="DC88" s="90">
        <f t="shared" ca="1" si="123"/>
        <v>32696.5</v>
      </c>
      <c r="DD88" s="142">
        <f t="shared" ca="1" si="124"/>
        <v>0.13622253146361232</v>
      </c>
      <c r="DE88" s="142">
        <f t="shared" ca="1" si="125"/>
        <v>0.18185432691572492</v>
      </c>
      <c r="DF88" s="142">
        <f t="shared" ca="1" si="126"/>
        <v>0.17347422506996163</v>
      </c>
      <c r="DG88" s="142">
        <f t="shared" ca="1" si="127"/>
        <v>0.50844891655070112</v>
      </c>
      <c r="DI88" s="128">
        <f t="shared" si="128"/>
        <v>2019</v>
      </c>
      <c r="DJ88" s="90">
        <f t="shared" si="129"/>
        <v>2722</v>
      </c>
      <c r="DK88" s="90">
        <f t="shared" si="130"/>
        <v>1824</v>
      </c>
      <c r="DL88" s="90">
        <f t="shared" ca="1" si="131"/>
        <v>2239</v>
      </c>
      <c r="DM88" s="90">
        <f t="shared" ca="1" si="132"/>
        <v>8804</v>
      </c>
      <c r="DN88" s="142">
        <f t="shared" ca="1" si="133"/>
        <v>0.2293275783734666</v>
      </c>
      <c r="DO88" s="142">
        <f t="shared" ca="1" si="134"/>
        <v>0.30917764652430713</v>
      </c>
      <c r="DP88" s="142">
        <f t="shared" ca="1" si="135"/>
        <v>0.20717855520218081</v>
      </c>
      <c r="DQ88" s="142">
        <f t="shared" ca="1" si="136"/>
        <v>0.25431621990004544</v>
      </c>
      <c r="DS88" s="128">
        <f t="shared" ca="1" si="137"/>
        <v>60204</v>
      </c>
      <c r="DT88" s="90">
        <f t="shared" ca="1" si="138"/>
        <v>32696.5</v>
      </c>
      <c r="DU88" s="90">
        <f t="shared" ca="1" si="139"/>
        <v>8804</v>
      </c>
      <c r="DV88" s="90">
        <f t="shared" si="140"/>
        <v>65</v>
      </c>
      <c r="DW88" s="90">
        <f ca="1">_xlfn.IFNA(INDEX(武器升级消耗!$H:$H,MATCH(玩家节奏1!DS88/玩家节奏1!DS$5,武器升级消耗!M:M,1)),0)</f>
        <v>23</v>
      </c>
      <c r="DX88" s="90">
        <f ca="1">_xlfn.IFNA(INDEX(武器升级消耗!$H:$H,MATCH(玩家节奏1!DT88/玩家节奏1!DT$5,武器升级消耗!N:N,1)),0)</f>
        <v>20</v>
      </c>
      <c r="DY88" s="90">
        <f ca="1">_xlfn.IFNA(INDEX(武器升级消耗!$H:$H,MATCH(玩家节奏1!DU88/玩家节奏1!DU$5,武器升级消耗!O:O,1)),0)</f>
        <v>13</v>
      </c>
      <c r="DZ88" s="90">
        <f>_xlfn.IFNA(INDEX(武器升级消耗!$H:$H,MATCH(玩家节奏1!DV88/玩家节奏1!DV$5,武器升级消耗!P:P,1)),0)</f>
        <v>8</v>
      </c>
      <c r="EA88" s="90">
        <f ca="1">_xlfn.IFNA(INDEX(武器升级消耗!$Q:$Q,MATCH(玩家节奏1!DW88,武器升级消耗!$H:$H,0))*2*EA$4,0)</f>
        <v>3.24</v>
      </c>
      <c r="EB88" s="90">
        <f ca="1">_xlfn.IFNA(INDEX(武器升级消耗!$Q:$Q,MATCH(玩家节奏1!DX88,武器升级消耗!$H:$H,0))*2*EB$4,0)</f>
        <v>3.5999999999999996</v>
      </c>
      <c r="EC88" s="90">
        <f ca="1">_xlfn.IFNA(INDEX(武器升级消耗!$Q:$Q,MATCH(玩家节奏1!DY88,武器升级消耗!$H:$H,0))*2*EC$4,1)</f>
        <v>3.74</v>
      </c>
      <c r="ED88" s="90">
        <f>_xlfn.IFNA(INDEX(武器升级消耗!$Q:$Q,MATCH(玩家节奏1!DZ88,武器升级消耗!$H:$H,0))*2*ED$4,0)</f>
        <v>3.5999999999999996</v>
      </c>
      <c r="EF88" s="128"/>
      <c r="EG88" s="90"/>
      <c r="EH88" s="90"/>
      <c r="EI88" s="90"/>
      <c r="EJ88" s="90"/>
      <c r="EK88" s="90"/>
      <c r="EL88" s="90"/>
      <c r="EM88" s="90"/>
      <c r="EO88" s="128"/>
      <c r="EP88" s="90"/>
      <c r="EQ88" s="90"/>
      <c r="ER88" s="90"/>
      <c r="ES88" s="90"/>
      <c r="ET88" s="90"/>
      <c r="EU88" s="90"/>
      <c r="EV88" s="90"/>
      <c r="EW88" s="90"/>
      <c r="EX88" s="90"/>
      <c r="EY88" s="90"/>
      <c r="EZ88" s="90"/>
      <c r="FA88" s="90"/>
      <c r="FB88" s="90"/>
      <c r="FD88" s="90">
        <f t="shared" ca="1" si="141"/>
        <v>3.74</v>
      </c>
      <c r="FE88" s="90"/>
      <c r="FF88" s="90"/>
      <c r="FG88" s="90">
        <f t="shared" ca="1" si="142"/>
        <v>0</v>
      </c>
    </row>
    <row r="89" spans="1:163" x14ac:dyDescent="0.25">
      <c r="A89" s="123">
        <v>83</v>
      </c>
      <c r="B89" s="123">
        <f>INDEX(关卡对比!$Y:$Y,MATCH(关卡对比!Z89,关卡对比!$AA:$AA,1))</f>
        <v>55</v>
      </c>
      <c r="C89" s="124">
        <f>INDEX(关卡对比!$Y:$Y,MATCH(关卡对比!Z89,关卡对比!$AB:$AB,1))</f>
        <v>46</v>
      </c>
      <c r="D89" s="125">
        <f t="shared" si="145"/>
        <v>521.5</v>
      </c>
      <c r="E89" s="125">
        <v>3</v>
      </c>
      <c r="F89" s="128">
        <v>5</v>
      </c>
      <c r="G89" s="90">
        <v>1</v>
      </c>
      <c r="H89" s="90">
        <v>1</v>
      </c>
      <c r="J89" s="128">
        <v>83</v>
      </c>
      <c r="K89" s="90">
        <f t="shared" si="88"/>
        <v>5</v>
      </c>
      <c r="L89" s="90">
        <f t="shared" si="89"/>
        <v>1</v>
      </c>
      <c r="M89" s="90">
        <f t="shared" si="90"/>
        <v>1</v>
      </c>
      <c r="N89" s="140">
        <f>INDEX($A:$A,MATCH(SUM($K$7:K89),$D:$D,1))</f>
        <v>69</v>
      </c>
      <c r="O89" s="140">
        <v>0</v>
      </c>
      <c r="P89" s="141">
        <v>0</v>
      </c>
      <c r="Q89" s="126">
        <f>_xlfn.MAXIFS(关卡产出!X:X,关卡产出!$A:$A,玩家节奏1!$N$6,关卡产出!$B:$B,玩家节奏1!$N89)+_xlfn.MAXIFS(关卡产出!X:X,关卡产出!$A:$A,玩家节奏1!$O$6,关卡产出!$B:$B,玩家节奏1!$O89)+_xlfn.MAXIFS(关卡产出!X:X,关卡产出!$A:$A,玩家节奏1!$P$6,关卡产出!$B:$B,玩家节奏1!$P89)</f>
        <v>12300</v>
      </c>
      <c r="R89" s="90">
        <f>_xlfn.MAXIFS(关卡产出!Y:Y,关卡产出!$A:$A,玩家节奏1!$N$6,关卡产出!$B:$B,玩家节奏1!$N89)+_xlfn.MAXIFS(关卡产出!Y:Y,关卡产出!$A:$A,玩家节奏1!$O$6,关卡产出!$B:$B,玩家节奏1!$O89)+_xlfn.MAXIFS(关卡产出!Y:Y,关卡产出!$A:$A,玩家节奏1!$P$6,关卡产出!$B:$B,玩家节奏1!$P89)</f>
        <v>1300300</v>
      </c>
      <c r="S89" s="90">
        <f>_xlfn.MAXIFS(关卡产出!Z:Z,关卡产出!$A:$A,玩家节奏1!$N$6,关卡产出!$B:$B,玩家节奏1!$N89)+_xlfn.MAXIFS(关卡产出!Z:Z,关卡产出!$A:$A,玩家节奏1!$O$6,关卡产出!$B:$B,玩家节奏1!$O89)+_xlfn.MAXIFS(关卡产出!Z:Z,关卡产出!$A:$A,玩家节奏1!$P$6,关卡产出!$B:$B,玩家节奏1!$P89)</f>
        <v>9174</v>
      </c>
      <c r="T89" s="90">
        <f>_xlfn.MAXIFS(关卡产出!AA:AA,关卡产出!$A:$A,玩家节奏1!$N$6,关卡产出!$B:$B,玩家节奏1!$N89)+_xlfn.MAXIFS(关卡产出!AA:AA,关卡产出!$A:$A,玩家节奏1!$O$6,关卡产出!$B:$B,玩家节奏1!$O89)+_xlfn.MAXIFS(关卡产出!AA:AA,关卡产出!$A:$A,玩家节奏1!$P$6,关卡产出!$B:$B,玩家节奏1!$P89)</f>
        <v>4588</v>
      </c>
      <c r="U89" s="90">
        <f>_xlfn.MAXIFS(关卡产出!AB:AB,关卡产出!$A:$A,玩家节奏1!$N$6,关卡产出!$B:$B,玩家节奏1!$N89)+_xlfn.MAXIFS(关卡产出!AB:AB,关卡产出!$A:$A,玩家节奏1!$O$6,关卡产出!$B:$B,玩家节奏1!$O89)+_xlfn.MAXIFS(关卡产出!AB:AB,关卡产出!$A:$A,玩家节奏1!$P$6,关卡产出!$B:$B,玩家节奏1!$P89)</f>
        <v>2083</v>
      </c>
      <c r="V89" s="130">
        <f>_xlfn.MAXIFS(关卡产出!AC:AC,关卡产出!$A:$A,玩家节奏1!$N$6,关卡产出!$B:$B,玩家节奏1!$N89)+_xlfn.MAXIFS(关卡产出!AC:AC,关卡产出!$A:$A,玩家节奏1!$O$6,关卡产出!$B:$B,玩家节奏1!$O89)+_xlfn.MAXIFS(关卡产出!AC:AC,关卡产出!$A:$A,玩家节奏1!$P$6,关卡产出!$B:$B,玩家节奏1!$P89)</f>
        <v>414</v>
      </c>
      <c r="W89" s="126">
        <f>INDEX(关卡产出!C$8:C$207,MATCH(玩家节奏1!$N89,关卡产出!$B$8:$B$207,0))*$K89</f>
        <v>270</v>
      </c>
      <c r="X89" s="126">
        <f>INDEX(关卡产出!D$8:D$207,MATCH(玩家节奏1!$N89,关卡产出!$B$8:$B$207,0))*$K89</f>
        <v>135</v>
      </c>
      <c r="Y89" s="126">
        <f>INDEX(关卡产出!E$8:E$207,MATCH(玩家节奏1!$N89,关卡产出!$B$8:$B$207,0))*$K89</f>
        <v>65</v>
      </c>
      <c r="Z89" s="144">
        <f>INDEX(关卡产出!F$8:F$207,MATCH(玩家节奏1!$N89,关卡产出!$B$8:$B$207,0))*$K89</f>
        <v>3750</v>
      </c>
      <c r="AA89" s="126">
        <f>SUM(W$7:W89)</f>
        <v>12366</v>
      </c>
      <c r="AB89" s="126">
        <f>SUM(X$7:X89)</f>
        <v>6081</v>
      </c>
      <c r="AC89" s="126">
        <f>SUM(Y$7:Y89)</f>
        <v>2787</v>
      </c>
      <c r="AD89" s="126">
        <f>SUM(Z$7:Z89)</f>
        <v>186510</v>
      </c>
      <c r="AE89" s="126">
        <f>INDEX(图鉴!AQ:AQ,MATCH($N89,图鉴!$S:$S,0))*8</f>
        <v>168</v>
      </c>
      <c r="AF89" s="90">
        <f>INDEX(图鉴!AR:AR,MATCH($N89,图鉴!$S:$S,0))*8</f>
        <v>104</v>
      </c>
      <c r="AG89" s="90">
        <f>INDEX(图鉴!AS:AS,MATCH($N89,图鉴!$S:$S,0))*8</f>
        <v>32</v>
      </c>
      <c r="AH89" s="129">
        <f ca="1">INDEX(图鉴!AT:AT,MATCH($N89,图鉴!$S:$S,0))*8</f>
        <v>7640</v>
      </c>
      <c r="AI89" s="128">
        <f>SUM($AE$7:AE89)</f>
        <v>11520</v>
      </c>
      <c r="AJ89" s="90">
        <f>SUM(AF$7:AF89)</f>
        <v>5776</v>
      </c>
      <c r="AK89" s="90">
        <f>SUM(AG$7:AG89)</f>
        <v>1856</v>
      </c>
      <c r="AL89" s="130">
        <f ca="1">SUM(AH$7:AH89)</f>
        <v>435160</v>
      </c>
      <c r="AM89" s="133">
        <f>IF(M89=0,0,INDEX(关卡产出!$AU$11:$AU$15,MATCH(玩家节奏1!N89,关卡产出!$AW$11:$AW$15,1))*M89)</f>
        <v>12200</v>
      </c>
      <c r="AN89" s="126">
        <f>IF(L89=0,0,$L89*关卡产出!AU$21)</f>
        <v>1000</v>
      </c>
      <c r="AO89" s="90">
        <f>IF(M89=0,0,$L89*关卡产出!AV$21)</f>
        <v>50</v>
      </c>
      <c r="AP89" s="129">
        <f>IF(N89=0,0,$L89*关卡产出!AW$21)</f>
        <v>1</v>
      </c>
      <c r="AQ89" s="138">
        <f>SUM(AN$7:AN89)</f>
        <v>66000</v>
      </c>
      <c r="AR89" s="126">
        <f>SUM(AO$7:AO89)</f>
        <v>3300</v>
      </c>
      <c r="AS89" s="129">
        <f>SUM(AP$7:AP89)</f>
        <v>66</v>
      </c>
      <c r="AT89" s="128">
        <v>500</v>
      </c>
      <c r="AU89" s="129">
        <v>100</v>
      </c>
      <c r="AV89" s="128">
        <f>SUM(AT$7:AT89)</f>
        <v>41500</v>
      </c>
      <c r="AW89" s="90">
        <f>SUM(AU$7:AU89)</f>
        <v>8300</v>
      </c>
      <c r="AY89" s="128">
        <f t="shared" si="91"/>
        <v>12300</v>
      </c>
      <c r="AZ89" s="90">
        <f t="shared" si="92"/>
        <v>3300</v>
      </c>
      <c r="BA89" s="90">
        <f t="shared" si="93"/>
        <v>8300</v>
      </c>
      <c r="BB89" s="90">
        <f t="shared" ca="1" si="143"/>
        <v>3800</v>
      </c>
      <c r="BC89" s="90">
        <f t="shared" ca="1" si="144"/>
        <v>27700</v>
      </c>
      <c r="BD89" s="90"/>
      <c r="BE89" s="90">
        <f t="shared" ca="1" si="94"/>
        <v>27700</v>
      </c>
      <c r="BF89" s="142">
        <f t="shared" ca="1" si="95"/>
        <v>0.44404332129963897</v>
      </c>
      <c r="BG89" s="142">
        <f t="shared" ca="1" si="96"/>
        <v>0.11913357400722022</v>
      </c>
      <c r="BH89" s="142">
        <f t="shared" ca="1" si="97"/>
        <v>0.29963898916967507</v>
      </c>
      <c r="BI89" s="142">
        <f t="shared" ca="1" si="98"/>
        <v>0.13718411552346571</v>
      </c>
      <c r="BJ89" s="143"/>
      <c r="BK89" s="128">
        <f ca="1">INDEX(商城宝箱!$L:$L,MATCH(BC89,商城宝箱!$N:$N,1))</f>
        <v>7</v>
      </c>
      <c r="BL89" s="90">
        <f ca="1">_xlfn.IFNA(INDEX(商城宝箱!T:T,MATCH(玩家节奏1!$BK89,商城宝箱!$L:$L,0)),0)+($BC89-INDEX(商城宝箱!$N:$N,MATCH(玩家节奏1!$BK89,商城宝箱!$L:$L,0)))/$BK$5*INDEX(商城宝箱!E$23:E$42,MATCH(玩家节奏1!$BK89+1,商城宝箱!$C$23:$C$42,0))</f>
        <v>69250</v>
      </c>
      <c r="BM89" s="90">
        <f ca="1">_xlfn.IFNA(INDEX(商城宝箱!U:U,MATCH(玩家节奏1!$BK89,商城宝箱!$L:$L,0)),0)+($BC89-INDEX(商城宝箱!$N:$N,MATCH(玩家节奏1!$BK89,商城宝箱!$L:$L,0)))/$BK$5*INDEX(商城宝箱!F$23:F$42,MATCH(玩家节奏1!$BK89+1,商城宝箱!$C$23:$C$42,0))</f>
        <v>28462.5</v>
      </c>
      <c r="BN89" s="90">
        <f ca="1">_xlfn.IFNA(INDEX(商城宝箱!V:V,MATCH(玩家节奏1!$BK89,商城宝箱!$L:$L,0)),0)+($BC89-INDEX(商城宝箱!$N:$N,MATCH(玩家节奏1!$BK89,商城宝箱!$L:$L,0)))/$BK$5*INDEX(商城宝箱!G$23:G$42,MATCH(玩家节奏1!$BK89+1,商城宝箱!$C$23:$C$42,0))</f>
        <v>17027</v>
      </c>
      <c r="BO89" s="90">
        <f ca="1">_xlfn.IFNA(INDEX(商城宝箱!W:W,MATCH(玩家节奏1!$BK89,商城宝箱!$L:$L,0)),0)+($BC89-INDEX(商城宝箱!$N:$N,MATCH(玩家节奏1!$BK89,商城宝箱!$L:$L,0)))/$BK$5*INDEX(商城宝箱!H$23:H$42,MATCH(玩家节奏1!$BK89+1,商城宝箱!$C$23:$C$42,0))</f>
        <v>2291.5</v>
      </c>
      <c r="BQ89" s="128">
        <f t="shared" si="82"/>
        <v>1300300</v>
      </c>
      <c r="BR89" s="90">
        <f t="shared" si="83"/>
        <v>186510</v>
      </c>
      <c r="BS89" s="90">
        <f t="shared" ca="1" si="84"/>
        <v>435160</v>
      </c>
      <c r="BT89" s="90">
        <f t="shared" si="85"/>
        <v>12200</v>
      </c>
      <c r="BU89" s="90">
        <f t="shared" si="86"/>
        <v>66000</v>
      </c>
      <c r="BV89" s="90">
        <f t="shared" si="87"/>
        <v>41500</v>
      </c>
      <c r="BW89" s="90">
        <f t="shared" ca="1" si="99"/>
        <v>69250</v>
      </c>
      <c r="BX89" s="90">
        <f t="shared" ca="1" si="100"/>
        <v>2110920</v>
      </c>
      <c r="BY89" s="142">
        <f t="shared" ca="1" si="101"/>
        <v>0.61598734201201377</v>
      </c>
      <c r="BZ89" s="142">
        <f t="shared" ca="1" si="102"/>
        <v>8.8354840543459726E-2</v>
      </c>
      <c r="CA89" s="142">
        <f t="shared" ca="1" si="103"/>
        <v>0.20614708278854718</v>
      </c>
      <c r="CB89" s="142">
        <f t="shared" ca="1" si="104"/>
        <v>5.7794705625982988E-3</v>
      </c>
      <c r="CC89" s="142">
        <f t="shared" ca="1" si="105"/>
        <v>3.1265988289466203E-2</v>
      </c>
      <c r="CD89" s="142">
        <f t="shared" ca="1" si="106"/>
        <v>1.9659674454740112E-2</v>
      </c>
      <c r="CE89" s="142">
        <f t="shared" ca="1" si="107"/>
        <v>3.2805601349174769E-2</v>
      </c>
      <c r="CG89" s="128">
        <f t="shared" si="108"/>
        <v>69</v>
      </c>
      <c r="CH89" s="90">
        <f ca="1">INDEX(角色升级!$A:$A,MATCH(玩家节奏1!$BX89,角色升级!$J:$J,1))</f>
        <v>424</v>
      </c>
      <c r="CI89" s="90">
        <f ca="1">INDEX(角色升级!$O:$O,MATCH(玩家节奏1!$BX89,角色升级!$J:$J,1))</f>
        <v>13460.673525000002</v>
      </c>
      <c r="CJ89" s="90">
        <f>INDEX(关卡对比!$J:$J,MATCH(玩家节奏1!N89,关卡对比!$A:$A,0))</f>
        <v>20700</v>
      </c>
      <c r="CK89" s="147">
        <f t="shared" ca="1" si="109"/>
        <v>1.5378130939402601</v>
      </c>
      <c r="CL89" s="128">
        <f ca="1">INDEX(角色升级!$P:$P,MATCH(玩家节奏1!$CH89,角色升级!$A:$A,0))</f>
        <v>3800</v>
      </c>
      <c r="CM89" s="90">
        <f ca="1">INDEX(角色升级!Q:Q,MATCH(玩家节奏1!$CH89,角色升级!$A:$A,0))</f>
        <v>0.6</v>
      </c>
      <c r="CO89" s="128">
        <f t="shared" si="110"/>
        <v>9174</v>
      </c>
      <c r="CP89" s="90">
        <f t="shared" si="111"/>
        <v>12366</v>
      </c>
      <c r="CQ89" s="90">
        <f t="shared" si="112"/>
        <v>11520</v>
      </c>
      <c r="CR89" s="90">
        <f t="shared" ca="1" si="113"/>
        <v>28462.5</v>
      </c>
      <c r="CS89" s="90">
        <f t="shared" ca="1" si="114"/>
        <v>61522.5</v>
      </c>
      <c r="CT89" s="142">
        <f t="shared" ca="1" si="115"/>
        <v>0.14911617700841157</v>
      </c>
      <c r="CU89" s="142">
        <f t="shared" ca="1" si="116"/>
        <v>0.20099963428014142</v>
      </c>
      <c r="CV89" s="142">
        <f t="shared" ca="1" si="117"/>
        <v>0.18724856759722053</v>
      </c>
      <c r="CW89" s="142">
        <f t="shared" ca="1" si="118"/>
        <v>0.46263562111422651</v>
      </c>
      <c r="CY89" s="128">
        <f t="shared" si="119"/>
        <v>4588</v>
      </c>
      <c r="CZ89" s="90">
        <f t="shared" si="120"/>
        <v>6081</v>
      </c>
      <c r="DA89" s="90">
        <f t="shared" si="121"/>
        <v>5776</v>
      </c>
      <c r="DB89" s="90">
        <f t="shared" ca="1" si="122"/>
        <v>17027</v>
      </c>
      <c r="DC89" s="90">
        <f t="shared" ca="1" si="123"/>
        <v>33472</v>
      </c>
      <c r="DD89" s="142">
        <f t="shared" ca="1" si="124"/>
        <v>0.1370697896749522</v>
      </c>
      <c r="DE89" s="142">
        <f t="shared" ca="1" si="125"/>
        <v>0.18167423518164436</v>
      </c>
      <c r="DF89" s="142">
        <f t="shared" ca="1" si="126"/>
        <v>0.17256214149139579</v>
      </c>
      <c r="DG89" s="142">
        <f t="shared" ca="1" si="127"/>
        <v>0.5086938336520076</v>
      </c>
      <c r="DI89" s="128">
        <f t="shared" si="128"/>
        <v>2083</v>
      </c>
      <c r="DJ89" s="90">
        <f t="shared" si="129"/>
        <v>2787</v>
      </c>
      <c r="DK89" s="90">
        <f t="shared" si="130"/>
        <v>1856</v>
      </c>
      <c r="DL89" s="90">
        <f t="shared" ca="1" si="131"/>
        <v>2291.5</v>
      </c>
      <c r="DM89" s="90">
        <f t="shared" ca="1" si="132"/>
        <v>9017.5</v>
      </c>
      <c r="DN89" s="142">
        <f t="shared" ca="1" si="133"/>
        <v>0.23099528694205712</v>
      </c>
      <c r="DO89" s="142">
        <f t="shared" ca="1" si="134"/>
        <v>0.30906570557249791</v>
      </c>
      <c r="DP89" s="142">
        <f t="shared" ca="1" si="135"/>
        <v>0.20582201275298032</v>
      </c>
      <c r="DQ89" s="142">
        <f t="shared" ca="1" si="136"/>
        <v>0.25411699473246463</v>
      </c>
      <c r="DS89" s="128">
        <f t="shared" ca="1" si="137"/>
        <v>61522.5</v>
      </c>
      <c r="DT89" s="90">
        <f t="shared" ca="1" si="138"/>
        <v>33472</v>
      </c>
      <c r="DU89" s="90">
        <f t="shared" ca="1" si="139"/>
        <v>9017.5</v>
      </c>
      <c r="DV89" s="90">
        <f t="shared" si="140"/>
        <v>66</v>
      </c>
      <c r="DW89" s="90">
        <f ca="1">_xlfn.IFNA(INDEX(武器升级消耗!$H:$H,MATCH(玩家节奏1!DS89/玩家节奏1!DS$5,武器升级消耗!M:M,1)),0)</f>
        <v>23</v>
      </c>
      <c r="DX89" s="90">
        <f ca="1">_xlfn.IFNA(INDEX(武器升级消耗!$H:$H,MATCH(玩家节奏1!DT89/玩家节奏1!DT$5,武器升级消耗!N:N,1)),0)</f>
        <v>20</v>
      </c>
      <c r="DY89" s="90">
        <f ca="1">_xlfn.IFNA(INDEX(武器升级消耗!$H:$H,MATCH(玩家节奏1!DU89/玩家节奏1!DU$5,武器升级消耗!O:O,1)),0)</f>
        <v>13</v>
      </c>
      <c r="DZ89" s="90">
        <f>_xlfn.IFNA(INDEX(武器升级消耗!$H:$H,MATCH(玩家节奏1!DV89/玩家节奏1!DV$5,武器升级消耗!P:P,1)),0)</f>
        <v>9</v>
      </c>
      <c r="EA89" s="90">
        <f ca="1">_xlfn.IFNA(INDEX(武器升级消耗!$Q:$Q,MATCH(玩家节奏1!DW89,武器升级消耗!$H:$H,0))*2*EA$4,0)</f>
        <v>3.24</v>
      </c>
      <c r="EB89" s="90">
        <f ca="1">_xlfn.IFNA(INDEX(武器升级消耗!$Q:$Q,MATCH(玩家节奏1!DX89,武器升级消耗!$H:$H,0))*2*EB$4,0)</f>
        <v>3.5999999999999996</v>
      </c>
      <c r="EC89" s="90">
        <f ca="1">_xlfn.IFNA(INDEX(武器升级消耗!$Q:$Q,MATCH(玩家节奏1!DY89,武器升级消耗!$H:$H,0))*2*EC$4,1)</f>
        <v>3.74</v>
      </c>
      <c r="ED89" s="90">
        <f>_xlfn.IFNA(INDEX(武器升级消耗!$Q:$Q,MATCH(玩家节奏1!DZ89,武器升级消耗!$H:$H,0))*2*ED$4,0)</f>
        <v>3.9000000000000004</v>
      </c>
      <c r="EF89" s="128"/>
      <c r="EG89" s="90"/>
      <c r="EH89" s="90"/>
      <c r="EI89" s="90"/>
      <c r="EJ89" s="90"/>
      <c r="EK89" s="90"/>
      <c r="EL89" s="90"/>
      <c r="EM89" s="90"/>
      <c r="EO89" s="128"/>
      <c r="EP89" s="90"/>
      <c r="EQ89" s="90"/>
      <c r="ER89" s="90"/>
      <c r="ES89" s="90"/>
      <c r="ET89" s="90"/>
      <c r="EU89" s="90"/>
      <c r="EV89" s="90"/>
      <c r="EW89" s="90"/>
      <c r="EX89" s="90"/>
      <c r="EY89" s="90"/>
      <c r="EZ89" s="90"/>
      <c r="FA89" s="90"/>
      <c r="FB89" s="90"/>
      <c r="FD89" s="90">
        <f t="shared" ca="1" si="141"/>
        <v>3.74</v>
      </c>
      <c r="FE89" s="90"/>
      <c r="FF89" s="90"/>
      <c r="FG89" s="90">
        <f t="shared" ca="1" si="142"/>
        <v>0</v>
      </c>
    </row>
    <row r="90" spans="1:163" x14ac:dyDescent="0.25">
      <c r="A90" s="123">
        <v>84</v>
      </c>
      <c r="B90" s="123">
        <f>INDEX(关卡对比!$Y:$Y,MATCH(关卡对比!Z90,关卡对比!$AA:$AA,1))</f>
        <v>55</v>
      </c>
      <c r="C90" s="124">
        <f>INDEX(关卡对比!$Y:$Y,MATCH(关卡对比!Z90,关卡对比!$AB:$AB,1))</f>
        <v>46</v>
      </c>
      <c r="D90" s="125">
        <f t="shared" si="145"/>
        <v>524.5</v>
      </c>
      <c r="E90" s="125">
        <v>3</v>
      </c>
      <c r="F90" s="128">
        <v>5</v>
      </c>
      <c r="G90" s="90">
        <v>1</v>
      </c>
      <c r="H90" s="90">
        <v>1</v>
      </c>
      <c r="J90" s="128">
        <v>84</v>
      </c>
      <c r="K90" s="90">
        <f t="shared" si="88"/>
        <v>5</v>
      </c>
      <c r="L90" s="90">
        <f t="shared" si="89"/>
        <v>1</v>
      </c>
      <c r="M90" s="90">
        <f t="shared" si="90"/>
        <v>1</v>
      </c>
      <c r="N90" s="140">
        <f>INDEX($A:$A,MATCH(SUM($K$7:K90),$D:$D,1))</f>
        <v>70</v>
      </c>
      <c r="O90" s="140">
        <v>0</v>
      </c>
      <c r="P90" s="141">
        <v>0</v>
      </c>
      <c r="Q90" s="126">
        <f>_xlfn.MAXIFS(关卡产出!X:X,关卡产出!$A:$A,玩家节奏1!$N$6,关卡产出!$B:$B,玩家节奏1!$N90)+_xlfn.MAXIFS(关卡产出!X:X,关卡产出!$A:$A,玩家节奏1!$O$6,关卡产出!$B:$B,玩家节奏1!$O90)+_xlfn.MAXIFS(关卡产出!X:X,关卡产出!$A:$A,玩家节奏1!$P$6,关卡产出!$B:$B,玩家节奏1!$P90)</f>
        <v>12500</v>
      </c>
      <c r="R90" s="90">
        <f>_xlfn.MAXIFS(关卡产出!Y:Y,关卡产出!$A:$A,玩家节奏1!$N$6,关卡产出!$B:$B,玩家节奏1!$N90)+_xlfn.MAXIFS(关卡产出!Y:Y,关卡产出!$A:$A,玩家节奏1!$O$6,关卡产出!$B:$B,玩家节奏1!$O90)+_xlfn.MAXIFS(关卡产出!Y:Y,关卡产出!$A:$A,玩家节奏1!$P$6,关卡产出!$B:$B,玩家节奏1!$P90)</f>
        <v>1340000</v>
      </c>
      <c r="S90" s="90">
        <f>_xlfn.MAXIFS(关卡产出!Z:Z,关卡产出!$A:$A,玩家节奏1!$N$6,关卡产出!$B:$B,玩家节奏1!$N90)+_xlfn.MAXIFS(关卡产出!Z:Z,关卡产出!$A:$A,玩家节奏1!$O$6,关卡产出!$B:$B,玩家节奏1!$O90)+_xlfn.MAXIFS(关卡产出!Z:Z,关卡产出!$A:$A,玩家节奏1!$P$6,关卡产出!$B:$B,玩家节奏1!$P90)</f>
        <v>9446</v>
      </c>
      <c r="T90" s="90">
        <f>_xlfn.MAXIFS(关卡产出!AA:AA,关卡产出!$A:$A,玩家节奏1!$N$6,关卡产出!$B:$B,玩家节奏1!$N90)+_xlfn.MAXIFS(关卡产出!AA:AA,关卡产出!$A:$A,玩家节奏1!$O$6,关卡产出!$B:$B,玩家节奏1!$O90)+_xlfn.MAXIFS(关卡产出!AA:AA,关卡产出!$A:$A,玩家节奏1!$P$6,关卡产出!$B:$B,玩家节奏1!$P90)</f>
        <v>4724</v>
      </c>
      <c r="U90" s="90">
        <f>_xlfn.MAXIFS(关卡产出!AB:AB,关卡产出!$A:$A,玩家节奏1!$N$6,关卡产出!$B:$B,玩家节奏1!$N90)+_xlfn.MAXIFS(关卡产出!AB:AB,关卡产出!$A:$A,玩家节奏1!$O$6,关卡产出!$B:$B,玩家节奏1!$O90)+_xlfn.MAXIFS(关卡产出!AB:AB,关卡产出!$A:$A,玩家节奏1!$P$6,关卡产出!$B:$B,玩家节奏1!$P90)</f>
        <v>2148</v>
      </c>
      <c r="V90" s="130">
        <f>_xlfn.MAXIFS(关卡产出!AC:AC,关卡产出!$A:$A,玩家节奏1!$N$6,关卡产出!$B:$B,玩家节奏1!$N90)+_xlfn.MAXIFS(关卡产出!AC:AC,关卡产出!$A:$A,玩家节奏1!$O$6,关卡产出!$B:$B,玩家节奏1!$O90)+_xlfn.MAXIFS(关卡产出!AC:AC,关卡产出!$A:$A,玩家节奏1!$P$6,关卡产出!$B:$B,玩家节奏1!$P90)</f>
        <v>420</v>
      </c>
      <c r="W90" s="126">
        <f>INDEX(关卡产出!C$8:C$207,MATCH(玩家节奏1!$N90,关卡产出!$B$8:$B$207,0))*$K90</f>
        <v>270</v>
      </c>
      <c r="X90" s="126">
        <f>INDEX(关卡产出!D$8:D$207,MATCH(玩家节奏1!$N90,关卡产出!$B$8:$B$207,0))*$K90</f>
        <v>135</v>
      </c>
      <c r="Y90" s="126">
        <f>INDEX(关卡产出!E$8:E$207,MATCH(玩家节奏1!$N90,关卡产出!$B$8:$B$207,0))*$K90</f>
        <v>65</v>
      </c>
      <c r="Z90" s="144">
        <f>INDEX(关卡产出!F$8:F$207,MATCH(玩家节奏1!$N90,关卡产出!$B$8:$B$207,0))*$K90</f>
        <v>3750</v>
      </c>
      <c r="AA90" s="126">
        <f>SUM(W$7:W90)</f>
        <v>12636</v>
      </c>
      <c r="AB90" s="126">
        <f>SUM(X$7:X90)</f>
        <v>6216</v>
      </c>
      <c r="AC90" s="126">
        <f>SUM(Y$7:Y90)</f>
        <v>2852</v>
      </c>
      <c r="AD90" s="126">
        <f>SUM(Z$7:Z90)</f>
        <v>190260</v>
      </c>
      <c r="AE90" s="126">
        <f>INDEX(图鉴!AQ:AQ,MATCH($N90,图鉴!$S:$S,0))*8</f>
        <v>168</v>
      </c>
      <c r="AF90" s="90">
        <f>INDEX(图鉴!AR:AR,MATCH($N90,图鉴!$S:$S,0))*8</f>
        <v>112</v>
      </c>
      <c r="AG90" s="90">
        <f>INDEX(图鉴!AS:AS,MATCH($N90,图鉴!$S:$S,0))*8</f>
        <v>32</v>
      </c>
      <c r="AH90" s="129">
        <f ca="1">INDEX(图鉴!AT:AT,MATCH($N90,图鉴!$S:$S,0))*8</f>
        <v>7920</v>
      </c>
      <c r="AI90" s="128">
        <f>SUM($AE$7:AE90)</f>
        <v>11688</v>
      </c>
      <c r="AJ90" s="90">
        <f>SUM(AF$7:AF90)</f>
        <v>5888</v>
      </c>
      <c r="AK90" s="90">
        <f>SUM(AG$7:AG90)</f>
        <v>1888</v>
      </c>
      <c r="AL90" s="130">
        <f ca="1">SUM(AH$7:AH90)</f>
        <v>443080</v>
      </c>
      <c r="AM90" s="133">
        <f>IF(M90=0,0,INDEX(关卡产出!$AU$11:$AU$15,MATCH(玩家节奏1!N90,关卡产出!$AW$11:$AW$15,1))*M90)</f>
        <v>12200</v>
      </c>
      <c r="AN90" s="126">
        <f>IF(L90=0,0,$L90*关卡产出!AU$21)</f>
        <v>1000</v>
      </c>
      <c r="AO90" s="90">
        <f>IF(M90=0,0,$L90*关卡产出!AV$21)</f>
        <v>50</v>
      </c>
      <c r="AP90" s="129">
        <f>IF(N90=0,0,$L90*关卡产出!AW$21)</f>
        <v>1</v>
      </c>
      <c r="AQ90" s="138">
        <f>SUM(AN$7:AN90)</f>
        <v>67000</v>
      </c>
      <c r="AR90" s="126">
        <f>SUM(AO$7:AO90)</f>
        <v>3350</v>
      </c>
      <c r="AS90" s="129">
        <f>SUM(AP$7:AP90)</f>
        <v>67</v>
      </c>
      <c r="AT90" s="128">
        <v>500</v>
      </c>
      <c r="AU90" s="129">
        <v>100</v>
      </c>
      <c r="AV90" s="128">
        <f>SUM(AT$7:AT90)</f>
        <v>42000</v>
      </c>
      <c r="AW90" s="90">
        <f>SUM(AU$7:AU90)</f>
        <v>8400</v>
      </c>
      <c r="AY90" s="128">
        <f t="shared" si="91"/>
        <v>12500</v>
      </c>
      <c r="AZ90" s="90">
        <f t="shared" si="92"/>
        <v>3350</v>
      </c>
      <c r="BA90" s="90">
        <f t="shared" si="93"/>
        <v>8400</v>
      </c>
      <c r="BB90" s="90">
        <f t="shared" ca="1" si="143"/>
        <v>3800</v>
      </c>
      <c r="BC90" s="90">
        <f t="shared" ca="1" si="144"/>
        <v>28050</v>
      </c>
      <c r="BD90" s="90"/>
      <c r="BE90" s="90">
        <f t="shared" ca="1" si="94"/>
        <v>28050</v>
      </c>
      <c r="BF90" s="142">
        <f t="shared" ca="1" si="95"/>
        <v>0.44563279857397503</v>
      </c>
      <c r="BG90" s="142">
        <f t="shared" ca="1" si="96"/>
        <v>0.11942959001782531</v>
      </c>
      <c r="BH90" s="142">
        <f t="shared" ca="1" si="97"/>
        <v>0.29946524064171121</v>
      </c>
      <c r="BI90" s="142">
        <f t="shared" ca="1" si="98"/>
        <v>0.13547237076648841</v>
      </c>
      <c r="BJ90" s="143"/>
      <c r="BK90" s="128">
        <f ca="1">INDEX(商城宝箱!$L:$L,MATCH(BC90,商城宝箱!$N:$N,1))</f>
        <v>7</v>
      </c>
      <c r="BL90" s="90">
        <f ca="1">_xlfn.IFNA(INDEX(商城宝箱!T:T,MATCH(玩家节奏1!$BK90,商城宝箱!$L:$L,0)),0)+($BC90-INDEX(商城宝箱!$N:$N,MATCH(玩家节奏1!$BK90,商城宝箱!$L:$L,0)))/$BK$5*INDEX(商城宝箱!E$23:E$42,MATCH(玩家节奏1!$BK90+1,商城宝箱!$C$23:$C$42,0))</f>
        <v>70125</v>
      </c>
      <c r="BM90" s="90">
        <f ca="1">_xlfn.IFNA(INDEX(商城宝箱!U:U,MATCH(玩家节奏1!$BK90,商城宝箱!$L:$L,0)),0)+($BC90-INDEX(商城宝箱!$N:$N,MATCH(玩家节奏1!$BK90,商城宝箱!$L:$L,0)))/$BK$5*INDEX(商城宝箱!F$23:F$42,MATCH(玩家节奏1!$BK90+1,商城宝箱!$C$23:$C$42,0))</f>
        <v>29075</v>
      </c>
      <c r="BN90" s="90">
        <f ca="1">_xlfn.IFNA(INDEX(商城宝箱!V:V,MATCH(玩家节奏1!$BK90,商城宝箱!$L:$L,0)),0)+($BC90-INDEX(商城宝箱!$N:$N,MATCH(玩家节奏1!$BK90,商城宝箱!$L:$L,0)))/$BK$5*INDEX(商城宝箱!G$23:G$42,MATCH(玩家节奏1!$BK90+1,商城宝箱!$C$23:$C$42,0))</f>
        <v>17429.5</v>
      </c>
      <c r="BO90" s="90">
        <f ca="1">_xlfn.IFNA(INDEX(商城宝箱!W:W,MATCH(玩家节奏1!$BK90,商城宝箱!$L:$L,0)),0)+($BC90-INDEX(商城宝箱!$N:$N,MATCH(玩家节奏1!$BK90,商城宝箱!$L:$L,0)))/$BK$5*INDEX(商城宝箱!H$23:H$42,MATCH(玩家节奏1!$BK90+1,商城宝箱!$C$23:$C$42,0))</f>
        <v>2344</v>
      </c>
      <c r="BQ90" s="128">
        <f t="shared" si="82"/>
        <v>1340000</v>
      </c>
      <c r="BR90" s="90">
        <f t="shared" si="83"/>
        <v>190260</v>
      </c>
      <c r="BS90" s="90">
        <f t="shared" ca="1" si="84"/>
        <v>443080</v>
      </c>
      <c r="BT90" s="90">
        <f t="shared" si="85"/>
        <v>12200</v>
      </c>
      <c r="BU90" s="90">
        <f t="shared" si="86"/>
        <v>67000</v>
      </c>
      <c r="BV90" s="90">
        <f t="shared" si="87"/>
        <v>42000</v>
      </c>
      <c r="BW90" s="90">
        <f t="shared" ca="1" si="99"/>
        <v>70125</v>
      </c>
      <c r="BX90" s="90">
        <f t="shared" ca="1" si="100"/>
        <v>2164665</v>
      </c>
      <c r="BY90" s="142">
        <f t="shared" ca="1" si="101"/>
        <v>0.61903343011505241</v>
      </c>
      <c r="BZ90" s="142">
        <f t="shared" ca="1" si="102"/>
        <v>8.7893507771410362E-2</v>
      </c>
      <c r="CA90" s="142">
        <f t="shared" ca="1" si="103"/>
        <v>0.20468756135475927</v>
      </c>
      <c r="CB90" s="142">
        <f t="shared" ca="1" si="104"/>
        <v>5.6359760055251047E-3</v>
      </c>
      <c r="CC90" s="142">
        <f t="shared" ca="1" si="105"/>
        <v>3.0951671505752624E-2</v>
      </c>
      <c r="CD90" s="142">
        <f t="shared" ca="1" si="106"/>
        <v>1.9402540346889704E-2</v>
      </c>
      <c r="CE90" s="142">
        <f t="shared" ca="1" si="107"/>
        <v>3.2395312900610485E-2</v>
      </c>
      <c r="CG90" s="128">
        <f t="shared" si="108"/>
        <v>70</v>
      </c>
      <c r="CH90" s="90">
        <f ca="1">INDEX(角色升级!$A:$A,MATCH(玩家节奏1!$BX90,角色升级!$J:$J,1))</f>
        <v>427</v>
      </c>
      <c r="CI90" s="90">
        <f ca="1">INDEX(角色升级!$O:$O,MATCH(玩家节奏1!$BX90,角色升级!$J:$J,1))</f>
        <v>14008.845750000002</v>
      </c>
      <c r="CJ90" s="90">
        <f>INDEX(关卡对比!$J:$J,MATCH(玩家节奏1!N90,关卡对比!$A:$A,0))</f>
        <v>21200</v>
      </c>
      <c r="CK90" s="147">
        <f t="shared" ca="1" si="109"/>
        <v>1.5133295332343848</v>
      </c>
      <c r="CL90" s="128">
        <f ca="1">INDEX(角色升级!$P:$P,MATCH(玩家节奏1!$CH90,角色升级!$A:$A,0))</f>
        <v>3800</v>
      </c>
      <c r="CM90" s="90">
        <f ca="1">INDEX(角色升级!Q:Q,MATCH(玩家节奏1!$CH90,角色升级!$A:$A,0))</f>
        <v>0.6</v>
      </c>
      <c r="CO90" s="128">
        <f t="shared" si="110"/>
        <v>9446</v>
      </c>
      <c r="CP90" s="90">
        <f t="shared" si="111"/>
        <v>12636</v>
      </c>
      <c r="CQ90" s="90">
        <f t="shared" si="112"/>
        <v>11688</v>
      </c>
      <c r="CR90" s="90">
        <f t="shared" ca="1" si="113"/>
        <v>29075</v>
      </c>
      <c r="CS90" s="90">
        <f t="shared" ca="1" si="114"/>
        <v>62845</v>
      </c>
      <c r="CT90" s="142">
        <f t="shared" ca="1" si="115"/>
        <v>0.15030630917336305</v>
      </c>
      <c r="CU90" s="142">
        <f t="shared" ca="1" si="116"/>
        <v>0.20106611504495187</v>
      </c>
      <c r="CV90" s="142">
        <f t="shared" ca="1" si="117"/>
        <v>0.18598138276712547</v>
      </c>
      <c r="CW90" s="142">
        <f t="shared" ca="1" si="118"/>
        <v>0.46264619301455961</v>
      </c>
      <c r="CY90" s="128">
        <f t="shared" si="119"/>
        <v>4724</v>
      </c>
      <c r="CZ90" s="90">
        <f t="shared" si="120"/>
        <v>6216</v>
      </c>
      <c r="DA90" s="90">
        <f t="shared" si="121"/>
        <v>5888</v>
      </c>
      <c r="DB90" s="90">
        <f t="shared" ca="1" si="122"/>
        <v>17429.5</v>
      </c>
      <c r="DC90" s="90">
        <f t="shared" ca="1" si="123"/>
        <v>34257.5</v>
      </c>
      <c r="DD90" s="142">
        <f t="shared" ca="1" si="124"/>
        <v>0.13789681091731737</v>
      </c>
      <c r="DE90" s="142">
        <f t="shared" ca="1" si="125"/>
        <v>0.18144931766766401</v>
      </c>
      <c r="DF90" s="142">
        <f t="shared" ca="1" si="126"/>
        <v>0.17187477194774867</v>
      </c>
      <c r="DG90" s="142">
        <f t="shared" ca="1" si="127"/>
        <v>0.50877909946726996</v>
      </c>
      <c r="DI90" s="128">
        <f t="shared" si="128"/>
        <v>2148</v>
      </c>
      <c r="DJ90" s="90">
        <f t="shared" si="129"/>
        <v>2852</v>
      </c>
      <c r="DK90" s="90">
        <f t="shared" si="130"/>
        <v>1888</v>
      </c>
      <c r="DL90" s="90">
        <f t="shared" ca="1" si="131"/>
        <v>2344</v>
      </c>
      <c r="DM90" s="90">
        <f t="shared" ca="1" si="132"/>
        <v>9232</v>
      </c>
      <c r="DN90" s="142">
        <f t="shared" ca="1" si="133"/>
        <v>0.23266897746967072</v>
      </c>
      <c r="DO90" s="142">
        <f t="shared" ca="1" si="134"/>
        <v>0.30892547660311959</v>
      </c>
      <c r="DP90" s="142">
        <f t="shared" ca="1" si="135"/>
        <v>0.20450606585788561</v>
      </c>
      <c r="DQ90" s="142">
        <f t="shared" ca="1" si="136"/>
        <v>0.25389948006932411</v>
      </c>
      <c r="DS90" s="128">
        <f t="shared" ca="1" si="137"/>
        <v>62845</v>
      </c>
      <c r="DT90" s="90">
        <f t="shared" ca="1" si="138"/>
        <v>34257.5</v>
      </c>
      <c r="DU90" s="90">
        <f t="shared" ca="1" si="139"/>
        <v>9232</v>
      </c>
      <c r="DV90" s="90">
        <f t="shared" si="140"/>
        <v>67</v>
      </c>
      <c r="DW90" s="90">
        <f ca="1">_xlfn.IFNA(INDEX(武器升级消耗!$H:$H,MATCH(玩家节奏1!DS90/玩家节奏1!DS$5,武器升级消耗!M:M,1)),0)</f>
        <v>24</v>
      </c>
      <c r="DX90" s="90">
        <f ca="1">_xlfn.IFNA(INDEX(武器升级消耗!$H:$H,MATCH(玩家节奏1!DT90/玩家节奏1!DT$5,武器升级消耗!N:N,1)),0)</f>
        <v>21</v>
      </c>
      <c r="DY90" s="90">
        <f ca="1">_xlfn.IFNA(INDEX(武器升级消耗!$H:$H,MATCH(玩家节奏1!DU90/玩家节奏1!DU$5,武器升级消耗!O:O,1)),0)</f>
        <v>14</v>
      </c>
      <c r="DZ90" s="90">
        <f>_xlfn.IFNA(INDEX(武器升级消耗!$H:$H,MATCH(玩家节奏1!DV90/玩家节奏1!DV$5,武器升级消耗!P:P,1)),0)</f>
        <v>9</v>
      </c>
      <c r="EA90" s="90">
        <f ca="1">_xlfn.IFNA(INDEX(武器升级消耗!$Q:$Q,MATCH(玩家节奏1!DW90,武器升级消耗!$H:$H,0))*2*EA$4,0)</f>
        <v>3.36</v>
      </c>
      <c r="EB90" s="90">
        <f ca="1">_xlfn.IFNA(INDEX(武器升级消耗!$Q:$Q,MATCH(玩家节奏1!DX90,武器升级消耗!$H:$H,0))*2*EB$4,0)</f>
        <v>3.75</v>
      </c>
      <c r="EC90" s="90">
        <f ca="1">_xlfn.IFNA(INDEX(武器升级消耗!$Q:$Q,MATCH(玩家节奏1!DY90,武器升级消耗!$H:$H,0))*2*EC$4,1)</f>
        <v>3.9600000000000004</v>
      </c>
      <c r="ED90" s="90">
        <f>_xlfn.IFNA(INDEX(武器升级消耗!$Q:$Q,MATCH(玩家节奏1!DZ90,武器升级消耗!$H:$H,0))*2*ED$4,0)</f>
        <v>3.9000000000000004</v>
      </c>
      <c r="EF90" s="128"/>
      <c r="EG90" s="90"/>
      <c r="EH90" s="90"/>
      <c r="EI90" s="90"/>
      <c r="EJ90" s="90"/>
      <c r="EK90" s="90"/>
      <c r="EL90" s="90"/>
      <c r="EM90" s="90"/>
      <c r="EO90" s="128"/>
      <c r="EP90" s="90"/>
      <c r="EQ90" s="90"/>
      <c r="ER90" s="90"/>
      <c r="ES90" s="90"/>
      <c r="ET90" s="90"/>
      <c r="EU90" s="90"/>
      <c r="EV90" s="90"/>
      <c r="EW90" s="90"/>
      <c r="EX90" s="90"/>
      <c r="EY90" s="90"/>
      <c r="EZ90" s="90"/>
      <c r="FA90" s="90"/>
      <c r="FB90" s="90"/>
      <c r="FD90" s="90">
        <f t="shared" ca="1" si="141"/>
        <v>3.9600000000000004</v>
      </c>
      <c r="FE90" s="90"/>
      <c r="FF90" s="90"/>
      <c r="FG90" s="90">
        <f t="shared" ca="1" si="142"/>
        <v>0</v>
      </c>
    </row>
    <row r="91" spans="1:163" x14ac:dyDescent="0.25">
      <c r="A91" s="123">
        <v>85</v>
      </c>
      <c r="B91" s="123">
        <f>INDEX(关卡对比!$Y:$Y,MATCH(关卡对比!Z91,关卡对比!$AA:$AA,1))</f>
        <v>56</v>
      </c>
      <c r="C91" s="124">
        <f>INDEX(关卡对比!$Y:$Y,MATCH(关卡对比!Z91,关卡对比!$AB:$AB,1))</f>
        <v>46</v>
      </c>
      <c r="D91" s="125">
        <f t="shared" si="145"/>
        <v>530.5</v>
      </c>
      <c r="E91" s="125">
        <v>3</v>
      </c>
      <c r="F91" s="128">
        <v>5</v>
      </c>
      <c r="G91" s="90">
        <v>1</v>
      </c>
      <c r="H91" s="90">
        <v>1</v>
      </c>
      <c r="J91" s="128">
        <v>85</v>
      </c>
      <c r="K91" s="90">
        <f t="shared" si="88"/>
        <v>5</v>
      </c>
      <c r="L91" s="90">
        <f t="shared" si="89"/>
        <v>1</v>
      </c>
      <c r="M91" s="90">
        <f t="shared" si="90"/>
        <v>1</v>
      </c>
      <c r="N91" s="140">
        <f>INDEX($A:$A,MATCH(SUM($K$7:K91),$D:$D,1))</f>
        <v>70</v>
      </c>
      <c r="O91" s="140">
        <v>0</v>
      </c>
      <c r="P91" s="141">
        <v>0</v>
      </c>
      <c r="Q91" s="126">
        <f>_xlfn.MAXIFS(关卡产出!X:X,关卡产出!$A:$A,玩家节奏1!$N$6,关卡产出!$B:$B,玩家节奏1!$N91)+_xlfn.MAXIFS(关卡产出!X:X,关卡产出!$A:$A,玩家节奏1!$O$6,关卡产出!$B:$B,玩家节奏1!$O91)+_xlfn.MAXIFS(关卡产出!X:X,关卡产出!$A:$A,玩家节奏1!$P$6,关卡产出!$B:$B,玩家节奏1!$P91)</f>
        <v>12500</v>
      </c>
      <c r="R91" s="90">
        <f>_xlfn.MAXIFS(关卡产出!Y:Y,关卡产出!$A:$A,玩家节奏1!$N$6,关卡产出!$B:$B,玩家节奏1!$N91)+_xlfn.MAXIFS(关卡产出!Y:Y,关卡产出!$A:$A,玩家节奏1!$O$6,关卡产出!$B:$B,玩家节奏1!$O91)+_xlfn.MAXIFS(关卡产出!Y:Y,关卡产出!$A:$A,玩家节奏1!$P$6,关卡产出!$B:$B,玩家节奏1!$P91)</f>
        <v>1340000</v>
      </c>
      <c r="S91" s="90">
        <f>_xlfn.MAXIFS(关卡产出!Z:Z,关卡产出!$A:$A,玩家节奏1!$N$6,关卡产出!$B:$B,玩家节奏1!$N91)+_xlfn.MAXIFS(关卡产出!Z:Z,关卡产出!$A:$A,玩家节奏1!$O$6,关卡产出!$B:$B,玩家节奏1!$O91)+_xlfn.MAXIFS(关卡产出!Z:Z,关卡产出!$A:$A,玩家节奏1!$P$6,关卡产出!$B:$B,玩家节奏1!$P91)</f>
        <v>9446</v>
      </c>
      <c r="T91" s="90">
        <f>_xlfn.MAXIFS(关卡产出!AA:AA,关卡产出!$A:$A,玩家节奏1!$N$6,关卡产出!$B:$B,玩家节奏1!$N91)+_xlfn.MAXIFS(关卡产出!AA:AA,关卡产出!$A:$A,玩家节奏1!$O$6,关卡产出!$B:$B,玩家节奏1!$O91)+_xlfn.MAXIFS(关卡产出!AA:AA,关卡产出!$A:$A,玩家节奏1!$P$6,关卡产出!$B:$B,玩家节奏1!$P91)</f>
        <v>4724</v>
      </c>
      <c r="U91" s="90">
        <f>_xlfn.MAXIFS(关卡产出!AB:AB,关卡产出!$A:$A,玩家节奏1!$N$6,关卡产出!$B:$B,玩家节奏1!$N91)+_xlfn.MAXIFS(关卡产出!AB:AB,关卡产出!$A:$A,玩家节奏1!$O$6,关卡产出!$B:$B,玩家节奏1!$O91)+_xlfn.MAXIFS(关卡产出!AB:AB,关卡产出!$A:$A,玩家节奏1!$P$6,关卡产出!$B:$B,玩家节奏1!$P91)</f>
        <v>2148</v>
      </c>
      <c r="V91" s="130">
        <f>_xlfn.MAXIFS(关卡产出!AC:AC,关卡产出!$A:$A,玩家节奏1!$N$6,关卡产出!$B:$B,玩家节奏1!$N91)+_xlfn.MAXIFS(关卡产出!AC:AC,关卡产出!$A:$A,玩家节奏1!$O$6,关卡产出!$B:$B,玩家节奏1!$O91)+_xlfn.MAXIFS(关卡产出!AC:AC,关卡产出!$A:$A,玩家节奏1!$P$6,关卡产出!$B:$B,玩家节奏1!$P91)</f>
        <v>420</v>
      </c>
      <c r="W91" s="126">
        <f>INDEX(关卡产出!C$8:C$207,MATCH(玩家节奏1!$N91,关卡产出!$B$8:$B$207,0))*$K91</f>
        <v>270</v>
      </c>
      <c r="X91" s="126">
        <f>INDEX(关卡产出!D$8:D$207,MATCH(玩家节奏1!$N91,关卡产出!$B$8:$B$207,0))*$K91</f>
        <v>135</v>
      </c>
      <c r="Y91" s="126">
        <f>INDEX(关卡产出!E$8:E$207,MATCH(玩家节奏1!$N91,关卡产出!$B$8:$B$207,0))*$K91</f>
        <v>65</v>
      </c>
      <c r="Z91" s="144">
        <f>INDEX(关卡产出!F$8:F$207,MATCH(玩家节奏1!$N91,关卡产出!$B$8:$B$207,0))*$K91</f>
        <v>3750</v>
      </c>
      <c r="AA91" s="126">
        <f>SUM(W$7:W91)</f>
        <v>12906</v>
      </c>
      <c r="AB91" s="126">
        <f>SUM(X$7:X91)</f>
        <v>6351</v>
      </c>
      <c r="AC91" s="126">
        <f>SUM(Y$7:Y91)</f>
        <v>2917</v>
      </c>
      <c r="AD91" s="126">
        <f>SUM(Z$7:Z91)</f>
        <v>194010</v>
      </c>
      <c r="AE91" s="126">
        <f>INDEX(图鉴!AQ:AQ,MATCH($N91,图鉴!$S:$S,0))*8</f>
        <v>168</v>
      </c>
      <c r="AF91" s="90">
        <f>INDEX(图鉴!AR:AR,MATCH($N91,图鉴!$S:$S,0))*8</f>
        <v>112</v>
      </c>
      <c r="AG91" s="90">
        <f>INDEX(图鉴!AS:AS,MATCH($N91,图鉴!$S:$S,0))*8</f>
        <v>32</v>
      </c>
      <c r="AH91" s="129">
        <f ca="1">INDEX(图鉴!AT:AT,MATCH($N91,图鉴!$S:$S,0))*8</f>
        <v>7920</v>
      </c>
      <c r="AI91" s="128">
        <f>SUM($AE$7:AE91)</f>
        <v>11856</v>
      </c>
      <c r="AJ91" s="90">
        <f>SUM(AF$7:AF91)</f>
        <v>6000</v>
      </c>
      <c r="AK91" s="90">
        <f>SUM(AG$7:AG91)</f>
        <v>1920</v>
      </c>
      <c r="AL91" s="130">
        <f ca="1">SUM(AH$7:AH91)</f>
        <v>451000</v>
      </c>
      <c r="AM91" s="133">
        <f>IF(M91=0,0,INDEX(关卡产出!$AU$11:$AU$15,MATCH(玩家节奏1!N91,关卡产出!$AW$11:$AW$15,1))*M91)</f>
        <v>12200</v>
      </c>
      <c r="AN91" s="126">
        <f>IF(L91=0,0,$L91*关卡产出!AU$21)</f>
        <v>1000</v>
      </c>
      <c r="AO91" s="90">
        <f>IF(M91=0,0,$L91*关卡产出!AV$21)</f>
        <v>50</v>
      </c>
      <c r="AP91" s="129">
        <f>IF(N91=0,0,$L91*关卡产出!AW$21)</f>
        <v>1</v>
      </c>
      <c r="AQ91" s="138">
        <f>SUM(AN$7:AN91)</f>
        <v>68000</v>
      </c>
      <c r="AR91" s="126">
        <f>SUM(AO$7:AO91)</f>
        <v>3400</v>
      </c>
      <c r="AS91" s="129">
        <f>SUM(AP$7:AP91)</f>
        <v>68</v>
      </c>
      <c r="AT91" s="128">
        <v>500</v>
      </c>
      <c r="AU91" s="129">
        <v>100</v>
      </c>
      <c r="AV91" s="128">
        <f>SUM(AT$7:AT91)</f>
        <v>42500</v>
      </c>
      <c r="AW91" s="90">
        <f>SUM(AU$7:AU91)</f>
        <v>8500</v>
      </c>
      <c r="AY91" s="128">
        <f t="shared" si="91"/>
        <v>12500</v>
      </c>
      <c r="AZ91" s="90">
        <f t="shared" si="92"/>
        <v>3400</v>
      </c>
      <c r="BA91" s="90">
        <f t="shared" si="93"/>
        <v>8500</v>
      </c>
      <c r="BB91" s="90">
        <f t="shared" ca="1" si="143"/>
        <v>3800</v>
      </c>
      <c r="BC91" s="90">
        <f t="shared" ca="1" si="144"/>
        <v>28200</v>
      </c>
      <c r="BD91" s="90"/>
      <c r="BE91" s="90">
        <f t="shared" ca="1" si="94"/>
        <v>28200</v>
      </c>
      <c r="BF91" s="142">
        <f t="shared" ca="1" si="95"/>
        <v>0.4432624113475177</v>
      </c>
      <c r="BG91" s="142">
        <f t="shared" ca="1" si="96"/>
        <v>0.12056737588652482</v>
      </c>
      <c r="BH91" s="142">
        <f t="shared" ca="1" si="97"/>
        <v>0.30141843971631205</v>
      </c>
      <c r="BI91" s="142">
        <f t="shared" ca="1" si="98"/>
        <v>0.13475177304964539</v>
      </c>
      <c r="BJ91" s="143"/>
      <c r="BK91" s="128">
        <f ca="1">INDEX(商城宝箱!$L:$L,MATCH(BC91,商城宝箱!$N:$N,1))</f>
        <v>7</v>
      </c>
      <c r="BL91" s="90">
        <f ca="1">_xlfn.IFNA(INDEX(商城宝箱!T:T,MATCH(玩家节奏1!$BK91,商城宝箱!$L:$L,0)),0)+($BC91-INDEX(商城宝箱!$N:$N,MATCH(玩家节奏1!$BK91,商城宝箱!$L:$L,0)))/$BK$5*INDEX(商城宝箱!E$23:E$42,MATCH(玩家节奏1!$BK91+1,商城宝箱!$C$23:$C$42,0))</f>
        <v>70500</v>
      </c>
      <c r="BM91" s="90">
        <f ca="1">_xlfn.IFNA(INDEX(商城宝箱!U:U,MATCH(玩家节奏1!$BK91,商城宝箱!$L:$L,0)),0)+($BC91-INDEX(商城宝箱!$N:$N,MATCH(玩家节奏1!$BK91,商城宝箱!$L:$L,0)))/$BK$5*INDEX(商城宝箱!F$23:F$42,MATCH(玩家节奏1!$BK91+1,商城宝箱!$C$23:$C$42,0))</f>
        <v>29337.5</v>
      </c>
      <c r="BN91" s="90">
        <f ca="1">_xlfn.IFNA(INDEX(商城宝箱!V:V,MATCH(玩家节奏1!$BK91,商城宝箱!$L:$L,0)),0)+($BC91-INDEX(商城宝箱!$N:$N,MATCH(玩家节奏1!$BK91,商城宝箱!$L:$L,0)))/$BK$5*INDEX(商城宝箱!G$23:G$42,MATCH(玩家节奏1!$BK91+1,商城宝箱!$C$23:$C$42,0))</f>
        <v>17602</v>
      </c>
      <c r="BO91" s="90">
        <f ca="1">_xlfn.IFNA(INDEX(商城宝箱!W:W,MATCH(玩家节奏1!$BK91,商城宝箱!$L:$L,0)),0)+($BC91-INDEX(商城宝箱!$N:$N,MATCH(玩家节奏1!$BK91,商城宝箱!$L:$L,0)))/$BK$5*INDEX(商城宝箱!H$23:H$42,MATCH(玩家节奏1!$BK91+1,商城宝箱!$C$23:$C$42,0))</f>
        <v>2366.5</v>
      </c>
      <c r="BQ91" s="128">
        <f t="shared" si="82"/>
        <v>1340000</v>
      </c>
      <c r="BR91" s="90">
        <f t="shared" si="83"/>
        <v>194010</v>
      </c>
      <c r="BS91" s="90">
        <f t="shared" ca="1" si="84"/>
        <v>451000</v>
      </c>
      <c r="BT91" s="90">
        <f t="shared" si="85"/>
        <v>12200</v>
      </c>
      <c r="BU91" s="90">
        <f t="shared" si="86"/>
        <v>68000</v>
      </c>
      <c r="BV91" s="90">
        <f t="shared" si="87"/>
        <v>42500</v>
      </c>
      <c r="BW91" s="90">
        <f t="shared" ca="1" si="99"/>
        <v>70500</v>
      </c>
      <c r="BX91" s="90">
        <f t="shared" ca="1" si="100"/>
        <v>2178210</v>
      </c>
      <c r="BY91" s="142">
        <f t="shared" ca="1" si="101"/>
        <v>0.61518402725173427</v>
      </c>
      <c r="BZ91" s="142">
        <f t="shared" ca="1" si="102"/>
        <v>8.9068547109782806E-2</v>
      </c>
      <c r="CA91" s="142">
        <f t="shared" ca="1" si="103"/>
        <v>0.20705074350039712</v>
      </c>
      <c r="CB91" s="142">
        <f t="shared" ca="1" si="104"/>
        <v>5.6009292033366844E-3</v>
      </c>
      <c r="CC91" s="142">
        <f t="shared" ca="1" si="105"/>
        <v>3.1218293920237259E-2</v>
      </c>
      <c r="CD91" s="142">
        <f t="shared" ca="1" si="106"/>
        <v>1.9511433700148288E-2</v>
      </c>
      <c r="CE91" s="142">
        <f t="shared" ca="1" si="107"/>
        <v>3.2366025314363632E-2</v>
      </c>
      <c r="CG91" s="128">
        <f t="shared" si="108"/>
        <v>70</v>
      </c>
      <c r="CH91" s="90">
        <f ca="1">INDEX(角色升级!$A:$A,MATCH(玩家节奏1!$BX91,角色升级!$J:$J,1))</f>
        <v>428</v>
      </c>
      <c r="CI91" s="90">
        <f ca="1">INDEX(角色升级!$O:$O,MATCH(玩家节奏1!$BX91,角色升级!$J:$J,1))</f>
        <v>14191.569825000002</v>
      </c>
      <c r="CJ91" s="90">
        <f>INDEX(关卡对比!$J:$J,MATCH(玩家节奏1!N91,关卡对比!$A:$A,0))</f>
        <v>21200</v>
      </c>
      <c r="CK91" s="147">
        <f t="shared" ca="1" si="109"/>
        <v>1.4938446036219251</v>
      </c>
      <c r="CL91" s="128">
        <f ca="1">INDEX(角色升级!$P:$P,MATCH(玩家节奏1!$CH91,角色升级!$A:$A,0))</f>
        <v>3800</v>
      </c>
      <c r="CM91" s="90">
        <f ca="1">INDEX(角色升级!Q:Q,MATCH(玩家节奏1!$CH91,角色升级!$A:$A,0))</f>
        <v>0.6</v>
      </c>
      <c r="CO91" s="128">
        <f t="shared" si="110"/>
        <v>9446</v>
      </c>
      <c r="CP91" s="90">
        <f t="shared" si="111"/>
        <v>12906</v>
      </c>
      <c r="CQ91" s="90">
        <f t="shared" si="112"/>
        <v>11856</v>
      </c>
      <c r="CR91" s="90">
        <f t="shared" ca="1" si="113"/>
        <v>29337.5</v>
      </c>
      <c r="CS91" s="90">
        <f t="shared" ca="1" si="114"/>
        <v>63545.5</v>
      </c>
      <c r="CT91" s="142">
        <f t="shared" ca="1" si="115"/>
        <v>0.14864939295465454</v>
      </c>
      <c r="CU91" s="142">
        <f t="shared" ca="1" si="116"/>
        <v>0.20309856716840688</v>
      </c>
      <c r="CV91" s="142">
        <f t="shared" ca="1" si="117"/>
        <v>0.1865749738376439</v>
      </c>
      <c r="CW91" s="142">
        <f t="shared" ca="1" si="118"/>
        <v>0.4616770660392947</v>
      </c>
      <c r="CY91" s="128">
        <f t="shared" si="119"/>
        <v>4724</v>
      </c>
      <c r="CZ91" s="90">
        <f t="shared" si="120"/>
        <v>6351</v>
      </c>
      <c r="DA91" s="90">
        <f t="shared" si="121"/>
        <v>6000</v>
      </c>
      <c r="DB91" s="90">
        <f t="shared" ca="1" si="122"/>
        <v>17602</v>
      </c>
      <c r="DC91" s="90">
        <f t="shared" ca="1" si="123"/>
        <v>34677</v>
      </c>
      <c r="DD91" s="142">
        <f t="shared" ca="1" si="124"/>
        <v>0.13622862416010612</v>
      </c>
      <c r="DE91" s="142">
        <f t="shared" ca="1" si="125"/>
        <v>0.1831473310840038</v>
      </c>
      <c r="DF91" s="142">
        <f t="shared" ca="1" si="126"/>
        <v>0.17302534821351329</v>
      </c>
      <c r="DG91" s="142">
        <f t="shared" ca="1" si="127"/>
        <v>0.50759869654237677</v>
      </c>
      <c r="DI91" s="128">
        <f t="shared" si="128"/>
        <v>2148</v>
      </c>
      <c r="DJ91" s="90">
        <f t="shared" si="129"/>
        <v>2917</v>
      </c>
      <c r="DK91" s="90">
        <f t="shared" si="130"/>
        <v>1920</v>
      </c>
      <c r="DL91" s="90">
        <f t="shared" ca="1" si="131"/>
        <v>2366.5</v>
      </c>
      <c r="DM91" s="90">
        <f t="shared" ca="1" si="132"/>
        <v>9351.5</v>
      </c>
      <c r="DN91" s="142">
        <f t="shared" ca="1" si="133"/>
        <v>0.22969577073196815</v>
      </c>
      <c r="DO91" s="142">
        <f t="shared" ca="1" si="134"/>
        <v>0.31192856760947441</v>
      </c>
      <c r="DP91" s="142">
        <f t="shared" ca="1" si="135"/>
        <v>0.20531465540287655</v>
      </c>
      <c r="DQ91" s="142">
        <f t="shared" ca="1" si="136"/>
        <v>0.2530610062556809</v>
      </c>
      <c r="DS91" s="128">
        <f t="shared" ca="1" si="137"/>
        <v>63545.5</v>
      </c>
      <c r="DT91" s="90">
        <f t="shared" ca="1" si="138"/>
        <v>34677</v>
      </c>
      <c r="DU91" s="90">
        <f t="shared" ca="1" si="139"/>
        <v>9351.5</v>
      </c>
      <c r="DV91" s="90">
        <f t="shared" si="140"/>
        <v>68</v>
      </c>
      <c r="DW91" s="90">
        <f ca="1">_xlfn.IFNA(INDEX(武器升级消耗!$H:$H,MATCH(玩家节奏1!DS91/玩家节奏1!DS$5,武器升级消耗!M:M,1)),0)</f>
        <v>24</v>
      </c>
      <c r="DX91" s="90">
        <f ca="1">_xlfn.IFNA(INDEX(武器升级消耗!$H:$H,MATCH(玩家节奏1!DT91/玩家节奏1!DT$5,武器升级消耗!N:N,1)),0)</f>
        <v>21</v>
      </c>
      <c r="DY91" s="90">
        <f ca="1">_xlfn.IFNA(INDEX(武器升级消耗!$H:$H,MATCH(玩家节奏1!DU91/玩家节奏1!DU$5,武器升级消耗!O:O,1)),0)</f>
        <v>14</v>
      </c>
      <c r="DZ91" s="90">
        <f>_xlfn.IFNA(INDEX(武器升级消耗!$H:$H,MATCH(玩家节奏1!DV91/玩家节奏1!DV$5,武器升级消耗!P:P,1)),0)</f>
        <v>9</v>
      </c>
      <c r="EA91" s="90">
        <f ca="1">_xlfn.IFNA(INDEX(武器升级消耗!$Q:$Q,MATCH(玩家节奏1!DW91,武器升级消耗!$H:$H,0))*2*EA$4,0)</f>
        <v>3.36</v>
      </c>
      <c r="EB91" s="90">
        <f ca="1">_xlfn.IFNA(INDEX(武器升级消耗!$Q:$Q,MATCH(玩家节奏1!DX91,武器升级消耗!$H:$H,0))*2*EB$4,0)</f>
        <v>3.75</v>
      </c>
      <c r="EC91" s="90">
        <f ca="1">_xlfn.IFNA(INDEX(武器升级消耗!$Q:$Q,MATCH(玩家节奏1!DY91,武器升级消耗!$H:$H,0))*2*EC$4,1)</f>
        <v>3.9600000000000004</v>
      </c>
      <c r="ED91" s="90">
        <f>_xlfn.IFNA(INDEX(武器升级消耗!$Q:$Q,MATCH(玩家节奏1!DZ91,武器升级消耗!$H:$H,0))*2*ED$4,0)</f>
        <v>3.9000000000000004</v>
      </c>
      <c r="EF91" s="128"/>
      <c r="EG91" s="90"/>
      <c r="EH91" s="90"/>
      <c r="EI91" s="90"/>
      <c r="EJ91" s="90"/>
      <c r="EK91" s="90"/>
      <c r="EL91" s="90"/>
      <c r="EM91" s="90"/>
      <c r="EO91" s="128"/>
      <c r="EP91" s="90"/>
      <c r="EQ91" s="90"/>
      <c r="ER91" s="90"/>
      <c r="ES91" s="90"/>
      <c r="ET91" s="90"/>
      <c r="EU91" s="90"/>
      <c r="EV91" s="90"/>
      <c r="EW91" s="90"/>
      <c r="EX91" s="90"/>
      <c r="EY91" s="90"/>
      <c r="EZ91" s="90"/>
      <c r="FA91" s="90"/>
      <c r="FB91" s="90"/>
      <c r="FD91" s="90">
        <f t="shared" ca="1" si="141"/>
        <v>3.9600000000000004</v>
      </c>
      <c r="FE91" s="90"/>
      <c r="FF91" s="90"/>
      <c r="FG91" s="90">
        <f t="shared" ca="1" si="142"/>
        <v>0</v>
      </c>
    </row>
    <row r="92" spans="1:163" x14ac:dyDescent="0.25">
      <c r="A92" s="123">
        <v>86</v>
      </c>
      <c r="B92" s="123">
        <f>INDEX(关卡对比!$Y:$Y,MATCH(关卡对比!Z92,关卡对比!$AA:$AA,1))</f>
        <v>56</v>
      </c>
      <c r="C92" s="124">
        <f>INDEX(关卡对比!$Y:$Y,MATCH(关卡对比!Z92,关卡对比!$AB:$AB,1))</f>
        <v>47</v>
      </c>
      <c r="D92" s="125">
        <f t="shared" si="145"/>
        <v>536.5</v>
      </c>
      <c r="E92" s="125">
        <v>3</v>
      </c>
      <c r="F92" s="128">
        <v>5</v>
      </c>
      <c r="G92" s="90">
        <v>1</v>
      </c>
      <c r="H92" s="90">
        <v>1</v>
      </c>
      <c r="J92" s="128">
        <v>86</v>
      </c>
      <c r="K92" s="90">
        <f t="shared" si="88"/>
        <v>5</v>
      </c>
      <c r="L92" s="90">
        <f t="shared" si="89"/>
        <v>1</v>
      </c>
      <c r="M92" s="90">
        <f t="shared" si="90"/>
        <v>1</v>
      </c>
      <c r="N92" s="140">
        <f>INDEX($A:$A,MATCH(SUM($K$7:K92),$D:$D,1))</f>
        <v>71</v>
      </c>
      <c r="O92" s="140">
        <v>0</v>
      </c>
      <c r="P92" s="141">
        <v>0</v>
      </c>
      <c r="Q92" s="126">
        <f>_xlfn.MAXIFS(关卡产出!X:X,关卡产出!$A:$A,玩家节奏1!$N$6,关卡产出!$B:$B,玩家节奏1!$N92)+_xlfn.MAXIFS(关卡产出!X:X,关卡产出!$A:$A,玩家节奏1!$O$6,关卡产出!$B:$B,玩家节奏1!$O92)+_xlfn.MAXIFS(关卡产出!X:X,关卡产出!$A:$A,玩家节奏1!$P$6,关卡产出!$B:$B,玩家节奏1!$P92)</f>
        <v>12700</v>
      </c>
      <c r="R92" s="90">
        <f>_xlfn.MAXIFS(关卡产出!Y:Y,关卡产出!$A:$A,玩家节奏1!$N$6,关卡产出!$B:$B,玩家节奏1!$N92)+_xlfn.MAXIFS(关卡产出!Y:Y,关卡产出!$A:$A,玩家节奏1!$O$6,关卡产出!$B:$B,玩家节奏1!$O92)+_xlfn.MAXIFS(关卡产出!Y:Y,关卡产出!$A:$A,玩家节奏1!$P$6,关卡产出!$B:$B,玩家节奏1!$P92)</f>
        <v>1380300</v>
      </c>
      <c r="S92" s="90">
        <f>_xlfn.MAXIFS(关卡产出!Z:Z,关卡产出!$A:$A,玩家节奏1!$N$6,关卡产出!$B:$B,玩家节奏1!$N92)+_xlfn.MAXIFS(关卡产出!Z:Z,关卡产出!$A:$A,玩家节奏1!$O$6,关卡产出!$B:$B,玩家节奏1!$O92)+_xlfn.MAXIFS(关卡产出!Z:Z,关卡产出!$A:$A,玩家节奏1!$P$6,关卡产出!$B:$B,玩家节奏1!$P92)</f>
        <v>9722</v>
      </c>
      <c r="T92" s="90">
        <f>_xlfn.MAXIFS(关卡产出!AA:AA,关卡产出!$A:$A,玩家节奏1!$N$6,关卡产出!$B:$B,玩家节奏1!$N92)+_xlfn.MAXIFS(关卡产出!AA:AA,关卡产出!$A:$A,玩家节奏1!$O$6,关卡产出!$B:$B,玩家节奏1!$O92)+_xlfn.MAXIFS(关卡产出!AA:AA,关卡产出!$A:$A,玩家节奏1!$P$6,关卡产出!$B:$B,玩家节奏1!$P92)</f>
        <v>4862</v>
      </c>
      <c r="U92" s="90">
        <f>_xlfn.MAXIFS(关卡产出!AB:AB,关卡产出!$A:$A,玩家节奏1!$N$6,关卡产出!$B:$B,玩家节奏1!$N92)+_xlfn.MAXIFS(关卡产出!AB:AB,关卡产出!$A:$A,玩家节奏1!$O$6,关卡产出!$B:$B,玩家节奏1!$O92)+_xlfn.MAXIFS(关卡产出!AB:AB,关卡产出!$A:$A,玩家节奏1!$P$6,关卡产出!$B:$B,玩家节奏1!$P92)</f>
        <v>2214</v>
      </c>
      <c r="V92" s="130">
        <f>_xlfn.MAXIFS(关卡产出!AC:AC,关卡产出!$A:$A,玩家节奏1!$N$6,关卡产出!$B:$B,玩家节奏1!$N92)+_xlfn.MAXIFS(关卡产出!AC:AC,关卡产出!$A:$A,玩家节奏1!$O$6,关卡产出!$B:$B,玩家节奏1!$O92)+_xlfn.MAXIFS(关卡产出!AC:AC,关卡产出!$A:$A,玩家节奏1!$P$6,关卡产出!$B:$B,玩家节奏1!$P92)</f>
        <v>426</v>
      </c>
      <c r="W92" s="126">
        <f>INDEX(关卡产出!C$8:C$207,MATCH(玩家节奏1!$N92,关卡产出!$B$8:$B$207,0))*$K92</f>
        <v>275</v>
      </c>
      <c r="X92" s="126">
        <f>INDEX(关卡产出!D$8:D$207,MATCH(玩家节奏1!$N92,关卡产出!$B$8:$B$207,0))*$K92</f>
        <v>135</v>
      </c>
      <c r="Y92" s="126">
        <f>INDEX(关卡产出!E$8:E$207,MATCH(玩家节奏1!$N92,关卡产出!$B$8:$B$207,0))*$K92</f>
        <v>65</v>
      </c>
      <c r="Z92" s="144">
        <f>INDEX(关卡产出!F$8:F$207,MATCH(玩家节奏1!$N92,关卡产出!$B$8:$B$207,0))*$K92</f>
        <v>3850</v>
      </c>
      <c r="AA92" s="126">
        <f>SUM(W$7:W92)</f>
        <v>13181</v>
      </c>
      <c r="AB92" s="126">
        <f>SUM(X$7:X92)</f>
        <v>6486</v>
      </c>
      <c r="AC92" s="126">
        <f>SUM(Y$7:Y92)</f>
        <v>2982</v>
      </c>
      <c r="AD92" s="126">
        <f>SUM(Z$7:Z92)</f>
        <v>197860</v>
      </c>
      <c r="AE92" s="126">
        <f>INDEX(图鉴!AQ:AQ,MATCH($N92,图鉴!$S:$S,0))*8</f>
        <v>168</v>
      </c>
      <c r="AF92" s="90">
        <f>INDEX(图鉴!AR:AR,MATCH($N92,图鉴!$S:$S,0))*8</f>
        <v>112</v>
      </c>
      <c r="AG92" s="90">
        <f>INDEX(图鉴!AS:AS,MATCH($N92,图鉴!$S:$S,0))*8</f>
        <v>32</v>
      </c>
      <c r="AH92" s="129">
        <f ca="1">INDEX(图鉴!AT:AT,MATCH($N92,图鉴!$S:$S,0))*8</f>
        <v>7920</v>
      </c>
      <c r="AI92" s="128">
        <f>SUM($AE$7:AE92)</f>
        <v>12024</v>
      </c>
      <c r="AJ92" s="90">
        <f>SUM(AF$7:AF92)</f>
        <v>6112</v>
      </c>
      <c r="AK92" s="90">
        <f>SUM(AG$7:AG92)</f>
        <v>1952</v>
      </c>
      <c r="AL92" s="130">
        <f ca="1">SUM(AH$7:AH92)</f>
        <v>458920</v>
      </c>
      <c r="AM92" s="133">
        <f>IF(M92=0,0,INDEX(关卡产出!$AU$11:$AU$15,MATCH(玩家节奏1!N92,关卡产出!$AW$11:$AW$15,1))*M92)</f>
        <v>12200</v>
      </c>
      <c r="AN92" s="126">
        <f>IF(L92=0,0,$L92*关卡产出!AU$21)</f>
        <v>1000</v>
      </c>
      <c r="AO92" s="90">
        <f>IF(M92=0,0,$L92*关卡产出!AV$21)</f>
        <v>50</v>
      </c>
      <c r="AP92" s="129">
        <f>IF(N92=0,0,$L92*关卡产出!AW$21)</f>
        <v>1</v>
      </c>
      <c r="AQ92" s="138">
        <f>SUM(AN$7:AN92)</f>
        <v>69000</v>
      </c>
      <c r="AR92" s="126">
        <f>SUM(AO$7:AO92)</f>
        <v>3450</v>
      </c>
      <c r="AS92" s="129">
        <f>SUM(AP$7:AP92)</f>
        <v>69</v>
      </c>
      <c r="AT92" s="128">
        <v>500</v>
      </c>
      <c r="AU92" s="129">
        <v>100</v>
      </c>
      <c r="AV92" s="128">
        <f>SUM(AT$7:AT92)</f>
        <v>43000</v>
      </c>
      <c r="AW92" s="90">
        <f>SUM(AU$7:AU92)</f>
        <v>8600</v>
      </c>
      <c r="AY92" s="128">
        <f t="shared" si="91"/>
        <v>12700</v>
      </c>
      <c r="AZ92" s="90">
        <f t="shared" si="92"/>
        <v>3450</v>
      </c>
      <c r="BA92" s="90">
        <f t="shared" si="93"/>
        <v>8600</v>
      </c>
      <c r="BB92" s="90">
        <f t="shared" ca="1" si="143"/>
        <v>3800</v>
      </c>
      <c r="BC92" s="90">
        <f t="shared" ca="1" si="144"/>
        <v>28550</v>
      </c>
      <c r="BD92" s="90"/>
      <c r="BE92" s="90">
        <f t="shared" ca="1" si="94"/>
        <v>28550</v>
      </c>
      <c r="BF92" s="142">
        <f t="shared" ca="1" si="95"/>
        <v>0.44483362521891417</v>
      </c>
      <c r="BG92" s="142">
        <f t="shared" ca="1" si="96"/>
        <v>0.12084063047285463</v>
      </c>
      <c r="BH92" s="142">
        <f t="shared" ca="1" si="97"/>
        <v>0.30122591943957966</v>
      </c>
      <c r="BI92" s="142">
        <f t="shared" ca="1" si="98"/>
        <v>0.13309982486865149</v>
      </c>
      <c r="BJ92" s="143"/>
      <c r="BK92" s="128">
        <f ca="1">INDEX(商城宝箱!$L:$L,MATCH(BC92,商城宝箱!$N:$N,1))</f>
        <v>7</v>
      </c>
      <c r="BL92" s="90">
        <f ca="1">_xlfn.IFNA(INDEX(商城宝箱!T:T,MATCH(玩家节奏1!$BK92,商城宝箱!$L:$L,0)),0)+($BC92-INDEX(商城宝箱!$N:$N,MATCH(玩家节奏1!$BK92,商城宝箱!$L:$L,0)))/$BK$5*INDEX(商城宝箱!E$23:E$42,MATCH(玩家节奏1!$BK92+1,商城宝箱!$C$23:$C$42,0))</f>
        <v>71375</v>
      </c>
      <c r="BM92" s="90">
        <f ca="1">_xlfn.IFNA(INDEX(商城宝箱!U:U,MATCH(玩家节奏1!$BK92,商城宝箱!$L:$L,0)),0)+($BC92-INDEX(商城宝箱!$N:$N,MATCH(玩家节奏1!$BK92,商城宝箱!$L:$L,0)))/$BK$5*INDEX(商城宝箱!F$23:F$42,MATCH(玩家节奏1!$BK92+1,商城宝箱!$C$23:$C$42,0))</f>
        <v>29950</v>
      </c>
      <c r="BN92" s="90">
        <f ca="1">_xlfn.IFNA(INDEX(商城宝箱!V:V,MATCH(玩家节奏1!$BK92,商城宝箱!$L:$L,0)),0)+($BC92-INDEX(商城宝箱!$N:$N,MATCH(玩家节奏1!$BK92,商城宝箱!$L:$L,0)))/$BK$5*INDEX(商城宝箱!G$23:G$42,MATCH(玩家节奏1!$BK92+1,商城宝箱!$C$23:$C$42,0))</f>
        <v>18004.5</v>
      </c>
      <c r="BO92" s="90">
        <f ca="1">_xlfn.IFNA(INDEX(商城宝箱!W:W,MATCH(玩家节奏1!$BK92,商城宝箱!$L:$L,0)),0)+($BC92-INDEX(商城宝箱!$N:$N,MATCH(玩家节奏1!$BK92,商城宝箱!$L:$L,0)))/$BK$5*INDEX(商城宝箱!H$23:H$42,MATCH(玩家节奏1!$BK92+1,商城宝箱!$C$23:$C$42,0))</f>
        <v>2419</v>
      </c>
      <c r="BQ92" s="128">
        <f t="shared" si="82"/>
        <v>1380300</v>
      </c>
      <c r="BR92" s="90">
        <f t="shared" si="83"/>
        <v>197860</v>
      </c>
      <c r="BS92" s="90">
        <f t="shared" ca="1" si="84"/>
        <v>458920</v>
      </c>
      <c r="BT92" s="90">
        <f t="shared" si="85"/>
        <v>12200</v>
      </c>
      <c r="BU92" s="90">
        <f t="shared" si="86"/>
        <v>69000</v>
      </c>
      <c r="BV92" s="90">
        <f t="shared" si="87"/>
        <v>43000</v>
      </c>
      <c r="BW92" s="90">
        <f t="shared" ca="1" si="99"/>
        <v>71375</v>
      </c>
      <c r="BX92" s="90">
        <f t="shared" ca="1" si="100"/>
        <v>2232655</v>
      </c>
      <c r="BY92" s="142">
        <f t="shared" ca="1" si="101"/>
        <v>0.61823255272310318</v>
      </c>
      <c r="BZ92" s="142">
        <f t="shared" ca="1" si="102"/>
        <v>8.8620946809963921E-2</v>
      </c>
      <c r="CA92" s="142">
        <f t="shared" ca="1" si="103"/>
        <v>0.20554899883770666</v>
      </c>
      <c r="CB92" s="142">
        <f t="shared" ca="1" si="104"/>
        <v>5.4643462603940155E-3</v>
      </c>
      <c r="CC92" s="142">
        <f t="shared" ca="1" si="105"/>
        <v>3.0904909177638284E-2</v>
      </c>
      <c r="CD92" s="142">
        <f t="shared" ca="1" si="106"/>
        <v>1.925958108171661E-2</v>
      </c>
      <c r="CE92" s="142">
        <f t="shared" ca="1" si="107"/>
        <v>3.1968665109477282E-2</v>
      </c>
      <c r="CG92" s="128">
        <f t="shared" si="108"/>
        <v>71</v>
      </c>
      <c r="CH92" s="90">
        <f ca="1">INDEX(角色升级!$A:$A,MATCH(玩家节奏1!$BX92,角色升级!$J:$J,1))</f>
        <v>432</v>
      </c>
      <c r="CI92" s="90">
        <f ca="1">INDEX(角色升级!$O:$O,MATCH(玩家节奏1!$BX92,角色升级!$J:$J,1))</f>
        <v>14582.579025000003</v>
      </c>
      <c r="CJ92" s="90">
        <f>INDEX(关卡对比!$J:$J,MATCH(玩家节奏1!N92,关卡对比!$A:$A,0))</f>
        <v>21700</v>
      </c>
      <c r="CK92" s="147">
        <f t="shared" ca="1" si="109"/>
        <v>1.4880769692931595</v>
      </c>
      <c r="CL92" s="128">
        <f ca="1">INDEX(角色升级!$P:$P,MATCH(玩家节奏1!$CH92,角色升级!$A:$A,0))</f>
        <v>4450</v>
      </c>
      <c r="CM92" s="90">
        <f ca="1">INDEX(角色升级!Q:Q,MATCH(玩家节奏1!$CH92,角色升级!$A:$A,0))</f>
        <v>0.6</v>
      </c>
      <c r="CO92" s="128">
        <f t="shared" si="110"/>
        <v>9722</v>
      </c>
      <c r="CP92" s="90">
        <f t="shared" si="111"/>
        <v>13181</v>
      </c>
      <c r="CQ92" s="90">
        <f t="shared" si="112"/>
        <v>12024</v>
      </c>
      <c r="CR92" s="90">
        <f t="shared" ca="1" si="113"/>
        <v>29950</v>
      </c>
      <c r="CS92" s="90">
        <f t="shared" ca="1" si="114"/>
        <v>64877</v>
      </c>
      <c r="CT92" s="142">
        <f t="shared" ca="1" si="115"/>
        <v>0.1498527983723045</v>
      </c>
      <c r="CU92" s="142">
        <f t="shared" ca="1" si="116"/>
        <v>0.20316907378577925</v>
      </c>
      <c r="CV92" s="142">
        <f t="shared" ca="1" si="117"/>
        <v>0.18533532684926862</v>
      </c>
      <c r="CW92" s="142">
        <f t="shared" ca="1" si="118"/>
        <v>0.46164280099264765</v>
      </c>
      <c r="CY92" s="128">
        <f t="shared" si="119"/>
        <v>4862</v>
      </c>
      <c r="CZ92" s="90">
        <f t="shared" si="120"/>
        <v>6486</v>
      </c>
      <c r="DA92" s="90">
        <f t="shared" si="121"/>
        <v>6112</v>
      </c>
      <c r="DB92" s="90">
        <f t="shared" ca="1" si="122"/>
        <v>18004.5</v>
      </c>
      <c r="DC92" s="90">
        <f t="shared" ca="1" si="123"/>
        <v>35464.5</v>
      </c>
      <c r="DD92" s="142">
        <f t="shared" ca="1" si="124"/>
        <v>0.13709484132019342</v>
      </c>
      <c r="DE92" s="142">
        <f t="shared" ca="1" si="125"/>
        <v>0.18288711246457726</v>
      </c>
      <c r="DF92" s="142">
        <f t="shared" ca="1" si="126"/>
        <v>0.172341355439947</v>
      </c>
      <c r="DG92" s="142">
        <f t="shared" ca="1" si="127"/>
        <v>0.50767669077528232</v>
      </c>
      <c r="DI92" s="128">
        <f t="shared" si="128"/>
        <v>2214</v>
      </c>
      <c r="DJ92" s="90">
        <f t="shared" si="129"/>
        <v>2982</v>
      </c>
      <c r="DK92" s="90">
        <f t="shared" si="130"/>
        <v>1952</v>
      </c>
      <c r="DL92" s="90">
        <f t="shared" ca="1" si="131"/>
        <v>2419</v>
      </c>
      <c r="DM92" s="90">
        <f t="shared" ca="1" si="132"/>
        <v>9567</v>
      </c>
      <c r="DN92" s="142">
        <f t="shared" ca="1" si="133"/>
        <v>0.23142050799623706</v>
      </c>
      <c r="DO92" s="142">
        <f t="shared" ca="1" si="134"/>
        <v>0.31169645656945749</v>
      </c>
      <c r="DP92" s="142">
        <f t="shared" ca="1" si="135"/>
        <v>0.20403470262360196</v>
      </c>
      <c r="DQ92" s="142">
        <f t="shared" ca="1" si="136"/>
        <v>0.25284833281070346</v>
      </c>
      <c r="DS92" s="128">
        <f t="shared" ca="1" si="137"/>
        <v>64877</v>
      </c>
      <c r="DT92" s="90">
        <f t="shared" ca="1" si="138"/>
        <v>35464.5</v>
      </c>
      <c r="DU92" s="90">
        <f t="shared" ca="1" si="139"/>
        <v>9567</v>
      </c>
      <c r="DV92" s="90">
        <f t="shared" si="140"/>
        <v>69</v>
      </c>
      <c r="DW92" s="90">
        <f ca="1">_xlfn.IFNA(INDEX(武器升级消耗!$H:$H,MATCH(玩家节奏1!DS92/玩家节奏1!DS$5,武器升级消耗!M:M,1)),0)</f>
        <v>24</v>
      </c>
      <c r="DX92" s="90">
        <f ca="1">_xlfn.IFNA(INDEX(武器升级消耗!$H:$H,MATCH(玩家节奏1!DT92/玩家节奏1!DT$5,武器升级消耗!N:N,1)),0)</f>
        <v>21</v>
      </c>
      <c r="DY92" s="90">
        <f ca="1">_xlfn.IFNA(INDEX(武器升级消耗!$H:$H,MATCH(玩家节奏1!DU92/玩家节奏1!DU$5,武器升级消耗!O:O,1)),0)</f>
        <v>14</v>
      </c>
      <c r="DZ92" s="90">
        <f>_xlfn.IFNA(INDEX(武器升级消耗!$H:$H,MATCH(玩家节奏1!DV92/玩家节奏1!DV$5,武器升级消耗!P:P,1)),0)</f>
        <v>9</v>
      </c>
      <c r="EA92" s="90">
        <f ca="1">_xlfn.IFNA(INDEX(武器升级消耗!$Q:$Q,MATCH(玩家节奏1!DW92,武器升级消耗!$H:$H,0))*2*EA$4,0)</f>
        <v>3.36</v>
      </c>
      <c r="EB92" s="90">
        <f ca="1">_xlfn.IFNA(INDEX(武器升级消耗!$Q:$Q,MATCH(玩家节奏1!DX92,武器升级消耗!$H:$H,0))*2*EB$4,0)</f>
        <v>3.75</v>
      </c>
      <c r="EC92" s="90">
        <f ca="1">_xlfn.IFNA(INDEX(武器升级消耗!$Q:$Q,MATCH(玩家节奏1!DY92,武器升级消耗!$H:$H,0))*2*EC$4,1)</f>
        <v>3.9600000000000004</v>
      </c>
      <c r="ED92" s="90">
        <f>_xlfn.IFNA(INDEX(武器升级消耗!$Q:$Q,MATCH(玩家节奏1!DZ92,武器升级消耗!$H:$H,0))*2*ED$4,0)</f>
        <v>3.9000000000000004</v>
      </c>
      <c r="EF92" s="128"/>
      <c r="EG92" s="90"/>
      <c r="EH92" s="90"/>
      <c r="EI92" s="90"/>
      <c r="EJ92" s="90"/>
      <c r="EK92" s="90"/>
      <c r="EL92" s="90"/>
      <c r="EM92" s="90"/>
      <c r="EO92" s="128"/>
      <c r="EP92" s="90"/>
      <c r="EQ92" s="90"/>
      <c r="ER92" s="90"/>
      <c r="ES92" s="90"/>
      <c r="ET92" s="90"/>
      <c r="EU92" s="90"/>
      <c r="EV92" s="90"/>
      <c r="EW92" s="90"/>
      <c r="EX92" s="90"/>
      <c r="EY92" s="90"/>
      <c r="EZ92" s="90"/>
      <c r="FA92" s="90"/>
      <c r="FB92" s="90"/>
      <c r="FD92" s="90">
        <f t="shared" ca="1" si="141"/>
        <v>3.9600000000000004</v>
      </c>
      <c r="FE92" s="90"/>
      <c r="FF92" s="90"/>
      <c r="FG92" s="90">
        <f t="shared" ca="1" si="142"/>
        <v>0</v>
      </c>
    </row>
    <row r="93" spans="1:163" x14ac:dyDescent="0.25">
      <c r="A93" s="123">
        <v>87</v>
      </c>
      <c r="B93" s="123">
        <f>INDEX(关卡对比!$Y:$Y,MATCH(关卡对比!Z93,关卡对比!$AA:$AA,1))</f>
        <v>57</v>
      </c>
      <c r="C93" s="124">
        <f>INDEX(关卡对比!$Y:$Y,MATCH(关卡对比!Z93,关卡对比!$AB:$AB,1))</f>
        <v>47</v>
      </c>
      <c r="D93" s="125">
        <f t="shared" si="145"/>
        <v>542.5</v>
      </c>
      <c r="E93" s="125">
        <v>3</v>
      </c>
      <c r="F93" s="128">
        <v>5</v>
      </c>
      <c r="G93" s="90">
        <v>1</v>
      </c>
      <c r="H93" s="90">
        <v>1</v>
      </c>
      <c r="J93" s="128">
        <v>87</v>
      </c>
      <c r="K93" s="90">
        <f t="shared" si="88"/>
        <v>5</v>
      </c>
      <c r="L93" s="90">
        <f t="shared" si="89"/>
        <v>1</v>
      </c>
      <c r="M93" s="90">
        <f t="shared" si="90"/>
        <v>1</v>
      </c>
      <c r="N93" s="140">
        <f>INDEX($A:$A,MATCH(SUM($K$7:K93),$D:$D,1))</f>
        <v>72</v>
      </c>
      <c r="O93" s="140">
        <v>0</v>
      </c>
      <c r="P93" s="141">
        <v>0</v>
      </c>
      <c r="Q93" s="126">
        <f>_xlfn.MAXIFS(关卡产出!X:X,关卡产出!$A:$A,玩家节奏1!$N$6,关卡产出!$B:$B,玩家节奏1!$N93)+_xlfn.MAXIFS(关卡产出!X:X,关卡产出!$A:$A,玩家节奏1!$O$6,关卡产出!$B:$B,玩家节奏1!$O93)+_xlfn.MAXIFS(关卡产出!X:X,关卡产出!$A:$A,玩家节奏1!$P$6,关卡产出!$B:$B,玩家节奏1!$P93)</f>
        <v>12900</v>
      </c>
      <c r="R93" s="90">
        <f>_xlfn.MAXIFS(关卡产出!Y:Y,关卡产出!$A:$A,玩家节奏1!$N$6,关卡产出!$B:$B,玩家节奏1!$N93)+_xlfn.MAXIFS(关卡产出!Y:Y,关卡产出!$A:$A,玩家节奏1!$O$6,关卡产出!$B:$B,玩家节奏1!$O93)+_xlfn.MAXIFS(关卡产出!Y:Y,关卡产出!$A:$A,玩家节奏1!$P$6,关卡产出!$B:$B,玩家节奏1!$P93)</f>
        <v>1421200</v>
      </c>
      <c r="S93" s="90">
        <f>_xlfn.MAXIFS(关卡产出!Z:Z,关卡产出!$A:$A,玩家节奏1!$N$6,关卡产出!$B:$B,玩家节奏1!$N93)+_xlfn.MAXIFS(关卡产出!Z:Z,关卡产出!$A:$A,玩家节奏1!$O$6,关卡产出!$B:$B,玩家节奏1!$O93)+_xlfn.MAXIFS(关卡产出!Z:Z,关卡产出!$A:$A,玩家节奏1!$P$6,关卡产出!$B:$B,玩家节奏1!$P93)</f>
        <v>10002</v>
      </c>
      <c r="T93" s="90">
        <f>_xlfn.MAXIFS(关卡产出!AA:AA,关卡产出!$A:$A,玩家节奏1!$N$6,关卡产出!$B:$B,玩家节奏1!$N93)+_xlfn.MAXIFS(关卡产出!AA:AA,关卡产出!$A:$A,玩家节奏1!$O$6,关卡产出!$B:$B,玩家节奏1!$O93)+_xlfn.MAXIFS(关卡产出!AA:AA,关卡产出!$A:$A,玩家节奏1!$P$6,关卡产出!$B:$B,玩家节奏1!$P93)</f>
        <v>5002</v>
      </c>
      <c r="U93" s="90">
        <f>_xlfn.MAXIFS(关卡产出!AB:AB,关卡产出!$A:$A,玩家节奏1!$N$6,关卡产出!$B:$B,玩家节奏1!$N93)+_xlfn.MAXIFS(关卡产出!AB:AB,关卡产出!$A:$A,玩家节奏1!$O$6,关卡产出!$B:$B,玩家节奏1!$O93)+_xlfn.MAXIFS(关卡产出!AB:AB,关卡产出!$A:$A,玩家节奏1!$P$6,关卡产出!$B:$B,玩家节奏1!$P93)</f>
        <v>2281</v>
      </c>
      <c r="V93" s="130">
        <f>_xlfn.MAXIFS(关卡产出!AC:AC,关卡产出!$A:$A,玩家节奏1!$N$6,关卡产出!$B:$B,玩家节奏1!$N93)+_xlfn.MAXIFS(关卡产出!AC:AC,关卡产出!$A:$A,玩家节奏1!$O$6,关卡产出!$B:$B,玩家节奏1!$O93)+_xlfn.MAXIFS(关卡产出!AC:AC,关卡产出!$A:$A,玩家节奏1!$P$6,关卡产出!$B:$B,玩家节奏1!$P93)</f>
        <v>432</v>
      </c>
      <c r="W93" s="126">
        <f>INDEX(关卡产出!C$8:C$207,MATCH(玩家节奏1!$N93,关卡产出!$B$8:$B$207,0))*$K93</f>
        <v>280</v>
      </c>
      <c r="X93" s="126">
        <f>INDEX(关卡产出!D$8:D$207,MATCH(玩家节奏1!$N93,关卡产出!$B$8:$B$207,0))*$K93</f>
        <v>140</v>
      </c>
      <c r="Y93" s="126">
        <f>INDEX(关卡产出!E$8:E$207,MATCH(玩家节奏1!$N93,关卡产出!$B$8:$B$207,0))*$K93</f>
        <v>65</v>
      </c>
      <c r="Z93" s="144">
        <f>INDEX(关卡产出!F$8:F$207,MATCH(玩家节奏1!$N93,关卡产出!$B$8:$B$207,0))*$K93</f>
        <v>3850</v>
      </c>
      <c r="AA93" s="126">
        <f>SUM(W$7:W93)</f>
        <v>13461</v>
      </c>
      <c r="AB93" s="126">
        <f>SUM(X$7:X93)</f>
        <v>6626</v>
      </c>
      <c r="AC93" s="126">
        <f>SUM(Y$7:Y93)</f>
        <v>3047</v>
      </c>
      <c r="AD93" s="126">
        <f>SUM(Z$7:Z93)</f>
        <v>201710</v>
      </c>
      <c r="AE93" s="126">
        <f>INDEX(图鉴!AQ:AQ,MATCH($N93,图鉴!$S:$S,0))*8</f>
        <v>168</v>
      </c>
      <c r="AF93" s="90">
        <f>INDEX(图鉴!AR:AR,MATCH($N93,图鉴!$S:$S,0))*8</f>
        <v>112</v>
      </c>
      <c r="AG93" s="90">
        <f>INDEX(图鉴!AS:AS,MATCH($N93,图鉴!$S:$S,0))*8</f>
        <v>32</v>
      </c>
      <c r="AH93" s="129">
        <f ca="1">INDEX(图鉴!AT:AT,MATCH($N93,图鉴!$S:$S,0))*8</f>
        <v>7920</v>
      </c>
      <c r="AI93" s="128">
        <f>SUM($AE$7:AE93)</f>
        <v>12192</v>
      </c>
      <c r="AJ93" s="90">
        <f>SUM(AF$7:AF93)</f>
        <v>6224</v>
      </c>
      <c r="AK93" s="90">
        <f>SUM(AG$7:AG93)</f>
        <v>1984</v>
      </c>
      <c r="AL93" s="130">
        <f ca="1">SUM(AH$7:AH93)</f>
        <v>466840</v>
      </c>
      <c r="AM93" s="133">
        <f>IF(M93=0,0,INDEX(关卡产出!$AU$11:$AU$15,MATCH(玩家节奏1!N93,关卡产出!$AW$11:$AW$15,1))*M93)</f>
        <v>12200</v>
      </c>
      <c r="AN93" s="126">
        <f>IF(L93=0,0,$L93*关卡产出!AU$21)</f>
        <v>1000</v>
      </c>
      <c r="AO93" s="90">
        <f>IF(M93=0,0,$L93*关卡产出!AV$21)</f>
        <v>50</v>
      </c>
      <c r="AP93" s="129">
        <f>IF(N93=0,0,$L93*关卡产出!AW$21)</f>
        <v>1</v>
      </c>
      <c r="AQ93" s="138">
        <f>SUM(AN$7:AN93)</f>
        <v>70000</v>
      </c>
      <c r="AR93" s="126">
        <f>SUM(AO$7:AO93)</f>
        <v>3500</v>
      </c>
      <c r="AS93" s="129">
        <f>SUM(AP$7:AP93)</f>
        <v>70</v>
      </c>
      <c r="AT93" s="128">
        <v>500</v>
      </c>
      <c r="AU93" s="129">
        <v>100</v>
      </c>
      <c r="AV93" s="128">
        <f>SUM(AT$7:AT93)</f>
        <v>43500</v>
      </c>
      <c r="AW93" s="90">
        <f>SUM(AU$7:AU93)</f>
        <v>8700</v>
      </c>
      <c r="AY93" s="128">
        <f t="shared" si="91"/>
        <v>12900</v>
      </c>
      <c r="AZ93" s="90">
        <f t="shared" si="92"/>
        <v>3500</v>
      </c>
      <c r="BA93" s="90">
        <f t="shared" si="93"/>
        <v>8700</v>
      </c>
      <c r="BB93" s="90">
        <f t="shared" ca="1" si="143"/>
        <v>4450</v>
      </c>
      <c r="BC93" s="90">
        <f t="shared" ca="1" si="144"/>
        <v>29550</v>
      </c>
      <c r="BD93" s="90"/>
      <c r="BE93" s="90">
        <f t="shared" ca="1" si="94"/>
        <v>29550</v>
      </c>
      <c r="BF93" s="142">
        <f t="shared" ca="1" si="95"/>
        <v>0.43654822335025378</v>
      </c>
      <c r="BG93" s="142">
        <f t="shared" ca="1" si="96"/>
        <v>0.11844331641285956</v>
      </c>
      <c r="BH93" s="142">
        <f t="shared" ca="1" si="97"/>
        <v>0.29441624365482233</v>
      </c>
      <c r="BI93" s="142">
        <f t="shared" ca="1" si="98"/>
        <v>0.15059221658206429</v>
      </c>
      <c r="BJ93" s="143"/>
      <c r="BK93" s="128">
        <f ca="1">INDEX(商城宝箱!$L:$L,MATCH(BC93,商城宝箱!$N:$N,1))</f>
        <v>7</v>
      </c>
      <c r="BL93" s="90">
        <f ca="1">_xlfn.IFNA(INDEX(商城宝箱!T:T,MATCH(玩家节奏1!$BK93,商城宝箱!$L:$L,0)),0)+($BC93-INDEX(商城宝箱!$N:$N,MATCH(玩家节奏1!$BK93,商城宝箱!$L:$L,0)))/$BK$5*INDEX(商城宝箱!E$23:E$42,MATCH(玩家节奏1!$BK93+1,商城宝箱!$C$23:$C$42,0))</f>
        <v>73875</v>
      </c>
      <c r="BM93" s="90">
        <f ca="1">_xlfn.IFNA(INDEX(商城宝箱!U:U,MATCH(玩家节奏1!$BK93,商城宝箱!$L:$L,0)),0)+($BC93-INDEX(商城宝箱!$N:$N,MATCH(玩家节奏1!$BK93,商城宝箱!$L:$L,0)))/$BK$5*INDEX(商城宝箱!F$23:F$42,MATCH(玩家节奏1!$BK93+1,商城宝箱!$C$23:$C$42,0))</f>
        <v>31700</v>
      </c>
      <c r="BN93" s="90">
        <f ca="1">_xlfn.IFNA(INDEX(商城宝箱!V:V,MATCH(玩家节奏1!$BK93,商城宝箱!$L:$L,0)),0)+($BC93-INDEX(商城宝箱!$N:$N,MATCH(玩家节奏1!$BK93,商城宝箱!$L:$L,0)))/$BK$5*INDEX(商城宝箱!G$23:G$42,MATCH(玩家节奏1!$BK93+1,商城宝箱!$C$23:$C$42,0))</f>
        <v>19154.5</v>
      </c>
      <c r="BO93" s="90">
        <f ca="1">_xlfn.IFNA(INDEX(商城宝箱!W:W,MATCH(玩家节奏1!$BK93,商城宝箱!$L:$L,0)),0)+($BC93-INDEX(商城宝箱!$N:$N,MATCH(玩家节奏1!$BK93,商城宝箱!$L:$L,0)))/$BK$5*INDEX(商城宝箱!H$23:H$42,MATCH(玩家节奏1!$BK93+1,商城宝箱!$C$23:$C$42,0))</f>
        <v>2569</v>
      </c>
      <c r="BQ93" s="128">
        <f t="shared" si="82"/>
        <v>1421200</v>
      </c>
      <c r="BR93" s="90">
        <f t="shared" si="83"/>
        <v>201710</v>
      </c>
      <c r="BS93" s="90">
        <f t="shared" ca="1" si="84"/>
        <v>466840</v>
      </c>
      <c r="BT93" s="90">
        <f t="shared" si="85"/>
        <v>12200</v>
      </c>
      <c r="BU93" s="90">
        <f t="shared" si="86"/>
        <v>70000</v>
      </c>
      <c r="BV93" s="90">
        <f t="shared" si="87"/>
        <v>43500</v>
      </c>
      <c r="BW93" s="90">
        <f t="shared" ca="1" si="99"/>
        <v>73875</v>
      </c>
      <c r="BX93" s="90">
        <f t="shared" ca="1" si="100"/>
        <v>2289325</v>
      </c>
      <c r="BY93" s="142">
        <f t="shared" ca="1" si="101"/>
        <v>0.62079433894270142</v>
      </c>
      <c r="BZ93" s="142">
        <f t="shared" ca="1" si="102"/>
        <v>8.810894040819893E-2</v>
      </c>
      <c r="CA93" s="142">
        <f t="shared" ca="1" si="103"/>
        <v>0.20392036954124032</v>
      </c>
      <c r="CB93" s="142">
        <f t="shared" ca="1" si="104"/>
        <v>5.3290817162263988E-3</v>
      </c>
      <c r="CC93" s="142">
        <f t="shared" ca="1" si="105"/>
        <v>3.0576698371790813E-2</v>
      </c>
      <c r="CD93" s="142">
        <f t="shared" ca="1" si="106"/>
        <v>1.9001233988184291E-2</v>
      </c>
      <c r="CE93" s="142">
        <f t="shared" ca="1" si="107"/>
        <v>3.2269337031657803E-2</v>
      </c>
      <c r="CG93" s="128">
        <f t="shared" si="108"/>
        <v>72</v>
      </c>
      <c r="CH93" s="90">
        <f ca="1">INDEX(角色升级!$A:$A,MATCH(玩家节奏1!$BX93,角色升级!$J:$J,1))</f>
        <v>437</v>
      </c>
      <c r="CI93" s="90">
        <f ca="1">INDEX(角色升级!$O:$O,MATCH(玩家节奏1!$BX93,角色升级!$J:$J,1))</f>
        <v>14646.48165</v>
      </c>
      <c r="CJ93" s="90">
        <f>INDEX(关卡对比!$J:$J,MATCH(玩家节奏1!N93,关卡对比!$A:$A,0))</f>
        <v>22200</v>
      </c>
      <c r="CK93" s="147">
        <f t="shared" ca="1" si="109"/>
        <v>1.5157223782818858</v>
      </c>
      <c r="CL93" s="128">
        <f ca="1">INDEX(角色升级!$P:$P,MATCH(玩家节奏1!$CH93,角色升级!$A:$A,0))</f>
        <v>4450</v>
      </c>
      <c r="CM93" s="90">
        <f ca="1">INDEX(角色升级!Q:Q,MATCH(玩家节奏1!$CH93,角色升级!$A:$A,0))</f>
        <v>0.6</v>
      </c>
      <c r="CO93" s="128">
        <f t="shared" si="110"/>
        <v>10002</v>
      </c>
      <c r="CP93" s="90">
        <f t="shared" si="111"/>
        <v>13461</v>
      </c>
      <c r="CQ93" s="90">
        <f t="shared" si="112"/>
        <v>12192</v>
      </c>
      <c r="CR93" s="90">
        <f t="shared" ca="1" si="113"/>
        <v>31700</v>
      </c>
      <c r="CS93" s="90">
        <f t="shared" ca="1" si="114"/>
        <v>67355</v>
      </c>
      <c r="CT93" s="142">
        <f t="shared" ca="1" si="115"/>
        <v>0.14849677084106599</v>
      </c>
      <c r="CU93" s="142">
        <f t="shared" ca="1" si="116"/>
        <v>0.19985153292257443</v>
      </c>
      <c r="CV93" s="142">
        <f t="shared" ca="1" si="117"/>
        <v>0.1810110607972682</v>
      </c>
      <c r="CW93" s="142">
        <f t="shared" ca="1" si="118"/>
        <v>0.4706406354390914</v>
      </c>
      <c r="CY93" s="128">
        <f t="shared" si="119"/>
        <v>5002</v>
      </c>
      <c r="CZ93" s="90">
        <f t="shared" si="120"/>
        <v>6626</v>
      </c>
      <c r="DA93" s="90">
        <f t="shared" si="121"/>
        <v>6224</v>
      </c>
      <c r="DB93" s="90">
        <f t="shared" ca="1" si="122"/>
        <v>19154.5</v>
      </c>
      <c r="DC93" s="90">
        <f t="shared" ca="1" si="123"/>
        <v>37006.5</v>
      </c>
      <c r="DD93" s="142">
        <f t="shared" ca="1" si="124"/>
        <v>0.13516544390850255</v>
      </c>
      <c r="DE93" s="142">
        <f t="shared" ca="1" si="125"/>
        <v>0.1790496264169808</v>
      </c>
      <c r="DF93" s="142">
        <f t="shared" ca="1" si="126"/>
        <v>0.16818666990934025</v>
      </c>
      <c r="DG93" s="142">
        <f t="shared" ca="1" si="127"/>
        <v>0.51759825976517637</v>
      </c>
      <c r="DI93" s="128">
        <f t="shared" si="128"/>
        <v>2281</v>
      </c>
      <c r="DJ93" s="90">
        <f t="shared" si="129"/>
        <v>3047</v>
      </c>
      <c r="DK93" s="90">
        <f t="shared" si="130"/>
        <v>1984</v>
      </c>
      <c r="DL93" s="90">
        <f t="shared" ca="1" si="131"/>
        <v>2569</v>
      </c>
      <c r="DM93" s="90">
        <f t="shared" ca="1" si="132"/>
        <v>9881</v>
      </c>
      <c r="DN93" s="142">
        <f t="shared" ca="1" si="133"/>
        <v>0.23084708025503492</v>
      </c>
      <c r="DO93" s="142">
        <f t="shared" ca="1" si="134"/>
        <v>0.30836959821880378</v>
      </c>
      <c r="DP93" s="142">
        <f t="shared" ca="1" si="135"/>
        <v>0.20078939378605404</v>
      </c>
      <c r="DQ93" s="142">
        <f t="shared" ca="1" si="136"/>
        <v>0.25999392774010727</v>
      </c>
      <c r="DS93" s="128">
        <f t="shared" ca="1" si="137"/>
        <v>67355</v>
      </c>
      <c r="DT93" s="90">
        <f t="shared" ca="1" si="138"/>
        <v>37006.5</v>
      </c>
      <c r="DU93" s="90">
        <f t="shared" ca="1" si="139"/>
        <v>9881</v>
      </c>
      <c r="DV93" s="90">
        <f t="shared" si="140"/>
        <v>70</v>
      </c>
      <c r="DW93" s="90">
        <f ca="1">_xlfn.IFNA(INDEX(武器升级消耗!$H:$H,MATCH(玩家节奏1!DS93/玩家节奏1!DS$5,武器升级消耗!M:M,1)),0)</f>
        <v>24</v>
      </c>
      <c r="DX93" s="90">
        <f ca="1">_xlfn.IFNA(INDEX(武器升级消耗!$H:$H,MATCH(玩家节奏1!DT93/玩家节奏1!DT$5,武器升级消耗!N:N,1)),0)</f>
        <v>21</v>
      </c>
      <c r="DY93" s="90">
        <f ca="1">_xlfn.IFNA(INDEX(武器升级消耗!$H:$H,MATCH(玩家节奏1!DU93/玩家节奏1!DU$5,武器升级消耗!O:O,1)),0)</f>
        <v>14</v>
      </c>
      <c r="DZ93" s="90">
        <f>_xlfn.IFNA(INDEX(武器升级消耗!$H:$H,MATCH(玩家节奏1!DV93/玩家节奏1!DV$5,武器升级消耗!P:P,1)),0)</f>
        <v>9</v>
      </c>
      <c r="EA93" s="90">
        <f ca="1">_xlfn.IFNA(INDEX(武器升级消耗!$Q:$Q,MATCH(玩家节奏1!DW93,武器升级消耗!$H:$H,0))*2*EA$4,0)</f>
        <v>3.36</v>
      </c>
      <c r="EB93" s="90">
        <f ca="1">_xlfn.IFNA(INDEX(武器升级消耗!$Q:$Q,MATCH(玩家节奏1!DX93,武器升级消耗!$H:$H,0))*2*EB$4,0)</f>
        <v>3.75</v>
      </c>
      <c r="EC93" s="90">
        <f ca="1">_xlfn.IFNA(INDEX(武器升级消耗!$Q:$Q,MATCH(玩家节奏1!DY93,武器升级消耗!$H:$H,0))*2*EC$4,1)</f>
        <v>3.9600000000000004</v>
      </c>
      <c r="ED93" s="90">
        <f>_xlfn.IFNA(INDEX(武器升级消耗!$Q:$Q,MATCH(玩家节奏1!DZ93,武器升级消耗!$H:$H,0))*2*ED$4,0)</f>
        <v>3.9000000000000004</v>
      </c>
      <c r="EF93" s="128"/>
      <c r="EG93" s="90"/>
      <c r="EH93" s="90"/>
      <c r="EI93" s="90"/>
      <c r="EJ93" s="90"/>
      <c r="EK93" s="90"/>
      <c r="EL93" s="90"/>
      <c r="EM93" s="90"/>
      <c r="EO93" s="128"/>
      <c r="EP93" s="90"/>
      <c r="EQ93" s="90"/>
      <c r="ER93" s="90"/>
      <c r="ES93" s="90"/>
      <c r="ET93" s="90"/>
      <c r="EU93" s="90"/>
      <c r="EV93" s="90"/>
      <c r="EW93" s="90"/>
      <c r="EX93" s="90"/>
      <c r="EY93" s="90"/>
      <c r="EZ93" s="90"/>
      <c r="FA93" s="90"/>
      <c r="FB93" s="90"/>
      <c r="FD93" s="90">
        <f t="shared" ca="1" si="141"/>
        <v>3.9600000000000004</v>
      </c>
      <c r="FE93" s="90"/>
      <c r="FF93" s="90"/>
      <c r="FG93" s="90">
        <f t="shared" ca="1" si="142"/>
        <v>0</v>
      </c>
    </row>
    <row r="94" spans="1:163" x14ac:dyDescent="0.25">
      <c r="A94" s="123">
        <v>88</v>
      </c>
      <c r="B94" s="123">
        <f>INDEX(关卡对比!$Y:$Y,MATCH(关卡对比!Z94,关卡对比!$AA:$AA,1))</f>
        <v>57</v>
      </c>
      <c r="C94" s="124">
        <f>INDEX(关卡对比!$Y:$Y,MATCH(关卡对比!Z94,关卡对比!$AB:$AB,1))</f>
        <v>47</v>
      </c>
      <c r="D94" s="125">
        <f t="shared" si="145"/>
        <v>545.5</v>
      </c>
      <c r="E94" s="125">
        <v>3</v>
      </c>
      <c r="F94" s="128">
        <v>5</v>
      </c>
      <c r="G94" s="90">
        <v>1</v>
      </c>
      <c r="H94" s="90">
        <v>1</v>
      </c>
      <c r="J94" s="128">
        <v>88</v>
      </c>
      <c r="K94" s="90">
        <f t="shared" si="88"/>
        <v>5</v>
      </c>
      <c r="L94" s="90">
        <f t="shared" si="89"/>
        <v>1</v>
      </c>
      <c r="M94" s="90">
        <f t="shared" si="90"/>
        <v>1</v>
      </c>
      <c r="N94" s="140">
        <f>INDEX($A:$A,MATCH(SUM($K$7:K94),$D:$D,1))</f>
        <v>73</v>
      </c>
      <c r="O94" s="140">
        <v>0</v>
      </c>
      <c r="P94" s="141">
        <v>0</v>
      </c>
      <c r="Q94" s="126">
        <f>_xlfn.MAXIFS(关卡产出!X:X,关卡产出!$A:$A,玩家节奏1!$N$6,关卡产出!$B:$B,玩家节奏1!$N94)+_xlfn.MAXIFS(关卡产出!X:X,关卡产出!$A:$A,玩家节奏1!$O$6,关卡产出!$B:$B,玩家节奏1!$O94)+_xlfn.MAXIFS(关卡产出!X:X,关卡产出!$A:$A,玩家节奏1!$P$6,关卡产出!$B:$B,玩家节奏1!$P94)</f>
        <v>13100</v>
      </c>
      <c r="R94" s="90">
        <f>_xlfn.MAXIFS(关卡产出!Y:Y,关卡产出!$A:$A,玩家节奏1!$N$6,关卡产出!$B:$B,玩家节奏1!$N94)+_xlfn.MAXIFS(关卡产出!Y:Y,关卡产出!$A:$A,玩家节奏1!$O$6,关卡产出!$B:$B,玩家节奏1!$O94)+_xlfn.MAXIFS(关卡产出!Y:Y,关卡产出!$A:$A,玩家节奏1!$P$6,关卡产出!$B:$B,玩家节奏1!$P94)</f>
        <v>1462700</v>
      </c>
      <c r="S94" s="90">
        <f>_xlfn.MAXIFS(关卡产出!Z:Z,关卡产出!$A:$A,玩家节奏1!$N$6,关卡产出!$B:$B,玩家节奏1!$N94)+_xlfn.MAXIFS(关卡产出!Z:Z,关卡产出!$A:$A,玩家节奏1!$O$6,关卡产出!$B:$B,玩家节奏1!$O94)+_xlfn.MAXIFS(关卡产出!Z:Z,关卡产出!$A:$A,玩家节奏1!$P$6,关卡产出!$B:$B,玩家节奏1!$P94)</f>
        <v>10286</v>
      </c>
      <c r="T94" s="90">
        <f>_xlfn.MAXIFS(关卡产出!AA:AA,关卡产出!$A:$A,玩家节奏1!$N$6,关卡产出!$B:$B,玩家节奏1!$N94)+_xlfn.MAXIFS(关卡产出!AA:AA,关卡产出!$A:$A,玩家节奏1!$O$6,关卡产出!$B:$B,玩家节奏1!$O94)+_xlfn.MAXIFS(关卡产出!AA:AA,关卡产出!$A:$A,玩家节奏1!$P$6,关卡产出!$B:$B,玩家节奏1!$P94)</f>
        <v>5144</v>
      </c>
      <c r="U94" s="90">
        <f>_xlfn.MAXIFS(关卡产出!AB:AB,关卡产出!$A:$A,玩家节奏1!$N$6,关卡产出!$B:$B,玩家节奏1!$N94)+_xlfn.MAXIFS(关卡产出!AB:AB,关卡产出!$A:$A,玩家节奏1!$O$6,关卡产出!$B:$B,玩家节奏1!$O94)+_xlfn.MAXIFS(关卡产出!AB:AB,关卡产出!$A:$A,玩家节奏1!$P$6,关卡产出!$B:$B,玩家节奏1!$P94)</f>
        <v>2349</v>
      </c>
      <c r="V94" s="130">
        <f>_xlfn.MAXIFS(关卡产出!AC:AC,关卡产出!$A:$A,玩家节奏1!$N$6,关卡产出!$B:$B,玩家节奏1!$N94)+_xlfn.MAXIFS(关卡产出!AC:AC,关卡产出!$A:$A,玩家节奏1!$O$6,关卡产出!$B:$B,玩家节奏1!$O94)+_xlfn.MAXIFS(关卡产出!AC:AC,关卡产出!$A:$A,玩家节奏1!$P$6,关卡产出!$B:$B,玩家节奏1!$P94)</f>
        <v>438</v>
      </c>
      <c r="W94" s="126">
        <f>INDEX(关卡产出!C$8:C$207,MATCH(玩家节奏1!$N94,关卡产出!$B$8:$B$207,0))*$K94</f>
        <v>285</v>
      </c>
      <c r="X94" s="126">
        <f>INDEX(关卡产出!D$8:D$207,MATCH(玩家节奏1!$N94,关卡产出!$B$8:$B$207,0))*$K94</f>
        <v>140</v>
      </c>
      <c r="Y94" s="126">
        <f>INDEX(关卡产出!E$8:E$207,MATCH(玩家节奏1!$N94,关卡产出!$B$8:$B$207,0))*$K94</f>
        <v>70</v>
      </c>
      <c r="Z94" s="144">
        <f>INDEX(关卡产出!F$8:F$207,MATCH(玩家节奏1!$N94,关卡产出!$B$8:$B$207,0))*$K94</f>
        <v>3950</v>
      </c>
      <c r="AA94" s="126">
        <f>SUM(W$7:W94)</f>
        <v>13746</v>
      </c>
      <c r="AB94" s="126">
        <f>SUM(X$7:X94)</f>
        <v>6766</v>
      </c>
      <c r="AC94" s="126">
        <f>SUM(Y$7:Y94)</f>
        <v>3117</v>
      </c>
      <c r="AD94" s="126">
        <f>SUM(Z$7:Z94)</f>
        <v>205660</v>
      </c>
      <c r="AE94" s="126">
        <f>INDEX(图鉴!AQ:AQ,MATCH($N94,图鉴!$S:$S,0))*8</f>
        <v>168</v>
      </c>
      <c r="AF94" s="90">
        <f>INDEX(图鉴!AR:AR,MATCH($N94,图鉴!$S:$S,0))*8</f>
        <v>112</v>
      </c>
      <c r="AG94" s="90">
        <f>INDEX(图鉴!AS:AS,MATCH($N94,图鉴!$S:$S,0))*8</f>
        <v>40</v>
      </c>
      <c r="AH94" s="129">
        <f ca="1">INDEX(图鉴!AT:AT,MATCH($N94,图鉴!$S:$S,0))*8</f>
        <v>8120</v>
      </c>
      <c r="AI94" s="128">
        <f>SUM($AE$7:AE94)</f>
        <v>12360</v>
      </c>
      <c r="AJ94" s="90">
        <f>SUM(AF$7:AF94)</f>
        <v>6336</v>
      </c>
      <c r="AK94" s="90">
        <f>SUM(AG$7:AG94)</f>
        <v>2024</v>
      </c>
      <c r="AL94" s="130">
        <f ca="1">SUM(AH$7:AH94)</f>
        <v>474960</v>
      </c>
      <c r="AM94" s="133">
        <f>IF(M94=0,0,INDEX(关卡产出!$AU$11:$AU$15,MATCH(玩家节奏1!N94,关卡产出!$AW$11:$AW$15,1))*M94)</f>
        <v>12200</v>
      </c>
      <c r="AN94" s="126">
        <f>IF(L94=0,0,$L94*关卡产出!AU$21)</f>
        <v>1000</v>
      </c>
      <c r="AO94" s="90">
        <f>IF(M94=0,0,$L94*关卡产出!AV$21)</f>
        <v>50</v>
      </c>
      <c r="AP94" s="129">
        <f>IF(N94=0,0,$L94*关卡产出!AW$21)</f>
        <v>1</v>
      </c>
      <c r="AQ94" s="138">
        <f>SUM(AN$7:AN94)</f>
        <v>71000</v>
      </c>
      <c r="AR94" s="126">
        <f>SUM(AO$7:AO94)</f>
        <v>3550</v>
      </c>
      <c r="AS94" s="129">
        <f>SUM(AP$7:AP94)</f>
        <v>71</v>
      </c>
      <c r="AT94" s="128">
        <v>500</v>
      </c>
      <c r="AU94" s="129">
        <v>100</v>
      </c>
      <c r="AV94" s="128">
        <f>SUM(AT$7:AT94)</f>
        <v>44000</v>
      </c>
      <c r="AW94" s="90">
        <f>SUM(AU$7:AU94)</f>
        <v>8800</v>
      </c>
      <c r="AY94" s="128">
        <f t="shared" si="91"/>
        <v>13100</v>
      </c>
      <c r="AZ94" s="90">
        <f t="shared" si="92"/>
        <v>3550</v>
      </c>
      <c r="BA94" s="90">
        <f t="shared" si="93"/>
        <v>8800</v>
      </c>
      <c r="BB94" s="90">
        <f t="shared" ca="1" si="143"/>
        <v>4450</v>
      </c>
      <c r="BC94" s="90">
        <f t="shared" ca="1" si="144"/>
        <v>29900</v>
      </c>
      <c r="BD94" s="90"/>
      <c r="BE94" s="90">
        <f t="shared" ca="1" si="94"/>
        <v>29900</v>
      </c>
      <c r="BF94" s="142">
        <f t="shared" ca="1" si="95"/>
        <v>0.43812709030100333</v>
      </c>
      <c r="BG94" s="142">
        <f t="shared" ca="1" si="96"/>
        <v>0.11872909698996656</v>
      </c>
      <c r="BH94" s="142">
        <f t="shared" ca="1" si="97"/>
        <v>0.29431438127090304</v>
      </c>
      <c r="BI94" s="142">
        <f t="shared" ca="1" si="98"/>
        <v>0.1488294314381271</v>
      </c>
      <c r="BJ94" s="143"/>
      <c r="BK94" s="128">
        <f ca="1">INDEX(商城宝箱!$L:$L,MATCH(BC94,商城宝箱!$N:$N,1))</f>
        <v>7</v>
      </c>
      <c r="BL94" s="90">
        <f ca="1">_xlfn.IFNA(INDEX(商城宝箱!T:T,MATCH(玩家节奏1!$BK94,商城宝箱!$L:$L,0)),0)+($BC94-INDEX(商城宝箱!$N:$N,MATCH(玩家节奏1!$BK94,商城宝箱!$L:$L,0)))/$BK$5*INDEX(商城宝箱!E$23:E$42,MATCH(玩家节奏1!$BK94+1,商城宝箱!$C$23:$C$42,0))</f>
        <v>74750</v>
      </c>
      <c r="BM94" s="90">
        <f ca="1">_xlfn.IFNA(INDEX(商城宝箱!U:U,MATCH(玩家节奏1!$BK94,商城宝箱!$L:$L,0)),0)+($BC94-INDEX(商城宝箱!$N:$N,MATCH(玩家节奏1!$BK94,商城宝箱!$L:$L,0)))/$BK$5*INDEX(商城宝箱!F$23:F$42,MATCH(玩家节奏1!$BK94+1,商城宝箱!$C$23:$C$42,0))</f>
        <v>32312.5</v>
      </c>
      <c r="BN94" s="90">
        <f ca="1">_xlfn.IFNA(INDEX(商城宝箱!V:V,MATCH(玩家节奏1!$BK94,商城宝箱!$L:$L,0)),0)+($BC94-INDEX(商城宝箱!$N:$N,MATCH(玩家节奏1!$BK94,商城宝箱!$L:$L,0)))/$BK$5*INDEX(商城宝箱!G$23:G$42,MATCH(玩家节奏1!$BK94+1,商城宝箱!$C$23:$C$42,0))</f>
        <v>19557</v>
      </c>
      <c r="BO94" s="90">
        <f ca="1">_xlfn.IFNA(INDEX(商城宝箱!W:W,MATCH(玩家节奏1!$BK94,商城宝箱!$L:$L,0)),0)+($BC94-INDEX(商城宝箱!$N:$N,MATCH(玩家节奏1!$BK94,商城宝箱!$L:$L,0)))/$BK$5*INDEX(商城宝箱!H$23:H$42,MATCH(玩家节奏1!$BK94+1,商城宝箱!$C$23:$C$42,0))</f>
        <v>2621.5</v>
      </c>
      <c r="BQ94" s="128">
        <f t="shared" si="82"/>
        <v>1462700</v>
      </c>
      <c r="BR94" s="90">
        <f t="shared" si="83"/>
        <v>205660</v>
      </c>
      <c r="BS94" s="90">
        <f t="shared" ca="1" si="84"/>
        <v>474960</v>
      </c>
      <c r="BT94" s="90">
        <f t="shared" si="85"/>
        <v>12200</v>
      </c>
      <c r="BU94" s="90">
        <f t="shared" si="86"/>
        <v>71000</v>
      </c>
      <c r="BV94" s="90">
        <f t="shared" si="87"/>
        <v>44000</v>
      </c>
      <c r="BW94" s="90">
        <f t="shared" ca="1" si="99"/>
        <v>74750</v>
      </c>
      <c r="BX94" s="90">
        <f t="shared" ca="1" si="100"/>
        <v>2345270</v>
      </c>
      <c r="BY94" s="142">
        <f t="shared" ca="1" si="101"/>
        <v>0.62368085550917374</v>
      </c>
      <c r="BZ94" s="142">
        <f t="shared" ca="1" si="102"/>
        <v>8.7691395873396236E-2</v>
      </c>
      <c r="CA94" s="142">
        <f t="shared" ca="1" si="103"/>
        <v>0.20251826015767907</v>
      </c>
      <c r="CB94" s="142">
        <f t="shared" ca="1" si="104"/>
        <v>5.2019596890763107E-3</v>
      </c>
      <c r="CC94" s="142">
        <f t="shared" ca="1" si="105"/>
        <v>3.0273699829870333E-2</v>
      </c>
      <c r="CD94" s="142">
        <f t="shared" ca="1" si="106"/>
        <v>1.8761166091750631E-2</v>
      </c>
      <c r="CE94" s="142">
        <f t="shared" ca="1" si="107"/>
        <v>3.1872662849053629E-2</v>
      </c>
      <c r="CG94" s="128">
        <f t="shared" si="108"/>
        <v>73</v>
      </c>
      <c r="CH94" s="90">
        <f ca="1">INDEX(角色升级!$A:$A,MATCH(玩家节奏1!$BX94,角色升级!$J:$J,1))</f>
        <v>442</v>
      </c>
      <c r="CI94" s="90">
        <f ca="1">INDEX(角色升级!$O:$O,MATCH(玩家节奏1!$BX94,角色升级!$J:$J,1))</f>
        <v>14698.553775000002</v>
      </c>
      <c r="CJ94" s="90">
        <f>INDEX(关卡对比!$J:$J,MATCH(玩家节奏1!N94,关卡对比!$A:$A,0))</f>
        <v>22700</v>
      </c>
      <c r="CK94" s="147">
        <f t="shared" ca="1" si="109"/>
        <v>1.5443696262559679</v>
      </c>
      <c r="CL94" s="128">
        <f ca="1">INDEX(角色升级!$P:$P,MATCH(玩家节奏1!$CH94,角色升级!$A:$A,0))</f>
        <v>4450</v>
      </c>
      <c r="CM94" s="90">
        <f ca="1">INDEX(角色升级!Q:Q,MATCH(玩家节奏1!$CH94,角色升级!$A:$A,0))</f>
        <v>0.7</v>
      </c>
      <c r="CO94" s="128">
        <f t="shared" si="110"/>
        <v>10286</v>
      </c>
      <c r="CP94" s="90">
        <f t="shared" si="111"/>
        <v>13746</v>
      </c>
      <c r="CQ94" s="90">
        <f t="shared" si="112"/>
        <v>12360</v>
      </c>
      <c r="CR94" s="90">
        <f t="shared" ca="1" si="113"/>
        <v>32312.5</v>
      </c>
      <c r="CS94" s="90">
        <f t="shared" ca="1" si="114"/>
        <v>68704.5</v>
      </c>
      <c r="CT94" s="142">
        <f t="shared" ca="1" si="115"/>
        <v>0.149713628656056</v>
      </c>
      <c r="CU94" s="142">
        <f t="shared" ca="1" si="116"/>
        <v>0.20007423094557125</v>
      </c>
      <c r="CV94" s="142">
        <f t="shared" ca="1" si="117"/>
        <v>0.17990087985503134</v>
      </c>
      <c r="CW94" s="142">
        <f t="shared" ca="1" si="118"/>
        <v>0.47031126054334144</v>
      </c>
      <c r="CY94" s="128">
        <f t="shared" si="119"/>
        <v>5144</v>
      </c>
      <c r="CZ94" s="90">
        <f t="shared" si="120"/>
        <v>6766</v>
      </c>
      <c r="DA94" s="90">
        <f t="shared" si="121"/>
        <v>6336</v>
      </c>
      <c r="DB94" s="90">
        <f t="shared" ca="1" si="122"/>
        <v>19557</v>
      </c>
      <c r="DC94" s="90">
        <f t="shared" ca="1" si="123"/>
        <v>37803</v>
      </c>
      <c r="DD94" s="142">
        <f t="shared" ca="1" si="124"/>
        <v>0.13607385657222973</v>
      </c>
      <c r="DE94" s="142">
        <f t="shared" ca="1" si="125"/>
        <v>0.17898050419278894</v>
      </c>
      <c r="DF94" s="142">
        <f t="shared" ca="1" si="126"/>
        <v>0.16760574557574795</v>
      </c>
      <c r="DG94" s="142">
        <f t="shared" ca="1" si="127"/>
        <v>0.51733989365923339</v>
      </c>
      <c r="DI94" s="128">
        <f t="shared" si="128"/>
        <v>2349</v>
      </c>
      <c r="DJ94" s="90">
        <f t="shared" si="129"/>
        <v>3117</v>
      </c>
      <c r="DK94" s="90">
        <f t="shared" si="130"/>
        <v>2024</v>
      </c>
      <c r="DL94" s="90">
        <f t="shared" ca="1" si="131"/>
        <v>2621.5</v>
      </c>
      <c r="DM94" s="90">
        <f t="shared" ca="1" si="132"/>
        <v>10111.5</v>
      </c>
      <c r="DN94" s="142">
        <f t="shared" ca="1" si="133"/>
        <v>0.23230974632843793</v>
      </c>
      <c r="DO94" s="142">
        <f t="shared" ca="1" si="134"/>
        <v>0.30826286901053257</v>
      </c>
      <c r="DP94" s="142">
        <f t="shared" ca="1" si="135"/>
        <v>0.20016812540177026</v>
      </c>
      <c r="DQ94" s="142">
        <f t="shared" ca="1" si="136"/>
        <v>0.25925925925925924</v>
      </c>
      <c r="DS94" s="128">
        <f t="shared" ca="1" si="137"/>
        <v>68704.5</v>
      </c>
      <c r="DT94" s="90">
        <f t="shared" ca="1" si="138"/>
        <v>37803</v>
      </c>
      <c r="DU94" s="90">
        <f t="shared" ca="1" si="139"/>
        <v>10111.5</v>
      </c>
      <c r="DV94" s="90">
        <f t="shared" si="140"/>
        <v>71</v>
      </c>
      <c r="DW94" s="90">
        <f ca="1">_xlfn.IFNA(INDEX(武器升级消耗!$H:$H,MATCH(玩家节奏1!DS94/玩家节奏1!DS$5,武器升级消耗!M:M,1)),0)</f>
        <v>25</v>
      </c>
      <c r="DX94" s="90">
        <f ca="1">_xlfn.IFNA(INDEX(武器升级消耗!$H:$H,MATCH(玩家节奏1!DT94/玩家节奏1!DT$5,武器升级消耗!N:N,1)),0)</f>
        <v>22</v>
      </c>
      <c r="DY94" s="90">
        <f ca="1">_xlfn.IFNA(INDEX(武器升级消耗!$H:$H,MATCH(玩家节奏1!DU94/玩家节奏1!DU$5,武器升级消耗!O:O,1)),0)</f>
        <v>14</v>
      </c>
      <c r="DZ94" s="90">
        <f>_xlfn.IFNA(INDEX(武器升级消耗!$H:$H,MATCH(玩家节奏1!DV94/玩家节奏1!DV$5,武器升级消耗!P:P,1)),0)</f>
        <v>9</v>
      </c>
      <c r="EA94" s="90">
        <f ca="1">_xlfn.IFNA(INDEX(武器升级消耗!$Q:$Q,MATCH(玩家节奏1!DW94,武器升级消耗!$H:$H,0))*2*EA$4,0)</f>
        <v>3.48</v>
      </c>
      <c r="EB94" s="90">
        <f ca="1">_xlfn.IFNA(INDEX(武器升级消耗!$Q:$Q,MATCH(玩家节奏1!DX94,武器升级消耗!$H:$H,0))*2*EB$4,0)</f>
        <v>3.9000000000000004</v>
      </c>
      <c r="EC94" s="90">
        <f ca="1">_xlfn.IFNA(INDEX(武器升级消耗!$Q:$Q,MATCH(玩家节奏1!DY94,武器升级消耗!$H:$H,0))*2*EC$4,1)</f>
        <v>3.9600000000000004</v>
      </c>
      <c r="ED94" s="90">
        <f>_xlfn.IFNA(INDEX(武器升级消耗!$Q:$Q,MATCH(玩家节奏1!DZ94,武器升级消耗!$H:$H,0))*2*ED$4,0)</f>
        <v>3.9000000000000004</v>
      </c>
      <c r="EF94" s="128"/>
      <c r="EG94" s="90"/>
      <c r="EH94" s="90"/>
      <c r="EI94" s="90"/>
      <c r="EJ94" s="90"/>
      <c r="EK94" s="90"/>
      <c r="EL94" s="90"/>
      <c r="EM94" s="90"/>
      <c r="EO94" s="128"/>
      <c r="EP94" s="90"/>
      <c r="EQ94" s="90"/>
      <c r="ER94" s="90"/>
      <c r="ES94" s="90"/>
      <c r="ET94" s="90"/>
      <c r="EU94" s="90"/>
      <c r="EV94" s="90"/>
      <c r="EW94" s="90"/>
      <c r="EX94" s="90"/>
      <c r="EY94" s="90"/>
      <c r="EZ94" s="90"/>
      <c r="FA94" s="90"/>
      <c r="FB94" s="90"/>
      <c r="FD94" s="90">
        <f t="shared" ca="1" si="141"/>
        <v>3.9600000000000004</v>
      </c>
      <c r="FE94" s="90"/>
      <c r="FF94" s="90"/>
      <c r="FG94" s="90">
        <f t="shared" ca="1" si="142"/>
        <v>0</v>
      </c>
    </row>
    <row r="95" spans="1:163" x14ac:dyDescent="0.25">
      <c r="A95" s="123">
        <v>89</v>
      </c>
      <c r="B95" s="123">
        <f>INDEX(关卡对比!$Y:$Y,MATCH(关卡对比!Z95,关卡对比!$AA:$AA,1))</f>
        <v>58</v>
      </c>
      <c r="C95" s="124">
        <f>INDEX(关卡对比!$Y:$Y,MATCH(关卡对比!Z95,关卡对比!$AB:$AB,1))</f>
        <v>48</v>
      </c>
      <c r="D95" s="125">
        <f t="shared" si="145"/>
        <v>554.5</v>
      </c>
      <c r="E95" s="125">
        <v>3</v>
      </c>
      <c r="F95" s="128">
        <v>5</v>
      </c>
      <c r="G95" s="90">
        <v>1</v>
      </c>
      <c r="H95" s="90">
        <v>1</v>
      </c>
      <c r="J95" s="128">
        <v>89</v>
      </c>
      <c r="K95" s="90">
        <f t="shared" si="88"/>
        <v>5</v>
      </c>
      <c r="L95" s="90">
        <f t="shared" si="89"/>
        <v>1</v>
      </c>
      <c r="M95" s="90">
        <f t="shared" si="90"/>
        <v>1</v>
      </c>
      <c r="N95" s="140">
        <f>INDEX($A:$A,MATCH(SUM($K$7:K95),$D:$D,1))</f>
        <v>74</v>
      </c>
      <c r="O95" s="140">
        <v>0</v>
      </c>
      <c r="P95" s="141">
        <v>0</v>
      </c>
      <c r="Q95" s="126">
        <f>_xlfn.MAXIFS(关卡产出!X:X,关卡产出!$A:$A,玩家节奏1!$N$6,关卡产出!$B:$B,玩家节奏1!$N95)+_xlfn.MAXIFS(关卡产出!X:X,关卡产出!$A:$A,玩家节奏1!$O$6,关卡产出!$B:$B,玩家节奏1!$O95)+_xlfn.MAXIFS(关卡产出!X:X,关卡产出!$A:$A,玩家节奏1!$P$6,关卡产出!$B:$B,玩家节奏1!$P95)</f>
        <v>13300</v>
      </c>
      <c r="R95" s="90">
        <f>_xlfn.MAXIFS(关卡产出!Y:Y,关卡产出!$A:$A,玩家节奏1!$N$6,关卡产出!$B:$B,玩家节奏1!$N95)+_xlfn.MAXIFS(关卡产出!Y:Y,关卡产出!$A:$A,玩家节奏1!$O$6,关卡产出!$B:$B,玩家节奏1!$O95)+_xlfn.MAXIFS(关卡产出!Y:Y,关卡产出!$A:$A,玩家节奏1!$P$6,关卡产出!$B:$B,玩家节奏1!$P95)</f>
        <v>1504800</v>
      </c>
      <c r="S95" s="90">
        <f>_xlfn.MAXIFS(关卡产出!Z:Z,关卡产出!$A:$A,玩家节奏1!$N$6,关卡产出!$B:$B,玩家节奏1!$N95)+_xlfn.MAXIFS(关卡产出!Z:Z,关卡产出!$A:$A,玩家节奏1!$O$6,关卡产出!$B:$B,玩家节奏1!$O95)+_xlfn.MAXIFS(关卡产出!Z:Z,关卡产出!$A:$A,玩家节奏1!$P$6,关卡产出!$B:$B,玩家节奏1!$P95)</f>
        <v>10574</v>
      </c>
      <c r="T95" s="90">
        <f>_xlfn.MAXIFS(关卡产出!AA:AA,关卡产出!$A:$A,玩家节奏1!$N$6,关卡产出!$B:$B,玩家节奏1!$N95)+_xlfn.MAXIFS(关卡产出!AA:AA,关卡产出!$A:$A,玩家节奏1!$O$6,关卡产出!$B:$B,玩家节奏1!$O95)+_xlfn.MAXIFS(关卡产出!AA:AA,关卡产出!$A:$A,玩家节奏1!$P$6,关卡产出!$B:$B,玩家节奏1!$P95)</f>
        <v>5288</v>
      </c>
      <c r="U95" s="90">
        <f>_xlfn.MAXIFS(关卡产出!AB:AB,关卡产出!$A:$A,玩家节奏1!$N$6,关卡产出!$B:$B,玩家节奏1!$N95)+_xlfn.MAXIFS(关卡产出!AB:AB,关卡产出!$A:$A,玩家节奏1!$O$6,关卡产出!$B:$B,玩家节奏1!$O95)+_xlfn.MAXIFS(关卡产出!AB:AB,关卡产出!$A:$A,玩家节奏1!$P$6,关卡产出!$B:$B,玩家节奏1!$P95)</f>
        <v>2418</v>
      </c>
      <c r="V95" s="130">
        <f>_xlfn.MAXIFS(关卡产出!AC:AC,关卡产出!$A:$A,玩家节奏1!$N$6,关卡产出!$B:$B,玩家节奏1!$N95)+_xlfn.MAXIFS(关卡产出!AC:AC,关卡产出!$A:$A,玩家节奏1!$O$6,关卡产出!$B:$B,玩家节奏1!$O95)+_xlfn.MAXIFS(关卡产出!AC:AC,关卡产出!$A:$A,玩家节奏1!$P$6,关卡产出!$B:$B,玩家节奏1!$P95)</f>
        <v>444</v>
      </c>
      <c r="W95" s="126">
        <f>INDEX(关卡产出!C$8:C$207,MATCH(玩家节奏1!$N95,关卡产出!$B$8:$B$207,0))*$K95</f>
        <v>290</v>
      </c>
      <c r="X95" s="126">
        <f>INDEX(关卡产出!D$8:D$207,MATCH(玩家节奏1!$N95,关卡产出!$B$8:$B$207,0))*$K95</f>
        <v>145</v>
      </c>
      <c r="Y95" s="126">
        <f>INDEX(关卡产出!E$8:E$207,MATCH(玩家节奏1!$N95,关卡产出!$B$8:$B$207,0))*$K95</f>
        <v>70</v>
      </c>
      <c r="Z95" s="144">
        <f>INDEX(关卡产出!F$8:F$207,MATCH(玩家节奏1!$N95,关卡产出!$B$8:$B$207,0))*$K95</f>
        <v>3950</v>
      </c>
      <c r="AA95" s="126">
        <f>SUM(W$7:W95)</f>
        <v>14036</v>
      </c>
      <c r="AB95" s="126">
        <f>SUM(X$7:X95)</f>
        <v>6911</v>
      </c>
      <c r="AC95" s="126">
        <f>SUM(Y$7:Y95)</f>
        <v>3187</v>
      </c>
      <c r="AD95" s="126">
        <f>SUM(Z$7:Z95)</f>
        <v>209610</v>
      </c>
      <c r="AE95" s="126">
        <f>INDEX(图鉴!AQ:AQ,MATCH($N95,图鉴!$S:$S,0))*8</f>
        <v>168</v>
      </c>
      <c r="AF95" s="90">
        <f>INDEX(图鉴!AR:AR,MATCH($N95,图鉴!$S:$S,0))*8</f>
        <v>112</v>
      </c>
      <c r="AG95" s="90">
        <f>INDEX(图鉴!AS:AS,MATCH($N95,图鉴!$S:$S,0))*8</f>
        <v>40</v>
      </c>
      <c r="AH95" s="129">
        <f ca="1">INDEX(图鉴!AT:AT,MATCH($N95,图鉴!$S:$S,0))*8</f>
        <v>8120</v>
      </c>
      <c r="AI95" s="128">
        <f>SUM($AE$7:AE95)</f>
        <v>12528</v>
      </c>
      <c r="AJ95" s="90">
        <f>SUM(AF$7:AF95)</f>
        <v>6448</v>
      </c>
      <c r="AK95" s="90">
        <f>SUM(AG$7:AG95)</f>
        <v>2064</v>
      </c>
      <c r="AL95" s="130">
        <f ca="1">SUM(AH$7:AH95)</f>
        <v>483080</v>
      </c>
      <c r="AM95" s="133">
        <f>IF(M95=0,0,INDEX(关卡产出!$AU$11:$AU$15,MATCH(玩家节奏1!N95,关卡产出!$AW$11:$AW$15,1))*M95)</f>
        <v>12200</v>
      </c>
      <c r="AN95" s="126">
        <f>IF(L95=0,0,$L95*关卡产出!AU$21)</f>
        <v>1000</v>
      </c>
      <c r="AO95" s="90">
        <f>IF(M95=0,0,$L95*关卡产出!AV$21)</f>
        <v>50</v>
      </c>
      <c r="AP95" s="129">
        <f>IF(N95=0,0,$L95*关卡产出!AW$21)</f>
        <v>1</v>
      </c>
      <c r="AQ95" s="138">
        <f>SUM(AN$7:AN95)</f>
        <v>72000</v>
      </c>
      <c r="AR95" s="126">
        <f>SUM(AO$7:AO95)</f>
        <v>3600</v>
      </c>
      <c r="AS95" s="129">
        <f>SUM(AP$7:AP95)</f>
        <v>72</v>
      </c>
      <c r="AT95" s="128">
        <v>500</v>
      </c>
      <c r="AU95" s="129">
        <v>100</v>
      </c>
      <c r="AV95" s="128">
        <f>SUM(AT$7:AT95)</f>
        <v>44500</v>
      </c>
      <c r="AW95" s="90">
        <f>SUM(AU$7:AU95)</f>
        <v>8900</v>
      </c>
      <c r="AY95" s="128">
        <f t="shared" si="91"/>
        <v>13300</v>
      </c>
      <c r="AZ95" s="90">
        <f t="shared" si="92"/>
        <v>3600</v>
      </c>
      <c r="BA95" s="90">
        <f t="shared" si="93"/>
        <v>8900</v>
      </c>
      <c r="BB95" s="90">
        <f t="shared" ca="1" si="143"/>
        <v>4450</v>
      </c>
      <c r="BC95" s="90">
        <f t="shared" ca="1" si="144"/>
        <v>30250</v>
      </c>
      <c r="BD95" s="90"/>
      <c r="BE95" s="90">
        <f t="shared" ca="1" si="94"/>
        <v>30250</v>
      </c>
      <c r="BF95" s="142">
        <f t="shared" ca="1" si="95"/>
        <v>0.4396694214876033</v>
      </c>
      <c r="BG95" s="142">
        <f t="shared" ca="1" si="96"/>
        <v>0.11900826446280992</v>
      </c>
      <c r="BH95" s="142">
        <f t="shared" ca="1" si="97"/>
        <v>0.29421487603305785</v>
      </c>
      <c r="BI95" s="142">
        <f t="shared" ca="1" si="98"/>
        <v>0.14710743801652892</v>
      </c>
      <c r="BJ95" s="143"/>
      <c r="BK95" s="128">
        <f ca="1">INDEX(商城宝箱!$L:$L,MATCH(BC95,商城宝箱!$N:$N,1))</f>
        <v>7</v>
      </c>
      <c r="BL95" s="90">
        <f ca="1">_xlfn.IFNA(INDEX(商城宝箱!T:T,MATCH(玩家节奏1!$BK95,商城宝箱!$L:$L,0)),0)+($BC95-INDEX(商城宝箱!$N:$N,MATCH(玩家节奏1!$BK95,商城宝箱!$L:$L,0)))/$BK$5*INDEX(商城宝箱!E$23:E$42,MATCH(玩家节奏1!$BK95+1,商城宝箱!$C$23:$C$42,0))</f>
        <v>75625</v>
      </c>
      <c r="BM95" s="90">
        <f ca="1">_xlfn.IFNA(INDEX(商城宝箱!U:U,MATCH(玩家节奏1!$BK95,商城宝箱!$L:$L,0)),0)+($BC95-INDEX(商城宝箱!$N:$N,MATCH(玩家节奏1!$BK95,商城宝箱!$L:$L,0)))/$BK$5*INDEX(商城宝箱!F$23:F$42,MATCH(玩家节奏1!$BK95+1,商城宝箱!$C$23:$C$42,0))</f>
        <v>32925</v>
      </c>
      <c r="BN95" s="90">
        <f ca="1">_xlfn.IFNA(INDEX(商城宝箱!V:V,MATCH(玩家节奏1!$BK95,商城宝箱!$L:$L,0)),0)+($BC95-INDEX(商城宝箱!$N:$N,MATCH(玩家节奏1!$BK95,商城宝箱!$L:$L,0)))/$BK$5*INDEX(商城宝箱!G$23:G$42,MATCH(玩家节奏1!$BK95+1,商城宝箱!$C$23:$C$42,0))</f>
        <v>19959.5</v>
      </c>
      <c r="BO95" s="90">
        <f ca="1">_xlfn.IFNA(INDEX(商城宝箱!W:W,MATCH(玩家节奏1!$BK95,商城宝箱!$L:$L,0)),0)+($BC95-INDEX(商城宝箱!$N:$N,MATCH(玩家节奏1!$BK95,商城宝箱!$L:$L,0)))/$BK$5*INDEX(商城宝箱!H$23:H$42,MATCH(玩家节奏1!$BK95+1,商城宝箱!$C$23:$C$42,0))</f>
        <v>2674</v>
      </c>
      <c r="BQ95" s="128">
        <f t="shared" si="82"/>
        <v>1504800</v>
      </c>
      <c r="BR95" s="90">
        <f t="shared" si="83"/>
        <v>209610</v>
      </c>
      <c r="BS95" s="90">
        <f t="shared" ca="1" si="84"/>
        <v>483080</v>
      </c>
      <c r="BT95" s="90">
        <f t="shared" si="85"/>
        <v>12200</v>
      </c>
      <c r="BU95" s="90">
        <f t="shared" si="86"/>
        <v>72000</v>
      </c>
      <c r="BV95" s="90">
        <f t="shared" si="87"/>
        <v>44500</v>
      </c>
      <c r="BW95" s="90">
        <f t="shared" ca="1" si="99"/>
        <v>75625</v>
      </c>
      <c r="BX95" s="90">
        <f t="shared" ca="1" si="100"/>
        <v>2401815</v>
      </c>
      <c r="BY95" s="142">
        <f t="shared" ca="1" si="101"/>
        <v>0.6265261895691383</v>
      </c>
      <c r="BZ95" s="142">
        <f t="shared" ca="1" si="102"/>
        <v>8.727150092742364E-2</v>
      </c>
      <c r="CA95" s="142">
        <f t="shared" ca="1" si="103"/>
        <v>0.2011312278422776</v>
      </c>
      <c r="CB95" s="142">
        <f t="shared" ca="1" si="104"/>
        <v>5.0794919675328865E-3</v>
      </c>
      <c r="CC95" s="142">
        <f t="shared" ca="1" si="105"/>
        <v>2.9977329644456381E-2</v>
      </c>
      <c r="CD95" s="142">
        <f t="shared" ca="1" si="106"/>
        <v>1.8527655127476512E-2</v>
      </c>
      <c r="CE95" s="142">
        <f t="shared" ca="1" si="107"/>
        <v>3.1486604921694632E-2</v>
      </c>
      <c r="CG95" s="128">
        <f t="shared" si="108"/>
        <v>74</v>
      </c>
      <c r="CH95" s="90">
        <f ca="1">INDEX(角色升级!$A:$A,MATCH(玩家节奏1!$BX95,角色升级!$J:$J,1))</f>
        <v>447</v>
      </c>
      <c r="CI95" s="90">
        <f ca="1">INDEX(角色升级!$O:$O,MATCH(玩家节奏1!$BX95,角色升级!$J:$J,1))</f>
        <v>14732.880150000001</v>
      </c>
      <c r="CJ95" s="90">
        <f>INDEX(关卡对比!$J:$J,MATCH(玩家节奏1!N95,关卡对比!$A:$A,0))</f>
        <v>23200</v>
      </c>
      <c r="CK95" s="147">
        <f t="shared" ca="1" si="109"/>
        <v>1.5747090700388273</v>
      </c>
      <c r="CL95" s="128">
        <f ca="1">INDEX(角色升级!$P:$P,MATCH(玩家节奏1!$CH95,角色升级!$A:$A,0))</f>
        <v>4450</v>
      </c>
      <c r="CM95" s="90">
        <f ca="1">INDEX(角色升级!Q:Q,MATCH(玩家节奏1!$CH95,角色升级!$A:$A,0))</f>
        <v>0.7</v>
      </c>
      <c r="CO95" s="128">
        <f t="shared" si="110"/>
        <v>10574</v>
      </c>
      <c r="CP95" s="90">
        <f t="shared" si="111"/>
        <v>14036</v>
      </c>
      <c r="CQ95" s="90">
        <f t="shared" si="112"/>
        <v>12528</v>
      </c>
      <c r="CR95" s="90">
        <f t="shared" ca="1" si="113"/>
        <v>32925</v>
      </c>
      <c r="CS95" s="90">
        <f t="shared" ca="1" si="114"/>
        <v>70063</v>
      </c>
      <c r="CT95" s="142">
        <f t="shared" ca="1" si="115"/>
        <v>0.15092131367483549</v>
      </c>
      <c r="CU95" s="142">
        <f t="shared" ca="1" si="116"/>
        <v>0.20033398512767081</v>
      </c>
      <c r="CV95" s="142">
        <f t="shared" ca="1" si="117"/>
        <v>0.17881049912221858</v>
      </c>
      <c r="CW95" s="142">
        <f t="shared" ca="1" si="118"/>
        <v>0.46993420207527509</v>
      </c>
      <c r="CY95" s="128">
        <f t="shared" si="119"/>
        <v>5288</v>
      </c>
      <c r="CZ95" s="90">
        <f t="shared" si="120"/>
        <v>6911</v>
      </c>
      <c r="DA95" s="90">
        <f t="shared" si="121"/>
        <v>6448</v>
      </c>
      <c r="DB95" s="90">
        <f t="shared" ca="1" si="122"/>
        <v>19959.5</v>
      </c>
      <c r="DC95" s="90">
        <f t="shared" ca="1" si="123"/>
        <v>38606.5</v>
      </c>
      <c r="DD95" s="142">
        <f t="shared" ca="1" si="124"/>
        <v>0.13697175346120471</v>
      </c>
      <c r="DE95" s="142">
        <f t="shared" ca="1" si="125"/>
        <v>0.17901130638623031</v>
      </c>
      <c r="DF95" s="142">
        <f t="shared" ca="1" si="126"/>
        <v>0.16701850724618911</v>
      </c>
      <c r="DG95" s="142">
        <f t="shared" ca="1" si="127"/>
        <v>0.51699843290637582</v>
      </c>
      <c r="DI95" s="128">
        <f t="shared" si="128"/>
        <v>2418</v>
      </c>
      <c r="DJ95" s="90">
        <f t="shared" si="129"/>
        <v>3187</v>
      </c>
      <c r="DK95" s="90">
        <f t="shared" si="130"/>
        <v>2064</v>
      </c>
      <c r="DL95" s="90">
        <f t="shared" ca="1" si="131"/>
        <v>2674</v>
      </c>
      <c r="DM95" s="90">
        <f t="shared" ca="1" si="132"/>
        <v>10343</v>
      </c>
      <c r="DN95" s="142">
        <f t="shared" ca="1" si="133"/>
        <v>0.23378130136324085</v>
      </c>
      <c r="DO95" s="142">
        <f t="shared" ca="1" si="134"/>
        <v>0.30813110316155856</v>
      </c>
      <c r="DP95" s="142">
        <f t="shared" ca="1" si="135"/>
        <v>0.19955525476167457</v>
      </c>
      <c r="DQ95" s="142">
        <f t="shared" ca="1" si="136"/>
        <v>0.25853234071352604</v>
      </c>
      <c r="DS95" s="128">
        <f t="shared" ca="1" si="137"/>
        <v>70063</v>
      </c>
      <c r="DT95" s="90">
        <f t="shared" ca="1" si="138"/>
        <v>38606.5</v>
      </c>
      <c r="DU95" s="90">
        <f t="shared" ca="1" si="139"/>
        <v>10343</v>
      </c>
      <c r="DV95" s="90">
        <f t="shared" si="140"/>
        <v>72</v>
      </c>
      <c r="DW95" s="90">
        <f ca="1">_xlfn.IFNA(INDEX(武器升级消耗!$H:$H,MATCH(玩家节奏1!DS95/玩家节奏1!DS$5,武器升级消耗!M:M,1)),0)</f>
        <v>25</v>
      </c>
      <c r="DX95" s="90">
        <f ca="1">_xlfn.IFNA(INDEX(武器升级消耗!$H:$H,MATCH(玩家节奏1!DT95/玩家节奏1!DT$5,武器升级消耗!N:N,1)),0)</f>
        <v>22</v>
      </c>
      <c r="DY95" s="90">
        <f ca="1">_xlfn.IFNA(INDEX(武器升级消耗!$H:$H,MATCH(玩家节奏1!DU95/玩家节奏1!DU$5,武器升级消耗!O:O,1)),0)</f>
        <v>14</v>
      </c>
      <c r="DZ95" s="90">
        <f>_xlfn.IFNA(INDEX(武器升级消耗!$H:$H,MATCH(玩家节奏1!DV95/玩家节奏1!DV$5,武器升级消耗!P:P,1)),0)</f>
        <v>9</v>
      </c>
      <c r="EA95" s="90">
        <f ca="1">_xlfn.IFNA(INDEX(武器升级消耗!$Q:$Q,MATCH(玩家节奏1!DW95,武器升级消耗!$H:$H,0))*2*EA$4,0)</f>
        <v>3.48</v>
      </c>
      <c r="EB95" s="90">
        <f ca="1">_xlfn.IFNA(INDEX(武器升级消耗!$Q:$Q,MATCH(玩家节奏1!DX95,武器升级消耗!$H:$H,0))*2*EB$4,0)</f>
        <v>3.9000000000000004</v>
      </c>
      <c r="EC95" s="90">
        <f ca="1">_xlfn.IFNA(INDEX(武器升级消耗!$Q:$Q,MATCH(玩家节奏1!DY95,武器升级消耗!$H:$H,0))*2*EC$4,1)</f>
        <v>3.9600000000000004</v>
      </c>
      <c r="ED95" s="90">
        <f>_xlfn.IFNA(INDEX(武器升级消耗!$Q:$Q,MATCH(玩家节奏1!DZ95,武器升级消耗!$H:$H,0))*2*ED$4,0)</f>
        <v>3.9000000000000004</v>
      </c>
      <c r="EF95" s="128"/>
      <c r="EG95" s="90"/>
      <c r="EH95" s="90"/>
      <c r="EI95" s="90"/>
      <c r="EJ95" s="90"/>
      <c r="EK95" s="90"/>
      <c r="EL95" s="90"/>
      <c r="EM95" s="90"/>
      <c r="EO95" s="128"/>
      <c r="EP95" s="90"/>
      <c r="EQ95" s="90"/>
      <c r="ER95" s="90"/>
      <c r="ES95" s="90"/>
      <c r="ET95" s="90"/>
      <c r="EU95" s="90"/>
      <c r="EV95" s="90"/>
      <c r="EW95" s="90"/>
      <c r="EX95" s="90"/>
      <c r="EY95" s="90"/>
      <c r="EZ95" s="90"/>
      <c r="FA95" s="90"/>
      <c r="FB95" s="90"/>
      <c r="FD95" s="90">
        <f t="shared" ca="1" si="141"/>
        <v>3.9600000000000004</v>
      </c>
      <c r="FE95" s="90"/>
      <c r="FF95" s="90"/>
      <c r="FG95" s="90">
        <f t="shared" ca="1" si="142"/>
        <v>0</v>
      </c>
    </row>
    <row r="96" spans="1:163" x14ac:dyDescent="0.25">
      <c r="A96" s="123">
        <v>90</v>
      </c>
      <c r="B96" s="123">
        <f>INDEX(关卡对比!$Y:$Y,MATCH(关卡对比!Z96,关卡对比!$AA:$AA,1))</f>
        <v>58</v>
      </c>
      <c r="C96" s="124">
        <f>INDEX(关卡对比!$Y:$Y,MATCH(关卡对比!Z96,关卡对比!$AB:$AB,1))</f>
        <v>48</v>
      </c>
      <c r="D96" s="125">
        <f t="shared" si="145"/>
        <v>557.5</v>
      </c>
      <c r="E96" s="125">
        <v>3</v>
      </c>
      <c r="F96" s="128">
        <v>5</v>
      </c>
      <c r="G96" s="90">
        <v>1</v>
      </c>
      <c r="H96" s="90">
        <v>1</v>
      </c>
      <c r="J96" s="128">
        <v>90</v>
      </c>
      <c r="K96" s="90">
        <f t="shared" si="88"/>
        <v>5</v>
      </c>
      <c r="L96" s="90">
        <f t="shared" si="89"/>
        <v>1</v>
      </c>
      <c r="M96" s="90">
        <f t="shared" si="90"/>
        <v>1</v>
      </c>
      <c r="N96" s="140">
        <f>INDEX($A:$A,MATCH(SUM($K$7:K96),$D:$D,1))</f>
        <v>74</v>
      </c>
      <c r="O96" s="140">
        <v>0</v>
      </c>
      <c r="P96" s="141">
        <v>0</v>
      </c>
      <c r="Q96" s="126">
        <f>_xlfn.MAXIFS(关卡产出!X:X,关卡产出!$A:$A,玩家节奏1!$N$6,关卡产出!$B:$B,玩家节奏1!$N96)+_xlfn.MAXIFS(关卡产出!X:X,关卡产出!$A:$A,玩家节奏1!$O$6,关卡产出!$B:$B,玩家节奏1!$O96)+_xlfn.MAXIFS(关卡产出!X:X,关卡产出!$A:$A,玩家节奏1!$P$6,关卡产出!$B:$B,玩家节奏1!$P96)</f>
        <v>13300</v>
      </c>
      <c r="R96" s="90">
        <f>_xlfn.MAXIFS(关卡产出!Y:Y,关卡产出!$A:$A,玩家节奏1!$N$6,关卡产出!$B:$B,玩家节奏1!$N96)+_xlfn.MAXIFS(关卡产出!Y:Y,关卡产出!$A:$A,玩家节奏1!$O$6,关卡产出!$B:$B,玩家节奏1!$O96)+_xlfn.MAXIFS(关卡产出!Y:Y,关卡产出!$A:$A,玩家节奏1!$P$6,关卡产出!$B:$B,玩家节奏1!$P96)</f>
        <v>1504800</v>
      </c>
      <c r="S96" s="90">
        <f>_xlfn.MAXIFS(关卡产出!Z:Z,关卡产出!$A:$A,玩家节奏1!$N$6,关卡产出!$B:$B,玩家节奏1!$N96)+_xlfn.MAXIFS(关卡产出!Z:Z,关卡产出!$A:$A,玩家节奏1!$O$6,关卡产出!$B:$B,玩家节奏1!$O96)+_xlfn.MAXIFS(关卡产出!Z:Z,关卡产出!$A:$A,玩家节奏1!$P$6,关卡产出!$B:$B,玩家节奏1!$P96)</f>
        <v>10574</v>
      </c>
      <c r="T96" s="90">
        <f>_xlfn.MAXIFS(关卡产出!AA:AA,关卡产出!$A:$A,玩家节奏1!$N$6,关卡产出!$B:$B,玩家节奏1!$N96)+_xlfn.MAXIFS(关卡产出!AA:AA,关卡产出!$A:$A,玩家节奏1!$O$6,关卡产出!$B:$B,玩家节奏1!$O96)+_xlfn.MAXIFS(关卡产出!AA:AA,关卡产出!$A:$A,玩家节奏1!$P$6,关卡产出!$B:$B,玩家节奏1!$P96)</f>
        <v>5288</v>
      </c>
      <c r="U96" s="90">
        <f>_xlfn.MAXIFS(关卡产出!AB:AB,关卡产出!$A:$A,玩家节奏1!$N$6,关卡产出!$B:$B,玩家节奏1!$N96)+_xlfn.MAXIFS(关卡产出!AB:AB,关卡产出!$A:$A,玩家节奏1!$O$6,关卡产出!$B:$B,玩家节奏1!$O96)+_xlfn.MAXIFS(关卡产出!AB:AB,关卡产出!$A:$A,玩家节奏1!$P$6,关卡产出!$B:$B,玩家节奏1!$P96)</f>
        <v>2418</v>
      </c>
      <c r="V96" s="130">
        <f>_xlfn.MAXIFS(关卡产出!AC:AC,关卡产出!$A:$A,玩家节奏1!$N$6,关卡产出!$B:$B,玩家节奏1!$N96)+_xlfn.MAXIFS(关卡产出!AC:AC,关卡产出!$A:$A,玩家节奏1!$O$6,关卡产出!$B:$B,玩家节奏1!$O96)+_xlfn.MAXIFS(关卡产出!AC:AC,关卡产出!$A:$A,玩家节奏1!$P$6,关卡产出!$B:$B,玩家节奏1!$P96)</f>
        <v>444</v>
      </c>
      <c r="W96" s="126">
        <f>INDEX(关卡产出!C$8:C$207,MATCH(玩家节奏1!$N96,关卡产出!$B$8:$B$207,0))*$K96</f>
        <v>290</v>
      </c>
      <c r="X96" s="126">
        <f>INDEX(关卡产出!D$8:D$207,MATCH(玩家节奏1!$N96,关卡产出!$B$8:$B$207,0))*$K96</f>
        <v>145</v>
      </c>
      <c r="Y96" s="126">
        <f>INDEX(关卡产出!E$8:E$207,MATCH(玩家节奏1!$N96,关卡产出!$B$8:$B$207,0))*$K96</f>
        <v>70</v>
      </c>
      <c r="Z96" s="144">
        <f>INDEX(关卡产出!F$8:F$207,MATCH(玩家节奏1!$N96,关卡产出!$B$8:$B$207,0))*$K96</f>
        <v>3950</v>
      </c>
      <c r="AA96" s="126">
        <f>SUM(W$7:W96)</f>
        <v>14326</v>
      </c>
      <c r="AB96" s="126">
        <f>SUM(X$7:X96)</f>
        <v>7056</v>
      </c>
      <c r="AC96" s="126">
        <f>SUM(Y$7:Y96)</f>
        <v>3257</v>
      </c>
      <c r="AD96" s="126">
        <f>SUM(Z$7:Z96)</f>
        <v>213560</v>
      </c>
      <c r="AE96" s="126">
        <f>INDEX(图鉴!AQ:AQ,MATCH($N96,图鉴!$S:$S,0))*8</f>
        <v>168</v>
      </c>
      <c r="AF96" s="90">
        <f>INDEX(图鉴!AR:AR,MATCH($N96,图鉴!$S:$S,0))*8</f>
        <v>112</v>
      </c>
      <c r="AG96" s="90">
        <f>INDEX(图鉴!AS:AS,MATCH($N96,图鉴!$S:$S,0))*8</f>
        <v>40</v>
      </c>
      <c r="AH96" s="129">
        <f ca="1">INDEX(图鉴!AT:AT,MATCH($N96,图鉴!$S:$S,0))*8</f>
        <v>8120</v>
      </c>
      <c r="AI96" s="128">
        <f>SUM($AE$7:AE96)</f>
        <v>12696</v>
      </c>
      <c r="AJ96" s="90">
        <f>SUM(AF$7:AF96)</f>
        <v>6560</v>
      </c>
      <c r="AK96" s="90">
        <f>SUM(AG$7:AG96)</f>
        <v>2104</v>
      </c>
      <c r="AL96" s="130">
        <f ca="1">SUM(AH$7:AH96)</f>
        <v>491200</v>
      </c>
      <c r="AM96" s="133">
        <f>IF(M96=0,0,INDEX(关卡产出!$AU$11:$AU$15,MATCH(玩家节奏1!N96,关卡产出!$AW$11:$AW$15,1))*M96)</f>
        <v>12200</v>
      </c>
      <c r="AN96" s="126">
        <f>IF(L96=0,0,$L96*关卡产出!AU$21)</f>
        <v>1000</v>
      </c>
      <c r="AO96" s="90">
        <f>IF(M96=0,0,$L96*关卡产出!AV$21)</f>
        <v>50</v>
      </c>
      <c r="AP96" s="129">
        <f>IF(N96=0,0,$L96*关卡产出!AW$21)</f>
        <v>1</v>
      </c>
      <c r="AQ96" s="138">
        <f>SUM(AN$7:AN96)</f>
        <v>73000</v>
      </c>
      <c r="AR96" s="126">
        <f>SUM(AO$7:AO96)</f>
        <v>3650</v>
      </c>
      <c r="AS96" s="129">
        <f>SUM(AP$7:AP96)</f>
        <v>73</v>
      </c>
      <c r="AT96" s="128">
        <v>500</v>
      </c>
      <c r="AU96" s="129">
        <v>100</v>
      </c>
      <c r="AV96" s="128">
        <f>SUM(AT$7:AT96)</f>
        <v>45000</v>
      </c>
      <c r="AW96" s="90">
        <f>SUM(AU$7:AU96)</f>
        <v>9000</v>
      </c>
      <c r="AY96" s="128">
        <f t="shared" si="91"/>
        <v>13300</v>
      </c>
      <c r="AZ96" s="90">
        <f t="shared" si="92"/>
        <v>3650</v>
      </c>
      <c r="BA96" s="90">
        <f t="shared" si="93"/>
        <v>9000</v>
      </c>
      <c r="BB96" s="90">
        <f t="shared" ca="1" si="143"/>
        <v>4450</v>
      </c>
      <c r="BC96" s="90">
        <f t="shared" ca="1" si="144"/>
        <v>30400</v>
      </c>
      <c r="BD96" s="90"/>
      <c r="BE96" s="90">
        <f t="shared" ca="1" si="94"/>
        <v>30400</v>
      </c>
      <c r="BF96" s="142">
        <f t="shared" ca="1" si="95"/>
        <v>0.4375</v>
      </c>
      <c r="BG96" s="142">
        <f t="shared" ca="1" si="96"/>
        <v>0.12006578947368421</v>
      </c>
      <c r="BH96" s="142">
        <f t="shared" ca="1" si="97"/>
        <v>0.29605263157894735</v>
      </c>
      <c r="BI96" s="142">
        <f t="shared" ca="1" si="98"/>
        <v>0.14638157894736842</v>
      </c>
      <c r="BJ96" s="143"/>
      <c r="BK96" s="128">
        <f ca="1">INDEX(商城宝箱!$L:$L,MATCH(BC96,商城宝箱!$N:$N,1))</f>
        <v>7</v>
      </c>
      <c r="BL96" s="90">
        <f ca="1">_xlfn.IFNA(INDEX(商城宝箱!T:T,MATCH(玩家节奏1!$BK96,商城宝箱!$L:$L,0)),0)+($BC96-INDEX(商城宝箱!$N:$N,MATCH(玩家节奏1!$BK96,商城宝箱!$L:$L,0)))/$BK$5*INDEX(商城宝箱!E$23:E$42,MATCH(玩家节奏1!$BK96+1,商城宝箱!$C$23:$C$42,0))</f>
        <v>76000</v>
      </c>
      <c r="BM96" s="90">
        <f ca="1">_xlfn.IFNA(INDEX(商城宝箱!U:U,MATCH(玩家节奏1!$BK96,商城宝箱!$L:$L,0)),0)+($BC96-INDEX(商城宝箱!$N:$N,MATCH(玩家节奏1!$BK96,商城宝箱!$L:$L,0)))/$BK$5*INDEX(商城宝箱!F$23:F$42,MATCH(玩家节奏1!$BK96+1,商城宝箱!$C$23:$C$42,0))</f>
        <v>33187.5</v>
      </c>
      <c r="BN96" s="90">
        <f ca="1">_xlfn.IFNA(INDEX(商城宝箱!V:V,MATCH(玩家节奏1!$BK96,商城宝箱!$L:$L,0)),0)+($BC96-INDEX(商城宝箱!$N:$N,MATCH(玩家节奏1!$BK96,商城宝箱!$L:$L,0)))/$BK$5*INDEX(商城宝箱!G$23:G$42,MATCH(玩家节奏1!$BK96+1,商城宝箱!$C$23:$C$42,0))</f>
        <v>20132</v>
      </c>
      <c r="BO96" s="90">
        <f ca="1">_xlfn.IFNA(INDEX(商城宝箱!W:W,MATCH(玩家节奏1!$BK96,商城宝箱!$L:$L,0)),0)+($BC96-INDEX(商城宝箱!$N:$N,MATCH(玩家节奏1!$BK96,商城宝箱!$L:$L,0)))/$BK$5*INDEX(商城宝箱!H$23:H$42,MATCH(玩家节奏1!$BK96+1,商城宝箱!$C$23:$C$42,0))</f>
        <v>2696.5</v>
      </c>
      <c r="BQ96" s="128">
        <f t="shared" si="82"/>
        <v>1504800</v>
      </c>
      <c r="BR96" s="90">
        <f t="shared" si="83"/>
        <v>213560</v>
      </c>
      <c r="BS96" s="90">
        <f t="shared" ca="1" si="84"/>
        <v>491200</v>
      </c>
      <c r="BT96" s="90">
        <f t="shared" si="85"/>
        <v>12200</v>
      </c>
      <c r="BU96" s="90">
        <f t="shared" si="86"/>
        <v>73000</v>
      </c>
      <c r="BV96" s="90">
        <f t="shared" si="87"/>
        <v>45000</v>
      </c>
      <c r="BW96" s="90">
        <f t="shared" ca="1" si="99"/>
        <v>76000</v>
      </c>
      <c r="BX96" s="90">
        <f t="shared" ca="1" si="100"/>
        <v>2415760</v>
      </c>
      <c r="BY96" s="142">
        <f t="shared" ca="1" si="101"/>
        <v>0.62290956055237279</v>
      </c>
      <c r="BZ96" s="142">
        <f t="shared" ca="1" si="102"/>
        <v>8.8402821472331694E-2</v>
      </c>
      <c r="CA96" s="142">
        <f t="shared" ca="1" si="103"/>
        <v>0.20333145676722852</v>
      </c>
      <c r="CB96" s="142">
        <f t="shared" ca="1" si="104"/>
        <v>5.0501705467430541E-3</v>
      </c>
      <c r="CC96" s="142">
        <f t="shared" ca="1" si="105"/>
        <v>3.0218233599364177E-2</v>
      </c>
      <c r="CD96" s="142">
        <f t="shared" ca="1" si="106"/>
        <v>1.8627678246183395E-2</v>
      </c>
      <c r="CE96" s="142">
        <f t="shared" ca="1" si="107"/>
        <v>3.14600788157764E-2</v>
      </c>
      <c r="CG96" s="128">
        <f t="shared" si="108"/>
        <v>74</v>
      </c>
      <c r="CH96" s="90">
        <f ca="1">INDEX(角色升级!$A:$A,MATCH(玩家节奏1!$BX96,角色升级!$J:$J,1))</f>
        <v>449</v>
      </c>
      <c r="CI96" s="90">
        <f ca="1">INDEX(角色升级!$O:$O,MATCH(玩家节奏1!$BX96,角色升级!$J:$J,1))</f>
        <v>14746.610700000003</v>
      </c>
      <c r="CJ96" s="90">
        <f>INDEX(关卡对比!$J:$J,MATCH(玩家节奏1!N96,关卡对比!$A:$A,0))</f>
        <v>23200</v>
      </c>
      <c r="CK96" s="147">
        <f t="shared" ca="1" si="109"/>
        <v>1.5732428604764073</v>
      </c>
      <c r="CL96" s="128">
        <f ca="1">INDEX(角色升级!$P:$P,MATCH(玩家节奏1!$CH96,角色升级!$A:$A,0))</f>
        <v>4450</v>
      </c>
      <c r="CM96" s="90">
        <f ca="1">INDEX(角色升级!Q:Q,MATCH(玩家节奏1!$CH96,角色升级!$A:$A,0))</f>
        <v>0.7</v>
      </c>
      <c r="CO96" s="128">
        <f t="shared" si="110"/>
        <v>10574</v>
      </c>
      <c r="CP96" s="90">
        <f t="shared" si="111"/>
        <v>14326</v>
      </c>
      <c r="CQ96" s="90">
        <f t="shared" si="112"/>
        <v>12696</v>
      </c>
      <c r="CR96" s="90">
        <f t="shared" ca="1" si="113"/>
        <v>33187.5</v>
      </c>
      <c r="CS96" s="90">
        <f t="shared" ca="1" si="114"/>
        <v>70783.5</v>
      </c>
      <c r="CT96" s="142">
        <f t="shared" ca="1" si="115"/>
        <v>0.14938509680928466</v>
      </c>
      <c r="CU96" s="142">
        <f t="shared" ca="1" si="116"/>
        <v>0.20239180034895138</v>
      </c>
      <c r="CV96" s="142">
        <f t="shared" ca="1" si="117"/>
        <v>0.1793638347920066</v>
      </c>
      <c r="CW96" s="142">
        <f t="shared" ca="1" si="118"/>
        <v>0.46885926804975736</v>
      </c>
      <c r="CY96" s="128">
        <f t="shared" si="119"/>
        <v>5288</v>
      </c>
      <c r="CZ96" s="90">
        <f t="shared" si="120"/>
        <v>7056</v>
      </c>
      <c r="DA96" s="90">
        <f t="shared" si="121"/>
        <v>6560</v>
      </c>
      <c r="DB96" s="90">
        <f t="shared" ca="1" si="122"/>
        <v>20132</v>
      </c>
      <c r="DC96" s="90">
        <f t="shared" ca="1" si="123"/>
        <v>39036</v>
      </c>
      <c r="DD96" s="142">
        <f t="shared" ca="1" si="124"/>
        <v>0.13546469925197255</v>
      </c>
      <c r="DE96" s="142">
        <f t="shared" ca="1" si="125"/>
        <v>0.18075622502305563</v>
      </c>
      <c r="DF96" s="142">
        <f t="shared" ca="1" si="126"/>
        <v>0.16805000512347576</v>
      </c>
      <c r="DG96" s="142">
        <f t="shared" ca="1" si="127"/>
        <v>0.51572907060149609</v>
      </c>
      <c r="DI96" s="128">
        <f t="shared" si="128"/>
        <v>2418</v>
      </c>
      <c r="DJ96" s="90">
        <f t="shared" si="129"/>
        <v>3257</v>
      </c>
      <c r="DK96" s="90">
        <f t="shared" si="130"/>
        <v>2104</v>
      </c>
      <c r="DL96" s="90">
        <f t="shared" ca="1" si="131"/>
        <v>2696.5</v>
      </c>
      <c r="DM96" s="90">
        <f t="shared" ca="1" si="132"/>
        <v>10475.5</v>
      </c>
      <c r="DN96" s="142">
        <f t="shared" ca="1" si="133"/>
        <v>0.23082430432914897</v>
      </c>
      <c r="DO96" s="142">
        <f t="shared" ca="1" si="134"/>
        <v>0.31091594673285283</v>
      </c>
      <c r="DP96" s="142">
        <f t="shared" ca="1" si="135"/>
        <v>0.20084960145100472</v>
      </c>
      <c r="DQ96" s="142">
        <f t="shared" ca="1" si="136"/>
        <v>0.25741014748699348</v>
      </c>
      <c r="DS96" s="128">
        <f t="shared" ca="1" si="137"/>
        <v>70783.5</v>
      </c>
      <c r="DT96" s="90">
        <f t="shared" ca="1" si="138"/>
        <v>39036</v>
      </c>
      <c r="DU96" s="90">
        <f t="shared" ca="1" si="139"/>
        <v>10475.5</v>
      </c>
      <c r="DV96" s="90">
        <f t="shared" si="140"/>
        <v>73</v>
      </c>
      <c r="DW96" s="90">
        <f ca="1">_xlfn.IFNA(INDEX(武器升级消耗!$H:$H,MATCH(玩家节奏1!DS96/玩家节奏1!DS$5,武器升级消耗!M:M,1)),0)</f>
        <v>25</v>
      </c>
      <c r="DX96" s="90">
        <f ca="1">_xlfn.IFNA(INDEX(武器升级消耗!$H:$H,MATCH(玩家节奏1!DT96/玩家节奏1!DT$5,武器升级消耗!N:N,1)),0)</f>
        <v>22</v>
      </c>
      <c r="DY96" s="90">
        <f ca="1">_xlfn.IFNA(INDEX(武器升级消耗!$H:$H,MATCH(玩家节奏1!DU96/玩家节奏1!DU$5,武器升级消耗!O:O,1)),0)</f>
        <v>14</v>
      </c>
      <c r="DZ96" s="90">
        <f>_xlfn.IFNA(INDEX(武器升级消耗!$H:$H,MATCH(玩家节奏1!DV96/玩家节奏1!DV$5,武器升级消耗!P:P,1)),0)</f>
        <v>9</v>
      </c>
      <c r="EA96" s="90">
        <f ca="1">_xlfn.IFNA(INDEX(武器升级消耗!$Q:$Q,MATCH(玩家节奏1!DW96,武器升级消耗!$H:$H,0))*2*EA$4,0)</f>
        <v>3.48</v>
      </c>
      <c r="EB96" s="90">
        <f ca="1">_xlfn.IFNA(INDEX(武器升级消耗!$Q:$Q,MATCH(玩家节奏1!DX96,武器升级消耗!$H:$H,0))*2*EB$4,0)</f>
        <v>3.9000000000000004</v>
      </c>
      <c r="EC96" s="90">
        <f ca="1">_xlfn.IFNA(INDEX(武器升级消耗!$Q:$Q,MATCH(玩家节奏1!DY96,武器升级消耗!$H:$H,0))*2*EC$4,1)</f>
        <v>3.9600000000000004</v>
      </c>
      <c r="ED96" s="90">
        <f>_xlfn.IFNA(INDEX(武器升级消耗!$Q:$Q,MATCH(玩家节奏1!DZ96,武器升级消耗!$H:$H,0))*2*ED$4,0)</f>
        <v>3.9000000000000004</v>
      </c>
      <c r="EF96" s="128"/>
      <c r="EG96" s="90"/>
      <c r="EH96" s="90"/>
      <c r="EI96" s="90"/>
      <c r="EJ96" s="90"/>
      <c r="EK96" s="90"/>
      <c r="EL96" s="90"/>
      <c r="EM96" s="90"/>
      <c r="EO96" s="128"/>
      <c r="EP96" s="90"/>
      <c r="EQ96" s="90"/>
      <c r="ER96" s="90"/>
      <c r="ES96" s="90"/>
      <c r="ET96" s="90"/>
      <c r="EU96" s="90"/>
      <c r="EV96" s="90"/>
      <c r="EW96" s="90"/>
      <c r="EX96" s="90"/>
      <c r="EY96" s="90"/>
      <c r="EZ96" s="90"/>
      <c r="FA96" s="90"/>
      <c r="FB96" s="90"/>
      <c r="FD96" s="90">
        <f t="shared" ca="1" si="141"/>
        <v>3.9600000000000004</v>
      </c>
      <c r="FE96" s="90"/>
      <c r="FF96" s="90"/>
      <c r="FG96" s="90">
        <f t="shared" ca="1" si="142"/>
        <v>0</v>
      </c>
    </row>
    <row r="97" spans="1:163" x14ac:dyDescent="0.25">
      <c r="A97" s="123">
        <v>91</v>
      </c>
      <c r="B97" s="123">
        <f>INDEX(关卡对比!$Y:$Y,MATCH(关卡对比!Z97,关卡对比!$AA:$AA,1))</f>
        <v>59</v>
      </c>
      <c r="C97" s="124">
        <f>INDEX(关卡对比!$Y:$Y,MATCH(关卡对比!Z97,关卡对比!$AB:$AB,1))</f>
        <v>48</v>
      </c>
      <c r="D97" s="125">
        <f t="shared" si="145"/>
        <v>563.5</v>
      </c>
      <c r="E97" s="125">
        <v>3</v>
      </c>
      <c r="F97" s="128">
        <v>5</v>
      </c>
      <c r="G97" s="90">
        <v>1</v>
      </c>
      <c r="H97" s="90">
        <v>1</v>
      </c>
      <c r="J97" s="128">
        <v>91</v>
      </c>
      <c r="K97" s="90">
        <f t="shared" si="88"/>
        <v>5</v>
      </c>
      <c r="L97" s="90">
        <f t="shared" si="89"/>
        <v>1</v>
      </c>
      <c r="M97" s="90">
        <f t="shared" si="90"/>
        <v>1</v>
      </c>
      <c r="N97" s="140">
        <f>INDEX($A:$A,MATCH(SUM($K$7:K97),$D:$D,1))</f>
        <v>75</v>
      </c>
      <c r="O97" s="140">
        <v>0</v>
      </c>
      <c r="P97" s="141">
        <v>0</v>
      </c>
      <c r="Q97" s="126">
        <f>_xlfn.MAXIFS(关卡产出!X:X,关卡产出!$A:$A,玩家节奏1!$N$6,关卡产出!$B:$B,玩家节奏1!$N97)+_xlfn.MAXIFS(关卡产出!X:X,关卡产出!$A:$A,玩家节奏1!$O$6,关卡产出!$B:$B,玩家节奏1!$O97)+_xlfn.MAXIFS(关卡产出!X:X,关卡产出!$A:$A,玩家节奏1!$P$6,关卡产出!$B:$B,玩家节奏1!$P97)</f>
        <v>13500</v>
      </c>
      <c r="R97" s="90">
        <f>_xlfn.MAXIFS(关卡产出!Y:Y,关卡产出!$A:$A,玩家节奏1!$N$6,关卡产出!$B:$B,玩家节奏1!$N97)+_xlfn.MAXIFS(关卡产出!Y:Y,关卡产出!$A:$A,玩家节奏1!$O$6,关卡产出!$B:$B,玩家节奏1!$O97)+_xlfn.MAXIFS(关卡产出!Y:Y,关卡产出!$A:$A,玩家节奏1!$P$6,关卡产出!$B:$B,玩家节奏1!$P97)</f>
        <v>1547500</v>
      </c>
      <c r="S97" s="90">
        <f>_xlfn.MAXIFS(关卡产出!Z:Z,关卡产出!$A:$A,玩家节奏1!$N$6,关卡产出!$B:$B,玩家节奏1!$N97)+_xlfn.MAXIFS(关卡产出!Z:Z,关卡产出!$A:$A,玩家节奏1!$O$6,关卡产出!$B:$B,玩家节奏1!$O97)+_xlfn.MAXIFS(关卡产出!Z:Z,关卡产出!$A:$A,玩家节奏1!$P$6,关卡产出!$B:$B,玩家节奏1!$P97)</f>
        <v>10866</v>
      </c>
      <c r="T97" s="90">
        <f>_xlfn.MAXIFS(关卡产出!AA:AA,关卡产出!$A:$A,玩家节奏1!$N$6,关卡产出!$B:$B,玩家节奏1!$N97)+_xlfn.MAXIFS(关卡产出!AA:AA,关卡产出!$A:$A,玩家节奏1!$O$6,关卡产出!$B:$B,玩家节奏1!$O97)+_xlfn.MAXIFS(关卡产出!AA:AA,关卡产出!$A:$A,玩家节奏1!$P$6,关卡产出!$B:$B,玩家节奏1!$P97)</f>
        <v>5434</v>
      </c>
      <c r="U97" s="90">
        <f>_xlfn.MAXIFS(关卡产出!AB:AB,关卡产出!$A:$A,玩家节奏1!$N$6,关卡产出!$B:$B,玩家节奏1!$N97)+_xlfn.MAXIFS(关卡产出!AB:AB,关卡产出!$A:$A,玩家节奏1!$O$6,关卡产出!$B:$B,玩家节奏1!$O97)+_xlfn.MAXIFS(关卡产出!AB:AB,关卡产出!$A:$A,玩家节奏1!$P$6,关卡产出!$B:$B,玩家节奏1!$P97)</f>
        <v>2488</v>
      </c>
      <c r="V97" s="130">
        <f>_xlfn.MAXIFS(关卡产出!AC:AC,关卡产出!$A:$A,玩家节奏1!$N$6,关卡产出!$B:$B,玩家节奏1!$N97)+_xlfn.MAXIFS(关卡产出!AC:AC,关卡产出!$A:$A,玩家节奏1!$O$6,关卡产出!$B:$B,玩家节奏1!$O97)+_xlfn.MAXIFS(关卡产出!AC:AC,关卡产出!$A:$A,玩家节奏1!$P$6,关卡产出!$B:$B,玩家节奏1!$P97)</f>
        <v>450</v>
      </c>
      <c r="W97" s="126">
        <f>INDEX(关卡产出!C$8:C$207,MATCH(玩家节奏1!$N97,关卡产出!$B$8:$B$207,0))*$K97</f>
        <v>290</v>
      </c>
      <c r="X97" s="126">
        <f>INDEX(关卡产出!D$8:D$207,MATCH(玩家节奏1!$N97,关卡产出!$B$8:$B$207,0))*$K97</f>
        <v>145</v>
      </c>
      <c r="Y97" s="126">
        <f>INDEX(关卡产出!E$8:E$207,MATCH(玩家节奏1!$N97,关卡产出!$B$8:$B$207,0))*$K97</f>
        <v>70</v>
      </c>
      <c r="Z97" s="144">
        <f>INDEX(关卡产出!F$8:F$207,MATCH(玩家节奏1!$N97,关卡产出!$B$8:$B$207,0))*$K97</f>
        <v>4050</v>
      </c>
      <c r="AA97" s="126">
        <f>SUM(W$7:W97)</f>
        <v>14616</v>
      </c>
      <c r="AB97" s="126">
        <f>SUM(X$7:X97)</f>
        <v>7201</v>
      </c>
      <c r="AC97" s="126">
        <f>SUM(Y$7:Y97)</f>
        <v>3327</v>
      </c>
      <c r="AD97" s="126">
        <f>SUM(Z$7:Z97)</f>
        <v>217610</v>
      </c>
      <c r="AE97" s="126">
        <f>INDEX(图鉴!AQ:AQ,MATCH($N97,图鉴!$S:$S,0))*8</f>
        <v>168</v>
      </c>
      <c r="AF97" s="90">
        <f>INDEX(图鉴!AR:AR,MATCH($N97,图鉴!$S:$S,0))*8</f>
        <v>112</v>
      </c>
      <c r="AG97" s="90">
        <f>INDEX(图鉴!AS:AS,MATCH($N97,图鉴!$S:$S,0))*8</f>
        <v>40</v>
      </c>
      <c r="AH97" s="129">
        <f ca="1">INDEX(图鉴!AT:AT,MATCH($N97,图鉴!$S:$S,0))*8</f>
        <v>8320</v>
      </c>
      <c r="AI97" s="128">
        <f>SUM($AE$7:AE97)</f>
        <v>12864</v>
      </c>
      <c r="AJ97" s="90">
        <f>SUM(AF$7:AF97)</f>
        <v>6672</v>
      </c>
      <c r="AK97" s="90">
        <f>SUM(AG$7:AG97)</f>
        <v>2144</v>
      </c>
      <c r="AL97" s="130">
        <f ca="1">SUM(AH$7:AH97)</f>
        <v>499520</v>
      </c>
      <c r="AM97" s="133">
        <f>IF(M97=0,0,INDEX(关卡产出!$AU$11:$AU$15,MATCH(玩家节奏1!N97,关卡产出!$AW$11:$AW$15,1))*M97)</f>
        <v>12200</v>
      </c>
      <c r="AN97" s="126">
        <f>IF(L97=0,0,$L97*关卡产出!AU$21)</f>
        <v>1000</v>
      </c>
      <c r="AO97" s="90">
        <f>IF(M97=0,0,$L97*关卡产出!AV$21)</f>
        <v>50</v>
      </c>
      <c r="AP97" s="129">
        <f>IF(N97=0,0,$L97*关卡产出!AW$21)</f>
        <v>1</v>
      </c>
      <c r="AQ97" s="138">
        <f>SUM(AN$7:AN97)</f>
        <v>74000</v>
      </c>
      <c r="AR97" s="126">
        <f>SUM(AO$7:AO97)</f>
        <v>3700</v>
      </c>
      <c r="AS97" s="129">
        <f>SUM(AP$7:AP97)</f>
        <v>74</v>
      </c>
      <c r="AT97" s="128">
        <v>500</v>
      </c>
      <c r="AU97" s="129">
        <v>100</v>
      </c>
      <c r="AV97" s="128">
        <f>SUM(AT$7:AT97)</f>
        <v>45500</v>
      </c>
      <c r="AW97" s="90">
        <f>SUM(AU$7:AU97)</f>
        <v>9100</v>
      </c>
      <c r="AY97" s="128">
        <f t="shared" si="91"/>
        <v>13500</v>
      </c>
      <c r="AZ97" s="90">
        <f t="shared" si="92"/>
        <v>3700</v>
      </c>
      <c r="BA97" s="90">
        <f t="shared" si="93"/>
        <v>9100</v>
      </c>
      <c r="BB97" s="90">
        <f t="shared" ca="1" si="143"/>
        <v>4450</v>
      </c>
      <c r="BC97" s="90">
        <f t="shared" ca="1" si="144"/>
        <v>30750</v>
      </c>
      <c r="BD97" s="90"/>
      <c r="BE97" s="90">
        <f t="shared" ca="1" si="94"/>
        <v>30750</v>
      </c>
      <c r="BF97" s="142">
        <f t="shared" ca="1" si="95"/>
        <v>0.43902439024390244</v>
      </c>
      <c r="BG97" s="142">
        <f t="shared" ca="1" si="96"/>
        <v>0.12032520325203253</v>
      </c>
      <c r="BH97" s="142">
        <f t="shared" ca="1" si="97"/>
        <v>0.29593495934959352</v>
      </c>
      <c r="BI97" s="142">
        <f t="shared" ca="1" si="98"/>
        <v>0.14471544715447154</v>
      </c>
      <c r="BJ97" s="143"/>
      <c r="BK97" s="128">
        <f ca="1">INDEX(商城宝箱!$L:$L,MATCH(BC97,商城宝箱!$N:$N,1))</f>
        <v>7</v>
      </c>
      <c r="BL97" s="90">
        <f ca="1">_xlfn.IFNA(INDEX(商城宝箱!T:T,MATCH(玩家节奏1!$BK97,商城宝箱!$L:$L,0)),0)+($BC97-INDEX(商城宝箱!$N:$N,MATCH(玩家节奏1!$BK97,商城宝箱!$L:$L,0)))/$BK$5*INDEX(商城宝箱!E$23:E$42,MATCH(玩家节奏1!$BK97+1,商城宝箱!$C$23:$C$42,0))</f>
        <v>76875</v>
      </c>
      <c r="BM97" s="90">
        <f ca="1">_xlfn.IFNA(INDEX(商城宝箱!U:U,MATCH(玩家节奏1!$BK97,商城宝箱!$L:$L,0)),0)+($BC97-INDEX(商城宝箱!$N:$N,MATCH(玩家节奏1!$BK97,商城宝箱!$L:$L,0)))/$BK$5*INDEX(商城宝箱!F$23:F$42,MATCH(玩家节奏1!$BK97+1,商城宝箱!$C$23:$C$42,0))</f>
        <v>33800</v>
      </c>
      <c r="BN97" s="90">
        <f ca="1">_xlfn.IFNA(INDEX(商城宝箱!V:V,MATCH(玩家节奏1!$BK97,商城宝箱!$L:$L,0)),0)+($BC97-INDEX(商城宝箱!$N:$N,MATCH(玩家节奏1!$BK97,商城宝箱!$L:$L,0)))/$BK$5*INDEX(商城宝箱!G$23:G$42,MATCH(玩家节奏1!$BK97+1,商城宝箱!$C$23:$C$42,0))</f>
        <v>20534.5</v>
      </c>
      <c r="BO97" s="90">
        <f ca="1">_xlfn.IFNA(INDEX(商城宝箱!W:W,MATCH(玩家节奏1!$BK97,商城宝箱!$L:$L,0)),0)+($BC97-INDEX(商城宝箱!$N:$N,MATCH(玩家节奏1!$BK97,商城宝箱!$L:$L,0)))/$BK$5*INDEX(商城宝箱!H$23:H$42,MATCH(玩家节奏1!$BK97+1,商城宝箱!$C$23:$C$42,0))</f>
        <v>2749</v>
      </c>
      <c r="BQ97" s="128">
        <f t="shared" si="82"/>
        <v>1547500</v>
      </c>
      <c r="BR97" s="90">
        <f t="shared" si="83"/>
        <v>217610</v>
      </c>
      <c r="BS97" s="90">
        <f t="shared" ca="1" si="84"/>
        <v>499520</v>
      </c>
      <c r="BT97" s="90">
        <f t="shared" si="85"/>
        <v>12200</v>
      </c>
      <c r="BU97" s="90">
        <f t="shared" si="86"/>
        <v>74000</v>
      </c>
      <c r="BV97" s="90">
        <f t="shared" si="87"/>
        <v>45500</v>
      </c>
      <c r="BW97" s="90">
        <f t="shared" ca="1" si="99"/>
        <v>76875</v>
      </c>
      <c r="BX97" s="90">
        <f t="shared" ca="1" si="100"/>
        <v>2473205</v>
      </c>
      <c r="BY97" s="142">
        <f t="shared" ca="1" si="101"/>
        <v>0.62570632034141938</v>
      </c>
      <c r="BZ97" s="142">
        <f t="shared" ca="1" si="102"/>
        <v>8.7987045149916815E-2</v>
      </c>
      <c r="CA97" s="142">
        <f t="shared" ca="1" si="103"/>
        <v>0.20197274386878564</v>
      </c>
      <c r="CB97" s="142">
        <f t="shared" ca="1" si="104"/>
        <v>4.9328705060842108E-3</v>
      </c>
      <c r="CC97" s="142">
        <f t="shared" ca="1" si="105"/>
        <v>2.9920689954937015E-2</v>
      </c>
      <c r="CD97" s="142">
        <f t="shared" ca="1" si="106"/>
        <v>1.8397180985805867E-2</v>
      </c>
      <c r="CE97" s="142">
        <f t="shared" ca="1" si="107"/>
        <v>3.1083149193051121E-2</v>
      </c>
      <c r="CG97" s="128">
        <f t="shared" si="108"/>
        <v>75</v>
      </c>
      <c r="CH97" s="90">
        <f ca="1">INDEX(角色升级!$A:$A,MATCH(玩家节奏1!$BX97,角色升级!$J:$J,1))</f>
        <v>452</v>
      </c>
      <c r="CI97" s="90">
        <f ca="1">INDEX(角色升级!$O:$O,MATCH(玩家节奏1!$BX97,角色升级!$J:$J,1))</f>
        <v>15136.20213</v>
      </c>
      <c r="CJ97" s="90">
        <f>INDEX(关卡对比!$J:$J,MATCH(玩家节奏1!N97,关卡对比!$A:$A,0))</f>
        <v>23700</v>
      </c>
      <c r="CK97" s="147">
        <f t="shared" ca="1" si="109"/>
        <v>1.5657824728058121</v>
      </c>
      <c r="CL97" s="128">
        <f ca="1">INDEX(角色升级!$P:$P,MATCH(玩家节奏1!$CH97,角色升级!$A:$A,0))</f>
        <v>4450</v>
      </c>
      <c r="CM97" s="90">
        <f ca="1">INDEX(角色升级!Q:Q,MATCH(玩家节奏1!$CH97,角色升级!$A:$A,0))</f>
        <v>0.7</v>
      </c>
      <c r="CO97" s="128">
        <f t="shared" si="110"/>
        <v>10866</v>
      </c>
      <c r="CP97" s="90">
        <f t="shared" si="111"/>
        <v>14616</v>
      </c>
      <c r="CQ97" s="90">
        <f t="shared" si="112"/>
        <v>12864</v>
      </c>
      <c r="CR97" s="90">
        <f t="shared" ca="1" si="113"/>
        <v>33800</v>
      </c>
      <c r="CS97" s="90">
        <f t="shared" ca="1" si="114"/>
        <v>72146</v>
      </c>
      <c r="CT97" s="142">
        <f t="shared" ca="1" si="115"/>
        <v>0.1506112604995426</v>
      </c>
      <c r="CU97" s="142">
        <f t="shared" ca="1" si="116"/>
        <v>0.20258919413411694</v>
      </c>
      <c r="CV97" s="142">
        <f t="shared" ca="1" si="117"/>
        <v>0.17830510354004381</v>
      </c>
      <c r="CW97" s="142">
        <f t="shared" ca="1" si="118"/>
        <v>0.46849444182629668</v>
      </c>
      <c r="CY97" s="128">
        <f t="shared" si="119"/>
        <v>5434</v>
      </c>
      <c r="CZ97" s="90">
        <f t="shared" si="120"/>
        <v>7201</v>
      </c>
      <c r="DA97" s="90">
        <f t="shared" si="121"/>
        <v>6672</v>
      </c>
      <c r="DB97" s="90">
        <f t="shared" ca="1" si="122"/>
        <v>20534.5</v>
      </c>
      <c r="DC97" s="90">
        <f t="shared" ca="1" si="123"/>
        <v>39841.5</v>
      </c>
      <c r="DD97" s="142">
        <f t="shared" ca="1" si="124"/>
        <v>0.13639044714681928</v>
      </c>
      <c r="DE97" s="142">
        <f t="shared" ca="1" si="125"/>
        <v>0.18074118695330246</v>
      </c>
      <c r="DF97" s="142">
        <f t="shared" ca="1" si="126"/>
        <v>0.16746357441361395</v>
      </c>
      <c r="DG97" s="142">
        <f t="shared" ca="1" si="127"/>
        <v>0.51540479148626428</v>
      </c>
      <c r="DI97" s="128">
        <f t="shared" si="128"/>
        <v>2488</v>
      </c>
      <c r="DJ97" s="90">
        <f t="shared" si="129"/>
        <v>3327</v>
      </c>
      <c r="DK97" s="90">
        <f t="shared" si="130"/>
        <v>2144</v>
      </c>
      <c r="DL97" s="90">
        <f t="shared" ca="1" si="131"/>
        <v>2749</v>
      </c>
      <c r="DM97" s="90">
        <f t="shared" ca="1" si="132"/>
        <v>10708</v>
      </c>
      <c r="DN97" s="142">
        <f t="shared" ca="1" si="133"/>
        <v>0.23234964512514009</v>
      </c>
      <c r="DO97" s="142">
        <f t="shared" ca="1" si="134"/>
        <v>0.31070227867015315</v>
      </c>
      <c r="DP97" s="142">
        <f t="shared" ca="1" si="135"/>
        <v>0.20022413149047441</v>
      </c>
      <c r="DQ97" s="142">
        <f t="shared" ca="1" si="136"/>
        <v>0.25672394471423238</v>
      </c>
      <c r="DS97" s="128">
        <f t="shared" ca="1" si="137"/>
        <v>72146</v>
      </c>
      <c r="DT97" s="90">
        <f t="shared" ca="1" si="138"/>
        <v>39841.5</v>
      </c>
      <c r="DU97" s="90">
        <f t="shared" ca="1" si="139"/>
        <v>10708</v>
      </c>
      <c r="DV97" s="90">
        <f t="shared" si="140"/>
        <v>74</v>
      </c>
      <c r="DW97" s="90">
        <f ca="1">_xlfn.IFNA(INDEX(武器升级消耗!$H:$H,MATCH(玩家节奏1!DS97/玩家节奏1!DS$5,武器升级消耗!M:M,1)),0)</f>
        <v>25</v>
      </c>
      <c r="DX97" s="90">
        <f ca="1">_xlfn.IFNA(INDEX(武器升级消耗!$H:$H,MATCH(玩家节奏1!DT97/玩家节奏1!DT$5,武器升级消耗!N:N,1)),0)</f>
        <v>22</v>
      </c>
      <c r="DY97" s="90">
        <f ca="1">_xlfn.IFNA(INDEX(武器升级消耗!$H:$H,MATCH(玩家节奏1!DU97/玩家节奏1!DU$5,武器升级消耗!O:O,1)),0)</f>
        <v>15</v>
      </c>
      <c r="DZ97" s="90">
        <f>_xlfn.IFNA(INDEX(武器升级消耗!$H:$H,MATCH(玩家节奏1!DV97/玩家节奏1!DV$5,武器升级消耗!P:P,1)),0)</f>
        <v>9</v>
      </c>
      <c r="EA97" s="90">
        <f ca="1">_xlfn.IFNA(INDEX(武器升级消耗!$Q:$Q,MATCH(玩家节奏1!DW97,武器升级消耗!$H:$H,0))*2*EA$4,0)</f>
        <v>3.48</v>
      </c>
      <c r="EB97" s="90">
        <f ca="1">_xlfn.IFNA(INDEX(武器升级消耗!$Q:$Q,MATCH(玩家节奏1!DX97,武器升级消耗!$H:$H,0))*2*EB$4,0)</f>
        <v>3.9000000000000004</v>
      </c>
      <c r="EC97" s="90">
        <f ca="1">_xlfn.IFNA(INDEX(武器升级消耗!$Q:$Q,MATCH(玩家节奏1!DY97,武器升级消耗!$H:$H,0))*2*EC$4,1)</f>
        <v>4.18</v>
      </c>
      <c r="ED97" s="90">
        <f>_xlfn.IFNA(INDEX(武器升级消耗!$Q:$Q,MATCH(玩家节奏1!DZ97,武器升级消耗!$H:$H,0))*2*ED$4,0)</f>
        <v>3.9000000000000004</v>
      </c>
      <c r="EF97" s="128"/>
      <c r="EG97" s="90"/>
      <c r="EH97" s="90"/>
      <c r="EI97" s="90"/>
      <c r="EJ97" s="90"/>
      <c r="EK97" s="90"/>
      <c r="EL97" s="90"/>
      <c r="EM97" s="90"/>
      <c r="EO97" s="128"/>
      <c r="EP97" s="90"/>
      <c r="EQ97" s="90"/>
      <c r="ER97" s="90"/>
      <c r="ES97" s="90"/>
      <c r="ET97" s="90"/>
      <c r="EU97" s="90"/>
      <c r="EV97" s="90"/>
      <c r="EW97" s="90"/>
      <c r="EX97" s="90"/>
      <c r="EY97" s="90"/>
      <c r="EZ97" s="90"/>
      <c r="FA97" s="90"/>
      <c r="FB97" s="90"/>
      <c r="FD97" s="90">
        <f t="shared" ca="1" si="141"/>
        <v>4.18</v>
      </c>
      <c r="FE97" s="90"/>
      <c r="FF97" s="90"/>
      <c r="FG97" s="90">
        <f t="shared" ca="1" si="142"/>
        <v>0</v>
      </c>
    </row>
    <row r="98" spans="1:163" x14ac:dyDescent="0.25">
      <c r="A98" s="123">
        <v>92</v>
      </c>
      <c r="B98" s="123">
        <f>INDEX(关卡对比!$Y:$Y,MATCH(关卡对比!Z98,关卡对比!$AA:$AA,1))</f>
        <v>59</v>
      </c>
      <c r="C98" s="124">
        <f>INDEX(关卡对比!$Y:$Y,MATCH(关卡对比!Z98,关卡对比!$AB:$AB,1))</f>
        <v>49</v>
      </c>
      <c r="D98" s="125">
        <f t="shared" si="145"/>
        <v>569.5</v>
      </c>
      <c r="E98" s="125">
        <v>3</v>
      </c>
      <c r="F98" s="128">
        <v>5</v>
      </c>
      <c r="G98" s="90">
        <v>1</v>
      </c>
      <c r="H98" s="90">
        <v>1</v>
      </c>
      <c r="J98" s="128">
        <v>92</v>
      </c>
      <c r="K98" s="90">
        <f t="shared" si="88"/>
        <v>5</v>
      </c>
      <c r="L98" s="90">
        <f t="shared" si="89"/>
        <v>1</v>
      </c>
      <c r="M98" s="90">
        <f t="shared" si="90"/>
        <v>1</v>
      </c>
      <c r="N98" s="140">
        <f>INDEX($A:$A,MATCH(SUM($K$7:K98),$D:$D,1))</f>
        <v>76</v>
      </c>
      <c r="O98" s="140">
        <v>0</v>
      </c>
      <c r="P98" s="141">
        <v>0</v>
      </c>
      <c r="Q98" s="126">
        <f>_xlfn.MAXIFS(关卡产出!X:X,关卡产出!$A:$A,玩家节奏1!$N$6,关卡产出!$B:$B,玩家节奏1!$N98)+_xlfn.MAXIFS(关卡产出!X:X,关卡产出!$A:$A,玩家节奏1!$O$6,关卡产出!$B:$B,玩家节奏1!$O98)+_xlfn.MAXIFS(关卡产出!X:X,关卡产出!$A:$A,玩家节奏1!$P$6,关卡产出!$B:$B,玩家节奏1!$P98)</f>
        <v>13700</v>
      </c>
      <c r="R98" s="90">
        <f>_xlfn.MAXIFS(关卡产出!Y:Y,关卡产出!$A:$A,玩家节奏1!$N$6,关卡产出!$B:$B,玩家节奏1!$N98)+_xlfn.MAXIFS(关卡产出!Y:Y,关卡产出!$A:$A,玩家节奏1!$O$6,关卡产出!$B:$B,玩家节奏1!$O98)+_xlfn.MAXIFS(关卡产出!Y:Y,关卡产出!$A:$A,玩家节奏1!$P$6,关卡产出!$B:$B,玩家节奏1!$P98)</f>
        <v>1590800</v>
      </c>
      <c r="S98" s="90">
        <f>_xlfn.MAXIFS(关卡产出!Z:Z,关卡产出!$A:$A,玩家节奏1!$N$6,关卡产出!$B:$B,玩家节奏1!$N98)+_xlfn.MAXIFS(关卡产出!Z:Z,关卡产出!$A:$A,玩家节奏1!$O$6,关卡产出!$B:$B,玩家节奏1!$O98)+_xlfn.MAXIFS(关卡产出!Z:Z,关卡产出!$A:$A,玩家节奏1!$P$6,关卡产出!$B:$B,玩家节奏1!$P98)</f>
        <v>11162</v>
      </c>
      <c r="T98" s="90">
        <f>_xlfn.MAXIFS(关卡产出!AA:AA,关卡产出!$A:$A,玩家节奏1!$N$6,关卡产出!$B:$B,玩家节奏1!$N98)+_xlfn.MAXIFS(关卡产出!AA:AA,关卡产出!$A:$A,玩家节奏1!$O$6,关卡产出!$B:$B,玩家节奏1!$O98)+_xlfn.MAXIFS(关卡产出!AA:AA,关卡产出!$A:$A,玩家节奏1!$P$6,关卡产出!$B:$B,玩家节奏1!$P98)</f>
        <v>5582</v>
      </c>
      <c r="U98" s="90">
        <f>_xlfn.MAXIFS(关卡产出!AB:AB,关卡产出!$A:$A,玩家节奏1!$N$6,关卡产出!$B:$B,玩家节奏1!$N98)+_xlfn.MAXIFS(关卡产出!AB:AB,关卡产出!$A:$A,玩家节奏1!$O$6,关卡产出!$B:$B,玩家节奏1!$O98)+_xlfn.MAXIFS(关卡产出!AB:AB,关卡产出!$A:$A,玩家节奏1!$P$6,关卡产出!$B:$B,玩家节奏1!$P98)</f>
        <v>2559</v>
      </c>
      <c r="V98" s="130">
        <f>_xlfn.MAXIFS(关卡产出!AC:AC,关卡产出!$A:$A,玩家节奏1!$N$6,关卡产出!$B:$B,玩家节奏1!$N98)+_xlfn.MAXIFS(关卡产出!AC:AC,关卡产出!$A:$A,玩家节奏1!$O$6,关卡产出!$B:$B,玩家节奏1!$O98)+_xlfn.MAXIFS(关卡产出!AC:AC,关卡产出!$A:$A,玩家节奏1!$P$6,关卡产出!$B:$B,玩家节奏1!$P98)</f>
        <v>456</v>
      </c>
      <c r="W98" s="126">
        <f>INDEX(关卡产出!C$8:C$207,MATCH(玩家节奏1!$N98,关卡产出!$B$8:$B$207,0))*$K98</f>
        <v>295</v>
      </c>
      <c r="X98" s="126">
        <f>INDEX(关卡产出!D$8:D$207,MATCH(玩家节奏1!$N98,关卡产出!$B$8:$B$207,0))*$K98</f>
        <v>145</v>
      </c>
      <c r="Y98" s="126">
        <f>INDEX(关卡产出!E$8:E$207,MATCH(玩家节奏1!$N98,关卡产出!$B$8:$B$207,0))*$K98</f>
        <v>70</v>
      </c>
      <c r="Z98" s="144">
        <f>INDEX(关卡产出!F$8:F$207,MATCH(玩家节奏1!$N98,关卡产出!$B$8:$B$207,0))*$K98</f>
        <v>4050</v>
      </c>
      <c r="AA98" s="126">
        <f>SUM(W$7:W98)</f>
        <v>14911</v>
      </c>
      <c r="AB98" s="126">
        <f>SUM(X$7:X98)</f>
        <v>7346</v>
      </c>
      <c r="AC98" s="126">
        <f>SUM(Y$7:Y98)</f>
        <v>3397</v>
      </c>
      <c r="AD98" s="126">
        <f>SUM(Z$7:Z98)</f>
        <v>221660</v>
      </c>
      <c r="AE98" s="126">
        <f>INDEX(图鉴!AQ:AQ,MATCH($N98,图鉴!$S:$S,0))*8</f>
        <v>168</v>
      </c>
      <c r="AF98" s="90">
        <f>INDEX(图鉴!AR:AR,MATCH($N98,图鉴!$S:$S,0))*8</f>
        <v>112</v>
      </c>
      <c r="AG98" s="90">
        <f>INDEX(图鉴!AS:AS,MATCH($N98,图鉴!$S:$S,0))*8</f>
        <v>40</v>
      </c>
      <c r="AH98" s="129">
        <f ca="1">INDEX(图鉴!AT:AT,MATCH($N98,图鉴!$S:$S,0))*8</f>
        <v>8320</v>
      </c>
      <c r="AI98" s="128">
        <f>SUM($AE$7:AE98)</f>
        <v>13032</v>
      </c>
      <c r="AJ98" s="90">
        <f>SUM(AF$7:AF98)</f>
        <v>6784</v>
      </c>
      <c r="AK98" s="90">
        <f>SUM(AG$7:AG98)</f>
        <v>2184</v>
      </c>
      <c r="AL98" s="130">
        <f ca="1">SUM(AH$7:AH98)</f>
        <v>507840</v>
      </c>
      <c r="AM98" s="133">
        <f>IF(M98=0,0,INDEX(关卡产出!$AU$11:$AU$15,MATCH(玩家节奏1!N98,关卡产出!$AW$11:$AW$15,1))*M98)</f>
        <v>12200</v>
      </c>
      <c r="AN98" s="126">
        <f>IF(L98=0,0,$L98*关卡产出!AU$21)</f>
        <v>1000</v>
      </c>
      <c r="AO98" s="90">
        <f>IF(M98=0,0,$L98*关卡产出!AV$21)</f>
        <v>50</v>
      </c>
      <c r="AP98" s="129">
        <f>IF(N98=0,0,$L98*关卡产出!AW$21)</f>
        <v>1</v>
      </c>
      <c r="AQ98" s="138">
        <f>SUM(AN$7:AN98)</f>
        <v>75000</v>
      </c>
      <c r="AR98" s="126">
        <f>SUM(AO$7:AO98)</f>
        <v>3750</v>
      </c>
      <c r="AS98" s="129">
        <f>SUM(AP$7:AP98)</f>
        <v>75</v>
      </c>
      <c r="AT98" s="128">
        <v>500</v>
      </c>
      <c r="AU98" s="129">
        <v>100</v>
      </c>
      <c r="AV98" s="128">
        <f>SUM(AT$7:AT98)</f>
        <v>46000</v>
      </c>
      <c r="AW98" s="90">
        <f>SUM(AU$7:AU98)</f>
        <v>9200</v>
      </c>
      <c r="AY98" s="128">
        <f t="shared" si="91"/>
        <v>13700</v>
      </c>
      <c r="AZ98" s="90">
        <f t="shared" si="92"/>
        <v>3750</v>
      </c>
      <c r="BA98" s="90">
        <f t="shared" si="93"/>
        <v>9200</v>
      </c>
      <c r="BB98" s="90">
        <f t="shared" ca="1" si="143"/>
        <v>4450</v>
      </c>
      <c r="BC98" s="90">
        <f t="shared" ca="1" si="144"/>
        <v>31100</v>
      </c>
      <c r="BD98" s="90"/>
      <c r="BE98" s="90">
        <f t="shared" ca="1" si="94"/>
        <v>31100</v>
      </c>
      <c r="BF98" s="142">
        <f t="shared" ca="1" si="95"/>
        <v>0.44051446945337619</v>
      </c>
      <c r="BG98" s="142">
        <f t="shared" ca="1" si="96"/>
        <v>0.12057877813504823</v>
      </c>
      <c r="BH98" s="142">
        <f t="shared" ca="1" si="97"/>
        <v>0.29581993569131831</v>
      </c>
      <c r="BI98" s="142">
        <f t="shared" ca="1" si="98"/>
        <v>0.14308681672025725</v>
      </c>
      <c r="BJ98" s="143"/>
      <c r="BK98" s="128">
        <f ca="1">INDEX(商城宝箱!$L:$L,MATCH(BC98,商城宝箱!$N:$N,1))</f>
        <v>7</v>
      </c>
      <c r="BL98" s="90">
        <f ca="1">_xlfn.IFNA(INDEX(商城宝箱!T:T,MATCH(玩家节奏1!$BK98,商城宝箱!$L:$L,0)),0)+($BC98-INDEX(商城宝箱!$N:$N,MATCH(玩家节奏1!$BK98,商城宝箱!$L:$L,0)))/$BK$5*INDEX(商城宝箱!E$23:E$42,MATCH(玩家节奏1!$BK98+1,商城宝箱!$C$23:$C$42,0))</f>
        <v>77750</v>
      </c>
      <c r="BM98" s="90">
        <f ca="1">_xlfn.IFNA(INDEX(商城宝箱!U:U,MATCH(玩家节奏1!$BK98,商城宝箱!$L:$L,0)),0)+($BC98-INDEX(商城宝箱!$N:$N,MATCH(玩家节奏1!$BK98,商城宝箱!$L:$L,0)))/$BK$5*INDEX(商城宝箱!F$23:F$42,MATCH(玩家节奏1!$BK98+1,商城宝箱!$C$23:$C$42,0))</f>
        <v>34412.5</v>
      </c>
      <c r="BN98" s="90">
        <f ca="1">_xlfn.IFNA(INDEX(商城宝箱!V:V,MATCH(玩家节奏1!$BK98,商城宝箱!$L:$L,0)),0)+($BC98-INDEX(商城宝箱!$N:$N,MATCH(玩家节奏1!$BK98,商城宝箱!$L:$L,0)))/$BK$5*INDEX(商城宝箱!G$23:G$42,MATCH(玩家节奏1!$BK98+1,商城宝箱!$C$23:$C$42,0))</f>
        <v>20937</v>
      </c>
      <c r="BO98" s="90">
        <f ca="1">_xlfn.IFNA(INDEX(商城宝箱!W:W,MATCH(玩家节奏1!$BK98,商城宝箱!$L:$L,0)),0)+($BC98-INDEX(商城宝箱!$N:$N,MATCH(玩家节奏1!$BK98,商城宝箱!$L:$L,0)))/$BK$5*INDEX(商城宝箱!H$23:H$42,MATCH(玩家节奏1!$BK98+1,商城宝箱!$C$23:$C$42,0))</f>
        <v>2801.5</v>
      </c>
      <c r="BQ98" s="128">
        <f t="shared" si="82"/>
        <v>1590800</v>
      </c>
      <c r="BR98" s="90">
        <f t="shared" si="83"/>
        <v>221660</v>
      </c>
      <c r="BS98" s="90">
        <f t="shared" ca="1" si="84"/>
        <v>507840</v>
      </c>
      <c r="BT98" s="90">
        <f t="shared" si="85"/>
        <v>12200</v>
      </c>
      <c r="BU98" s="90">
        <f t="shared" si="86"/>
        <v>75000</v>
      </c>
      <c r="BV98" s="90">
        <f t="shared" si="87"/>
        <v>46000</v>
      </c>
      <c r="BW98" s="90">
        <f t="shared" ca="1" si="99"/>
        <v>77750</v>
      </c>
      <c r="BX98" s="90">
        <f t="shared" ca="1" si="100"/>
        <v>2531250</v>
      </c>
      <c r="BY98" s="142">
        <f t="shared" ca="1" si="101"/>
        <v>0.62846419753086424</v>
      </c>
      <c r="BZ98" s="142">
        <f t="shared" ca="1" si="102"/>
        <v>8.7569382716049388E-2</v>
      </c>
      <c r="CA98" s="142">
        <f t="shared" ca="1" si="103"/>
        <v>0.20062814814814814</v>
      </c>
      <c r="CB98" s="142">
        <f t="shared" ca="1" si="104"/>
        <v>4.8197530864197528E-3</v>
      </c>
      <c r="CC98" s="142">
        <f t="shared" ca="1" si="105"/>
        <v>2.9629629629629631E-2</v>
      </c>
      <c r="CD98" s="142">
        <f t="shared" ca="1" si="106"/>
        <v>1.8172839506172839E-2</v>
      </c>
      <c r="CE98" s="142">
        <f t="shared" ca="1" si="107"/>
        <v>3.0716049382716049E-2</v>
      </c>
      <c r="CG98" s="128">
        <f t="shared" si="108"/>
        <v>76</v>
      </c>
      <c r="CH98" s="90">
        <f ca="1">INDEX(角色升级!$A:$A,MATCH(玩家节奏1!$BX98,角色升级!$J:$J,1))</f>
        <v>455</v>
      </c>
      <c r="CI98" s="90">
        <f ca="1">INDEX(角色升级!$O:$O,MATCH(玩家节奏1!$BX98,角色升级!$J:$J,1))</f>
        <v>15728.810370000001</v>
      </c>
      <c r="CJ98" s="90">
        <f>INDEX(关卡对比!$J:$J,MATCH(玩家节奏1!N98,关卡对比!$A:$A,0))</f>
        <v>24200</v>
      </c>
      <c r="CK98" s="147">
        <f t="shared" ca="1" si="109"/>
        <v>1.5385778981834084</v>
      </c>
      <c r="CL98" s="128">
        <f ca="1">INDEX(角色升级!$P:$P,MATCH(玩家节奏1!$CH98,角色升级!$A:$A,0))</f>
        <v>4450</v>
      </c>
      <c r="CM98" s="90">
        <f ca="1">INDEX(角色升级!Q:Q,MATCH(玩家节奏1!$CH98,角色升级!$A:$A,0))</f>
        <v>0.7</v>
      </c>
      <c r="CO98" s="128">
        <f t="shared" si="110"/>
        <v>11162</v>
      </c>
      <c r="CP98" s="90">
        <f t="shared" si="111"/>
        <v>14911</v>
      </c>
      <c r="CQ98" s="90">
        <f t="shared" si="112"/>
        <v>13032</v>
      </c>
      <c r="CR98" s="90">
        <f t="shared" ca="1" si="113"/>
        <v>34412.5</v>
      </c>
      <c r="CS98" s="90">
        <f t="shared" ca="1" si="114"/>
        <v>73517.5</v>
      </c>
      <c r="CT98" s="142">
        <f t="shared" ca="1" si="115"/>
        <v>0.15182779610296868</v>
      </c>
      <c r="CU98" s="142">
        <f t="shared" ca="1" si="116"/>
        <v>0.20282245723807257</v>
      </c>
      <c r="CV98" s="142">
        <f t="shared" ca="1" si="117"/>
        <v>0.17726391675451422</v>
      </c>
      <c r="CW98" s="142">
        <f t="shared" ca="1" si="118"/>
        <v>0.46808582990444453</v>
      </c>
      <c r="CY98" s="128">
        <f t="shared" si="119"/>
        <v>5582</v>
      </c>
      <c r="CZ98" s="90">
        <f t="shared" si="120"/>
        <v>7346</v>
      </c>
      <c r="DA98" s="90">
        <f t="shared" si="121"/>
        <v>6784</v>
      </c>
      <c r="DB98" s="90">
        <f t="shared" ca="1" si="122"/>
        <v>20937</v>
      </c>
      <c r="DC98" s="90">
        <f t="shared" ca="1" si="123"/>
        <v>40649</v>
      </c>
      <c r="DD98" s="142">
        <f t="shared" ca="1" si="124"/>
        <v>0.13732195133951636</v>
      </c>
      <c r="DE98" s="142">
        <f t="shared" ca="1" si="125"/>
        <v>0.18071785283770819</v>
      </c>
      <c r="DF98" s="142">
        <f t="shared" ca="1" si="126"/>
        <v>0.16689217446923663</v>
      </c>
      <c r="DG98" s="142">
        <f t="shared" ca="1" si="127"/>
        <v>0.5150680213535388</v>
      </c>
      <c r="DI98" s="128">
        <f t="shared" si="128"/>
        <v>2559</v>
      </c>
      <c r="DJ98" s="90">
        <f t="shared" si="129"/>
        <v>3397</v>
      </c>
      <c r="DK98" s="90">
        <f t="shared" si="130"/>
        <v>2184</v>
      </c>
      <c r="DL98" s="90">
        <f t="shared" ca="1" si="131"/>
        <v>2801.5</v>
      </c>
      <c r="DM98" s="90">
        <f t="shared" ca="1" si="132"/>
        <v>10941.5</v>
      </c>
      <c r="DN98" s="142">
        <f t="shared" ca="1" si="133"/>
        <v>0.23388018096239091</v>
      </c>
      <c r="DO98" s="142">
        <f t="shared" ca="1" si="134"/>
        <v>0.31046931407942241</v>
      </c>
      <c r="DP98" s="142">
        <f t="shared" ca="1" si="135"/>
        <v>0.19960700086825389</v>
      </c>
      <c r="DQ98" s="142">
        <f t="shared" ca="1" si="136"/>
        <v>0.25604350408993282</v>
      </c>
      <c r="DS98" s="128">
        <f t="shared" ca="1" si="137"/>
        <v>73517.5</v>
      </c>
      <c r="DT98" s="90">
        <f t="shared" ca="1" si="138"/>
        <v>40649</v>
      </c>
      <c r="DU98" s="90">
        <f t="shared" ca="1" si="139"/>
        <v>10941.5</v>
      </c>
      <c r="DV98" s="90">
        <f t="shared" si="140"/>
        <v>75</v>
      </c>
      <c r="DW98" s="90">
        <f ca="1">_xlfn.IFNA(INDEX(武器升级消耗!$H:$H,MATCH(玩家节奏1!DS98/玩家节奏1!DS$5,武器升级消耗!M:M,1)),0)</f>
        <v>25</v>
      </c>
      <c r="DX98" s="90">
        <f ca="1">_xlfn.IFNA(INDEX(武器升级消耗!$H:$H,MATCH(玩家节奏1!DT98/玩家节奏1!DT$5,武器升级消耗!N:N,1)),0)</f>
        <v>22</v>
      </c>
      <c r="DY98" s="90">
        <f ca="1">_xlfn.IFNA(INDEX(武器升级消耗!$H:$H,MATCH(玩家节奏1!DU98/玩家节奏1!DU$5,武器升级消耗!O:O,1)),0)</f>
        <v>15</v>
      </c>
      <c r="DZ98" s="90">
        <f>_xlfn.IFNA(INDEX(武器升级消耗!$H:$H,MATCH(玩家节奏1!DV98/玩家节奏1!DV$5,武器升级消耗!P:P,1)),0)</f>
        <v>9</v>
      </c>
      <c r="EA98" s="90">
        <f ca="1">_xlfn.IFNA(INDEX(武器升级消耗!$Q:$Q,MATCH(玩家节奏1!DW98,武器升级消耗!$H:$H,0))*2*EA$4,0)</f>
        <v>3.48</v>
      </c>
      <c r="EB98" s="90">
        <f ca="1">_xlfn.IFNA(INDEX(武器升级消耗!$Q:$Q,MATCH(玩家节奏1!DX98,武器升级消耗!$H:$H,0))*2*EB$4,0)</f>
        <v>3.9000000000000004</v>
      </c>
      <c r="EC98" s="90">
        <f ca="1">_xlfn.IFNA(INDEX(武器升级消耗!$Q:$Q,MATCH(玩家节奏1!DY98,武器升级消耗!$H:$H,0))*2*EC$4,1)</f>
        <v>4.18</v>
      </c>
      <c r="ED98" s="90">
        <f>_xlfn.IFNA(INDEX(武器升级消耗!$Q:$Q,MATCH(玩家节奏1!DZ98,武器升级消耗!$H:$H,0))*2*ED$4,0)</f>
        <v>3.9000000000000004</v>
      </c>
      <c r="EF98" s="128"/>
      <c r="EG98" s="90"/>
      <c r="EH98" s="90"/>
      <c r="EI98" s="90"/>
      <c r="EJ98" s="90"/>
      <c r="EK98" s="90"/>
      <c r="EL98" s="90"/>
      <c r="EM98" s="90"/>
      <c r="EO98" s="128"/>
      <c r="EP98" s="90"/>
      <c r="EQ98" s="90"/>
      <c r="ER98" s="90"/>
      <c r="ES98" s="90"/>
      <c r="ET98" s="90"/>
      <c r="EU98" s="90"/>
      <c r="EV98" s="90"/>
      <c r="EW98" s="90"/>
      <c r="EX98" s="90"/>
      <c r="EY98" s="90"/>
      <c r="EZ98" s="90"/>
      <c r="FA98" s="90"/>
      <c r="FB98" s="90"/>
      <c r="FD98" s="90">
        <f t="shared" ca="1" si="141"/>
        <v>4.18</v>
      </c>
      <c r="FE98" s="90"/>
      <c r="FF98" s="90"/>
      <c r="FG98" s="90">
        <f t="shared" ca="1" si="142"/>
        <v>0</v>
      </c>
    </row>
    <row r="99" spans="1:163" x14ac:dyDescent="0.25">
      <c r="A99" s="123">
        <v>93</v>
      </c>
      <c r="B99" s="123">
        <f>INDEX(关卡对比!$Y:$Y,MATCH(关卡对比!Z99,关卡对比!$AA:$AA,1))</f>
        <v>60</v>
      </c>
      <c r="C99" s="124">
        <f>INDEX(关卡对比!$Y:$Y,MATCH(关卡对比!Z99,关卡对比!$AB:$AB,1))</f>
        <v>49</v>
      </c>
      <c r="D99" s="125">
        <f t="shared" si="145"/>
        <v>575.5</v>
      </c>
      <c r="E99" s="125">
        <v>3</v>
      </c>
      <c r="F99" s="128">
        <v>5</v>
      </c>
      <c r="G99" s="90">
        <v>1</v>
      </c>
      <c r="H99" s="90">
        <v>1</v>
      </c>
      <c r="J99" s="128">
        <v>93</v>
      </c>
      <c r="K99" s="90">
        <f t="shared" si="88"/>
        <v>5</v>
      </c>
      <c r="L99" s="90">
        <f t="shared" si="89"/>
        <v>1</v>
      </c>
      <c r="M99" s="90">
        <f t="shared" si="90"/>
        <v>1</v>
      </c>
      <c r="N99" s="140">
        <f>INDEX($A:$A,MATCH(SUM($K$7:K99),$D:$D,1))</f>
        <v>77</v>
      </c>
      <c r="O99" s="140">
        <v>0</v>
      </c>
      <c r="P99" s="141">
        <v>0</v>
      </c>
      <c r="Q99" s="126">
        <f>_xlfn.MAXIFS(关卡产出!X:X,关卡产出!$A:$A,玩家节奏1!$N$6,关卡产出!$B:$B,玩家节奏1!$N99)+_xlfn.MAXIFS(关卡产出!X:X,关卡产出!$A:$A,玩家节奏1!$O$6,关卡产出!$B:$B,玩家节奏1!$O99)+_xlfn.MAXIFS(关卡产出!X:X,关卡产出!$A:$A,玩家节奏1!$P$6,关卡产出!$B:$B,玩家节奏1!$P99)</f>
        <v>13900</v>
      </c>
      <c r="R99" s="90">
        <f>_xlfn.MAXIFS(关卡产出!Y:Y,关卡产出!$A:$A,玩家节奏1!$N$6,关卡产出!$B:$B,玩家节奏1!$N99)+_xlfn.MAXIFS(关卡产出!Y:Y,关卡产出!$A:$A,玩家节奏1!$O$6,关卡产出!$B:$B,玩家节奏1!$O99)+_xlfn.MAXIFS(关卡产出!Y:Y,关卡产出!$A:$A,玩家节奏1!$P$6,关卡产出!$B:$B,玩家节奏1!$P99)</f>
        <v>1634700</v>
      </c>
      <c r="S99" s="90">
        <f>_xlfn.MAXIFS(关卡产出!Z:Z,关卡产出!$A:$A,玩家节奏1!$N$6,关卡产出!$B:$B,玩家节奏1!$N99)+_xlfn.MAXIFS(关卡产出!Z:Z,关卡产出!$A:$A,玩家节奏1!$O$6,关卡产出!$B:$B,玩家节奏1!$O99)+_xlfn.MAXIFS(关卡产出!Z:Z,关卡产出!$A:$A,玩家节奏1!$P$6,关卡产出!$B:$B,玩家节奏1!$P99)</f>
        <v>11462</v>
      </c>
      <c r="T99" s="90">
        <f>_xlfn.MAXIFS(关卡产出!AA:AA,关卡产出!$A:$A,玩家节奏1!$N$6,关卡产出!$B:$B,玩家节奏1!$N99)+_xlfn.MAXIFS(关卡产出!AA:AA,关卡产出!$A:$A,玩家节奏1!$O$6,关卡产出!$B:$B,玩家节奏1!$O99)+_xlfn.MAXIFS(关卡产出!AA:AA,关卡产出!$A:$A,玩家节奏1!$P$6,关卡产出!$B:$B,玩家节奏1!$P99)</f>
        <v>5732</v>
      </c>
      <c r="U99" s="90">
        <f>_xlfn.MAXIFS(关卡产出!AB:AB,关卡产出!$A:$A,玩家节奏1!$N$6,关卡产出!$B:$B,玩家节奏1!$N99)+_xlfn.MAXIFS(关卡产出!AB:AB,关卡产出!$A:$A,玩家节奏1!$O$6,关卡产出!$B:$B,玩家节奏1!$O99)+_xlfn.MAXIFS(关卡产出!AB:AB,关卡产出!$A:$A,玩家节奏1!$P$6,关卡产出!$B:$B,玩家节奏1!$P99)</f>
        <v>2631</v>
      </c>
      <c r="V99" s="130">
        <f>_xlfn.MAXIFS(关卡产出!AC:AC,关卡产出!$A:$A,玩家节奏1!$N$6,关卡产出!$B:$B,玩家节奏1!$N99)+_xlfn.MAXIFS(关卡产出!AC:AC,关卡产出!$A:$A,玩家节奏1!$O$6,关卡产出!$B:$B,玩家节奏1!$O99)+_xlfn.MAXIFS(关卡产出!AC:AC,关卡产出!$A:$A,玩家节奏1!$P$6,关卡产出!$B:$B,玩家节奏1!$P99)</f>
        <v>462</v>
      </c>
      <c r="W99" s="126">
        <f>INDEX(关卡产出!C$8:C$207,MATCH(玩家节奏1!$N99,关卡产出!$B$8:$B$207,0))*$K99</f>
        <v>300</v>
      </c>
      <c r="X99" s="126">
        <f>INDEX(关卡产出!D$8:D$207,MATCH(玩家节奏1!$N99,关卡产出!$B$8:$B$207,0))*$K99</f>
        <v>150</v>
      </c>
      <c r="Y99" s="126">
        <f>INDEX(关卡产出!E$8:E$207,MATCH(玩家节奏1!$N99,关卡产出!$B$8:$B$207,0))*$K99</f>
        <v>70</v>
      </c>
      <c r="Z99" s="144">
        <f>INDEX(关卡产出!F$8:F$207,MATCH(玩家节奏1!$N99,关卡产出!$B$8:$B$207,0))*$K99</f>
        <v>4150</v>
      </c>
      <c r="AA99" s="126">
        <f>SUM(W$7:W99)</f>
        <v>15211</v>
      </c>
      <c r="AB99" s="126">
        <f>SUM(X$7:X99)</f>
        <v>7496</v>
      </c>
      <c r="AC99" s="126">
        <f>SUM(Y$7:Y99)</f>
        <v>3467</v>
      </c>
      <c r="AD99" s="126">
        <f>SUM(Z$7:Z99)</f>
        <v>225810</v>
      </c>
      <c r="AE99" s="126">
        <f>INDEX(图鉴!AQ:AQ,MATCH($N99,图鉴!$S:$S,0))*8</f>
        <v>168</v>
      </c>
      <c r="AF99" s="90">
        <f>INDEX(图鉴!AR:AR,MATCH($N99,图鉴!$S:$S,0))*8</f>
        <v>112</v>
      </c>
      <c r="AG99" s="90">
        <f>INDEX(图鉴!AS:AS,MATCH($N99,图鉴!$S:$S,0))*8</f>
        <v>40</v>
      </c>
      <c r="AH99" s="129">
        <f ca="1">INDEX(图鉴!AT:AT,MATCH($N99,图鉴!$S:$S,0))*8</f>
        <v>8320</v>
      </c>
      <c r="AI99" s="128">
        <f>SUM($AE$7:AE99)</f>
        <v>13200</v>
      </c>
      <c r="AJ99" s="90">
        <f>SUM(AF$7:AF99)</f>
        <v>6896</v>
      </c>
      <c r="AK99" s="90">
        <f>SUM(AG$7:AG99)</f>
        <v>2224</v>
      </c>
      <c r="AL99" s="130">
        <f ca="1">SUM(AH$7:AH99)</f>
        <v>516160</v>
      </c>
      <c r="AM99" s="133">
        <f>IF(M99=0,0,INDEX(关卡产出!$AU$11:$AU$15,MATCH(玩家节奏1!N99,关卡产出!$AW$11:$AW$15,1))*M99)</f>
        <v>12200</v>
      </c>
      <c r="AN99" s="126">
        <f>IF(L99=0,0,$L99*关卡产出!AU$21)</f>
        <v>1000</v>
      </c>
      <c r="AO99" s="90">
        <f>IF(M99=0,0,$L99*关卡产出!AV$21)</f>
        <v>50</v>
      </c>
      <c r="AP99" s="129">
        <f>IF(N99=0,0,$L99*关卡产出!AW$21)</f>
        <v>1</v>
      </c>
      <c r="AQ99" s="138">
        <f>SUM(AN$7:AN99)</f>
        <v>76000</v>
      </c>
      <c r="AR99" s="126">
        <f>SUM(AO$7:AO99)</f>
        <v>3800</v>
      </c>
      <c r="AS99" s="129">
        <f>SUM(AP$7:AP99)</f>
        <v>76</v>
      </c>
      <c r="AT99" s="128">
        <v>500</v>
      </c>
      <c r="AU99" s="129">
        <v>100</v>
      </c>
      <c r="AV99" s="128">
        <f>SUM(AT$7:AT99)</f>
        <v>46500</v>
      </c>
      <c r="AW99" s="90">
        <f>SUM(AU$7:AU99)</f>
        <v>9300</v>
      </c>
      <c r="AY99" s="128">
        <f t="shared" si="91"/>
        <v>13900</v>
      </c>
      <c r="AZ99" s="90">
        <f t="shared" si="92"/>
        <v>3800</v>
      </c>
      <c r="BA99" s="90">
        <f t="shared" si="93"/>
        <v>9300</v>
      </c>
      <c r="BB99" s="90">
        <f t="shared" ca="1" si="143"/>
        <v>4450</v>
      </c>
      <c r="BC99" s="90">
        <f t="shared" ca="1" si="144"/>
        <v>31450</v>
      </c>
      <c r="BD99" s="90"/>
      <c r="BE99" s="90">
        <f t="shared" ca="1" si="94"/>
        <v>31450</v>
      </c>
      <c r="BF99" s="142">
        <f t="shared" ca="1" si="95"/>
        <v>0.44197138314785372</v>
      </c>
      <c r="BG99" s="142">
        <f t="shared" ca="1" si="96"/>
        <v>0.12082670906200318</v>
      </c>
      <c r="BH99" s="142">
        <f t="shared" ca="1" si="97"/>
        <v>0.29570747217806043</v>
      </c>
      <c r="BI99" s="142">
        <f t="shared" ca="1" si="98"/>
        <v>0.14149443561208266</v>
      </c>
      <c r="BJ99" s="143"/>
      <c r="BK99" s="128">
        <f ca="1">INDEX(商城宝箱!$L:$L,MATCH(BC99,商城宝箱!$N:$N,1))</f>
        <v>7</v>
      </c>
      <c r="BL99" s="90">
        <f ca="1">_xlfn.IFNA(INDEX(商城宝箱!T:T,MATCH(玩家节奏1!$BK99,商城宝箱!$L:$L,0)),0)+($BC99-INDEX(商城宝箱!$N:$N,MATCH(玩家节奏1!$BK99,商城宝箱!$L:$L,0)))/$BK$5*INDEX(商城宝箱!E$23:E$42,MATCH(玩家节奏1!$BK99+1,商城宝箱!$C$23:$C$42,0))</f>
        <v>78625</v>
      </c>
      <c r="BM99" s="90">
        <f ca="1">_xlfn.IFNA(INDEX(商城宝箱!U:U,MATCH(玩家节奏1!$BK99,商城宝箱!$L:$L,0)),0)+($BC99-INDEX(商城宝箱!$N:$N,MATCH(玩家节奏1!$BK99,商城宝箱!$L:$L,0)))/$BK$5*INDEX(商城宝箱!F$23:F$42,MATCH(玩家节奏1!$BK99+1,商城宝箱!$C$23:$C$42,0))</f>
        <v>35025</v>
      </c>
      <c r="BN99" s="90">
        <f ca="1">_xlfn.IFNA(INDEX(商城宝箱!V:V,MATCH(玩家节奏1!$BK99,商城宝箱!$L:$L,0)),0)+($BC99-INDEX(商城宝箱!$N:$N,MATCH(玩家节奏1!$BK99,商城宝箱!$L:$L,0)))/$BK$5*INDEX(商城宝箱!G$23:G$42,MATCH(玩家节奏1!$BK99+1,商城宝箱!$C$23:$C$42,0))</f>
        <v>21339.5</v>
      </c>
      <c r="BO99" s="90">
        <f ca="1">_xlfn.IFNA(INDEX(商城宝箱!W:W,MATCH(玩家节奏1!$BK99,商城宝箱!$L:$L,0)),0)+($BC99-INDEX(商城宝箱!$N:$N,MATCH(玩家节奏1!$BK99,商城宝箱!$L:$L,0)))/$BK$5*INDEX(商城宝箱!H$23:H$42,MATCH(玩家节奏1!$BK99+1,商城宝箱!$C$23:$C$42,0))</f>
        <v>2854</v>
      </c>
      <c r="BQ99" s="128">
        <f t="shared" si="82"/>
        <v>1634700</v>
      </c>
      <c r="BR99" s="90">
        <f t="shared" si="83"/>
        <v>225810</v>
      </c>
      <c r="BS99" s="90">
        <f t="shared" ca="1" si="84"/>
        <v>516160</v>
      </c>
      <c r="BT99" s="90">
        <f t="shared" si="85"/>
        <v>12200</v>
      </c>
      <c r="BU99" s="90">
        <f t="shared" si="86"/>
        <v>76000</v>
      </c>
      <c r="BV99" s="90">
        <f t="shared" si="87"/>
        <v>46500</v>
      </c>
      <c r="BW99" s="90">
        <f t="shared" ca="1" si="99"/>
        <v>78625</v>
      </c>
      <c r="BX99" s="90">
        <f t="shared" ca="1" si="100"/>
        <v>2589995</v>
      </c>
      <c r="BY99" s="142">
        <f t="shared" ca="1" si="101"/>
        <v>0.63115951961297223</v>
      </c>
      <c r="BZ99" s="142">
        <f t="shared" ca="1" si="102"/>
        <v>8.7185496497097489E-2</v>
      </c>
      <c r="CA99" s="142">
        <f t="shared" ca="1" si="103"/>
        <v>0.19928996001922783</v>
      </c>
      <c r="CB99" s="142">
        <f t="shared" ca="1" si="104"/>
        <v>4.7104338039262623E-3</v>
      </c>
      <c r="CC99" s="142">
        <f t="shared" ca="1" si="105"/>
        <v>2.9343685991671798E-2</v>
      </c>
      <c r="CD99" s="142">
        <f t="shared" ca="1" si="106"/>
        <v>1.7953702613325507E-2</v>
      </c>
      <c r="CE99" s="142">
        <f t="shared" ca="1" si="107"/>
        <v>3.0357201461778883E-2</v>
      </c>
      <c r="CG99" s="128">
        <f t="shared" si="108"/>
        <v>77</v>
      </c>
      <c r="CH99" s="90">
        <f ca="1">INDEX(角色升级!$A:$A,MATCH(玩家节奏1!$BX99,角色升级!$J:$J,1))</f>
        <v>457</v>
      </c>
      <c r="CI99" s="90">
        <f ca="1">INDEX(角色升级!$O:$O,MATCH(玩家节奏1!$BX99,角色升级!$J:$J,1))</f>
        <v>16123.882530000001</v>
      </c>
      <c r="CJ99" s="90">
        <f>INDEX(关卡对比!$J:$J,MATCH(玩家节奏1!N99,关卡对比!$A:$A,0))</f>
        <v>24700</v>
      </c>
      <c r="CK99" s="147">
        <f t="shared" ca="1" si="109"/>
        <v>1.5318891063640117</v>
      </c>
      <c r="CL99" s="128">
        <f ca="1">INDEX(角色升级!$P:$P,MATCH(玩家节奏1!$CH99,角色升级!$A:$A,0))</f>
        <v>4450</v>
      </c>
      <c r="CM99" s="90">
        <f ca="1">INDEX(角色升级!Q:Q,MATCH(玩家节奏1!$CH99,角色升级!$A:$A,0))</f>
        <v>0.7</v>
      </c>
      <c r="CO99" s="128">
        <f t="shared" si="110"/>
        <v>11462</v>
      </c>
      <c r="CP99" s="90">
        <f t="shared" si="111"/>
        <v>15211</v>
      </c>
      <c r="CQ99" s="90">
        <f t="shared" si="112"/>
        <v>13200</v>
      </c>
      <c r="CR99" s="90">
        <f t="shared" ca="1" si="113"/>
        <v>35025</v>
      </c>
      <c r="CS99" s="90">
        <f t="shared" ca="1" si="114"/>
        <v>74898</v>
      </c>
      <c r="CT99" s="142">
        <f t="shared" ca="1" si="115"/>
        <v>0.15303479398648828</v>
      </c>
      <c r="CU99" s="142">
        <f t="shared" ca="1" si="116"/>
        <v>0.20308953510107078</v>
      </c>
      <c r="CV99" s="142">
        <f t="shared" ca="1" si="117"/>
        <v>0.17623968597292317</v>
      </c>
      <c r="CW99" s="142">
        <f t="shared" ca="1" si="118"/>
        <v>0.46763598493951775</v>
      </c>
      <c r="CY99" s="128">
        <f t="shared" si="119"/>
        <v>5732</v>
      </c>
      <c r="CZ99" s="90">
        <f t="shared" si="120"/>
        <v>7496</v>
      </c>
      <c r="DA99" s="90">
        <f t="shared" si="121"/>
        <v>6896</v>
      </c>
      <c r="DB99" s="90">
        <f t="shared" ca="1" si="122"/>
        <v>21339.5</v>
      </c>
      <c r="DC99" s="90">
        <f t="shared" ca="1" si="123"/>
        <v>41463.5</v>
      </c>
      <c r="DD99" s="142">
        <f t="shared" ca="1" si="124"/>
        <v>0.13824206832515346</v>
      </c>
      <c r="DE99" s="142">
        <f t="shared" ca="1" si="125"/>
        <v>0.18078551014747909</v>
      </c>
      <c r="DF99" s="142">
        <f t="shared" ca="1" si="126"/>
        <v>0.16631495170451119</v>
      </c>
      <c r="DG99" s="142">
        <f t="shared" ca="1" si="127"/>
        <v>0.51465746982285621</v>
      </c>
      <c r="DI99" s="128">
        <f t="shared" si="128"/>
        <v>2631</v>
      </c>
      <c r="DJ99" s="90">
        <f t="shared" si="129"/>
        <v>3467</v>
      </c>
      <c r="DK99" s="90">
        <f t="shared" si="130"/>
        <v>2224</v>
      </c>
      <c r="DL99" s="90">
        <f t="shared" ca="1" si="131"/>
        <v>2854</v>
      </c>
      <c r="DM99" s="90">
        <f t="shared" ca="1" si="132"/>
        <v>11176</v>
      </c>
      <c r="DN99" s="142">
        <f t="shared" ca="1" si="133"/>
        <v>0.23541517537580531</v>
      </c>
      <c r="DO99" s="142">
        <f t="shared" ca="1" si="134"/>
        <v>0.3102183249821045</v>
      </c>
      <c r="DP99" s="142">
        <f t="shared" ca="1" si="135"/>
        <v>0.19899785254115962</v>
      </c>
      <c r="DQ99" s="142">
        <f t="shared" ca="1" si="136"/>
        <v>0.25536864710093055</v>
      </c>
      <c r="DS99" s="128">
        <f t="shared" ca="1" si="137"/>
        <v>74898</v>
      </c>
      <c r="DT99" s="90">
        <f t="shared" ca="1" si="138"/>
        <v>41463.5</v>
      </c>
      <c r="DU99" s="90">
        <f t="shared" ca="1" si="139"/>
        <v>11176</v>
      </c>
      <c r="DV99" s="90">
        <f t="shared" si="140"/>
        <v>76</v>
      </c>
      <c r="DW99" s="90">
        <f ca="1">_xlfn.IFNA(INDEX(武器升级消耗!$H:$H,MATCH(玩家节奏1!DS99/玩家节奏1!DS$5,武器升级消耗!M:M,1)),0)</f>
        <v>26</v>
      </c>
      <c r="DX99" s="90">
        <f ca="1">_xlfn.IFNA(INDEX(武器升级消耗!$H:$H,MATCH(玩家节奏1!DT99/玩家节奏1!DT$5,武器升级消耗!N:N,1)),0)</f>
        <v>22</v>
      </c>
      <c r="DY99" s="90">
        <f ca="1">_xlfn.IFNA(INDEX(武器升级消耗!$H:$H,MATCH(玩家节奏1!DU99/玩家节奏1!DU$5,武器升级消耗!O:O,1)),0)</f>
        <v>15</v>
      </c>
      <c r="DZ99" s="90">
        <f>_xlfn.IFNA(INDEX(武器升级消耗!$H:$H,MATCH(玩家节奏1!DV99/玩家节奏1!DV$5,武器升级消耗!P:P,1)),0)</f>
        <v>9</v>
      </c>
      <c r="EA99" s="90">
        <f ca="1">_xlfn.IFNA(INDEX(武器升级消耗!$Q:$Q,MATCH(玩家节奏1!DW99,武器升级消耗!$H:$H,0))*2*EA$4,0)</f>
        <v>3.5999999999999996</v>
      </c>
      <c r="EB99" s="90">
        <f ca="1">_xlfn.IFNA(INDEX(武器升级消耗!$Q:$Q,MATCH(玩家节奏1!DX99,武器升级消耗!$H:$H,0))*2*EB$4,0)</f>
        <v>3.9000000000000004</v>
      </c>
      <c r="EC99" s="90">
        <f ca="1">_xlfn.IFNA(INDEX(武器升级消耗!$Q:$Q,MATCH(玩家节奏1!DY99,武器升级消耗!$H:$H,0))*2*EC$4,1)</f>
        <v>4.18</v>
      </c>
      <c r="ED99" s="90">
        <f>_xlfn.IFNA(INDEX(武器升级消耗!$Q:$Q,MATCH(玩家节奏1!DZ99,武器升级消耗!$H:$H,0))*2*ED$4,0)</f>
        <v>3.9000000000000004</v>
      </c>
      <c r="EF99" s="128"/>
      <c r="EG99" s="90"/>
      <c r="EH99" s="90"/>
      <c r="EI99" s="90"/>
      <c r="EJ99" s="90"/>
      <c r="EK99" s="90"/>
      <c r="EL99" s="90"/>
      <c r="EM99" s="90"/>
      <c r="EO99" s="128"/>
      <c r="EP99" s="90"/>
      <c r="EQ99" s="90"/>
      <c r="ER99" s="90"/>
      <c r="ES99" s="90"/>
      <c r="ET99" s="90"/>
      <c r="EU99" s="90"/>
      <c r="EV99" s="90"/>
      <c r="EW99" s="90"/>
      <c r="EX99" s="90"/>
      <c r="EY99" s="90"/>
      <c r="EZ99" s="90"/>
      <c r="FA99" s="90"/>
      <c r="FB99" s="90"/>
      <c r="FD99" s="90">
        <f t="shared" ca="1" si="141"/>
        <v>4.18</v>
      </c>
      <c r="FE99" s="90"/>
      <c r="FF99" s="90"/>
      <c r="FG99" s="90">
        <f t="shared" ca="1" si="142"/>
        <v>0</v>
      </c>
    </row>
    <row r="100" spans="1:163" x14ac:dyDescent="0.25">
      <c r="A100" s="123">
        <v>94</v>
      </c>
      <c r="B100" s="123">
        <f>INDEX(关卡对比!$Y:$Y,MATCH(关卡对比!Z100,关卡对比!$AA:$AA,1))</f>
        <v>60</v>
      </c>
      <c r="C100" s="124">
        <f>INDEX(关卡对比!$Y:$Y,MATCH(关卡对比!Z100,关卡对比!$AB:$AB,1))</f>
        <v>49</v>
      </c>
      <c r="D100" s="125">
        <f t="shared" si="145"/>
        <v>578.5</v>
      </c>
      <c r="E100" s="125">
        <v>3</v>
      </c>
      <c r="F100" s="128">
        <v>5</v>
      </c>
      <c r="G100" s="90">
        <v>1</v>
      </c>
      <c r="H100" s="90">
        <v>1</v>
      </c>
      <c r="J100" s="128">
        <v>94</v>
      </c>
      <c r="K100" s="90">
        <f t="shared" si="88"/>
        <v>5</v>
      </c>
      <c r="L100" s="90">
        <f t="shared" si="89"/>
        <v>1</v>
      </c>
      <c r="M100" s="90">
        <f t="shared" si="90"/>
        <v>1</v>
      </c>
      <c r="N100" s="140">
        <f>INDEX($A:$A,MATCH(SUM($K$7:K100),$D:$D,1))</f>
        <v>78</v>
      </c>
      <c r="O100" s="140">
        <v>0</v>
      </c>
      <c r="P100" s="141">
        <v>0</v>
      </c>
      <c r="Q100" s="126">
        <f>_xlfn.MAXIFS(关卡产出!X:X,关卡产出!$A:$A,玩家节奏1!$N$6,关卡产出!$B:$B,玩家节奏1!$N100)+_xlfn.MAXIFS(关卡产出!X:X,关卡产出!$A:$A,玩家节奏1!$O$6,关卡产出!$B:$B,玩家节奏1!$O100)+_xlfn.MAXIFS(关卡产出!X:X,关卡产出!$A:$A,玩家节奏1!$P$6,关卡产出!$B:$B,玩家节奏1!$P100)</f>
        <v>14100</v>
      </c>
      <c r="R100" s="90">
        <f>_xlfn.MAXIFS(关卡产出!Y:Y,关卡产出!$A:$A,玩家节奏1!$N$6,关卡产出!$B:$B,玩家节奏1!$N100)+_xlfn.MAXIFS(关卡产出!Y:Y,关卡产出!$A:$A,玩家节奏1!$O$6,关卡产出!$B:$B,玩家节奏1!$O100)+_xlfn.MAXIFS(关卡产出!Y:Y,关卡产出!$A:$A,玩家节奏1!$P$6,关卡产出!$B:$B,玩家节奏1!$P100)</f>
        <v>1679200</v>
      </c>
      <c r="S100" s="90">
        <f>_xlfn.MAXIFS(关卡产出!Z:Z,关卡产出!$A:$A,玩家节奏1!$N$6,关卡产出!$B:$B,玩家节奏1!$N100)+_xlfn.MAXIFS(关卡产出!Z:Z,关卡产出!$A:$A,玩家节奏1!$O$6,关卡产出!$B:$B,玩家节奏1!$O100)+_xlfn.MAXIFS(关卡产出!Z:Z,关卡产出!$A:$A,玩家节奏1!$P$6,关卡产出!$B:$B,玩家节奏1!$P100)</f>
        <v>11766</v>
      </c>
      <c r="T100" s="90">
        <f>_xlfn.MAXIFS(关卡产出!AA:AA,关卡产出!$A:$A,玩家节奏1!$N$6,关卡产出!$B:$B,玩家节奏1!$N100)+_xlfn.MAXIFS(关卡产出!AA:AA,关卡产出!$A:$A,玩家节奏1!$O$6,关卡产出!$B:$B,玩家节奏1!$O100)+_xlfn.MAXIFS(关卡产出!AA:AA,关卡产出!$A:$A,玩家节奏1!$P$6,关卡产出!$B:$B,玩家节奏1!$P100)</f>
        <v>5884</v>
      </c>
      <c r="U100" s="90">
        <f>_xlfn.MAXIFS(关卡产出!AB:AB,关卡产出!$A:$A,玩家节奏1!$N$6,关卡产出!$B:$B,玩家节奏1!$N100)+_xlfn.MAXIFS(关卡产出!AB:AB,关卡产出!$A:$A,玩家节奏1!$O$6,关卡产出!$B:$B,玩家节奏1!$O100)+_xlfn.MAXIFS(关卡产出!AB:AB,关卡产出!$A:$A,玩家节奏1!$P$6,关卡产出!$B:$B,玩家节奏1!$P100)</f>
        <v>2704</v>
      </c>
      <c r="V100" s="130">
        <f>_xlfn.MAXIFS(关卡产出!AC:AC,关卡产出!$A:$A,玩家节奏1!$N$6,关卡产出!$B:$B,玩家节奏1!$N100)+_xlfn.MAXIFS(关卡产出!AC:AC,关卡产出!$A:$A,玩家节奏1!$O$6,关卡产出!$B:$B,玩家节奏1!$O100)+_xlfn.MAXIFS(关卡产出!AC:AC,关卡产出!$A:$A,玩家节奏1!$P$6,关卡产出!$B:$B,玩家节奏1!$P100)</f>
        <v>468</v>
      </c>
      <c r="W100" s="126">
        <f>INDEX(关卡产出!C$8:C$207,MATCH(玩家节奏1!$N100,关卡产出!$B$8:$B$207,0))*$K100</f>
        <v>305</v>
      </c>
      <c r="X100" s="126">
        <f>INDEX(关卡产出!D$8:D$207,MATCH(玩家节奏1!$N100,关卡产出!$B$8:$B$207,0))*$K100</f>
        <v>150</v>
      </c>
      <c r="Y100" s="126">
        <f>INDEX(关卡产出!E$8:E$207,MATCH(玩家节奏1!$N100,关卡产出!$B$8:$B$207,0))*$K100</f>
        <v>75</v>
      </c>
      <c r="Z100" s="144">
        <f>INDEX(关卡产出!F$8:F$207,MATCH(玩家节奏1!$N100,关卡产出!$B$8:$B$207,0))*$K100</f>
        <v>4150</v>
      </c>
      <c r="AA100" s="126">
        <f>SUM(W$7:W100)</f>
        <v>15516</v>
      </c>
      <c r="AB100" s="126">
        <f>SUM(X$7:X100)</f>
        <v>7646</v>
      </c>
      <c r="AC100" s="126">
        <f>SUM(Y$7:Y100)</f>
        <v>3542</v>
      </c>
      <c r="AD100" s="126">
        <f>SUM(Z$7:Z100)</f>
        <v>229960</v>
      </c>
      <c r="AE100" s="126">
        <f>INDEX(图鉴!AQ:AQ,MATCH($N100,图鉴!$S:$S,0))*8</f>
        <v>168</v>
      </c>
      <c r="AF100" s="90">
        <f>INDEX(图鉴!AR:AR,MATCH($N100,图鉴!$S:$S,0))*8</f>
        <v>112</v>
      </c>
      <c r="AG100" s="90">
        <f>INDEX(图鉴!AS:AS,MATCH($N100,图鉴!$S:$S,0))*8</f>
        <v>40</v>
      </c>
      <c r="AH100" s="129">
        <f ca="1">INDEX(图鉴!AT:AT,MATCH($N100,图鉴!$S:$S,0))*8</f>
        <v>8320</v>
      </c>
      <c r="AI100" s="128">
        <f>SUM($AE$7:AE100)</f>
        <v>13368</v>
      </c>
      <c r="AJ100" s="90">
        <f>SUM(AF$7:AF100)</f>
        <v>7008</v>
      </c>
      <c r="AK100" s="90">
        <f>SUM(AG$7:AG100)</f>
        <v>2264</v>
      </c>
      <c r="AL100" s="130">
        <f ca="1">SUM(AH$7:AH100)</f>
        <v>524480</v>
      </c>
      <c r="AM100" s="133">
        <f>IF(M100=0,0,INDEX(关卡产出!$AU$11:$AU$15,MATCH(玩家节奏1!N100,关卡产出!$AW$11:$AW$15,1))*M100)</f>
        <v>12200</v>
      </c>
      <c r="AN100" s="126">
        <f>IF(L100=0,0,$L100*关卡产出!AU$21)</f>
        <v>1000</v>
      </c>
      <c r="AO100" s="90">
        <f>IF(M100=0,0,$L100*关卡产出!AV$21)</f>
        <v>50</v>
      </c>
      <c r="AP100" s="129">
        <f>IF(N100=0,0,$L100*关卡产出!AW$21)</f>
        <v>1</v>
      </c>
      <c r="AQ100" s="138">
        <f>SUM(AN$7:AN100)</f>
        <v>77000</v>
      </c>
      <c r="AR100" s="126">
        <f>SUM(AO$7:AO100)</f>
        <v>3850</v>
      </c>
      <c r="AS100" s="129">
        <f>SUM(AP$7:AP100)</f>
        <v>77</v>
      </c>
      <c r="AT100" s="128">
        <v>500</v>
      </c>
      <c r="AU100" s="129">
        <v>100</v>
      </c>
      <c r="AV100" s="128">
        <f>SUM(AT$7:AT100)</f>
        <v>47000</v>
      </c>
      <c r="AW100" s="90">
        <f>SUM(AU$7:AU100)</f>
        <v>9400</v>
      </c>
      <c r="AY100" s="128">
        <f t="shared" si="91"/>
        <v>14100</v>
      </c>
      <c r="AZ100" s="90">
        <f t="shared" si="92"/>
        <v>3850</v>
      </c>
      <c r="BA100" s="90">
        <f t="shared" si="93"/>
        <v>9400</v>
      </c>
      <c r="BB100" s="90">
        <f t="shared" ca="1" si="143"/>
        <v>4450</v>
      </c>
      <c r="BC100" s="90">
        <f t="shared" ca="1" si="144"/>
        <v>31800</v>
      </c>
      <c r="BD100" s="90"/>
      <c r="BE100" s="90">
        <f t="shared" ca="1" si="94"/>
        <v>31800</v>
      </c>
      <c r="BF100" s="142">
        <f t="shared" ca="1" si="95"/>
        <v>0.44339622641509435</v>
      </c>
      <c r="BG100" s="142">
        <f t="shared" ca="1" si="96"/>
        <v>0.12106918238993711</v>
      </c>
      <c r="BH100" s="142">
        <f t="shared" ca="1" si="97"/>
        <v>0.29559748427672955</v>
      </c>
      <c r="BI100" s="142">
        <f t="shared" ca="1" si="98"/>
        <v>0.13993710691823899</v>
      </c>
      <c r="BJ100" s="143"/>
      <c r="BK100" s="128">
        <f ca="1">INDEX(商城宝箱!$L:$L,MATCH(BC100,商城宝箱!$N:$N,1))</f>
        <v>7</v>
      </c>
      <c r="BL100" s="90">
        <f ca="1">_xlfn.IFNA(INDEX(商城宝箱!T:T,MATCH(玩家节奏1!$BK100,商城宝箱!$L:$L,0)),0)+($BC100-INDEX(商城宝箱!$N:$N,MATCH(玩家节奏1!$BK100,商城宝箱!$L:$L,0)))/$BK$5*INDEX(商城宝箱!E$23:E$42,MATCH(玩家节奏1!$BK100+1,商城宝箱!$C$23:$C$42,0))</f>
        <v>79500</v>
      </c>
      <c r="BM100" s="90">
        <f ca="1">_xlfn.IFNA(INDEX(商城宝箱!U:U,MATCH(玩家节奏1!$BK100,商城宝箱!$L:$L,0)),0)+($BC100-INDEX(商城宝箱!$N:$N,MATCH(玩家节奏1!$BK100,商城宝箱!$L:$L,0)))/$BK$5*INDEX(商城宝箱!F$23:F$42,MATCH(玩家节奏1!$BK100+1,商城宝箱!$C$23:$C$42,0))</f>
        <v>35637.5</v>
      </c>
      <c r="BN100" s="90">
        <f ca="1">_xlfn.IFNA(INDEX(商城宝箱!V:V,MATCH(玩家节奏1!$BK100,商城宝箱!$L:$L,0)),0)+($BC100-INDEX(商城宝箱!$N:$N,MATCH(玩家节奏1!$BK100,商城宝箱!$L:$L,0)))/$BK$5*INDEX(商城宝箱!G$23:G$42,MATCH(玩家节奏1!$BK100+1,商城宝箱!$C$23:$C$42,0))</f>
        <v>21742</v>
      </c>
      <c r="BO100" s="90">
        <f ca="1">_xlfn.IFNA(INDEX(商城宝箱!W:W,MATCH(玩家节奏1!$BK100,商城宝箱!$L:$L,0)),0)+($BC100-INDEX(商城宝箱!$N:$N,MATCH(玩家节奏1!$BK100,商城宝箱!$L:$L,0)))/$BK$5*INDEX(商城宝箱!H$23:H$42,MATCH(玩家节奏1!$BK100+1,商城宝箱!$C$23:$C$42,0))</f>
        <v>2906.5</v>
      </c>
      <c r="BQ100" s="128">
        <f t="shared" si="82"/>
        <v>1679200</v>
      </c>
      <c r="BR100" s="90">
        <f t="shared" si="83"/>
        <v>229960</v>
      </c>
      <c r="BS100" s="90">
        <f t="shared" ca="1" si="84"/>
        <v>524480</v>
      </c>
      <c r="BT100" s="90">
        <f t="shared" si="85"/>
        <v>12200</v>
      </c>
      <c r="BU100" s="90">
        <f t="shared" si="86"/>
        <v>77000</v>
      </c>
      <c r="BV100" s="90">
        <f t="shared" si="87"/>
        <v>47000</v>
      </c>
      <c r="BW100" s="90">
        <f t="shared" ca="1" si="99"/>
        <v>79500</v>
      </c>
      <c r="BX100" s="90">
        <f t="shared" ca="1" si="100"/>
        <v>2649340</v>
      </c>
      <c r="BY100" s="142">
        <f t="shared" ca="1" si="101"/>
        <v>0.63381823397525416</v>
      </c>
      <c r="BZ100" s="142">
        <f t="shared" ca="1" si="102"/>
        <v>8.6798976348826495E-2</v>
      </c>
      <c r="CA100" s="142">
        <f t="shared" ca="1" si="103"/>
        <v>0.19796628594291407</v>
      </c>
      <c r="CB100" s="142">
        <f t="shared" ca="1" si="104"/>
        <v>4.6049204707587551E-3</v>
      </c>
      <c r="CC100" s="142">
        <f t="shared" ca="1" si="105"/>
        <v>2.90638423154446E-2</v>
      </c>
      <c r="CD100" s="142">
        <f t="shared" ca="1" si="106"/>
        <v>1.7740267387349302E-2</v>
      </c>
      <c r="CE100" s="142">
        <f t="shared" ca="1" si="107"/>
        <v>3.0007473559452543E-2</v>
      </c>
      <c r="CG100" s="128">
        <f t="shared" si="108"/>
        <v>78</v>
      </c>
      <c r="CH100" s="90">
        <f ca="1">INDEX(角色升级!$A:$A,MATCH(玩家节奏1!$BX100,角色升级!$J:$J,1))</f>
        <v>460</v>
      </c>
      <c r="CI100" s="90">
        <f ca="1">INDEX(角色升级!$O:$O,MATCH(玩家节奏1!$BX100,角色升级!$J:$J,1))</f>
        <v>16716.49077</v>
      </c>
      <c r="CJ100" s="90">
        <f>INDEX(关卡对比!$J:$J,MATCH(玩家节奏1!N100,关卡对比!$A:$A,0))</f>
        <v>25200</v>
      </c>
      <c r="CK100" s="147">
        <f t="shared" ca="1" si="109"/>
        <v>1.5074934294956692</v>
      </c>
      <c r="CL100" s="128">
        <f ca="1">INDEX(角色升级!$P:$P,MATCH(玩家节奏1!$CH100,角色升级!$A:$A,0))</f>
        <v>5150</v>
      </c>
      <c r="CM100" s="90">
        <f ca="1">INDEX(角色升级!Q:Q,MATCH(玩家节奏1!$CH100,角色升级!$A:$A,0))</f>
        <v>0.7</v>
      </c>
      <c r="CO100" s="128">
        <f t="shared" si="110"/>
        <v>11766</v>
      </c>
      <c r="CP100" s="90">
        <f t="shared" si="111"/>
        <v>15516</v>
      </c>
      <c r="CQ100" s="90">
        <f t="shared" si="112"/>
        <v>13368</v>
      </c>
      <c r="CR100" s="90">
        <f t="shared" ca="1" si="113"/>
        <v>35637.5</v>
      </c>
      <c r="CS100" s="90">
        <f t="shared" ca="1" si="114"/>
        <v>76287.5</v>
      </c>
      <c r="CT100" s="142">
        <f t="shared" ca="1" si="115"/>
        <v>0.15423234474848435</v>
      </c>
      <c r="CU100" s="142">
        <f t="shared" ca="1" si="116"/>
        <v>0.20338849746026544</v>
      </c>
      <c r="CV100" s="142">
        <f t="shared" ca="1" si="117"/>
        <v>0.17523185318695722</v>
      </c>
      <c r="CW100" s="142">
        <f t="shared" ca="1" si="118"/>
        <v>0.46714730460429299</v>
      </c>
      <c r="CY100" s="128">
        <f t="shared" si="119"/>
        <v>5884</v>
      </c>
      <c r="CZ100" s="90">
        <f t="shared" si="120"/>
        <v>7646</v>
      </c>
      <c r="DA100" s="90">
        <f t="shared" si="121"/>
        <v>7008</v>
      </c>
      <c r="DB100" s="90">
        <f t="shared" ca="1" si="122"/>
        <v>21742</v>
      </c>
      <c r="DC100" s="90">
        <f t="shared" ca="1" si="123"/>
        <v>42280</v>
      </c>
      <c r="DD100" s="142">
        <f t="shared" ca="1" si="124"/>
        <v>0.1391674550614948</v>
      </c>
      <c r="DE100" s="142">
        <f t="shared" ca="1" si="125"/>
        <v>0.18084200567644276</v>
      </c>
      <c r="DF100" s="142">
        <f t="shared" ca="1" si="126"/>
        <v>0.16575212866603595</v>
      </c>
      <c r="DG100" s="142">
        <f t="shared" ca="1" si="127"/>
        <v>0.51423841059602649</v>
      </c>
      <c r="DI100" s="128">
        <f t="shared" si="128"/>
        <v>2704</v>
      </c>
      <c r="DJ100" s="90">
        <f t="shared" si="129"/>
        <v>3542</v>
      </c>
      <c r="DK100" s="90">
        <f t="shared" si="130"/>
        <v>2264</v>
      </c>
      <c r="DL100" s="90">
        <f t="shared" ca="1" si="131"/>
        <v>2906.5</v>
      </c>
      <c r="DM100" s="90">
        <f t="shared" ca="1" si="132"/>
        <v>11416.5</v>
      </c>
      <c r="DN100" s="142">
        <f t="shared" ca="1" si="133"/>
        <v>0.2368501729952262</v>
      </c>
      <c r="DO100" s="142">
        <f t="shared" ca="1" si="134"/>
        <v>0.31025270441904262</v>
      </c>
      <c r="DP100" s="142">
        <f t="shared" ca="1" si="135"/>
        <v>0.19830946437174266</v>
      </c>
      <c r="DQ100" s="142">
        <f t="shared" ca="1" si="136"/>
        <v>0.25458765821398854</v>
      </c>
      <c r="DS100" s="128">
        <f t="shared" ca="1" si="137"/>
        <v>76287.5</v>
      </c>
      <c r="DT100" s="90">
        <f t="shared" ca="1" si="138"/>
        <v>42280</v>
      </c>
      <c r="DU100" s="90">
        <f t="shared" ca="1" si="139"/>
        <v>11416.5</v>
      </c>
      <c r="DV100" s="90">
        <f t="shared" si="140"/>
        <v>77</v>
      </c>
      <c r="DW100" s="90">
        <f ca="1">_xlfn.IFNA(INDEX(武器升级消耗!$H:$H,MATCH(玩家节奏1!DS100/玩家节奏1!DS$5,武器升级消耗!M:M,1)),0)</f>
        <v>26</v>
      </c>
      <c r="DX100" s="90">
        <f ca="1">_xlfn.IFNA(INDEX(武器升级消耗!$H:$H,MATCH(玩家节奏1!DT100/玩家节奏1!DT$5,武器升级消耗!N:N,1)),0)</f>
        <v>23</v>
      </c>
      <c r="DY100" s="90">
        <f ca="1">_xlfn.IFNA(INDEX(武器升级消耗!$H:$H,MATCH(玩家节奏1!DU100/玩家节奏1!DU$5,武器升级消耗!O:O,1)),0)</f>
        <v>15</v>
      </c>
      <c r="DZ100" s="90">
        <f>_xlfn.IFNA(INDEX(武器升级消耗!$H:$H,MATCH(玩家节奏1!DV100/玩家节奏1!DV$5,武器升级消耗!P:P,1)),0)</f>
        <v>9</v>
      </c>
      <c r="EA100" s="90">
        <f ca="1">_xlfn.IFNA(INDEX(武器升级消耗!$Q:$Q,MATCH(玩家节奏1!DW100,武器升级消耗!$H:$H,0))*2*EA$4,0)</f>
        <v>3.5999999999999996</v>
      </c>
      <c r="EB100" s="90">
        <f ca="1">_xlfn.IFNA(INDEX(武器升级消耗!$Q:$Q,MATCH(玩家节奏1!DX100,武器升级消耗!$H:$H,0))*2*EB$4,0)</f>
        <v>4.0500000000000007</v>
      </c>
      <c r="EC100" s="90">
        <f ca="1">_xlfn.IFNA(INDEX(武器升级消耗!$Q:$Q,MATCH(玩家节奏1!DY100,武器升级消耗!$H:$H,0))*2*EC$4,1)</f>
        <v>4.18</v>
      </c>
      <c r="ED100" s="90">
        <f>_xlfn.IFNA(INDEX(武器升级消耗!$Q:$Q,MATCH(玩家节奏1!DZ100,武器升级消耗!$H:$H,0))*2*ED$4,0)</f>
        <v>3.9000000000000004</v>
      </c>
      <c r="EF100" s="128"/>
      <c r="EG100" s="90"/>
      <c r="EH100" s="90"/>
      <c r="EI100" s="90"/>
      <c r="EJ100" s="90"/>
      <c r="EK100" s="90"/>
      <c r="EL100" s="90"/>
      <c r="EM100" s="90"/>
      <c r="EO100" s="128"/>
      <c r="EP100" s="90"/>
      <c r="EQ100" s="90"/>
      <c r="ER100" s="90"/>
      <c r="ES100" s="90"/>
      <c r="ET100" s="90"/>
      <c r="EU100" s="90"/>
      <c r="EV100" s="90"/>
      <c r="EW100" s="90"/>
      <c r="EX100" s="90"/>
      <c r="EY100" s="90"/>
      <c r="EZ100" s="90"/>
      <c r="FA100" s="90"/>
      <c r="FB100" s="90"/>
      <c r="FD100" s="90">
        <f t="shared" ca="1" si="141"/>
        <v>4.18</v>
      </c>
      <c r="FE100" s="90"/>
      <c r="FF100" s="90"/>
      <c r="FG100" s="90">
        <f t="shared" ca="1" si="142"/>
        <v>0</v>
      </c>
    </row>
    <row r="101" spans="1:163" x14ac:dyDescent="0.25">
      <c r="A101" s="123">
        <v>95</v>
      </c>
      <c r="B101" s="123">
        <f>INDEX(关卡对比!$Y:$Y,MATCH(关卡对比!Z101,关卡对比!$AA:$AA,1))</f>
        <v>61</v>
      </c>
      <c r="C101" s="124">
        <f>INDEX(关卡对比!$Y:$Y,MATCH(关卡对比!Z101,关卡对比!$AB:$AB,1))</f>
        <v>50</v>
      </c>
      <c r="D101" s="125">
        <f t="shared" si="145"/>
        <v>587.5</v>
      </c>
      <c r="E101" s="125">
        <v>3</v>
      </c>
      <c r="F101" s="128">
        <v>5</v>
      </c>
      <c r="G101" s="90">
        <v>1</v>
      </c>
      <c r="H101" s="90">
        <v>1</v>
      </c>
      <c r="J101" s="128">
        <v>95</v>
      </c>
      <c r="K101" s="90">
        <f t="shared" si="88"/>
        <v>5</v>
      </c>
      <c r="L101" s="90">
        <f t="shared" si="89"/>
        <v>1</v>
      </c>
      <c r="M101" s="90">
        <f t="shared" si="90"/>
        <v>1</v>
      </c>
      <c r="N101" s="140">
        <f>INDEX($A:$A,MATCH(SUM($K$7:K101),$D:$D,1))</f>
        <v>79</v>
      </c>
      <c r="O101" s="140">
        <v>0</v>
      </c>
      <c r="P101" s="141">
        <v>0</v>
      </c>
      <c r="Q101" s="126">
        <f>_xlfn.MAXIFS(关卡产出!X:X,关卡产出!$A:$A,玩家节奏1!$N$6,关卡产出!$B:$B,玩家节奏1!$N101)+_xlfn.MAXIFS(关卡产出!X:X,关卡产出!$A:$A,玩家节奏1!$O$6,关卡产出!$B:$B,玩家节奏1!$O101)+_xlfn.MAXIFS(关卡产出!X:X,关卡产出!$A:$A,玩家节奏1!$P$6,关卡产出!$B:$B,玩家节奏1!$P101)</f>
        <v>14300</v>
      </c>
      <c r="R101" s="90">
        <f>_xlfn.MAXIFS(关卡产出!Y:Y,关卡产出!$A:$A,玩家节奏1!$N$6,关卡产出!$B:$B,玩家节奏1!$N101)+_xlfn.MAXIFS(关卡产出!Y:Y,关卡产出!$A:$A,玩家节奏1!$O$6,关卡产出!$B:$B,玩家节奏1!$O101)+_xlfn.MAXIFS(关卡产出!Y:Y,关卡产出!$A:$A,玩家节奏1!$P$6,关卡产出!$B:$B,玩家节奏1!$P101)</f>
        <v>1724300</v>
      </c>
      <c r="S101" s="90">
        <f>_xlfn.MAXIFS(关卡产出!Z:Z,关卡产出!$A:$A,玩家节奏1!$N$6,关卡产出!$B:$B,玩家节奏1!$N101)+_xlfn.MAXIFS(关卡产出!Z:Z,关卡产出!$A:$A,玩家节奏1!$O$6,关卡产出!$B:$B,玩家节奏1!$O101)+_xlfn.MAXIFS(关卡产出!Z:Z,关卡产出!$A:$A,玩家节奏1!$P$6,关卡产出!$B:$B,玩家节奏1!$P101)</f>
        <v>12074</v>
      </c>
      <c r="T101" s="90">
        <f>_xlfn.MAXIFS(关卡产出!AA:AA,关卡产出!$A:$A,玩家节奏1!$N$6,关卡产出!$B:$B,玩家节奏1!$N101)+_xlfn.MAXIFS(关卡产出!AA:AA,关卡产出!$A:$A,玩家节奏1!$O$6,关卡产出!$B:$B,玩家节奏1!$O101)+_xlfn.MAXIFS(关卡产出!AA:AA,关卡产出!$A:$A,玩家节奏1!$P$6,关卡产出!$B:$B,玩家节奏1!$P101)</f>
        <v>6038</v>
      </c>
      <c r="U101" s="90">
        <f>_xlfn.MAXIFS(关卡产出!AB:AB,关卡产出!$A:$A,玩家节奏1!$N$6,关卡产出!$B:$B,玩家节奏1!$N101)+_xlfn.MAXIFS(关卡产出!AB:AB,关卡产出!$A:$A,玩家节奏1!$O$6,关卡产出!$B:$B,玩家节奏1!$O101)+_xlfn.MAXIFS(关卡产出!AB:AB,关卡产出!$A:$A,玩家节奏1!$P$6,关卡产出!$B:$B,玩家节奏1!$P101)</f>
        <v>2778</v>
      </c>
      <c r="V101" s="130">
        <f>_xlfn.MAXIFS(关卡产出!AC:AC,关卡产出!$A:$A,玩家节奏1!$N$6,关卡产出!$B:$B,玩家节奏1!$N101)+_xlfn.MAXIFS(关卡产出!AC:AC,关卡产出!$A:$A,玩家节奏1!$O$6,关卡产出!$B:$B,玩家节奏1!$O101)+_xlfn.MAXIFS(关卡产出!AC:AC,关卡产出!$A:$A,玩家节奏1!$P$6,关卡产出!$B:$B,玩家节奏1!$P101)</f>
        <v>474</v>
      </c>
      <c r="W101" s="126">
        <f>INDEX(关卡产出!C$8:C$207,MATCH(玩家节奏1!$N101,关卡产出!$B$8:$B$207,0))*$K101</f>
        <v>310</v>
      </c>
      <c r="X101" s="126">
        <f>INDEX(关卡产出!D$8:D$207,MATCH(玩家节奏1!$N101,关卡产出!$B$8:$B$207,0))*$K101</f>
        <v>155</v>
      </c>
      <c r="Y101" s="126">
        <f>INDEX(关卡产出!E$8:E$207,MATCH(玩家节奏1!$N101,关卡产出!$B$8:$B$207,0))*$K101</f>
        <v>75</v>
      </c>
      <c r="Z101" s="144">
        <f>INDEX(关卡产出!F$8:F$207,MATCH(玩家节奏1!$N101,关卡产出!$B$8:$B$207,0))*$K101</f>
        <v>4250</v>
      </c>
      <c r="AA101" s="126">
        <f>SUM(W$7:W101)</f>
        <v>15826</v>
      </c>
      <c r="AB101" s="126">
        <f>SUM(X$7:X101)</f>
        <v>7801</v>
      </c>
      <c r="AC101" s="126">
        <f>SUM(Y$7:Y101)</f>
        <v>3617</v>
      </c>
      <c r="AD101" s="126">
        <f>SUM(Z$7:Z101)</f>
        <v>234210</v>
      </c>
      <c r="AE101" s="126">
        <f>INDEX(图鉴!AQ:AQ,MATCH($N101,图鉴!$S:$S,0))*8</f>
        <v>168</v>
      </c>
      <c r="AF101" s="90">
        <f>INDEX(图鉴!AR:AR,MATCH($N101,图鉴!$S:$S,0))*8</f>
        <v>112</v>
      </c>
      <c r="AG101" s="90">
        <f>INDEX(图鉴!AS:AS,MATCH($N101,图鉴!$S:$S,0))*8</f>
        <v>40</v>
      </c>
      <c r="AH101" s="129">
        <f ca="1">INDEX(图鉴!AT:AT,MATCH($N101,图鉴!$S:$S,0))*8</f>
        <v>8320</v>
      </c>
      <c r="AI101" s="128">
        <f>SUM($AE$7:AE101)</f>
        <v>13536</v>
      </c>
      <c r="AJ101" s="90">
        <f>SUM(AF$7:AF101)</f>
        <v>7120</v>
      </c>
      <c r="AK101" s="90">
        <f>SUM(AG$7:AG101)</f>
        <v>2304</v>
      </c>
      <c r="AL101" s="130">
        <f ca="1">SUM(AH$7:AH101)</f>
        <v>532800</v>
      </c>
      <c r="AM101" s="133">
        <f>IF(M101=0,0,INDEX(关卡产出!$AU$11:$AU$15,MATCH(玩家节奏1!N101,关卡产出!$AW$11:$AW$15,1))*M101)</f>
        <v>12200</v>
      </c>
      <c r="AN101" s="126">
        <f>IF(L101=0,0,$L101*关卡产出!AU$21)</f>
        <v>1000</v>
      </c>
      <c r="AO101" s="90">
        <f>IF(M101=0,0,$L101*关卡产出!AV$21)</f>
        <v>50</v>
      </c>
      <c r="AP101" s="129">
        <f>IF(N101=0,0,$L101*关卡产出!AW$21)</f>
        <v>1</v>
      </c>
      <c r="AQ101" s="138">
        <f>SUM(AN$7:AN101)</f>
        <v>78000</v>
      </c>
      <c r="AR101" s="126">
        <f>SUM(AO$7:AO101)</f>
        <v>3900</v>
      </c>
      <c r="AS101" s="129">
        <f>SUM(AP$7:AP101)</f>
        <v>78</v>
      </c>
      <c r="AT101" s="128">
        <v>500</v>
      </c>
      <c r="AU101" s="129">
        <v>100</v>
      </c>
      <c r="AV101" s="128">
        <f>SUM(AT$7:AT101)</f>
        <v>47500</v>
      </c>
      <c r="AW101" s="90">
        <f>SUM(AU$7:AU101)</f>
        <v>9500</v>
      </c>
      <c r="AY101" s="128">
        <f t="shared" si="91"/>
        <v>14300</v>
      </c>
      <c r="AZ101" s="90">
        <f t="shared" si="92"/>
        <v>3900</v>
      </c>
      <c r="BA101" s="90">
        <f t="shared" si="93"/>
        <v>9500</v>
      </c>
      <c r="BB101" s="90">
        <f t="shared" ca="1" si="143"/>
        <v>5150</v>
      </c>
      <c r="BC101" s="90">
        <f t="shared" ca="1" si="144"/>
        <v>32850</v>
      </c>
      <c r="BD101" s="90"/>
      <c r="BE101" s="90">
        <f t="shared" ca="1" si="94"/>
        <v>32850</v>
      </c>
      <c r="BF101" s="142">
        <f t="shared" ca="1" si="95"/>
        <v>0.43531202435312022</v>
      </c>
      <c r="BG101" s="142">
        <f t="shared" ca="1" si="96"/>
        <v>0.11872146118721461</v>
      </c>
      <c r="BH101" s="142">
        <f t="shared" ca="1" si="97"/>
        <v>0.28919330289193301</v>
      </c>
      <c r="BI101" s="142">
        <f t="shared" ca="1" si="98"/>
        <v>0.15677321156773211</v>
      </c>
      <c r="BJ101" s="143"/>
      <c r="BK101" s="128">
        <f ca="1">INDEX(商城宝箱!$L:$L,MATCH(BC101,商城宝箱!$N:$N,1))</f>
        <v>8</v>
      </c>
      <c r="BL101" s="90">
        <f ca="1">_xlfn.IFNA(INDEX(商城宝箱!T:T,MATCH(玩家节奏1!$BK101,商城宝箱!$L:$L,0)),0)+($BC101-INDEX(商城宝箱!$N:$N,MATCH(玩家节奏1!$BK101,商城宝箱!$L:$L,0)))/$BK$5*INDEX(商城宝箱!E$23:E$42,MATCH(玩家节奏1!$BK101+1,商城宝箱!$C$23:$C$42,0))</f>
        <v>82125</v>
      </c>
      <c r="BM101" s="90">
        <f ca="1">_xlfn.IFNA(INDEX(商城宝箱!U:U,MATCH(玩家节奏1!$BK101,商城宝箱!$L:$L,0)),0)+($BC101-INDEX(商城宝箱!$N:$N,MATCH(玩家节奏1!$BK101,商城宝箱!$L:$L,0)))/$BK$5*INDEX(商城宝箱!F$23:F$42,MATCH(玩家节奏1!$BK101+1,商城宝箱!$C$23:$C$42,0))</f>
        <v>37812.5</v>
      </c>
      <c r="BN101" s="90">
        <f ca="1">_xlfn.IFNA(INDEX(商城宝箱!V:V,MATCH(玩家节奏1!$BK101,商城宝箱!$L:$L,0)),0)+($BC101-INDEX(商城宝箱!$N:$N,MATCH(玩家节奏1!$BK101,商城宝箱!$L:$L,0)))/$BK$5*INDEX(商城宝箱!G$23:G$42,MATCH(玩家节奏1!$BK101+1,商城宝箱!$C$23:$C$42,0))</f>
        <v>23324.5</v>
      </c>
      <c r="BO101" s="90">
        <f ca="1">_xlfn.IFNA(INDEX(商城宝箱!W:W,MATCH(玩家节奏1!$BK101,商城宝箱!$L:$L,0)),0)+($BC101-INDEX(商城宝箱!$N:$N,MATCH(玩家节奏1!$BK101,商城宝箱!$L:$L,0)))/$BK$5*INDEX(商城宝箱!H$23:H$42,MATCH(玩家节奏1!$BK101+1,商城宝箱!$C$23:$C$42,0))</f>
        <v>3094</v>
      </c>
      <c r="BQ101" s="128">
        <f t="shared" si="82"/>
        <v>1724300</v>
      </c>
      <c r="BR101" s="90">
        <f t="shared" si="83"/>
        <v>234210</v>
      </c>
      <c r="BS101" s="90">
        <f t="shared" ca="1" si="84"/>
        <v>532800</v>
      </c>
      <c r="BT101" s="90">
        <f t="shared" si="85"/>
        <v>12200</v>
      </c>
      <c r="BU101" s="90">
        <f t="shared" si="86"/>
        <v>78000</v>
      </c>
      <c r="BV101" s="90">
        <f t="shared" si="87"/>
        <v>47500</v>
      </c>
      <c r="BW101" s="90">
        <f t="shared" ca="1" si="99"/>
        <v>82125</v>
      </c>
      <c r="BX101" s="90">
        <f t="shared" ca="1" si="100"/>
        <v>2711135</v>
      </c>
      <c r="BY101" s="142">
        <f t="shared" ca="1" si="101"/>
        <v>0.63600669092464968</v>
      </c>
      <c r="BZ101" s="142">
        <f t="shared" ca="1" si="102"/>
        <v>8.6388173218965483E-2</v>
      </c>
      <c r="CA101" s="142">
        <f t="shared" ca="1" si="103"/>
        <v>0.19652285850759921</v>
      </c>
      <c r="CB101" s="142">
        <f t="shared" ca="1" si="104"/>
        <v>4.4999603487100425E-3</v>
      </c>
      <c r="CC101" s="142">
        <f t="shared" ca="1" si="105"/>
        <v>2.8770238295031416E-2</v>
      </c>
      <c r="CD101" s="142">
        <f t="shared" ca="1" si="106"/>
        <v>1.7520337423256312E-2</v>
      </c>
      <c r="CE101" s="142">
        <f t="shared" ca="1" si="107"/>
        <v>3.0291741281787885E-2</v>
      </c>
      <c r="CG101" s="128">
        <f t="shared" si="108"/>
        <v>79</v>
      </c>
      <c r="CH101" s="90">
        <f ca="1">INDEX(角色升级!$A:$A,MATCH(玩家节奏1!$BX101,角色升级!$J:$J,1))</f>
        <v>465</v>
      </c>
      <c r="CI101" s="90">
        <f ca="1">INDEX(角色升级!$O:$O,MATCH(玩家节奏1!$BX101,角色升级!$J:$J,1))</f>
        <v>16789.234419999997</v>
      </c>
      <c r="CJ101" s="90">
        <f>INDEX(关卡对比!$J:$J,MATCH(玩家节奏1!N101,关卡对比!$A:$A,0))</f>
        <v>25700</v>
      </c>
      <c r="CK101" s="147">
        <f t="shared" ca="1" si="109"/>
        <v>1.5307428175155591</v>
      </c>
      <c r="CL101" s="128">
        <f ca="1">INDEX(角色升级!$P:$P,MATCH(玩家节奏1!$CH101,角色升级!$A:$A,0))</f>
        <v>5150</v>
      </c>
      <c r="CM101" s="90">
        <f ca="1">INDEX(角色升级!Q:Q,MATCH(玩家节奏1!$CH101,角色升级!$A:$A,0))</f>
        <v>0.7</v>
      </c>
      <c r="CO101" s="128">
        <f t="shared" si="110"/>
        <v>12074</v>
      </c>
      <c r="CP101" s="90">
        <f t="shared" si="111"/>
        <v>15826</v>
      </c>
      <c r="CQ101" s="90">
        <f t="shared" si="112"/>
        <v>13536</v>
      </c>
      <c r="CR101" s="90">
        <f t="shared" ca="1" si="113"/>
        <v>37812.5</v>
      </c>
      <c r="CS101" s="90">
        <f t="shared" ca="1" si="114"/>
        <v>79248.5</v>
      </c>
      <c r="CT101" s="142">
        <f t="shared" ca="1" si="115"/>
        <v>0.15235619601632838</v>
      </c>
      <c r="CU101" s="142">
        <f t="shared" ca="1" si="116"/>
        <v>0.19970094071181158</v>
      </c>
      <c r="CV101" s="142">
        <f t="shared" ca="1" si="117"/>
        <v>0.17080449472229758</v>
      </c>
      <c r="CW101" s="142">
        <f t="shared" ca="1" si="118"/>
        <v>0.47713836854956243</v>
      </c>
      <c r="CY101" s="128">
        <f t="shared" si="119"/>
        <v>6038</v>
      </c>
      <c r="CZ101" s="90">
        <f t="shared" si="120"/>
        <v>7801</v>
      </c>
      <c r="DA101" s="90">
        <f t="shared" si="121"/>
        <v>7120</v>
      </c>
      <c r="DB101" s="90">
        <f t="shared" ca="1" si="122"/>
        <v>23324.5</v>
      </c>
      <c r="DC101" s="90">
        <f t="shared" ca="1" si="123"/>
        <v>44283.5</v>
      </c>
      <c r="DD101" s="142">
        <f t="shared" ca="1" si="124"/>
        <v>0.13634875292151705</v>
      </c>
      <c r="DE101" s="142">
        <f t="shared" ca="1" si="125"/>
        <v>0.17616042092427203</v>
      </c>
      <c r="DF101" s="142">
        <f t="shared" ca="1" si="126"/>
        <v>0.16078223266002009</v>
      </c>
      <c r="DG101" s="142">
        <f t="shared" ca="1" si="127"/>
        <v>0.52670859349419086</v>
      </c>
      <c r="DI101" s="128">
        <f t="shared" si="128"/>
        <v>2778</v>
      </c>
      <c r="DJ101" s="90">
        <f t="shared" si="129"/>
        <v>3617</v>
      </c>
      <c r="DK101" s="90">
        <f t="shared" si="130"/>
        <v>2304</v>
      </c>
      <c r="DL101" s="90">
        <f t="shared" ca="1" si="131"/>
        <v>3094</v>
      </c>
      <c r="DM101" s="90">
        <f t="shared" ca="1" si="132"/>
        <v>11793</v>
      </c>
      <c r="DN101" s="142">
        <f t="shared" ca="1" si="133"/>
        <v>0.23556346985499874</v>
      </c>
      <c r="DO101" s="142">
        <f t="shared" ca="1" si="134"/>
        <v>0.30670736877808868</v>
      </c>
      <c r="DP101" s="142">
        <f t="shared" ca="1" si="135"/>
        <v>0.19537013482574409</v>
      </c>
      <c r="DQ101" s="142">
        <f t="shared" ca="1" si="136"/>
        <v>0.26235902654116849</v>
      </c>
      <c r="DS101" s="128">
        <f t="shared" ca="1" si="137"/>
        <v>79248.5</v>
      </c>
      <c r="DT101" s="90">
        <f t="shared" ca="1" si="138"/>
        <v>44283.5</v>
      </c>
      <c r="DU101" s="90">
        <f t="shared" ca="1" si="139"/>
        <v>11793</v>
      </c>
      <c r="DV101" s="90">
        <f t="shared" si="140"/>
        <v>78</v>
      </c>
      <c r="DW101" s="90">
        <f ca="1">_xlfn.IFNA(INDEX(武器升级消耗!$H:$H,MATCH(玩家节奏1!DS101/玩家节奏1!DS$5,武器升级消耗!M:M,1)),0)</f>
        <v>26</v>
      </c>
      <c r="DX101" s="90">
        <f ca="1">_xlfn.IFNA(INDEX(武器升级消耗!$H:$H,MATCH(玩家节奏1!DT101/玩家节奏1!DT$5,武器升级消耗!N:N,1)),0)</f>
        <v>23</v>
      </c>
      <c r="DY101" s="90">
        <f ca="1">_xlfn.IFNA(INDEX(武器升级消耗!$H:$H,MATCH(玩家节奏1!DU101/玩家节奏1!DU$5,武器升级消耗!O:O,1)),0)</f>
        <v>15</v>
      </c>
      <c r="DZ101" s="90">
        <f>_xlfn.IFNA(INDEX(武器升级消耗!$H:$H,MATCH(玩家节奏1!DV101/玩家节奏1!DV$5,武器升级消耗!P:P,1)),0)</f>
        <v>9</v>
      </c>
      <c r="EA101" s="90">
        <f ca="1">_xlfn.IFNA(INDEX(武器升级消耗!$Q:$Q,MATCH(玩家节奏1!DW101,武器升级消耗!$H:$H,0))*2*EA$4,0)</f>
        <v>3.5999999999999996</v>
      </c>
      <c r="EB101" s="90">
        <f ca="1">_xlfn.IFNA(INDEX(武器升级消耗!$Q:$Q,MATCH(玩家节奏1!DX101,武器升级消耗!$H:$H,0))*2*EB$4,0)</f>
        <v>4.0500000000000007</v>
      </c>
      <c r="EC101" s="90">
        <f ca="1">_xlfn.IFNA(INDEX(武器升级消耗!$Q:$Q,MATCH(玩家节奏1!DY101,武器升级消耗!$H:$H,0))*2*EC$4,1)</f>
        <v>4.18</v>
      </c>
      <c r="ED101" s="90">
        <f>_xlfn.IFNA(INDEX(武器升级消耗!$Q:$Q,MATCH(玩家节奏1!DZ101,武器升级消耗!$H:$H,0))*2*ED$4,0)</f>
        <v>3.9000000000000004</v>
      </c>
      <c r="EF101" s="128"/>
      <c r="EG101" s="90"/>
      <c r="EH101" s="90"/>
      <c r="EI101" s="90"/>
      <c r="EJ101" s="90"/>
      <c r="EK101" s="90"/>
      <c r="EL101" s="90"/>
      <c r="EM101" s="90"/>
      <c r="EO101" s="128"/>
      <c r="EP101" s="90"/>
      <c r="EQ101" s="90"/>
      <c r="ER101" s="90"/>
      <c r="ES101" s="90"/>
      <c r="ET101" s="90"/>
      <c r="EU101" s="90"/>
      <c r="EV101" s="90"/>
      <c r="EW101" s="90"/>
      <c r="EX101" s="90"/>
      <c r="EY101" s="90"/>
      <c r="EZ101" s="90"/>
      <c r="FA101" s="90"/>
      <c r="FB101" s="90"/>
      <c r="FD101" s="90">
        <f t="shared" ca="1" si="141"/>
        <v>4.18</v>
      </c>
      <c r="FE101" s="90"/>
      <c r="FF101" s="90"/>
      <c r="FG101" s="90">
        <f t="shared" ca="1" si="142"/>
        <v>0</v>
      </c>
    </row>
    <row r="102" spans="1:163" x14ac:dyDescent="0.25">
      <c r="A102" s="123">
        <v>96</v>
      </c>
      <c r="B102" s="123">
        <f>INDEX(关卡对比!$Y:$Y,MATCH(关卡对比!Z102,关卡对比!$AA:$AA,1))</f>
        <v>61</v>
      </c>
      <c r="C102" s="124">
        <f>INDEX(关卡对比!$Y:$Y,MATCH(关卡对比!Z102,关卡对比!$AB:$AB,1))</f>
        <v>50</v>
      </c>
      <c r="D102" s="125">
        <f t="shared" si="145"/>
        <v>590.5</v>
      </c>
      <c r="E102" s="125">
        <v>3</v>
      </c>
      <c r="F102" s="128">
        <v>5</v>
      </c>
      <c r="G102" s="90">
        <v>1</v>
      </c>
      <c r="H102" s="90">
        <v>1</v>
      </c>
      <c r="J102" s="128">
        <v>96</v>
      </c>
      <c r="K102" s="90">
        <f t="shared" si="88"/>
        <v>5</v>
      </c>
      <c r="L102" s="90">
        <f t="shared" si="89"/>
        <v>1</v>
      </c>
      <c r="M102" s="90">
        <f t="shared" si="90"/>
        <v>1</v>
      </c>
      <c r="N102" s="140">
        <f>INDEX($A:$A,MATCH(SUM($K$7:K102),$D:$D,1))</f>
        <v>80</v>
      </c>
      <c r="O102" s="140">
        <v>0</v>
      </c>
      <c r="P102" s="141">
        <v>0</v>
      </c>
      <c r="Q102" s="126">
        <f>_xlfn.MAXIFS(关卡产出!X:X,关卡产出!$A:$A,玩家节奏1!$N$6,关卡产出!$B:$B,玩家节奏1!$N102)+_xlfn.MAXIFS(关卡产出!X:X,关卡产出!$A:$A,玩家节奏1!$O$6,关卡产出!$B:$B,玩家节奏1!$O102)+_xlfn.MAXIFS(关卡产出!X:X,关卡产出!$A:$A,玩家节奏1!$P$6,关卡产出!$B:$B,玩家节奏1!$P102)</f>
        <v>14500</v>
      </c>
      <c r="R102" s="90">
        <f>_xlfn.MAXIFS(关卡产出!Y:Y,关卡产出!$A:$A,玩家节奏1!$N$6,关卡产出!$B:$B,玩家节奏1!$N102)+_xlfn.MAXIFS(关卡产出!Y:Y,关卡产出!$A:$A,玩家节奏1!$O$6,关卡产出!$B:$B,玩家节奏1!$O102)+_xlfn.MAXIFS(关卡产出!Y:Y,关卡产出!$A:$A,玩家节奏1!$P$6,关卡产出!$B:$B,玩家节奏1!$P102)</f>
        <v>1770000</v>
      </c>
      <c r="S102" s="90">
        <f>_xlfn.MAXIFS(关卡产出!Z:Z,关卡产出!$A:$A,玩家节奏1!$N$6,关卡产出!$B:$B,玩家节奏1!$N102)+_xlfn.MAXIFS(关卡产出!Z:Z,关卡产出!$A:$A,玩家节奏1!$O$6,关卡产出!$B:$B,玩家节奏1!$O102)+_xlfn.MAXIFS(关卡产出!Z:Z,关卡产出!$A:$A,玩家节奏1!$P$6,关卡产出!$B:$B,玩家节奏1!$P102)</f>
        <v>12386</v>
      </c>
      <c r="T102" s="90">
        <f>_xlfn.MAXIFS(关卡产出!AA:AA,关卡产出!$A:$A,玩家节奏1!$N$6,关卡产出!$B:$B,玩家节奏1!$N102)+_xlfn.MAXIFS(关卡产出!AA:AA,关卡产出!$A:$A,玩家节奏1!$O$6,关卡产出!$B:$B,玩家节奏1!$O102)+_xlfn.MAXIFS(关卡产出!AA:AA,关卡产出!$A:$A,玩家节奏1!$P$6,关卡产出!$B:$B,玩家节奏1!$P102)</f>
        <v>6194</v>
      </c>
      <c r="U102" s="90">
        <f>_xlfn.MAXIFS(关卡产出!AB:AB,关卡产出!$A:$A,玩家节奏1!$N$6,关卡产出!$B:$B,玩家节奏1!$N102)+_xlfn.MAXIFS(关卡产出!AB:AB,关卡产出!$A:$A,玩家节奏1!$O$6,关卡产出!$B:$B,玩家节奏1!$O102)+_xlfn.MAXIFS(关卡产出!AB:AB,关卡产出!$A:$A,玩家节奏1!$P$6,关卡产出!$B:$B,玩家节奏1!$P102)</f>
        <v>2853</v>
      </c>
      <c r="V102" s="130">
        <f>_xlfn.MAXIFS(关卡产出!AC:AC,关卡产出!$A:$A,玩家节奏1!$N$6,关卡产出!$B:$B,玩家节奏1!$N102)+_xlfn.MAXIFS(关卡产出!AC:AC,关卡产出!$A:$A,玩家节奏1!$O$6,关卡产出!$B:$B,玩家节奏1!$O102)+_xlfn.MAXIFS(关卡产出!AC:AC,关卡产出!$A:$A,玩家节奏1!$P$6,关卡产出!$B:$B,玩家节奏1!$P102)</f>
        <v>480</v>
      </c>
      <c r="W102" s="126">
        <f>INDEX(关卡产出!C$8:C$207,MATCH(玩家节奏1!$N102,关卡产出!$B$8:$B$207,0))*$K102</f>
        <v>310</v>
      </c>
      <c r="X102" s="126">
        <f>INDEX(关卡产出!D$8:D$207,MATCH(玩家节奏1!$N102,关卡产出!$B$8:$B$207,0))*$K102</f>
        <v>155</v>
      </c>
      <c r="Y102" s="126">
        <f>INDEX(关卡产出!E$8:E$207,MATCH(玩家节奏1!$N102,关卡产出!$B$8:$B$207,0))*$K102</f>
        <v>75</v>
      </c>
      <c r="Z102" s="144">
        <f>INDEX(关卡产出!F$8:F$207,MATCH(玩家节奏1!$N102,关卡产出!$B$8:$B$207,0))*$K102</f>
        <v>4250</v>
      </c>
      <c r="AA102" s="126">
        <f>SUM(W$7:W102)</f>
        <v>16136</v>
      </c>
      <c r="AB102" s="126">
        <f>SUM(X$7:X102)</f>
        <v>7956</v>
      </c>
      <c r="AC102" s="126">
        <f>SUM(Y$7:Y102)</f>
        <v>3692</v>
      </c>
      <c r="AD102" s="126">
        <f>SUM(Z$7:Z102)</f>
        <v>238460</v>
      </c>
      <c r="AE102" s="126">
        <f>INDEX(图鉴!AQ:AQ,MATCH($N102,图鉴!$S:$S,0))*8</f>
        <v>168</v>
      </c>
      <c r="AF102" s="90">
        <f>INDEX(图鉴!AR:AR,MATCH($N102,图鉴!$S:$S,0))*8</f>
        <v>120</v>
      </c>
      <c r="AG102" s="90">
        <f>INDEX(图鉴!AS:AS,MATCH($N102,图鉴!$S:$S,0))*8</f>
        <v>40</v>
      </c>
      <c r="AH102" s="129">
        <f ca="1">INDEX(图鉴!AT:AT,MATCH($N102,图鉴!$S:$S,0))*8</f>
        <v>8600</v>
      </c>
      <c r="AI102" s="128">
        <f>SUM($AE$7:AE102)</f>
        <v>13704</v>
      </c>
      <c r="AJ102" s="90">
        <f>SUM(AF$7:AF102)</f>
        <v>7240</v>
      </c>
      <c r="AK102" s="90">
        <f>SUM(AG$7:AG102)</f>
        <v>2344</v>
      </c>
      <c r="AL102" s="130">
        <f ca="1">SUM(AH$7:AH102)</f>
        <v>541400</v>
      </c>
      <c r="AM102" s="133">
        <f>IF(M102=0,0,INDEX(关卡产出!$AU$11:$AU$15,MATCH(玩家节奏1!N102,关卡产出!$AW$11:$AW$15,1))*M102)</f>
        <v>12200</v>
      </c>
      <c r="AN102" s="126">
        <f>IF(L102=0,0,$L102*关卡产出!AU$21)</f>
        <v>1000</v>
      </c>
      <c r="AO102" s="90">
        <f>IF(M102=0,0,$L102*关卡产出!AV$21)</f>
        <v>50</v>
      </c>
      <c r="AP102" s="129">
        <f>IF(N102=0,0,$L102*关卡产出!AW$21)</f>
        <v>1</v>
      </c>
      <c r="AQ102" s="138">
        <f>SUM(AN$7:AN102)</f>
        <v>79000</v>
      </c>
      <c r="AR102" s="126">
        <f>SUM(AO$7:AO102)</f>
        <v>3950</v>
      </c>
      <c r="AS102" s="129">
        <f>SUM(AP$7:AP102)</f>
        <v>79</v>
      </c>
      <c r="AT102" s="128">
        <v>500</v>
      </c>
      <c r="AU102" s="129">
        <v>100</v>
      </c>
      <c r="AV102" s="128">
        <f>SUM(AT$7:AT102)</f>
        <v>48000</v>
      </c>
      <c r="AW102" s="90">
        <f>SUM(AU$7:AU102)</f>
        <v>9600</v>
      </c>
      <c r="AY102" s="128">
        <f t="shared" si="91"/>
        <v>14500</v>
      </c>
      <c r="AZ102" s="90">
        <f t="shared" si="92"/>
        <v>3950</v>
      </c>
      <c r="BA102" s="90">
        <f t="shared" si="93"/>
        <v>9600</v>
      </c>
      <c r="BB102" s="90">
        <f t="shared" ca="1" si="143"/>
        <v>5150</v>
      </c>
      <c r="BC102" s="90">
        <f t="shared" ca="1" si="144"/>
        <v>33200</v>
      </c>
      <c r="BD102" s="90"/>
      <c r="BE102" s="90">
        <f t="shared" ca="1" si="94"/>
        <v>33200</v>
      </c>
      <c r="BF102" s="142">
        <f t="shared" ca="1" si="95"/>
        <v>0.43674698795180722</v>
      </c>
      <c r="BG102" s="142">
        <f t="shared" ca="1" si="96"/>
        <v>0.11897590361445783</v>
      </c>
      <c r="BH102" s="142">
        <f t="shared" ca="1" si="97"/>
        <v>0.28915662650602408</v>
      </c>
      <c r="BI102" s="142">
        <f t="shared" ca="1" si="98"/>
        <v>0.15512048192771086</v>
      </c>
      <c r="BJ102" s="143"/>
      <c r="BK102" s="128">
        <f ca="1">INDEX(商城宝箱!$L:$L,MATCH(BC102,商城宝箱!$N:$N,1))</f>
        <v>8</v>
      </c>
      <c r="BL102" s="90">
        <f ca="1">_xlfn.IFNA(INDEX(商城宝箱!T:T,MATCH(玩家节奏1!$BK102,商城宝箱!$L:$L,0)),0)+($BC102-INDEX(商城宝箱!$N:$N,MATCH(玩家节奏1!$BK102,商城宝箱!$L:$L,0)))/$BK$5*INDEX(商城宝箱!E$23:E$42,MATCH(玩家节奏1!$BK102+1,商城宝箱!$C$23:$C$42,0))</f>
        <v>83000</v>
      </c>
      <c r="BM102" s="90">
        <f ca="1">_xlfn.IFNA(INDEX(商城宝箱!U:U,MATCH(玩家节奏1!$BK102,商城宝箱!$L:$L,0)),0)+($BC102-INDEX(商城宝箱!$N:$N,MATCH(玩家节奏1!$BK102,商城宝箱!$L:$L,0)))/$BK$5*INDEX(商城宝箱!F$23:F$42,MATCH(玩家节奏1!$BK102+1,商城宝箱!$C$23:$C$42,0))</f>
        <v>38582.5</v>
      </c>
      <c r="BN102" s="90">
        <f ca="1">_xlfn.IFNA(INDEX(商城宝箱!V:V,MATCH(玩家节奏1!$BK102,商城宝箱!$L:$L,0)),0)+($BC102-INDEX(商城宝箱!$N:$N,MATCH(玩家节奏1!$BK102,商城宝箱!$L:$L,0)))/$BK$5*INDEX(商城宝箱!G$23:G$42,MATCH(玩家节奏1!$BK102+1,商城宝箱!$C$23:$C$42,0))</f>
        <v>23902</v>
      </c>
      <c r="BO102" s="90">
        <f ca="1">_xlfn.IFNA(INDEX(商城宝箱!W:W,MATCH(玩家节奏1!$BK102,商城宝箱!$L:$L,0)),0)+($BC102-INDEX(商城宝箱!$N:$N,MATCH(玩家节奏1!$BK102,商城宝箱!$L:$L,0)))/$BK$5*INDEX(商城宝箱!H$23:H$42,MATCH(玩家节奏1!$BK102+1,商城宝箱!$C$23:$C$42,0))</f>
        <v>3160.5</v>
      </c>
      <c r="BQ102" s="128">
        <f t="shared" si="82"/>
        <v>1770000</v>
      </c>
      <c r="BR102" s="90">
        <f t="shared" si="83"/>
        <v>238460</v>
      </c>
      <c r="BS102" s="90">
        <f t="shared" ca="1" si="84"/>
        <v>541400</v>
      </c>
      <c r="BT102" s="90">
        <f t="shared" si="85"/>
        <v>12200</v>
      </c>
      <c r="BU102" s="90">
        <f t="shared" si="86"/>
        <v>79000</v>
      </c>
      <c r="BV102" s="90">
        <f t="shared" si="87"/>
        <v>48000</v>
      </c>
      <c r="BW102" s="90">
        <f t="shared" ca="1" si="99"/>
        <v>83000</v>
      </c>
      <c r="BX102" s="90">
        <f t="shared" ca="1" si="100"/>
        <v>2772060</v>
      </c>
      <c r="BY102" s="142">
        <f t="shared" ca="1" si="101"/>
        <v>0.63851431787190749</v>
      </c>
      <c r="BZ102" s="142">
        <f t="shared" ca="1" si="102"/>
        <v>8.6022669061997209E-2</v>
      </c>
      <c r="CA102" s="142">
        <f t="shared" ca="1" si="103"/>
        <v>0.19530601790726029</v>
      </c>
      <c r="CB102" s="142">
        <f t="shared" ca="1" si="104"/>
        <v>4.4010591401340516E-3</v>
      </c>
      <c r="CC102" s="142">
        <f t="shared" ca="1" si="105"/>
        <v>2.8498661645130336E-2</v>
      </c>
      <c r="CD102" s="142">
        <f t="shared" ca="1" si="106"/>
        <v>1.7315642518560204E-2</v>
      </c>
      <c r="CE102" s="142">
        <f t="shared" ca="1" si="107"/>
        <v>2.9941631855010354E-2</v>
      </c>
      <c r="CG102" s="128">
        <f t="shared" si="108"/>
        <v>80</v>
      </c>
      <c r="CH102" s="90">
        <f ca="1">INDEX(角色升级!$A:$A,MATCH(玩家节奏1!$BX102,角色升级!$J:$J,1))</f>
        <v>469</v>
      </c>
      <c r="CI102" s="90">
        <f ca="1">INDEX(角色升级!$O:$O,MATCH(玩家节奏1!$BX102,角色升级!$J:$J,1))</f>
        <v>16847.429339999999</v>
      </c>
      <c r="CJ102" s="90">
        <f>INDEX(关卡对比!$J:$J,MATCH(玩家节奏1!N102,关卡对比!$A:$A,0))</f>
        <v>26200</v>
      </c>
      <c r="CK102" s="147">
        <f t="shared" ca="1" si="109"/>
        <v>1.5551333957991245</v>
      </c>
      <c r="CL102" s="128">
        <f ca="1">INDEX(角色升级!$P:$P,MATCH(玩家节奏1!$CH102,角色升级!$A:$A,0))</f>
        <v>5150</v>
      </c>
      <c r="CM102" s="90">
        <f ca="1">INDEX(角色升级!Q:Q,MATCH(玩家节奏1!$CH102,角色升级!$A:$A,0))</f>
        <v>0.7</v>
      </c>
      <c r="CO102" s="128">
        <f t="shared" si="110"/>
        <v>12386</v>
      </c>
      <c r="CP102" s="90">
        <f t="shared" si="111"/>
        <v>16136</v>
      </c>
      <c r="CQ102" s="90">
        <f t="shared" si="112"/>
        <v>13704</v>
      </c>
      <c r="CR102" s="90">
        <f t="shared" ca="1" si="113"/>
        <v>38582.5</v>
      </c>
      <c r="CS102" s="90">
        <f t="shared" ca="1" si="114"/>
        <v>80808.5</v>
      </c>
      <c r="CT102" s="142">
        <f t="shared" ca="1" si="115"/>
        <v>0.15327595488098406</v>
      </c>
      <c r="CU102" s="142">
        <f t="shared" ca="1" si="116"/>
        <v>0.19968196414981099</v>
      </c>
      <c r="CV102" s="142">
        <f t="shared" ca="1" si="117"/>
        <v>0.1695861202720011</v>
      </c>
      <c r="CW102" s="142">
        <f t="shared" ca="1" si="118"/>
        <v>0.47745596069720386</v>
      </c>
      <c r="CY102" s="128">
        <f t="shared" si="119"/>
        <v>6194</v>
      </c>
      <c r="CZ102" s="90">
        <f t="shared" si="120"/>
        <v>7956</v>
      </c>
      <c r="DA102" s="90">
        <f t="shared" si="121"/>
        <v>7240</v>
      </c>
      <c r="DB102" s="90">
        <f t="shared" ca="1" si="122"/>
        <v>23902</v>
      </c>
      <c r="DC102" s="90">
        <f t="shared" ca="1" si="123"/>
        <v>45292</v>
      </c>
      <c r="DD102" s="142">
        <f t="shared" ca="1" si="124"/>
        <v>0.1367570431864347</v>
      </c>
      <c r="DE102" s="142">
        <f t="shared" ca="1" si="125"/>
        <v>0.1756601607347876</v>
      </c>
      <c r="DF102" s="142">
        <f t="shared" ca="1" si="126"/>
        <v>0.15985162942683034</v>
      </c>
      <c r="DG102" s="142">
        <f t="shared" ca="1" si="127"/>
        <v>0.52773116665194741</v>
      </c>
      <c r="DI102" s="128">
        <f t="shared" si="128"/>
        <v>2853</v>
      </c>
      <c r="DJ102" s="90">
        <f t="shared" si="129"/>
        <v>3692</v>
      </c>
      <c r="DK102" s="90">
        <f t="shared" si="130"/>
        <v>2344</v>
      </c>
      <c r="DL102" s="90">
        <f t="shared" ca="1" si="131"/>
        <v>3160.5</v>
      </c>
      <c r="DM102" s="90">
        <f t="shared" ca="1" si="132"/>
        <v>12049.5</v>
      </c>
      <c r="DN102" s="142">
        <f t="shared" ca="1" si="133"/>
        <v>0.23677331009585459</v>
      </c>
      <c r="DO102" s="142">
        <f t="shared" ca="1" si="134"/>
        <v>0.30640275530104982</v>
      </c>
      <c r="DP102" s="142">
        <f t="shared" ca="1" si="135"/>
        <v>0.19453089339806631</v>
      </c>
      <c r="DQ102" s="142">
        <f t="shared" ca="1" si="136"/>
        <v>0.26229304120502928</v>
      </c>
      <c r="DS102" s="128">
        <f t="shared" ca="1" si="137"/>
        <v>80808.5</v>
      </c>
      <c r="DT102" s="90">
        <f t="shared" ca="1" si="138"/>
        <v>45292</v>
      </c>
      <c r="DU102" s="90">
        <f t="shared" ca="1" si="139"/>
        <v>12049.5</v>
      </c>
      <c r="DV102" s="90">
        <f t="shared" si="140"/>
        <v>79</v>
      </c>
      <c r="DW102" s="90">
        <f ca="1">_xlfn.IFNA(INDEX(武器升级消耗!$H:$H,MATCH(玩家节奏1!DS102/玩家节奏1!DS$5,武器升级消耗!M:M,1)),0)</f>
        <v>26</v>
      </c>
      <c r="DX102" s="90">
        <f ca="1">_xlfn.IFNA(INDEX(武器升级消耗!$H:$H,MATCH(玩家节奏1!DT102/玩家节奏1!DT$5,武器升级消耗!N:N,1)),0)</f>
        <v>23</v>
      </c>
      <c r="DY102" s="90">
        <f ca="1">_xlfn.IFNA(INDEX(武器升级消耗!$H:$H,MATCH(玩家节奏1!DU102/玩家节奏1!DU$5,武器升级消耗!O:O,1)),0)</f>
        <v>15</v>
      </c>
      <c r="DZ102" s="90">
        <f>_xlfn.IFNA(INDEX(武器升级消耗!$H:$H,MATCH(玩家节奏1!DV102/玩家节奏1!DV$5,武器升级消耗!P:P,1)),0)</f>
        <v>9</v>
      </c>
      <c r="EA102" s="90">
        <f ca="1">_xlfn.IFNA(INDEX(武器升级消耗!$Q:$Q,MATCH(玩家节奏1!DW102,武器升级消耗!$H:$H,0))*2*EA$4,0)</f>
        <v>3.5999999999999996</v>
      </c>
      <c r="EB102" s="90">
        <f ca="1">_xlfn.IFNA(INDEX(武器升级消耗!$Q:$Q,MATCH(玩家节奏1!DX102,武器升级消耗!$H:$H,0))*2*EB$4,0)</f>
        <v>4.0500000000000007</v>
      </c>
      <c r="EC102" s="90">
        <f ca="1">_xlfn.IFNA(INDEX(武器升级消耗!$Q:$Q,MATCH(玩家节奏1!DY102,武器升级消耗!$H:$H,0))*2*EC$4,1)</f>
        <v>4.18</v>
      </c>
      <c r="ED102" s="90">
        <f>_xlfn.IFNA(INDEX(武器升级消耗!$Q:$Q,MATCH(玩家节奏1!DZ102,武器升级消耗!$H:$H,0))*2*ED$4,0)</f>
        <v>3.9000000000000004</v>
      </c>
      <c r="EF102" s="128"/>
      <c r="EG102" s="90"/>
      <c r="EH102" s="90"/>
      <c r="EI102" s="90"/>
      <c r="EJ102" s="90"/>
      <c r="EK102" s="90"/>
      <c r="EL102" s="90"/>
      <c r="EM102" s="90"/>
      <c r="EO102" s="128"/>
      <c r="EP102" s="90"/>
      <c r="EQ102" s="90"/>
      <c r="ER102" s="90"/>
      <c r="ES102" s="90"/>
      <c r="ET102" s="90"/>
      <c r="EU102" s="90"/>
      <c r="EV102" s="90"/>
      <c r="EW102" s="90"/>
      <c r="EX102" s="90"/>
      <c r="EY102" s="90"/>
      <c r="EZ102" s="90"/>
      <c r="FA102" s="90"/>
      <c r="FB102" s="90"/>
      <c r="FD102" s="90">
        <f t="shared" ca="1" si="141"/>
        <v>4.18</v>
      </c>
      <c r="FE102" s="90"/>
      <c r="FF102" s="90"/>
      <c r="FG102" s="90">
        <f t="shared" ca="1" si="142"/>
        <v>0</v>
      </c>
    </row>
    <row r="103" spans="1:163" x14ac:dyDescent="0.25">
      <c r="A103" s="123">
        <v>97</v>
      </c>
      <c r="B103" s="123">
        <f>INDEX(关卡对比!$Y:$Y,MATCH(关卡对比!Z103,关卡对比!$AA:$AA,1))</f>
        <v>62</v>
      </c>
      <c r="C103" s="124">
        <f>INDEX(关卡对比!$Y:$Y,MATCH(关卡对比!Z103,关卡对比!$AB:$AB,1))</f>
        <v>50</v>
      </c>
      <c r="D103" s="125">
        <f t="shared" si="145"/>
        <v>596.5</v>
      </c>
      <c r="E103" s="125">
        <v>3</v>
      </c>
      <c r="F103" s="128">
        <v>5</v>
      </c>
      <c r="G103" s="90">
        <v>1</v>
      </c>
      <c r="H103" s="90">
        <v>1</v>
      </c>
      <c r="J103" s="128">
        <v>97</v>
      </c>
      <c r="K103" s="90">
        <f t="shared" si="88"/>
        <v>5</v>
      </c>
      <c r="L103" s="90">
        <f t="shared" si="89"/>
        <v>1</v>
      </c>
      <c r="M103" s="90">
        <f t="shared" si="90"/>
        <v>1</v>
      </c>
      <c r="N103" s="140">
        <f>INDEX($A:$A,MATCH(SUM($K$7:K103),$D:$D,1))</f>
        <v>80</v>
      </c>
      <c r="O103" s="140">
        <v>0</v>
      </c>
      <c r="P103" s="141">
        <v>0</v>
      </c>
      <c r="Q103" s="126">
        <f>_xlfn.MAXIFS(关卡产出!X:X,关卡产出!$A:$A,玩家节奏1!$N$6,关卡产出!$B:$B,玩家节奏1!$N103)+_xlfn.MAXIFS(关卡产出!X:X,关卡产出!$A:$A,玩家节奏1!$O$6,关卡产出!$B:$B,玩家节奏1!$O103)+_xlfn.MAXIFS(关卡产出!X:X,关卡产出!$A:$A,玩家节奏1!$P$6,关卡产出!$B:$B,玩家节奏1!$P103)</f>
        <v>14500</v>
      </c>
      <c r="R103" s="90">
        <f>_xlfn.MAXIFS(关卡产出!Y:Y,关卡产出!$A:$A,玩家节奏1!$N$6,关卡产出!$B:$B,玩家节奏1!$N103)+_xlfn.MAXIFS(关卡产出!Y:Y,关卡产出!$A:$A,玩家节奏1!$O$6,关卡产出!$B:$B,玩家节奏1!$O103)+_xlfn.MAXIFS(关卡产出!Y:Y,关卡产出!$A:$A,玩家节奏1!$P$6,关卡产出!$B:$B,玩家节奏1!$P103)</f>
        <v>1770000</v>
      </c>
      <c r="S103" s="90">
        <f>_xlfn.MAXIFS(关卡产出!Z:Z,关卡产出!$A:$A,玩家节奏1!$N$6,关卡产出!$B:$B,玩家节奏1!$N103)+_xlfn.MAXIFS(关卡产出!Z:Z,关卡产出!$A:$A,玩家节奏1!$O$6,关卡产出!$B:$B,玩家节奏1!$O103)+_xlfn.MAXIFS(关卡产出!Z:Z,关卡产出!$A:$A,玩家节奏1!$P$6,关卡产出!$B:$B,玩家节奏1!$P103)</f>
        <v>12386</v>
      </c>
      <c r="T103" s="90">
        <f>_xlfn.MAXIFS(关卡产出!AA:AA,关卡产出!$A:$A,玩家节奏1!$N$6,关卡产出!$B:$B,玩家节奏1!$N103)+_xlfn.MAXIFS(关卡产出!AA:AA,关卡产出!$A:$A,玩家节奏1!$O$6,关卡产出!$B:$B,玩家节奏1!$O103)+_xlfn.MAXIFS(关卡产出!AA:AA,关卡产出!$A:$A,玩家节奏1!$P$6,关卡产出!$B:$B,玩家节奏1!$P103)</f>
        <v>6194</v>
      </c>
      <c r="U103" s="90">
        <f>_xlfn.MAXIFS(关卡产出!AB:AB,关卡产出!$A:$A,玩家节奏1!$N$6,关卡产出!$B:$B,玩家节奏1!$N103)+_xlfn.MAXIFS(关卡产出!AB:AB,关卡产出!$A:$A,玩家节奏1!$O$6,关卡产出!$B:$B,玩家节奏1!$O103)+_xlfn.MAXIFS(关卡产出!AB:AB,关卡产出!$A:$A,玩家节奏1!$P$6,关卡产出!$B:$B,玩家节奏1!$P103)</f>
        <v>2853</v>
      </c>
      <c r="V103" s="130">
        <f>_xlfn.MAXIFS(关卡产出!AC:AC,关卡产出!$A:$A,玩家节奏1!$N$6,关卡产出!$B:$B,玩家节奏1!$N103)+_xlfn.MAXIFS(关卡产出!AC:AC,关卡产出!$A:$A,玩家节奏1!$O$6,关卡产出!$B:$B,玩家节奏1!$O103)+_xlfn.MAXIFS(关卡产出!AC:AC,关卡产出!$A:$A,玩家节奏1!$P$6,关卡产出!$B:$B,玩家节奏1!$P103)</f>
        <v>480</v>
      </c>
      <c r="W103" s="126">
        <f>INDEX(关卡产出!C$8:C$207,MATCH(玩家节奏1!$N103,关卡产出!$B$8:$B$207,0))*$K103</f>
        <v>310</v>
      </c>
      <c r="X103" s="126">
        <f>INDEX(关卡产出!D$8:D$207,MATCH(玩家节奏1!$N103,关卡产出!$B$8:$B$207,0))*$K103</f>
        <v>155</v>
      </c>
      <c r="Y103" s="126">
        <f>INDEX(关卡产出!E$8:E$207,MATCH(玩家节奏1!$N103,关卡产出!$B$8:$B$207,0))*$K103</f>
        <v>75</v>
      </c>
      <c r="Z103" s="144">
        <f>INDEX(关卡产出!F$8:F$207,MATCH(玩家节奏1!$N103,关卡产出!$B$8:$B$207,0))*$K103</f>
        <v>4250</v>
      </c>
      <c r="AA103" s="126">
        <f>SUM(W$7:W103)</f>
        <v>16446</v>
      </c>
      <c r="AB103" s="126">
        <f>SUM(X$7:X103)</f>
        <v>8111</v>
      </c>
      <c r="AC103" s="126">
        <f>SUM(Y$7:Y103)</f>
        <v>3767</v>
      </c>
      <c r="AD103" s="126">
        <f>SUM(Z$7:Z103)</f>
        <v>242710</v>
      </c>
      <c r="AE103" s="126">
        <f>INDEX(图鉴!AQ:AQ,MATCH($N103,图鉴!$S:$S,0))*8</f>
        <v>168</v>
      </c>
      <c r="AF103" s="90">
        <f>INDEX(图鉴!AR:AR,MATCH($N103,图鉴!$S:$S,0))*8</f>
        <v>120</v>
      </c>
      <c r="AG103" s="90">
        <f>INDEX(图鉴!AS:AS,MATCH($N103,图鉴!$S:$S,0))*8</f>
        <v>40</v>
      </c>
      <c r="AH103" s="129">
        <f ca="1">INDEX(图鉴!AT:AT,MATCH($N103,图鉴!$S:$S,0))*8</f>
        <v>8600</v>
      </c>
      <c r="AI103" s="128">
        <f>SUM($AE$7:AE103)</f>
        <v>13872</v>
      </c>
      <c r="AJ103" s="90">
        <f>SUM(AF$7:AF103)</f>
        <v>7360</v>
      </c>
      <c r="AK103" s="90">
        <f>SUM(AG$7:AG103)</f>
        <v>2384</v>
      </c>
      <c r="AL103" s="130">
        <f ca="1">SUM(AH$7:AH103)</f>
        <v>550000</v>
      </c>
      <c r="AM103" s="133">
        <f>IF(M103=0,0,INDEX(关卡产出!$AU$11:$AU$15,MATCH(玩家节奏1!N103,关卡产出!$AW$11:$AW$15,1))*M103)</f>
        <v>12200</v>
      </c>
      <c r="AN103" s="126">
        <f>IF(L103=0,0,$L103*关卡产出!AU$21)</f>
        <v>1000</v>
      </c>
      <c r="AO103" s="90">
        <f>IF(M103=0,0,$L103*关卡产出!AV$21)</f>
        <v>50</v>
      </c>
      <c r="AP103" s="129">
        <f>IF(N103=0,0,$L103*关卡产出!AW$21)</f>
        <v>1</v>
      </c>
      <c r="AQ103" s="138">
        <f>SUM(AN$7:AN103)</f>
        <v>80000</v>
      </c>
      <c r="AR103" s="126">
        <f>SUM(AO$7:AO103)</f>
        <v>4000</v>
      </c>
      <c r="AS103" s="129">
        <f>SUM(AP$7:AP103)</f>
        <v>80</v>
      </c>
      <c r="AT103" s="128">
        <v>500</v>
      </c>
      <c r="AU103" s="129">
        <v>100</v>
      </c>
      <c r="AV103" s="128">
        <f>SUM(AT$7:AT103)</f>
        <v>48500</v>
      </c>
      <c r="AW103" s="90">
        <f>SUM(AU$7:AU103)</f>
        <v>9700</v>
      </c>
      <c r="AY103" s="128">
        <f t="shared" si="91"/>
        <v>14500</v>
      </c>
      <c r="AZ103" s="90">
        <f t="shared" si="92"/>
        <v>4000</v>
      </c>
      <c r="BA103" s="90">
        <f t="shared" si="93"/>
        <v>9700</v>
      </c>
      <c r="BB103" s="90">
        <f t="shared" ca="1" si="143"/>
        <v>5150</v>
      </c>
      <c r="BC103" s="90">
        <f t="shared" ca="1" si="144"/>
        <v>33350</v>
      </c>
      <c r="BD103" s="90"/>
      <c r="BE103" s="90">
        <f t="shared" ca="1" si="94"/>
        <v>33350</v>
      </c>
      <c r="BF103" s="142">
        <f t="shared" ca="1" si="95"/>
        <v>0.43478260869565216</v>
      </c>
      <c r="BG103" s="142">
        <f t="shared" ca="1" si="96"/>
        <v>0.1199400299850075</v>
      </c>
      <c r="BH103" s="142">
        <f t="shared" ca="1" si="97"/>
        <v>0.29085457271364318</v>
      </c>
      <c r="BI103" s="142">
        <f t="shared" ca="1" si="98"/>
        <v>0.15442278860569716</v>
      </c>
      <c r="BJ103" s="143"/>
      <c r="BK103" s="128">
        <f ca="1">INDEX(商城宝箱!$L:$L,MATCH(BC103,商城宝箱!$N:$N,1))</f>
        <v>8</v>
      </c>
      <c r="BL103" s="90">
        <f ca="1">_xlfn.IFNA(INDEX(商城宝箱!T:T,MATCH(玩家节奏1!$BK103,商城宝箱!$L:$L,0)),0)+($BC103-INDEX(商城宝箱!$N:$N,MATCH(玩家节奏1!$BK103,商城宝箱!$L:$L,0)))/$BK$5*INDEX(商城宝箱!E$23:E$42,MATCH(玩家节奏1!$BK103+1,商城宝箱!$C$23:$C$42,0))</f>
        <v>83375</v>
      </c>
      <c r="BM103" s="90">
        <f ca="1">_xlfn.IFNA(INDEX(商城宝箱!U:U,MATCH(玩家节奏1!$BK103,商城宝箱!$L:$L,0)),0)+($BC103-INDEX(商城宝箱!$N:$N,MATCH(玩家节奏1!$BK103,商城宝箱!$L:$L,0)))/$BK$5*INDEX(商城宝箱!F$23:F$42,MATCH(玩家节奏1!$BK103+1,商城宝箱!$C$23:$C$42,0))</f>
        <v>38912.5</v>
      </c>
      <c r="BN103" s="90">
        <f ca="1">_xlfn.IFNA(INDEX(商城宝箱!V:V,MATCH(玩家节奏1!$BK103,商城宝箱!$L:$L,0)),0)+($BC103-INDEX(商城宝箱!$N:$N,MATCH(玩家节奏1!$BK103,商城宝箱!$L:$L,0)))/$BK$5*INDEX(商城宝箱!G$23:G$42,MATCH(玩家节奏1!$BK103+1,商城宝箱!$C$23:$C$42,0))</f>
        <v>24149.5</v>
      </c>
      <c r="BO103" s="90">
        <f ca="1">_xlfn.IFNA(INDEX(商城宝箱!W:W,MATCH(玩家节奏1!$BK103,商城宝箱!$L:$L,0)),0)+($BC103-INDEX(商城宝箱!$N:$N,MATCH(玩家节奏1!$BK103,商城宝箱!$L:$L,0)))/$BK$5*INDEX(商城宝箱!H$23:H$42,MATCH(玩家节奏1!$BK103+1,商城宝箱!$C$23:$C$42,0))</f>
        <v>3189</v>
      </c>
      <c r="BQ103" s="128">
        <f t="shared" ref="BQ103:BQ134" si="146">R103</f>
        <v>1770000</v>
      </c>
      <c r="BR103" s="90">
        <f t="shared" ref="BR103:BR134" si="147">AD103</f>
        <v>242710</v>
      </c>
      <c r="BS103" s="90">
        <f t="shared" ref="BS103:BS134" ca="1" si="148">AL103</f>
        <v>550000</v>
      </c>
      <c r="BT103" s="90">
        <f t="shared" ref="BT103:BT134" si="149">AM103</f>
        <v>12200</v>
      </c>
      <c r="BU103" s="90">
        <f t="shared" ref="BU103:BU134" si="150">AQ103</f>
        <v>80000</v>
      </c>
      <c r="BV103" s="90">
        <f t="shared" ref="BV103:BV134" si="151">AV103</f>
        <v>48500</v>
      </c>
      <c r="BW103" s="90">
        <f t="shared" ca="1" si="99"/>
        <v>83375</v>
      </c>
      <c r="BX103" s="90">
        <f t="shared" ca="1" si="100"/>
        <v>2786785</v>
      </c>
      <c r="BY103" s="142">
        <f t="shared" ca="1" si="101"/>
        <v>0.63514049343598444</v>
      </c>
      <c r="BZ103" s="142">
        <f t="shared" ca="1" si="102"/>
        <v>8.7093191616863158E-2</v>
      </c>
      <c r="CA103" s="142">
        <f t="shared" ca="1" si="103"/>
        <v>0.19736004033321553</v>
      </c>
      <c r="CB103" s="142">
        <f t="shared" ca="1" si="104"/>
        <v>4.3778045310276896E-3</v>
      </c>
      <c r="CC103" s="142">
        <f t="shared" ca="1" si="105"/>
        <v>2.8706914957558619E-2</v>
      </c>
      <c r="CD103" s="142">
        <f t="shared" ca="1" si="106"/>
        <v>1.7403567193019914E-2</v>
      </c>
      <c r="CE103" s="142">
        <f t="shared" ca="1" si="107"/>
        <v>2.9917987932330626E-2</v>
      </c>
      <c r="CG103" s="128">
        <f t="shared" si="108"/>
        <v>80</v>
      </c>
      <c r="CH103" s="90">
        <f ca="1">INDEX(角色升级!$A:$A,MATCH(玩家节奏1!$BX103,角色升级!$J:$J,1))</f>
        <v>470</v>
      </c>
      <c r="CI103" s="90">
        <f ca="1">INDEX(角色升级!$O:$O,MATCH(玩家节奏1!$BX103,角色升级!$J:$J,1))</f>
        <v>16861.978070000001</v>
      </c>
      <c r="CJ103" s="90">
        <f>INDEX(关卡对比!$J:$J,MATCH(玩家节奏1!N103,关卡对比!$A:$A,0))</f>
        <v>26200</v>
      </c>
      <c r="CK103" s="147">
        <f t="shared" ca="1" si="109"/>
        <v>1.5537916068467523</v>
      </c>
      <c r="CL103" s="128">
        <f ca="1">INDEX(角色升级!$P:$P,MATCH(玩家节奏1!$CH103,角色升级!$A:$A,0))</f>
        <v>5150</v>
      </c>
      <c r="CM103" s="90">
        <f ca="1">INDEX(角色升级!Q:Q,MATCH(玩家节奏1!$CH103,角色升级!$A:$A,0))</f>
        <v>0.8</v>
      </c>
      <c r="CO103" s="128">
        <f t="shared" si="110"/>
        <v>12386</v>
      </c>
      <c r="CP103" s="90">
        <f t="shared" si="111"/>
        <v>16446</v>
      </c>
      <c r="CQ103" s="90">
        <f t="shared" si="112"/>
        <v>13872</v>
      </c>
      <c r="CR103" s="90">
        <f t="shared" ca="1" si="113"/>
        <v>38912.5</v>
      </c>
      <c r="CS103" s="90">
        <f t="shared" ca="1" si="114"/>
        <v>81616.5</v>
      </c>
      <c r="CT103" s="142">
        <f t="shared" ca="1" si="115"/>
        <v>0.15175852921896921</v>
      </c>
      <c r="CU103" s="142">
        <f t="shared" ca="1" si="116"/>
        <v>0.20150337247982944</v>
      </c>
      <c r="CV103" s="142">
        <f t="shared" ca="1" si="117"/>
        <v>0.16996563194942199</v>
      </c>
      <c r="CW103" s="142">
        <f t="shared" ca="1" si="118"/>
        <v>0.47677246635177933</v>
      </c>
      <c r="CY103" s="128">
        <f t="shared" si="119"/>
        <v>6194</v>
      </c>
      <c r="CZ103" s="90">
        <f t="shared" si="120"/>
        <v>8111</v>
      </c>
      <c r="DA103" s="90">
        <f t="shared" si="121"/>
        <v>7360</v>
      </c>
      <c r="DB103" s="90">
        <f t="shared" ca="1" si="122"/>
        <v>24149.5</v>
      </c>
      <c r="DC103" s="90">
        <f t="shared" ca="1" si="123"/>
        <v>45814.5</v>
      </c>
      <c r="DD103" s="142">
        <f t="shared" ca="1" si="124"/>
        <v>0.13519737201104454</v>
      </c>
      <c r="DE103" s="142">
        <f t="shared" ca="1" si="125"/>
        <v>0.17704002008097872</v>
      </c>
      <c r="DF103" s="142">
        <f t="shared" ca="1" si="126"/>
        <v>0.16064782983553241</v>
      </c>
      <c r="DG103" s="142">
        <f t="shared" ca="1" si="127"/>
        <v>0.52711477807244433</v>
      </c>
      <c r="DI103" s="128">
        <f t="shared" si="128"/>
        <v>2853</v>
      </c>
      <c r="DJ103" s="90">
        <f t="shared" si="129"/>
        <v>3767</v>
      </c>
      <c r="DK103" s="90">
        <f t="shared" si="130"/>
        <v>2384</v>
      </c>
      <c r="DL103" s="90">
        <f t="shared" ca="1" si="131"/>
        <v>3189</v>
      </c>
      <c r="DM103" s="90">
        <f t="shared" ca="1" si="132"/>
        <v>12193</v>
      </c>
      <c r="DN103" s="142">
        <f t="shared" ca="1" si="133"/>
        <v>0.23398671368818175</v>
      </c>
      <c r="DO103" s="142">
        <f t="shared" ca="1" si="134"/>
        <v>0.30894775690970228</v>
      </c>
      <c r="DP103" s="142">
        <f t="shared" ca="1" si="135"/>
        <v>0.1955220208316247</v>
      </c>
      <c r="DQ103" s="142">
        <f t="shared" ca="1" si="136"/>
        <v>0.26154350857049125</v>
      </c>
      <c r="DS103" s="128">
        <f t="shared" ca="1" si="137"/>
        <v>81616.5</v>
      </c>
      <c r="DT103" s="90">
        <f t="shared" ca="1" si="138"/>
        <v>45814.5</v>
      </c>
      <c r="DU103" s="90">
        <f t="shared" ca="1" si="139"/>
        <v>12193</v>
      </c>
      <c r="DV103" s="90">
        <f t="shared" si="140"/>
        <v>80</v>
      </c>
      <c r="DW103" s="90">
        <f ca="1">_xlfn.IFNA(INDEX(武器升级消耗!$H:$H,MATCH(玩家节奏1!DS103/玩家节奏1!DS$5,武器升级消耗!M:M,1)),0)</f>
        <v>27</v>
      </c>
      <c r="DX103" s="90">
        <f ca="1">_xlfn.IFNA(INDEX(武器升级消耗!$H:$H,MATCH(玩家节奏1!DT103/玩家节奏1!DT$5,武器升级消耗!N:N,1)),0)</f>
        <v>24</v>
      </c>
      <c r="DY103" s="90">
        <f ca="1">_xlfn.IFNA(INDEX(武器升级消耗!$H:$H,MATCH(玩家节奏1!DU103/玩家节奏1!DU$5,武器升级消耗!O:O,1)),0)</f>
        <v>16</v>
      </c>
      <c r="DZ103" s="90">
        <f>_xlfn.IFNA(INDEX(武器升级消耗!$H:$H,MATCH(玩家节奏1!DV103/玩家节奏1!DV$5,武器升级消耗!P:P,1)),0)</f>
        <v>9</v>
      </c>
      <c r="EA103" s="90">
        <f ca="1">_xlfn.IFNA(INDEX(武器升级消耗!$Q:$Q,MATCH(玩家节奏1!DW103,武器升级消耗!$H:$H,0))*2*EA$4,0)</f>
        <v>3.7199999999999998</v>
      </c>
      <c r="EB103" s="90">
        <f ca="1">_xlfn.IFNA(INDEX(武器升级消耗!$Q:$Q,MATCH(玩家节奏1!DX103,武器升级消耗!$H:$H,0))*2*EB$4,0)</f>
        <v>4.1999999999999993</v>
      </c>
      <c r="EC103" s="90">
        <f ca="1">_xlfn.IFNA(INDEX(武器升级消耗!$Q:$Q,MATCH(玩家节奏1!DY103,武器升级消耗!$H:$H,0))*2*EC$4,1)</f>
        <v>4.4000000000000004</v>
      </c>
      <c r="ED103" s="90">
        <f>_xlfn.IFNA(INDEX(武器升级消耗!$Q:$Q,MATCH(玩家节奏1!DZ103,武器升级消耗!$H:$H,0))*2*ED$4,0)</f>
        <v>3.9000000000000004</v>
      </c>
      <c r="EF103" s="128"/>
      <c r="EG103" s="90"/>
      <c r="EH103" s="90"/>
      <c r="EI103" s="90"/>
      <c r="EJ103" s="90"/>
      <c r="EK103" s="90"/>
      <c r="EL103" s="90"/>
      <c r="EM103" s="90"/>
      <c r="EO103" s="128"/>
      <c r="EP103" s="90"/>
      <c r="EQ103" s="90"/>
      <c r="ER103" s="90"/>
      <c r="ES103" s="90"/>
      <c r="ET103" s="90"/>
      <c r="EU103" s="90"/>
      <c r="EV103" s="90"/>
      <c r="EW103" s="90"/>
      <c r="EX103" s="90"/>
      <c r="EY103" s="90"/>
      <c r="EZ103" s="90"/>
      <c r="FA103" s="90"/>
      <c r="FB103" s="90"/>
      <c r="FD103" s="90">
        <f t="shared" ca="1" si="141"/>
        <v>4.4000000000000004</v>
      </c>
      <c r="FE103" s="90"/>
      <c r="FF103" s="90"/>
      <c r="FG103" s="90">
        <f t="shared" ca="1" si="142"/>
        <v>0</v>
      </c>
    </row>
    <row r="104" spans="1:163" x14ac:dyDescent="0.25">
      <c r="A104" s="123">
        <v>98</v>
      </c>
      <c r="B104" s="123">
        <f>INDEX(关卡对比!$Y:$Y,MATCH(关卡对比!Z104,关卡对比!$AA:$AA,1))</f>
        <v>62</v>
      </c>
      <c r="C104" s="124">
        <f>INDEX(关卡对比!$Y:$Y,MATCH(关卡对比!Z104,关卡对比!$AB:$AB,1))</f>
        <v>51</v>
      </c>
      <c r="D104" s="125">
        <f t="shared" si="145"/>
        <v>602.5</v>
      </c>
      <c r="E104" s="125">
        <v>3</v>
      </c>
      <c r="F104" s="128">
        <v>5</v>
      </c>
      <c r="G104" s="90">
        <v>1</v>
      </c>
      <c r="H104" s="90">
        <v>1</v>
      </c>
      <c r="J104" s="128">
        <v>98</v>
      </c>
      <c r="K104" s="90">
        <f t="shared" ref="K104:K135" si="152">INDEX($F:$F,MATCH(N103,$A:$A,0))</f>
        <v>5</v>
      </c>
      <c r="L104" s="90">
        <f t="shared" ref="L104:L135" si="153">INDEX($G:$G,MATCH(N103,$A:$A,0))</f>
        <v>1</v>
      </c>
      <c r="M104" s="90">
        <f t="shared" ref="M104:M135" si="154">INDEX($H:$H,MATCH(N103,$A:$A,0))</f>
        <v>1</v>
      </c>
      <c r="N104" s="140">
        <f>INDEX($A:$A,MATCH(SUM($K$7:K104),$D:$D,1))</f>
        <v>82</v>
      </c>
      <c r="O104" s="140">
        <v>0</v>
      </c>
      <c r="P104" s="141">
        <v>0</v>
      </c>
      <c r="Q104" s="126">
        <f>_xlfn.MAXIFS(关卡产出!X:X,关卡产出!$A:$A,玩家节奏1!$N$6,关卡产出!$B:$B,玩家节奏1!$N104)+_xlfn.MAXIFS(关卡产出!X:X,关卡产出!$A:$A,玩家节奏1!$O$6,关卡产出!$B:$B,玩家节奏1!$O104)+_xlfn.MAXIFS(关卡产出!X:X,关卡产出!$A:$A,玩家节奏1!$P$6,关卡产出!$B:$B,玩家节奏1!$P104)</f>
        <v>14900</v>
      </c>
      <c r="R104" s="90">
        <f>_xlfn.MAXIFS(关卡产出!Y:Y,关卡产出!$A:$A,玩家节奏1!$N$6,关卡产出!$B:$B,玩家节奏1!$N104)+_xlfn.MAXIFS(关卡产出!Y:Y,关卡产出!$A:$A,玩家节奏1!$O$6,关卡产出!$B:$B,玩家节奏1!$O104)+_xlfn.MAXIFS(关卡产出!Y:Y,关卡产出!$A:$A,玩家节奏1!$P$6,关卡产出!$B:$B,玩家节奏1!$P104)</f>
        <v>1863200</v>
      </c>
      <c r="S104" s="90">
        <f>_xlfn.MAXIFS(关卡产出!Z:Z,关卡产出!$A:$A,玩家节奏1!$N$6,关卡产出!$B:$B,玩家节奏1!$N104)+_xlfn.MAXIFS(关卡产出!Z:Z,关卡产出!$A:$A,玩家节奏1!$O$6,关卡产出!$B:$B,玩家节奏1!$O104)+_xlfn.MAXIFS(关卡产出!Z:Z,关卡产出!$A:$A,玩家节奏1!$P$6,关卡产出!$B:$B,玩家节奏1!$P104)</f>
        <v>13022</v>
      </c>
      <c r="T104" s="90">
        <f>_xlfn.MAXIFS(关卡产出!AA:AA,关卡产出!$A:$A,玩家节奏1!$N$6,关卡产出!$B:$B,玩家节奏1!$N104)+_xlfn.MAXIFS(关卡产出!AA:AA,关卡产出!$A:$A,玩家节奏1!$O$6,关卡产出!$B:$B,玩家节奏1!$O104)+_xlfn.MAXIFS(关卡产出!AA:AA,关卡产出!$A:$A,玩家节奏1!$P$6,关卡产出!$B:$B,玩家节奏1!$P104)</f>
        <v>6512</v>
      </c>
      <c r="U104" s="90">
        <f>_xlfn.MAXIFS(关卡产出!AB:AB,关卡产出!$A:$A,玩家节奏1!$N$6,关卡产出!$B:$B,玩家节奏1!$N104)+_xlfn.MAXIFS(关卡产出!AB:AB,关卡产出!$A:$A,玩家节奏1!$O$6,关卡产出!$B:$B,玩家节奏1!$O104)+_xlfn.MAXIFS(关卡产出!AB:AB,关卡产出!$A:$A,玩家节奏1!$P$6,关卡产出!$B:$B,玩家节奏1!$P104)</f>
        <v>3006</v>
      </c>
      <c r="V104" s="130">
        <f>_xlfn.MAXIFS(关卡产出!AC:AC,关卡产出!$A:$A,玩家节奏1!$N$6,关卡产出!$B:$B,玩家节奏1!$N104)+_xlfn.MAXIFS(关卡产出!AC:AC,关卡产出!$A:$A,玩家节奏1!$O$6,关卡产出!$B:$B,玩家节奏1!$O104)+_xlfn.MAXIFS(关卡产出!AC:AC,关卡产出!$A:$A,玩家节奏1!$P$6,关卡产出!$B:$B,玩家节奏1!$P104)</f>
        <v>492</v>
      </c>
      <c r="W104" s="126">
        <f>INDEX(关卡产出!C$8:C$207,MATCH(玩家节奏1!$N104,关卡产出!$B$8:$B$207,0))*$K104</f>
        <v>320</v>
      </c>
      <c r="X104" s="126">
        <f>INDEX(关卡产出!D$8:D$207,MATCH(玩家节奏1!$N104,关卡产出!$B$8:$B$207,0))*$K104</f>
        <v>160</v>
      </c>
      <c r="Y104" s="126">
        <f>INDEX(关卡产出!E$8:E$207,MATCH(玩家节奏1!$N104,关卡产出!$B$8:$B$207,0))*$K104</f>
        <v>75</v>
      </c>
      <c r="Z104" s="144">
        <f>INDEX(关卡产出!F$8:F$207,MATCH(玩家节奏1!$N104,关卡产出!$B$8:$B$207,0))*$K104</f>
        <v>4350</v>
      </c>
      <c r="AA104" s="126">
        <f>SUM(W$7:W104)</f>
        <v>16766</v>
      </c>
      <c r="AB104" s="126">
        <f>SUM(X$7:X104)</f>
        <v>8271</v>
      </c>
      <c r="AC104" s="126">
        <f>SUM(Y$7:Y104)</f>
        <v>3842</v>
      </c>
      <c r="AD104" s="126">
        <f>SUM(Z$7:Z104)</f>
        <v>247060</v>
      </c>
      <c r="AE104" s="126">
        <f>INDEX(图鉴!AQ:AQ,MATCH($N104,图鉴!$S:$S,0))*8</f>
        <v>168</v>
      </c>
      <c r="AF104" s="90">
        <f>INDEX(图鉴!AR:AR,MATCH($N104,图鉴!$S:$S,0))*8</f>
        <v>120</v>
      </c>
      <c r="AG104" s="90">
        <f>INDEX(图鉴!AS:AS,MATCH($N104,图鉴!$S:$S,0))*8</f>
        <v>40</v>
      </c>
      <c r="AH104" s="129">
        <f ca="1">INDEX(图鉴!AT:AT,MATCH($N104,图鉴!$S:$S,0))*8</f>
        <v>8600</v>
      </c>
      <c r="AI104" s="128">
        <f>SUM($AE$7:AE104)</f>
        <v>14040</v>
      </c>
      <c r="AJ104" s="90">
        <f>SUM(AF$7:AF104)</f>
        <v>7480</v>
      </c>
      <c r="AK104" s="90">
        <f>SUM(AG$7:AG104)</f>
        <v>2424</v>
      </c>
      <c r="AL104" s="130">
        <f ca="1">SUM(AH$7:AH104)</f>
        <v>558600</v>
      </c>
      <c r="AM104" s="133">
        <f>IF(M104=0,0,INDEX(关卡产出!$AU$11:$AU$15,MATCH(玩家节奏1!N104,关卡产出!$AW$11:$AW$15,1))*M104)</f>
        <v>12200</v>
      </c>
      <c r="AN104" s="126">
        <f>IF(L104=0,0,$L104*关卡产出!AU$21)</f>
        <v>1000</v>
      </c>
      <c r="AO104" s="90">
        <f>IF(M104=0,0,$L104*关卡产出!AV$21)</f>
        <v>50</v>
      </c>
      <c r="AP104" s="129">
        <f>IF(N104=0,0,$L104*关卡产出!AW$21)</f>
        <v>1</v>
      </c>
      <c r="AQ104" s="138">
        <f>SUM(AN$7:AN104)</f>
        <v>81000</v>
      </c>
      <c r="AR104" s="126">
        <f>SUM(AO$7:AO104)</f>
        <v>4050</v>
      </c>
      <c r="AS104" s="129">
        <f>SUM(AP$7:AP104)</f>
        <v>81</v>
      </c>
      <c r="AT104" s="128">
        <v>500</v>
      </c>
      <c r="AU104" s="129">
        <v>100</v>
      </c>
      <c r="AV104" s="128">
        <f>SUM(AT$7:AT104)</f>
        <v>49000</v>
      </c>
      <c r="AW104" s="90">
        <f>SUM(AU$7:AU104)</f>
        <v>9800</v>
      </c>
      <c r="AY104" s="128">
        <f t="shared" si="91"/>
        <v>14900</v>
      </c>
      <c r="AZ104" s="90">
        <f t="shared" si="92"/>
        <v>4050</v>
      </c>
      <c r="BA104" s="90">
        <f t="shared" si="93"/>
        <v>9800</v>
      </c>
      <c r="BB104" s="90">
        <f t="shared" ca="1" si="143"/>
        <v>5150</v>
      </c>
      <c r="BC104" s="90">
        <f t="shared" ca="1" si="144"/>
        <v>33900</v>
      </c>
      <c r="BD104" s="90"/>
      <c r="BE104" s="90">
        <f t="shared" ca="1" si="94"/>
        <v>33900</v>
      </c>
      <c r="BF104" s="142">
        <f t="shared" ca="1" si="95"/>
        <v>0.43952802359882004</v>
      </c>
      <c r="BG104" s="142">
        <f t="shared" ca="1" si="96"/>
        <v>0.11946902654867257</v>
      </c>
      <c r="BH104" s="142">
        <f t="shared" ref="BH104:BH135" ca="1" si="155">BA104/$BC104</f>
        <v>0.28908554572271389</v>
      </c>
      <c r="BI104" s="142">
        <f t="shared" ref="BI104:BI135" ca="1" si="156">BB104/$BC104</f>
        <v>0.15191740412979352</v>
      </c>
      <c r="BJ104" s="143"/>
      <c r="BK104" s="128">
        <f ca="1">INDEX(商城宝箱!$L:$L,MATCH(BC104,商城宝箱!$N:$N,1))</f>
        <v>8</v>
      </c>
      <c r="BL104" s="90">
        <f ca="1">_xlfn.IFNA(INDEX(商城宝箱!T:T,MATCH(玩家节奏1!$BK104,商城宝箱!$L:$L,0)),0)+($BC104-INDEX(商城宝箱!$N:$N,MATCH(玩家节奏1!$BK104,商城宝箱!$L:$L,0)))/$BK$5*INDEX(商城宝箱!E$23:E$42,MATCH(玩家节奏1!$BK104+1,商城宝箱!$C$23:$C$42,0))</f>
        <v>84750</v>
      </c>
      <c r="BM104" s="90">
        <f ca="1">_xlfn.IFNA(INDEX(商城宝箱!U:U,MATCH(玩家节奏1!$BK104,商城宝箱!$L:$L,0)),0)+($BC104-INDEX(商城宝箱!$N:$N,MATCH(玩家节奏1!$BK104,商城宝箱!$L:$L,0)))/$BK$5*INDEX(商城宝箱!F$23:F$42,MATCH(玩家节奏1!$BK104+1,商城宝箱!$C$23:$C$42,0))</f>
        <v>40122.5</v>
      </c>
      <c r="BN104" s="90">
        <f ca="1">_xlfn.IFNA(INDEX(商城宝箱!V:V,MATCH(玩家节奏1!$BK104,商城宝箱!$L:$L,0)),0)+($BC104-INDEX(商城宝箱!$N:$N,MATCH(玩家节奏1!$BK104,商城宝箱!$L:$L,0)))/$BK$5*INDEX(商城宝箱!G$23:G$42,MATCH(玩家节奏1!$BK104+1,商城宝箱!$C$23:$C$42,0))</f>
        <v>25057</v>
      </c>
      <c r="BO104" s="90">
        <f ca="1">_xlfn.IFNA(INDEX(商城宝箱!W:W,MATCH(玩家节奏1!$BK104,商城宝箱!$L:$L,0)),0)+($BC104-INDEX(商城宝箱!$N:$N,MATCH(玩家节奏1!$BK104,商城宝箱!$L:$L,0)))/$BK$5*INDEX(商城宝箱!H$23:H$42,MATCH(玩家节奏1!$BK104+1,商城宝箱!$C$23:$C$42,0))</f>
        <v>3293.5</v>
      </c>
      <c r="BQ104" s="128">
        <f t="shared" si="146"/>
        <v>1863200</v>
      </c>
      <c r="BR104" s="90">
        <f t="shared" si="147"/>
        <v>247060</v>
      </c>
      <c r="BS104" s="90">
        <f t="shared" ca="1" si="148"/>
        <v>558600</v>
      </c>
      <c r="BT104" s="90">
        <f t="shared" si="149"/>
        <v>12200</v>
      </c>
      <c r="BU104" s="90">
        <f t="shared" si="150"/>
        <v>81000</v>
      </c>
      <c r="BV104" s="90">
        <f t="shared" si="151"/>
        <v>49000</v>
      </c>
      <c r="BW104" s="90">
        <f t="shared" ca="1" si="99"/>
        <v>84750</v>
      </c>
      <c r="BX104" s="90">
        <f t="shared" ca="1" si="100"/>
        <v>2895810</v>
      </c>
      <c r="BY104" s="142">
        <f t="shared" ca="1" si="101"/>
        <v>0.64341237857456113</v>
      </c>
      <c r="BZ104" s="142">
        <f t="shared" ca="1" si="102"/>
        <v>8.5316370894499297E-2</v>
      </c>
      <c r="CA104" s="142">
        <f t="shared" ca="1" si="103"/>
        <v>0.1928993960239104</v>
      </c>
      <c r="CB104" s="142">
        <f t="shared" ca="1" si="104"/>
        <v>4.2129835866303381E-3</v>
      </c>
      <c r="CC104" s="142">
        <f t="shared" ca="1" si="105"/>
        <v>2.7971448403037492E-2</v>
      </c>
      <c r="CD104" s="142">
        <f t="shared" ca="1" si="106"/>
        <v>1.6920999651220212E-2</v>
      </c>
      <c r="CE104" s="142">
        <f t="shared" ca="1" si="107"/>
        <v>2.9266422866141079E-2</v>
      </c>
      <c r="CG104" s="128">
        <f t="shared" si="108"/>
        <v>82</v>
      </c>
      <c r="CH104" s="90">
        <f ca="1">INDEX(角色升级!$A:$A,MATCH(玩家节奏1!$BX104,角色升级!$J:$J,1))</f>
        <v>480</v>
      </c>
      <c r="CI104" s="90">
        <f ca="1">INDEX(角色升级!$O:$O,MATCH(玩家节奏1!$BX104,角色升级!$J:$J,1))</f>
        <v>16940.442370000001</v>
      </c>
      <c r="CJ104" s="90">
        <f>INDEX(关卡对比!$J:$J,MATCH(玩家节奏1!N104,关卡对比!$A:$A,0))</f>
        <v>27200</v>
      </c>
      <c r="CK104" s="147">
        <f t="shared" ca="1" si="109"/>
        <v>1.6056251310277914</v>
      </c>
      <c r="CL104" s="128">
        <f ca="1">INDEX(角色升级!$P:$P,MATCH(玩家节奏1!$CH104,角色升级!$A:$A,0))</f>
        <v>5150</v>
      </c>
      <c r="CM104" s="90">
        <f ca="1">INDEX(角色升级!Q:Q,MATCH(玩家节奏1!$CH104,角色升级!$A:$A,0))</f>
        <v>0.8</v>
      </c>
      <c r="CO104" s="128">
        <f t="shared" si="110"/>
        <v>13022</v>
      </c>
      <c r="CP104" s="90">
        <f t="shared" si="111"/>
        <v>16766</v>
      </c>
      <c r="CQ104" s="90">
        <f t="shared" si="112"/>
        <v>14040</v>
      </c>
      <c r="CR104" s="90">
        <f t="shared" ca="1" si="113"/>
        <v>40122.5</v>
      </c>
      <c r="CS104" s="90">
        <f t="shared" ca="1" si="114"/>
        <v>83950.5</v>
      </c>
      <c r="CT104" s="142">
        <f t="shared" ca="1" si="115"/>
        <v>0.15511521670508216</v>
      </c>
      <c r="CU104" s="142">
        <f t="shared" ca="1" si="116"/>
        <v>0.19971292606952906</v>
      </c>
      <c r="CV104" s="142">
        <f t="shared" ca="1" si="117"/>
        <v>0.1672414101166759</v>
      </c>
      <c r="CW104" s="142">
        <f t="shared" ca="1" si="118"/>
        <v>0.47793044710871285</v>
      </c>
      <c r="CY104" s="128">
        <f t="shared" si="119"/>
        <v>6512</v>
      </c>
      <c r="CZ104" s="90">
        <f t="shared" si="120"/>
        <v>8271</v>
      </c>
      <c r="DA104" s="90">
        <f t="shared" si="121"/>
        <v>7480</v>
      </c>
      <c r="DB104" s="90">
        <f t="shared" ca="1" si="122"/>
        <v>25057</v>
      </c>
      <c r="DC104" s="90">
        <f t="shared" ca="1" si="123"/>
        <v>47320</v>
      </c>
      <c r="DD104" s="142">
        <f t="shared" ca="1" si="124"/>
        <v>0.13761622992392222</v>
      </c>
      <c r="DE104" s="142">
        <f t="shared" ca="1" si="125"/>
        <v>0.17478867286559593</v>
      </c>
      <c r="DF104" s="142">
        <f t="shared" ca="1" si="126"/>
        <v>0.158072696534235</v>
      </c>
      <c r="DG104" s="142">
        <f t="shared" ca="1" si="127"/>
        <v>0.52952240067624678</v>
      </c>
      <c r="DI104" s="128">
        <f t="shared" si="128"/>
        <v>3006</v>
      </c>
      <c r="DJ104" s="90">
        <f t="shared" si="129"/>
        <v>3842</v>
      </c>
      <c r="DK104" s="90">
        <f t="shared" si="130"/>
        <v>2424</v>
      </c>
      <c r="DL104" s="90">
        <f t="shared" ca="1" si="131"/>
        <v>3293.5</v>
      </c>
      <c r="DM104" s="90">
        <f t="shared" ca="1" si="132"/>
        <v>12565.5</v>
      </c>
      <c r="DN104" s="142">
        <f t="shared" ca="1" si="133"/>
        <v>0.23922645338426646</v>
      </c>
      <c r="DO104" s="142">
        <f t="shared" ca="1" si="134"/>
        <v>0.30575782897616488</v>
      </c>
      <c r="DP104" s="142">
        <f t="shared" ca="1" si="135"/>
        <v>0.19290915602244241</v>
      </c>
      <c r="DQ104" s="142">
        <f t="shared" ca="1" si="136"/>
        <v>0.26210656161712625</v>
      </c>
      <c r="DS104" s="128">
        <f t="shared" ca="1" si="137"/>
        <v>83950.5</v>
      </c>
      <c r="DT104" s="90">
        <f t="shared" ca="1" si="138"/>
        <v>47320</v>
      </c>
      <c r="DU104" s="90">
        <f t="shared" ca="1" si="139"/>
        <v>12565.5</v>
      </c>
      <c r="DV104" s="90">
        <f t="shared" si="140"/>
        <v>81</v>
      </c>
      <c r="DW104" s="90">
        <f ca="1">_xlfn.IFNA(INDEX(武器升级消耗!$H:$H,MATCH(玩家节奏1!DS104/玩家节奏1!DS$5,武器升级消耗!M:M,1)),0)</f>
        <v>27</v>
      </c>
      <c r="DX104" s="90">
        <f ca="1">_xlfn.IFNA(INDEX(武器升级消耗!$H:$H,MATCH(玩家节奏1!DT104/玩家节奏1!DT$5,武器升级消耗!N:N,1)),0)</f>
        <v>24</v>
      </c>
      <c r="DY104" s="90">
        <f ca="1">_xlfn.IFNA(INDEX(武器升级消耗!$H:$H,MATCH(玩家节奏1!DU104/玩家节奏1!DU$5,武器升级消耗!O:O,1)),0)</f>
        <v>16</v>
      </c>
      <c r="DZ104" s="90">
        <f>_xlfn.IFNA(INDEX(武器升级消耗!$H:$H,MATCH(玩家节奏1!DV104/玩家节奏1!DV$5,武器升级消耗!P:P,1)),0)</f>
        <v>9</v>
      </c>
      <c r="EA104" s="90">
        <f ca="1">_xlfn.IFNA(INDEX(武器升级消耗!$Q:$Q,MATCH(玩家节奏1!DW104,武器升级消耗!$H:$H,0))*2*EA$4,0)</f>
        <v>3.7199999999999998</v>
      </c>
      <c r="EB104" s="90">
        <f ca="1">_xlfn.IFNA(INDEX(武器升级消耗!$Q:$Q,MATCH(玩家节奏1!DX104,武器升级消耗!$H:$H,0))*2*EB$4,0)</f>
        <v>4.1999999999999993</v>
      </c>
      <c r="EC104" s="90">
        <f ca="1">_xlfn.IFNA(INDEX(武器升级消耗!$Q:$Q,MATCH(玩家节奏1!DY104,武器升级消耗!$H:$H,0))*2*EC$4,1)</f>
        <v>4.4000000000000004</v>
      </c>
      <c r="ED104" s="90">
        <f>_xlfn.IFNA(INDEX(武器升级消耗!$Q:$Q,MATCH(玩家节奏1!DZ104,武器升级消耗!$H:$H,0))*2*ED$4,0)</f>
        <v>3.9000000000000004</v>
      </c>
      <c r="EF104" s="128"/>
      <c r="EG104" s="90"/>
      <c r="EH104" s="90"/>
      <c r="EI104" s="90"/>
      <c r="EJ104" s="90"/>
      <c r="EK104" s="90"/>
      <c r="EL104" s="90"/>
      <c r="EM104" s="90"/>
      <c r="EO104" s="128"/>
      <c r="EP104" s="90"/>
      <c r="EQ104" s="90"/>
      <c r="ER104" s="90"/>
      <c r="ES104" s="90"/>
      <c r="ET104" s="90"/>
      <c r="EU104" s="90"/>
      <c r="EV104" s="90"/>
      <c r="EW104" s="90"/>
      <c r="EX104" s="90"/>
      <c r="EY104" s="90"/>
      <c r="EZ104" s="90"/>
      <c r="FA104" s="90"/>
      <c r="FB104" s="90"/>
      <c r="FD104" s="90">
        <f t="shared" ca="1" si="141"/>
        <v>4.4000000000000004</v>
      </c>
      <c r="FE104" s="90"/>
      <c r="FF104" s="90"/>
      <c r="FG104" s="90">
        <f t="shared" ca="1" si="142"/>
        <v>0</v>
      </c>
    </row>
    <row r="105" spans="1:163" x14ac:dyDescent="0.25">
      <c r="A105" s="123">
        <v>99</v>
      </c>
      <c r="B105" s="123">
        <f>INDEX(关卡对比!$Y:$Y,MATCH(关卡对比!Z105,关卡对比!$AA:$AA,1))</f>
        <v>63</v>
      </c>
      <c r="C105" s="124">
        <f>INDEX(关卡对比!$Y:$Y,MATCH(关卡对比!Z105,关卡对比!$AB:$AB,1))</f>
        <v>51</v>
      </c>
      <c r="D105" s="125">
        <f t="shared" si="145"/>
        <v>608.5</v>
      </c>
      <c r="E105" s="125">
        <v>3</v>
      </c>
      <c r="F105" s="128">
        <v>5</v>
      </c>
      <c r="G105" s="90">
        <v>1</v>
      </c>
      <c r="H105" s="90">
        <v>1</v>
      </c>
      <c r="J105" s="128">
        <v>99</v>
      </c>
      <c r="K105" s="90">
        <f t="shared" si="152"/>
        <v>5</v>
      </c>
      <c r="L105" s="90">
        <f t="shared" si="153"/>
        <v>1</v>
      </c>
      <c r="M105" s="90">
        <f t="shared" si="154"/>
        <v>1</v>
      </c>
      <c r="N105" s="140">
        <f>INDEX($A:$A,MATCH(SUM($K$7:K105),$D:$D,1))</f>
        <v>82</v>
      </c>
      <c r="O105" s="140">
        <v>0</v>
      </c>
      <c r="P105" s="141">
        <v>0</v>
      </c>
      <c r="Q105" s="126">
        <f>_xlfn.MAXIFS(关卡产出!X:X,关卡产出!$A:$A,玩家节奏1!$N$6,关卡产出!$B:$B,玩家节奏1!$N105)+_xlfn.MAXIFS(关卡产出!X:X,关卡产出!$A:$A,玩家节奏1!$O$6,关卡产出!$B:$B,玩家节奏1!$O105)+_xlfn.MAXIFS(关卡产出!X:X,关卡产出!$A:$A,玩家节奏1!$P$6,关卡产出!$B:$B,玩家节奏1!$P105)</f>
        <v>14900</v>
      </c>
      <c r="R105" s="90">
        <f>_xlfn.MAXIFS(关卡产出!Y:Y,关卡产出!$A:$A,玩家节奏1!$N$6,关卡产出!$B:$B,玩家节奏1!$N105)+_xlfn.MAXIFS(关卡产出!Y:Y,关卡产出!$A:$A,玩家节奏1!$O$6,关卡产出!$B:$B,玩家节奏1!$O105)+_xlfn.MAXIFS(关卡产出!Y:Y,关卡产出!$A:$A,玩家节奏1!$P$6,关卡产出!$B:$B,玩家节奏1!$P105)</f>
        <v>1863200</v>
      </c>
      <c r="S105" s="90">
        <f>_xlfn.MAXIFS(关卡产出!Z:Z,关卡产出!$A:$A,玩家节奏1!$N$6,关卡产出!$B:$B,玩家节奏1!$N105)+_xlfn.MAXIFS(关卡产出!Z:Z,关卡产出!$A:$A,玩家节奏1!$O$6,关卡产出!$B:$B,玩家节奏1!$O105)+_xlfn.MAXIFS(关卡产出!Z:Z,关卡产出!$A:$A,玩家节奏1!$P$6,关卡产出!$B:$B,玩家节奏1!$P105)</f>
        <v>13022</v>
      </c>
      <c r="T105" s="90">
        <f>_xlfn.MAXIFS(关卡产出!AA:AA,关卡产出!$A:$A,玩家节奏1!$N$6,关卡产出!$B:$B,玩家节奏1!$N105)+_xlfn.MAXIFS(关卡产出!AA:AA,关卡产出!$A:$A,玩家节奏1!$O$6,关卡产出!$B:$B,玩家节奏1!$O105)+_xlfn.MAXIFS(关卡产出!AA:AA,关卡产出!$A:$A,玩家节奏1!$P$6,关卡产出!$B:$B,玩家节奏1!$P105)</f>
        <v>6512</v>
      </c>
      <c r="U105" s="90">
        <f>_xlfn.MAXIFS(关卡产出!AB:AB,关卡产出!$A:$A,玩家节奏1!$N$6,关卡产出!$B:$B,玩家节奏1!$N105)+_xlfn.MAXIFS(关卡产出!AB:AB,关卡产出!$A:$A,玩家节奏1!$O$6,关卡产出!$B:$B,玩家节奏1!$O105)+_xlfn.MAXIFS(关卡产出!AB:AB,关卡产出!$A:$A,玩家节奏1!$P$6,关卡产出!$B:$B,玩家节奏1!$P105)</f>
        <v>3006</v>
      </c>
      <c r="V105" s="130">
        <f>_xlfn.MAXIFS(关卡产出!AC:AC,关卡产出!$A:$A,玩家节奏1!$N$6,关卡产出!$B:$B,玩家节奏1!$N105)+_xlfn.MAXIFS(关卡产出!AC:AC,关卡产出!$A:$A,玩家节奏1!$O$6,关卡产出!$B:$B,玩家节奏1!$O105)+_xlfn.MAXIFS(关卡产出!AC:AC,关卡产出!$A:$A,玩家节奏1!$P$6,关卡产出!$B:$B,玩家节奏1!$P105)</f>
        <v>492</v>
      </c>
      <c r="W105" s="126">
        <f>INDEX(关卡产出!C$8:C$207,MATCH(玩家节奏1!$N105,关卡产出!$B$8:$B$207,0))*$K105</f>
        <v>320</v>
      </c>
      <c r="X105" s="126">
        <f>INDEX(关卡产出!D$8:D$207,MATCH(玩家节奏1!$N105,关卡产出!$B$8:$B$207,0))*$K105</f>
        <v>160</v>
      </c>
      <c r="Y105" s="126">
        <f>INDEX(关卡产出!E$8:E$207,MATCH(玩家节奏1!$N105,关卡产出!$B$8:$B$207,0))*$K105</f>
        <v>75</v>
      </c>
      <c r="Z105" s="144">
        <f>INDEX(关卡产出!F$8:F$207,MATCH(玩家节奏1!$N105,关卡产出!$B$8:$B$207,0))*$K105</f>
        <v>4350</v>
      </c>
      <c r="AA105" s="126">
        <f>SUM(W$7:W105)</f>
        <v>17086</v>
      </c>
      <c r="AB105" s="126">
        <f>SUM(X$7:X105)</f>
        <v>8431</v>
      </c>
      <c r="AC105" s="126">
        <f>SUM(Y$7:Y105)</f>
        <v>3917</v>
      </c>
      <c r="AD105" s="126">
        <f>SUM(Z$7:Z105)</f>
        <v>251410</v>
      </c>
      <c r="AE105" s="126">
        <f>INDEX(图鉴!AQ:AQ,MATCH($N105,图鉴!$S:$S,0))*8</f>
        <v>168</v>
      </c>
      <c r="AF105" s="90">
        <f>INDEX(图鉴!AR:AR,MATCH($N105,图鉴!$S:$S,0))*8</f>
        <v>120</v>
      </c>
      <c r="AG105" s="90">
        <f>INDEX(图鉴!AS:AS,MATCH($N105,图鉴!$S:$S,0))*8</f>
        <v>40</v>
      </c>
      <c r="AH105" s="129">
        <f ca="1">INDEX(图鉴!AT:AT,MATCH($N105,图鉴!$S:$S,0))*8</f>
        <v>8600</v>
      </c>
      <c r="AI105" s="128">
        <f>SUM($AE$7:AE105)</f>
        <v>14208</v>
      </c>
      <c r="AJ105" s="90">
        <f>SUM(AF$7:AF105)</f>
        <v>7600</v>
      </c>
      <c r="AK105" s="90">
        <f>SUM(AG$7:AG105)</f>
        <v>2464</v>
      </c>
      <c r="AL105" s="130">
        <f ca="1">SUM(AH$7:AH105)</f>
        <v>567200</v>
      </c>
      <c r="AM105" s="133">
        <f>IF(M105=0,0,INDEX(关卡产出!$AU$11:$AU$15,MATCH(玩家节奏1!N105,关卡产出!$AW$11:$AW$15,1))*M105)</f>
        <v>12200</v>
      </c>
      <c r="AN105" s="126">
        <f>IF(L105=0,0,$L105*关卡产出!AU$21)</f>
        <v>1000</v>
      </c>
      <c r="AO105" s="90">
        <f>IF(M105=0,0,$L105*关卡产出!AV$21)</f>
        <v>50</v>
      </c>
      <c r="AP105" s="129">
        <f>IF(N105=0,0,$L105*关卡产出!AW$21)</f>
        <v>1</v>
      </c>
      <c r="AQ105" s="138">
        <f>SUM(AN$7:AN105)</f>
        <v>82000</v>
      </c>
      <c r="AR105" s="126">
        <f>SUM(AO$7:AO105)</f>
        <v>4100</v>
      </c>
      <c r="AS105" s="129">
        <f>SUM(AP$7:AP105)</f>
        <v>82</v>
      </c>
      <c r="AT105" s="128">
        <v>500</v>
      </c>
      <c r="AU105" s="129">
        <v>100</v>
      </c>
      <c r="AV105" s="128">
        <f>SUM(AT$7:AT105)</f>
        <v>49500</v>
      </c>
      <c r="AW105" s="90">
        <f>SUM(AU$7:AU105)</f>
        <v>9900</v>
      </c>
      <c r="AY105" s="128">
        <f t="shared" si="91"/>
        <v>14900</v>
      </c>
      <c r="AZ105" s="90">
        <f t="shared" si="92"/>
        <v>4100</v>
      </c>
      <c r="BA105" s="90">
        <f t="shared" si="93"/>
        <v>9900</v>
      </c>
      <c r="BB105" s="90">
        <f t="shared" ca="1" si="143"/>
        <v>5150</v>
      </c>
      <c r="BC105" s="90">
        <f t="shared" ca="1" si="144"/>
        <v>34050</v>
      </c>
      <c r="BD105" s="90"/>
      <c r="BE105" s="90">
        <f t="shared" ca="1" si="94"/>
        <v>34050</v>
      </c>
      <c r="BF105" s="142">
        <f t="shared" ca="1" si="95"/>
        <v>0.43759177679882527</v>
      </c>
      <c r="BG105" s="142">
        <f t="shared" ca="1" si="96"/>
        <v>0.12041116005873716</v>
      </c>
      <c r="BH105" s="142">
        <f t="shared" ca="1" si="155"/>
        <v>0.29074889867841408</v>
      </c>
      <c r="BI105" s="142">
        <f t="shared" ca="1" si="156"/>
        <v>0.1512481644640235</v>
      </c>
      <c r="BJ105" s="143"/>
      <c r="BK105" s="128">
        <f ca="1">INDEX(商城宝箱!$L:$L,MATCH(BC105,商城宝箱!$N:$N,1))</f>
        <v>8</v>
      </c>
      <c r="BL105" s="90">
        <f ca="1">_xlfn.IFNA(INDEX(商城宝箱!T:T,MATCH(玩家节奏1!$BK105,商城宝箱!$L:$L,0)),0)+($BC105-INDEX(商城宝箱!$N:$N,MATCH(玩家节奏1!$BK105,商城宝箱!$L:$L,0)))/$BK$5*INDEX(商城宝箱!E$23:E$42,MATCH(玩家节奏1!$BK105+1,商城宝箱!$C$23:$C$42,0))</f>
        <v>85125</v>
      </c>
      <c r="BM105" s="90">
        <f ca="1">_xlfn.IFNA(INDEX(商城宝箱!U:U,MATCH(玩家节奏1!$BK105,商城宝箱!$L:$L,0)),0)+($BC105-INDEX(商城宝箱!$N:$N,MATCH(玩家节奏1!$BK105,商城宝箱!$L:$L,0)))/$BK$5*INDEX(商城宝箱!F$23:F$42,MATCH(玩家节奏1!$BK105+1,商城宝箱!$C$23:$C$42,0))</f>
        <v>40452.5</v>
      </c>
      <c r="BN105" s="90">
        <f ca="1">_xlfn.IFNA(INDEX(商城宝箱!V:V,MATCH(玩家节奏1!$BK105,商城宝箱!$L:$L,0)),0)+($BC105-INDEX(商城宝箱!$N:$N,MATCH(玩家节奏1!$BK105,商城宝箱!$L:$L,0)))/$BK$5*INDEX(商城宝箱!G$23:G$42,MATCH(玩家节奏1!$BK105+1,商城宝箱!$C$23:$C$42,0))</f>
        <v>25304.5</v>
      </c>
      <c r="BO105" s="90">
        <f ca="1">_xlfn.IFNA(INDEX(商城宝箱!W:W,MATCH(玩家节奏1!$BK105,商城宝箱!$L:$L,0)),0)+($BC105-INDEX(商城宝箱!$N:$N,MATCH(玩家节奏1!$BK105,商城宝箱!$L:$L,0)))/$BK$5*INDEX(商城宝箱!H$23:H$42,MATCH(玩家节奏1!$BK105+1,商城宝箱!$C$23:$C$42,0))</f>
        <v>3322</v>
      </c>
      <c r="BQ105" s="128">
        <f t="shared" si="146"/>
        <v>1863200</v>
      </c>
      <c r="BR105" s="90">
        <f t="shared" si="147"/>
        <v>251410</v>
      </c>
      <c r="BS105" s="90">
        <f t="shared" ca="1" si="148"/>
        <v>567200</v>
      </c>
      <c r="BT105" s="90">
        <f t="shared" si="149"/>
        <v>12200</v>
      </c>
      <c r="BU105" s="90">
        <f t="shared" si="150"/>
        <v>82000</v>
      </c>
      <c r="BV105" s="90">
        <f t="shared" si="151"/>
        <v>49500</v>
      </c>
      <c r="BW105" s="90">
        <f t="shared" ca="1" si="99"/>
        <v>85125</v>
      </c>
      <c r="BX105" s="90">
        <f t="shared" ca="1" si="100"/>
        <v>2910635</v>
      </c>
      <c r="BY105" s="142">
        <f t="shared" ca="1" si="101"/>
        <v>0.64013522822339453</v>
      </c>
      <c r="BZ105" s="142">
        <f t="shared" ca="1" si="102"/>
        <v>8.6376340557988207E-2</v>
      </c>
      <c r="CA105" s="142">
        <f t="shared" ca="1" si="103"/>
        <v>0.19487156582670104</v>
      </c>
      <c r="CB105" s="142">
        <f t="shared" ca="1" si="104"/>
        <v>4.1915252170059113E-3</v>
      </c>
      <c r="CC105" s="142">
        <f t="shared" ca="1" si="105"/>
        <v>2.8172546540531532E-2</v>
      </c>
      <c r="CD105" s="142">
        <f t="shared" ca="1" si="106"/>
        <v>1.7006598216540377E-2</v>
      </c>
      <c r="CE105" s="142">
        <f t="shared" ca="1" si="107"/>
        <v>2.9246195417838374E-2</v>
      </c>
      <c r="CG105" s="128">
        <f t="shared" si="108"/>
        <v>82</v>
      </c>
      <c r="CH105" s="90">
        <f ca="1">INDEX(角色升级!$A:$A,MATCH(玩家节奏1!$BX105,角色升级!$J:$J,1))</f>
        <v>480</v>
      </c>
      <c r="CI105" s="90">
        <f ca="1">INDEX(角色升级!$O:$O,MATCH(玩家节奏1!$BX105,角色升级!$J:$J,1))</f>
        <v>16940.442370000001</v>
      </c>
      <c r="CJ105" s="90">
        <f>INDEX(关卡对比!$J:$J,MATCH(玩家节奏1!N105,关卡对比!$A:$A,0))</f>
        <v>27200</v>
      </c>
      <c r="CK105" s="147">
        <f t="shared" ca="1" si="109"/>
        <v>1.6056251310277914</v>
      </c>
      <c r="CL105" s="128">
        <f ca="1">INDEX(角色升级!$P:$P,MATCH(玩家节奏1!$CH105,角色升级!$A:$A,0))</f>
        <v>5150</v>
      </c>
      <c r="CM105" s="90">
        <f ca="1">INDEX(角色升级!Q:Q,MATCH(玩家节奏1!$CH105,角色升级!$A:$A,0))</f>
        <v>0.8</v>
      </c>
      <c r="CO105" s="128">
        <f t="shared" si="110"/>
        <v>13022</v>
      </c>
      <c r="CP105" s="90">
        <f t="shared" si="111"/>
        <v>17086</v>
      </c>
      <c r="CQ105" s="90">
        <f t="shared" si="112"/>
        <v>14208</v>
      </c>
      <c r="CR105" s="90">
        <f t="shared" ca="1" si="113"/>
        <v>40452.5</v>
      </c>
      <c r="CS105" s="90">
        <f t="shared" ca="1" si="114"/>
        <v>84768.5</v>
      </c>
      <c r="CT105" s="142">
        <f t="shared" ca="1" si="115"/>
        <v>0.15361838418752249</v>
      </c>
      <c r="CU105" s="142">
        <f t="shared" ca="1" si="116"/>
        <v>0.20156072125848634</v>
      </c>
      <c r="CV105" s="142">
        <f t="shared" ca="1" si="117"/>
        <v>0.1676094303898264</v>
      </c>
      <c r="CW105" s="142">
        <f t="shared" ca="1" si="118"/>
        <v>0.47721146416416477</v>
      </c>
      <c r="CY105" s="128">
        <f t="shared" si="119"/>
        <v>6512</v>
      </c>
      <c r="CZ105" s="90">
        <f t="shared" si="120"/>
        <v>8431</v>
      </c>
      <c r="DA105" s="90">
        <f t="shared" si="121"/>
        <v>7600</v>
      </c>
      <c r="DB105" s="90">
        <f t="shared" ca="1" si="122"/>
        <v>25304.5</v>
      </c>
      <c r="DC105" s="90">
        <f t="shared" ca="1" si="123"/>
        <v>47847.5</v>
      </c>
      <c r="DD105" s="142">
        <f t="shared" ca="1" si="124"/>
        <v>0.1360990647369246</v>
      </c>
      <c r="DE105" s="142">
        <f t="shared" ca="1" si="125"/>
        <v>0.17620565337791944</v>
      </c>
      <c r="DF105" s="142">
        <f t="shared" ca="1" si="126"/>
        <v>0.1588379748158211</v>
      </c>
      <c r="DG105" s="142">
        <f t="shared" ca="1" si="127"/>
        <v>0.52885730706933487</v>
      </c>
      <c r="DI105" s="128">
        <f t="shared" si="128"/>
        <v>3006</v>
      </c>
      <c r="DJ105" s="90">
        <f t="shared" si="129"/>
        <v>3917</v>
      </c>
      <c r="DK105" s="90">
        <f t="shared" si="130"/>
        <v>2464</v>
      </c>
      <c r="DL105" s="90">
        <f t="shared" ca="1" si="131"/>
        <v>3322</v>
      </c>
      <c r="DM105" s="90">
        <f t="shared" ca="1" si="132"/>
        <v>12709</v>
      </c>
      <c r="DN105" s="142">
        <f t="shared" ca="1" si="133"/>
        <v>0.23652529703359823</v>
      </c>
      <c r="DO105" s="142">
        <f t="shared" ca="1" si="134"/>
        <v>0.30820678259501139</v>
      </c>
      <c r="DP105" s="142">
        <f t="shared" ca="1" si="135"/>
        <v>0.19387835392241717</v>
      </c>
      <c r="DQ105" s="142">
        <f t="shared" ca="1" si="136"/>
        <v>0.26138956644897315</v>
      </c>
      <c r="DS105" s="128">
        <f t="shared" ca="1" si="137"/>
        <v>84768.5</v>
      </c>
      <c r="DT105" s="90">
        <f t="shared" ca="1" si="138"/>
        <v>47847.5</v>
      </c>
      <c r="DU105" s="90">
        <f t="shared" ca="1" si="139"/>
        <v>12709</v>
      </c>
      <c r="DV105" s="90">
        <f t="shared" si="140"/>
        <v>82</v>
      </c>
      <c r="DW105" s="90">
        <f ca="1">_xlfn.IFNA(INDEX(武器升级消耗!$H:$H,MATCH(玩家节奏1!DS105/玩家节奏1!DS$5,武器升级消耗!M:M,1)),0)</f>
        <v>27</v>
      </c>
      <c r="DX105" s="90">
        <f ca="1">_xlfn.IFNA(INDEX(武器升级消耗!$H:$H,MATCH(玩家节奏1!DT105/玩家节奏1!DT$5,武器升级消耗!N:N,1)),0)</f>
        <v>24</v>
      </c>
      <c r="DY105" s="90">
        <f ca="1">_xlfn.IFNA(INDEX(武器升级消耗!$H:$H,MATCH(玩家节奏1!DU105/玩家节奏1!DU$5,武器升级消耗!O:O,1)),0)</f>
        <v>16</v>
      </c>
      <c r="DZ105" s="90">
        <f>_xlfn.IFNA(INDEX(武器升级消耗!$H:$H,MATCH(玩家节奏1!DV105/玩家节奏1!DV$5,武器升级消耗!P:P,1)),0)</f>
        <v>9</v>
      </c>
      <c r="EA105" s="90">
        <f ca="1">_xlfn.IFNA(INDEX(武器升级消耗!$Q:$Q,MATCH(玩家节奏1!DW105,武器升级消耗!$H:$H,0))*2*EA$4,0)</f>
        <v>3.7199999999999998</v>
      </c>
      <c r="EB105" s="90">
        <f ca="1">_xlfn.IFNA(INDEX(武器升级消耗!$Q:$Q,MATCH(玩家节奏1!DX105,武器升级消耗!$H:$H,0))*2*EB$4,0)</f>
        <v>4.1999999999999993</v>
      </c>
      <c r="EC105" s="90">
        <f ca="1">_xlfn.IFNA(INDEX(武器升级消耗!$Q:$Q,MATCH(玩家节奏1!DY105,武器升级消耗!$H:$H,0))*2*EC$4,1)</f>
        <v>4.4000000000000004</v>
      </c>
      <c r="ED105" s="90">
        <f>_xlfn.IFNA(INDEX(武器升级消耗!$Q:$Q,MATCH(玩家节奏1!DZ105,武器升级消耗!$H:$H,0))*2*ED$4,0)</f>
        <v>3.9000000000000004</v>
      </c>
      <c r="EF105" s="128"/>
      <c r="EG105" s="90"/>
      <c r="EH105" s="90"/>
      <c r="EI105" s="90"/>
      <c r="EJ105" s="90"/>
      <c r="EK105" s="90"/>
      <c r="EL105" s="90"/>
      <c r="EM105" s="90"/>
      <c r="EO105" s="128"/>
      <c r="EP105" s="90"/>
      <c r="EQ105" s="90"/>
      <c r="ER105" s="90"/>
      <c r="ES105" s="90"/>
      <c r="ET105" s="90"/>
      <c r="EU105" s="90"/>
      <c r="EV105" s="90"/>
      <c r="EW105" s="90"/>
      <c r="EX105" s="90"/>
      <c r="EY105" s="90"/>
      <c r="EZ105" s="90"/>
      <c r="FA105" s="90"/>
      <c r="FB105" s="90"/>
      <c r="FD105" s="90">
        <f t="shared" ca="1" si="141"/>
        <v>4.4000000000000004</v>
      </c>
      <c r="FE105" s="90"/>
      <c r="FF105" s="90"/>
      <c r="FG105" s="90">
        <f t="shared" ca="1" si="142"/>
        <v>0</v>
      </c>
    </row>
    <row r="106" spans="1:163" ht="13.8" thickBot="1" x14ac:dyDescent="0.3">
      <c r="A106" s="148">
        <v>100</v>
      </c>
      <c r="B106" s="148">
        <f>INDEX(关卡对比!$Y:$Y,MATCH(关卡对比!Z106,关卡对比!$AA:$AA,1))</f>
        <v>63</v>
      </c>
      <c r="C106" s="149">
        <f>INDEX(关卡对比!$Y:$Y,MATCH(关卡对比!Z106,关卡对比!$AB:$AB,1))</f>
        <v>51</v>
      </c>
      <c r="D106" s="150">
        <f t="shared" si="145"/>
        <v>611.5</v>
      </c>
      <c r="E106" s="150">
        <v>3</v>
      </c>
      <c r="F106" s="128">
        <v>5</v>
      </c>
      <c r="G106" s="90">
        <v>1</v>
      </c>
      <c r="H106" s="90">
        <v>1</v>
      </c>
      <c r="J106" s="151">
        <v>100</v>
      </c>
      <c r="K106" s="152">
        <f t="shared" si="152"/>
        <v>5</v>
      </c>
      <c r="L106" s="152">
        <f t="shared" si="153"/>
        <v>1</v>
      </c>
      <c r="M106" s="152">
        <f t="shared" si="154"/>
        <v>1</v>
      </c>
      <c r="N106" s="153">
        <f>INDEX($A:$A,MATCH(SUM($K$7:K106),$D:$D,1))</f>
        <v>83</v>
      </c>
      <c r="O106" s="140">
        <v>0</v>
      </c>
      <c r="P106" s="141">
        <v>0</v>
      </c>
      <c r="Q106" s="154">
        <f>_xlfn.MAXIFS(关卡产出!X:X,关卡产出!$A:$A,玩家节奏1!$N$6,关卡产出!$B:$B,玩家节奏1!$N106)+_xlfn.MAXIFS(关卡产出!X:X,关卡产出!$A:$A,玩家节奏1!$O$6,关卡产出!$B:$B,玩家节奏1!$O106)+_xlfn.MAXIFS(关卡产出!X:X,关卡产出!$A:$A,玩家节奏1!$P$6,关卡产出!$B:$B,玩家节奏1!$P106)</f>
        <v>15100</v>
      </c>
      <c r="R106" s="152">
        <f>_xlfn.MAXIFS(关卡产出!Y:Y,关卡产出!$A:$A,玩家节奏1!$N$6,关卡产出!$B:$B,玩家节奏1!$N106)+_xlfn.MAXIFS(关卡产出!Y:Y,关卡产出!$A:$A,玩家节奏1!$O$6,关卡产出!$B:$B,玩家节奏1!$O106)+_xlfn.MAXIFS(关卡产出!Y:Y,关卡产出!$A:$A,玩家节奏1!$P$6,关卡产出!$B:$B,玩家节奏1!$P106)</f>
        <v>1910700</v>
      </c>
      <c r="S106" s="152">
        <f>_xlfn.MAXIFS(关卡产出!Z:Z,关卡产出!$A:$A,玩家节奏1!$N$6,关卡产出!$B:$B,玩家节奏1!$N106)+_xlfn.MAXIFS(关卡产出!Z:Z,关卡产出!$A:$A,玩家节奏1!$O$6,关卡产出!$B:$B,玩家节奏1!$O106)+_xlfn.MAXIFS(关卡产出!Z:Z,关卡产出!$A:$A,玩家节奏1!$P$6,关卡产出!$B:$B,玩家节奏1!$P106)</f>
        <v>13346</v>
      </c>
      <c r="T106" s="152">
        <f>_xlfn.MAXIFS(关卡产出!AA:AA,关卡产出!$A:$A,玩家节奏1!$N$6,关卡产出!$B:$B,玩家节奏1!$N106)+_xlfn.MAXIFS(关卡产出!AA:AA,关卡产出!$A:$A,玩家节奏1!$O$6,关卡产出!$B:$B,玩家节奏1!$O106)+_xlfn.MAXIFS(关卡产出!AA:AA,关卡产出!$A:$A,玩家节奏1!$P$6,关卡产出!$B:$B,玩家节奏1!$P106)</f>
        <v>6674</v>
      </c>
      <c r="U106" s="152">
        <f>_xlfn.MAXIFS(关卡产出!AB:AB,关卡产出!$A:$A,玩家节奏1!$N$6,关卡产出!$B:$B,玩家节奏1!$N106)+_xlfn.MAXIFS(关卡产出!AB:AB,关卡产出!$A:$A,玩家节奏1!$O$6,关卡产出!$B:$B,玩家节奏1!$O106)+_xlfn.MAXIFS(关卡产出!AB:AB,关卡产出!$A:$A,玩家节奏1!$P$6,关卡产出!$B:$B,玩家节奏1!$P106)</f>
        <v>3084</v>
      </c>
      <c r="V106" s="155">
        <f>_xlfn.MAXIFS(关卡产出!AC:AC,关卡产出!$A:$A,玩家节奏1!$N$6,关卡产出!$B:$B,玩家节奏1!$N106)+_xlfn.MAXIFS(关卡产出!AC:AC,关卡产出!$A:$A,玩家节奏1!$O$6,关卡产出!$B:$B,玩家节奏1!$O106)+_xlfn.MAXIFS(关卡产出!AC:AC,关卡产出!$A:$A,玩家节奏1!$P$6,关卡产出!$B:$B,玩家节奏1!$P106)</f>
        <v>498</v>
      </c>
      <c r="W106" s="154">
        <f>INDEX(关卡产出!C$8:C$207,MATCH(玩家节奏1!$N106,关卡产出!$B$8:$B$207,0))*$K106</f>
        <v>325</v>
      </c>
      <c r="X106" s="154">
        <f>INDEX(关卡产出!D$8:D$207,MATCH(玩家节奏1!$N106,关卡产出!$B$8:$B$207,0))*$K106</f>
        <v>160</v>
      </c>
      <c r="Y106" s="154">
        <f>INDEX(关卡产出!E$8:E$207,MATCH(玩家节奏1!$N106,关卡产出!$B$8:$B$207,0))*$K106</f>
        <v>80</v>
      </c>
      <c r="Z106" s="144">
        <f>INDEX(关卡产出!F$8:F$207,MATCH(玩家节奏1!$N106,关卡产出!$B$8:$B$207,0))*$K106</f>
        <v>4450</v>
      </c>
      <c r="AA106" s="154">
        <f>SUM(W$7:W106)</f>
        <v>17411</v>
      </c>
      <c r="AB106" s="154">
        <f>SUM(X$7:X106)</f>
        <v>8591</v>
      </c>
      <c r="AC106" s="154">
        <f>SUM(Y$7:Y106)</f>
        <v>3997</v>
      </c>
      <c r="AD106" s="154">
        <f>SUM(Z$7:Z106)</f>
        <v>255860</v>
      </c>
      <c r="AE106" s="154">
        <f>INDEX(图鉴!AQ:AQ,MATCH($N106,图鉴!$S:$S,0))*8</f>
        <v>168</v>
      </c>
      <c r="AF106" s="152">
        <f>INDEX(图鉴!AR:AR,MATCH($N106,图鉴!$S:$S,0))*8</f>
        <v>120</v>
      </c>
      <c r="AG106" s="152">
        <f>INDEX(图鉴!AS:AS,MATCH($N106,图鉴!$S:$S,0))*8</f>
        <v>40</v>
      </c>
      <c r="AH106" s="156">
        <f ca="1">INDEX(图鉴!AT:AT,MATCH($N106,图鉴!$S:$S,0))*8</f>
        <v>8960</v>
      </c>
      <c r="AI106" s="151">
        <f>SUM($AE$7:AE106)</f>
        <v>14376</v>
      </c>
      <c r="AJ106" s="152">
        <f>SUM(AF$7:AF106)</f>
        <v>7720</v>
      </c>
      <c r="AK106" s="152">
        <f>SUM(AG$7:AG106)</f>
        <v>2504</v>
      </c>
      <c r="AL106" s="155">
        <f ca="1">SUM(AH$7:AH106)</f>
        <v>576160</v>
      </c>
      <c r="AM106" s="157">
        <f>IF(M106=0,0,INDEX(关卡产出!$AU$11:$AU$15,MATCH(玩家节奏1!N106,关卡产出!$AW$11:$AW$15,1))*M106)</f>
        <v>12200</v>
      </c>
      <c r="AN106" s="154">
        <f>IF(L106=0,0,$L106*关卡产出!AU$21)</f>
        <v>1000</v>
      </c>
      <c r="AO106" s="152">
        <f>IF(M106=0,0,$L106*关卡产出!AV$21)</f>
        <v>50</v>
      </c>
      <c r="AP106" s="156">
        <f>IF(N106=0,0,$L106*关卡产出!AW$21)</f>
        <v>1</v>
      </c>
      <c r="AQ106" s="158">
        <f>SUM(AN$7:AN106)</f>
        <v>83000</v>
      </c>
      <c r="AR106" s="154">
        <f>SUM(AO$7:AO106)</f>
        <v>4150</v>
      </c>
      <c r="AS106" s="156">
        <f>SUM(AP$7:AP106)</f>
        <v>83</v>
      </c>
      <c r="AT106" s="151">
        <v>500</v>
      </c>
      <c r="AU106" s="156">
        <v>100</v>
      </c>
      <c r="AV106" s="128">
        <f>SUM(AT$7:AT106)</f>
        <v>50000</v>
      </c>
      <c r="AW106" s="90">
        <f>SUM(AU$7:AU106)</f>
        <v>10000</v>
      </c>
      <c r="AY106" s="151">
        <f t="shared" si="91"/>
        <v>15100</v>
      </c>
      <c r="AZ106" s="152">
        <f t="shared" si="92"/>
        <v>4150</v>
      </c>
      <c r="BA106" s="152">
        <f t="shared" si="93"/>
        <v>10000</v>
      </c>
      <c r="BB106" s="90">
        <f t="shared" ca="1" si="143"/>
        <v>5150</v>
      </c>
      <c r="BC106" s="90">
        <f t="shared" ca="1" si="144"/>
        <v>34400</v>
      </c>
      <c r="BD106" s="90"/>
      <c r="BE106" s="90">
        <f t="shared" ca="1" si="94"/>
        <v>34400</v>
      </c>
      <c r="BF106" s="159">
        <f t="shared" ca="1" si="95"/>
        <v>0.43895348837209303</v>
      </c>
      <c r="BG106" s="159">
        <f t="shared" ca="1" si="96"/>
        <v>0.12063953488372094</v>
      </c>
      <c r="BH106" s="159">
        <f t="shared" ca="1" si="155"/>
        <v>0.29069767441860467</v>
      </c>
      <c r="BI106" s="159">
        <f t="shared" ca="1" si="156"/>
        <v>0.14970930232558138</v>
      </c>
      <c r="BJ106" s="143"/>
      <c r="BK106" s="151">
        <f ca="1">INDEX(商城宝箱!$L:$L,MATCH(BC106,商城宝箱!$N:$N,1))</f>
        <v>8</v>
      </c>
      <c r="BL106" s="152">
        <f ca="1">_xlfn.IFNA(INDEX(商城宝箱!T:T,MATCH(玩家节奏1!$BK106,商城宝箱!$L:$L,0)),0)+($BC106-INDEX(商城宝箱!$N:$N,MATCH(玩家节奏1!$BK106,商城宝箱!$L:$L,0)))/$BK$5*INDEX(商城宝箱!E$23:E$42,MATCH(玩家节奏1!$BK106+1,商城宝箱!$C$23:$C$42,0))</f>
        <v>86000</v>
      </c>
      <c r="BM106" s="152">
        <f ca="1">_xlfn.IFNA(INDEX(商城宝箱!U:U,MATCH(玩家节奏1!$BK106,商城宝箱!$L:$L,0)),0)+($BC106-INDEX(商城宝箱!$N:$N,MATCH(玩家节奏1!$BK106,商城宝箱!$L:$L,0)))/$BK$5*INDEX(商城宝箱!F$23:F$42,MATCH(玩家节奏1!$BK106+1,商城宝箱!$C$23:$C$42,0))</f>
        <v>41222.5</v>
      </c>
      <c r="BN106" s="152">
        <f ca="1">_xlfn.IFNA(INDEX(商城宝箱!V:V,MATCH(玩家节奏1!$BK106,商城宝箱!$L:$L,0)),0)+($BC106-INDEX(商城宝箱!$N:$N,MATCH(玩家节奏1!$BK106,商城宝箱!$L:$L,0)))/$BK$5*INDEX(商城宝箱!G$23:G$42,MATCH(玩家节奏1!$BK106+1,商城宝箱!$C$23:$C$42,0))</f>
        <v>25882</v>
      </c>
      <c r="BO106" s="152">
        <f ca="1">_xlfn.IFNA(INDEX(商城宝箱!W:W,MATCH(玩家节奏1!$BK106,商城宝箱!$L:$L,0)),0)+($BC106-INDEX(商城宝箱!$N:$N,MATCH(玩家节奏1!$BK106,商城宝箱!$L:$L,0)))/$BK$5*INDEX(商城宝箱!H$23:H$42,MATCH(玩家节奏1!$BK106+1,商城宝箱!$C$23:$C$42,0))</f>
        <v>3388.5</v>
      </c>
      <c r="BQ106" s="151">
        <f t="shared" si="146"/>
        <v>1910700</v>
      </c>
      <c r="BR106" s="152">
        <f t="shared" si="147"/>
        <v>255860</v>
      </c>
      <c r="BS106" s="152">
        <f t="shared" ca="1" si="148"/>
        <v>576160</v>
      </c>
      <c r="BT106" s="152">
        <f t="shared" si="149"/>
        <v>12200</v>
      </c>
      <c r="BU106" s="152">
        <f t="shared" si="150"/>
        <v>83000</v>
      </c>
      <c r="BV106" s="152">
        <f t="shared" si="151"/>
        <v>50000</v>
      </c>
      <c r="BW106" s="152">
        <f t="shared" ca="1" si="99"/>
        <v>86000</v>
      </c>
      <c r="BX106" s="152">
        <f t="shared" ca="1" si="100"/>
        <v>2973920</v>
      </c>
      <c r="BY106" s="159">
        <f t="shared" ca="1" si="101"/>
        <v>0.64248533921558082</v>
      </c>
      <c r="BZ106" s="159">
        <f t="shared" ca="1" si="102"/>
        <v>8.6034594071124973E-2</v>
      </c>
      <c r="CA106" s="159">
        <f t="shared" ca="1" si="103"/>
        <v>0.19373755850863505</v>
      </c>
      <c r="CB106" s="159">
        <f t="shared" ca="1" si="104"/>
        <v>4.1023295851939524E-3</v>
      </c>
      <c r="CC106" s="159">
        <f t="shared" ca="1" si="105"/>
        <v>2.790929144025394E-2</v>
      </c>
      <c r="CD106" s="159">
        <f t="shared" ca="1" si="106"/>
        <v>1.6812826168827674E-2</v>
      </c>
      <c r="CE106" s="159">
        <f t="shared" ca="1" si="107"/>
        <v>2.8918061010383602E-2</v>
      </c>
      <c r="CG106" s="128">
        <f t="shared" si="108"/>
        <v>83</v>
      </c>
      <c r="CH106" s="152">
        <f ca="1">INDEX(角色升级!$A:$A,MATCH(玩家节奏1!$BX106,角色升级!$J:$J,1))</f>
        <v>483</v>
      </c>
      <c r="CI106" s="152">
        <f ca="1">INDEX(角色升级!$O:$O,MATCH(玩家节奏1!$BX106,角色升级!$J:$J,1))</f>
        <v>17566.012619999998</v>
      </c>
      <c r="CJ106" s="152">
        <f>INDEX(关卡对比!$J:$J,MATCH(玩家节奏1!N106,关卡对比!$A:$A,0))</f>
        <v>27700</v>
      </c>
      <c r="CK106" s="160">
        <f t="shared" ca="1" si="109"/>
        <v>1.5769088067522978</v>
      </c>
      <c r="CL106" s="128">
        <f ca="1">INDEX(角色升级!$P:$P,MATCH(玩家节奏1!$CH106,角色升级!$A:$A,0))</f>
        <v>5150</v>
      </c>
      <c r="CM106" s="152">
        <f ca="1">INDEX(角色升级!Q:Q,MATCH(玩家节奏1!$CH106,角色升级!$A:$A,0))</f>
        <v>0.8</v>
      </c>
      <c r="CO106" s="128">
        <f t="shared" si="110"/>
        <v>13346</v>
      </c>
      <c r="CP106" s="90">
        <f t="shared" si="111"/>
        <v>17411</v>
      </c>
      <c r="CQ106" s="90">
        <f t="shared" si="112"/>
        <v>14376</v>
      </c>
      <c r="CR106" s="90">
        <f t="shared" ca="1" si="113"/>
        <v>41222.5</v>
      </c>
      <c r="CS106" s="152">
        <f t="shared" ca="1" si="114"/>
        <v>86355.5</v>
      </c>
      <c r="CT106" s="159">
        <f t="shared" ca="1" si="115"/>
        <v>0.15454719155120403</v>
      </c>
      <c r="CU106" s="159">
        <f t="shared" ca="1" si="116"/>
        <v>0.20162004736235678</v>
      </c>
      <c r="CV106" s="159">
        <f t="shared" ca="1" si="117"/>
        <v>0.16647463103102872</v>
      </c>
      <c r="CW106" s="159">
        <f t="shared" ca="1" si="118"/>
        <v>0.4773581300554105</v>
      </c>
      <c r="CY106" s="128">
        <f t="shared" si="119"/>
        <v>6674</v>
      </c>
      <c r="CZ106" s="90">
        <f t="shared" si="120"/>
        <v>8591</v>
      </c>
      <c r="DA106" s="90">
        <f t="shared" si="121"/>
        <v>7720</v>
      </c>
      <c r="DB106" s="90">
        <f t="shared" ca="1" si="122"/>
        <v>25882</v>
      </c>
      <c r="DC106" s="152">
        <f t="shared" ca="1" si="123"/>
        <v>48867</v>
      </c>
      <c r="DD106" s="142">
        <f t="shared" ca="1" si="124"/>
        <v>0.13657478461947736</v>
      </c>
      <c r="DE106" s="142">
        <f t="shared" ca="1" si="125"/>
        <v>0.17580371211656129</v>
      </c>
      <c r="DF106" s="142">
        <f t="shared" ca="1" si="126"/>
        <v>0.15797982278429207</v>
      </c>
      <c r="DG106" s="142">
        <f t="shared" ca="1" si="127"/>
        <v>0.52964168047966931</v>
      </c>
      <c r="DI106" s="128">
        <f t="shared" si="128"/>
        <v>3084</v>
      </c>
      <c r="DJ106" s="90">
        <f t="shared" si="129"/>
        <v>3997</v>
      </c>
      <c r="DK106" s="90">
        <f t="shared" si="130"/>
        <v>2504</v>
      </c>
      <c r="DL106" s="90">
        <f t="shared" ca="1" si="131"/>
        <v>3388.5</v>
      </c>
      <c r="DM106" s="152">
        <f t="shared" ca="1" si="132"/>
        <v>12973.5</v>
      </c>
      <c r="DN106" s="142">
        <f t="shared" ca="1" si="133"/>
        <v>0.23771534281419818</v>
      </c>
      <c r="DO106" s="142">
        <f t="shared" ca="1" si="134"/>
        <v>0.30808956719466607</v>
      </c>
      <c r="DP106" s="142">
        <f t="shared" ca="1" si="135"/>
        <v>0.1930088256831233</v>
      </c>
      <c r="DQ106" s="142">
        <f t="shared" ca="1" si="136"/>
        <v>0.26118626430801251</v>
      </c>
      <c r="DS106" s="128">
        <f t="shared" ca="1" si="137"/>
        <v>86355.5</v>
      </c>
      <c r="DT106" s="90">
        <f t="shared" ca="1" si="138"/>
        <v>48867</v>
      </c>
      <c r="DU106" s="90">
        <f t="shared" ca="1" si="139"/>
        <v>12973.5</v>
      </c>
      <c r="DV106" s="90">
        <f t="shared" si="140"/>
        <v>83</v>
      </c>
      <c r="DW106" s="90">
        <f ca="1">_xlfn.IFNA(INDEX(武器升级消耗!$H:$H,MATCH(玩家节奏1!DS106/玩家节奏1!DS$5,武器升级消耗!M:M,1)),0)</f>
        <v>27</v>
      </c>
      <c r="DX106" s="90">
        <f ca="1">_xlfn.IFNA(INDEX(武器升级消耗!$H:$H,MATCH(玩家节奏1!DT106/玩家节奏1!DT$5,武器升级消耗!N:N,1)),0)</f>
        <v>24</v>
      </c>
      <c r="DY106" s="90">
        <f ca="1">_xlfn.IFNA(INDEX(武器升级消耗!$H:$H,MATCH(玩家节奏1!DU106/玩家节奏1!DU$5,武器升级消耗!O:O,1)),0)</f>
        <v>16</v>
      </c>
      <c r="DZ106" s="90">
        <f>_xlfn.IFNA(INDEX(武器升级消耗!$H:$H,MATCH(玩家节奏1!DV106/玩家节奏1!DV$5,武器升级消耗!P:P,1)),0)</f>
        <v>10</v>
      </c>
      <c r="EA106" s="90">
        <f ca="1">_xlfn.IFNA(INDEX(武器升级消耗!$Q:$Q,MATCH(玩家节奏1!DW106,武器升级消耗!$H:$H,0))*2*EA$4,0)</f>
        <v>3.7199999999999998</v>
      </c>
      <c r="EB106" s="90">
        <f ca="1">_xlfn.IFNA(INDEX(武器升级消耗!$Q:$Q,MATCH(玩家节奏1!DX106,武器升级消耗!$H:$H,0))*2*EB$4,0)</f>
        <v>4.1999999999999993</v>
      </c>
      <c r="EC106" s="90">
        <f ca="1">_xlfn.IFNA(INDEX(武器升级消耗!$Q:$Q,MATCH(玩家节奏1!DY106,武器升级消耗!$H:$H,0))*2*EC$4,1)</f>
        <v>4.4000000000000004</v>
      </c>
      <c r="ED106" s="90">
        <f>_xlfn.IFNA(INDEX(武器升级消耗!$Q:$Q,MATCH(玩家节奏1!DZ106,武器升级消耗!$H:$H,0))*2*ED$4,0)</f>
        <v>4.1999999999999993</v>
      </c>
      <c r="EF106" s="151"/>
      <c r="EG106" s="152"/>
      <c r="EH106" s="90"/>
      <c r="EI106" s="90"/>
      <c r="EJ106" s="90"/>
      <c r="EK106" s="90"/>
      <c r="EL106" s="90"/>
      <c r="EM106" s="90"/>
      <c r="EO106" s="128"/>
      <c r="EP106" s="90"/>
      <c r="EQ106" s="90"/>
      <c r="ER106" s="90"/>
      <c r="ES106" s="90"/>
      <c r="ET106" s="90"/>
      <c r="EU106" s="90"/>
      <c r="EV106" s="90"/>
      <c r="EW106" s="90"/>
      <c r="EX106" s="90"/>
      <c r="EY106" s="90"/>
      <c r="EZ106" s="90"/>
      <c r="FA106" s="90"/>
      <c r="FB106" s="90"/>
      <c r="FD106" s="90">
        <f t="shared" ca="1" si="141"/>
        <v>4.4000000000000004</v>
      </c>
      <c r="FE106" s="90"/>
      <c r="FF106" s="90"/>
      <c r="FG106" s="90">
        <f t="shared" ca="1" si="142"/>
        <v>0</v>
      </c>
    </row>
    <row r="107" spans="1:163" s="166" customFormat="1" ht="13.8" thickTop="1" x14ac:dyDescent="0.25">
      <c r="A107" s="161">
        <v>101</v>
      </c>
      <c r="B107" s="161">
        <f>INDEX(关卡对比!$Y:$Y,MATCH(关卡对比!Z107,关卡对比!$AA:$AA,1))</f>
        <v>64</v>
      </c>
      <c r="C107" s="162">
        <f>INDEX(关卡对比!$Y:$Y,MATCH(关卡对比!Z107,关卡对比!$AB:$AB,1))</f>
        <v>52</v>
      </c>
      <c r="D107" s="163">
        <f t="shared" ref="D107:D170" si="157">A107*E107+B107*E107+C107*E107-4.5-10-16</f>
        <v>620.5</v>
      </c>
      <c r="E107" s="163">
        <v>3</v>
      </c>
      <c r="F107" s="128">
        <v>5</v>
      </c>
      <c r="G107" s="90">
        <v>1</v>
      </c>
      <c r="H107" s="90">
        <v>1</v>
      </c>
      <c r="J107" s="164">
        <v>101</v>
      </c>
      <c r="K107" s="165">
        <f t="shared" si="152"/>
        <v>5</v>
      </c>
      <c r="L107" s="165">
        <f t="shared" si="153"/>
        <v>1</v>
      </c>
      <c r="M107" s="165">
        <f t="shared" si="154"/>
        <v>1</v>
      </c>
      <c r="N107" s="167">
        <f>INDEX($A:$A,MATCH(SUM($K$7:K107),$D:$D,1))</f>
        <v>84</v>
      </c>
      <c r="O107" s="140">
        <v>0</v>
      </c>
      <c r="P107" s="141">
        <v>0</v>
      </c>
      <c r="Q107" s="168">
        <f>_xlfn.MAXIFS(关卡产出!X:X,关卡产出!$A:$A,玩家节奏1!$N$6,关卡产出!$B:$B,玩家节奏1!$N107)+_xlfn.MAXIFS(关卡产出!X:X,关卡产出!$A:$A,玩家节奏1!$O$6,关卡产出!$B:$B,玩家节奏1!$O107)+_xlfn.MAXIFS(关卡产出!X:X,关卡产出!$A:$A,玩家节奏1!$P$6,关卡产出!$B:$B,玩家节奏1!$P107)</f>
        <v>15300</v>
      </c>
      <c r="R107" s="165">
        <f>_xlfn.MAXIFS(关卡产出!Y:Y,关卡产出!$A:$A,玩家节奏1!$N$6,关卡产出!$B:$B,玩家节奏1!$N107)+_xlfn.MAXIFS(关卡产出!Y:Y,关卡产出!$A:$A,玩家节奏1!$O$6,关卡产出!$B:$B,玩家节奏1!$O107)+_xlfn.MAXIFS(关卡产出!Y:Y,关卡产出!$A:$A,玩家节奏1!$P$6,关卡产出!$B:$B,玩家节奏1!$P107)</f>
        <v>1958800</v>
      </c>
      <c r="S107" s="165">
        <f>_xlfn.MAXIFS(关卡产出!Z:Z,关卡产出!$A:$A,玩家节奏1!$N$6,关卡产出!$B:$B,玩家节奏1!$N107)+_xlfn.MAXIFS(关卡产出!Z:Z,关卡产出!$A:$A,玩家节奏1!$O$6,关卡产出!$B:$B,玩家节奏1!$O107)+_xlfn.MAXIFS(关卡产出!Z:Z,关卡产出!$A:$A,玩家节奏1!$P$6,关卡产出!$B:$B,玩家节奏1!$P107)</f>
        <v>13674</v>
      </c>
      <c r="T107" s="165">
        <f>_xlfn.MAXIFS(关卡产出!AA:AA,关卡产出!$A:$A,玩家节奏1!$N$6,关卡产出!$B:$B,玩家节奏1!$N107)+_xlfn.MAXIFS(关卡产出!AA:AA,关卡产出!$A:$A,玩家节奏1!$O$6,关卡产出!$B:$B,玩家节奏1!$O107)+_xlfn.MAXIFS(关卡产出!AA:AA,关卡产出!$A:$A,玩家节奏1!$P$6,关卡产出!$B:$B,玩家节奏1!$P107)</f>
        <v>6838</v>
      </c>
      <c r="U107" s="165">
        <f>_xlfn.MAXIFS(关卡产出!AB:AB,关卡产出!$A:$A,玩家节奏1!$N$6,关卡产出!$B:$B,玩家节奏1!$N107)+_xlfn.MAXIFS(关卡产出!AB:AB,关卡产出!$A:$A,玩家节奏1!$O$6,关卡产出!$B:$B,玩家节奏1!$O107)+_xlfn.MAXIFS(关卡产出!AB:AB,关卡产出!$A:$A,玩家节奏1!$P$6,关卡产出!$B:$B,玩家节奏1!$P107)</f>
        <v>3163</v>
      </c>
      <c r="V107" s="169">
        <f>_xlfn.MAXIFS(关卡产出!AC:AC,关卡产出!$A:$A,玩家节奏1!$N$6,关卡产出!$B:$B,玩家节奏1!$N107)+_xlfn.MAXIFS(关卡产出!AC:AC,关卡产出!$A:$A,玩家节奏1!$O$6,关卡产出!$B:$B,玩家节奏1!$O107)+_xlfn.MAXIFS(关卡产出!AC:AC,关卡产出!$A:$A,玩家节奏1!$P$6,关卡产出!$B:$B,玩家节奏1!$P107)</f>
        <v>504</v>
      </c>
      <c r="W107" s="168">
        <f>INDEX(关卡产出!C$8:C$207,MATCH(玩家节奏1!$N107,关卡产出!$B$8:$B$207,0))*$K107</f>
        <v>330</v>
      </c>
      <c r="X107" s="168">
        <f>INDEX(关卡产出!D$8:D$207,MATCH(玩家节奏1!$N107,关卡产出!$B$8:$B$207,0))*$K107</f>
        <v>165</v>
      </c>
      <c r="Y107" s="168">
        <f>INDEX(关卡产出!E$8:E$207,MATCH(玩家节奏1!$N107,关卡产出!$B$8:$B$207,0))*$K107</f>
        <v>80</v>
      </c>
      <c r="Z107" s="144">
        <f>INDEX(关卡产出!F$8:F$207,MATCH(玩家节奏1!$N107,关卡产出!$B$8:$B$207,0))*$K107</f>
        <v>4450</v>
      </c>
      <c r="AA107" s="168">
        <f>SUM(W$7:W107)</f>
        <v>17741</v>
      </c>
      <c r="AB107" s="168">
        <f>SUM(X$7:X107)</f>
        <v>8756</v>
      </c>
      <c r="AC107" s="168">
        <f>SUM(Y$7:Y107)</f>
        <v>4077</v>
      </c>
      <c r="AD107" s="168">
        <f>SUM(Z$7:Z107)</f>
        <v>260310</v>
      </c>
      <c r="AE107" s="168">
        <f>INDEX(图鉴!AQ:AQ,MATCH($N107,图鉴!$S:$S,0))*8</f>
        <v>168</v>
      </c>
      <c r="AF107" s="165">
        <f>INDEX(图鉴!AR:AR,MATCH($N107,图鉴!$S:$S,0))*8</f>
        <v>120</v>
      </c>
      <c r="AG107" s="165">
        <f>INDEX(图鉴!AS:AS,MATCH($N107,图鉴!$S:$S,0))*8</f>
        <v>40</v>
      </c>
      <c r="AH107" s="170">
        <f ca="1">INDEX(图鉴!AT:AT,MATCH($N107,图鉴!$S:$S,0))*8</f>
        <v>8960</v>
      </c>
      <c r="AI107" s="164">
        <f>SUM($AE$7:AE107)</f>
        <v>14544</v>
      </c>
      <c r="AJ107" s="165">
        <f>SUM(AF$7:AF107)</f>
        <v>7840</v>
      </c>
      <c r="AK107" s="165">
        <f>SUM(AG$7:AG107)</f>
        <v>2544</v>
      </c>
      <c r="AL107" s="169">
        <f ca="1">SUM(AH$7:AH107)</f>
        <v>585120</v>
      </c>
      <c r="AM107" s="171">
        <f>IF(M107=0,0,INDEX(关卡产出!$AU$11:$AU$15,MATCH(玩家节奏1!N107,关卡产出!$AW$11:$AW$15,1))*M107)</f>
        <v>12200</v>
      </c>
      <c r="AN107" s="168">
        <f>IF(L107=0,0,$L107*关卡产出!AU$21)</f>
        <v>1000</v>
      </c>
      <c r="AO107" s="165">
        <f>IF(M107=0,0,$L107*关卡产出!AV$21)</f>
        <v>50</v>
      </c>
      <c r="AP107" s="170">
        <f>IF(N107=0,0,$L107*关卡产出!AW$21)</f>
        <v>1</v>
      </c>
      <c r="AQ107" s="172">
        <f>SUM(AN$7:AN107)</f>
        <v>84000</v>
      </c>
      <c r="AR107" s="168">
        <f>SUM(AO$7:AO107)</f>
        <v>4200</v>
      </c>
      <c r="AS107" s="170">
        <f>SUM(AP$7:AP107)</f>
        <v>84</v>
      </c>
      <c r="AT107" s="164">
        <v>500</v>
      </c>
      <c r="AU107" s="170">
        <v>100</v>
      </c>
      <c r="AV107" s="128">
        <f>SUM(AT$7:AT107)</f>
        <v>50500</v>
      </c>
      <c r="AW107" s="90">
        <f>SUM(AU$7:AU107)</f>
        <v>10100</v>
      </c>
      <c r="AY107" s="164">
        <f t="shared" si="91"/>
        <v>15300</v>
      </c>
      <c r="AZ107" s="165">
        <f t="shared" si="92"/>
        <v>4200</v>
      </c>
      <c r="BA107" s="165">
        <f t="shared" si="93"/>
        <v>10100</v>
      </c>
      <c r="BB107" s="90">
        <f t="shared" ca="1" si="143"/>
        <v>5150</v>
      </c>
      <c r="BC107" s="90">
        <f t="shared" ca="1" si="144"/>
        <v>34750</v>
      </c>
      <c r="BD107" s="90"/>
      <c r="BE107" s="90">
        <f t="shared" ca="1" si="94"/>
        <v>34750</v>
      </c>
      <c r="BF107" s="173">
        <f t="shared" ca="1" si="95"/>
        <v>0.44028776978417267</v>
      </c>
      <c r="BG107" s="173">
        <f t="shared" ca="1" si="96"/>
        <v>0.12086330935251799</v>
      </c>
      <c r="BH107" s="173">
        <f t="shared" ca="1" si="155"/>
        <v>0.2906474820143885</v>
      </c>
      <c r="BI107" s="173">
        <f t="shared" ca="1" si="156"/>
        <v>0.14820143884892087</v>
      </c>
      <c r="BJ107" s="174"/>
      <c r="BK107" s="164">
        <f ca="1">INDEX(商城宝箱!$L:$L,MATCH(BC107,商城宝箱!$N:$N,1))</f>
        <v>8</v>
      </c>
      <c r="BL107" s="165">
        <f ca="1">_xlfn.IFNA(INDEX(商城宝箱!T:T,MATCH(玩家节奏1!$BK107,商城宝箱!$L:$L,0)),0)+($BC107-INDEX(商城宝箱!$N:$N,MATCH(玩家节奏1!$BK107,商城宝箱!$L:$L,0)))/$BK$5*INDEX(商城宝箱!E$23:E$42,MATCH(玩家节奏1!$BK107+1,商城宝箱!$C$23:$C$42,0))</f>
        <v>86875</v>
      </c>
      <c r="BM107" s="165">
        <f ca="1">_xlfn.IFNA(INDEX(商城宝箱!U:U,MATCH(玩家节奏1!$BK107,商城宝箱!$L:$L,0)),0)+($BC107-INDEX(商城宝箱!$N:$N,MATCH(玩家节奏1!$BK107,商城宝箱!$L:$L,0)))/$BK$5*INDEX(商城宝箱!F$23:F$42,MATCH(玩家节奏1!$BK107+1,商城宝箱!$C$23:$C$42,0))</f>
        <v>41992.5</v>
      </c>
      <c r="BN107" s="165">
        <f ca="1">_xlfn.IFNA(INDEX(商城宝箱!V:V,MATCH(玩家节奏1!$BK107,商城宝箱!$L:$L,0)),0)+($BC107-INDEX(商城宝箱!$N:$N,MATCH(玩家节奏1!$BK107,商城宝箱!$L:$L,0)))/$BK$5*INDEX(商城宝箱!G$23:G$42,MATCH(玩家节奏1!$BK107+1,商城宝箱!$C$23:$C$42,0))</f>
        <v>26459.5</v>
      </c>
      <c r="BO107" s="165">
        <f ca="1">_xlfn.IFNA(INDEX(商城宝箱!W:W,MATCH(玩家节奏1!$BK107,商城宝箱!$L:$L,0)),0)+($BC107-INDEX(商城宝箱!$N:$N,MATCH(玩家节奏1!$BK107,商城宝箱!$L:$L,0)))/$BK$5*INDEX(商城宝箱!H$23:H$42,MATCH(玩家节奏1!$BK107+1,商城宝箱!$C$23:$C$42,0))</f>
        <v>3455</v>
      </c>
      <c r="BQ107" s="164">
        <f t="shared" si="146"/>
        <v>1958800</v>
      </c>
      <c r="BR107" s="165">
        <f t="shared" si="147"/>
        <v>260310</v>
      </c>
      <c r="BS107" s="165">
        <f t="shared" ca="1" si="148"/>
        <v>585120</v>
      </c>
      <c r="BT107" s="165">
        <f t="shared" si="149"/>
        <v>12200</v>
      </c>
      <c r="BU107" s="165">
        <f t="shared" si="150"/>
        <v>84000</v>
      </c>
      <c r="BV107" s="165">
        <f t="shared" si="151"/>
        <v>50500</v>
      </c>
      <c r="BW107" s="165">
        <f t="shared" ca="1" si="99"/>
        <v>86875</v>
      </c>
      <c r="BX107" s="165">
        <f t="shared" ca="1" si="100"/>
        <v>3037805</v>
      </c>
      <c r="BY107" s="173">
        <f t="shared" ca="1" si="101"/>
        <v>0.64480768186239734</v>
      </c>
      <c r="BZ107" s="173">
        <f t="shared" ca="1" si="102"/>
        <v>8.5690161152542701E-2</v>
      </c>
      <c r="CA107" s="173">
        <f t="shared" ca="1" si="103"/>
        <v>0.19261275822510004</v>
      </c>
      <c r="CB107" s="173">
        <f t="shared" ca="1" si="104"/>
        <v>4.0160576468864853E-3</v>
      </c>
      <c r="CC107" s="173">
        <f t="shared" ca="1" si="105"/>
        <v>2.7651544453972523E-2</v>
      </c>
      <c r="CD107" s="173">
        <f t="shared" ca="1" si="106"/>
        <v>1.6623845177685861E-2</v>
      </c>
      <c r="CE107" s="173">
        <f t="shared" ca="1" si="107"/>
        <v>2.8597951481415036E-2</v>
      </c>
      <c r="CG107" s="128">
        <f t="shared" si="108"/>
        <v>84</v>
      </c>
      <c r="CH107" s="165">
        <f ca="1">INDEX(角色升级!$A:$A,MATCH(玩家节奏1!$BX107,角色升级!$J:$J,1))</f>
        <v>486</v>
      </c>
      <c r="CI107" s="165">
        <f ca="1">INDEX(角色升级!$O:$O,MATCH(玩家节奏1!$BX107,角色升级!$J:$J,1))</f>
        <v>18204.094274999999</v>
      </c>
      <c r="CJ107" s="165">
        <f>INDEX(关卡对比!$J:$J,MATCH(玩家节奏1!N107,关卡对比!$A:$A,0))</f>
        <v>28200</v>
      </c>
      <c r="CK107" s="175">
        <f t="shared" ca="1" si="109"/>
        <v>1.5491020631950667</v>
      </c>
      <c r="CL107" s="128">
        <f ca="1">INDEX(角色升级!$P:$P,MATCH(玩家节奏1!$CH107,角色升级!$A:$A,0))</f>
        <v>5150</v>
      </c>
      <c r="CM107" s="165">
        <f ca="1">INDEX(角色升级!Q:Q,MATCH(玩家节奏1!$CH107,角色升级!$A:$A,0))</f>
        <v>0.8</v>
      </c>
      <c r="CO107" s="128">
        <f t="shared" si="110"/>
        <v>13674</v>
      </c>
      <c r="CP107" s="90">
        <f t="shared" si="111"/>
        <v>17741</v>
      </c>
      <c r="CQ107" s="90">
        <f t="shared" si="112"/>
        <v>14544</v>
      </c>
      <c r="CR107" s="90">
        <f t="shared" ca="1" si="113"/>
        <v>41992.5</v>
      </c>
      <c r="CS107" s="165">
        <f t="shared" ca="1" si="114"/>
        <v>87951.5</v>
      </c>
      <c r="CT107" s="173">
        <f t="shared" ca="1" si="115"/>
        <v>0.15547204993661279</v>
      </c>
      <c r="CU107" s="173">
        <f t="shared" ca="1" si="116"/>
        <v>0.20171344434148367</v>
      </c>
      <c r="CV107" s="173">
        <f t="shared" ca="1" si="117"/>
        <v>0.16536386531213226</v>
      </c>
      <c r="CW107" s="173">
        <f t="shared" ca="1" si="118"/>
        <v>0.47745064040977131</v>
      </c>
      <c r="CY107" s="128">
        <f t="shared" si="119"/>
        <v>6838</v>
      </c>
      <c r="CZ107" s="90">
        <f t="shared" si="120"/>
        <v>8756</v>
      </c>
      <c r="DA107" s="90">
        <f t="shared" si="121"/>
        <v>7840</v>
      </c>
      <c r="DB107" s="90">
        <f t="shared" ca="1" si="122"/>
        <v>26459.5</v>
      </c>
      <c r="DC107" s="165">
        <f t="shared" ca="1" si="123"/>
        <v>49893.5</v>
      </c>
      <c r="DD107" s="142">
        <f t="shared" ca="1" si="124"/>
        <v>0.13705192059085852</v>
      </c>
      <c r="DE107" s="142">
        <f t="shared" ca="1" si="125"/>
        <v>0.17549380179782936</v>
      </c>
      <c r="DF107" s="142">
        <f t="shared" ca="1" si="126"/>
        <v>0.15713469690440637</v>
      </c>
      <c r="DG107" s="142">
        <f t="shared" ca="1" si="127"/>
        <v>0.53031958070690566</v>
      </c>
      <c r="DI107" s="128">
        <f t="shared" si="128"/>
        <v>3163</v>
      </c>
      <c r="DJ107" s="90">
        <f t="shared" si="129"/>
        <v>4077</v>
      </c>
      <c r="DK107" s="90">
        <f t="shared" si="130"/>
        <v>2544</v>
      </c>
      <c r="DL107" s="90">
        <f t="shared" ca="1" si="131"/>
        <v>3455</v>
      </c>
      <c r="DM107" s="165">
        <f t="shared" ca="1" si="132"/>
        <v>13239</v>
      </c>
      <c r="DN107" s="142">
        <f t="shared" ca="1" si="133"/>
        <v>0.23891532593096154</v>
      </c>
      <c r="DO107" s="142">
        <f t="shared" ca="1" si="134"/>
        <v>0.30795377294357579</v>
      </c>
      <c r="DP107" s="142">
        <f t="shared" ca="1" si="135"/>
        <v>0.19215952866530706</v>
      </c>
      <c r="DQ107" s="142">
        <f t="shared" ca="1" si="136"/>
        <v>0.26097137246015562</v>
      </c>
      <c r="DR107" s="89"/>
      <c r="DS107" s="128">
        <f t="shared" ca="1" si="137"/>
        <v>87951.5</v>
      </c>
      <c r="DT107" s="90">
        <f t="shared" ca="1" si="138"/>
        <v>49893.5</v>
      </c>
      <c r="DU107" s="90">
        <f t="shared" ca="1" si="139"/>
        <v>13239</v>
      </c>
      <c r="DV107" s="90">
        <f t="shared" si="140"/>
        <v>84</v>
      </c>
      <c r="DW107" s="90">
        <f ca="1">_xlfn.IFNA(INDEX(武器升级消耗!$H:$H,MATCH(玩家节奏1!DS107/玩家节奏1!DS$5,武器升级消耗!M:M,1)),0)</f>
        <v>27</v>
      </c>
      <c r="DX107" s="90">
        <f ca="1">_xlfn.IFNA(INDEX(武器升级消耗!$H:$H,MATCH(玩家节奏1!DT107/玩家节奏1!DT$5,武器升级消耗!N:N,1)),0)</f>
        <v>25</v>
      </c>
      <c r="DY107" s="90">
        <f ca="1">_xlfn.IFNA(INDEX(武器升级消耗!$H:$H,MATCH(玩家节奏1!DU107/玩家节奏1!DU$5,武器升级消耗!O:O,1)),0)</f>
        <v>16</v>
      </c>
      <c r="DZ107" s="90">
        <f>_xlfn.IFNA(INDEX(武器升级消耗!$H:$H,MATCH(玩家节奏1!DV107/玩家节奏1!DV$5,武器升级消耗!P:P,1)),0)</f>
        <v>10</v>
      </c>
      <c r="EA107" s="90">
        <f ca="1">_xlfn.IFNA(INDEX(武器升级消耗!$Q:$Q,MATCH(玩家节奏1!DW107,武器升级消耗!$H:$H,0))*2*EA$4,0)</f>
        <v>3.7199999999999998</v>
      </c>
      <c r="EB107" s="90">
        <f ca="1">_xlfn.IFNA(INDEX(武器升级消耗!$Q:$Q,MATCH(玩家节奏1!DX107,武器升级消耗!$H:$H,0))*2*EB$4,0)</f>
        <v>4.3499999999999996</v>
      </c>
      <c r="EC107" s="90">
        <f ca="1">_xlfn.IFNA(INDEX(武器升级消耗!$Q:$Q,MATCH(玩家节奏1!DY107,武器升级消耗!$H:$H,0))*2*EC$4,1)</f>
        <v>4.4000000000000004</v>
      </c>
      <c r="ED107" s="90">
        <f>_xlfn.IFNA(INDEX(武器升级消耗!$Q:$Q,MATCH(玩家节奏1!DZ107,武器升级消耗!$H:$H,0))*2*ED$4,0)</f>
        <v>4.1999999999999993</v>
      </c>
      <c r="EE107" s="89"/>
      <c r="EF107" s="189"/>
      <c r="EH107" s="89"/>
      <c r="EI107" s="89"/>
      <c r="EJ107" s="89"/>
      <c r="EK107" s="89"/>
      <c r="EL107" s="89"/>
      <c r="EM107" s="89"/>
      <c r="EO107" s="115"/>
      <c r="EP107" s="89"/>
      <c r="EQ107" s="89"/>
      <c r="ER107" s="89"/>
      <c r="ES107" s="89"/>
      <c r="ET107" s="89"/>
      <c r="EU107" s="89"/>
      <c r="EV107" s="89"/>
      <c r="EW107" s="89"/>
      <c r="EX107" s="89"/>
      <c r="EY107" s="89"/>
      <c r="EZ107" s="89"/>
      <c r="FA107" s="89"/>
      <c r="FB107" s="89"/>
      <c r="FD107" s="89"/>
      <c r="FE107" s="89"/>
      <c r="FF107" s="89"/>
      <c r="FG107" s="89"/>
    </row>
    <row r="108" spans="1:163" x14ac:dyDescent="0.25">
      <c r="A108" s="123">
        <v>102</v>
      </c>
      <c r="B108" s="123">
        <f>INDEX(关卡对比!$Y:$Y,MATCH(关卡对比!Z108,关卡对比!$AA:$AA,1))</f>
        <v>64</v>
      </c>
      <c r="C108" s="124">
        <f>INDEX(关卡对比!$Y:$Y,MATCH(关卡对比!Z108,关卡对比!$AB:$AB,1))</f>
        <v>52</v>
      </c>
      <c r="D108" s="125">
        <f t="shared" si="157"/>
        <v>623.5</v>
      </c>
      <c r="E108" s="125">
        <v>3</v>
      </c>
      <c r="F108" s="128">
        <v>5</v>
      </c>
      <c r="G108" s="90">
        <v>1</v>
      </c>
      <c r="H108" s="90">
        <v>1</v>
      </c>
      <c r="J108" s="128">
        <v>102</v>
      </c>
      <c r="K108" s="90">
        <f t="shared" si="152"/>
        <v>5</v>
      </c>
      <c r="L108" s="90">
        <f t="shared" si="153"/>
        <v>1</v>
      </c>
      <c r="M108" s="90">
        <f t="shared" si="154"/>
        <v>1</v>
      </c>
      <c r="N108" s="140">
        <f>INDEX($A:$A,MATCH(SUM($K$7:K108),$D:$D,1))</f>
        <v>85</v>
      </c>
      <c r="O108" s="140">
        <v>0</v>
      </c>
      <c r="P108" s="141">
        <v>0</v>
      </c>
      <c r="Q108" s="126">
        <f>_xlfn.MAXIFS(关卡产出!X:X,关卡产出!$A:$A,玩家节奏1!$N$6,关卡产出!$B:$B,玩家节奏1!$N108)+_xlfn.MAXIFS(关卡产出!X:X,关卡产出!$A:$A,玩家节奏1!$O$6,关卡产出!$B:$B,玩家节奏1!$O108)+_xlfn.MAXIFS(关卡产出!X:X,关卡产出!$A:$A,玩家节奏1!$P$6,关卡产出!$B:$B,玩家节奏1!$P108)</f>
        <v>15500</v>
      </c>
      <c r="R108" s="90">
        <f>_xlfn.MAXIFS(关卡产出!Y:Y,关卡产出!$A:$A,玩家节奏1!$N$6,关卡产出!$B:$B,玩家节奏1!$N108)+_xlfn.MAXIFS(关卡产出!Y:Y,关卡产出!$A:$A,玩家节奏1!$O$6,关卡产出!$B:$B,玩家节奏1!$O108)+_xlfn.MAXIFS(关卡产出!Y:Y,关卡产出!$A:$A,玩家节奏1!$P$6,关卡产出!$B:$B,玩家节奏1!$P108)</f>
        <v>2007500</v>
      </c>
      <c r="S108" s="90">
        <f>_xlfn.MAXIFS(关卡产出!Z:Z,关卡产出!$A:$A,玩家节奏1!$N$6,关卡产出!$B:$B,玩家节奏1!$N108)+_xlfn.MAXIFS(关卡产出!Z:Z,关卡产出!$A:$A,玩家节奏1!$O$6,关卡产出!$B:$B,玩家节奏1!$O108)+_xlfn.MAXIFS(关卡产出!Z:Z,关卡产出!$A:$A,玩家节奏1!$P$6,关卡产出!$B:$B,玩家节奏1!$P108)</f>
        <v>14006</v>
      </c>
      <c r="T108" s="90">
        <f>_xlfn.MAXIFS(关卡产出!AA:AA,关卡产出!$A:$A,玩家节奏1!$N$6,关卡产出!$B:$B,玩家节奏1!$N108)+_xlfn.MAXIFS(关卡产出!AA:AA,关卡产出!$A:$A,玩家节奏1!$O$6,关卡产出!$B:$B,玩家节奏1!$O108)+_xlfn.MAXIFS(关卡产出!AA:AA,关卡产出!$A:$A,玩家节奏1!$P$6,关卡产出!$B:$B,玩家节奏1!$P108)</f>
        <v>7004</v>
      </c>
      <c r="U108" s="90">
        <f>_xlfn.MAXIFS(关卡产出!AB:AB,关卡产出!$A:$A,玩家节奏1!$N$6,关卡产出!$B:$B,玩家节奏1!$N108)+_xlfn.MAXIFS(关卡产出!AB:AB,关卡产出!$A:$A,玩家节奏1!$O$6,关卡产出!$B:$B,玩家节奏1!$O108)+_xlfn.MAXIFS(关卡产出!AB:AB,关卡产出!$A:$A,玩家节奏1!$P$6,关卡产出!$B:$B,玩家节奏1!$P108)</f>
        <v>3243</v>
      </c>
      <c r="V108" s="130">
        <f>_xlfn.MAXIFS(关卡产出!AC:AC,关卡产出!$A:$A,玩家节奏1!$N$6,关卡产出!$B:$B,玩家节奏1!$N108)+_xlfn.MAXIFS(关卡产出!AC:AC,关卡产出!$A:$A,玩家节奏1!$O$6,关卡产出!$B:$B,玩家节奏1!$O108)+_xlfn.MAXIFS(关卡产出!AC:AC,关卡产出!$A:$A,玩家节奏1!$P$6,关卡产出!$B:$B,玩家节奏1!$P108)</f>
        <v>510</v>
      </c>
      <c r="W108" s="126">
        <f>INDEX(关卡产出!C$8:C$207,MATCH(玩家节奏1!$N108,关卡产出!$B$8:$B$207,0))*$K108</f>
        <v>330</v>
      </c>
      <c r="X108" s="126">
        <f>INDEX(关卡产出!D$8:D$207,MATCH(玩家节奏1!$N108,关卡产出!$B$8:$B$207,0))*$K108</f>
        <v>165</v>
      </c>
      <c r="Y108" s="126">
        <f>INDEX(关卡产出!E$8:E$207,MATCH(玩家节奏1!$N108,关卡产出!$B$8:$B$207,0))*$K108</f>
        <v>80</v>
      </c>
      <c r="Z108" s="144">
        <f>INDEX(关卡产出!F$8:F$207,MATCH(玩家节奏1!$N108,关卡产出!$B$8:$B$207,0))*$K108</f>
        <v>4550</v>
      </c>
      <c r="AA108" s="126">
        <f>SUM(W$7:W108)</f>
        <v>18071</v>
      </c>
      <c r="AB108" s="126">
        <f>SUM(X$7:X108)</f>
        <v>8921</v>
      </c>
      <c r="AC108" s="126">
        <f>SUM(Y$7:Y108)</f>
        <v>4157</v>
      </c>
      <c r="AD108" s="126">
        <f>SUM(Z$7:Z108)</f>
        <v>264860</v>
      </c>
      <c r="AE108" s="126">
        <f>INDEX(图鉴!AQ:AQ,MATCH($N108,图鉴!$S:$S,0))*8</f>
        <v>168</v>
      </c>
      <c r="AF108" s="90">
        <f>INDEX(图鉴!AR:AR,MATCH($N108,图鉴!$S:$S,0))*8</f>
        <v>120</v>
      </c>
      <c r="AG108" s="90">
        <f>INDEX(图鉴!AS:AS,MATCH($N108,图鉴!$S:$S,0))*8</f>
        <v>40</v>
      </c>
      <c r="AH108" s="129">
        <f ca="1">INDEX(图鉴!AT:AT,MATCH($N108,图鉴!$S:$S,0))*8</f>
        <v>9160</v>
      </c>
      <c r="AI108" s="128">
        <f>SUM($AE$7:AE108)</f>
        <v>14712</v>
      </c>
      <c r="AJ108" s="90">
        <f>SUM(AF$7:AF108)</f>
        <v>7960</v>
      </c>
      <c r="AK108" s="90">
        <f>SUM(AG$7:AG108)</f>
        <v>2584</v>
      </c>
      <c r="AL108" s="130">
        <f ca="1">SUM(AH$7:AH108)</f>
        <v>594280</v>
      </c>
      <c r="AM108" s="133">
        <f>IF(M108=0,0,INDEX(关卡产出!$AU$11:$AU$15,MATCH(玩家节奏1!N108,关卡产出!$AW$11:$AW$15,1))*M108)</f>
        <v>12200</v>
      </c>
      <c r="AN108" s="126">
        <f>IF(L108=0,0,$L108*关卡产出!AU$21)</f>
        <v>1000</v>
      </c>
      <c r="AO108" s="90">
        <f>IF(M108=0,0,$L108*关卡产出!AV$21)</f>
        <v>50</v>
      </c>
      <c r="AP108" s="129">
        <f>IF(N108=0,0,$L108*关卡产出!AW$21)</f>
        <v>1</v>
      </c>
      <c r="AQ108" s="138">
        <f>SUM(AN$7:AN108)</f>
        <v>85000</v>
      </c>
      <c r="AR108" s="126">
        <f>SUM(AO$7:AO108)</f>
        <v>4250</v>
      </c>
      <c r="AS108" s="129">
        <f>SUM(AP$7:AP108)</f>
        <v>85</v>
      </c>
      <c r="AT108" s="128">
        <v>500</v>
      </c>
      <c r="AU108" s="129">
        <v>100</v>
      </c>
      <c r="AV108" s="128">
        <f>SUM(AT$7:AT108)</f>
        <v>51000</v>
      </c>
      <c r="AW108" s="90">
        <f>SUM(AU$7:AU108)</f>
        <v>10200</v>
      </c>
      <c r="AY108" s="128">
        <f t="shared" si="91"/>
        <v>15500</v>
      </c>
      <c r="AZ108" s="90">
        <f t="shared" si="92"/>
        <v>4250</v>
      </c>
      <c r="BA108" s="90">
        <f t="shared" si="93"/>
        <v>10200</v>
      </c>
      <c r="BB108" s="90">
        <f t="shared" ca="1" si="143"/>
        <v>5150</v>
      </c>
      <c r="BC108" s="90">
        <f t="shared" ca="1" si="144"/>
        <v>35100</v>
      </c>
      <c r="BD108" s="90"/>
      <c r="BE108" s="90">
        <f t="shared" ca="1" si="94"/>
        <v>35100</v>
      </c>
      <c r="BF108" s="142">
        <f t="shared" ca="1" si="95"/>
        <v>0.44159544159544162</v>
      </c>
      <c r="BG108" s="142">
        <f t="shared" ca="1" si="96"/>
        <v>0.12108262108262108</v>
      </c>
      <c r="BH108" s="142">
        <f t="shared" ca="1" si="155"/>
        <v>0.29059829059829062</v>
      </c>
      <c r="BI108" s="142">
        <f t="shared" ca="1" si="156"/>
        <v>0.14672364672364671</v>
      </c>
      <c r="BJ108" s="143"/>
      <c r="BK108" s="128">
        <f ca="1">INDEX(商城宝箱!$L:$L,MATCH(BC108,商城宝箱!$N:$N,1))</f>
        <v>8</v>
      </c>
      <c r="BL108" s="90">
        <f ca="1">_xlfn.IFNA(INDEX(商城宝箱!T:T,MATCH(玩家节奏1!$BK108,商城宝箱!$L:$L,0)),0)+($BC108-INDEX(商城宝箱!$N:$N,MATCH(玩家节奏1!$BK108,商城宝箱!$L:$L,0)))/$BK$5*INDEX(商城宝箱!E$23:E$42,MATCH(玩家节奏1!$BK108+1,商城宝箱!$C$23:$C$42,0))</f>
        <v>87750</v>
      </c>
      <c r="BM108" s="90">
        <f ca="1">_xlfn.IFNA(INDEX(商城宝箱!U:U,MATCH(玩家节奏1!$BK108,商城宝箱!$L:$L,0)),0)+($BC108-INDEX(商城宝箱!$N:$N,MATCH(玩家节奏1!$BK108,商城宝箱!$L:$L,0)))/$BK$5*INDEX(商城宝箱!F$23:F$42,MATCH(玩家节奏1!$BK108+1,商城宝箱!$C$23:$C$42,0))</f>
        <v>42762.5</v>
      </c>
      <c r="BN108" s="90">
        <f ca="1">_xlfn.IFNA(INDEX(商城宝箱!V:V,MATCH(玩家节奏1!$BK108,商城宝箱!$L:$L,0)),0)+($BC108-INDEX(商城宝箱!$N:$N,MATCH(玩家节奏1!$BK108,商城宝箱!$L:$L,0)))/$BK$5*INDEX(商城宝箱!G$23:G$42,MATCH(玩家节奏1!$BK108+1,商城宝箱!$C$23:$C$42,0))</f>
        <v>27037</v>
      </c>
      <c r="BO108" s="90">
        <f ca="1">_xlfn.IFNA(INDEX(商城宝箱!W:W,MATCH(玩家节奏1!$BK108,商城宝箱!$L:$L,0)),0)+($BC108-INDEX(商城宝箱!$N:$N,MATCH(玩家节奏1!$BK108,商城宝箱!$L:$L,0)))/$BK$5*INDEX(商城宝箱!H$23:H$42,MATCH(玩家节奏1!$BK108+1,商城宝箱!$C$23:$C$42,0))</f>
        <v>3521.5</v>
      </c>
      <c r="BQ108" s="128">
        <f t="shared" si="146"/>
        <v>2007500</v>
      </c>
      <c r="BR108" s="90">
        <f t="shared" si="147"/>
        <v>264860</v>
      </c>
      <c r="BS108" s="90">
        <f t="shared" ca="1" si="148"/>
        <v>594280</v>
      </c>
      <c r="BT108" s="90">
        <f t="shared" si="149"/>
        <v>12200</v>
      </c>
      <c r="BU108" s="90">
        <f t="shared" si="150"/>
        <v>85000</v>
      </c>
      <c r="BV108" s="90">
        <f t="shared" si="151"/>
        <v>51000</v>
      </c>
      <c r="BW108" s="90">
        <f t="shared" ca="1" si="99"/>
        <v>87750</v>
      </c>
      <c r="BX108" s="90">
        <f t="shared" ca="1" si="100"/>
        <v>3102590</v>
      </c>
      <c r="BY108" s="142">
        <f t="shared" ca="1" si="101"/>
        <v>0.64704005363261019</v>
      </c>
      <c r="BZ108" s="142">
        <f t="shared" ca="1" si="102"/>
        <v>8.5367386602806045E-2</v>
      </c>
      <c r="CA108" s="142">
        <f t="shared" ca="1" si="103"/>
        <v>0.19154319455680577</v>
      </c>
      <c r="CB108" s="142">
        <f t="shared" ca="1" si="104"/>
        <v>3.9321985824746419E-3</v>
      </c>
      <c r="CC108" s="142">
        <f t="shared" ca="1" si="105"/>
        <v>2.7396465533634801E-2</v>
      </c>
      <c r="CD108" s="142">
        <f t="shared" ca="1" si="106"/>
        <v>1.6437879320180881E-2</v>
      </c>
      <c r="CE108" s="142">
        <f t="shared" ca="1" si="107"/>
        <v>2.8282821771487693E-2</v>
      </c>
      <c r="CG108" s="128">
        <f t="shared" si="108"/>
        <v>85</v>
      </c>
      <c r="CH108" s="90">
        <f ca="1">INDEX(角色升级!$A:$A,MATCH(玩家节奏1!$BX108,角色升级!$J:$J,1))</f>
        <v>488</v>
      </c>
      <c r="CI108" s="90">
        <f ca="1">INDEX(角色升级!$O:$O,MATCH(玩家节奏1!$BX108,角色升级!$J:$J,1))</f>
        <v>18629.482045000001</v>
      </c>
      <c r="CJ108" s="90">
        <f>INDEX(关卡对比!$J:$J,MATCH(玩家节奏1!N108,关卡对比!$A:$A,0))</f>
        <v>28700</v>
      </c>
      <c r="CK108" s="147">
        <f t="shared" ca="1" si="109"/>
        <v>1.5405688644844984</v>
      </c>
      <c r="CL108" s="128">
        <f ca="1">INDEX(角色升级!$P:$P,MATCH(玩家节奏1!$CH108,角色升级!$A:$A,0))</f>
        <v>5150</v>
      </c>
      <c r="CM108" s="90">
        <f ca="1">INDEX(角色升级!Q:Q,MATCH(玩家节奏1!$CH108,角色升级!$A:$A,0))</f>
        <v>0.8</v>
      </c>
      <c r="CO108" s="128">
        <f t="shared" si="110"/>
        <v>14006</v>
      </c>
      <c r="CP108" s="90">
        <f t="shared" si="111"/>
        <v>18071</v>
      </c>
      <c r="CQ108" s="90">
        <f t="shared" si="112"/>
        <v>14712</v>
      </c>
      <c r="CR108" s="90">
        <f t="shared" ca="1" si="113"/>
        <v>42762.5</v>
      </c>
      <c r="CS108" s="90">
        <f t="shared" ca="1" si="114"/>
        <v>89551.5</v>
      </c>
      <c r="CT108" s="142">
        <f t="shared" ca="1" si="115"/>
        <v>0.15640162364672841</v>
      </c>
      <c r="CU108" s="142">
        <f t="shared" ca="1" si="116"/>
        <v>0.20179449813794298</v>
      </c>
      <c r="CV108" s="142">
        <f t="shared" ca="1" si="117"/>
        <v>0.16428535535418168</v>
      </c>
      <c r="CW108" s="142">
        <f t="shared" ca="1" si="118"/>
        <v>0.47751852286114693</v>
      </c>
      <c r="CY108" s="128">
        <f t="shared" si="119"/>
        <v>7004</v>
      </c>
      <c r="CZ108" s="90">
        <f t="shared" si="120"/>
        <v>8921</v>
      </c>
      <c r="DA108" s="90">
        <f t="shared" si="121"/>
        <v>7960</v>
      </c>
      <c r="DB108" s="90">
        <f t="shared" ca="1" si="122"/>
        <v>27037</v>
      </c>
      <c r="DC108" s="90">
        <f t="shared" ca="1" si="123"/>
        <v>50922</v>
      </c>
      <c r="DD108" s="142">
        <f t="shared" ca="1" si="124"/>
        <v>0.1375436942775225</v>
      </c>
      <c r="DE108" s="142">
        <f t="shared" ca="1" si="125"/>
        <v>0.17518950551824358</v>
      </c>
      <c r="DF108" s="142">
        <f t="shared" ca="1" si="126"/>
        <v>0.15631750520403756</v>
      </c>
      <c r="DG108" s="142">
        <f t="shared" ca="1" si="127"/>
        <v>0.53094929500019639</v>
      </c>
      <c r="DI108" s="128">
        <f t="shared" si="128"/>
        <v>3243</v>
      </c>
      <c r="DJ108" s="90">
        <f t="shared" si="129"/>
        <v>4157</v>
      </c>
      <c r="DK108" s="90">
        <f t="shared" si="130"/>
        <v>2584</v>
      </c>
      <c r="DL108" s="90">
        <f t="shared" ca="1" si="131"/>
        <v>3521.5</v>
      </c>
      <c r="DM108" s="90">
        <f t="shared" ca="1" si="132"/>
        <v>13505.5</v>
      </c>
      <c r="DN108" s="142">
        <f t="shared" ca="1" si="133"/>
        <v>0.24012439376550293</v>
      </c>
      <c r="DO108" s="142">
        <f t="shared" ca="1" si="134"/>
        <v>0.30780052571174704</v>
      </c>
      <c r="DP108" s="142">
        <f t="shared" ca="1" si="135"/>
        <v>0.19132945836881271</v>
      </c>
      <c r="DQ108" s="142">
        <f t="shared" ca="1" si="136"/>
        <v>0.26074562215393726</v>
      </c>
      <c r="DS108" s="128">
        <f t="shared" ca="1" si="137"/>
        <v>89551.5</v>
      </c>
      <c r="DT108" s="90">
        <f t="shared" ca="1" si="138"/>
        <v>50922</v>
      </c>
      <c r="DU108" s="90">
        <f t="shared" ca="1" si="139"/>
        <v>13505.5</v>
      </c>
      <c r="DV108" s="90">
        <f t="shared" si="140"/>
        <v>85</v>
      </c>
      <c r="DW108" s="90">
        <f ca="1">_xlfn.IFNA(INDEX(武器升级消耗!$H:$H,MATCH(玩家节奏1!DS108/玩家节奏1!DS$5,武器升级消耗!M:M,1)),0)</f>
        <v>28</v>
      </c>
      <c r="DX108" s="90">
        <f ca="1">_xlfn.IFNA(INDEX(武器升级消耗!$H:$H,MATCH(玩家节奏1!DT108/玩家节奏1!DT$5,武器升级消耗!N:N,1)),0)</f>
        <v>25</v>
      </c>
      <c r="DY108" s="90">
        <f ca="1">_xlfn.IFNA(INDEX(武器升级消耗!$H:$H,MATCH(玩家节奏1!DU108/玩家节奏1!DU$5,武器升级消耗!O:O,1)),0)</f>
        <v>16</v>
      </c>
      <c r="DZ108" s="90">
        <f>_xlfn.IFNA(INDEX(武器升级消耗!$H:$H,MATCH(玩家节奏1!DV108/玩家节奏1!DV$5,武器升级消耗!P:P,1)),0)</f>
        <v>10</v>
      </c>
      <c r="EA108" s="90">
        <f ca="1">_xlfn.IFNA(INDEX(武器升级消耗!$Q:$Q,MATCH(玩家节奏1!DW108,武器升级消耗!$H:$H,0))*2*EA$4,0)</f>
        <v>3.84</v>
      </c>
      <c r="EB108" s="90">
        <f ca="1">_xlfn.IFNA(INDEX(武器升级消耗!$Q:$Q,MATCH(玩家节奏1!DX108,武器升级消耗!$H:$H,0))*2*EB$4,0)</f>
        <v>4.3499999999999996</v>
      </c>
      <c r="EC108" s="90">
        <f ca="1">_xlfn.IFNA(INDEX(武器升级消耗!$Q:$Q,MATCH(玩家节奏1!DY108,武器升级消耗!$H:$H,0))*2*EC$4,1)</f>
        <v>4.4000000000000004</v>
      </c>
      <c r="ED108" s="90">
        <f>_xlfn.IFNA(INDEX(武器升级消耗!$Q:$Q,MATCH(玩家节奏1!DZ108,武器升级消耗!$H:$H,0))*2*ED$4,0)</f>
        <v>4.1999999999999993</v>
      </c>
    </row>
    <row r="109" spans="1:163" x14ac:dyDescent="0.25">
      <c r="A109" s="123">
        <v>103</v>
      </c>
      <c r="B109" s="123">
        <f>INDEX(关卡对比!$Y:$Y,MATCH(关卡对比!Z109,关卡对比!$AA:$AA,1))</f>
        <v>65</v>
      </c>
      <c r="C109" s="124">
        <f>INDEX(关卡对比!$Y:$Y,MATCH(关卡对比!Z109,关卡对比!$AB:$AB,1))</f>
        <v>52</v>
      </c>
      <c r="D109" s="125">
        <f t="shared" si="157"/>
        <v>629.5</v>
      </c>
      <c r="E109" s="125">
        <v>3</v>
      </c>
      <c r="F109" s="128">
        <v>5</v>
      </c>
      <c r="G109" s="90">
        <v>1</v>
      </c>
      <c r="H109" s="90">
        <v>1</v>
      </c>
      <c r="J109" s="128">
        <v>103</v>
      </c>
      <c r="K109" s="90">
        <f t="shared" si="152"/>
        <v>5</v>
      </c>
      <c r="L109" s="90">
        <f t="shared" si="153"/>
        <v>1</v>
      </c>
      <c r="M109" s="90">
        <f t="shared" si="154"/>
        <v>1</v>
      </c>
      <c r="N109" s="140">
        <f>INDEX($A:$A,MATCH(SUM($K$7:K109),$D:$D,1))</f>
        <v>86</v>
      </c>
      <c r="O109" s="140">
        <v>0</v>
      </c>
      <c r="P109" s="141">
        <v>0</v>
      </c>
      <c r="Q109" s="126">
        <f>_xlfn.MAXIFS(关卡产出!X:X,关卡产出!$A:$A,玩家节奏1!$N$6,关卡产出!$B:$B,玩家节奏1!$N109)+_xlfn.MAXIFS(关卡产出!X:X,关卡产出!$A:$A,玩家节奏1!$O$6,关卡产出!$B:$B,玩家节奏1!$O109)+_xlfn.MAXIFS(关卡产出!X:X,关卡产出!$A:$A,玩家节奏1!$P$6,关卡产出!$B:$B,玩家节奏1!$P109)</f>
        <v>15700</v>
      </c>
      <c r="R109" s="90">
        <f>_xlfn.MAXIFS(关卡产出!Y:Y,关卡产出!$A:$A,玩家节奏1!$N$6,关卡产出!$B:$B,玩家节奏1!$N109)+_xlfn.MAXIFS(关卡产出!Y:Y,关卡产出!$A:$A,玩家节奏1!$O$6,关卡产出!$B:$B,玩家节奏1!$O109)+_xlfn.MAXIFS(关卡产出!Y:Y,关卡产出!$A:$A,玩家节奏1!$P$6,关卡产出!$B:$B,玩家节奏1!$P109)</f>
        <v>2056800</v>
      </c>
      <c r="S109" s="90">
        <f>_xlfn.MAXIFS(关卡产出!Z:Z,关卡产出!$A:$A,玩家节奏1!$N$6,关卡产出!$B:$B,玩家节奏1!$N109)+_xlfn.MAXIFS(关卡产出!Z:Z,关卡产出!$A:$A,玩家节奏1!$O$6,关卡产出!$B:$B,玩家节奏1!$O109)+_xlfn.MAXIFS(关卡产出!Z:Z,关卡产出!$A:$A,玩家节奏1!$P$6,关卡产出!$B:$B,玩家节奏1!$P109)</f>
        <v>14342</v>
      </c>
      <c r="T109" s="90">
        <f>_xlfn.MAXIFS(关卡产出!AA:AA,关卡产出!$A:$A,玩家节奏1!$N$6,关卡产出!$B:$B,玩家节奏1!$N109)+_xlfn.MAXIFS(关卡产出!AA:AA,关卡产出!$A:$A,玩家节奏1!$O$6,关卡产出!$B:$B,玩家节奏1!$O109)+_xlfn.MAXIFS(关卡产出!AA:AA,关卡产出!$A:$A,玩家节奏1!$P$6,关卡产出!$B:$B,玩家节奏1!$P109)</f>
        <v>7172</v>
      </c>
      <c r="U109" s="90">
        <f>_xlfn.MAXIFS(关卡产出!AB:AB,关卡产出!$A:$A,玩家节奏1!$N$6,关卡产出!$B:$B,玩家节奏1!$N109)+_xlfn.MAXIFS(关卡产出!AB:AB,关卡产出!$A:$A,玩家节奏1!$O$6,关卡产出!$B:$B,玩家节奏1!$O109)+_xlfn.MAXIFS(关卡产出!AB:AB,关卡产出!$A:$A,玩家节奏1!$P$6,关卡产出!$B:$B,玩家节奏1!$P109)</f>
        <v>3324</v>
      </c>
      <c r="V109" s="130">
        <f>_xlfn.MAXIFS(关卡产出!AC:AC,关卡产出!$A:$A,玩家节奏1!$N$6,关卡产出!$B:$B,玩家节奏1!$N109)+_xlfn.MAXIFS(关卡产出!AC:AC,关卡产出!$A:$A,玩家节奏1!$O$6,关卡产出!$B:$B,玩家节奏1!$O109)+_xlfn.MAXIFS(关卡产出!AC:AC,关卡产出!$A:$A,玩家节奏1!$P$6,关卡产出!$B:$B,玩家节奏1!$P109)</f>
        <v>516</v>
      </c>
      <c r="W109" s="126">
        <f>INDEX(关卡产出!C$8:C$207,MATCH(玩家节奏1!$N109,关卡产出!$B$8:$B$207,0))*$K109</f>
        <v>335</v>
      </c>
      <c r="X109" s="126">
        <f>INDEX(关卡产出!D$8:D$207,MATCH(玩家节奏1!$N109,关卡产出!$B$8:$B$207,0))*$K109</f>
        <v>165</v>
      </c>
      <c r="Y109" s="126">
        <f>INDEX(关卡产出!E$8:E$207,MATCH(玩家节奏1!$N109,关卡产出!$B$8:$B$207,0))*$K109</f>
        <v>80</v>
      </c>
      <c r="Z109" s="144">
        <f>INDEX(关卡产出!F$8:F$207,MATCH(玩家节奏1!$N109,关卡产出!$B$8:$B$207,0))*$K109</f>
        <v>4550</v>
      </c>
      <c r="AA109" s="126">
        <f>SUM(W$7:W109)</f>
        <v>18406</v>
      </c>
      <c r="AB109" s="126">
        <f>SUM(X$7:X109)</f>
        <v>9086</v>
      </c>
      <c r="AC109" s="126">
        <f>SUM(Y$7:Y109)</f>
        <v>4237</v>
      </c>
      <c r="AD109" s="126">
        <f>SUM(Z$7:Z109)</f>
        <v>269410</v>
      </c>
      <c r="AE109" s="126">
        <f>INDEX(图鉴!AQ:AQ,MATCH($N109,图鉴!$S:$S,0))*8</f>
        <v>168</v>
      </c>
      <c r="AF109" s="90">
        <f>INDEX(图鉴!AR:AR,MATCH($N109,图鉴!$S:$S,0))*8</f>
        <v>120</v>
      </c>
      <c r="AG109" s="90">
        <f>INDEX(图鉴!AS:AS,MATCH($N109,图鉴!$S:$S,0))*8</f>
        <v>40</v>
      </c>
      <c r="AH109" s="129">
        <f ca="1">INDEX(图鉴!AT:AT,MATCH($N109,图鉴!$S:$S,0))*8</f>
        <v>9160</v>
      </c>
      <c r="AI109" s="128">
        <f>SUM($AE$7:AE109)</f>
        <v>14880</v>
      </c>
      <c r="AJ109" s="90">
        <f>SUM(AF$7:AF109)</f>
        <v>8080</v>
      </c>
      <c r="AK109" s="90">
        <f>SUM(AG$7:AG109)</f>
        <v>2624</v>
      </c>
      <c r="AL109" s="130">
        <f ca="1">SUM(AH$7:AH109)</f>
        <v>603440</v>
      </c>
      <c r="AM109" s="133">
        <f>IF(M109=0,0,INDEX(关卡产出!$AU$11:$AU$15,MATCH(玩家节奏1!N109,关卡产出!$AW$11:$AW$15,1))*M109)</f>
        <v>12200</v>
      </c>
      <c r="AN109" s="126">
        <f>IF(L109=0,0,$L109*关卡产出!AU$21)</f>
        <v>1000</v>
      </c>
      <c r="AO109" s="90">
        <f>IF(M109=0,0,$L109*关卡产出!AV$21)</f>
        <v>50</v>
      </c>
      <c r="AP109" s="129">
        <f>IF(N109=0,0,$L109*关卡产出!AW$21)</f>
        <v>1</v>
      </c>
      <c r="AQ109" s="138">
        <f>SUM(AN$7:AN109)</f>
        <v>86000</v>
      </c>
      <c r="AR109" s="126">
        <f>SUM(AO$7:AO109)</f>
        <v>4300</v>
      </c>
      <c r="AS109" s="129">
        <f>SUM(AP$7:AP109)</f>
        <v>86</v>
      </c>
      <c r="AT109" s="128">
        <v>500</v>
      </c>
      <c r="AU109" s="129">
        <v>100</v>
      </c>
      <c r="AV109" s="128">
        <f>SUM(AT$7:AT109)</f>
        <v>51500</v>
      </c>
      <c r="AW109" s="90">
        <f>SUM(AU$7:AU109)</f>
        <v>10300</v>
      </c>
      <c r="AY109" s="128">
        <f t="shared" si="91"/>
        <v>15700</v>
      </c>
      <c r="AZ109" s="90">
        <f t="shared" si="92"/>
        <v>4300</v>
      </c>
      <c r="BA109" s="90">
        <f t="shared" si="93"/>
        <v>10300</v>
      </c>
      <c r="BB109" s="90">
        <f t="shared" ca="1" si="143"/>
        <v>5150</v>
      </c>
      <c r="BC109" s="90">
        <f t="shared" ca="1" si="144"/>
        <v>35450</v>
      </c>
      <c r="BD109" s="90"/>
      <c r="BE109" s="90">
        <f t="shared" ca="1" si="94"/>
        <v>35450</v>
      </c>
      <c r="BF109" s="142">
        <f t="shared" ca="1" si="95"/>
        <v>0.44287729196050774</v>
      </c>
      <c r="BG109" s="142">
        <f t="shared" ca="1" si="96"/>
        <v>0.12129760225669958</v>
      </c>
      <c r="BH109" s="142">
        <f t="shared" ca="1" si="155"/>
        <v>0.29055007052186177</v>
      </c>
      <c r="BI109" s="142">
        <f t="shared" ca="1" si="156"/>
        <v>0.14527503526093088</v>
      </c>
      <c r="BJ109" s="143"/>
      <c r="BK109" s="128">
        <f ca="1">INDEX(商城宝箱!$L:$L,MATCH(BC109,商城宝箱!$N:$N,1))</f>
        <v>8</v>
      </c>
      <c r="BL109" s="90">
        <f ca="1">_xlfn.IFNA(INDEX(商城宝箱!T:T,MATCH(玩家节奏1!$BK109,商城宝箱!$L:$L,0)),0)+($BC109-INDEX(商城宝箱!$N:$N,MATCH(玩家节奏1!$BK109,商城宝箱!$L:$L,0)))/$BK$5*INDEX(商城宝箱!E$23:E$42,MATCH(玩家节奏1!$BK109+1,商城宝箱!$C$23:$C$42,0))</f>
        <v>88625</v>
      </c>
      <c r="BM109" s="90">
        <f ca="1">_xlfn.IFNA(INDEX(商城宝箱!U:U,MATCH(玩家节奏1!$BK109,商城宝箱!$L:$L,0)),0)+($BC109-INDEX(商城宝箱!$N:$N,MATCH(玩家节奏1!$BK109,商城宝箱!$L:$L,0)))/$BK$5*INDEX(商城宝箱!F$23:F$42,MATCH(玩家节奏1!$BK109+1,商城宝箱!$C$23:$C$42,0))</f>
        <v>43532.5</v>
      </c>
      <c r="BN109" s="90">
        <f ca="1">_xlfn.IFNA(INDEX(商城宝箱!V:V,MATCH(玩家节奏1!$BK109,商城宝箱!$L:$L,0)),0)+($BC109-INDEX(商城宝箱!$N:$N,MATCH(玩家节奏1!$BK109,商城宝箱!$L:$L,0)))/$BK$5*INDEX(商城宝箱!G$23:G$42,MATCH(玩家节奏1!$BK109+1,商城宝箱!$C$23:$C$42,0))</f>
        <v>27614.5</v>
      </c>
      <c r="BO109" s="90">
        <f ca="1">_xlfn.IFNA(INDEX(商城宝箱!W:W,MATCH(玩家节奏1!$BK109,商城宝箱!$L:$L,0)),0)+($BC109-INDEX(商城宝箱!$N:$N,MATCH(玩家节奏1!$BK109,商城宝箱!$L:$L,0)))/$BK$5*INDEX(商城宝箱!H$23:H$42,MATCH(玩家节奏1!$BK109+1,商城宝箱!$C$23:$C$42,0))</f>
        <v>3588</v>
      </c>
      <c r="BQ109" s="128">
        <f t="shared" si="146"/>
        <v>2056800</v>
      </c>
      <c r="BR109" s="90">
        <f t="shared" si="147"/>
        <v>269410</v>
      </c>
      <c r="BS109" s="90">
        <f t="shared" ca="1" si="148"/>
        <v>603440</v>
      </c>
      <c r="BT109" s="90">
        <f t="shared" si="149"/>
        <v>12200</v>
      </c>
      <c r="BU109" s="90">
        <f t="shared" si="150"/>
        <v>86000</v>
      </c>
      <c r="BV109" s="90">
        <f t="shared" si="151"/>
        <v>51500</v>
      </c>
      <c r="BW109" s="90">
        <f t="shared" ca="1" si="99"/>
        <v>88625</v>
      </c>
      <c r="BX109" s="90">
        <f t="shared" ca="1" si="100"/>
        <v>3167975</v>
      </c>
      <c r="BY109" s="142">
        <f t="shared" ca="1" si="101"/>
        <v>0.64924754772370363</v>
      </c>
      <c r="BZ109" s="142">
        <f t="shared" ca="1" si="102"/>
        <v>8.5041706452860272E-2</v>
      </c>
      <c r="CA109" s="142">
        <f t="shared" ca="1" si="103"/>
        <v>0.19048130114663153</v>
      </c>
      <c r="CB109" s="142">
        <f t="shared" ca="1" si="104"/>
        <v>3.851040491165492E-3</v>
      </c>
      <c r="CC109" s="142">
        <f t="shared" ca="1" si="105"/>
        <v>2.7146678872150189E-2</v>
      </c>
      <c r="CD109" s="142">
        <f t="shared" ca="1" si="106"/>
        <v>1.6256441417624824E-2</v>
      </c>
      <c r="CE109" s="142">
        <f t="shared" ca="1" si="107"/>
        <v>2.7975283895864077E-2</v>
      </c>
      <c r="CG109" s="128">
        <f t="shared" si="108"/>
        <v>86</v>
      </c>
      <c r="CH109" s="90">
        <f ca="1">INDEX(角色升级!$A:$A,MATCH(玩家节奏1!$BX109,角色升级!$J:$J,1))</f>
        <v>491</v>
      </c>
      <c r="CI109" s="90">
        <f ca="1">INDEX(角色升级!$O:$O,MATCH(玩家节奏1!$BX109,角色升级!$J:$J,1))</f>
        <v>19071.310599999997</v>
      </c>
      <c r="CJ109" s="90">
        <f>INDEX(关卡对比!$J:$J,MATCH(玩家节奏1!N109,关卡对比!$A:$A,0))</f>
        <v>29200</v>
      </c>
      <c r="CK109" s="147">
        <f t="shared" ca="1" si="109"/>
        <v>1.5310956133240263</v>
      </c>
      <c r="CL109" s="128">
        <f ca="1">INDEX(角色升级!$P:$P,MATCH(玩家节奏1!$CH109,角色升级!$A:$A,0))</f>
        <v>5900</v>
      </c>
      <c r="CM109" s="90">
        <f ca="1">INDEX(角色升级!Q:Q,MATCH(玩家节奏1!$CH109,角色升级!$A:$A,0))</f>
        <v>0.8</v>
      </c>
      <c r="CO109" s="128">
        <f t="shared" si="110"/>
        <v>14342</v>
      </c>
      <c r="CP109" s="90">
        <f t="shared" si="111"/>
        <v>18406</v>
      </c>
      <c r="CQ109" s="90">
        <f t="shared" si="112"/>
        <v>14880</v>
      </c>
      <c r="CR109" s="90">
        <f t="shared" ca="1" si="113"/>
        <v>43532.5</v>
      </c>
      <c r="CS109" s="90">
        <f t="shared" ca="1" si="114"/>
        <v>91160.5</v>
      </c>
      <c r="CT109" s="142">
        <f t="shared" ca="1" si="115"/>
        <v>0.15732691242369229</v>
      </c>
      <c r="CU109" s="142">
        <f t="shared" ca="1" si="116"/>
        <v>0.2019076244645433</v>
      </c>
      <c r="CV109" s="142">
        <f t="shared" ca="1" si="117"/>
        <v>0.16322859133067502</v>
      </c>
      <c r="CW109" s="142">
        <f t="shared" ca="1" si="118"/>
        <v>0.47753687178108939</v>
      </c>
      <c r="CY109" s="128">
        <f t="shared" si="119"/>
        <v>7172</v>
      </c>
      <c r="CZ109" s="90">
        <f t="shared" si="120"/>
        <v>9086</v>
      </c>
      <c r="DA109" s="90">
        <f t="shared" si="121"/>
        <v>8080</v>
      </c>
      <c r="DB109" s="90">
        <f t="shared" ca="1" si="122"/>
        <v>27614.5</v>
      </c>
      <c r="DC109" s="90">
        <f t="shared" ca="1" si="123"/>
        <v>51952.5</v>
      </c>
      <c r="DD109" s="142">
        <f t="shared" ca="1" si="124"/>
        <v>0.13804917953900198</v>
      </c>
      <c r="DE109" s="142">
        <f t="shared" ca="1" si="125"/>
        <v>0.17489052499879698</v>
      </c>
      <c r="DF109" s="142">
        <f t="shared" ca="1" si="126"/>
        <v>0.15552668302776576</v>
      </c>
      <c r="DG109" s="142">
        <f t="shared" ca="1" si="127"/>
        <v>0.53153361243443531</v>
      </c>
      <c r="DI109" s="128">
        <f t="shared" si="128"/>
        <v>3324</v>
      </c>
      <c r="DJ109" s="90">
        <f t="shared" si="129"/>
        <v>4237</v>
      </c>
      <c r="DK109" s="90">
        <f t="shared" si="130"/>
        <v>2624</v>
      </c>
      <c r="DL109" s="90">
        <f t="shared" ca="1" si="131"/>
        <v>3588</v>
      </c>
      <c r="DM109" s="90">
        <f t="shared" ca="1" si="132"/>
        <v>13773</v>
      </c>
      <c r="DN109" s="142">
        <f t="shared" ca="1" si="133"/>
        <v>0.24134175560879984</v>
      </c>
      <c r="DO109" s="142">
        <f t="shared" ca="1" si="134"/>
        <v>0.30763087199593409</v>
      </c>
      <c r="DP109" s="142">
        <f t="shared" ca="1" si="135"/>
        <v>0.19051767951789733</v>
      </c>
      <c r="DQ109" s="142">
        <f t="shared" ca="1" si="136"/>
        <v>0.26050969287736875</v>
      </c>
      <c r="DS109" s="128">
        <f t="shared" ca="1" si="137"/>
        <v>91160.5</v>
      </c>
      <c r="DT109" s="90">
        <f t="shared" ca="1" si="138"/>
        <v>51952.5</v>
      </c>
      <c r="DU109" s="90">
        <f t="shared" ca="1" si="139"/>
        <v>13773</v>
      </c>
      <c r="DV109" s="90">
        <f t="shared" si="140"/>
        <v>86</v>
      </c>
      <c r="DW109" s="90">
        <f ca="1">_xlfn.IFNA(INDEX(武器升级消耗!$H:$H,MATCH(玩家节奏1!DS109/玩家节奏1!DS$5,武器升级消耗!M:M,1)),0)</f>
        <v>28</v>
      </c>
      <c r="DX109" s="90">
        <f ca="1">_xlfn.IFNA(INDEX(武器升级消耗!$H:$H,MATCH(玩家节奏1!DT109/玩家节奏1!DT$5,武器升级消耗!N:N,1)),0)</f>
        <v>25</v>
      </c>
      <c r="DY109" s="90">
        <f ca="1">_xlfn.IFNA(INDEX(武器升级消耗!$H:$H,MATCH(玩家节奏1!DU109/玩家节奏1!DU$5,武器升级消耗!O:O,1)),0)</f>
        <v>16</v>
      </c>
      <c r="DZ109" s="90">
        <f>_xlfn.IFNA(INDEX(武器升级消耗!$H:$H,MATCH(玩家节奏1!DV109/玩家节奏1!DV$5,武器升级消耗!P:P,1)),0)</f>
        <v>10</v>
      </c>
      <c r="EA109" s="90">
        <f ca="1">_xlfn.IFNA(INDEX(武器升级消耗!$Q:$Q,MATCH(玩家节奏1!DW109,武器升级消耗!$H:$H,0))*2*EA$4,0)</f>
        <v>3.84</v>
      </c>
      <c r="EB109" s="90">
        <f ca="1">_xlfn.IFNA(INDEX(武器升级消耗!$Q:$Q,MATCH(玩家节奏1!DX109,武器升级消耗!$H:$H,0))*2*EB$4,0)</f>
        <v>4.3499999999999996</v>
      </c>
      <c r="EC109" s="90">
        <f ca="1">_xlfn.IFNA(INDEX(武器升级消耗!$Q:$Q,MATCH(玩家节奏1!DY109,武器升级消耗!$H:$H,0))*2*EC$4,1)</f>
        <v>4.4000000000000004</v>
      </c>
      <c r="ED109" s="90">
        <f>_xlfn.IFNA(INDEX(武器升级消耗!$Q:$Q,MATCH(玩家节奏1!DZ109,武器升级消耗!$H:$H,0))*2*ED$4,0)</f>
        <v>4.1999999999999993</v>
      </c>
    </row>
    <row r="110" spans="1:163" x14ac:dyDescent="0.25">
      <c r="A110" s="123">
        <v>104</v>
      </c>
      <c r="B110" s="123">
        <f>INDEX(关卡对比!$Y:$Y,MATCH(关卡对比!Z110,关卡对比!$AA:$AA,1))</f>
        <v>65</v>
      </c>
      <c r="C110" s="124">
        <f>INDEX(关卡对比!$Y:$Y,MATCH(关卡对比!Z110,关卡对比!$AB:$AB,1))</f>
        <v>53</v>
      </c>
      <c r="D110" s="125">
        <f t="shared" si="157"/>
        <v>635.5</v>
      </c>
      <c r="E110" s="125">
        <v>3</v>
      </c>
      <c r="F110" s="128">
        <v>5</v>
      </c>
      <c r="G110" s="90">
        <v>1</v>
      </c>
      <c r="H110" s="90">
        <v>1</v>
      </c>
      <c r="J110" s="128">
        <v>104</v>
      </c>
      <c r="K110" s="90">
        <f t="shared" si="152"/>
        <v>5</v>
      </c>
      <c r="L110" s="90">
        <f t="shared" si="153"/>
        <v>1</v>
      </c>
      <c r="M110" s="90">
        <f t="shared" si="154"/>
        <v>1</v>
      </c>
      <c r="N110" s="140">
        <f>INDEX($A:$A,MATCH(SUM($K$7:K110),$D:$D,1))</f>
        <v>87</v>
      </c>
      <c r="O110" s="140">
        <v>0</v>
      </c>
      <c r="P110" s="141">
        <v>0</v>
      </c>
      <c r="Q110" s="126">
        <f>_xlfn.MAXIFS(关卡产出!X:X,关卡产出!$A:$A,玩家节奏1!$N$6,关卡产出!$B:$B,玩家节奏1!$N110)+_xlfn.MAXIFS(关卡产出!X:X,关卡产出!$A:$A,玩家节奏1!$O$6,关卡产出!$B:$B,玩家节奏1!$O110)+_xlfn.MAXIFS(关卡产出!X:X,关卡产出!$A:$A,玩家节奏1!$P$6,关卡产出!$B:$B,玩家节奏1!$P110)</f>
        <v>15900</v>
      </c>
      <c r="R110" s="90">
        <f>_xlfn.MAXIFS(关卡产出!Y:Y,关卡产出!$A:$A,玩家节奏1!$N$6,关卡产出!$B:$B,玩家节奏1!$N110)+_xlfn.MAXIFS(关卡产出!Y:Y,关卡产出!$A:$A,玩家节奏1!$O$6,关卡产出!$B:$B,玩家节奏1!$O110)+_xlfn.MAXIFS(关卡产出!Y:Y,关卡产出!$A:$A,玩家节奏1!$P$6,关卡产出!$B:$B,玩家节奏1!$P110)</f>
        <v>2106700</v>
      </c>
      <c r="S110" s="90">
        <f>_xlfn.MAXIFS(关卡产出!Z:Z,关卡产出!$A:$A,玩家节奏1!$N$6,关卡产出!$B:$B,玩家节奏1!$N110)+_xlfn.MAXIFS(关卡产出!Z:Z,关卡产出!$A:$A,玩家节奏1!$O$6,关卡产出!$B:$B,玩家节奏1!$O110)+_xlfn.MAXIFS(关卡产出!Z:Z,关卡产出!$A:$A,玩家节奏1!$P$6,关卡产出!$B:$B,玩家节奏1!$P110)</f>
        <v>14682</v>
      </c>
      <c r="T110" s="90">
        <f>_xlfn.MAXIFS(关卡产出!AA:AA,关卡产出!$A:$A,玩家节奏1!$N$6,关卡产出!$B:$B,玩家节奏1!$N110)+_xlfn.MAXIFS(关卡产出!AA:AA,关卡产出!$A:$A,玩家节奏1!$O$6,关卡产出!$B:$B,玩家节奏1!$O110)+_xlfn.MAXIFS(关卡产出!AA:AA,关卡产出!$A:$A,玩家节奏1!$P$6,关卡产出!$B:$B,玩家节奏1!$P110)</f>
        <v>7342</v>
      </c>
      <c r="U110" s="90">
        <f>_xlfn.MAXIFS(关卡产出!AB:AB,关卡产出!$A:$A,玩家节奏1!$N$6,关卡产出!$B:$B,玩家节奏1!$N110)+_xlfn.MAXIFS(关卡产出!AB:AB,关卡产出!$A:$A,玩家节奏1!$O$6,关卡产出!$B:$B,玩家节奏1!$O110)+_xlfn.MAXIFS(关卡产出!AB:AB,关卡产出!$A:$A,玩家节奏1!$P$6,关卡产出!$B:$B,玩家节奏1!$P110)</f>
        <v>3406</v>
      </c>
      <c r="V110" s="130">
        <f>_xlfn.MAXIFS(关卡产出!AC:AC,关卡产出!$A:$A,玩家节奏1!$N$6,关卡产出!$B:$B,玩家节奏1!$N110)+_xlfn.MAXIFS(关卡产出!AC:AC,关卡产出!$A:$A,玩家节奏1!$O$6,关卡产出!$B:$B,玩家节奏1!$O110)+_xlfn.MAXIFS(关卡产出!AC:AC,关卡产出!$A:$A,玩家节奏1!$P$6,关卡产出!$B:$B,玩家节奏1!$P110)</f>
        <v>522</v>
      </c>
      <c r="W110" s="126">
        <f>INDEX(关卡产出!C$8:C$207,MATCH(玩家节奏1!$N110,关卡产出!$B$8:$B$207,0))*$K110</f>
        <v>340</v>
      </c>
      <c r="X110" s="126">
        <f>INDEX(关卡产出!D$8:D$207,MATCH(玩家节奏1!$N110,关卡产出!$B$8:$B$207,0))*$K110</f>
        <v>170</v>
      </c>
      <c r="Y110" s="126">
        <f>INDEX(关卡产出!E$8:E$207,MATCH(玩家节奏1!$N110,关卡产出!$B$8:$B$207,0))*$K110</f>
        <v>80</v>
      </c>
      <c r="Z110" s="144">
        <f>INDEX(关卡产出!F$8:F$207,MATCH(玩家节奏1!$N110,关卡产出!$B$8:$B$207,0))*$K110</f>
        <v>4650</v>
      </c>
      <c r="AA110" s="126">
        <f>SUM(W$7:W110)</f>
        <v>18746</v>
      </c>
      <c r="AB110" s="126">
        <f>SUM(X$7:X110)</f>
        <v>9256</v>
      </c>
      <c r="AC110" s="126">
        <f>SUM(Y$7:Y110)</f>
        <v>4317</v>
      </c>
      <c r="AD110" s="126">
        <f>SUM(Z$7:Z110)</f>
        <v>274060</v>
      </c>
      <c r="AE110" s="126">
        <f>INDEX(图鉴!AQ:AQ,MATCH($N110,图鉴!$S:$S,0))*8</f>
        <v>168</v>
      </c>
      <c r="AF110" s="90">
        <f>INDEX(图鉴!AR:AR,MATCH($N110,图鉴!$S:$S,0))*8</f>
        <v>120</v>
      </c>
      <c r="AG110" s="90">
        <f>INDEX(图鉴!AS:AS,MATCH($N110,图鉴!$S:$S,0))*8</f>
        <v>40</v>
      </c>
      <c r="AH110" s="129">
        <f ca="1">INDEX(图鉴!AT:AT,MATCH($N110,图鉴!$S:$S,0))*8</f>
        <v>9160</v>
      </c>
      <c r="AI110" s="128">
        <f>SUM($AE$7:AE110)</f>
        <v>15048</v>
      </c>
      <c r="AJ110" s="90">
        <f>SUM(AF$7:AF110)</f>
        <v>8200</v>
      </c>
      <c r="AK110" s="90">
        <f>SUM(AG$7:AG110)</f>
        <v>2664</v>
      </c>
      <c r="AL110" s="130">
        <f ca="1">SUM(AH$7:AH110)</f>
        <v>612600</v>
      </c>
      <c r="AM110" s="133">
        <f>IF(M110=0,0,INDEX(关卡产出!$AU$11:$AU$15,MATCH(玩家节奏1!N110,关卡产出!$AW$11:$AW$15,1))*M110)</f>
        <v>12200</v>
      </c>
      <c r="AN110" s="126">
        <f>IF(L110=0,0,$L110*关卡产出!AU$21)</f>
        <v>1000</v>
      </c>
      <c r="AO110" s="90">
        <f>IF(M110=0,0,$L110*关卡产出!AV$21)</f>
        <v>50</v>
      </c>
      <c r="AP110" s="129">
        <f>IF(N110=0,0,$L110*关卡产出!AW$21)</f>
        <v>1</v>
      </c>
      <c r="AQ110" s="138">
        <f>SUM(AN$7:AN110)</f>
        <v>87000</v>
      </c>
      <c r="AR110" s="126">
        <f>SUM(AO$7:AO110)</f>
        <v>4350</v>
      </c>
      <c r="AS110" s="129">
        <f>SUM(AP$7:AP110)</f>
        <v>87</v>
      </c>
      <c r="AT110" s="128">
        <v>500</v>
      </c>
      <c r="AU110" s="129">
        <v>100</v>
      </c>
      <c r="AV110" s="128">
        <f>SUM(AT$7:AT110)</f>
        <v>52000</v>
      </c>
      <c r="AW110" s="90">
        <f>SUM(AU$7:AU110)</f>
        <v>10400</v>
      </c>
      <c r="AY110" s="128">
        <f t="shared" si="91"/>
        <v>15900</v>
      </c>
      <c r="AZ110" s="90">
        <f t="shared" si="92"/>
        <v>4350</v>
      </c>
      <c r="BA110" s="90">
        <f t="shared" si="93"/>
        <v>10400</v>
      </c>
      <c r="BB110" s="90">
        <f t="shared" ca="1" si="143"/>
        <v>5900</v>
      </c>
      <c r="BC110" s="90">
        <f t="shared" ca="1" si="144"/>
        <v>36550</v>
      </c>
      <c r="BD110" s="90"/>
      <c r="BE110" s="90">
        <f t="shared" ca="1" si="94"/>
        <v>36550</v>
      </c>
      <c r="BF110" s="142">
        <f t="shared" ca="1" si="95"/>
        <v>0.43502051983584133</v>
      </c>
      <c r="BG110" s="142">
        <f t="shared" ca="1" si="96"/>
        <v>0.11901504787961696</v>
      </c>
      <c r="BH110" s="142">
        <f t="shared" ca="1" si="155"/>
        <v>0.28454172366621067</v>
      </c>
      <c r="BI110" s="142">
        <f t="shared" ca="1" si="156"/>
        <v>0.16142270861833105</v>
      </c>
      <c r="BJ110" s="143"/>
      <c r="BK110" s="128">
        <f ca="1">INDEX(商城宝箱!$L:$L,MATCH(BC110,商城宝箱!$N:$N,1))</f>
        <v>8</v>
      </c>
      <c r="BL110" s="90">
        <f ca="1">_xlfn.IFNA(INDEX(商城宝箱!T:T,MATCH(玩家节奏1!$BK110,商城宝箱!$L:$L,0)),0)+($BC110-INDEX(商城宝箱!$N:$N,MATCH(玩家节奏1!$BK110,商城宝箱!$L:$L,0)))/$BK$5*INDEX(商城宝箱!E$23:E$42,MATCH(玩家节奏1!$BK110+1,商城宝箱!$C$23:$C$42,0))</f>
        <v>91375</v>
      </c>
      <c r="BM110" s="90">
        <f ca="1">_xlfn.IFNA(INDEX(商城宝箱!U:U,MATCH(玩家节奏1!$BK110,商城宝箱!$L:$L,0)),0)+($BC110-INDEX(商城宝箱!$N:$N,MATCH(玩家节奏1!$BK110,商城宝箱!$L:$L,0)))/$BK$5*INDEX(商城宝箱!F$23:F$42,MATCH(玩家节奏1!$BK110+1,商城宝箱!$C$23:$C$42,0))</f>
        <v>45952.5</v>
      </c>
      <c r="BN110" s="90">
        <f ca="1">_xlfn.IFNA(INDEX(商城宝箱!V:V,MATCH(玩家节奏1!$BK110,商城宝箱!$L:$L,0)),0)+($BC110-INDEX(商城宝箱!$N:$N,MATCH(玩家节奏1!$BK110,商城宝箱!$L:$L,0)))/$BK$5*INDEX(商城宝箱!G$23:G$42,MATCH(玩家节奏1!$BK110+1,商城宝箱!$C$23:$C$42,0))</f>
        <v>29429.5</v>
      </c>
      <c r="BO110" s="90">
        <f ca="1">_xlfn.IFNA(INDEX(商城宝箱!W:W,MATCH(玩家节奏1!$BK110,商城宝箱!$L:$L,0)),0)+($BC110-INDEX(商城宝箱!$N:$N,MATCH(玩家节奏1!$BK110,商城宝箱!$L:$L,0)))/$BK$5*INDEX(商城宝箱!H$23:H$42,MATCH(玩家节奏1!$BK110+1,商城宝箱!$C$23:$C$42,0))</f>
        <v>3797</v>
      </c>
      <c r="BQ110" s="128">
        <f t="shared" si="146"/>
        <v>2106700</v>
      </c>
      <c r="BR110" s="90">
        <f t="shared" si="147"/>
        <v>274060</v>
      </c>
      <c r="BS110" s="90">
        <f t="shared" ca="1" si="148"/>
        <v>612600</v>
      </c>
      <c r="BT110" s="90">
        <f t="shared" si="149"/>
        <v>12200</v>
      </c>
      <c r="BU110" s="90">
        <f t="shared" si="150"/>
        <v>87000</v>
      </c>
      <c r="BV110" s="90">
        <f t="shared" si="151"/>
        <v>52000</v>
      </c>
      <c r="BW110" s="90">
        <f t="shared" ca="1" si="99"/>
        <v>91375</v>
      </c>
      <c r="BX110" s="90">
        <f t="shared" ca="1" si="100"/>
        <v>3235935</v>
      </c>
      <c r="BY110" s="142">
        <f t="shared" ca="1" si="101"/>
        <v>0.6510328544918238</v>
      </c>
      <c r="BZ110" s="142">
        <f t="shared" ca="1" si="102"/>
        <v>8.4692677695936414E-2</v>
      </c>
      <c r="CA110" s="142">
        <f t="shared" ca="1" si="103"/>
        <v>0.18931159000412554</v>
      </c>
      <c r="CB110" s="142">
        <f t="shared" ca="1" si="104"/>
        <v>3.7701622560403717E-3</v>
      </c>
      <c r="CC110" s="142">
        <f t="shared" ca="1" si="105"/>
        <v>2.6885583301271502E-2</v>
      </c>
      <c r="CD110" s="142">
        <f t="shared" ca="1" si="106"/>
        <v>1.606954404213929E-2</v>
      </c>
      <c r="CE110" s="142">
        <f t="shared" ca="1" si="107"/>
        <v>2.8237588208663029E-2</v>
      </c>
      <c r="CG110" s="128">
        <f t="shared" si="108"/>
        <v>87</v>
      </c>
      <c r="CH110" s="90">
        <f ca="1">INDEX(角色升级!$A:$A,MATCH(玩家节奏1!$BX110,角色升级!$J:$J,1))</f>
        <v>496</v>
      </c>
      <c r="CI110" s="90">
        <f ca="1">INDEX(角色升级!$O:$O,MATCH(玩家节奏1!$BX110,角色升级!$J:$J,1))</f>
        <v>19153.514525000002</v>
      </c>
      <c r="CJ110" s="90">
        <f>INDEX(关卡对比!$J:$J,MATCH(玩家节奏1!N110,关卡对比!$A:$A,0))</f>
        <v>29700</v>
      </c>
      <c r="CK110" s="147">
        <f t="shared" ca="1" si="109"/>
        <v>1.5506292571650109</v>
      </c>
      <c r="CL110" s="128">
        <f ca="1">INDEX(角色升级!$P:$P,MATCH(玩家节奏1!$CH110,角色升级!$A:$A,0))</f>
        <v>5900</v>
      </c>
      <c r="CM110" s="90">
        <f ca="1">INDEX(角色升级!Q:Q,MATCH(玩家节奏1!$CH110,角色升级!$A:$A,0))</f>
        <v>0.8</v>
      </c>
      <c r="CO110" s="128">
        <f t="shared" si="110"/>
        <v>14682</v>
      </c>
      <c r="CP110" s="90">
        <f t="shared" si="111"/>
        <v>18746</v>
      </c>
      <c r="CQ110" s="90">
        <f t="shared" si="112"/>
        <v>15048</v>
      </c>
      <c r="CR110" s="90">
        <f t="shared" ca="1" si="113"/>
        <v>45952.5</v>
      </c>
      <c r="CS110" s="90">
        <f t="shared" ca="1" si="114"/>
        <v>94428.5</v>
      </c>
      <c r="CT110" s="142">
        <f t="shared" ca="1" si="115"/>
        <v>0.15548271972974262</v>
      </c>
      <c r="CU110" s="142">
        <f t="shared" ca="1" si="116"/>
        <v>0.19852057376745369</v>
      </c>
      <c r="CV110" s="142">
        <f t="shared" ca="1" si="117"/>
        <v>0.15935866819869002</v>
      </c>
      <c r="CW110" s="142">
        <f t="shared" ca="1" si="118"/>
        <v>0.48663803830411367</v>
      </c>
      <c r="CY110" s="128">
        <f t="shared" si="119"/>
        <v>7342</v>
      </c>
      <c r="CZ110" s="90">
        <f t="shared" si="120"/>
        <v>9256</v>
      </c>
      <c r="DA110" s="90">
        <f t="shared" si="121"/>
        <v>8200</v>
      </c>
      <c r="DB110" s="90">
        <f t="shared" ca="1" si="122"/>
        <v>29429.5</v>
      </c>
      <c r="DC110" s="90">
        <f t="shared" ca="1" si="123"/>
        <v>54227.5</v>
      </c>
      <c r="DD110" s="142">
        <f t="shared" ca="1" si="124"/>
        <v>0.13539255912590475</v>
      </c>
      <c r="DE110" s="142">
        <f t="shared" ca="1" si="125"/>
        <v>0.17068830390484532</v>
      </c>
      <c r="DF110" s="142">
        <f t="shared" ca="1" si="126"/>
        <v>0.15121478954405052</v>
      </c>
      <c r="DG110" s="142">
        <f t="shared" ca="1" si="127"/>
        <v>0.54270434742519935</v>
      </c>
      <c r="DI110" s="128">
        <f t="shared" si="128"/>
        <v>3406</v>
      </c>
      <c r="DJ110" s="90">
        <f t="shared" si="129"/>
        <v>4317</v>
      </c>
      <c r="DK110" s="90">
        <f t="shared" si="130"/>
        <v>2664</v>
      </c>
      <c r="DL110" s="90">
        <f t="shared" ca="1" si="131"/>
        <v>3797</v>
      </c>
      <c r="DM110" s="90">
        <f t="shared" ca="1" si="132"/>
        <v>14184</v>
      </c>
      <c r="DN110" s="142">
        <f t="shared" ca="1" si="133"/>
        <v>0.2401297236322617</v>
      </c>
      <c r="DO110" s="142">
        <f t="shared" ca="1" si="134"/>
        <v>0.30435702199661591</v>
      </c>
      <c r="DP110" s="142">
        <f t="shared" ca="1" si="135"/>
        <v>0.18781725888324874</v>
      </c>
      <c r="DQ110" s="142">
        <f t="shared" ca="1" si="136"/>
        <v>0.26769599548787365</v>
      </c>
      <c r="DS110" s="128">
        <f t="shared" ca="1" si="137"/>
        <v>94428.5</v>
      </c>
      <c r="DT110" s="90">
        <f t="shared" ca="1" si="138"/>
        <v>54227.5</v>
      </c>
      <c r="DU110" s="90">
        <f t="shared" ca="1" si="139"/>
        <v>14184</v>
      </c>
      <c r="DV110" s="90">
        <f t="shared" si="140"/>
        <v>87</v>
      </c>
      <c r="DW110" s="90">
        <f ca="1">_xlfn.IFNA(INDEX(武器升级消耗!$H:$H,MATCH(玩家节奏1!DS110/玩家节奏1!DS$5,武器升级消耗!M:M,1)),0)</f>
        <v>28</v>
      </c>
      <c r="DX110" s="90">
        <f ca="1">_xlfn.IFNA(INDEX(武器升级消耗!$H:$H,MATCH(玩家节奏1!DT110/玩家节奏1!DT$5,武器升级消耗!N:N,1)),0)</f>
        <v>25</v>
      </c>
      <c r="DY110" s="90">
        <f ca="1">_xlfn.IFNA(INDEX(武器升级消耗!$H:$H,MATCH(玩家节奏1!DU110/玩家节奏1!DU$5,武器升级消耗!O:O,1)),0)</f>
        <v>17</v>
      </c>
      <c r="DZ110" s="90">
        <f>_xlfn.IFNA(INDEX(武器升级消耗!$H:$H,MATCH(玩家节奏1!DV110/玩家节奏1!DV$5,武器升级消耗!P:P,1)),0)</f>
        <v>10</v>
      </c>
      <c r="EA110" s="90">
        <f ca="1">_xlfn.IFNA(INDEX(武器升级消耗!$Q:$Q,MATCH(玩家节奏1!DW110,武器升级消耗!$H:$H,0))*2*EA$4,0)</f>
        <v>3.84</v>
      </c>
      <c r="EB110" s="90">
        <f ca="1">_xlfn.IFNA(INDEX(武器升级消耗!$Q:$Q,MATCH(玩家节奏1!DX110,武器升级消耗!$H:$H,0))*2*EB$4,0)</f>
        <v>4.3499999999999996</v>
      </c>
      <c r="EC110" s="90">
        <f ca="1">_xlfn.IFNA(INDEX(武器升级消耗!$Q:$Q,MATCH(玩家节奏1!DY110,武器升级消耗!$H:$H,0))*2*EC$4,1)</f>
        <v>4.620000000000001</v>
      </c>
      <c r="ED110" s="90">
        <f>_xlfn.IFNA(INDEX(武器升级消耗!$Q:$Q,MATCH(玩家节奏1!DZ110,武器升级消耗!$H:$H,0))*2*ED$4,0)</f>
        <v>4.1999999999999993</v>
      </c>
    </row>
    <row r="111" spans="1:163" x14ac:dyDescent="0.25">
      <c r="A111" s="123">
        <v>105</v>
      </c>
      <c r="B111" s="123">
        <f>INDEX(关卡对比!$Y:$Y,MATCH(关卡对比!Z111,关卡对比!$AA:$AA,1))</f>
        <v>66</v>
      </c>
      <c r="C111" s="124">
        <f>INDEX(关卡对比!$Y:$Y,MATCH(关卡对比!Z111,关卡对比!$AB:$AB,1))</f>
        <v>53</v>
      </c>
      <c r="D111" s="125">
        <f t="shared" si="157"/>
        <v>641.5</v>
      </c>
      <c r="E111" s="125">
        <v>3</v>
      </c>
      <c r="F111" s="128">
        <v>5</v>
      </c>
      <c r="G111" s="90">
        <v>1</v>
      </c>
      <c r="H111" s="90">
        <v>1</v>
      </c>
      <c r="J111" s="128">
        <v>105</v>
      </c>
      <c r="K111" s="90">
        <f t="shared" si="152"/>
        <v>5</v>
      </c>
      <c r="L111" s="90">
        <f t="shared" si="153"/>
        <v>1</v>
      </c>
      <c r="M111" s="90">
        <f t="shared" si="154"/>
        <v>1</v>
      </c>
      <c r="N111" s="140">
        <f>INDEX($A:$A,MATCH(SUM($K$7:K111),$D:$D,1))</f>
        <v>88</v>
      </c>
      <c r="O111" s="140">
        <v>0</v>
      </c>
      <c r="P111" s="141">
        <v>0</v>
      </c>
      <c r="Q111" s="126">
        <f>_xlfn.MAXIFS(关卡产出!X:X,关卡产出!$A:$A,玩家节奏1!$N$6,关卡产出!$B:$B,玩家节奏1!$N111)+_xlfn.MAXIFS(关卡产出!X:X,关卡产出!$A:$A,玩家节奏1!$O$6,关卡产出!$B:$B,玩家节奏1!$O111)+_xlfn.MAXIFS(关卡产出!X:X,关卡产出!$A:$A,玩家节奏1!$P$6,关卡产出!$B:$B,玩家节奏1!$P111)</f>
        <v>16100</v>
      </c>
      <c r="R111" s="90">
        <f>_xlfn.MAXIFS(关卡产出!Y:Y,关卡产出!$A:$A,玩家节奏1!$N$6,关卡产出!$B:$B,玩家节奏1!$N111)+_xlfn.MAXIFS(关卡产出!Y:Y,关卡产出!$A:$A,玩家节奏1!$O$6,关卡产出!$B:$B,玩家节奏1!$O111)+_xlfn.MAXIFS(关卡产出!Y:Y,关卡产出!$A:$A,玩家节奏1!$P$6,关卡产出!$B:$B,玩家节奏1!$P111)</f>
        <v>2157200</v>
      </c>
      <c r="S111" s="90">
        <f>_xlfn.MAXIFS(关卡产出!Z:Z,关卡产出!$A:$A,玩家节奏1!$N$6,关卡产出!$B:$B,玩家节奏1!$N111)+_xlfn.MAXIFS(关卡产出!Z:Z,关卡产出!$A:$A,玩家节奏1!$O$6,关卡产出!$B:$B,玩家节奏1!$O111)+_xlfn.MAXIFS(关卡产出!Z:Z,关卡产出!$A:$A,玩家节奏1!$P$6,关卡产出!$B:$B,玩家节奏1!$P111)</f>
        <v>15026</v>
      </c>
      <c r="T111" s="90">
        <f>_xlfn.MAXIFS(关卡产出!AA:AA,关卡产出!$A:$A,玩家节奏1!$N$6,关卡产出!$B:$B,玩家节奏1!$N111)+_xlfn.MAXIFS(关卡产出!AA:AA,关卡产出!$A:$A,玩家节奏1!$O$6,关卡产出!$B:$B,玩家节奏1!$O111)+_xlfn.MAXIFS(关卡产出!AA:AA,关卡产出!$A:$A,玩家节奏1!$P$6,关卡产出!$B:$B,玩家节奏1!$P111)</f>
        <v>7514</v>
      </c>
      <c r="U111" s="90">
        <f>_xlfn.MAXIFS(关卡产出!AB:AB,关卡产出!$A:$A,玩家节奏1!$N$6,关卡产出!$B:$B,玩家节奏1!$N111)+_xlfn.MAXIFS(关卡产出!AB:AB,关卡产出!$A:$A,玩家节奏1!$O$6,关卡产出!$B:$B,玩家节奏1!$O111)+_xlfn.MAXIFS(关卡产出!AB:AB,关卡产出!$A:$A,玩家节奏1!$P$6,关卡产出!$B:$B,玩家节奏1!$P111)</f>
        <v>3489</v>
      </c>
      <c r="V111" s="130">
        <f>_xlfn.MAXIFS(关卡产出!AC:AC,关卡产出!$A:$A,玩家节奏1!$N$6,关卡产出!$B:$B,玩家节奏1!$N111)+_xlfn.MAXIFS(关卡产出!AC:AC,关卡产出!$A:$A,玩家节奏1!$O$6,关卡产出!$B:$B,玩家节奏1!$O111)+_xlfn.MAXIFS(关卡产出!AC:AC,关卡产出!$A:$A,玩家节奏1!$P$6,关卡产出!$B:$B,玩家节奏1!$P111)</f>
        <v>528</v>
      </c>
      <c r="W111" s="126">
        <f>INDEX(关卡产出!C$8:C$207,MATCH(玩家节奏1!$N111,关卡产出!$B$8:$B$207,0))*$K111</f>
        <v>345</v>
      </c>
      <c r="X111" s="126">
        <f>INDEX(关卡产出!D$8:D$207,MATCH(玩家节奏1!$N111,关卡产出!$B$8:$B$207,0))*$K111</f>
        <v>170</v>
      </c>
      <c r="Y111" s="126">
        <f>INDEX(关卡产出!E$8:E$207,MATCH(玩家节奏1!$N111,关卡产出!$B$8:$B$207,0))*$K111</f>
        <v>85</v>
      </c>
      <c r="Z111" s="144">
        <f>INDEX(关卡产出!F$8:F$207,MATCH(玩家节奏1!$N111,关卡产出!$B$8:$B$207,0))*$K111</f>
        <v>4650</v>
      </c>
      <c r="AA111" s="126">
        <f>SUM(W$7:W111)</f>
        <v>19091</v>
      </c>
      <c r="AB111" s="126">
        <f>SUM(X$7:X111)</f>
        <v>9426</v>
      </c>
      <c r="AC111" s="126">
        <f>SUM(Y$7:Y111)</f>
        <v>4402</v>
      </c>
      <c r="AD111" s="126">
        <f>SUM(Z$7:Z111)</f>
        <v>278710</v>
      </c>
      <c r="AE111" s="126">
        <f>INDEX(图鉴!AQ:AQ,MATCH($N111,图鉴!$S:$S,0))*8</f>
        <v>168</v>
      </c>
      <c r="AF111" s="90">
        <f>INDEX(图鉴!AR:AR,MATCH($N111,图鉴!$S:$S,0))*8</f>
        <v>120</v>
      </c>
      <c r="AG111" s="90">
        <f>INDEX(图鉴!AS:AS,MATCH($N111,图鉴!$S:$S,0))*8</f>
        <v>40</v>
      </c>
      <c r="AH111" s="129">
        <f ca="1">INDEX(图鉴!AT:AT,MATCH($N111,图鉴!$S:$S,0))*8</f>
        <v>9160</v>
      </c>
      <c r="AI111" s="128">
        <f>SUM($AE$7:AE111)</f>
        <v>15216</v>
      </c>
      <c r="AJ111" s="90">
        <f>SUM(AF$7:AF111)</f>
        <v>8320</v>
      </c>
      <c r="AK111" s="90">
        <f>SUM(AG$7:AG111)</f>
        <v>2704</v>
      </c>
      <c r="AL111" s="130">
        <f ca="1">SUM(AH$7:AH111)</f>
        <v>621760</v>
      </c>
      <c r="AM111" s="133">
        <f>IF(M111=0,0,INDEX(关卡产出!$AU$11:$AU$15,MATCH(玩家节奏1!N111,关卡产出!$AW$11:$AW$15,1))*M111)</f>
        <v>12200</v>
      </c>
      <c r="AN111" s="126">
        <f>IF(L111=0,0,$L111*关卡产出!AU$21)</f>
        <v>1000</v>
      </c>
      <c r="AO111" s="90">
        <f>IF(M111=0,0,$L111*关卡产出!AV$21)</f>
        <v>50</v>
      </c>
      <c r="AP111" s="129">
        <f>IF(N111=0,0,$L111*关卡产出!AW$21)</f>
        <v>1</v>
      </c>
      <c r="AQ111" s="138">
        <f>SUM(AN$7:AN111)</f>
        <v>88000</v>
      </c>
      <c r="AR111" s="126">
        <f>SUM(AO$7:AO111)</f>
        <v>4400</v>
      </c>
      <c r="AS111" s="129">
        <f>SUM(AP$7:AP111)</f>
        <v>88</v>
      </c>
      <c r="AT111" s="128">
        <v>500</v>
      </c>
      <c r="AU111" s="129">
        <v>100</v>
      </c>
      <c r="AV111" s="128">
        <f>SUM(AT$7:AT111)</f>
        <v>52500</v>
      </c>
      <c r="AW111" s="90">
        <f>SUM(AU$7:AU111)</f>
        <v>10500</v>
      </c>
      <c r="AY111" s="128">
        <f t="shared" si="91"/>
        <v>16100</v>
      </c>
      <c r="AZ111" s="90">
        <f t="shared" si="92"/>
        <v>4400</v>
      </c>
      <c r="BA111" s="90">
        <f t="shared" si="93"/>
        <v>10500</v>
      </c>
      <c r="BB111" s="90">
        <f t="shared" ca="1" si="143"/>
        <v>5900</v>
      </c>
      <c r="BC111" s="90">
        <f t="shared" ca="1" si="144"/>
        <v>36900</v>
      </c>
      <c r="BD111" s="90"/>
      <c r="BE111" s="90">
        <f t="shared" ca="1" si="94"/>
        <v>36900</v>
      </c>
      <c r="BF111" s="142">
        <f t="shared" ca="1" si="95"/>
        <v>0.43631436314363142</v>
      </c>
      <c r="BG111" s="142">
        <f t="shared" ca="1" si="96"/>
        <v>0.11924119241192412</v>
      </c>
      <c r="BH111" s="142">
        <f t="shared" ca="1" si="155"/>
        <v>0.28455284552845528</v>
      </c>
      <c r="BI111" s="142">
        <f t="shared" ca="1" si="156"/>
        <v>0.15989159891598917</v>
      </c>
      <c r="BJ111" s="143"/>
      <c r="BK111" s="128">
        <f ca="1">INDEX(商城宝箱!$L:$L,MATCH(BC111,商城宝箱!$N:$N,1))</f>
        <v>8</v>
      </c>
      <c r="BL111" s="90">
        <f ca="1">_xlfn.IFNA(INDEX(商城宝箱!T:T,MATCH(玩家节奏1!$BK111,商城宝箱!$L:$L,0)),0)+($BC111-INDEX(商城宝箱!$N:$N,MATCH(玩家节奏1!$BK111,商城宝箱!$L:$L,0)))/$BK$5*INDEX(商城宝箱!E$23:E$42,MATCH(玩家节奏1!$BK111+1,商城宝箱!$C$23:$C$42,0))</f>
        <v>92250</v>
      </c>
      <c r="BM111" s="90">
        <f ca="1">_xlfn.IFNA(INDEX(商城宝箱!U:U,MATCH(玩家节奏1!$BK111,商城宝箱!$L:$L,0)),0)+($BC111-INDEX(商城宝箱!$N:$N,MATCH(玩家节奏1!$BK111,商城宝箱!$L:$L,0)))/$BK$5*INDEX(商城宝箱!F$23:F$42,MATCH(玩家节奏1!$BK111+1,商城宝箱!$C$23:$C$42,0))</f>
        <v>46722.5</v>
      </c>
      <c r="BN111" s="90">
        <f ca="1">_xlfn.IFNA(INDEX(商城宝箱!V:V,MATCH(玩家节奏1!$BK111,商城宝箱!$L:$L,0)),0)+($BC111-INDEX(商城宝箱!$N:$N,MATCH(玩家节奏1!$BK111,商城宝箱!$L:$L,0)))/$BK$5*INDEX(商城宝箱!G$23:G$42,MATCH(玩家节奏1!$BK111+1,商城宝箱!$C$23:$C$42,0))</f>
        <v>30007</v>
      </c>
      <c r="BO111" s="90">
        <f ca="1">_xlfn.IFNA(INDEX(商城宝箱!W:W,MATCH(玩家节奏1!$BK111,商城宝箱!$L:$L,0)),0)+($BC111-INDEX(商城宝箱!$N:$N,MATCH(玩家节奏1!$BK111,商城宝箱!$L:$L,0)))/$BK$5*INDEX(商城宝箱!H$23:H$42,MATCH(玩家节奏1!$BK111+1,商城宝箱!$C$23:$C$42,0))</f>
        <v>3863.5</v>
      </c>
      <c r="BQ111" s="128">
        <f t="shared" si="146"/>
        <v>2157200</v>
      </c>
      <c r="BR111" s="90">
        <f t="shared" si="147"/>
        <v>278710</v>
      </c>
      <c r="BS111" s="90">
        <f t="shared" ca="1" si="148"/>
        <v>621760</v>
      </c>
      <c r="BT111" s="90">
        <f t="shared" si="149"/>
        <v>12200</v>
      </c>
      <c r="BU111" s="90">
        <f t="shared" si="150"/>
        <v>88000</v>
      </c>
      <c r="BV111" s="90">
        <f t="shared" si="151"/>
        <v>52500</v>
      </c>
      <c r="BW111" s="90">
        <f t="shared" ca="1" si="99"/>
        <v>92250</v>
      </c>
      <c r="BX111" s="90">
        <f t="shared" ca="1" si="100"/>
        <v>3302620</v>
      </c>
      <c r="BY111" s="142">
        <f t="shared" ca="1" si="101"/>
        <v>0.65317838564533615</v>
      </c>
      <c r="BZ111" s="142">
        <f t="shared" ca="1" si="102"/>
        <v>8.4390574755799946E-2</v>
      </c>
      <c r="CA111" s="142">
        <f t="shared" ca="1" si="103"/>
        <v>0.18826265207623039</v>
      </c>
      <c r="CB111" s="142">
        <f t="shared" ca="1" si="104"/>
        <v>3.6940368555873821E-3</v>
      </c>
      <c r="CC111" s="142">
        <f t="shared" ca="1" si="105"/>
        <v>2.6645511745220462E-2</v>
      </c>
      <c r="CD111" s="142">
        <f t="shared" ca="1" si="106"/>
        <v>1.5896470075273571E-2</v>
      </c>
      <c r="CE111" s="142">
        <f t="shared" ca="1" si="107"/>
        <v>2.7932368846552133E-2</v>
      </c>
      <c r="CG111" s="128">
        <f t="shared" si="108"/>
        <v>88</v>
      </c>
      <c r="CH111" s="90">
        <f ca="1">INDEX(角色升级!$A:$A,MATCH(玩家节奏1!$BX111,角色升级!$J:$J,1))</f>
        <v>499</v>
      </c>
      <c r="CI111" s="90">
        <f ca="1">INDEX(角色升级!$O:$O,MATCH(玩家节奏1!$BX111,角色升级!$J:$J,1))</f>
        <v>19202.836879999999</v>
      </c>
      <c r="CJ111" s="90">
        <f>INDEX(关卡对比!$J:$J,MATCH(玩家节奏1!N111,关卡对比!$A:$A,0))</f>
        <v>30200</v>
      </c>
      <c r="CK111" s="147">
        <f t="shared" ca="1" si="109"/>
        <v>1.5726842960090801</v>
      </c>
      <c r="CL111" s="128">
        <f ca="1">INDEX(角色升级!$P:$P,MATCH(玩家节奏1!$CH111,角色升级!$A:$A,0))</f>
        <v>5900</v>
      </c>
      <c r="CM111" s="90">
        <f ca="1">INDEX(角色升级!Q:Q,MATCH(玩家节奏1!$CH111,角色升级!$A:$A,0))</f>
        <v>0.8</v>
      </c>
      <c r="CO111" s="128">
        <f t="shared" si="110"/>
        <v>15026</v>
      </c>
      <c r="CP111" s="90">
        <f t="shared" si="111"/>
        <v>19091</v>
      </c>
      <c r="CQ111" s="90">
        <f t="shared" si="112"/>
        <v>15216</v>
      </c>
      <c r="CR111" s="90">
        <f t="shared" ca="1" si="113"/>
        <v>46722.5</v>
      </c>
      <c r="CS111" s="90">
        <f t="shared" ca="1" si="114"/>
        <v>96055.5</v>
      </c>
      <c r="CT111" s="142">
        <f t="shared" ca="1" si="115"/>
        <v>0.15643039701006189</v>
      </c>
      <c r="CU111" s="142">
        <f t="shared" ca="1" si="116"/>
        <v>0.19874968117390468</v>
      </c>
      <c r="CV111" s="142">
        <f t="shared" ca="1" si="117"/>
        <v>0.15840842013211112</v>
      </c>
      <c r="CW111" s="142">
        <f t="shared" ca="1" si="118"/>
        <v>0.48641150168392233</v>
      </c>
      <c r="CY111" s="128">
        <f t="shared" si="119"/>
        <v>7514</v>
      </c>
      <c r="CZ111" s="90">
        <f t="shared" si="120"/>
        <v>9426</v>
      </c>
      <c r="DA111" s="90">
        <f t="shared" si="121"/>
        <v>8320</v>
      </c>
      <c r="DB111" s="90">
        <f t="shared" ca="1" si="122"/>
        <v>30007</v>
      </c>
      <c r="DC111" s="90">
        <f t="shared" ca="1" si="123"/>
        <v>55267</v>
      </c>
      <c r="DD111" s="142">
        <f t="shared" ca="1" si="124"/>
        <v>0.13595816671793295</v>
      </c>
      <c r="DE111" s="142">
        <f t="shared" ca="1" si="125"/>
        <v>0.17055385673186532</v>
      </c>
      <c r="DF111" s="142">
        <f t="shared" ca="1" si="126"/>
        <v>0.15054191470497766</v>
      </c>
      <c r="DG111" s="142">
        <f t="shared" ca="1" si="127"/>
        <v>0.54294606184522409</v>
      </c>
      <c r="DI111" s="128">
        <f t="shared" si="128"/>
        <v>3489</v>
      </c>
      <c r="DJ111" s="90">
        <f t="shared" si="129"/>
        <v>4402</v>
      </c>
      <c r="DK111" s="90">
        <f t="shared" si="130"/>
        <v>2704</v>
      </c>
      <c r="DL111" s="90">
        <f t="shared" ca="1" si="131"/>
        <v>3863.5</v>
      </c>
      <c r="DM111" s="90">
        <f t="shared" ca="1" si="132"/>
        <v>14458.5</v>
      </c>
      <c r="DN111" s="142">
        <f t="shared" ca="1" si="133"/>
        <v>0.24131133935055504</v>
      </c>
      <c r="DO111" s="142">
        <f t="shared" ca="1" si="134"/>
        <v>0.30445758550333712</v>
      </c>
      <c r="DP111" s="142">
        <f t="shared" ca="1" si="135"/>
        <v>0.18701801708337656</v>
      </c>
      <c r="DQ111" s="142">
        <f t="shared" ca="1" si="136"/>
        <v>0.26721305806273127</v>
      </c>
      <c r="DS111" s="128">
        <f t="shared" ca="1" si="137"/>
        <v>96055.5</v>
      </c>
      <c r="DT111" s="90">
        <f t="shared" ca="1" si="138"/>
        <v>55267</v>
      </c>
      <c r="DU111" s="90">
        <f t="shared" ca="1" si="139"/>
        <v>14458.5</v>
      </c>
      <c r="DV111" s="90">
        <f t="shared" si="140"/>
        <v>88</v>
      </c>
      <c r="DW111" s="90">
        <f ca="1">_xlfn.IFNA(INDEX(武器升级消耗!$H:$H,MATCH(玩家节奏1!DS111/玩家节奏1!DS$5,武器升级消耗!M:M,1)),0)</f>
        <v>29</v>
      </c>
      <c r="DX111" s="90">
        <f ca="1">_xlfn.IFNA(INDEX(武器升级消耗!$H:$H,MATCH(玩家节奏1!DT111/玩家节奏1!DT$5,武器升级消耗!N:N,1)),0)</f>
        <v>26</v>
      </c>
      <c r="DY111" s="90">
        <f ca="1">_xlfn.IFNA(INDEX(武器升级消耗!$H:$H,MATCH(玩家节奏1!DU111/玩家节奏1!DU$5,武器升级消耗!O:O,1)),0)</f>
        <v>17</v>
      </c>
      <c r="DZ111" s="90">
        <f>_xlfn.IFNA(INDEX(武器升级消耗!$H:$H,MATCH(玩家节奏1!DV111/玩家节奏1!DV$5,武器升级消耗!P:P,1)),0)</f>
        <v>10</v>
      </c>
      <c r="EA111" s="90">
        <f ca="1">_xlfn.IFNA(INDEX(武器升级消耗!$Q:$Q,MATCH(玩家节奏1!DW111,武器升级消耗!$H:$H,0))*2*EA$4,0)</f>
        <v>3.9599999999999995</v>
      </c>
      <c r="EB111" s="90">
        <f ca="1">_xlfn.IFNA(INDEX(武器升级消耗!$Q:$Q,MATCH(玩家节奏1!DX111,武器升级消耗!$H:$H,0))*2*EB$4,0)</f>
        <v>4.5</v>
      </c>
      <c r="EC111" s="90">
        <f ca="1">_xlfn.IFNA(INDEX(武器升级消耗!$Q:$Q,MATCH(玩家节奏1!DY111,武器升级消耗!$H:$H,0))*2*EC$4,1)</f>
        <v>4.620000000000001</v>
      </c>
      <c r="ED111" s="90">
        <f>_xlfn.IFNA(INDEX(武器升级消耗!$Q:$Q,MATCH(玩家节奏1!DZ111,武器升级消耗!$H:$H,0))*2*ED$4,0)</f>
        <v>4.1999999999999993</v>
      </c>
    </row>
    <row r="112" spans="1:163" x14ac:dyDescent="0.25">
      <c r="A112" s="123">
        <v>106</v>
      </c>
      <c r="B112" s="123">
        <f>INDEX(关卡对比!$Y:$Y,MATCH(关卡对比!Z112,关卡对比!$AA:$AA,1))</f>
        <v>66</v>
      </c>
      <c r="C112" s="124">
        <f>INDEX(关卡对比!$Y:$Y,MATCH(关卡对比!Z112,关卡对比!$AB:$AB,1))</f>
        <v>53</v>
      </c>
      <c r="D112" s="125">
        <f t="shared" si="157"/>
        <v>644.5</v>
      </c>
      <c r="E112" s="125">
        <v>3</v>
      </c>
      <c r="F112" s="128">
        <v>5</v>
      </c>
      <c r="G112" s="90">
        <v>1</v>
      </c>
      <c r="H112" s="90">
        <v>1</v>
      </c>
      <c r="J112" s="128">
        <v>106</v>
      </c>
      <c r="K112" s="90">
        <f t="shared" si="152"/>
        <v>5</v>
      </c>
      <c r="L112" s="90">
        <f t="shared" si="153"/>
        <v>1</v>
      </c>
      <c r="M112" s="90">
        <f t="shared" si="154"/>
        <v>1</v>
      </c>
      <c r="N112" s="140">
        <f>INDEX($A:$A,MATCH(SUM($K$7:K112),$D:$D,1))</f>
        <v>88</v>
      </c>
      <c r="O112" s="140">
        <v>0</v>
      </c>
      <c r="P112" s="141">
        <v>0</v>
      </c>
      <c r="Q112" s="126">
        <f>_xlfn.MAXIFS(关卡产出!X:X,关卡产出!$A:$A,玩家节奏1!$N$6,关卡产出!$B:$B,玩家节奏1!$N112)+_xlfn.MAXIFS(关卡产出!X:X,关卡产出!$A:$A,玩家节奏1!$O$6,关卡产出!$B:$B,玩家节奏1!$O112)+_xlfn.MAXIFS(关卡产出!X:X,关卡产出!$A:$A,玩家节奏1!$P$6,关卡产出!$B:$B,玩家节奏1!$P112)</f>
        <v>16100</v>
      </c>
      <c r="R112" s="90">
        <f>_xlfn.MAXIFS(关卡产出!Y:Y,关卡产出!$A:$A,玩家节奏1!$N$6,关卡产出!$B:$B,玩家节奏1!$N112)+_xlfn.MAXIFS(关卡产出!Y:Y,关卡产出!$A:$A,玩家节奏1!$O$6,关卡产出!$B:$B,玩家节奏1!$O112)+_xlfn.MAXIFS(关卡产出!Y:Y,关卡产出!$A:$A,玩家节奏1!$P$6,关卡产出!$B:$B,玩家节奏1!$P112)</f>
        <v>2157200</v>
      </c>
      <c r="S112" s="90">
        <f>_xlfn.MAXIFS(关卡产出!Z:Z,关卡产出!$A:$A,玩家节奏1!$N$6,关卡产出!$B:$B,玩家节奏1!$N112)+_xlfn.MAXIFS(关卡产出!Z:Z,关卡产出!$A:$A,玩家节奏1!$O$6,关卡产出!$B:$B,玩家节奏1!$O112)+_xlfn.MAXIFS(关卡产出!Z:Z,关卡产出!$A:$A,玩家节奏1!$P$6,关卡产出!$B:$B,玩家节奏1!$P112)</f>
        <v>15026</v>
      </c>
      <c r="T112" s="90">
        <f>_xlfn.MAXIFS(关卡产出!AA:AA,关卡产出!$A:$A,玩家节奏1!$N$6,关卡产出!$B:$B,玩家节奏1!$N112)+_xlfn.MAXIFS(关卡产出!AA:AA,关卡产出!$A:$A,玩家节奏1!$O$6,关卡产出!$B:$B,玩家节奏1!$O112)+_xlfn.MAXIFS(关卡产出!AA:AA,关卡产出!$A:$A,玩家节奏1!$P$6,关卡产出!$B:$B,玩家节奏1!$P112)</f>
        <v>7514</v>
      </c>
      <c r="U112" s="90">
        <f>_xlfn.MAXIFS(关卡产出!AB:AB,关卡产出!$A:$A,玩家节奏1!$N$6,关卡产出!$B:$B,玩家节奏1!$N112)+_xlfn.MAXIFS(关卡产出!AB:AB,关卡产出!$A:$A,玩家节奏1!$O$6,关卡产出!$B:$B,玩家节奏1!$O112)+_xlfn.MAXIFS(关卡产出!AB:AB,关卡产出!$A:$A,玩家节奏1!$P$6,关卡产出!$B:$B,玩家节奏1!$P112)</f>
        <v>3489</v>
      </c>
      <c r="V112" s="130">
        <f>_xlfn.MAXIFS(关卡产出!AC:AC,关卡产出!$A:$A,玩家节奏1!$N$6,关卡产出!$B:$B,玩家节奏1!$N112)+_xlfn.MAXIFS(关卡产出!AC:AC,关卡产出!$A:$A,玩家节奏1!$O$6,关卡产出!$B:$B,玩家节奏1!$O112)+_xlfn.MAXIFS(关卡产出!AC:AC,关卡产出!$A:$A,玩家节奏1!$P$6,关卡产出!$B:$B,玩家节奏1!$P112)</f>
        <v>528</v>
      </c>
      <c r="W112" s="126">
        <f>INDEX(关卡产出!C$8:C$207,MATCH(玩家节奏1!$N112,关卡产出!$B$8:$B$207,0))*$K112</f>
        <v>345</v>
      </c>
      <c r="X112" s="126">
        <f>INDEX(关卡产出!D$8:D$207,MATCH(玩家节奏1!$N112,关卡产出!$B$8:$B$207,0))*$K112</f>
        <v>170</v>
      </c>
      <c r="Y112" s="126">
        <f>INDEX(关卡产出!E$8:E$207,MATCH(玩家节奏1!$N112,关卡产出!$B$8:$B$207,0))*$K112</f>
        <v>85</v>
      </c>
      <c r="Z112" s="144">
        <f>INDEX(关卡产出!F$8:F$207,MATCH(玩家节奏1!$N112,关卡产出!$B$8:$B$207,0))*$K112</f>
        <v>4650</v>
      </c>
      <c r="AA112" s="126">
        <f>SUM(W$7:W112)</f>
        <v>19436</v>
      </c>
      <c r="AB112" s="126">
        <f>SUM(X$7:X112)</f>
        <v>9596</v>
      </c>
      <c r="AC112" s="126">
        <f>SUM(Y$7:Y112)</f>
        <v>4487</v>
      </c>
      <c r="AD112" s="126">
        <f>SUM(Z$7:Z112)</f>
        <v>283360</v>
      </c>
      <c r="AE112" s="126">
        <f>INDEX(图鉴!AQ:AQ,MATCH($N112,图鉴!$S:$S,0))*8</f>
        <v>168</v>
      </c>
      <c r="AF112" s="90">
        <f>INDEX(图鉴!AR:AR,MATCH($N112,图鉴!$S:$S,0))*8</f>
        <v>120</v>
      </c>
      <c r="AG112" s="90">
        <f>INDEX(图鉴!AS:AS,MATCH($N112,图鉴!$S:$S,0))*8</f>
        <v>40</v>
      </c>
      <c r="AH112" s="129">
        <f ca="1">INDEX(图鉴!AT:AT,MATCH($N112,图鉴!$S:$S,0))*8</f>
        <v>9160</v>
      </c>
      <c r="AI112" s="128">
        <f>SUM($AE$7:AE112)</f>
        <v>15384</v>
      </c>
      <c r="AJ112" s="90">
        <f>SUM(AF$7:AF112)</f>
        <v>8440</v>
      </c>
      <c r="AK112" s="90">
        <f>SUM(AG$7:AG112)</f>
        <v>2744</v>
      </c>
      <c r="AL112" s="130">
        <f ca="1">SUM(AH$7:AH112)</f>
        <v>630920</v>
      </c>
      <c r="AM112" s="133">
        <f>IF(M112=0,0,INDEX(关卡产出!$AU$11:$AU$15,MATCH(玩家节奏1!N112,关卡产出!$AW$11:$AW$15,1))*M112)</f>
        <v>12200</v>
      </c>
      <c r="AN112" s="126">
        <f>IF(L112=0,0,$L112*关卡产出!AU$21)</f>
        <v>1000</v>
      </c>
      <c r="AO112" s="90">
        <f>IF(M112=0,0,$L112*关卡产出!AV$21)</f>
        <v>50</v>
      </c>
      <c r="AP112" s="129">
        <f>IF(N112=0,0,$L112*关卡产出!AW$21)</f>
        <v>1</v>
      </c>
      <c r="AQ112" s="138">
        <f>SUM(AN$7:AN112)</f>
        <v>89000</v>
      </c>
      <c r="AR112" s="126">
        <f>SUM(AO$7:AO112)</f>
        <v>4450</v>
      </c>
      <c r="AS112" s="129">
        <f>SUM(AP$7:AP112)</f>
        <v>89</v>
      </c>
      <c r="AT112" s="128">
        <v>500</v>
      </c>
      <c r="AU112" s="129">
        <v>100</v>
      </c>
      <c r="AV112" s="128">
        <f>SUM(AT$7:AT112)</f>
        <v>53000</v>
      </c>
      <c r="AW112" s="90">
        <f>SUM(AU$7:AU112)</f>
        <v>10600</v>
      </c>
      <c r="AY112" s="128">
        <f t="shared" si="91"/>
        <v>16100</v>
      </c>
      <c r="AZ112" s="90">
        <f t="shared" si="92"/>
        <v>4450</v>
      </c>
      <c r="BA112" s="90">
        <f t="shared" si="93"/>
        <v>10600</v>
      </c>
      <c r="BB112" s="90">
        <f t="shared" ca="1" si="143"/>
        <v>5900</v>
      </c>
      <c r="BC112" s="90">
        <f t="shared" ca="1" si="144"/>
        <v>37050</v>
      </c>
      <c r="BD112" s="90"/>
      <c r="BE112" s="90">
        <f t="shared" ca="1" si="94"/>
        <v>37050</v>
      </c>
      <c r="BF112" s="142">
        <f t="shared" ca="1" si="95"/>
        <v>0.43454790823211875</v>
      </c>
      <c r="BG112" s="142">
        <f t="shared" ca="1" si="96"/>
        <v>0.12010796221322537</v>
      </c>
      <c r="BH112" s="142">
        <f t="shared" ca="1" si="155"/>
        <v>0.28609986504723345</v>
      </c>
      <c r="BI112" s="142">
        <f t="shared" ca="1" si="156"/>
        <v>0.15924426450742241</v>
      </c>
      <c r="BJ112" s="143"/>
      <c r="BK112" s="128">
        <f ca="1">INDEX(商城宝箱!$L:$L,MATCH(BC112,商城宝箱!$N:$N,1))</f>
        <v>8</v>
      </c>
      <c r="BL112" s="90">
        <f ca="1">_xlfn.IFNA(INDEX(商城宝箱!T:T,MATCH(玩家节奏1!$BK112,商城宝箱!$L:$L,0)),0)+($BC112-INDEX(商城宝箱!$N:$N,MATCH(玩家节奏1!$BK112,商城宝箱!$L:$L,0)))/$BK$5*INDEX(商城宝箱!E$23:E$42,MATCH(玩家节奏1!$BK112+1,商城宝箱!$C$23:$C$42,0))</f>
        <v>92625</v>
      </c>
      <c r="BM112" s="90">
        <f ca="1">_xlfn.IFNA(INDEX(商城宝箱!U:U,MATCH(玩家节奏1!$BK112,商城宝箱!$L:$L,0)),0)+($BC112-INDEX(商城宝箱!$N:$N,MATCH(玩家节奏1!$BK112,商城宝箱!$L:$L,0)))/$BK$5*INDEX(商城宝箱!F$23:F$42,MATCH(玩家节奏1!$BK112+1,商城宝箱!$C$23:$C$42,0))</f>
        <v>47052.5</v>
      </c>
      <c r="BN112" s="90">
        <f ca="1">_xlfn.IFNA(INDEX(商城宝箱!V:V,MATCH(玩家节奏1!$BK112,商城宝箱!$L:$L,0)),0)+($BC112-INDEX(商城宝箱!$N:$N,MATCH(玩家节奏1!$BK112,商城宝箱!$L:$L,0)))/$BK$5*INDEX(商城宝箱!G$23:G$42,MATCH(玩家节奏1!$BK112+1,商城宝箱!$C$23:$C$42,0))</f>
        <v>30254.5</v>
      </c>
      <c r="BO112" s="90">
        <f ca="1">_xlfn.IFNA(INDEX(商城宝箱!W:W,MATCH(玩家节奏1!$BK112,商城宝箱!$L:$L,0)),0)+($BC112-INDEX(商城宝箱!$N:$N,MATCH(玩家节奏1!$BK112,商城宝箱!$L:$L,0)))/$BK$5*INDEX(商城宝箱!H$23:H$42,MATCH(玩家节奏1!$BK112+1,商城宝箱!$C$23:$C$42,0))</f>
        <v>3892</v>
      </c>
      <c r="BQ112" s="128">
        <f t="shared" si="146"/>
        <v>2157200</v>
      </c>
      <c r="BR112" s="90">
        <f t="shared" si="147"/>
        <v>283360</v>
      </c>
      <c r="BS112" s="90">
        <f t="shared" ca="1" si="148"/>
        <v>630920</v>
      </c>
      <c r="BT112" s="90">
        <f t="shared" si="149"/>
        <v>12200</v>
      </c>
      <c r="BU112" s="90">
        <f t="shared" si="150"/>
        <v>89000</v>
      </c>
      <c r="BV112" s="90">
        <f t="shared" si="151"/>
        <v>53000</v>
      </c>
      <c r="BW112" s="90">
        <f t="shared" ca="1" si="99"/>
        <v>92625</v>
      </c>
      <c r="BX112" s="90">
        <f t="shared" ca="1" si="100"/>
        <v>3318305</v>
      </c>
      <c r="BY112" s="142">
        <f t="shared" ca="1" si="101"/>
        <v>0.65009093498035897</v>
      </c>
      <c r="BZ112" s="142">
        <f t="shared" ca="1" si="102"/>
        <v>8.5392994314868589E-2</v>
      </c>
      <c r="CA112" s="142">
        <f t="shared" ca="1" si="103"/>
        <v>0.19013321560254406</v>
      </c>
      <c r="CB112" s="142">
        <f t="shared" ca="1" si="104"/>
        <v>3.6765758421844889E-3</v>
      </c>
      <c r="CC112" s="142">
        <f t="shared" ca="1" si="105"/>
        <v>2.6820922127411436E-2</v>
      </c>
      <c r="CD112" s="142">
        <f t="shared" ca="1" si="106"/>
        <v>1.5972009806211305E-2</v>
      </c>
      <c r="CE112" s="142">
        <f t="shared" ca="1" si="107"/>
        <v>2.7913347326421169E-2</v>
      </c>
      <c r="CG112" s="128">
        <f t="shared" si="108"/>
        <v>88</v>
      </c>
      <c r="CH112" s="90">
        <f ca="1">INDEX(角色升级!$A:$A,MATCH(玩家节奏1!$BX112,角色升级!$J:$J,1))</f>
        <v>501</v>
      </c>
      <c r="CI112" s="90">
        <f ca="1">INDEX(角色升级!$O:$O,MATCH(玩家节奏1!$BX112,角色升级!$J:$J,1))</f>
        <v>19228.179600000003</v>
      </c>
      <c r="CJ112" s="90">
        <f>INDEX(关卡对比!$J:$J,MATCH(玩家节奏1!N112,关卡对比!$A:$A,0))</f>
        <v>30200</v>
      </c>
      <c r="CK112" s="147">
        <f t="shared" ca="1" si="109"/>
        <v>1.5706114998010521</v>
      </c>
      <c r="CL112" s="128">
        <f ca="1">INDEX(角色升级!$P:$P,MATCH(玩家节奏1!$CH112,角色升级!$A:$A,0))</f>
        <v>5900</v>
      </c>
      <c r="CM112" s="90">
        <f ca="1">INDEX(角色升级!Q:Q,MATCH(玩家节奏1!$CH112,角色升级!$A:$A,0))</f>
        <v>0.8</v>
      </c>
      <c r="CO112" s="128">
        <f t="shared" si="110"/>
        <v>15026</v>
      </c>
      <c r="CP112" s="90">
        <f t="shared" si="111"/>
        <v>19436</v>
      </c>
      <c r="CQ112" s="90">
        <f t="shared" si="112"/>
        <v>15384</v>
      </c>
      <c r="CR112" s="90">
        <f t="shared" ca="1" si="113"/>
        <v>47052.5</v>
      </c>
      <c r="CS112" s="90">
        <f t="shared" ca="1" si="114"/>
        <v>96898.5</v>
      </c>
      <c r="CT112" s="142">
        <f t="shared" ca="1" si="115"/>
        <v>0.15506947991970979</v>
      </c>
      <c r="CU112" s="142">
        <f t="shared" ca="1" si="116"/>
        <v>0.2005810203460322</v>
      </c>
      <c r="CV112" s="142">
        <f t="shared" ca="1" si="117"/>
        <v>0.15876406755522532</v>
      </c>
      <c r="CW112" s="142">
        <f t="shared" ca="1" si="118"/>
        <v>0.48558543217903272</v>
      </c>
      <c r="CY112" s="128">
        <f t="shared" si="119"/>
        <v>7514</v>
      </c>
      <c r="CZ112" s="90">
        <f t="shared" si="120"/>
        <v>9596</v>
      </c>
      <c r="DA112" s="90">
        <f t="shared" si="121"/>
        <v>8440</v>
      </c>
      <c r="DB112" s="90">
        <f t="shared" ca="1" si="122"/>
        <v>30254.5</v>
      </c>
      <c r="DC112" s="90">
        <f t="shared" ca="1" si="123"/>
        <v>55804.5</v>
      </c>
      <c r="DD112" s="142">
        <f t="shared" ca="1" si="124"/>
        <v>0.1346486394466396</v>
      </c>
      <c r="DE112" s="142">
        <f t="shared" ca="1" si="125"/>
        <v>0.17195745862788844</v>
      </c>
      <c r="DF112" s="142">
        <f t="shared" ca="1" si="126"/>
        <v>0.15124228332840542</v>
      </c>
      <c r="DG112" s="142">
        <f t="shared" ca="1" si="127"/>
        <v>0.54215161859706651</v>
      </c>
      <c r="DI112" s="128">
        <f t="shared" si="128"/>
        <v>3489</v>
      </c>
      <c r="DJ112" s="90">
        <f t="shared" si="129"/>
        <v>4487</v>
      </c>
      <c r="DK112" s="90">
        <f t="shared" si="130"/>
        <v>2744</v>
      </c>
      <c r="DL112" s="90">
        <f t="shared" ca="1" si="131"/>
        <v>3892</v>
      </c>
      <c r="DM112" s="90">
        <f t="shared" ca="1" si="132"/>
        <v>14612</v>
      </c>
      <c r="DN112" s="142">
        <f t="shared" ca="1" si="133"/>
        <v>0.23877634820695318</v>
      </c>
      <c r="DO112" s="142">
        <f t="shared" ca="1" si="134"/>
        <v>0.30707637558171363</v>
      </c>
      <c r="DP112" s="142">
        <f t="shared" ca="1" si="135"/>
        <v>0.18779085683000274</v>
      </c>
      <c r="DQ112" s="142">
        <f t="shared" ca="1" si="136"/>
        <v>0.26635641938133042</v>
      </c>
      <c r="DS112" s="128">
        <f t="shared" ca="1" si="137"/>
        <v>96898.5</v>
      </c>
      <c r="DT112" s="90">
        <f t="shared" ca="1" si="138"/>
        <v>55804.5</v>
      </c>
      <c r="DU112" s="90">
        <f t="shared" ca="1" si="139"/>
        <v>14612</v>
      </c>
      <c r="DV112" s="90">
        <f t="shared" si="140"/>
        <v>89</v>
      </c>
      <c r="DW112" s="90">
        <f ca="1">_xlfn.IFNA(INDEX(武器升级消耗!$H:$H,MATCH(玩家节奏1!DS112/玩家节奏1!DS$5,武器升级消耗!M:M,1)),0)</f>
        <v>29</v>
      </c>
      <c r="DX112" s="90">
        <f ca="1">_xlfn.IFNA(INDEX(武器升级消耗!$H:$H,MATCH(玩家节奏1!DT112/玩家节奏1!DT$5,武器升级消耗!N:N,1)),0)</f>
        <v>26</v>
      </c>
      <c r="DY112" s="90">
        <f ca="1">_xlfn.IFNA(INDEX(武器升级消耗!$H:$H,MATCH(玩家节奏1!DU112/玩家节奏1!DU$5,武器升级消耗!O:O,1)),0)</f>
        <v>17</v>
      </c>
      <c r="DZ112" s="90">
        <f>_xlfn.IFNA(INDEX(武器升级消耗!$H:$H,MATCH(玩家节奏1!DV112/玩家节奏1!DV$5,武器升级消耗!P:P,1)),0)</f>
        <v>10</v>
      </c>
      <c r="EA112" s="90">
        <f ca="1">_xlfn.IFNA(INDEX(武器升级消耗!$Q:$Q,MATCH(玩家节奏1!DW112,武器升级消耗!$H:$H,0))*2*EA$4,0)</f>
        <v>3.9599999999999995</v>
      </c>
      <c r="EB112" s="90">
        <f ca="1">_xlfn.IFNA(INDEX(武器升级消耗!$Q:$Q,MATCH(玩家节奏1!DX112,武器升级消耗!$H:$H,0))*2*EB$4,0)</f>
        <v>4.5</v>
      </c>
      <c r="EC112" s="90">
        <f ca="1">_xlfn.IFNA(INDEX(武器升级消耗!$Q:$Q,MATCH(玩家节奏1!DY112,武器升级消耗!$H:$H,0))*2*EC$4,1)</f>
        <v>4.620000000000001</v>
      </c>
      <c r="ED112" s="90">
        <f>_xlfn.IFNA(INDEX(武器升级消耗!$Q:$Q,MATCH(玩家节奏1!DZ112,武器升级消耗!$H:$H,0))*2*ED$4,0)</f>
        <v>4.1999999999999993</v>
      </c>
    </row>
    <row r="113" spans="1:134" x14ac:dyDescent="0.25">
      <c r="A113" s="123">
        <v>107</v>
      </c>
      <c r="B113" s="123">
        <f>INDEX(关卡对比!$Y:$Y,MATCH(关卡对比!Z113,关卡对比!$AA:$AA,1))</f>
        <v>67</v>
      </c>
      <c r="C113" s="124">
        <f>INDEX(关卡对比!$Y:$Y,MATCH(关卡对比!Z113,关卡对比!$AB:$AB,1))</f>
        <v>54</v>
      </c>
      <c r="D113" s="125">
        <f t="shared" si="157"/>
        <v>653.5</v>
      </c>
      <c r="E113" s="125">
        <v>3</v>
      </c>
      <c r="F113" s="128">
        <v>5</v>
      </c>
      <c r="G113" s="90">
        <v>1</v>
      </c>
      <c r="H113" s="90">
        <v>1</v>
      </c>
      <c r="J113" s="128">
        <v>107</v>
      </c>
      <c r="K113" s="90">
        <f t="shared" si="152"/>
        <v>5</v>
      </c>
      <c r="L113" s="90">
        <f t="shared" si="153"/>
        <v>1</v>
      </c>
      <c r="M113" s="90">
        <f t="shared" si="154"/>
        <v>1</v>
      </c>
      <c r="N113" s="140">
        <f>INDEX($A:$A,MATCH(SUM($K$7:K113),$D:$D,1))</f>
        <v>90</v>
      </c>
      <c r="O113" s="140">
        <v>0</v>
      </c>
      <c r="P113" s="141">
        <v>0</v>
      </c>
      <c r="Q113" s="126">
        <f>_xlfn.MAXIFS(关卡产出!X:X,关卡产出!$A:$A,玩家节奏1!$N$6,关卡产出!$B:$B,玩家节奏1!$N113)+_xlfn.MAXIFS(关卡产出!X:X,关卡产出!$A:$A,玩家节奏1!$O$6,关卡产出!$B:$B,玩家节奏1!$O113)+_xlfn.MAXIFS(关卡产出!X:X,关卡产出!$A:$A,玩家节奏1!$P$6,关卡产出!$B:$B,玩家节奏1!$P113)</f>
        <v>16500</v>
      </c>
      <c r="R113" s="90">
        <f>_xlfn.MAXIFS(关卡产出!Y:Y,关卡产出!$A:$A,玩家节奏1!$N$6,关卡产出!$B:$B,玩家节奏1!$N113)+_xlfn.MAXIFS(关卡产出!Y:Y,关卡产出!$A:$A,玩家节奏1!$O$6,关卡产出!$B:$B,玩家节奏1!$O113)+_xlfn.MAXIFS(关卡产出!Y:Y,关卡产出!$A:$A,玩家节奏1!$P$6,关卡产出!$B:$B,玩家节奏1!$P113)</f>
        <v>2260000</v>
      </c>
      <c r="S113" s="90">
        <f>_xlfn.MAXIFS(关卡产出!Z:Z,关卡产出!$A:$A,玩家节奏1!$N$6,关卡产出!$B:$B,玩家节奏1!$N113)+_xlfn.MAXIFS(关卡产出!Z:Z,关卡产出!$A:$A,玩家节奏1!$O$6,关卡产出!$B:$B,玩家节奏1!$O113)+_xlfn.MAXIFS(关卡产出!Z:Z,关卡产出!$A:$A,玩家节奏1!$P$6,关卡产出!$B:$B,玩家节奏1!$P113)</f>
        <v>15726</v>
      </c>
      <c r="T113" s="90">
        <f>_xlfn.MAXIFS(关卡产出!AA:AA,关卡产出!$A:$A,玩家节奏1!$N$6,关卡产出!$B:$B,玩家节奏1!$N113)+_xlfn.MAXIFS(关卡产出!AA:AA,关卡产出!$A:$A,玩家节奏1!$O$6,关卡产出!$B:$B,玩家节奏1!$O113)+_xlfn.MAXIFS(关卡产出!AA:AA,关卡产出!$A:$A,玩家节奏1!$P$6,关卡产出!$B:$B,玩家节奏1!$P113)</f>
        <v>7864</v>
      </c>
      <c r="U113" s="90">
        <f>_xlfn.MAXIFS(关卡产出!AB:AB,关卡产出!$A:$A,玩家节奏1!$N$6,关卡产出!$B:$B,玩家节奏1!$N113)+_xlfn.MAXIFS(关卡产出!AB:AB,关卡产出!$A:$A,玩家节奏1!$O$6,关卡产出!$B:$B,玩家节奏1!$O113)+_xlfn.MAXIFS(关卡产出!AB:AB,关卡产出!$A:$A,玩家节奏1!$P$6,关卡产出!$B:$B,玩家节奏1!$P113)</f>
        <v>3658</v>
      </c>
      <c r="V113" s="130">
        <f>_xlfn.MAXIFS(关卡产出!AC:AC,关卡产出!$A:$A,玩家节奏1!$N$6,关卡产出!$B:$B,玩家节奏1!$N113)+_xlfn.MAXIFS(关卡产出!AC:AC,关卡产出!$A:$A,玩家节奏1!$O$6,关卡产出!$B:$B,玩家节奏1!$O113)+_xlfn.MAXIFS(关卡产出!AC:AC,关卡产出!$A:$A,玩家节奏1!$P$6,关卡产出!$B:$B,玩家节奏1!$P113)</f>
        <v>540</v>
      </c>
      <c r="W113" s="126">
        <f>INDEX(关卡产出!C$8:C$207,MATCH(玩家节奏1!$N113,关卡产出!$B$8:$B$207,0))*$K113</f>
        <v>350</v>
      </c>
      <c r="X113" s="126">
        <f>INDEX(关卡产出!D$8:D$207,MATCH(玩家节奏1!$N113,关卡产出!$B$8:$B$207,0))*$K113</f>
        <v>175</v>
      </c>
      <c r="Y113" s="126">
        <f>INDEX(关卡产出!E$8:E$207,MATCH(玩家节奏1!$N113,关卡产出!$B$8:$B$207,0))*$K113</f>
        <v>85</v>
      </c>
      <c r="Z113" s="144">
        <f>INDEX(关卡产出!F$8:F$207,MATCH(玩家节奏1!$N113,关卡产出!$B$8:$B$207,0))*$K113</f>
        <v>4750</v>
      </c>
      <c r="AA113" s="126">
        <f>SUM(W$7:W113)</f>
        <v>19786</v>
      </c>
      <c r="AB113" s="126">
        <f>SUM(X$7:X113)</f>
        <v>9771</v>
      </c>
      <c r="AC113" s="126">
        <f>SUM(Y$7:Y113)</f>
        <v>4572</v>
      </c>
      <c r="AD113" s="126">
        <f>SUM(Z$7:Z113)</f>
        <v>288110</v>
      </c>
      <c r="AE113" s="126">
        <f>INDEX(图鉴!AQ:AQ,MATCH($N113,图鉴!$S:$S,0))*8</f>
        <v>168</v>
      </c>
      <c r="AF113" s="90">
        <f>INDEX(图鉴!AR:AR,MATCH($N113,图鉴!$S:$S,0))*8</f>
        <v>120</v>
      </c>
      <c r="AG113" s="90">
        <f>INDEX(图鉴!AS:AS,MATCH($N113,图鉴!$S:$S,0))*8</f>
        <v>40</v>
      </c>
      <c r="AH113" s="129">
        <f ca="1">INDEX(图鉴!AT:AT,MATCH($N113,图鉴!$S:$S,0))*8</f>
        <v>9160</v>
      </c>
      <c r="AI113" s="128">
        <f>SUM($AE$7:AE113)</f>
        <v>15552</v>
      </c>
      <c r="AJ113" s="90">
        <f>SUM(AF$7:AF113)</f>
        <v>8560</v>
      </c>
      <c r="AK113" s="90">
        <f>SUM(AG$7:AG113)</f>
        <v>2784</v>
      </c>
      <c r="AL113" s="130">
        <f ca="1">SUM(AH$7:AH113)</f>
        <v>640080</v>
      </c>
      <c r="AM113" s="133">
        <f>IF(M113=0,0,INDEX(关卡产出!$AU$11:$AU$15,MATCH(玩家节奏1!N113,关卡产出!$AW$11:$AW$15,1))*M113)</f>
        <v>12200</v>
      </c>
      <c r="AN113" s="126">
        <f>IF(L113=0,0,$L113*关卡产出!AU$21)</f>
        <v>1000</v>
      </c>
      <c r="AO113" s="90">
        <f>IF(M113=0,0,$L113*关卡产出!AV$21)</f>
        <v>50</v>
      </c>
      <c r="AP113" s="129">
        <f>IF(N113=0,0,$L113*关卡产出!AW$21)</f>
        <v>1</v>
      </c>
      <c r="AQ113" s="138">
        <f>SUM(AN$7:AN113)</f>
        <v>90000</v>
      </c>
      <c r="AR113" s="126">
        <f>SUM(AO$7:AO113)</f>
        <v>4500</v>
      </c>
      <c r="AS113" s="129">
        <f>SUM(AP$7:AP113)</f>
        <v>90</v>
      </c>
      <c r="AT113" s="128">
        <v>500</v>
      </c>
      <c r="AU113" s="129">
        <v>100</v>
      </c>
      <c r="AV113" s="128">
        <f>SUM(AT$7:AT113)</f>
        <v>53500</v>
      </c>
      <c r="AW113" s="90">
        <f>SUM(AU$7:AU113)</f>
        <v>10700</v>
      </c>
      <c r="AY113" s="128">
        <f t="shared" si="91"/>
        <v>16500</v>
      </c>
      <c r="AZ113" s="90">
        <f t="shared" si="92"/>
        <v>4500</v>
      </c>
      <c r="BA113" s="90">
        <f t="shared" si="93"/>
        <v>10700</v>
      </c>
      <c r="BB113" s="90">
        <f t="shared" ca="1" si="143"/>
        <v>5900</v>
      </c>
      <c r="BC113" s="90">
        <f t="shared" ca="1" si="144"/>
        <v>37600</v>
      </c>
      <c r="BD113" s="90"/>
      <c r="BE113" s="90">
        <f t="shared" ca="1" si="94"/>
        <v>37600</v>
      </c>
      <c r="BF113" s="142">
        <f t="shared" ca="1" si="95"/>
        <v>0.43882978723404253</v>
      </c>
      <c r="BG113" s="142">
        <f t="shared" ca="1" si="96"/>
        <v>0.11968085106382979</v>
      </c>
      <c r="BH113" s="142">
        <f t="shared" ca="1" si="155"/>
        <v>0.28457446808510639</v>
      </c>
      <c r="BI113" s="142">
        <f t="shared" ca="1" si="156"/>
        <v>0.15691489361702127</v>
      </c>
      <c r="BJ113" s="143"/>
      <c r="BK113" s="128">
        <f ca="1">INDEX(商城宝箱!$L:$L,MATCH(BC113,商城宝箱!$N:$N,1))</f>
        <v>8</v>
      </c>
      <c r="BL113" s="90">
        <f ca="1">_xlfn.IFNA(INDEX(商城宝箱!T:T,MATCH(玩家节奏1!$BK113,商城宝箱!$L:$L,0)),0)+($BC113-INDEX(商城宝箱!$N:$N,MATCH(玩家节奏1!$BK113,商城宝箱!$L:$L,0)))/$BK$5*INDEX(商城宝箱!E$23:E$42,MATCH(玩家节奏1!$BK113+1,商城宝箱!$C$23:$C$42,0))</f>
        <v>94000</v>
      </c>
      <c r="BM113" s="90">
        <f ca="1">_xlfn.IFNA(INDEX(商城宝箱!U:U,MATCH(玩家节奏1!$BK113,商城宝箱!$L:$L,0)),0)+($BC113-INDEX(商城宝箱!$N:$N,MATCH(玩家节奏1!$BK113,商城宝箱!$L:$L,0)))/$BK$5*INDEX(商城宝箱!F$23:F$42,MATCH(玩家节奏1!$BK113+1,商城宝箱!$C$23:$C$42,0))</f>
        <v>48262.5</v>
      </c>
      <c r="BN113" s="90">
        <f ca="1">_xlfn.IFNA(INDEX(商城宝箱!V:V,MATCH(玩家节奏1!$BK113,商城宝箱!$L:$L,0)),0)+($BC113-INDEX(商城宝箱!$N:$N,MATCH(玩家节奏1!$BK113,商城宝箱!$L:$L,0)))/$BK$5*INDEX(商城宝箱!G$23:G$42,MATCH(玩家节奏1!$BK113+1,商城宝箱!$C$23:$C$42,0))</f>
        <v>31162</v>
      </c>
      <c r="BO113" s="90">
        <f ca="1">_xlfn.IFNA(INDEX(商城宝箱!W:W,MATCH(玩家节奏1!$BK113,商城宝箱!$L:$L,0)),0)+($BC113-INDEX(商城宝箱!$N:$N,MATCH(玩家节奏1!$BK113,商城宝箱!$L:$L,0)))/$BK$5*INDEX(商城宝箱!H$23:H$42,MATCH(玩家节奏1!$BK113+1,商城宝箱!$C$23:$C$42,0))</f>
        <v>3996.5</v>
      </c>
      <c r="BQ113" s="128">
        <f t="shared" si="146"/>
        <v>2260000</v>
      </c>
      <c r="BR113" s="90">
        <f t="shared" si="147"/>
        <v>288110</v>
      </c>
      <c r="BS113" s="90">
        <f t="shared" ca="1" si="148"/>
        <v>640080</v>
      </c>
      <c r="BT113" s="90">
        <f t="shared" si="149"/>
        <v>12200</v>
      </c>
      <c r="BU113" s="90">
        <f t="shared" si="150"/>
        <v>90000</v>
      </c>
      <c r="BV113" s="90">
        <f t="shared" si="151"/>
        <v>53500</v>
      </c>
      <c r="BW113" s="90">
        <f t="shared" ca="1" si="99"/>
        <v>94000</v>
      </c>
      <c r="BX113" s="90">
        <f t="shared" ca="1" si="100"/>
        <v>3437890</v>
      </c>
      <c r="BY113" s="142">
        <f t="shared" ca="1" si="101"/>
        <v>0.65737996270968535</v>
      </c>
      <c r="BZ113" s="142">
        <f t="shared" ca="1" si="102"/>
        <v>8.3804310201897089E-2</v>
      </c>
      <c r="CA113" s="142">
        <f t="shared" ca="1" si="103"/>
        <v>0.18618396749168822</v>
      </c>
      <c r="CB113" s="142">
        <f t="shared" ca="1" si="104"/>
        <v>3.5486882942735226E-3</v>
      </c>
      <c r="CC113" s="142">
        <f t="shared" ca="1" si="105"/>
        <v>2.6178848072509593E-2</v>
      </c>
      <c r="CD113" s="142">
        <f t="shared" ca="1" si="106"/>
        <v>1.556187079865848E-2</v>
      </c>
      <c r="CE113" s="142">
        <f t="shared" ca="1" si="107"/>
        <v>2.7342352431287794E-2</v>
      </c>
      <c r="CG113" s="128">
        <f t="shared" si="108"/>
        <v>90</v>
      </c>
      <c r="CH113" s="90">
        <f ca="1">INDEX(角色升级!$A:$A,MATCH(玩家节奏1!$BX113,角色升级!$J:$J,1))</f>
        <v>510</v>
      </c>
      <c r="CI113" s="90">
        <f ca="1">INDEX(角色升级!$O:$O,MATCH(玩家节奏1!$BX113,角色升级!$J:$J,1))</f>
        <v>19308.297015000004</v>
      </c>
      <c r="CJ113" s="90">
        <f>INDEX(关卡对比!$J:$J,MATCH(玩家节奏1!N113,关卡对比!$A:$A,0))</f>
        <v>31200</v>
      </c>
      <c r="CK113" s="147">
        <f t="shared" ca="1" si="109"/>
        <v>1.6158856462463629</v>
      </c>
      <c r="CL113" s="128">
        <f ca="1">INDEX(角色升级!$P:$P,MATCH(玩家节奏1!$CH113,角色升级!$A:$A,0))</f>
        <v>5900</v>
      </c>
      <c r="CM113" s="90">
        <f ca="1">INDEX(角色升级!Q:Q,MATCH(玩家节奏1!$CH113,角色升级!$A:$A,0))</f>
        <v>0.8</v>
      </c>
      <c r="CO113" s="128">
        <f t="shared" si="110"/>
        <v>15726</v>
      </c>
      <c r="CP113" s="90">
        <f t="shared" si="111"/>
        <v>19786</v>
      </c>
      <c r="CQ113" s="90">
        <f t="shared" si="112"/>
        <v>15552</v>
      </c>
      <c r="CR113" s="90">
        <f t="shared" ca="1" si="113"/>
        <v>48262.5</v>
      </c>
      <c r="CS113" s="90">
        <f t="shared" ca="1" si="114"/>
        <v>99326.5</v>
      </c>
      <c r="CT113" s="142">
        <f t="shared" ca="1" si="115"/>
        <v>0.15832632781785325</v>
      </c>
      <c r="CU113" s="142">
        <f t="shared" ca="1" si="116"/>
        <v>0.1992016229304365</v>
      </c>
      <c r="CV113" s="142">
        <f t="shared" ca="1" si="117"/>
        <v>0.15657452945588538</v>
      </c>
      <c r="CW113" s="142">
        <f t="shared" ca="1" si="118"/>
        <v>0.48589751979582491</v>
      </c>
      <c r="CY113" s="128">
        <f t="shared" si="119"/>
        <v>7864</v>
      </c>
      <c r="CZ113" s="90">
        <f t="shared" si="120"/>
        <v>9771</v>
      </c>
      <c r="DA113" s="90">
        <f t="shared" si="121"/>
        <v>8560</v>
      </c>
      <c r="DB113" s="90">
        <f t="shared" ca="1" si="122"/>
        <v>31162</v>
      </c>
      <c r="DC113" s="90">
        <f t="shared" ca="1" si="123"/>
        <v>57357</v>
      </c>
      <c r="DD113" s="142">
        <f t="shared" ca="1" si="124"/>
        <v>0.13710619453597642</v>
      </c>
      <c r="DE113" s="142">
        <f t="shared" ca="1" si="125"/>
        <v>0.17035409801767876</v>
      </c>
      <c r="DF113" s="142">
        <f t="shared" ca="1" si="126"/>
        <v>0.14924072040029987</v>
      </c>
      <c r="DG113" s="142">
        <f t="shared" ca="1" si="127"/>
        <v>0.54329898704604496</v>
      </c>
      <c r="DI113" s="128">
        <f t="shared" si="128"/>
        <v>3658</v>
      </c>
      <c r="DJ113" s="90">
        <f t="shared" si="129"/>
        <v>4572</v>
      </c>
      <c r="DK113" s="90">
        <f t="shared" si="130"/>
        <v>2784</v>
      </c>
      <c r="DL113" s="90">
        <f t="shared" ca="1" si="131"/>
        <v>3996.5</v>
      </c>
      <c r="DM113" s="90">
        <f t="shared" ca="1" si="132"/>
        <v>15010.5</v>
      </c>
      <c r="DN113" s="142">
        <f t="shared" ca="1" si="133"/>
        <v>0.2436960794110789</v>
      </c>
      <c r="DO113" s="142">
        <f t="shared" ca="1" si="134"/>
        <v>0.30458678924752675</v>
      </c>
      <c r="DP113" s="142">
        <f t="shared" ca="1" si="135"/>
        <v>0.18547017088038373</v>
      </c>
      <c r="DQ113" s="142">
        <f t="shared" ca="1" si="136"/>
        <v>0.26624696046101065</v>
      </c>
      <c r="DS113" s="128">
        <f t="shared" ca="1" si="137"/>
        <v>99326.5</v>
      </c>
      <c r="DT113" s="90">
        <f t="shared" ca="1" si="138"/>
        <v>57357</v>
      </c>
      <c r="DU113" s="90">
        <f t="shared" ca="1" si="139"/>
        <v>15010.5</v>
      </c>
      <c r="DV113" s="90">
        <f t="shared" si="140"/>
        <v>90</v>
      </c>
      <c r="DW113" s="90">
        <f ca="1">_xlfn.IFNA(INDEX(武器升级消耗!$H:$H,MATCH(玩家节奏1!DS113/玩家节奏1!DS$5,武器升级消耗!M:M,1)),0)</f>
        <v>29</v>
      </c>
      <c r="DX113" s="90">
        <f ca="1">_xlfn.IFNA(INDEX(武器升级消耗!$H:$H,MATCH(玩家节奏1!DT113/玩家节奏1!DT$5,武器升级消耗!N:N,1)),0)</f>
        <v>26</v>
      </c>
      <c r="DY113" s="90">
        <f ca="1">_xlfn.IFNA(INDEX(武器升级消耗!$H:$H,MATCH(玩家节奏1!DU113/玩家节奏1!DU$5,武器升级消耗!O:O,1)),0)</f>
        <v>17</v>
      </c>
      <c r="DZ113" s="90">
        <f>_xlfn.IFNA(INDEX(武器升级消耗!$H:$H,MATCH(玩家节奏1!DV113/玩家节奏1!DV$5,武器升级消耗!P:P,1)),0)</f>
        <v>10</v>
      </c>
      <c r="EA113" s="90">
        <f ca="1">_xlfn.IFNA(INDEX(武器升级消耗!$Q:$Q,MATCH(玩家节奏1!DW113,武器升级消耗!$H:$H,0))*2*EA$4,0)</f>
        <v>3.9599999999999995</v>
      </c>
      <c r="EB113" s="90">
        <f ca="1">_xlfn.IFNA(INDEX(武器升级消耗!$Q:$Q,MATCH(玩家节奏1!DX113,武器升级消耗!$H:$H,0))*2*EB$4,0)</f>
        <v>4.5</v>
      </c>
      <c r="EC113" s="90">
        <f ca="1">_xlfn.IFNA(INDEX(武器升级消耗!$Q:$Q,MATCH(玩家节奏1!DY113,武器升级消耗!$H:$H,0))*2*EC$4,1)</f>
        <v>4.620000000000001</v>
      </c>
      <c r="ED113" s="90">
        <f>_xlfn.IFNA(INDEX(武器升级消耗!$Q:$Q,MATCH(玩家节奏1!DZ113,武器升级消耗!$H:$H,0))*2*ED$4,0)</f>
        <v>4.1999999999999993</v>
      </c>
    </row>
    <row r="114" spans="1:134" x14ac:dyDescent="0.25">
      <c r="A114" s="123">
        <v>108</v>
      </c>
      <c r="B114" s="123">
        <f>INDEX(关卡对比!$Y:$Y,MATCH(关卡对比!Z114,关卡对比!$AA:$AA,1))</f>
        <v>67</v>
      </c>
      <c r="C114" s="124">
        <f>INDEX(关卡对比!$Y:$Y,MATCH(关卡对比!Z114,关卡对比!$AB:$AB,1))</f>
        <v>54</v>
      </c>
      <c r="D114" s="125">
        <f t="shared" si="157"/>
        <v>656.5</v>
      </c>
      <c r="E114" s="125">
        <v>3</v>
      </c>
      <c r="F114" s="128">
        <v>5</v>
      </c>
      <c r="G114" s="90">
        <v>1</v>
      </c>
      <c r="H114" s="90">
        <v>1</v>
      </c>
      <c r="J114" s="128">
        <v>108</v>
      </c>
      <c r="K114" s="90">
        <f t="shared" si="152"/>
        <v>5</v>
      </c>
      <c r="L114" s="90">
        <f t="shared" si="153"/>
        <v>1</v>
      </c>
      <c r="M114" s="90">
        <f t="shared" si="154"/>
        <v>1</v>
      </c>
      <c r="N114" s="140">
        <f>INDEX($A:$A,MATCH(SUM($K$7:K114),$D:$D,1))</f>
        <v>91</v>
      </c>
      <c r="O114" s="140">
        <v>0</v>
      </c>
      <c r="P114" s="141">
        <v>0</v>
      </c>
      <c r="Q114" s="126">
        <f>_xlfn.MAXIFS(关卡产出!X:X,关卡产出!$A:$A,玩家节奏1!$N$6,关卡产出!$B:$B,玩家节奏1!$N114)+_xlfn.MAXIFS(关卡产出!X:X,关卡产出!$A:$A,玩家节奏1!$O$6,关卡产出!$B:$B,玩家节奏1!$O114)+_xlfn.MAXIFS(关卡产出!X:X,关卡产出!$A:$A,玩家节奏1!$P$6,关卡产出!$B:$B,玩家节奏1!$P114)</f>
        <v>16700</v>
      </c>
      <c r="R114" s="90">
        <f>_xlfn.MAXIFS(关卡产出!Y:Y,关卡产出!$A:$A,玩家节奏1!$N$6,关卡产出!$B:$B,玩家节奏1!$N114)+_xlfn.MAXIFS(关卡产出!Y:Y,关卡产出!$A:$A,玩家节奏1!$O$6,关卡产出!$B:$B,玩家节奏1!$O114)+_xlfn.MAXIFS(关卡产出!Y:Y,关卡产出!$A:$A,玩家节奏1!$P$6,关卡产出!$B:$B,玩家节奏1!$P114)</f>
        <v>2312300</v>
      </c>
      <c r="S114" s="90">
        <f>_xlfn.MAXIFS(关卡产出!Z:Z,关卡产出!$A:$A,玩家节奏1!$N$6,关卡产出!$B:$B,玩家节奏1!$N114)+_xlfn.MAXIFS(关卡产出!Z:Z,关卡产出!$A:$A,玩家节奏1!$O$6,关卡产出!$B:$B,玩家节奏1!$O114)+_xlfn.MAXIFS(关卡产出!Z:Z,关卡产出!$A:$A,玩家节奏1!$P$6,关卡产出!$B:$B,玩家节奏1!$P114)</f>
        <v>16082</v>
      </c>
      <c r="T114" s="90">
        <f>_xlfn.MAXIFS(关卡产出!AA:AA,关卡产出!$A:$A,玩家节奏1!$N$6,关卡产出!$B:$B,玩家节奏1!$N114)+_xlfn.MAXIFS(关卡产出!AA:AA,关卡产出!$A:$A,玩家节奏1!$O$6,关卡产出!$B:$B,玩家节奏1!$O114)+_xlfn.MAXIFS(关卡产出!AA:AA,关卡产出!$A:$A,玩家节奏1!$P$6,关卡产出!$B:$B,玩家节奏1!$P114)</f>
        <v>8042</v>
      </c>
      <c r="U114" s="90">
        <f>_xlfn.MAXIFS(关卡产出!AB:AB,关卡产出!$A:$A,玩家节奏1!$N$6,关卡产出!$B:$B,玩家节奏1!$N114)+_xlfn.MAXIFS(关卡产出!AB:AB,关卡产出!$A:$A,玩家节奏1!$O$6,关卡产出!$B:$B,玩家节奏1!$O114)+_xlfn.MAXIFS(关卡产出!AB:AB,关卡产出!$A:$A,玩家节奏1!$P$6,关卡产出!$B:$B,玩家节奏1!$P114)</f>
        <v>3744</v>
      </c>
      <c r="V114" s="130">
        <f>_xlfn.MAXIFS(关卡产出!AC:AC,关卡产出!$A:$A,玩家节奏1!$N$6,关卡产出!$B:$B,玩家节奏1!$N114)+_xlfn.MAXIFS(关卡产出!AC:AC,关卡产出!$A:$A,玩家节奏1!$O$6,关卡产出!$B:$B,玩家节奏1!$O114)+_xlfn.MAXIFS(关卡产出!AC:AC,关卡产出!$A:$A,玩家节奏1!$P$6,关卡产出!$B:$B,玩家节奏1!$P114)</f>
        <v>546</v>
      </c>
      <c r="W114" s="126">
        <f>INDEX(关卡产出!C$8:C$207,MATCH(玩家节奏1!$N114,关卡产出!$B$8:$B$207,0))*$K114</f>
        <v>355</v>
      </c>
      <c r="X114" s="126">
        <f>INDEX(关卡产出!D$8:D$207,MATCH(玩家节奏1!$N114,关卡产出!$B$8:$B$207,0))*$K114</f>
        <v>175</v>
      </c>
      <c r="Y114" s="126">
        <f>INDEX(关卡产出!E$8:E$207,MATCH(玩家节奏1!$N114,关卡产出!$B$8:$B$207,0))*$K114</f>
        <v>85</v>
      </c>
      <c r="Z114" s="144">
        <f>INDEX(关卡产出!F$8:F$207,MATCH(玩家节奏1!$N114,关卡产出!$B$8:$B$207,0))*$K114</f>
        <v>4850</v>
      </c>
      <c r="AA114" s="126">
        <f>SUM(W$7:W114)</f>
        <v>20141</v>
      </c>
      <c r="AB114" s="126">
        <f>SUM(X$7:X114)</f>
        <v>9946</v>
      </c>
      <c r="AC114" s="126">
        <f>SUM(Y$7:Y114)</f>
        <v>4657</v>
      </c>
      <c r="AD114" s="126">
        <f>SUM(Z$7:Z114)</f>
        <v>292960</v>
      </c>
      <c r="AE114" s="126">
        <f>INDEX(图鉴!AQ:AQ,MATCH($N114,图鉴!$S:$S,0))*8</f>
        <v>168</v>
      </c>
      <c r="AF114" s="90">
        <f>INDEX(图鉴!AR:AR,MATCH($N114,图鉴!$S:$S,0))*8</f>
        <v>120</v>
      </c>
      <c r="AG114" s="90">
        <f>INDEX(图鉴!AS:AS,MATCH($N114,图鉴!$S:$S,0))*8</f>
        <v>40</v>
      </c>
      <c r="AH114" s="129">
        <f ca="1">INDEX(图鉴!AT:AT,MATCH($N114,图鉴!$S:$S,0))*8</f>
        <v>9160</v>
      </c>
      <c r="AI114" s="128">
        <f>SUM($AE$7:AE114)</f>
        <v>15720</v>
      </c>
      <c r="AJ114" s="90">
        <f>SUM(AF$7:AF114)</f>
        <v>8680</v>
      </c>
      <c r="AK114" s="90">
        <f>SUM(AG$7:AG114)</f>
        <v>2824</v>
      </c>
      <c r="AL114" s="130">
        <f ca="1">SUM(AH$7:AH114)</f>
        <v>649240</v>
      </c>
      <c r="AM114" s="133">
        <f>IF(M114=0,0,INDEX(关卡产出!$AU$11:$AU$15,MATCH(玩家节奏1!N114,关卡产出!$AW$11:$AW$15,1))*M114)</f>
        <v>12200</v>
      </c>
      <c r="AN114" s="126">
        <f>IF(L114=0,0,$L114*关卡产出!AU$21)</f>
        <v>1000</v>
      </c>
      <c r="AO114" s="90">
        <f>IF(M114=0,0,$L114*关卡产出!AV$21)</f>
        <v>50</v>
      </c>
      <c r="AP114" s="129">
        <f>IF(N114=0,0,$L114*关卡产出!AW$21)</f>
        <v>1</v>
      </c>
      <c r="AQ114" s="138">
        <f>SUM(AN$7:AN114)</f>
        <v>91000</v>
      </c>
      <c r="AR114" s="126">
        <f>SUM(AO$7:AO114)</f>
        <v>4550</v>
      </c>
      <c r="AS114" s="129">
        <f>SUM(AP$7:AP114)</f>
        <v>91</v>
      </c>
      <c r="AT114" s="128">
        <v>500</v>
      </c>
      <c r="AU114" s="129">
        <v>100</v>
      </c>
      <c r="AV114" s="128">
        <f>SUM(AT$7:AT114)</f>
        <v>54000</v>
      </c>
      <c r="AW114" s="90">
        <f>SUM(AU$7:AU114)</f>
        <v>10800</v>
      </c>
      <c r="AY114" s="128">
        <f t="shared" si="91"/>
        <v>16700</v>
      </c>
      <c r="AZ114" s="90">
        <f t="shared" si="92"/>
        <v>4550</v>
      </c>
      <c r="BA114" s="90">
        <f t="shared" si="93"/>
        <v>10800</v>
      </c>
      <c r="BB114" s="90">
        <f t="shared" ca="1" si="143"/>
        <v>5900</v>
      </c>
      <c r="BC114" s="90">
        <f t="shared" ca="1" si="144"/>
        <v>37950</v>
      </c>
      <c r="BD114" s="90"/>
      <c r="BE114" s="90">
        <f t="shared" ca="1" si="94"/>
        <v>37950</v>
      </c>
      <c r="BF114" s="142">
        <f t="shared" ca="1" si="95"/>
        <v>0.44005270092226612</v>
      </c>
      <c r="BG114" s="142">
        <f t="shared" ca="1" si="96"/>
        <v>0.11989459815546773</v>
      </c>
      <c r="BH114" s="142">
        <f t="shared" ca="1" si="155"/>
        <v>0.28458498023715417</v>
      </c>
      <c r="BI114" s="142">
        <f t="shared" ca="1" si="156"/>
        <v>0.155467720685112</v>
      </c>
      <c r="BJ114" s="143"/>
      <c r="BK114" s="128">
        <f ca="1">INDEX(商城宝箱!$L:$L,MATCH(BC114,商城宝箱!$N:$N,1))</f>
        <v>8</v>
      </c>
      <c r="BL114" s="90">
        <f ca="1">_xlfn.IFNA(INDEX(商城宝箱!T:T,MATCH(玩家节奏1!$BK114,商城宝箱!$L:$L,0)),0)+($BC114-INDEX(商城宝箱!$N:$N,MATCH(玩家节奏1!$BK114,商城宝箱!$L:$L,0)))/$BK$5*INDEX(商城宝箱!E$23:E$42,MATCH(玩家节奏1!$BK114+1,商城宝箱!$C$23:$C$42,0))</f>
        <v>94875</v>
      </c>
      <c r="BM114" s="90">
        <f ca="1">_xlfn.IFNA(INDEX(商城宝箱!U:U,MATCH(玩家节奏1!$BK114,商城宝箱!$L:$L,0)),0)+($BC114-INDEX(商城宝箱!$N:$N,MATCH(玩家节奏1!$BK114,商城宝箱!$L:$L,0)))/$BK$5*INDEX(商城宝箱!F$23:F$42,MATCH(玩家节奏1!$BK114+1,商城宝箱!$C$23:$C$42,0))</f>
        <v>49032.5</v>
      </c>
      <c r="BN114" s="90">
        <f ca="1">_xlfn.IFNA(INDEX(商城宝箱!V:V,MATCH(玩家节奏1!$BK114,商城宝箱!$L:$L,0)),0)+($BC114-INDEX(商城宝箱!$N:$N,MATCH(玩家节奏1!$BK114,商城宝箱!$L:$L,0)))/$BK$5*INDEX(商城宝箱!G$23:G$42,MATCH(玩家节奏1!$BK114+1,商城宝箱!$C$23:$C$42,0))</f>
        <v>31739.5</v>
      </c>
      <c r="BO114" s="90">
        <f ca="1">_xlfn.IFNA(INDEX(商城宝箱!W:W,MATCH(玩家节奏1!$BK114,商城宝箱!$L:$L,0)),0)+($BC114-INDEX(商城宝箱!$N:$N,MATCH(玩家节奏1!$BK114,商城宝箱!$L:$L,0)))/$BK$5*INDEX(商城宝箱!H$23:H$42,MATCH(玩家节奏1!$BK114+1,商城宝箱!$C$23:$C$42,0))</f>
        <v>4063</v>
      </c>
      <c r="BQ114" s="128">
        <f t="shared" si="146"/>
        <v>2312300</v>
      </c>
      <c r="BR114" s="90">
        <f t="shared" si="147"/>
        <v>292960</v>
      </c>
      <c r="BS114" s="90">
        <f t="shared" ca="1" si="148"/>
        <v>649240</v>
      </c>
      <c r="BT114" s="90">
        <f t="shared" si="149"/>
        <v>12200</v>
      </c>
      <c r="BU114" s="90">
        <f t="shared" si="150"/>
        <v>91000</v>
      </c>
      <c r="BV114" s="90">
        <f t="shared" si="151"/>
        <v>54000</v>
      </c>
      <c r="BW114" s="90">
        <f t="shared" ca="1" si="99"/>
        <v>94875</v>
      </c>
      <c r="BX114" s="90">
        <f t="shared" ca="1" si="100"/>
        <v>3506575</v>
      </c>
      <c r="BY114" s="142">
        <f t="shared" ca="1" si="101"/>
        <v>0.65941837833213324</v>
      </c>
      <c r="BZ114" s="142">
        <f t="shared" ca="1" si="102"/>
        <v>8.3545910183013342E-2</v>
      </c>
      <c r="CA114" s="142">
        <f t="shared" ca="1" si="103"/>
        <v>0.18514932662213129</v>
      </c>
      <c r="CB114" s="142">
        <f t="shared" ca="1" si="104"/>
        <v>3.4791784005760605E-3</v>
      </c>
      <c r="CC114" s="142">
        <f t="shared" ca="1" si="105"/>
        <v>2.5951248725608323E-2</v>
      </c>
      <c r="CD114" s="142">
        <f t="shared" ca="1" si="106"/>
        <v>1.5399642100910433E-2</v>
      </c>
      <c r="CE114" s="142">
        <f t="shared" ca="1" si="107"/>
        <v>2.7056315635627357E-2</v>
      </c>
      <c r="CG114" s="128">
        <f t="shared" si="108"/>
        <v>91</v>
      </c>
      <c r="CH114" s="90">
        <f ca="1">INDEX(角色升级!$A:$A,MATCH(玩家节奏1!$BX114,角色升级!$J:$J,1))</f>
        <v>512</v>
      </c>
      <c r="CI114" s="90">
        <f ca="1">INDEX(角色升级!$O:$O,MATCH(玩家节奏1!$BX114,角色升级!$J:$J,1))</f>
        <v>19752.020190000007</v>
      </c>
      <c r="CJ114" s="90">
        <f>INDEX(关卡对比!$J:$J,MATCH(玩家节奏1!N114,关卡对比!$A:$A,0))</f>
        <v>31700</v>
      </c>
      <c r="CK114" s="147">
        <f t="shared" ca="1" si="109"/>
        <v>1.6048991290546057</v>
      </c>
      <c r="CL114" s="128">
        <f ca="1">INDEX(角色升级!$P:$P,MATCH(玩家节奏1!$CH114,角色升级!$A:$A,0))</f>
        <v>5900</v>
      </c>
      <c r="CM114" s="90">
        <f ca="1">INDEX(角色升级!Q:Q,MATCH(玩家节奏1!$CH114,角色升级!$A:$A,0))</f>
        <v>0.8</v>
      </c>
      <c r="CO114" s="128">
        <f t="shared" si="110"/>
        <v>16082</v>
      </c>
      <c r="CP114" s="90">
        <f t="shared" si="111"/>
        <v>20141</v>
      </c>
      <c r="CQ114" s="90">
        <f t="shared" si="112"/>
        <v>15720</v>
      </c>
      <c r="CR114" s="90">
        <f t="shared" ca="1" si="113"/>
        <v>49032.5</v>
      </c>
      <c r="CS114" s="90">
        <f t="shared" ca="1" si="114"/>
        <v>100975.5</v>
      </c>
      <c r="CT114" s="142">
        <f t="shared" ca="1" si="115"/>
        <v>0.15926635669048433</v>
      </c>
      <c r="CU114" s="142">
        <f t="shared" ca="1" si="116"/>
        <v>0.19946422647077758</v>
      </c>
      <c r="CV114" s="142">
        <f t="shared" ca="1" si="117"/>
        <v>0.15568132863912534</v>
      </c>
      <c r="CW114" s="142">
        <f t="shared" ca="1" si="118"/>
        <v>0.4855880881996128</v>
      </c>
      <c r="CY114" s="128">
        <f t="shared" si="119"/>
        <v>8042</v>
      </c>
      <c r="CZ114" s="90">
        <f t="shared" si="120"/>
        <v>9946</v>
      </c>
      <c r="DA114" s="90">
        <f t="shared" si="121"/>
        <v>8680</v>
      </c>
      <c r="DB114" s="90">
        <f t="shared" ca="1" si="122"/>
        <v>31739.5</v>
      </c>
      <c r="DC114" s="90">
        <f t="shared" ca="1" si="123"/>
        <v>58407.5</v>
      </c>
      <c r="DD114" s="142">
        <f t="shared" ca="1" si="124"/>
        <v>0.13768779694388564</v>
      </c>
      <c r="DE114" s="142">
        <f t="shared" ca="1" si="125"/>
        <v>0.17028635021187347</v>
      </c>
      <c r="DF114" s="142">
        <f t="shared" ca="1" si="126"/>
        <v>0.14861105166288577</v>
      </c>
      <c r="DG114" s="142">
        <f t="shared" ca="1" si="127"/>
        <v>0.5434148011813551</v>
      </c>
      <c r="DI114" s="128">
        <f t="shared" si="128"/>
        <v>3744</v>
      </c>
      <c r="DJ114" s="90">
        <f t="shared" si="129"/>
        <v>4657</v>
      </c>
      <c r="DK114" s="90">
        <f t="shared" si="130"/>
        <v>2824</v>
      </c>
      <c r="DL114" s="90">
        <f t="shared" ca="1" si="131"/>
        <v>4063</v>
      </c>
      <c r="DM114" s="90">
        <f t="shared" ca="1" si="132"/>
        <v>15288</v>
      </c>
      <c r="DN114" s="142">
        <f t="shared" ca="1" si="133"/>
        <v>0.24489795918367346</v>
      </c>
      <c r="DO114" s="142">
        <f t="shared" ca="1" si="134"/>
        <v>0.3046180010465725</v>
      </c>
      <c r="DP114" s="142">
        <f t="shared" ca="1" si="135"/>
        <v>0.184720041862899</v>
      </c>
      <c r="DQ114" s="142">
        <f t="shared" ca="1" si="136"/>
        <v>0.26576399790685507</v>
      </c>
      <c r="DS114" s="128">
        <f t="shared" ca="1" si="137"/>
        <v>100975.5</v>
      </c>
      <c r="DT114" s="90">
        <f t="shared" ca="1" si="138"/>
        <v>58407.5</v>
      </c>
      <c r="DU114" s="90">
        <f t="shared" ca="1" si="139"/>
        <v>15288</v>
      </c>
      <c r="DV114" s="90">
        <f t="shared" si="140"/>
        <v>91</v>
      </c>
      <c r="DW114" s="90">
        <f ca="1">_xlfn.IFNA(INDEX(武器升级消耗!$H:$H,MATCH(玩家节奏1!DS114/玩家节奏1!DS$5,武器升级消耗!M:M,1)),0)</f>
        <v>29</v>
      </c>
      <c r="DX114" s="90">
        <f ca="1">_xlfn.IFNA(INDEX(武器升级消耗!$H:$H,MATCH(玩家节奏1!DT114/玩家节奏1!DT$5,武器升级消耗!N:N,1)),0)</f>
        <v>26</v>
      </c>
      <c r="DY114" s="90">
        <f ca="1">_xlfn.IFNA(INDEX(武器升级消耗!$H:$H,MATCH(玩家节奏1!DU114/玩家节奏1!DU$5,武器升级消耗!O:O,1)),0)</f>
        <v>17</v>
      </c>
      <c r="DZ114" s="90">
        <f>_xlfn.IFNA(INDEX(武器升级消耗!$H:$H,MATCH(玩家节奏1!DV114/玩家节奏1!DV$5,武器升级消耗!P:P,1)),0)</f>
        <v>10</v>
      </c>
      <c r="EA114" s="90">
        <f ca="1">_xlfn.IFNA(INDEX(武器升级消耗!$Q:$Q,MATCH(玩家节奏1!DW114,武器升级消耗!$H:$H,0))*2*EA$4,0)</f>
        <v>3.9599999999999995</v>
      </c>
      <c r="EB114" s="90">
        <f ca="1">_xlfn.IFNA(INDEX(武器升级消耗!$Q:$Q,MATCH(玩家节奏1!DX114,武器升级消耗!$H:$H,0))*2*EB$4,0)</f>
        <v>4.5</v>
      </c>
      <c r="EC114" s="90">
        <f ca="1">_xlfn.IFNA(INDEX(武器升级消耗!$Q:$Q,MATCH(玩家节奏1!DY114,武器升级消耗!$H:$H,0))*2*EC$4,1)</f>
        <v>4.620000000000001</v>
      </c>
      <c r="ED114" s="90">
        <f>_xlfn.IFNA(INDEX(武器升级消耗!$Q:$Q,MATCH(玩家节奏1!DZ114,武器升级消耗!$H:$H,0))*2*ED$4,0)</f>
        <v>4.1999999999999993</v>
      </c>
    </row>
    <row r="115" spans="1:134" x14ac:dyDescent="0.25">
      <c r="A115" s="123">
        <v>109</v>
      </c>
      <c r="B115" s="123">
        <f>INDEX(关卡对比!$Y:$Y,MATCH(关卡对比!Z115,关卡对比!$AA:$AA,1))</f>
        <v>68</v>
      </c>
      <c r="C115" s="124">
        <f>INDEX(关卡对比!$Y:$Y,MATCH(关卡对比!Z115,关卡对比!$AB:$AB,1))</f>
        <v>54</v>
      </c>
      <c r="D115" s="125">
        <f t="shared" si="157"/>
        <v>662.5</v>
      </c>
      <c r="E115" s="125">
        <v>3</v>
      </c>
      <c r="F115" s="128">
        <v>5</v>
      </c>
      <c r="G115" s="90">
        <v>1</v>
      </c>
      <c r="H115" s="90">
        <v>1</v>
      </c>
      <c r="J115" s="128">
        <v>109</v>
      </c>
      <c r="K115" s="90">
        <f t="shared" si="152"/>
        <v>5</v>
      </c>
      <c r="L115" s="90">
        <f t="shared" si="153"/>
        <v>1</v>
      </c>
      <c r="M115" s="90">
        <f t="shared" si="154"/>
        <v>1</v>
      </c>
      <c r="N115" s="140">
        <f>INDEX($A:$A,MATCH(SUM($K$7:K115),$D:$D,1))</f>
        <v>91</v>
      </c>
      <c r="O115" s="140">
        <v>0</v>
      </c>
      <c r="P115" s="141">
        <v>0</v>
      </c>
      <c r="Q115" s="126">
        <f>_xlfn.MAXIFS(关卡产出!X:X,关卡产出!$A:$A,玩家节奏1!$N$6,关卡产出!$B:$B,玩家节奏1!$N115)+_xlfn.MAXIFS(关卡产出!X:X,关卡产出!$A:$A,玩家节奏1!$O$6,关卡产出!$B:$B,玩家节奏1!$O115)+_xlfn.MAXIFS(关卡产出!X:X,关卡产出!$A:$A,玩家节奏1!$P$6,关卡产出!$B:$B,玩家节奏1!$P115)</f>
        <v>16700</v>
      </c>
      <c r="R115" s="90">
        <f>_xlfn.MAXIFS(关卡产出!Y:Y,关卡产出!$A:$A,玩家节奏1!$N$6,关卡产出!$B:$B,玩家节奏1!$N115)+_xlfn.MAXIFS(关卡产出!Y:Y,关卡产出!$A:$A,玩家节奏1!$O$6,关卡产出!$B:$B,玩家节奏1!$O115)+_xlfn.MAXIFS(关卡产出!Y:Y,关卡产出!$A:$A,玩家节奏1!$P$6,关卡产出!$B:$B,玩家节奏1!$P115)</f>
        <v>2312300</v>
      </c>
      <c r="S115" s="90">
        <f>_xlfn.MAXIFS(关卡产出!Z:Z,关卡产出!$A:$A,玩家节奏1!$N$6,关卡产出!$B:$B,玩家节奏1!$N115)+_xlfn.MAXIFS(关卡产出!Z:Z,关卡产出!$A:$A,玩家节奏1!$O$6,关卡产出!$B:$B,玩家节奏1!$O115)+_xlfn.MAXIFS(关卡产出!Z:Z,关卡产出!$A:$A,玩家节奏1!$P$6,关卡产出!$B:$B,玩家节奏1!$P115)</f>
        <v>16082</v>
      </c>
      <c r="T115" s="90">
        <f>_xlfn.MAXIFS(关卡产出!AA:AA,关卡产出!$A:$A,玩家节奏1!$N$6,关卡产出!$B:$B,玩家节奏1!$N115)+_xlfn.MAXIFS(关卡产出!AA:AA,关卡产出!$A:$A,玩家节奏1!$O$6,关卡产出!$B:$B,玩家节奏1!$O115)+_xlfn.MAXIFS(关卡产出!AA:AA,关卡产出!$A:$A,玩家节奏1!$P$6,关卡产出!$B:$B,玩家节奏1!$P115)</f>
        <v>8042</v>
      </c>
      <c r="U115" s="90">
        <f>_xlfn.MAXIFS(关卡产出!AB:AB,关卡产出!$A:$A,玩家节奏1!$N$6,关卡产出!$B:$B,玩家节奏1!$N115)+_xlfn.MAXIFS(关卡产出!AB:AB,关卡产出!$A:$A,玩家节奏1!$O$6,关卡产出!$B:$B,玩家节奏1!$O115)+_xlfn.MAXIFS(关卡产出!AB:AB,关卡产出!$A:$A,玩家节奏1!$P$6,关卡产出!$B:$B,玩家节奏1!$P115)</f>
        <v>3744</v>
      </c>
      <c r="V115" s="130">
        <f>_xlfn.MAXIFS(关卡产出!AC:AC,关卡产出!$A:$A,玩家节奏1!$N$6,关卡产出!$B:$B,玩家节奏1!$N115)+_xlfn.MAXIFS(关卡产出!AC:AC,关卡产出!$A:$A,玩家节奏1!$O$6,关卡产出!$B:$B,玩家节奏1!$O115)+_xlfn.MAXIFS(关卡产出!AC:AC,关卡产出!$A:$A,玩家节奏1!$P$6,关卡产出!$B:$B,玩家节奏1!$P115)</f>
        <v>546</v>
      </c>
      <c r="W115" s="126">
        <f>INDEX(关卡产出!C$8:C$207,MATCH(玩家节奏1!$N115,关卡产出!$B$8:$B$207,0))*$K115</f>
        <v>355</v>
      </c>
      <c r="X115" s="126">
        <f>INDEX(关卡产出!D$8:D$207,MATCH(玩家节奏1!$N115,关卡产出!$B$8:$B$207,0))*$K115</f>
        <v>175</v>
      </c>
      <c r="Y115" s="126">
        <f>INDEX(关卡产出!E$8:E$207,MATCH(玩家节奏1!$N115,关卡产出!$B$8:$B$207,0))*$K115</f>
        <v>85</v>
      </c>
      <c r="Z115" s="144">
        <f>INDEX(关卡产出!F$8:F$207,MATCH(玩家节奏1!$N115,关卡产出!$B$8:$B$207,0))*$K115</f>
        <v>4850</v>
      </c>
      <c r="AA115" s="126">
        <f>SUM(W$7:W115)</f>
        <v>20496</v>
      </c>
      <c r="AB115" s="126">
        <f>SUM(X$7:X115)</f>
        <v>10121</v>
      </c>
      <c r="AC115" s="126">
        <f>SUM(Y$7:Y115)</f>
        <v>4742</v>
      </c>
      <c r="AD115" s="126">
        <f>SUM(Z$7:Z115)</f>
        <v>297810</v>
      </c>
      <c r="AE115" s="126">
        <f>INDEX(图鉴!AQ:AQ,MATCH($N115,图鉴!$S:$S,0))*8</f>
        <v>168</v>
      </c>
      <c r="AF115" s="90">
        <f>INDEX(图鉴!AR:AR,MATCH($N115,图鉴!$S:$S,0))*8</f>
        <v>120</v>
      </c>
      <c r="AG115" s="90">
        <f>INDEX(图鉴!AS:AS,MATCH($N115,图鉴!$S:$S,0))*8</f>
        <v>40</v>
      </c>
      <c r="AH115" s="129">
        <f ca="1">INDEX(图鉴!AT:AT,MATCH($N115,图鉴!$S:$S,0))*8</f>
        <v>9160</v>
      </c>
      <c r="AI115" s="128">
        <f>SUM($AE$7:AE115)</f>
        <v>15888</v>
      </c>
      <c r="AJ115" s="90">
        <f>SUM(AF$7:AF115)</f>
        <v>8800</v>
      </c>
      <c r="AK115" s="90">
        <f>SUM(AG$7:AG115)</f>
        <v>2864</v>
      </c>
      <c r="AL115" s="130">
        <f ca="1">SUM(AH$7:AH115)</f>
        <v>658400</v>
      </c>
      <c r="AM115" s="133">
        <f>IF(M115=0,0,INDEX(关卡产出!$AU$11:$AU$15,MATCH(玩家节奏1!N115,关卡产出!$AW$11:$AW$15,1))*M115)</f>
        <v>12200</v>
      </c>
      <c r="AN115" s="126">
        <f>IF(L115=0,0,$L115*关卡产出!AU$21)</f>
        <v>1000</v>
      </c>
      <c r="AO115" s="90">
        <f>IF(M115=0,0,$L115*关卡产出!AV$21)</f>
        <v>50</v>
      </c>
      <c r="AP115" s="129">
        <f>IF(N115=0,0,$L115*关卡产出!AW$21)</f>
        <v>1</v>
      </c>
      <c r="AQ115" s="138">
        <f>SUM(AN$7:AN115)</f>
        <v>92000</v>
      </c>
      <c r="AR115" s="126">
        <f>SUM(AO$7:AO115)</f>
        <v>4600</v>
      </c>
      <c r="AS115" s="129">
        <f>SUM(AP$7:AP115)</f>
        <v>92</v>
      </c>
      <c r="AT115" s="128">
        <v>500</v>
      </c>
      <c r="AU115" s="129">
        <v>100</v>
      </c>
      <c r="AV115" s="128">
        <f>SUM(AT$7:AT115)</f>
        <v>54500</v>
      </c>
      <c r="AW115" s="90">
        <f>SUM(AU$7:AU115)</f>
        <v>10900</v>
      </c>
      <c r="AY115" s="128">
        <f t="shared" si="91"/>
        <v>16700</v>
      </c>
      <c r="AZ115" s="90">
        <f t="shared" si="92"/>
        <v>4600</v>
      </c>
      <c r="BA115" s="90">
        <f t="shared" si="93"/>
        <v>10900</v>
      </c>
      <c r="BB115" s="90">
        <f t="shared" ca="1" si="143"/>
        <v>5900</v>
      </c>
      <c r="BC115" s="90">
        <f t="shared" ca="1" si="144"/>
        <v>38100</v>
      </c>
      <c r="BD115" s="90"/>
      <c r="BE115" s="90">
        <f t="shared" ca="1" si="94"/>
        <v>38100</v>
      </c>
      <c r="BF115" s="142">
        <f t="shared" ca="1" si="95"/>
        <v>0.43832020997375326</v>
      </c>
      <c r="BG115" s="142">
        <f t="shared" ca="1" si="96"/>
        <v>0.12073490813648294</v>
      </c>
      <c r="BH115" s="142">
        <f t="shared" ca="1" si="155"/>
        <v>0.28608923884514437</v>
      </c>
      <c r="BI115" s="142">
        <f t="shared" ca="1" si="156"/>
        <v>0.15485564304461943</v>
      </c>
      <c r="BJ115" s="143"/>
      <c r="BK115" s="128">
        <f ca="1">INDEX(商城宝箱!$L:$L,MATCH(BC115,商城宝箱!$N:$N,1))</f>
        <v>8</v>
      </c>
      <c r="BL115" s="90">
        <f ca="1">_xlfn.IFNA(INDEX(商城宝箱!T:T,MATCH(玩家节奏1!$BK115,商城宝箱!$L:$L,0)),0)+($BC115-INDEX(商城宝箱!$N:$N,MATCH(玩家节奏1!$BK115,商城宝箱!$L:$L,0)))/$BK$5*INDEX(商城宝箱!E$23:E$42,MATCH(玩家节奏1!$BK115+1,商城宝箱!$C$23:$C$42,0))</f>
        <v>95250</v>
      </c>
      <c r="BM115" s="90">
        <f ca="1">_xlfn.IFNA(INDEX(商城宝箱!U:U,MATCH(玩家节奏1!$BK115,商城宝箱!$L:$L,0)),0)+($BC115-INDEX(商城宝箱!$N:$N,MATCH(玩家节奏1!$BK115,商城宝箱!$L:$L,0)))/$BK$5*INDEX(商城宝箱!F$23:F$42,MATCH(玩家节奏1!$BK115+1,商城宝箱!$C$23:$C$42,0))</f>
        <v>49362.5</v>
      </c>
      <c r="BN115" s="90">
        <f ca="1">_xlfn.IFNA(INDEX(商城宝箱!V:V,MATCH(玩家节奏1!$BK115,商城宝箱!$L:$L,0)),0)+($BC115-INDEX(商城宝箱!$N:$N,MATCH(玩家节奏1!$BK115,商城宝箱!$L:$L,0)))/$BK$5*INDEX(商城宝箱!G$23:G$42,MATCH(玩家节奏1!$BK115+1,商城宝箱!$C$23:$C$42,0))</f>
        <v>31987</v>
      </c>
      <c r="BO115" s="90">
        <f ca="1">_xlfn.IFNA(INDEX(商城宝箱!W:W,MATCH(玩家节奏1!$BK115,商城宝箱!$L:$L,0)),0)+($BC115-INDEX(商城宝箱!$N:$N,MATCH(玩家节奏1!$BK115,商城宝箱!$L:$L,0)))/$BK$5*INDEX(商城宝箱!H$23:H$42,MATCH(玩家节奏1!$BK115+1,商城宝箱!$C$23:$C$42,0))</f>
        <v>4091.5</v>
      </c>
      <c r="BQ115" s="128">
        <f t="shared" si="146"/>
        <v>2312300</v>
      </c>
      <c r="BR115" s="90">
        <f t="shared" si="147"/>
        <v>297810</v>
      </c>
      <c r="BS115" s="90">
        <f t="shared" ca="1" si="148"/>
        <v>658400</v>
      </c>
      <c r="BT115" s="90">
        <f t="shared" si="149"/>
        <v>12200</v>
      </c>
      <c r="BU115" s="90">
        <f t="shared" si="150"/>
        <v>92000</v>
      </c>
      <c r="BV115" s="90">
        <f t="shared" si="151"/>
        <v>54500</v>
      </c>
      <c r="BW115" s="90">
        <f t="shared" ca="1" si="99"/>
        <v>95250</v>
      </c>
      <c r="BX115" s="90">
        <f t="shared" ca="1" si="100"/>
        <v>3522460</v>
      </c>
      <c r="BY115" s="142">
        <f t="shared" ca="1" si="101"/>
        <v>0.6564446438000715</v>
      </c>
      <c r="BZ115" s="142">
        <f t="shared" ca="1" si="102"/>
        <v>8.4546027492150372E-2</v>
      </c>
      <c r="CA115" s="142">
        <f t="shared" ca="1" si="103"/>
        <v>0.1869148265700675</v>
      </c>
      <c r="CB115" s="142">
        <f t="shared" ca="1" si="104"/>
        <v>3.4634885846822959E-3</v>
      </c>
      <c r="CC115" s="142">
        <f t="shared" ca="1" si="105"/>
        <v>2.6118110638587804E-2</v>
      </c>
      <c r="CD115" s="142">
        <f t="shared" ca="1" si="106"/>
        <v>1.5472141628293863E-2</v>
      </c>
      <c r="CE115" s="142">
        <f t="shared" ca="1" si="107"/>
        <v>2.7040761286146613E-2</v>
      </c>
      <c r="CG115" s="128">
        <f t="shared" si="108"/>
        <v>91</v>
      </c>
      <c r="CH115" s="90">
        <f ca="1">INDEX(角色升级!$A:$A,MATCH(玩家节奏1!$BX115,角色升级!$J:$J,1))</f>
        <v>513</v>
      </c>
      <c r="CI115" s="90">
        <f ca="1">INDEX(角色升级!$O:$O,MATCH(玩家节奏1!$BX115,角色升级!$J:$J,1))</f>
        <v>19980.220680000002</v>
      </c>
      <c r="CJ115" s="90">
        <f>INDEX(关卡对比!$J:$J,MATCH(玩家节奏1!N115,关卡对比!$A:$A,0))</f>
        <v>31700</v>
      </c>
      <c r="CK115" s="147">
        <f t="shared" ca="1" si="109"/>
        <v>1.5865690628598201</v>
      </c>
      <c r="CL115" s="128">
        <f ca="1">INDEX(角色升级!$P:$P,MATCH(玩家节奏1!$CH115,角色升级!$A:$A,0))</f>
        <v>5900</v>
      </c>
      <c r="CM115" s="90">
        <f ca="1">INDEX(角色升级!Q:Q,MATCH(玩家节奏1!$CH115,角色升级!$A:$A,0))</f>
        <v>0.8</v>
      </c>
      <c r="CO115" s="128">
        <f t="shared" si="110"/>
        <v>16082</v>
      </c>
      <c r="CP115" s="90">
        <f t="shared" si="111"/>
        <v>20496</v>
      </c>
      <c r="CQ115" s="90">
        <f t="shared" si="112"/>
        <v>15888</v>
      </c>
      <c r="CR115" s="90">
        <f t="shared" ca="1" si="113"/>
        <v>49362.5</v>
      </c>
      <c r="CS115" s="90">
        <f t="shared" ca="1" si="114"/>
        <v>101828.5</v>
      </c>
      <c r="CT115" s="142">
        <f t="shared" ca="1" si="115"/>
        <v>0.15793220954840737</v>
      </c>
      <c r="CU115" s="142">
        <f t="shared" ca="1" si="116"/>
        <v>0.20127960246885696</v>
      </c>
      <c r="CV115" s="142">
        <f t="shared" ca="1" si="117"/>
        <v>0.15602704547351676</v>
      </c>
      <c r="CW115" s="142">
        <f t="shared" ca="1" si="118"/>
        <v>0.48476114250921892</v>
      </c>
      <c r="CY115" s="128">
        <f t="shared" si="119"/>
        <v>8042</v>
      </c>
      <c r="CZ115" s="90">
        <f t="shared" si="120"/>
        <v>10121</v>
      </c>
      <c r="DA115" s="90">
        <f t="shared" si="121"/>
        <v>8800</v>
      </c>
      <c r="DB115" s="90">
        <f t="shared" ca="1" si="122"/>
        <v>31987</v>
      </c>
      <c r="DC115" s="90">
        <f t="shared" ca="1" si="123"/>
        <v>58950</v>
      </c>
      <c r="DD115" s="142">
        <f t="shared" ca="1" si="124"/>
        <v>0.13642069550466496</v>
      </c>
      <c r="DE115" s="142">
        <f t="shared" ca="1" si="125"/>
        <v>0.17168787107718406</v>
      </c>
      <c r="DF115" s="142">
        <f t="shared" ca="1" si="126"/>
        <v>0.14927905004240882</v>
      </c>
      <c r="DG115" s="142">
        <f t="shared" ca="1" si="127"/>
        <v>0.54261238337574214</v>
      </c>
      <c r="DI115" s="128">
        <f t="shared" si="128"/>
        <v>3744</v>
      </c>
      <c r="DJ115" s="90">
        <f t="shared" si="129"/>
        <v>4742</v>
      </c>
      <c r="DK115" s="90">
        <f t="shared" si="130"/>
        <v>2864</v>
      </c>
      <c r="DL115" s="90">
        <f t="shared" ca="1" si="131"/>
        <v>4091.5</v>
      </c>
      <c r="DM115" s="90">
        <f t="shared" ca="1" si="132"/>
        <v>15441.5</v>
      </c>
      <c r="DN115" s="142">
        <f t="shared" ca="1" si="133"/>
        <v>0.24246349124113589</v>
      </c>
      <c r="DO115" s="142">
        <f t="shared" ca="1" si="134"/>
        <v>0.30709451801962245</v>
      </c>
      <c r="DP115" s="142">
        <f t="shared" ca="1" si="135"/>
        <v>0.18547420911180909</v>
      </c>
      <c r="DQ115" s="142">
        <f t="shared" ca="1" si="136"/>
        <v>0.26496778162743256</v>
      </c>
      <c r="DS115" s="128">
        <f t="shared" ca="1" si="137"/>
        <v>101828.5</v>
      </c>
      <c r="DT115" s="90">
        <f t="shared" ca="1" si="138"/>
        <v>58950</v>
      </c>
      <c r="DU115" s="90">
        <f t="shared" ca="1" si="139"/>
        <v>15441.5</v>
      </c>
      <c r="DV115" s="90">
        <f t="shared" si="140"/>
        <v>92</v>
      </c>
      <c r="DW115" s="90">
        <f ca="1">_xlfn.IFNA(INDEX(武器升级消耗!$H:$H,MATCH(玩家节奏1!DS115/玩家节奏1!DS$5,武器升级消耗!M:M,1)),0)</f>
        <v>29</v>
      </c>
      <c r="DX115" s="90">
        <f ca="1">_xlfn.IFNA(INDEX(武器升级消耗!$H:$H,MATCH(玩家节奏1!DT115/玩家节奏1!DT$5,武器升级消耗!N:N,1)),0)</f>
        <v>27</v>
      </c>
      <c r="DY115" s="90">
        <f ca="1">_xlfn.IFNA(INDEX(武器升级消耗!$H:$H,MATCH(玩家节奏1!DU115/玩家节奏1!DU$5,武器升级消耗!O:O,1)),0)</f>
        <v>17</v>
      </c>
      <c r="DZ115" s="90">
        <f>_xlfn.IFNA(INDEX(武器升级消耗!$H:$H,MATCH(玩家节奏1!DV115/玩家节奏1!DV$5,武器升级消耗!P:P,1)),0)</f>
        <v>10</v>
      </c>
      <c r="EA115" s="90">
        <f ca="1">_xlfn.IFNA(INDEX(武器升级消耗!$Q:$Q,MATCH(玩家节奏1!DW115,武器升级消耗!$H:$H,0))*2*EA$4,0)</f>
        <v>3.9599999999999995</v>
      </c>
      <c r="EB115" s="90">
        <f ca="1">_xlfn.IFNA(INDEX(武器升级消耗!$Q:$Q,MATCH(玩家节奏1!DX115,武器升级消耗!$H:$H,0))*2*EB$4,0)</f>
        <v>4.6500000000000004</v>
      </c>
      <c r="EC115" s="90">
        <f ca="1">_xlfn.IFNA(INDEX(武器升级消耗!$Q:$Q,MATCH(玩家节奏1!DY115,武器升级消耗!$H:$H,0))*2*EC$4,1)</f>
        <v>4.620000000000001</v>
      </c>
      <c r="ED115" s="90">
        <f>_xlfn.IFNA(INDEX(武器升级消耗!$Q:$Q,MATCH(玩家节奏1!DZ115,武器升级消耗!$H:$H,0))*2*ED$4,0)</f>
        <v>4.1999999999999993</v>
      </c>
    </row>
    <row r="116" spans="1:134" x14ac:dyDescent="0.25">
      <c r="A116" s="123">
        <v>110</v>
      </c>
      <c r="B116" s="123">
        <f>INDEX(关卡对比!$Y:$Y,MATCH(关卡对比!Z116,关卡对比!$AA:$AA,1))</f>
        <v>68</v>
      </c>
      <c r="C116" s="124">
        <f>INDEX(关卡对比!$Y:$Y,MATCH(关卡对比!Z116,关卡对比!$AB:$AB,1))</f>
        <v>55</v>
      </c>
      <c r="D116" s="125">
        <f t="shared" si="157"/>
        <v>668.5</v>
      </c>
      <c r="E116" s="125">
        <v>3</v>
      </c>
      <c r="F116" s="128">
        <v>5</v>
      </c>
      <c r="G116" s="90">
        <v>1</v>
      </c>
      <c r="H116" s="90">
        <v>1</v>
      </c>
      <c r="J116" s="128">
        <v>110</v>
      </c>
      <c r="K116" s="90">
        <f t="shared" si="152"/>
        <v>5</v>
      </c>
      <c r="L116" s="90">
        <f t="shared" si="153"/>
        <v>1</v>
      </c>
      <c r="M116" s="90">
        <f t="shared" si="154"/>
        <v>1</v>
      </c>
      <c r="N116" s="140">
        <f>INDEX($A:$A,MATCH(SUM($K$7:K116),$D:$D,1))</f>
        <v>92</v>
      </c>
      <c r="O116" s="140">
        <v>0</v>
      </c>
      <c r="P116" s="141">
        <v>0</v>
      </c>
      <c r="Q116" s="126">
        <f>_xlfn.MAXIFS(关卡产出!X:X,关卡产出!$A:$A,玩家节奏1!$N$6,关卡产出!$B:$B,玩家节奏1!$N116)+_xlfn.MAXIFS(关卡产出!X:X,关卡产出!$A:$A,玩家节奏1!$O$6,关卡产出!$B:$B,玩家节奏1!$O116)+_xlfn.MAXIFS(关卡产出!X:X,关卡产出!$A:$A,玩家节奏1!$P$6,关卡产出!$B:$B,玩家节奏1!$P116)</f>
        <v>16900</v>
      </c>
      <c r="R116" s="90">
        <f>_xlfn.MAXIFS(关卡产出!Y:Y,关卡产出!$A:$A,玩家节奏1!$N$6,关卡产出!$B:$B,玩家节奏1!$N116)+_xlfn.MAXIFS(关卡产出!Y:Y,关卡产出!$A:$A,玩家节奏1!$O$6,关卡产出!$B:$B,玩家节奏1!$O116)+_xlfn.MAXIFS(关卡产出!Y:Y,关卡产出!$A:$A,玩家节奏1!$P$6,关卡产出!$B:$B,玩家节奏1!$P116)</f>
        <v>2365200</v>
      </c>
      <c r="S116" s="90">
        <f>_xlfn.MAXIFS(关卡产出!Z:Z,关卡产出!$A:$A,玩家节奏1!$N$6,关卡产出!$B:$B,玩家节奏1!$N116)+_xlfn.MAXIFS(关卡产出!Z:Z,关卡产出!$A:$A,玩家节奏1!$O$6,关卡产出!$B:$B,玩家节奏1!$O116)+_xlfn.MAXIFS(关卡产出!Z:Z,关卡产出!$A:$A,玩家节奏1!$P$6,关卡产出!$B:$B,玩家节奏1!$P116)</f>
        <v>16442</v>
      </c>
      <c r="T116" s="90">
        <f>_xlfn.MAXIFS(关卡产出!AA:AA,关卡产出!$A:$A,玩家节奏1!$N$6,关卡产出!$B:$B,玩家节奏1!$N116)+_xlfn.MAXIFS(关卡产出!AA:AA,关卡产出!$A:$A,玩家节奏1!$O$6,关卡产出!$B:$B,玩家节奏1!$O116)+_xlfn.MAXIFS(关卡产出!AA:AA,关卡产出!$A:$A,玩家节奏1!$P$6,关卡产出!$B:$B,玩家节奏1!$P116)</f>
        <v>8222</v>
      </c>
      <c r="U116" s="90">
        <f>_xlfn.MAXIFS(关卡产出!AB:AB,关卡产出!$A:$A,玩家节奏1!$N$6,关卡产出!$B:$B,玩家节奏1!$N116)+_xlfn.MAXIFS(关卡产出!AB:AB,关卡产出!$A:$A,玩家节奏1!$O$6,关卡产出!$B:$B,玩家节奏1!$O116)+_xlfn.MAXIFS(关卡产出!AB:AB,关卡产出!$A:$A,玩家节奏1!$P$6,关卡产出!$B:$B,玩家节奏1!$P116)</f>
        <v>3831</v>
      </c>
      <c r="V116" s="130">
        <f>_xlfn.MAXIFS(关卡产出!AC:AC,关卡产出!$A:$A,玩家节奏1!$N$6,关卡产出!$B:$B,玩家节奏1!$N116)+_xlfn.MAXIFS(关卡产出!AC:AC,关卡产出!$A:$A,玩家节奏1!$O$6,关卡产出!$B:$B,玩家节奏1!$O116)+_xlfn.MAXIFS(关卡产出!AC:AC,关卡产出!$A:$A,玩家节奏1!$P$6,关卡产出!$B:$B,玩家节奏1!$P116)</f>
        <v>552</v>
      </c>
      <c r="W116" s="126">
        <f>INDEX(关卡产出!C$8:C$207,MATCH(玩家节奏1!$N116,关卡产出!$B$8:$B$207,0))*$K116</f>
        <v>360</v>
      </c>
      <c r="X116" s="126">
        <f>INDEX(关卡产出!D$8:D$207,MATCH(玩家节奏1!$N116,关卡产出!$B$8:$B$207,0))*$K116</f>
        <v>180</v>
      </c>
      <c r="Y116" s="126">
        <f>INDEX(关卡产出!E$8:E$207,MATCH(玩家节奏1!$N116,关卡产出!$B$8:$B$207,0))*$K116</f>
        <v>85</v>
      </c>
      <c r="Z116" s="144">
        <f>INDEX(关卡产出!F$8:F$207,MATCH(玩家节奏1!$N116,关卡产出!$B$8:$B$207,0))*$K116</f>
        <v>4850</v>
      </c>
      <c r="AA116" s="126">
        <f>SUM(W$7:W116)</f>
        <v>20856</v>
      </c>
      <c r="AB116" s="126">
        <f>SUM(X$7:X116)</f>
        <v>10301</v>
      </c>
      <c r="AC116" s="126">
        <f>SUM(Y$7:Y116)</f>
        <v>4827</v>
      </c>
      <c r="AD116" s="126">
        <f>SUM(Z$7:Z116)</f>
        <v>302660</v>
      </c>
      <c r="AE116" s="126">
        <f>INDEX(图鉴!AQ:AQ,MATCH($N116,图鉴!$S:$S,0))*8</f>
        <v>168</v>
      </c>
      <c r="AF116" s="90">
        <f>INDEX(图鉴!AR:AR,MATCH($N116,图鉴!$S:$S,0))*8</f>
        <v>120</v>
      </c>
      <c r="AG116" s="90">
        <f>INDEX(图鉴!AS:AS,MATCH($N116,图鉴!$S:$S,0))*8</f>
        <v>40</v>
      </c>
      <c r="AH116" s="129">
        <f ca="1">INDEX(图鉴!AT:AT,MATCH($N116,图鉴!$S:$S,0))*8</f>
        <v>9160</v>
      </c>
      <c r="AI116" s="128">
        <f>SUM($AE$7:AE116)</f>
        <v>16056</v>
      </c>
      <c r="AJ116" s="90">
        <f>SUM(AF$7:AF116)</f>
        <v>8920</v>
      </c>
      <c r="AK116" s="90">
        <f>SUM(AG$7:AG116)</f>
        <v>2904</v>
      </c>
      <c r="AL116" s="130">
        <f ca="1">SUM(AH$7:AH116)</f>
        <v>667560</v>
      </c>
      <c r="AM116" s="133">
        <f>IF(M116=0,0,INDEX(关卡产出!$AU$11:$AU$15,MATCH(玩家节奏1!N116,关卡产出!$AW$11:$AW$15,1))*M116)</f>
        <v>12200</v>
      </c>
      <c r="AN116" s="126">
        <f>IF(L116=0,0,$L116*关卡产出!AU$21)</f>
        <v>1000</v>
      </c>
      <c r="AO116" s="90">
        <f>IF(M116=0,0,$L116*关卡产出!AV$21)</f>
        <v>50</v>
      </c>
      <c r="AP116" s="129">
        <f>IF(N116=0,0,$L116*关卡产出!AW$21)</f>
        <v>1</v>
      </c>
      <c r="AQ116" s="138">
        <f>SUM(AN$7:AN116)</f>
        <v>93000</v>
      </c>
      <c r="AR116" s="126">
        <f>SUM(AO$7:AO116)</f>
        <v>4650</v>
      </c>
      <c r="AS116" s="129">
        <f>SUM(AP$7:AP116)</f>
        <v>93</v>
      </c>
      <c r="AT116" s="128">
        <v>500</v>
      </c>
      <c r="AU116" s="129">
        <v>100</v>
      </c>
      <c r="AV116" s="128">
        <f>SUM(AT$7:AT116)</f>
        <v>55000</v>
      </c>
      <c r="AW116" s="90">
        <f>SUM(AU$7:AU116)</f>
        <v>11000</v>
      </c>
      <c r="AY116" s="128">
        <f t="shared" si="91"/>
        <v>16900</v>
      </c>
      <c r="AZ116" s="90">
        <f t="shared" si="92"/>
        <v>4650</v>
      </c>
      <c r="BA116" s="90">
        <f t="shared" si="93"/>
        <v>11000</v>
      </c>
      <c r="BB116" s="90">
        <f t="shared" ca="1" si="143"/>
        <v>5900</v>
      </c>
      <c r="BC116" s="90">
        <f t="shared" ca="1" si="144"/>
        <v>38450</v>
      </c>
      <c r="BD116" s="90"/>
      <c r="BE116" s="90">
        <f t="shared" ca="1" si="94"/>
        <v>38450</v>
      </c>
      <c r="BF116" s="142">
        <f t="shared" ca="1" si="95"/>
        <v>0.43953185955786733</v>
      </c>
      <c r="BG116" s="142">
        <f t="shared" ca="1" si="96"/>
        <v>0.12093628088426528</v>
      </c>
      <c r="BH116" s="142">
        <f t="shared" ca="1" si="155"/>
        <v>0.28608582574772434</v>
      </c>
      <c r="BI116" s="142">
        <f t="shared" ca="1" si="156"/>
        <v>0.15344603381014305</v>
      </c>
      <c r="BJ116" s="143"/>
      <c r="BK116" s="128">
        <f ca="1">INDEX(商城宝箱!$L:$L,MATCH(BC116,商城宝箱!$N:$N,1))</f>
        <v>8</v>
      </c>
      <c r="BL116" s="90">
        <f ca="1">_xlfn.IFNA(INDEX(商城宝箱!T:T,MATCH(玩家节奏1!$BK116,商城宝箱!$L:$L,0)),0)+($BC116-INDEX(商城宝箱!$N:$N,MATCH(玩家节奏1!$BK116,商城宝箱!$L:$L,0)))/$BK$5*INDEX(商城宝箱!E$23:E$42,MATCH(玩家节奏1!$BK116+1,商城宝箱!$C$23:$C$42,0))</f>
        <v>96125</v>
      </c>
      <c r="BM116" s="90">
        <f ca="1">_xlfn.IFNA(INDEX(商城宝箱!U:U,MATCH(玩家节奏1!$BK116,商城宝箱!$L:$L,0)),0)+($BC116-INDEX(商城宝箱!$N:$N,MATCH(玩家节奏1!$BK116,商城宝箱!$L:$L,0)))/$BK$5*INDEX(商城宝箱!F$23:F$42,MATCH(玩家节奏1!$BK116+1,商城宝箱!$C$23:$C$42,0))</f>
        <v>50132.5</v>
      </c>
      <c r="BN116" s="90">
        <f ca="1">_xlfn.IFNA(INDEX(商城宝箱!V:V,MATCH(玩家节奏1!$BK116,商城宝箱!$L:$L,0)),0)+($BC116-INDEX(商城宝箱!$N:$N,MATCH(玩家节奏1!$BK116,商城宝箱!$L:$L,0)))/$BK$5*INDEX(商城宝箱!G$23:G$42,MATCH(玩家节奏1!$BK116+1,商城宝箱!$C$23:$C$42,0))</f>
        <v>32564.5</v>
      </c>
      <c r="BO116" s="90">
        <f ca="1">_xlfn.IFNA(INDEX(商城宝箱!W:W,MATCH(玩家节奏1!$BK116,商城宝箱!$L:$L,0)),0)+($BC116-INDEX(商城宝箱!$N:$N,MATCH(玩家节奏1!$BK116,商城宝箱!$L:$L,0)))/$BK$5*INDEX(商城宝箱!H$23:H$42,MATCH(玩家节奏1!$BK116+1,商城宝箱!$C$23:$C$42,0))</f>
        <v>4158</v>
      </c>
      <c r="BQ116" s="128">
        <f t="shared" si="146"/>
        <v>2365200</v>
      </c>
      <c r="BR116" s="90">
        <f t="shared" si="147"/>
        <v>302660</v>
      </c>
      <c r="BS116" s="90">
        <f t="shared" ca="1" si="148"/>
        <v>667560</v>
      </c>
      <c r="BT116" s="90">
        <f t="shared" si="149"/>
        <v>12200</v>
      </c>
      <c r="BU116" s="90">
        <f t="shared" si="150"/>
        <v>93000</v>
      </c>
      <c r="BV116" s="90">
        <f t="shared" si="151"/>
        <v>55000</v>
      </c>
      <c r="BW116" s="90">
        <f t="shared" ca="1" si="99"/>
        <v>96125</v>
      </c>
      <c r="BX116" s="90">
        <f t="shared" ca="1" si="100"/>
        <v>3591745</v>
      </c>
      <c r="BY116" s="142">
        <f t="shared" ca="1" si="101"/>
        <v>0.65851000001392079</v>
      </c>
      <c r="BZ116" s="142">
        <f t="shared" ca="1" si="102"/>
        <v>8.4265447574925281E-2</v>
      </c>
      <c r="CA116" s="142">
        <f t="shared" ca="1" si="103"/>
        <v>0.1858595195371609</v>
      </c>
      <c r="CB116" s="142">
        <f t="shared" ca="1" si="104"/>
        <v>3.3966776594663598E-3</v>
      </c>
      <c r="CC116" s="142">
        <f t="shared" ca="1" si="105"/>
        <v>2.5892706748391104E-2</v>
      </c>
      <c r="CD116" s="142">
        <f t="shared" ca="1" si="106"/>
        <v>1.531289108775818E-2</v>
      </c>
      <c r="CE116" s="142">
        <f t="shared" ca="1" si="107"/>
        <v>2.6762757378377362E-2</v>
      </c>
      <c r="CG116" s="128">
        <f t="shared" si="108"/>
        <v>92</v>
      </c>
      <c r="CH116" s="90">
        <f ca="1">INDEX(角色升级!$A:$A,MATCH(玩家节奏1!$BX116,角色升级!$J:$J,1))</f>
        <v>515</v>
      </c>
      <c r="CI116" s="90">
        <f ca="1">INDEX(角色升级!$O:$O,MATCH(玩家节奏1!$BX116,角色升级!$J:$J,1))</f>
        <v>20436.621660000001</v>
      </c>
      <c r="CJ116" s="90">
        <f>INDEX(关卡对比!$J:$J,MATCH(玩家节奏1!N116,关卡对比!$A:$A,0))</f>
        <v>32200</v>
      </c>
      <c r="CK116" s="147">
        <f t="shared" ca="1" si="109"/>
        <v>1.5756028826928921</v>
      </c>
      <c r="CL116" s="128">
        <f ca="1">INDEX(角色升级!$P:$P,MATCH(玩家节奏1!$CH116,角色升级!$A:$A,0))</f>
        <v>5900</v>
      </c>
      <c r="CM116" s="90">
        <f ca="1">INDEX(角色升级!Q:Q,MATCH(玩家节奏1!$CH116,角色升级!$A:$A,0))</f>
        <v>0.8</v>
      </c>
      <c r="CO116" s="128">
        <f t="shared" si="110"/>
        <v>16442</v>
      </c>
      <c r="CP116" s="90">
        <f t="shared" si="111"/>
        <v>20856</v>
      </c>
      <c r="CQ116" s="90">
        <f t="shared" si="112"/>
        <v>16056</v>
      </c>
      <c r="CR116" s="90">
        <f t="shared" ca="1" si="113"/>
        <v>50132.5</v>
      </c>
      <c r="CS116" s="90">
        <f t="shared" ca="1" si="114"/>
        <v>103486.5</v>
      </c>
      <c r="CT116" s="142">
        <f t="shared" ca="1" si="115"/>
        <v>0.15888062694167837</v>
      </c>
      <c r="CU116" s="142">
        <f t="shared" ca="1" si="116"/>
        <v>0.2015335333594237</v>
      </c>
      <c r="CV116" s="142">
        <f t="shared" ca="1" si="117"/>
        <v>0.15515067182676001</v>
      </c>
      <c r="CW116" s="142">
        <f t="shared" ca="1" si="118"/>
        <v>0.48443516787213792</v>
      </c>
      <c r="CY116" s="128">
        <f t="shared" si="119"/>
        <v>8222</v>
      </c>
      <c r="CZ116" s="90">
        <f t="shared" si="120"/>
        <v>10301</v>
      </c>
      <c r="DA116" s="90">
        <f t="shared" si="121"/>
        <v>8920</v>
      </c>
      <c r="DB116" s="90">
        <f t="shared" ca="1" si="122"/>
        <v>32564.5</v>
      </c>
      <c r="DC116" s="90">
        <f t="shared" ca="1" si="123"/>
        <v>60007.5</v>
      </c>
      <c r="DD116" s="142">
        <f t="shared" ca="1" si="124"/>
        <v>0.13701620630754488</v>
      </c>
      <c r="DE116" s="142">
        <f t="shared" ca="1" si="125"/>
        <v>0.17166187559888346</v>
      </c>
      <c r="DF116" s="142">
        <f t="shared" ca="1" si="126"/>
        <v>0.14864808565595966</v>
      </c>
      <c r="DG116" s="142">
        <f t="shared" ca="1" si="127"/>
        <v>0.54267383243761191</v>
      </c>
      <c r="DI116" s="128">
        <f t="shared" si="128"/>
        <v>3831</v>
      </c>
      <c r="DJ116" s="90">
        <f t="shared" si="129"/>
        <v>4827</v>
      </c>
      <c r="DK116" s="90">
        <f t="shared" si="130"/>
        <v>2904</v>
      </c>
      <c r="DL116" s="90">
        <f t="shared" ca="1" si="131"/>
        <v>4158</v>
      </c>
      <c r="DM116" s="90">
        <f t="shared" ca="1" si="132"/>
        <v>15720</v>
      </c>
      <c r="DN116" s="142">
        <f t="shared" ca="1" si="133"/>
        <v>0.24370229007633587</v>
      </c>
      <c r="DO116" s="142">
        <f t="shared" ca="1" si="134"/>
        <v>0.30706106870229005</v>
      </c>
      <c r="DP116" s="142">
        <f t="shared" ca="1" si="135"/>
        <v>0.18473282442748093</v>
      </c>
      <c r="DQ116" s="142">
        <f t="shared" ca="1" si="136"/>
        <v>0.26450381679389312</v>
      </c>
      <c r="DS116" s="128">
        <f t="shared" ca="1" si="137"/>
        <v>103486.5</v>
      </c>
      <c r="DT116" s="90">
        <f t="shared" ca="1" si="138"/>
        <v>60007.5</v>
      </c>
      <c r="DU116" s="90">
        <f t="shared" ca="1" si="139"/>
        <v>15720</v>
      </c>
      <c r="DV116" s="90">
        <f t="shared" si="140"/>
        <v>93</v>
      </c>
      <c r="DW116" s="90">
        <f ca="1">_xlfn.IFNA(INDEX(武器升级消耗!$H:$H,MATCH(玩家节奏1!DS116/玩家节奏1!DS$5,武器升级消耗!M:M,1)),0)</f>
        <v>30</v>
      </c>
      <c r="DX116" s="90">
        <f ca="1">_xlfn.IFNA(INDEX(武器升级消耗!$H:$H,MATCH(玩家节奏1!DT116/玩家节奏1!DT$5,武器升级消耗!N:N,1)),0)</f>
        <v>27</v>
      </c>
      <c r="DY116" s="90">
        <f ca="1">_xlfn.IFNA(INDEX(武器升级消耗!$H:$H,MATCH(玩家节奏1!DU116/玩家节奏1!DU$5,武器升级消耗!O:O,1)),0)</f>
        <v>18</v>
      </c>
      <c r="DZ116" s="90">
        <f>_xlfn.IFNA(INDEX(武器升级消耗!$H:$H,MATCH(玩家节奏1!DV116/玩家节奏1!DV$5,武器升级消耗!P:P,1)),0)</f>
        <v>10</v>
      </c>
      <c r="EA116" s="90">
        <f ca="1">_xlfn.IFNA(INDEX(武器升级消耗!$Q:$Q,MATCH(玩家节奏1!DW116,武器升级消耗!$H:$H,0))*2*EA$4,0)</f>
        <v>4.08</v>
      </c>
      <c r="EB116" s="90">
        <f ca="1">_xlfn.IFNA(INDEX(武器升级消耗!$Q:$Q,MATCH(玩家节奏1!DX116,武器升级消耗!$H:$H,0))*2*EB$4,0)</f>
        <v>4.6500000000000004</v>
      </c>
      <c r="EC116" s="90">
        <f ca="1">_xlfn.IFNA(INDEX(武器升级消耗!$Q:$Q,MATCH(玩家节奏1!DY116,武器升级消耗!$H:$H,0))*2*EC$4,1)</f>
        <v>4.8400000000000007</v>
      </c>
      <c r="ED116" s="90">
        <f>_xlfn.IFNA(INDEX(武器升级消耗!$Q:$Q,MATCH(玩家节奏1!DZ116,武器升级消耗!$H:$H,0))*2*ED$4,0)</f>
        <v>4.1999999999999993</v>
      </c>
    </row>
    <row r="117" spans="1:134" x14ac:dyDescent="0.25">
      <c r="A117" s="123">
        <v>111</v>
      </c>
      <c r="B117" s="123">
        <f>INDEX(关卡对比!$Y:$Y,MATCH(关卡对比!Z117,关卡对比!$AA:$AA,1))</f>
        <v>69</v>
      </c>
      <c r="C117" s="124">
        <f>INDEX(关卡对比!$Y:$Y,MATCH(关卡对比!Z117,关卡对比!$AB:$AB,1))</f>
        <v>55</v>
      </c>
      <c r="D117" s="125">
        <f t="shared" si="157"/>
        <v>674.5</v>
      </c>
      <c r="E117" s="125">
        <v>3</v>
      </c>
      <c r="F117" s="128">
        <v>5</v>
      </c>
      <c r="G117" s="90">
        <v>1</v>
      </c>
      <c r="H117" s="90">
        <v>1</v>
      </c>
      <c r="J117" s="128">
        <v>111</v>
      </c>
      <c r="K117" s="90">
        <f t="shared" si="152"/>
        <v>5</v>
      </c>
      <c r="L117" s="90">
        <f t="shared" si="153"/>
        <v>1</v>
      </c>
      <c r="M117" s="90">
        <f t="shared" si="154"/>
        <v>1</v>
      </c>
      <c r="N117" s="140">
        <f>INDEX($A:$A,MATCH(SUM($K$7:K117),$D:$D,1))</f>
        <v>94</v>
      </c>
      <c r="O117" s="140">
        <v>0</v>
      </c>
      <c r="P117" s="141">
        <v>0</v>
      </c>
      <c r="Q117" s="126">
        <f>_xlfn.MAXIFS(关卡产出!X:X,关卡产出!$A:$A,玩家节奏1!$N$6,关卡产出!$B:$B,玩家节奏1!$N117)+_xlfn.MAXIFS(关卡产出!X:X,关卡产出!$A:$A,玩家节奏1!$O$6,关卡产出!$B:$B,玩家节奏1!$O117)+_xlfn.MAXIFS(关卡产出!X:X,关卡产出!$A:$A,玩家节奏1!$P$6,关卡产出!$B:$B,玩家节奏1!$P117)</f>
        <v>17300</v>
      </c>
      <c r="R117" s="90">
        <f>_xlfn.MAXIFS(关卡产出!Y:Y,关卡产出!$A:$A,玩家节奏1!$N$6,关卡产出!$B:$B,玩家节奏1!$N117)+_xlfn.MAXIFS(关卡产出!Y:Y,关卡产出!$A:$A,玩家节奏1!$O$6,关卡产出!$B:$B,玩家节奏1!$O117)+_xlfn.MAXIFS(关卡产出!Y:Y,关卡产出!$A:$A,玩家节奏1!$P$6,关卡产出!$B:$B,玩家节奏1!$P117)</f>
        <v>2472800</v>
      </c>
      <c r="S117" s="90">
        <f>_xlfn.MAXIFS(关卡产出!Z:Z,关卡产出!$A:$A,玩家节奏1!$N$6,关卡产出!$B:$B,玩家节奏1!$N117)+_xlfn.MAXIFS(关卡产出!Z:Z,关卡产出!$A:$A,玩家节奏1!$O$6,关卡产出!$B:$B,玩家节奏1!$O117)+_xlfn.MAXIFS(关卡产出!Z:Z,关卡产出!$A:$A,玩家节奏1!$P$6,关卡产出!$B:$B,玩家节奏1!$P117)</f>
        <v>17174</v>
      </c>
      <c r="T117" s="90">
        <f>_xlfn.MAXIFS(关卡产出!AA:AA,关卡产出!$A:$A,玩家节奏1!$N$6,关卡产出!$B:$B,玩家节奏1!$N117)+_xlfn.MAXIFS(关卡产出!AA:AA,关卡产出!$A:$A,玩家节奏1!$O$6,关卡产出!$B:$B,玩家节奏1!$O117)+_xlfn.MAXIFS(关卡产出!AA:AA,关卡产出!$A:$A,玩家节奏1!$P$6,关卡产出!$B:$B,玩家节奏1!$P117)</f>
        <v>8588</v>
      </c>
      <c r="U117" s="90">
        <f>_xlfn.MAXIFS(关卡产出!AB:AB,关卡产出!$A:$A,玩家节奏1!$N$6,关卡产出!$B:$B,玩家节奏1!$N117)+_xlfn.MAXIFS(关卡产出!AB:AB,关卡产出!$A:$A,玩家节奏1!$O$6,关卡产出!$B:$B,玩家节奏1!$O117)+_xlfn.MAXIFS(关卡产出!AB:AB,关卡产出!$A:$A,玩家节奏1!$P$6,关卡产出!$B:$B,玩家节奏1!$P117)</f>
        <v>4008</v>
      </c>
      <c r="V117" s="130">
        <f>_xlfn.MAXIFS(关卡产出!AC:AC,关卡产出!$A:$A,玩家节奏1!$N$6,关卡产出!$B:$B,玩家节奏1!$N117)+_xlfn.MAXIFS(关卡产出!AC:AC,关卡产出!$A:$A,玩家节奏1!$O$6,关卡产出!$B:$B,玩家节奏1!$O117)+_xlfn.MAXIFS(关卡产出!AC:AC,关卡产出!$A:$A,玩家节奏1!$P$6,关卡产出!$B:$B,玩家节奏1!$P117)</f>
        <v>564</v>
      </c>
      <c r="W117" s="126">
        <f>INDEX(关卡产出!C$8:C$207,MATCH(玩家节奏1!$N117,关卡产出!$B$8:$B$207,0))*$K117</f>
        <v>370</v>
      </c>
      <c r="X117" s="126">
        <f>INDEX(关卡产出!D$8:D$207,MATCH(玩家节奏1!$N117,关卡产出!$B$8:$B$207,0))*$K117</f>
        <v>185</v>
      </c>
      <c r="Y117" s="126">
        <f>INDEX(关卡产出!E$8:E$207,MATCH(玩家节奏1!$N117,关卡产出!$B$8:$B$207,0))*$K117</f>
        <v>90</v>
      </c>
      <c r="Z117" s="144">
        <f>INDEX(关卡产出!F$8:F$207,MATCH(玩家节奏1!$N117,关卡产出!$B$8:$B$207,0))*$K117</f>
        <v>4950</v>
      </c>
      <c r="AA117" s="126">
        <f>SUM(W$7:W117)</f>
        <v>21226</v>
      </c>
      <c r="AB117" s="126">
        <f>SUM(X$7:X117)</f>
        <v>10486</v>
      </c>
      <c r="AC117" s="126">
        <f>SUM(Y$7:Y117)</f>
        <v>4917</v>
      </c>
      <c r="AD117" s="126">
        <f>SUM(Z$7:Z117)</f>
        <v>307610</v>
      </c>
      <c r="AE117" s="126">
        <f>INDEX(图鉴!AQ:AQ,MATCH($N117,图鉴!$S:$S,0))*8</f>
        <v>168</v>
      </c>
      <c r="AF117" s="90">
        <f>INDEX(图鉴!AR:AR,MATCH($N117,图鉴!$S:$S,0))*8</f>
        <v>120</v>
      </c>
      <c r="AG117" s="90">
        <f>INDEX(图鉴!AS:AS,MATCH($N117,图鉴!$S:$S,0))*8</f>
        <v>40</v>
      </c>
      <c r="AH117" s="129">
        <f ca="1">INDEX(图鉴!AT:AT,MATCH($N117,图鉴!$S:$S,0))*8</f>
        <v>9160</v>
      </c>
      <c r="AI117" s="128">
        <f>SUM($AE$7:AE117)</f>
        <v>16224</v>
      </c>
      <c r="AJ117" s="90">
        <f>SUM(AF$7:AF117)</f>
        <v>9040</v>
      </c>
      <c r="AK117" s="90">
        <f>SUM(AG$7:AG117)</f>
        <v>2944</v>
      </c>
      <c r="AL117" s="130">
        <f ca="1">SUM(AH$7:AH117)</f>
        <v>676720</v>
      </c>
      <c r="AM117" s="133">
        <f>IF(M117=0,0,INDEX(关卡产出!$AU$11:$AU$15,MATCH(玩家节奏1!N117,关卡产出!$AW$11:$AW$15,1))*M117)</f>
        <v>12200</v>
      </c>
      <c r="AN117" s="126">
        <f>IF(L117=0,0,$L117*关卡产出!AU$21)</f>
        <v>1000</v>
      </c>
      <c r="AO117" s="90">
        <f>IF(M117=0,0,$L117*关卡产出!AV$21)</f>
        <v>50</v>
      </c>
      <c r="AP117" s="129">
        <f>IF(N117=0,0,$L117*关卡产出!AW$21)</f>
        <v>1</v>
      </c>
      <c r="AQ117" s="138">
        <f>SUM(AN$7:AN117)</f>
        <v>94000</v>
      </c>
      <c r="AR117" s="126">
        <f>SUM(AO$7:AO117)</f>
        <v>4700</v>
      </c>
      <c r="AS117" s="129">
        <f>SUM(AP$7:AP117)</f>
        <v>94</v>
      </c>
      <c r="AT117" s="128">
        <v>500</v>
      </c>
      <c r="AU117" s="129">
        <v>100</v>
      </c>
      <c r="AV117" s="128">
        <f>SUM(AT$7:AT117)</f>
        <v>55500</v>
      </c>
      <c r="AW117" s="90">
        <f>SUM(AU$7:AU117)</f>
        <v>11100</v>
      </c>
      <c r="AY117" s="128">
        <f t="shared" si="91"/>
        <v>17300</v>
      </c>
      <c r="AZ117" s="90">
        <f t="shared" si="92"/>
        <v>4700</v>
      </c>
      <c r="BA117" s="90">
        <f t="shared" si="93"/>
        <v>11100</v>
      </c>
      <c r="BB117" s="90">
        <f t="shared" ca="1" si="143"/>
        <v>5900</v>
      </c>
      <c r="BC117" s="90">
        <f t="shared" ca="1" si="144"/>
        <v>39000</v>
      </c>
      <c r="BD117" s="90"/>
      <c r="BE117" s="90">
        <f t="shared" ca="1" si="94"/>
        <v>39000</v>
      </c>
      <c r="BF117" s="142">
        <f t="shared" ca="1" si="95"/>
        <v>0.44358974358974357</v>
      </c>
      <c r="BG117" s="142">
        <f t="shared" ca="1" si="96"/>
        <v>0.12051282051282051</v>
      </c>
      <c r="BH117" s="142">
        <f t="shared" ca="1" si="155"/>
        <v>0.2846153846153846</v>
      </c>
      <c r="BI117" s="142">
        <f t="shared" ca="1" si="156"/>
        <v>0.15128205128205127</v>
      </c>
      <c r="BJ117" s="143"/>
      <c r="BK117" s="128">
        <f ca="1">INDEX(商城宝箱!$L:$L,MATCH(BC117,商城宝箱!$N:$N,1))</f>
        <v>8</v>
      </c>
      <c r="BL117" s="90">
        <f ca="1">_xlfn.IFNA(INDEX(商城宝箱!T:T,MATCH(玩家节奏1!$BK117,商城宝箱!$L:$L,0)),0)+($BC117-INDEX(商城宝箱!$N:$N,MATCH(玩家节奏1!$BK117,商城宝箱!$L:$L,0)))/$BK$5*INDEX(商城宝箱!E$23:E$42,MATCH(玩家节奏1!$BK117+1,商城宝箱!$C$23:$C$42,0))</f>
        <v>97500</v>
      </c>
      <c r="BM117" s="90">
        <f ca="1">_xlfn.IFNA(INDEX(商城宝箱!U:U,MATCH(玩家节奏1!$BK117,商城宝箱!$L:$L,0)),0)+($BC117-INDEX(商城宝箱!$N:$N,MATCH(玩家节奏1!$BK117,商城宝箱!$L:$L,0)))/$BK$5*INDEX(商城宝箱!F$23:F$42,MATCH(玩家节奏1!$BK117+1,商城宝箱!$C$23:$C$42,0))</f>
        <v>51342.5</v>
      </c>
      <c r="BN117" s="90">
        <f ca="1">_xlfn.IFNA(INDEX(商城宝箱!V:V,MATCH(玩家节奏1!$BK117,商城宝箱!$L:$L,0)),0)+($BC117-INDEX(商城宝箱!$N:$N,MATCH(玩家节奏1!$BK117,商城宝箱!$L:$L,0)))/$BK$5*INDEX(商城宝箱!G$23:G$42,MATCH(玩家节奏1!$BK117+1,商城宝箱!$C$23:$C$42,0))</f>
        <v>33472</v>
      </c>
      <c r="BO117" s="90">
        <f ca="1">_xlfn.IFNA(INDEX(商城宝箱!W:W,MATCH(玩家节奏1!$BK117,商城宝箱!$L:$L,0)),0)+($BC117-INDEX(商城宝箱!$N:$N,MATCH(玩家节奏1!$BK117,商城宝箱!$L:$L,0)))/$BK$5*INDEX(商城宝箱!H$23:H$42,MATCH(玩家节奏1!$BK117+1,商城宝箱!$C$23:$C$42,0))</f>
        <v>4262.5</v>
      </c>
      <c r="BQ117" s="128">
        <f t="shared" si="146"/>
        <v>2472800</v>
      </c>
      <c r="BR117" s="90">
        <f t="shared" si="147"/>
        <v>307610</v>
      </c>
      <c r="BS117" s="90">
        <f t="shared" ca="1" si="148"/>
        <v>676720</v>
      </c>
      <c r="BT117" s="90">
        <f t="shared" si="149"/>
        <v>12200</v>
      </c>
      <c r="BU117" s="90">
        <f t="shared" si="150"/>
        <v>94000</v>
      </c>
      <c r="BV117" s="90">
        <f t="shared" si="151"/>
        <v>55500</v>
      </c>
      <c r="BW117" s="90">
        <f t="shared" ca="1" si="99"/>
        <v>97500</v>
      </c>
      <c r="BX117" s="90">
        <f t="shared" ca="1" si="100"/>
        <v>3716330</v>
      </c>
      <c r="BY117" s="142">
        <f t="shared" ca="1" si="101"/>
        <v>0.66538762704065568</v>
      </c>
      <c r="BZ117" s="142">
        <f t="shared" ca="1" si="102"/>
        <v>8.2772520201381469E-2</v>
      </c>
      <c r="CA117" s="142">
        <f t="shared" ca="1" si="103"/>
        <v>0.18209362462429332</v>
      </c>
      <c r="CB117" s="142">
        <f t="shared" ca="1" si="104"/>
        <v>3.2828085772791974E-3</v>
      </c>
      <c r="CC117" s="142">
        <f t="shared" ca="1" si="105"/>
        <v>2.5293771005265947E-2</v>
      </c>
      <c r="CD117" s="142">
        <f t="shared" ca="1" si="106"/>
        <v>1.493408819991766E-2</v>
      </c>
      <c r="CE117" s="142">
        <f t="shared" ca="1" si="107"/>
        <v>2.6235560351206701E-2</v>
      </c>
      <c r="CG117" s="128">
        <f t="shared" si="108"/>
        <v>94</v>
      </c>
      <c r="CH117" s="90">
        <f ca="1">INDEX(角色升级!$A:$A,MATCH(玩家节奏1!$BX117,角色升级!$J:$J,1))</f>
        <v>519</v>
      </c>
      <c r="CI117" s="90">
        <f ca="1">INDEX(角色升级!$O:$O,MATCH(玩家节奏1!$BX117,角色升级!$J:$J,1))</f>
        <v>21349.423619999998</v>
      </c>
      <c r="CJ117" s="90">
        <f>INDEX(关卡对比!$J:$J,MATCH(玩家节奏1!N117,关卡对比!$A:$A,0))</f>
        <v>33200</v>
      </c>
      <c r="CK117" s="147">
        <f t="shared" ca="1" si="109"/>
        <v>1.5550771107889987</v>
      </c>
      <c r="CL117" s="128">
        <f ca="1">INDEX(角色升级!$P:$P,MATCH(玩家节奏1!$CH117,角色升级!$A:$A,0))</f>
        <v>5900</v>
      </c>
      <c r="CM117" s="90">
        <f ca="1">INDEX(角色升级!Q:Q,MATCH(玩家节奏1!$CH117,角色升级!$A:$A,0))</f>
        <v>0.8</v>
      </c>
      <c r="CO117" s="128">
        <f t="shared" si="110"/>
        <v>17174</v>
      </c>
      <c r="CP117" s="90">
        <f t="shared" si="111"/>
        <v>21226</v>
      </c>
      <c r="CQ117" s="90">
        <f t="shared" si="112"/>
        <v>16224</v>
      </c>
      <c r="CR117" s="90">
        <f t="shared" ca="1" si="113"/>
        <v>51342.5</v>
      </c>
      <c r="CS117" s="90">
        <f t="shared" ca="1" si="114"/>
        <v>105966.5</v>
      </c>
      <c r="CT117" s="142">
        <f t="shared" ca="1" si="115"/>
        <v>0.16207008818824817</v>
      </c>
      <c r="CU117" s="142">
        <f t="shared" ca="1" si="116"/>
        <v>0.2003085880915195</v>
      </c>
      <c r="CV117" s="142">
        <f t="shared" ca="1" si="117"/>
        <v>0.15310499072820183</v>
      </c>
      <c r="CW117" s="142">
        <f t="shared" ca="1" si="118"/>
        <v>0.48451633299203051</v>
      </c>
      <c r="CY117" s="128">
        <f t="shared" si="119"/>
        <v>8588</v>
      </c>
      <c r="CZ117" s="90">
        <f t="shared" si="120"/>
        <v>10486</v>
      </c>
      <c r="DA117" s="90">
        <f t="shared" si="121"/>
        <v>9040</v>
      </c>
      <c r="DB117" s="90">
        <f t="shared" ca="1" si="122"/>
        <v>33472</v>
      </c>
      <c r="DC117" s="90">
        <f t="shared" ca="1" si="123"/>
        <v>61586</v>
      </c>
      <c r="DD117" s="142">
        <f t="shared" ca="1" si="124"/>
        <v>0.1394472769785341</v>
      </c>
      <c r="DE117" s="142">
        <f t="shared" ca="1" si="125"/>
        <v>0.17026596953853149</v>
      </c>
      <c r="DF117" s="142">
        <f t="shared" ca="1" si="126"/>
        <v>0.14678660734582535</v>
      </c>
      <c r="DG117" s="142">
        <f t="shared" ca="1" si="127"/>
        <v>0.54350014613710906</v>
      </c>
      <c r="DI117" s="128">
        <f t="shared" si="128"/>
        <v>4008</v>
      </c>
      <c r="DJ117" s="90">
        <f t="shared" si="129"/>
        <v>4917</v>
      </c>
      <c r="DK117" s="90">
        <f t="shared" si="130"/>
        <v>2944</v>
      </c>
      <c r="DL117" s="90">
        <f t="shared" ca="1" si="131"/>
        <v>4262.5</v>
      </c>
      <c r="DM117" s="90">
        <f t="shared" ca="1" si="132"/>
        <v>16131.5</v>
      </c>
      <c r="DN117" s="142">
        <f t="shared" ca="1" si="133"/>
        <v>0.24845798592815299</v>
      </c>
      <c r="DO117" s="142">
        <f t="shared" ca="1" si="134"/>
        <v>0.30480736447323559</v>
      </c>
      <c r="DP117" s="142">
        <f t="shared" ca="1" si="135"/>
        <v>0.18250007748814431</v>
      </c>
      <c r="DQ117" s="142">
        <f t="shared" ca="1" si="136"/>
        <v>0.26423457211046708</v>
      </c>
      <c r="DS117" s="128">
        <f t="shared" ca="1" si="137"/>
        <v>105966.5</v>
      </c>
      <c r="DT117" s="90">
        <f t="shared" ca="1" si="138"/>
        <v>61586</v>
      </c>
      <c r="DU117" s="90">
        <f t="shared" ca="1" si="139"/>
        <v>16131.5</v>
      </c>
      <c r="DV117" s="90">
        <f t="shared" si="140"/>
        <v>94</v>
      </c>
      <c r="DW117" s="90">
        <f ca="1">_xlfn.IFNA(INDEX(武器升级消耗!$H:$H,MATCH(玩家节奏1!DS117/玩家节奏1!DS$5,武器升级消耗!M:M,1)),0)</f>
        <v>30</v>
      </c>
      <c r="DX117" s="90">
        <f ca="1">_xlfn.IFNA(INDEX(武器升级消耗!$H:$H,MATCH(玩家节奏1!DT117/玩家节奏1!DT$5,武器升级消耗!N:N,1)),0)</f>
        <v>27</v>
      </c>
      <c r="DY117" s="90">
        <f ca="1">_xlfn.IFNA(INDEX(武器升级消耗!$H:$H,MATCH(玩家节奏1!DU117/玩家节奏1!DU$5,武器升级消耗!O:O,1)),0)</f>
        <v>18</v>
      </c>
      <c r="DZ117" s="90">
        <f>_xlfn.IFNA(INDEX(武器升级消耗!$H:$H,MATCH(玩家节奏1!DV117/玩家节奏1!DV$5,武器升级消耗!P:P,1)),0)</f>
        <v>10</v>
      </c>
      <c r="EA117" s="90">
        <f ca="1">_xlfn.IFNA(INDEX(武器升级消耗!$Q:$Q,MATCH(玩家节奏1!DW117,武器升级消耗!$H:$H,0))*2*EA$4,0)</f>
        <v>4.08</v>
      </c>
      <c r="EB117" s="90">
        <f ca="1">_xlfn.IFNA(INDEX(武器升级消耗!$Q:$Q,MATCH(玩家节奏1!DX117,武器升级消耗!$H:$H,0))*2*EB$4,0)</f>
        <v>4.6500000000000004</v>
      </c>
      <c r="EC117" s="90">
        <f ca="1">_xlfn.IFNA(INDEX(武器升级消耗!$Q:$Q,MATCH(玩家节奏1!DY117,武器升级消耗!$H:$H,0))*2*EC$4,1)</f>
        <v>4.8400000000000007</v>
      </c>
      <c r="ED117" s="90">
        <f>_xlfn.IFNA(INDEX(武器升级消耗!$Q:$Q,MATCH(玩家节奏1!DZ117,武器升级消耗!$H:$H,0))*2*ED$4,0)</f>
        <v>4.1999999999999993</v>
      </c>
    </row>
    <row r="118" spans="1:134" x14ac:dyDescent="0.25">
      <c r="A118" s="123">
        <v>112</v>
      </c>
      <c r="B118" s="123">
        <f>INDEX(关卡对比!$Y:$Y,MATCH(关卡对比!Z118,关卡对比!$AA:$AA,1))</f>
        <v>69</v>
      </c>
      <c r="C118" s="124">
        <f>INDEX(关卡对比!$Y:$Y,MATCH(关卡对比!Z118,关卡对比!$AB:$AB,1))</f>
        <v>55</v>
      </c>
      <c r="D118" s="125">
        <f t="shared" si="157"/>
        <v>677.5</v>
      </c>
      <c r="E118" s="125">
        <v>3</v>
      </c>
      <c r="F118" s="128">
        <v>5</v>
      </c>
      <c r="G118" s="90">
        <v>1</v>
      </c>
      <c r="H118" s="90">
        <v>1</v>
      </c>
      <c r="J118" s="128">
        <v>112</v>
      </c>
      <c r="K118" s="90">
        <f t="shared" si="152"/>
        <v>5</v>
      </c>
      <c r="L118" s="90">
        <f t="shared" si="153"/>
        <v>1</v>
      </c>
      <c r="M118" s="90">
        <f t="shared" si="154"/>
        <v>1</v>
      </c>
      <c r="N118" s="140">
        <f>INDEX($A:$A,MATCH(SUM($K$7:K118),$D:$D,1))</f>
        <v>94</v>
      </c>
      <c r="O118" s="140">
        <v>0</v>
      </c>
      <c r="P118" s="141">
        <v>0</v>
      </c>
      <c r="Q118" s="126">
        <f>_xlfn.MAXIFS(关卡产出!X:X,关卡产出!$A:$A,玩家节奏1!$N$6,关卡产出!$B:$B,玩家节奏1!$N118)+_xlfn.MAXIFS(关卡产出!X:X,关卡产出!$A:$A,玩家节奏1!$O$6,关卡产出!$B:$B,玩家节奏1!$O118)+_xlfn.MAXIFS(关卡产出!X:X,关卡产出!$A:$A,玩家节奏1!$P$6,关卡产出!$B:$B,玩家节奏1!$P118)</f>
        <v>17300</v>
      </c>
      <c r="R118" s="90">
        <f>_xlfn.MAXIFS(关卡产出!Y:Y,关卡产出!$A:$A,玩家节奏1!$N$6,关卡产出!$B:$B,玩家节奏1!$N118)+_xlfn.MAXIFS(关卡产出!Y:Y,关卡产出!$A:$A,玩家节奏1!$O$6,关卡产出!$B:$B,玩家节奏1!$O118)+_xlfn.MAXIFS(关卡产出!Y:Y,关卡产出!$A:$A,玩家节奏1!$P$6,关卡产出!$B:$B,玩家节奏1!$P118)</f>
        <v>2472800</v>
      </c>
      <c r="S118" s="90">
        <f>_xlfn.MAXIFS(关卡产出!Z:Z,关卡产出!$A:$A,玩家节奏1!$N$6,关卡产出!$B:$B,玩家节奏1!$N118)+_xlfn.MAXIFS(关卡产出!Z:Z,关卡产出!$A:$A,玩家节奏1!$O$6,关卡产出!$B:$B,玩家节奏1!$O118)+_xlfn.MAXIFS(关卡产出!Z:Z,关卡产出!$A:$A,玩家节奏1!$P$6,关卡产出!$B:$B,玩家节奏1!$P118)</f>
        <v>17174</v>
      </c>
      <c r="T118" s="90">
        <f>_xlfn.MAXIFS(关卡产出!AA:AA,关卡产出!$A:$A,玩家节奏1!$N$6,关卡产出!$B:$B,玩家节奏1!$N118)+_xlfn.MAXIFS(关卡产出!AA:AA,关卡产出!$A:$A,玩家节奏1!$O$6,关卡产出!$B:$B,玩家节奏1!$O118)+_xlfn.MAXIFS(关卡产出!AA:AA,关卡产出!$A:$A,玩家节奏1!$P$6,关卡产出!$B:$B,玩家节奏1!$P118)</f>
        <v>8588</v>
      </c>
      <c r="U118" s="90">
        <f>_xlfn.MAXIFS(关卡产出!AB:AB,关卡产出!$A:$A,玩家节奏1!$N$6,关卡产出!$B:$B,玩家节奏1!$N118)+_xlfn.MAXIFS(关卡产出!AB:AB,关卡产出!$A:$A,玩家节奏1!$O$6,关卡产出!$B:$B,玩家节奏1!$O118)+_xlfn.MAXIFS(关卡产出!AB:AB,关卡产出!$A:$A,玩家节奏1!$P$6,关卡产出!$B:$B,玩家节奏1!$P118)</f>
        <v>4008</v>
      </c>
      <c r="V118" s="130">
        <f>_xlfn.MAXIFS(关卡产出!AC:AC,关卡产出!$A:$A,玩家节奏1!$N$6,关卡产出!$B:$B,玩家节奏1!$N118)+_xlfn.MAXIFS(关卡产出!AC:AC,关卡产出!$A:$A,玩家节奏1!$O$6,关卡产出!$B:$B,玩家节奏1!$O118)+_xlfn.MAXIFS(关卡产出!AC:AC,关卡产出!$A:$A,玩家节奏1!$P$6,关卡产出!$B:$B,玩家节奏1!$P118)</f>
        <v>564</v>
      </c>
      <c r="W118" s="126">
        <f>INDEX(关卡产出!C$8:C$207,MATCH(玩家节奏1!$N118,关卡产出!$B$8:$B$207,0))*$K118</f>
        <v>370</v>
      </c>
      <c r="X118" s="126">
        <f>INDEX(关卡产出!D$8:D$207,MATCH(玩家节奏1!$N118,关卡产出!$B$8:$B$207,0))*$K118</f>
        <v>185</v>
      </c>
      <c r="Y118" s="126">
        <f>INDEX(关卡产出!E$8:E$207,MATCH(玩家节奏1!$N118,关卡产出!$B$8:$B$207,0))*$K118</f>
        <v>90</v>
      </c>
      <c r="Z118" s="144">
        <f>INDEX(关卡产出!F$8:F$207,MATCH(玩家节奏1!$N118,关卡产出!$B$8:$B$207,0))*$K118</f>
        <v>4950</v>
      </c>
      <c r="AA118" s="126">
        <f>SUM(W$7:W118)</f>
        <v>21596</v>
      </c>
      <c r="AB118" s="126">
        <f>SUM(X$7:X118)</f>
        <v>10671</v>
      </c>
      <c r="AC118" s="126">
        <f>SUM(Y$7:Y118)</f>
        <v>5007</v>
      </c>
      <c r="AD118" s="126">
        <f>SUM(Z$7:Z118)</f>
        <v>312560</v>
      </c>
      <c r="AE118" s="126">
        <f>INDEX(图鉴!AQ:AQ,MATCH($N118,图鉴!$S:$S,0))*8</f>
        <v>168</v>
      </c>
      <c r="AF118" s="90">
        <f>INDEX(图鉴!AR:AR,MATCH($N118,图鉴!$S:$S,0))*8</f>
        <v>120</v>
      </c>
      <c r="AG118" s="90">
        <f>INDEX(图鉴!AS:AS,MATCH($N118,图鉴!$S:$S,0))*8</f>
        <v>40</v>
      </c>
      <c r="AH118" s="129">
        <f ca="1">INDEX(图鉴!AT:AT,MATCH($N118,图鉴!$S:$S,0))*8</f>
        <v>9160</v>
      </c>
      <c r="AI118" s="128">
        <f>SUM($AE$7:AE118)</f>
        <v>16392</v>
      </c>
      <c r="AJ118" s="90">
        <f>SUM(AF$7:AF118)</f>
        <v>9160</v>
      </c>
      <c r="AK118" s="90">
        <f>SUM(AG$7:AG118)</f>
        <v>2984</v>
      </c>
      <c r="AL118" s="130">
        <f ca="1">SUM(AH$7:AH118)</f>
        <v>685880</v>
      </c>
      <c r="AM118" s="133">
        <f>IF(M118=0,0,INDEX(关卡产出!$AU$11:$AU$15,MATCH(玩家节奏1!N118,关卡产出!$AW$11:$AW$15,1))*M118)</f>
        <v>12200</v>
      </c>
      <c r="AN118" s="126">
        <f>IF(L118=0,0,$L118*关卡产出!AU$21)</f>
        <v>1000</v>
      </c>
      <c r="AO118" s="90">
        <f>IF(M118=0,0,$L118*关卡产出!AV$21)</f>
        <v>50</v>
      </c>
      <c r="AP118" s="129">
        <f>IF(N118=0,0,$L118*关卡产出!AW$21)</f>
        <v>1</v>
      </c>
      <c r="AQ118" s="138">
        <f>SUM(AN$7:AN118)</f>
        <v>95000</v>
      </c>
      <c r="AR118" s="126">
        <f>SUM(AO$7:AO118)</f>
        <v>4750</v>
      </c>
      <c r="AS118" s="129">
        <f>SUM(AP$7:AP118)</f>
        <v>95</v>
      </c>
      <c r="AT118" s="128">
        <v>500</v>
      </c>
      <c r="AU118" s="129">
        <v>100</v>
      </c>
      <c r="AV118" s="128">
        <f>SUM(AT$7:AT118)</f>
        <v>56000</v>
      </c>
      <c r="AW118" s="90">
        <f>SUM(AU$7:AU118)</f>
        <v>11200</v>
      </c>
      <c r="AY118" s="128">
        <f t="shared" si="91"/>
        <v>17300</v>
      </c>
      <c r="AZ118" s="90">
        <f t="shared" si="92"/>
        <v>4750</v>
      </c>
      <c r="BA118" s="90">
        <f t="shared" si="93"/>
        <v>11200</v>
      </c>
      <c r="BB118" s="90">
        <f t="shared" ca="1" si="143"/>
        <v>5900</v>
      </c>
      <c r="BC118" s="90">
        <f t="shared" ca="1" si="144"/>
        <v>39150</v>
      </c>
      <c r="BD118" s="90"/>
      <c r="BE118" s="90">
        <f t="shared" ca="1" si="94"/>
        <v>39150</v>
      </c>
      <c r="BF118" s="142">
        <f t="shared" ca="1" si="95"/>
        <v>0.44189016602809705</v>
      </c>
      <c r="BG118" s="142">
        <f t="shared" ca="1" si="96"/>
        <v>0.12132822477650064</v>
      </c>
      <c r="BH118" s="142">
        <f t="shared" ca="1" si="155"/>
        <v>0.28607918263090676</v>
      </c>
      <c r="BI118" s="142">
        <f t="shared" ca="1" si="156"/>
        <v>0.15070242656449553</v>
      </c>
      <c r="BJ118" s="143"/>
      <c r="BK118" s="128">
        <f ca="1">INDEX(商城宝箱!$L:$L,MATCH(BC118,商城宝箱!$N:$N,1))</f>
        <v>8</v>
      </c>
      <c r="BL118" s="90">
        <f ca="1">_xlfn.IFNA(INDEX(商城宝箱!T:T,MATCH(玩家节奏1!$BK118,商城宝箱!$L:$L,0)),0)+($BC118-INDEX(商城宝箱!$N:$N,MATCH(玩家节奏1!$BK118,商城宝箱!$L:$L,0)))/$BK$5*INDEX(商城宝箱!E$23:E$42,MATCH(玩家节奏1!$BK118+1,商城宝箱!$C$23:$C$42,0))</f>
        <v>97875</v>
      </c>
      <c r="BM118" s="90">
        <f ca="1">_xlfn.IFNA(INDEX(商城宝箱!U:U,MATCH(玩家节奏1!$BK118,商城宝箱!$L:$L,0)),0)+($BC118-INDEX(商城宝箱!$N:$N,MATCH(玩家节奏1!$BK118,商城宝箱!$L:$L,0)))/$BK$5*INDEX(商城宝箱!F$23:F$42,MATCH(玩家节奏1!$BK118+1,商城宝箱!$C$23:$C$42,0))</f>
        <v>51672.5</v>
      </c>
      <c r="BN118" s="90">
        <f ca="1">_xlfn.IFNA(INDEX(商城宝箱!V:V,MATCH(玩家节奏1!$BK118,商城宝箱!$L:$L,0)),0)+($BC118-INDEX(商城宝箱!$N:$N,MATCH(玩家节奏1!$BK118,商城宝箱!$L:$L,0)))/$BK$5*INDEX(商城宝箱!G$23:G$42,MATCH(玩家节奏1!$BK118+1,商城宝箱!$C$23:$C$42,0))</f>
        <v>33719.5</v>
      </c>
      <c r="BO118" s="90">
        <f ca="1">_xlfn.IFNA(INDEX(商城宝箱!W:W,MATCH(玩家节奏1!$BK118,商城宝箱!$L:$L,0)),0)+($BC118-INDEX(商城宝箱!$N:$N,MATCH(玩家节奏1!$BK118,商城宝箱!$L:$L,0)))/$BK$5*INDEX(商城宝箱!H$23:H$42,MATCH(玩家节奏1!$BK118+1,商城宝箱!$C$23:$C$42,0))</f>
        <v>4291</v>
      </c>
      <c r="BQ118" s="128">
        <f t="shared" si="146"/>
        <v>2472800</v>
      </c>
      <c r="BR118" s="90">
        <f t="shared" si="147"/>
        <v>312560</v>
      </c>
      <c r="BS118" s="90">
        <f t="shared" ca="1" si="148"/>
        <v>685880</v>
      </c>
      <c r="BT118" s="90">
        <f t="shared" si="149"/>
        <v>12200</v>
      </c>
      <c r="BU118" s="90">
        <f t="shared" si="150"/>
        <v>95000</v>
      </c>
      <c r="BV118" s="90">
        <f t="shared" si="151"/>
        <v>56000</v>
      </c>
      <c r="BW118" s="90">
        <f t="shared" ca="1" si="99"/>
        <v>97875</v>
      </c>
      <c r="BX118" s="90">
        <f t="shared" ca="1" si="100"/>
        <v>3732315</v>
      </c>
      <c r="BY118" s="142">
        <f t="shared" ca="1" si="101"/>
        <v>0.66253786189000663</v>
      </c>
      <c r="BZ118" s="142">
        <f t="shared" ca="1" si="102"/>
        <v>8.3744271316863655E-2</v>
      </c>
      <c r="CA118" s="142">
        <f t="shared" ca="1" si="103"/>
        <v>0.18376798314183021</v>
      </c>
      <c r="CB118" s="142">
        <f t="shared" ca="1" si="104"/>
        <v>3.2687487524498868E-3</v>
      </c>
      <c r="CC118" s="142">
        <f t="shared" ca="1" si="105"/>
        <v>2.5453371433011414E-2</v>
      </c>
      <c r="CD118" s="142">
        <f t="shared" ca="1" si="106"/>
        <v>1.5004092634196203E-2</v>
      </c>
      <c r="CE118" s="142">
        <f t="shared" ca="1" si="107"/>
        <v>2.6223670831642024E-2</v>
      </c>
      <c r="CG118" s="128">
        <f t="shared" si="108"/>
        <v>94</v>
      </c>
      <c r="CH118" s="90">
        <f ca="1">INDEX(角色升级!$A:$A,MATCH(玩家节奏1!$BX118,角色升级!$J:$J,1))</f>
        <v>520</v>
      </c>
      <c r="CI118" s="90">
        <f ca="1">INDEX(角色升级!$O:$O,MATCH(玩家节奏1!$BX118,角色升级!$J:$J,1))</f>
        <v>21577.624110000001</v>
      </c>
      <c r="CJ118" s="90">
        <f>INDEX(关卡对比!$J:$J,MATCH(玩家节奏1!N118,关卡对比!$A:$A,0))</f>
        <v>33200</v>
      </c>
      <c r="CK118" s="147">
        <f t="shared" ca="1" si="109"/>
        <v>1.5386309368793616</v>
      </c>
      <c r="CL118" s="128">
        <f ca="1">INDEX(角色升级!$P:$P,MATCH(玩家节奏1!$CH118,角色升级!$A:$A,0))</f>
        <v>6700</v>
      </c>
      <c r="CM118" s="90">
        <f ca="1">INDEX(角色升级!Q:Q,MATCH(玩家节奏1!$CH118,角色升级!$A:$A,0))</f>
        <v>0.8</v>
      </c>
      <c r="CO118" s="128">
        <f t="shared" si="110"/>
        <v>17174</v>
      </c>
      <c r="CP118" s="90">
        <f t="shared" si="111"/>
        <v>21596</v>
      </c>
      <c r="CQ118" s="90">
        <f t="shared" si="112"/>
        <v>16392</v>
      </c>
      <c r="CR118" s="90">
        <f t="shared" ca="1" si="113"/>
        <v>51672.5</v>
      </c>
      <c r="CS118" s="90">
        <f t="shared" ca="1" si="114"/>
        <v>106834.5</v>
      </c>
      <c r="CT118" s="142">
        <f t="shared" ca="1" si="115"/>
        <v>0.16075331470639168</v>
      </c>
      <c r="CU118" s="142">
        <f t="shared" ca="1" si="116"/>
        <v>0.20214443836026752</v>
      </c>
      <c r="CV118" s="142">
        <f t="shared" ca="1" si="117"/>
        <v>0.15343358184856015</v>
      </c>
      <c r="CW118" s="142">
        <f t="shared" ca="1" si="118"/>
        <v>0.48366866508478068</v>
      </c>
      <c r="CY118" s="128">
        <f t="shared" si="119"/>
        <v>8588</v>
      </c>
      <c r="CZ118" s="90">
        <f t="shared" si="120"/>
        <v>10671</v>
      </c>
      <c r="DA118" s="90">
        <f t="shared" si="121"/>
        <v>9160</v>
      </c>
      <c r="DB118" s="90">
        <f t="shared" ca="1" si="122"/>
        <v>33719.5</v>
      </c>
      <c r="DC118" s="90">
        <f t="shared" ca="1" si="123"/>
        <v>62138.5</v>
      </c>
      <c r="DD118" s="142">
        <f t="shared" ca="1" si="124"/>
        <v>0.13820739155274106</v>
      </c>
      <c r="DE118" s="142">
        <f t="shared" ca="1" si="125"/>
        <v>0.17172928216806005</v>
      </c>
      <c r="DF118" s="142">
        <f t="shared" ca="1" si="126"/>
        <v>0.14741263467898325</v>
      </c>
      <c r="DG118" s="142">
        <f t="shared" ca="1" si="127"/>
        <v>0.54265069160021562</v>
      </c>
      <c r="DI118" s="128">
        <f t="shared" si="128"/>
        <v>4008</v>
      </c>
      <c r="DJ118" s="90">
        <f t="shared" si="129"/>
        <v>5007</v>
      </c>
      <c r="DK118" s="90">
        <f t="shared" si="130"/>
        <v>2984</v>
      </c>
      <c r="DL118" s="90">
        <f t="shared" ca="1" si="131"/>
        <v>4291</v>
      </c>
      <c r="DM118" s="90">
        <f t="shared" ca="1" si="132"/>
        <v>16290</v>
      </c>
      <c r="DN118" s="142">
        <f t="shared" ca="1" si="133"/>
        <v>0.24604051565377533</v>
      </c>
      <c r="DO118" s="142">
        <f t="shared" ca="1" si="134"/>
        <v>0.30736648250460408</v>
      </c>
      <c r="DP118" s="142">
        <f t="shared" ca="1" si="135"/>
        <v>0.18317986494782074</v>
      </c>
      <c r="DQ118" s="142">
        <f t="shared" ca="1" si="136"/>
        <v>0.26341313689379986</v>
      </c>
      <c r="DS118" s="128">
        <f t="shared" ca="1" si="137"/>
        <v>106834.5</v>
      </c>
      <c r="DT118" s="90">
        <f t="shared" ca="1" si="138"/>
        <v>62138.5</v>
      </c>
      <c r="DU118" s="90">
        <f t="shared" ca="1" si="139"/>
        <v>16290</v>
      </c>
      <c r="DV118" s="90">
        <f t="shared" si="140"/>
        <v>95</v>
      </c>
      <c r="DW118" s="90">
        <f ca="1">_xlfn.IFNA(INDEX(武器升级消耗!$H:$H,MATCH(玩家节奏1!DS118/玩家节奏1!DS$5,武器升级消耗!M:M,1)),0)</f>
        <v>30</v>
      </c>
      <c r="DX118" s="90">
        <f ca="1">_xlfn.IFNA(INDEX(武器升级消耗!$H:$H,MATCH(玩家节奏1!DT118/玩家节奏1!DT$5,武器升级消耗!N:N,1)),0)</f>
        <v>27</v>
      </c>
      <c r="DY118" s="90">
        <f ca="1">_xlfn.IFNA(INDEX(武器升级消耗!$H:$H,MATCH(玩家节奏1!DU118/玩家节奏1!DU$5,武器升级消耗!O:O,1)),0)</f>
        <v>18</v>
      </c>
      <c r="DZ118" s="90">
        <f>_xlfn.IFNA(INDEX(武器升级消耗!$H:$H,MATCH(玩家节奏1!DV118/玩家节奏1!DV$5,武器升级消耗!P:P,1)),0)</f>
        <v>10</v>
      </c>
      <c r="EA118" s="90">
        <f ca="1">_xlfn.IFNA(INDEX(武器升级消耗!$Q:$Q,MATCH(玩家节奏1!DW118,武器升级消耗!$H:$H,0))*2*EA$4,0)</f>
        <v>4.08</v>
      </c>
      <c r="EB118" s="90">
        <f ca="1">_xlfn.IFNA(INDEX(武器升级消耗!$Q:$Q,MATCH(玩家节奏1!DX118,武器升级消耗!$H:$H,0))*2*EB$4,0)</f>
        <v>4.6500000000000004</v>
      </c>
      <c r="EC118" s="90">
        <f ca="1">_xlfn.IFNA(INDEX(武器升级消耗!$Q:$Q,MATCH(玩家节奏1!DY118,武器升级消耗!$H:$H,0))*2*EC$4,1)</f>
        <v>4.8400000000000007</v>
      </c>
      <c r="ED118" s="90">
        <f>_xlfn.IFNA(INDEX(武器升级消耗!$Q:$Q,MATCH(玩家节奏1!DZ118,武器升级消耗!$H:$H,0))*2*ED$4,0)</f>
        <v>4.1999999999999993</v>
      </c>
    </row>
    <row r="119" spans="1:134" x14ac:dyDescent="0.25">
      <c r="A119" s="123">
        <v>113</v>
      </c>
      <c r="B119" s="123">
        <f>INDEX(关卡对比!$Y:$Y,MATCH(关卡对比!Z119,关卡对比!$AA:$AA,1))</f>
        <v>70</v>
      </c>
      <c r="C119" s="124">
        <f>INDEX(关卡对比!$Y:$Y,MATCH(关卡对比!Z119,关卡对比!$AB:$AB,1))</f>
        <v>56</v>
      </c>
      <c r="D119" s="125">
        <f t="shared" si="157"/>
        <v>686.5</v>
      </c>
      <c r="E119" s="125">
        <v>3</v>
      </c>
      <c r="F119" s="128">
        <v>5</v>
      </c>
      <c r="G119" s="90">
        <v>1</v>
      </c>
      <c r="H119" s="90">
        <v>1</v>
      </c>
      <c r="J119" s="128">
        <v>113</v>
      </c>
      <c r="K119" s="90">
        <f t="shared" si="152"/>
        <v>5</v>
      </c>
      <c r="L119" s="90">
        <f t="shared" si="153"/>
        <v>1</v>
      </c>
      <c r="M119" s="90">
        <f t="shared" si="154"/>
        <v>1</v>
      </c>
      <c r="N119" s="140">
        <f>INDEX($A:$A,MATCH(SUM($K$7:K119),$D:$D,1))</f>
        <v>95</v>
      </c>
      <c r="O119" s="140">
        <v>0</v>
      </c>
      <c r="P119" s="141">
        <v>0</v>
      </c>
      <c r="Q119" s="126">
        <f>_xlfn.MAXIFS(关卡产出!X:X,关卡产出!$A:$A,玩家节奏1!$N$6,关卡产出!$B:$B,玩家节奏1!$N119)+_xlfn.MAXIFS(关卡产出!X:X,关卡产出!$A:$A,玩家节奏1!$O$6,关卡产出!$B:$B,玩家节奏1!$O119)+_xlfn.MAXIFS(关卡产出!X:X,关卡产出!$A:$A,玩家节奏1!$P$6,关卡产出!$B:$B,玩家节奏1!$P119)</f>
        <v>17500</v>
      </c>
      <c r="R119" s="90">
        <f>_xlfn.MAXIFS(关卡产出!Y:Y,关卡产出!$A:$A,玩家节奏1!$N$6,关卡产出!$B:$B,玩家节奏1!$N119)+_xlfn.MAXIFS(关卡产出!Y:Y,关卡产出!$A:$A,玩家节奏1!$O$6,关卡产出!$B:$B,玩家节奏1!$O119)+_xlfn.MAXIFS(关卡产出!Y:Y,关卡产出!$A:$A,玩家节奏1!$P$6,关卡产出!$B:$B,玩家节奏1!$P119)</f>
        <v>2527500</v>
      </c>
      <c r="S119" s="90">
        <f>_xlfn.MAXIFS(关卡产出!Z:Z,关卡产出!$A:$A,玩家节奏1!$N$6,关卡产出!$B:$B,玩家节奏1!$N119)+_xlfn.MAXIFS(关卡产出!Z:Z,关卡产出!$A:$A,玩家节奏1!$O$6,关卡产出!$B:$B,玩家节奏1!$O119)+_xlfn.MAXIFS(关卡产出!Z:Z,关卡产出!$A:$A,玩家节奏1!$P$6,关卡产出!$B:$B,玩家节奏1!$P119)</f>
        <v>17546</v>
      </c>
      <c r="T119" s="90">
        <f>_xlfn.MAXIFS(关卡产出!AA:AA,关卡产出!$A:$A,玩家节奏1!$N$6,关卡产出!$B:$B,玩家节奏1!$N119)+_xlfn.MAXIFS(关卡产出!AA:AA,关卡产出!$A:$A,玩家节奏1!$O$6,关卡产出!$B:$B,玩家节奏1!$O119)+_xlfn.MAXIFS(关卡产出!AA:AA,关卡产出!$A:$A,玩家节奏1!$P$6,关卡产出!$B:$B,玩家节奏1!$P119)</f>
        <v>8774</v>
      </c>
      <c r="U119" s="90">
        <f>_xlfn.MAXIFS(关卡产出!AB:AB,关卡产出!$A:$A,玩家节奏1!$N$6,关卡产出!$B:$B,玩家节奏1!$N119)+_xlfn.MAXIFS(关卡产出!AB:AB,关卡产出!$A:$A,玩家节奏1!$O$6,关卡产出!$B:$B,玩家节奏1!$O119)+_xlfn.MAXIFS(关卡产出!AB:AB,关卡产出!$A:$A,玩家节奏1!$P$6,关卡产出!$B:$B,玩家节奏1!$P119)</f>
        <v>4098</v>
      </c>
      <c r="V119" s="130">
        <f>_xlfn.MAXIFS(关卡产出!AC:AC,关卡产出!$A:$A,玩家节奏1!$N$6,关卡产出!$B:$B,玩家节奏1!$N119)+_xlfn.MAXIFS(关卡产出!AC:AC,关卡产出!$A:$A,玩家节奏1!$O$6,关卡产出!$B:$B,玩家节奏1!$O119)+_xlfn.MAXIFS(关卡产出!AC:AC,关卡产出!$A:$A,玩家节奏1!$P$6,关卡产出!$B:$B,玩家节奏1!$P119)</f>
        <v>570</v>
      </c>
      <c r="W119" s="126">
        <f>INDEX(关卡产出!C$8:C$207,MATCH(玩家节奏1!$N119,关卡产出!$B$8:$B$207,0))*$K119</f>
        <v>370</v>
      </c>
      <c r="X119" s="126">
        <f>INDEX(关卡产出!D$8:D$207,MATCH(玩家节奏1!$N119,关卡产出!$B$8:$B$207,0))*$K119</f>
        <v>185</v>
      </c>
      <c r="Y119" s="126">
        <f>INDEX(关卡产出!E$8:E$207,MATCH(玩家节奏1!$N119,关卡产出!$B$8:$B$207,0))*$K119</f>
        <v>90</v>
      </c>
      <c r="Z119" s="144">
        <f>INDEX(关卡产出!F$8:F$207,MATCH(玩家节奏1!$N119,关卡产出!$B$8:$B$207,0))*$K119</f>
        <v>5050</v>
      </c>
      <c r="AA119" s="126">
        <f>SUM(W$7:W119)</f>
        <v>21966</v>
      </c>
      <c r="AB119" s="126">
        <f>SUM(X$7:X119)</f>
        <v>10856</v>
      </c>
      <c r="AC119" s="126">
        <f>SUM(Y$7:Y119)</f>
        <v>5097</v>
      </c>
      <c r="AD119" s="126">
        <f>SUM(Z$7:Z119)</f>
        <v>317610</v>
      </c>
      <c r="AE119" s="126">
        <f>INDEX(图鉴!AQ:AQ,MATCH($N119,图鉴!$S:$S,0))*8</f>
        <v>168</v>
      </c>
      <c r="AF119" s="90">
        <f>INDEX(图鉴!AR:AR,MATCH($N119,图鉴!$S:$S,0))*8</f>
        <v>120</v>
      </c>
      <c r="AG119" s="90">
        <f>INDEX(图鉴!AS:AS,MATCH($N119,图鉴!$S:$S,0))*8</f>
        <v>48</v>
      </c>
      <c r="AH119" s="129">
        <f ca="1">INDEX(图鉴!AT:AT,MATCH($N119,图鉴!$S:$S,0))*8</f>
        <v>9640</v>
      </c>
      <c r="AI119" s="128">
        <f>SUM($AE$7:AE119)</f>
        <v>16560</v>
      </c>
      <c r="AJ119" s="90">
        <f>SUM(AF$7:AF119)</f>
        <v>9280</v>
      </c>
      <c r="AK119" s="90">
        <f>SUM(AG$7:AG119)</f>
        <v>3032</v>
      </c>
      <c r="AL119" s="130">
        <f ca="1">SUM(AH$7:AH119)</f>
        <v>695520</v>
      </c>
      <c r="AM119" s="133">
        <f>IF(M119=0,0,INDEX(关卡产出!$AU$11:$AU$15,MATCH(玩家节奏1!N119,关卡产出!$AW$11:$AW$15,1))*M119)</f>
        <v>12200</v>
      </c>
      <c r="AN119" s="126">
        <f>IF(L119=0,0,$L119*关卡产出!AU$21)</f>
        <v>1000</v>
      </c>
      <c r="AO119" s="90">
        <f>IF(M119=0,0,$L119*关卡产出!AV$21)</f>
        <v>50</v>
      </c>
      <c r="AP119" s="129">
        <f>IF(N119=0,0,$L119*关卡产出!AW$21)</f>
        <v>1</v>
      </c>
      <c r="AQ119" s="138">
        <f>SUM(AN$7:AN119)</f>
        <v>96000</v>
      </c>
      <c r="AR119" s="126">
        <f>SUM(AO$7:AO119)</f>
        <v>4800</v>
      </c>
      <c r="AS119" s="129">
        <f>SUM(AP$7:AP119)</f>
        <v>96</v>
      </c>
      <c r="AT119" s="128">
        <v>500</v>
      </c>
      <c r="AU119" s="129">
        <v>100</v>
      </c>
      <c r="AV119" s="128">
        <f>SUM(AT$7:AT119)</f>
        <v>56500</v>
      </c>
      <c r="AW119" s="90">
        <f>SUM(AU$7:AU119)</f>
        <v>11300</v>
      </c>
      <c r="AY119" s="128">
        <f t="shared" si="91"/>
        <v>17500</v>
      </c>
      <c r="AZ119" s="90">
        <f t="shared" si="92"/>
        <v>4800</v>
      </c>
      <c r="BA119" s="90">
        <f t="shared" si="93"/>
        <v>11300</v>
      </c>
      <c r="BB119" s="90">
        <f t="shared" ca="1" si="143"/>
        <v>6700</v>
      </c>
      <c r="BC119" s="90">
        <f t="shared" ca="1" si="144"/>
        <v>40300</v>
      </c>
      <c r="BD119" s="90"/>
      <c r="BE119" s="90">
        <f t="shared" ca="1" si="94"/>
        <v>40300</v>
      </c>
      <c r="BF119" s="142">
        <f t="shared" ca="1" si="95"/>
        <v>0.43424317617866004</v>
      </c>
      <c r="BG119" s="142">
        <f t="shared" ca="1" si="96"/>
        <v>0.11910669975186104</v>
      </c>
      <c r="BH119" s="142">
        <f t="shared" ca="1" si="155"/>
        <v>0.28039702233250619</v>
      </c>
      <c r="BI119" s="142">
        <f t="shared" ca="1" si="156"/>
        <v>0.16625310173697269</v>
      </c>
      <c r="BJ119" s="143"/>
      <c r="BK119" s="128">
        <f ca="1">INDEX(商城宝箱!$L:$L,MATCH(BC119,商城宝箱!$N:$N,1))</f>
        <v>8</v>
      </c>
      <c r="BL119" s="90">
        <f ca="1">_xlfn.IFNA(INDEX(商城宝箱!T:T,MATCH(玩家节奏1!$BK119,商城宝箱!$L:$L,0)),0)+($BC119-INDEX(商城宝箱!$N:$N,MATCH(玩家节奏1!$BK119,商城宝箱!$L:$L,0)))/$BK$5*INDEX(商城宝箱!E$23:E$42,MATCH(玩家节奏1!$BK119+1,商城宝箱!$C$23:$C$42,0))</f>
        <v>100750</v>
      </c>
      <c r="BM119" s="90">
        <f ca="1">_xlfn.IFNA(INDEX(商城宝箱!U:U,MATCH(玩家节奏1!$BK119,商城宝箱!$L:$L,0)),0)+($BC119-INDEX(商城宝箱!$N:$N,MATCH(玩家节奏1!$BK119,商城宝箱!$L:$L,0)))/$BK$5*INDEX(商城宝箱!F$23:F$42,MATCH(玩家节奏1!$BK119+1,商城宝箱!$C$23:$C$42,0))</f>
        <v>54202.5</v>
      </c>
      <c r="BN119" s="90">
        <f ca="1">_xlfn.IFNA(INDEX(商城宝箱!V:V,MATCH(玩家节奏1!$BK119,商城宝箱!$L:$L,0)),0)+($BC119-INDEX(商城宝箱!$N:$N,MATCH(玩家节奏1!$BK119,商城宝箱!$L:$L,0)))/$BK$5*INDEX(商城宝箱!G$23:G$42,MATCH(玩家节奏1!$BK119+1,商城宝箱!$C$23:$C$42,0))</f>
        <v>35617</v>
      </c>
      <c r="BO119" s="90">
        <f ca="1">_xlfn.IFNA(INDEX(商城宝箱!W:W,MATCH(玩家节奏1!$BK119,商城宝箱!$L:$L,0)),0)+($BC119-INDEX(商城宝箱!$N:$N,MATCH(玩家节奏1!$BK119,商城宝箱!$L:$L,0)))/$BK$5*INDEX(商城宝箱!H$23:H$42,MATCH(玩家节奏1!$BK119+1,商城宝箱!$C$23:$C$42,0))</f>
        <v>4509.5</v>
      </c>
      <c r="BQ119" s="128">
        <f t="shared" si="146"/>
        <v>2527500</v>
      </c>
      <c r="BR119" s="90">
        <f t="shared" si="147"/>
        <v>317610</v>
      </c>
      <c r="BS119" s="90">
        <f t="shared" ca="1" si="148"/>
        <v>695520</v>
      </c>
      <c r="BT119" s="90">
        <f t="shared" si="149"/>
        <v>12200</v>
      </c>
      <c r="BU119" s="90">
        <f t="shared" si="150"/>
        <v>96000</v>
      </c>
      <c r="BV119" s="90">
        <f t="shared" si="151"/>
        <v>56500</v>
      </c>
      <c r="BW119" s="90">
        <f t="shared" ca="1" si="99"/>
        <v>100750</v>
      </c>
      <c r="BX119" s="90">
        <f t="shared" ca="1" si="100"/>
        <v>3806080</v>
      </c>
      <c r="BY119" s="142">
        <f t="shared" ca="1" si="101"/>
        <v>0.66406906843786784</v>
      </c>
      <c r="BZ119" s="142">
        <f t="shared" ca="1" si="102"/>
        <v>8.3448062048091479E-2</v>
      </c>
      <c r="CA119" s="142">
        <f t="shared" ca="1" si="103"/>
        <v>0.18273919623339499</v>
      </c>
      <c r="CB119" s="142">
        <f t="shared" ca="1" si="104"/>
        <v>3.20539767950227E-3</v>
      </c>
      <c r="CC119" s="142">
        <f t="shared" ca="1" si="105"/>
        <v>2.5222801412476879E-2</v>
      </c>
      <c r="CD119" s="142">
        <f t="shared" ca="1" si="106"/>
        <v>1.4844669581301496E-2</v>
      </c>
      <c r="CE119" s="142">
        <f t="shared" ca="1" si="107"/>
        <v>2.6470804607365058E-2</v>
      </c>
      <c r="CG119" s="128">
        <f t="shared" si="108"/>
        <v>95</v>
      </c>
      <c r="CH119" s="90">
        <f ca="1">INDEX(角色升级!$A:$A,MATCH(玩家节奏1!$BX119,角色升级!$J:$J,1))</f>
        <v>524</v>
      </c>
      <c r="CI119" s="90">
        <f ca="1">INDEX(角色升级!$O:$O,MATCH(玩家节奏1!$BX119,角色升级!$J:$J,1))</f>
        <v>21651.456869999998</v>
      </c>
      <c r="CJ119" s="90">
        <f>INDEX(关卡对比!$J:$J,MATCH(玩家节奏1!N119,关卡对比!$A:$A,0))</f>
        <v>33700</v>
      </c>
      <c r="CK119" s="147">
        <f t="shared" ca="1" si="109"/>
        <v>1.5564772478056348</v>
      </c>
      <c r="CL119" s="128">
        <f ca="1">INDEX(角色升级!$P:$P,MATCH(玩家节奏1!$CH119,角色升级!$A:$A,0))</f>
        <v>6700</v>
      </c>
      <c r="CM119" s="90">
        <f ca="1">INDEX(角色升级!Q:Q,MATCH(玩家节奏1!$CH119,角色升级!$A:$A,0))</f>
        <v>0.8</v>
      </c>
      <c r="CO119" s="128">
        <f t="shared" si="110"/>
        <v>17546</v>
      </c>
      <c r="CP119" s="90">
        <f t="shared" si="111"/>
        <v>21966</v>
      </c>
      <c r="CQ119" s="90">
        <f t="shared" si="112"/>
        <v>16560</v>
      </c>
      <c r="CR119" s="90">
        <f t="shared" ca="1" si="113"/>
        <v>54202.5</v>
      </c>
      <c r="CS119" s="90">
        <f t="shared" ca="1" si="114"/>
        <v>110274.5</v>
      </c>
      <c r="CT119" s="142">
        <f t="shared" ca="1" si="115"/>
        <v>0.15911203406045821</v>
      </c>
      <c r="CU119" s="142">
        <f t="shared" ca="1" si="116"/>
        <v>0.19919382994255244</v>
      </c>
      <c r="CV119" s="142">
        <f t="shared" ca="1" si="117"/>
        <v>0.15017071036368335</v>
      </c>
      <c r="CW119" s="142">
        <f t="shared" ca="1" si="118"/>
        <v>0.49152342563330598</v>
      </c>
      <c r="CY119" s="128">
        <f t="shared" si="119"/>
        <v>8774</v>
      </c>
      <c r="CZ119" s="90">
        <f t="shared" si="120"/>
        <v>10856</v>
      </c>
      <c r="DA119" s="90">
        <f t="shared" si="121"/>
        <v>9280</v>
      </c>
      <c r="DB119" s="90">
        <f t="shared" ca="1" si="122"/>
        <v>35617</v>
      </c>
      <c r="DC119" s="90">
        <f t="shared" ca="1" si="123"/>
        <v>64527</v>
      </c>
      <c r="DD119" s="142">
        <f t="shared" ca="1" si="124"/>
        <v>0.1359740883661103</v>
      </c>
      <c r="DE119" s="142">
        <f t="shared" ca="1" si="125"/>
        <v>0.16823965161870225</v>
      </c>
      <c r="DF119" s="142">
        <f t="shared" ca="1" si="126"/>
        <v>0.14381576704325322</v>
      </c>
      <c r="DG119" s="142">
        <f t="shared" ca="1" si="127"/>
        <v>0.55197049297193423</v>
      </c>
      <c r="DI119" s="128">
        <f t="shared" si="128"/>
        <v>4098</v>
      </c>
      <c r="DJ119" s="90">
        <f t="shared" si="129"/>
        <v>5097</v>
      </c>
      <c r="DK119" s="90">
        <f t="shared" si="130"/>
        <v>3032</v>
      </c>
      <c r="DL119" s="90">
        <f t="shared" ca="1" si="131"/>
        <v>4509.5</v>
      </c>
      <c r="DM119" s="90">
        <f t="shared" ca="1" si="132"/>
        <v>16736.5</v>
      </c>
      <c r="DN119" s="142">
        <f t="shared" ca="1" si="133"/>
        <v>0.24485406148238878</v>
      </c>
      <c r="DO119" s="142">
        <f t="shared" ca="1" si="134"/>
        <v>0.3045439608042303</v>
      </c>
      <c r="DP119" s="142">
        <f t="shared" ca="1" si="135"/>
        <v>0.18116093567950289</v>
      </c>
      <c r="DQ119" s="142">
        <f t="shared" ca="1" si="136"/>
        <v>0.26944104203387803</v>
      </c>
      <c r="DS119" s="128">
        <f t="shared" ca="1" si="137"/>
        <v>110274.5</v>
      </c>
      <c r="DT119" s="90">
        <f t="shared" ca="1" si="138"/>
        <v>64527</v>
      </c>
      <c r="DU119" s="90">
        <f t="shared" ca="1" si="139"/>
        <v>16736.5</v>
      </c>
      <c r="DV119" s="90">
        <f t="shared" si="140"/>
        <v>96</v>
      </c>
      <c r="DW119" s="90">
        <f ca="1">_xlfn.IFNA(INDEX(武器升级消耗!$H:$H,MATCH(玩家节奏1!DS119/玩家节奏1!DS$5,武器升级消耗!M:M,1)),0)</f>
        <v>30</v>
      </c>
      <c r="DX119" s="90">
        <f ca="1">_xlfn.IFNA(INDEX(武器升级消耗!$H:$H,MATCH(玩家节奏1!DT119/玩家节奏1!DT$5,武器升级消耗!N:N,1)),0)</f>
        <v>28</v>
      </c>
      <c r="DY119" s="90">
        <f ca="1">_xlfn.IFNA(INDEX(武器升级消耗!$H:$H,MATCH(玩家节奏1!DU119/玩家节奏1!DU$5,武器升级消耗!O:O,1)),0)</f>
        <v>18</v>
      </c>
      <c r="DZ119" s="90">
        <f>_xlfn.IFNA(INDEX(武器升级消耗!$H:$H,MATCH(玩家节奏1!DV119/玩家节奏1!DV$5,武器升级消耗!P:P,1)),0)</f>
        <v>10</v>
      </c>
      <c r="EA119" s="90">
        <f ca="1">_xlfn.IFNA(INDEX(武器升级消耗!$Q:$Q,MATCH(玩家节奏1!DW119,武器升级消耗!$H:$H,0))*2*EA$4,0)</f>
        <v>4.08</v>
      </c>
      <c r="EB119" s="90">
        <f ca="1">_xlfn.IFNA(INDEX(武器升级消耗!$Q:$Q,MATCH(玩家节奏1!DX119,武器升级消耗!$H:$H,0))*2*EB$4,0)</f>
        <v>4.8000000000000007</v>
      </c>
      <c r="EC119" s="90">
        <f ca="1">_xlfn.IFNA(INDEX(武器升级消耗!$Q:$Q,MATCH(玩家节奏1!DY119,武器升级消耗!$H:$H,0))*2*EC$4,1)</f>
        <v>4.8400000000000007</v>
      </c>
      <c r="ED119" s="90">
        <f>_xlfn.IFNA(INDEX(武器升级消耗!$Q:$Q,MATCH(玩家节奏1!DZ119,武器升级消耗!$H:$H,0))*2*ED$4,0)</f>
        <v>4.1999999999999993</v>
      </c>
    </row>
    <row r="120" spans="1:134" x14ac:dyDescent="0.25">
      <c r="A120" s="123">
        <v>114</v>
      </c>
      <c r="B120" s="123">
        <f>INDEX(关卡对比!$Y:$Y,MATCH(关卡对比!Z120,关卡对比!$AA:$AA,1))</f>
        <v>70</v>
      </c>
      <c r="C120" s="124">
        <f>INDEX(关卡对比!$Y:$Y,MATCH(关卡对比!Z120,关卡对比!$AB:$AB,1))</f>
        <v>56</v>
      </c>
      <c r="D120" s="125">
        <f t="shared" si="157"/>
        <v>689.5</v>
      </c>
      <c r="E120" s="125">
        <v>3</v>
      </c>
      <c r="F120" s="128">
        <v>5</v>
      </c>
      <c r="G120" s="90">
        <v>1</v>
      </c>
      <c r="H120" s="90">
        <v>1</v>
      </c>
      <c r="J120" s="128">
        <v>114</v>
      </c>
      <c r="K120" s="90">
        <f t="shared" si="152"/>
        <v>5</v>
      </c>
      <c r="L120" s="90">
        <f t="shared" si="153"/>
        <v>1</v>
      </c>
      <c r="M120" s="90">
        <f t="shared" si="154"/>
        <v>1</v>
      </c>
      <c r="N120" s="140">
        <f>INDEX($A:$A,MATCH(SUM($K$7:K120),$D:$D,1))</f>
        <v>96</v>
      </c>
      <c r="O120" s="140">
        <v>0</v>
      </c>
      <c r="P120" s="141">
        <v>0</v>
      </c>
      <c r="Q120" s="126">
        <f>_xlfn.MAXIFS(关卡产出!X:X,关卡产出!$A:$A,玩家节奏1!$N$6,关卡产出!$B:$B,玩家节奏1!$N120)+_xlfn.MAXIFS(关卡产出!X:X,关卡产出!$A:$A,玩家节奏1!$O$6,关卡产出!$B:$B,玩家节奏1!$O120)+_xlfn.MAXIFS(关卡产出!X:X,关卡产出!$A:$A,玩家节奏1!$P$6,关卡产出!$B:$B,玩家节奏1!$P120)</f>
        <v>17700</v>
      </c>
      <c r="R120" s="90">
        <f>_xlfn.MAXIFS(关卡产出!Y:Y,关卡产出!$A:$A,玩家节奏1!$N$6,关卡产出!$B:$B,玩家节奏1!$N120)+_xlfn.MAXIFS(关卡产出!Y:Y,关卡产出!$A:$A,玩家节奏1!$O$6,关卡产出!$B:$B,玩家节奏1!$O120)+_xlfn.MAXIFS(关卡产出!Y:Y,关卡产出!$A:$A,玩家节奏1!$P$6,关卡产出!$B:$B,玩家节奏1!$P120)</f>
        <v>2582800</v>
      </c>
      <c r="S120" s="90">
        <f>_xlfn.MAXIFS(关卡产出!Z:Z,关卡产出!$A:$A,玩家节奏1!$N$6,关卡产出!$B:$B,玩家节奏1!$N120)+_xlfn.MAXIFS(关卡产出!Z:Z,关卡产出!$A:$A,玩家节奏1!$O$6,关卡产出!$B:$B,玩家节奏1!$O120)+_xlfn.MAXIFS(关卡产出!Z:Z,关卡产出!$A:$A,玩家节奏1!$P$6,关卡产出!$B:$B,玩家节奏1!$P120)</f>
        <v>17922</v>
      </c>
      <c r="T120" s="90">
        <f>_xlfn.MAXIFS(关卡产出!AA:AA,关卡产出!$A:$A,玩家节奏1!$N$6,关卡产出!$B:$B,玩家节奏1!$N120)+_xlfn.MAXIFS(关卡产出!AA:AA,关卡产出!$A:$A,玩家节奏1!$O$6,关卡产出!$B:$B,玩家节奏1!$O120)+_xlfn.MAXIFS(关卡产出!AA:AA,关卡产出!$A:$A,玩家节奏1!$P$6,关卡产出!$B:$B,玩家节奏1!$P120)</f>
        <v>8962</v>
      </c>
      <c r="U120" s="90">
        <f>_xlfn.MAXIFS(关卡产出!AB:AB,关卡产出!$A:$A,玩家节奏1!$N$6,关卡产出!$B:$B,玩家节奏1!$N120)+_xlfn.MAXIFS(关卡产出!AB:AB,关卡产出!$A:$A,玩家节奏1!$O$6,关卡产出!$B:$B,玩家节奏1!$O120)+_xlfn.MAXIFS(关卡产出!AB:AB,关卡产出!$A:$A,玩家节奏1!$P$6,关卡产出!$B:$B,玩家节奏1!$P120)</f>
        <v>4189</v>
      </c>
      <c r="V120" s="130">
        <f>_xlfn.MAXIFS(关卡产出!AC:AC,关卡产出!$A:$A,玩家节奏1!$N$6,关卡产出!$B:$B,玩家节奏1!$N120)+_xlfn.MAXIFS(关卡产出!AC:AC,关卡产出!$A:$A,玩家节奏1!$O$6,关卡产出!$B:$B,玩家节奏1!$O120)+_xlfn.MAXIFS(关卡产出!AC:AC,关卡产出!$A:$A,玩家节奏1!$P$6,关卡产出!$B:$B,玩家节奏1!$P120)</f>
        <v>576</v>
      </c>
      <c r="W120" s="126">
        <f>INDEX(关卡产出!C$8:C$207,MATCH(玩家节奏1!$N120,关卡产出!$B$8:$B$207,0))*$K120</f>
        <v>375</v>
      </c>
      <c r="X120" s="126">
        <f>INDEX(关卡产出!D$8:D$207,MATCH(玩家节奏1!$N120,关卡产出!$B$8:$B$207,0))*$K120</f>
        <v>185</v>
      </c>
      <c r="Y120" s="126">
        <f>INDEX(关卡产出!E$8:E$207,MATCH(玩家节奏1!$N120,关卡产出!$B$8:$B$207,0))*$K120</f>
        <v>90</v>
      </c>
      <c r="Z120" s="144">
        <f>INDEX(关卡产出!F$8:F$207,MATCH(玩家节奏1!$N120,关卡产出!$B$8:$B$207,0))*$K120</f>
        <v>5050</v>
      </c>
      <c r="AA120" s="126">
        <f>SUM(W$7:W120)</f>
        <v>22341</v>
      </c>
      <c r="AB120" s="126">
        <f>SUM(X$7:X120)</f>
        <v>11041</v>
      </c>
      <c r="AC120" s="126">
        <f>SUM(Y$7:Y120)</f>
        <v>5187</v>
      </c>
      <c r="AD120" s="126">
        <f>SUM(Z$7:Z120)</f>
        <v>322660</v>
      </c>
      <c r="AE120" s="126">
        <f>INDEX(图鉴!AQ:AQ,MATCH($N120,图鉴!$S:$S,0))*8</f>
        <v>168</v>
      </c>
      <c r="AF120" s="90">
        <f>INDEX(图鉴!AR:AR,MATCH($N120,图鉴!$S:$S,0))*8</f>
        <v>120</v>
      </c>
      <c r="AG120" s="90">
        <f>INDEX(图鉴!AS:AS,MATCH($N120,图鉴!$S:$S,0))*8</f>
        <v>48</v>
      </c>
      <c r="AH120" s="129">
        <f ca="1">INDEX(图鉴!AT:AT,MATCH($N120,图鉴!$S:$S,0))*8</f>
        <v>9640</v>
      </c>
      <c r="AI120" s="128">
        <f>SUM($AE$7:AE120)</f>
        <v>16728</v>
      </c>
      <c r="AJ120" s="90">
        <f>SUM(AF$7:AF120)</f>
        <v>9400</v>
      </c>
      <c r="AK120" s="90">
        <f>SUM(AG$7:AG120)</f>
        <v>3080</v>
      </c>
      <c r="AL120" s="130">
        <f ca="1">SUM(AH$7:AH120)</f>
        <v>705160</v>
      </c>
      <c r="AM120" s="133">
        <f>IF(M120=0,0,INDEX(关卡产出!$AU$11:$AU$15,MATCH(玩家节奏1!N120,关卡产出!$AW$11:$AW$15,1))*M120)</f>
        <v>12200</v>
      </c>
      <c r="AN120" s="126">
        <f>IF(L120=0,0,$L120*关卡产出!AU$21)</f>
        <v>1000</v>
      </c>
      <c r="AO120" s="90">
        <f>IF(M120=0,0,$L120*关卡产出!AV$21)</f>
        <v>50</v>
      </c>
      <c r="AP120" s="129">
        <f>IF(N120=0,0,$L120*关卡产出!AW$21)</f>
        <v>1</v>
      </c>
      <c r="AQ120" s="138">
        <f>SUM(AN$7:AN120)</f>
        <v>97000</v>
      </c>
      <c r="AR120" s="126">
        <f>SUM(AO$7:AO120)</f>
        <v>4850</v>
      </c>
      <c r="AS120" s="129">
        <f>SUM(AP$7:AP120)</f>
        <v>97</v>
      </c>
      <c r="AT120" s="128">
        <v>500</v>
      </c>
      <c r="AU120" s="129">
        <v>100</v>
      </c>
      <c r="AV120" s="128">
        <f>SUM(AT$7:AT120)</f>
        <v>57000</v>
      </c>
      <c r="AW120" s="90">
        <f>SUM(AU$7:AU120)</f>
        <v>11400</v>
      </c>
      <c r="AY120" s="128">
        <f t="shared" si="91"/>
        <v>17700</v>
      </c>
      <c r="AZ120" s="90">
        <f t="shared" si="92"/>
        <v>4850</v>
      </c>
      <c r="BA120" s="90">
        <f t="shared" si="93"/>
        <v>11400</v>
      </c>
      <c r="BB120" s="90">
        <f t="shared" ca="1" si="143"/>
        <v>6700</v>
      </c>
      <c r="BC120" s="90">
        <f t="shared" ca="1" si="144"/>
        <v>40650</v>
      </c>
      <c r="BD120" s="90"/>
      <c r="BE120" s="90">
        <f t="shared" ca="1" si="94"/>
        <v>40650</v>
      </c>
      <c r="BF120" s="142">
        <f t="shared" ca="1" si="95"/>
        <v>0.43542435424354242</v>
      </c>
      <c r="BG120" s="142">
        <f t="shared" ca="1" si="96"/>
        <v>0.11931119311193111</v>
      </c>
      <c r="BH120" s="142">
        <f t="shared" ca="1" si="155"/>
        <v>0.28044280442804426</v>
      </c>
      <c r="BI120" s="142">
        <f t="shared" ca="1" si="156"/>
        <v>0.16482164821648215</v>
      </c>
      <c r="BJ120" s="143"/>
      <c r="BK120" s="128">
        <f ca="1">INDEX(商城宝箱!$L:$L,MATCH(BC120,商城宝箱!$N:$N,1))</f>
        <v>8</v>
      </c>
      <c r="BL120" s="90">
        <f ca="1">_xlfn.IFNA(INDEX(商城宝箱!T:T,MATCH(玩家节奏1!$BK120,商城宝箱!$L:$L,0)),0)+($BC120-INDEX(商城宝箱!$N:$N,MATCH(玩家节奏1!$BK120,商城宝箱!$L:$L,0)))/$BK$5*INDEX(商城宝箱!E$23:E$42,MATCH(玩家节奏1!$BK120+1,商城宝箱!$C$23:$C$42,0))</f>
        <v>101625</v>
      </c>
      <c r="BM120" s="90">
        <f ca="1">_xlfn.IFNA(INDEX(商城宝箱!U:U,MATCH(玩家节奏1!$BK120,商城宝箱!$L:$L,0)),0)+($BC120-INDEX(商城宝箱!$N:$N,MATCH(玩家节奏1!$BK120,商城宝箱!$L:$L,0)))/$BK$5*INDEX(商城宝箱!F$23:F$42,MATCH(玩家节奏1!$BK120+1,商城宝箱!$C$23:$C$42,0))</f>
        <v>54972.5</v>
      </c>
      <c r="BN120" s="90">
        <f ca="1">_xlfn.IFNA(INDEX(商城宝箱!V:V,MATCH(玩家节奏1!$BK120,商城宝箱!$L:$L,0)),0)+($BC120-INDEX(商城宝箱!$N:$N,MATCH(玩家节奏1!$BK120,商城宝箱!$L:$L,0)))/$BK$5*INDEX(商城宝箱!G$23:G$42,MATCH(玩家节奏1!$BK120+1,商城宝箱!$C$23:$C$42,0))</f>
        <v>36194.5</v>
      </c>
      <c r="BO120" s="90">
        <f ca="1">_xlfn.IFNA(INDEX(商城宝箱!W:W,MATCH(玩家节奏1!$BK120,商城宝箱!$L:$L,0)),0)+($BC120-INDEX(商城宝箱!$N:$N,MATCH(玩家节奏1!$BK120,商城宝箱!$L:$L,0)))/$BK$5*INDEX(商城宝箱!H$23:H$42,MATCH(玩家节奏1!$BK120+1,商城宝箱!$C$23:$C$42,0))</f>
        <v>4576</v>
      </c>
      <c r="BQ120" s="128">
        <f t="shared" si="146"/>
        <v>2582800</v>
      </c>
      <c r="BR120" s="90">
        <f t="shared" si="147"/>
        <v>322660</v>
      </c>
      <c r="BS120" s="90">
        <f t="shared" ca="1" si="148"/>
        <v>705160</v>
      </c>
      <c r="BT120" s="90">
        <f t="shared" si="149"/>
        <v>12200</v>
      </c>
      <c r="BU120" s="90">
        <f t="shared" si="150"/>
        <v>97000</v>
      </c>
      <c r="BV120" s="90">
        <f t="shared" si="151"/>
        <v>57000</v>
      </c>
      <c r="BW120" s="90">
        <f t="shared" ca="1" si="99"/>
        <v>101625</v>
      </c>
      <c r="BX120" s="90">
        <f t="shared" ca="1" si="100"/>
        <v>3878445</v>
      </c>
      <c r="BY120" s="142">
        <f t="shared" ca="1" si="101"/>
        <v>0.66593699278963603</v>
      </c>
      <c r="BZ120" s="142">
        <f t="shared" ca="1" si="102"/>
        <v>8.3193135393179476E-2</v>
      </c>
      <c r="CA120" s="142">
        <f t="shared" ca="1" si="103"/>
        <v>0.18181513467381902</v>
      </c>
      <c r="CB120" s="142">
        <f t="shared" ca="1" si="104"/>
        <v>3.1455905652909865E-3</v>
      </c>
      <c r="CC120" s="142">
        <f t="shared" ca="1" si="105"/>
        <v>2.5010023346985714E-2</v>
      </c>
      <c r="CD120" s="142">
        <f t="shared" ca="1" si="106"/>
        <v>1.4696611657507068E-2</v>
      </c>
      <c r="CE120" s="142">
        <f t="shared" ca="1" si="107"/>
        <v>2.620251157358168E-2</v>
      </c>
      <c r="CG120" s="128">
        <f t="shared" si="108"/>
        <v>96</v>
      </c>
      <c r="CH120" s="90">
        <f ca="1">INDEX(角色升级!$A:$A,MATCH(玩家节奏1!$BX120,角色升级!$J:$J,1))</f>
        <v>528</v>
      </c>
      <c r="CI120" s="90">
        <f ca="1">INDEX(角色升级!$O:$O,MATCH(玩家节奏1!$BX120,角色升级!$J:$J,1))</f>
        <v>21725.289630000003</v>
      </c>
      <c r="CJ120" s="90">
        <f>INDEX(关卡对比!$J:$J,MATCH(玩家节奏1!N120,关卡对比!$A:$A,0))</f>
        <v>34200</v>
      </c>
      <c r="CK120" s="147">
        <f t="shared" ca="1" si="109"/>
        <v>1.5742022584027568</v>
      </c>
      <c r="CL120" s="128">
        <f ca="1">INDEX(角色升级!$P:$P,MATCH(玩家节奏1!$CH120,角色升级!$A:$A,0))</f>
        <v>6700</v>
      </c>
      <c r="CM120" s="90">
        <f ca="1">INDEX(角色升级!Q:Q,MATCH(玩家节奏1!$CH120,角色升级!$A:$A,0))</f>
        <v>0.8</v>
      </c>
      <c r="CO120" s="128">
        <f t="shared" si="110"/>
        <v>17922</v>
      </c>
      <c r="CP120" s="90">
        <f t="shared" si="111"/>
        <v>22341</v>
      </c>
      <c r="CQ120" s="90">
        <f t="shared" si="112"/>
        <v>16728</v>
      </c>
      <c r="CR120" s="90">
        <f t="shared" ca="1" si="113"/>
        <v>54972.5</v>
      </c>
      <c r="CS120" s="90">
        <f t="shared" ca="1" si="114"/>
        <v>111963.5</v>
      </c>
      <c r="CT120" s="142">
        <f t="shared" ca="1" si="115"/>
        <v>0.16007002281993685</v>
      </c>
      <c r="CU120" s="142">
        <f t="shared" ca="1" si="116"/>
        <v>0.19953824237363069</v>
      </c>
      <c r="CV120" s="142">
        <f t="shared" ca="1" si="117"/>
        <v>0.14940583315098224</v>
      </c>
      <c r="CW120" s="142">
        <f t="shared" ca="1" si="118"/>
        <v>0.4909859016554502</v>
      </c>
      <c r="CY120" s="128">
        <f t="shared" si="119"/>
        <v>8962</v>
      </c>
      <c r="CZ120" s="90">
        <f t="shared" si="120"/>
        <v>11041</v>
      </c>
      <c r="DA120" s="90">
        <f t="shared" si="121"/>
        <v>9400</v>
      </c>
      <c r="DB120" s="90">
        <f t="shared" ca="1" si="122"/>
        <v>36194.5</v>
      </c>
      <c r="DC120" s="90">
        <f t="shared" ca="1" si="123"/>
        <v>65597.5</v>
      </c>
      <c r="DD120" s="142">
        <f t="shared" ca="1" si="124"/>
        <v>0.13662106025382065</v>
      </c>
      <c r="DE120" s="142">
        <f t="shared" ca="1" si="125"/>
        <v>0.16831434124776096</v>
      </c>
      <c r="DF120" s="142">
        <f t="shared" ca="1" si="126"/>
        <v>0.14329814398414573</v>
      </c>
      <c r="DG120" s="142">
        <f t="shared" ca="1" si="127"/>
        <v>0.55176645451427264</v>
      </c>
      <c r="DI120" s="128">
        <f t="shared" si="128"/>
        <v>4189</v>
      </c>
      <c r="DJ120" s="90">
        <f t="shared" si="129"/>
        <v>5187</v>
      </c>
      <c r="DK120" s="90">
        <f t="shared" si="130"/>
        <v>3080</v>
      </c>
      <c r="DL120" s="90">
        <f t="shared" ca="1" si="131"/>
        <v>4576</v>
      </c>
      <c r="DM120" s="90">
        <f t="shared" ca="1" si="132"/>
        <v>17032</v>
      </c>
      <c r="DN120" s="142">
        <f t="shared" ca="1" si="133"/>
        <v>0.2459488022545796</v>
      </c>
      <c r="DO120" s="142">
        <f t="shared" ca="1" si="134"/>
        <v>0.30454438703616721</v>
      </c>
      <c r="DP120" s="142">
        <f t="shared" ca="1" si="135"/>
        <v>0.18083607327383749</v>
      </c>
      <c r="DQ120" s="142">
        <f t="shared" ca="1" si="136"/>
        <v>0.2686707374354157</v>
      </c>
      <c r="DS120" s="128">
        <f t="shared" ca="1" si="137"/>
        <v>111963.5</v>
      </c>
      <c r="DT120" s="90">
        <f t="shared" ca="1" si="138"/>
        <v>65597.5</v>
      </c>
      <c r="DU120" s="90">
        <f t="shared" ca="1" si="139"/>
        <v>17032</v>
      </c>
      <c r="DV120" s="90">
        <f t="shared" si="140"/>
        <v>97</v>
      </c>
      <c r="DW120" s="90">
        <f ca="1">_xlfn.IFNA(INDEX(武器升级消耗!$H:$H,MATCH(玩家节奏1!DS120/玩家节奏1!DS$5,武器升级消耗!M:M,1)),0)</f>
        <v>31</v>
      </c>
      <c r="DX120" s="90">
        <f ca="1">_xlfn.IFNA(INDEX(武器升级消耗!$H:$H,MATCH(玩家节奏1!DT120/玩家节奏1!DT$5,武器升级消耗!N:N,1)),0)</f>
        <v>28</v>
      </c>
      <c r="DY120" s="90">
        <f ca="1">_xlfn.IFNA(INDEX(武器升级消耗!$H:$H,MATCH(玩家节奏1!DU120/玩家节奏1!DU$5,武器升级消耗!O:O,1)),0)</f>
        <v>18</v>
      </c>
      <c r="DZ120" s="90">
        <f>_xlfn.IFNA(INDEX(武器升级消耗!$H:$H,MATCH(玩家节奏1!DV120/玩家节奏1!DV$5,武器升级消耗!P:P,1)),0)</f>
        <v>10</v>
      </c>
      <c r="EA120" s="90">
        <f ca="1">_xlfn.IFNA(INDEX(武器升级消耗!$Q:$Q,MATCH(玩家节奏1!DW120,武器升级消耗!$H:$H,0))*2*EA$4,0)</f>
        <v>4.2</v>
      </c>
      <c r="EB120" s="90">
        <f ca="1">_xlfn.IFNA(INDEX(武器升级消耗!$Q:$Q,MATCH(玩家节奏1!DX120,武器升级消耗!$H:$H,0))*2*EB$4,0)</f>
        <v>4.8000000000000007</v>
      </c>
      <c r="EC120" s="90">
        <f ca="1">_xlfn.IFNA(INDEX(武器升级消耗!$Q:$Q,MATCH(玩家节奏1!DY120,武器升级消耗!$H:$H,0))*2*EC$4,1)</f>
        <v>4.8400000000000007</v>
      </c>
      <c r="ED120" s="90">
        <f>_xlfn.IFNA(INDEX(武器升级消耗!$Q:$Q,MATCH(玩家节奏1!DZ120,武器升级消耗!$H:$H,0))*2*ED$4,0)</f>
        <v>4.1999999999999993</v>
      </c>
    </row>
    <row r="121" spans="1:134" x14ac:dyDescent="0.25">
      <c r="A121" s="123">
        <v>115</v>
      </c>
      <c r="B121" s="123">
        <f>INDEX(关卡对比!$Y:$Y,MATCH(关卡对比!Z121,关卡对比!$AA:$AA,1))</f>
        <v>71</v>
      </c>
      <c r="C121" s="124">
        <f>INDEX(关卡对比!$Y:$Y,MATCH(关卡对比!Z121,关卡对比!$AB:$AB,1))</f>
        <v>56</v>
      </c>
      <c r="D121" s="125">
        <f t="shared" si="157"/>
        <v>695.5</v>
      </c>
      <c r="E121" s="125">
        <v>3</v>
      </c>
      <c r="F121" s="128">
        <v>5</v>
      </c>
      <c r="G121" s="90">
        <v>1</v>
      </c>
      <c r="H121" s="90">
        <v>1</v>
      </c>
      <c r="J121" s="128">
        <v>115</v>
      </c>
      <c r="K121" s="90">
        <f t="shared" si="152"/>
        <v>5</v>
      </c>
      <c r="L121" s="90">
        <f t="shared" si="153"/>
        <v>1</v>
      </c>
      <c r="M121" s="90">
        <f t="shared" si="154"/>
        <v>1</v>
      </c>
      <c r="N121" s="140">
        <f>INDEX($A:$A,MATCH(SUM($K$7:K121),$D:$D,1))</f>
        <v>97</v>
      </c>
      <c r="O121" s="140">
        <v>0</v>
      </c>
      <c r="P121" s="141">
        <v>0</v>
      </c>
      <c r="Q121" s="126">
        <f>_xlfn.MAXIFS(关卡产出!X:X,关卡产出!$A:$A,玩家节奏1!$N$6,关卡产出!$B:$B,玩家节奏1!$N121)+_xlfn.MAXIFS(关卡产出!X:X,关卡产出!$A:$A,玩家节奏1!$O$6,关卡产出!$B:$B,玩家节奏1!$O121)+_xlfn.MAXIFS(关卡产出!X:X,关卡产出!$A:$A,玩家节奏1!$P$6,关卡产出!$B:$B,玩家节奏1!$P121)</f>
        <v>17900</v>
      </c>
      <c r="R121" s="90">
        <f>_xlfn.MAXIFS(关卡产出!Y:Y,关卡产出!$A:$A,玩家节奏1!$N$6,关卡产出!$B:$B,玩家节奏1!$N121)+_xlfn.MAXIFS(关卡产出!Y:Y,关卡产出!$A:$A,玩家节奏1!$O$6,关卡产出!$B:$B,玩家节奏1!$O121)+_xlfn.MAXIFS(关卡产出!Y:Y,关卡产出!$A:$A,玩家节奏1!$P$6,关卡产出!$B:$B,玩家节奏1!$P121)</f>
        <v>2638700</v>
      </c>
      <c r="S121" s="90">
        <f>_xlfn.MAXIFS(关卡产出!Z:Z,关卡产出!$A:$A,玩家节奏1!$N$6,关卡产出!$B:$B,玩家节奏1!$N121)+_xlfn.MAXIFS(关卡产出!Z:Z,关卡产出!$A:$A,玩家节奏1!$O$6,关卡产出!$B:$B,玩家节奏1!$O121)+_xlfn.MAXIFS(关卡产出!Z:Z,关卡产出!$A:$A,玩家节奏1!$P$6,关卡产出!$B:$B,玩家节奏1!$P121)</f>
        <v>18302</v>
      </c>
      <c r="T121" s="90">
        <f>_xlfn.MAXIFS(关卡产出!AA:AA,关卡产出!$A:$A,玩家节奏1!$N$6,关卡产出!$B:$B,玩家节奏1!$N121)+_xlfn.MAXIFS(关卡产出!AA:AA,关卡产出!$A:$A,玩家节奏1!$O$6,关卡产出!$B:$B,玩家节奏1!$O121)+_xlfn.MAXIFS(关卡产出!AA:AA,关卡产出!$A:$A,玩家节奏1!$P$6,关卡产出!$B:$B,玩家节奏1!$P121)</f>
        <v>9152</v>
      </c>
      <c r="U121" s="90">
        <f>_xlfn.MAXIFS(关卡产出!AB:AB,关卡产出!$A:$A,玩家节奏1!$N$6,关卡产出!$B:$B,玩家节奏1!$N121)+_xlfn.MAXIFS(关卡产出!AB:AB,关卡产出!$A:$A,玩家节奏1!$O$6,关卡产出!$B:$B,玩家节奏1!$O121)+_xlfn.MAXIFS(关卡产出!AB:AB,关卡产出!$A:$A,玩家节奏1!$P$6,关卡产出!$B:$B,玩家节奏1!$P121)</f>
        <v>4281</v>
      </c>
      <c r="V121" s="130">
        <f>_xlfn.MAXIFS(关卡产出!AC:AC,关卡产出!$A:$A,玩家节奏1!$N$6,关卡产出!$B:$B,玩家节奏1!$N121)+_xlfn.MAXIFS(关卡产出!AC:AC,关卡产出!$A:$A,玩家节奏1!$O$6,关卡产出!$B:$B,玩家节奏1!$O121)+_xlfn.MAXIFS(关卡产出!AC:AC,关卡产出!$A:$A,玩家节奏1!$P$6,关卡产出!$B:$B,玩家节奏1!$P121)</f>
        <v>582</v>
      </c>
      <c r="W121" s="126">
        <f>INDEX(关卡产出!C$8:C$207,MATCH(玩家节奏1!$N121,关卡产出!$B$8:$B$207,0))*$K121</f>
        <v>380</v>
      </c>
      <c r="X121" s="126">
        <f>INDEX(关卡产出!D$8:D$207,MATCH(玩家节奏1!$N121,关卡产出!$B$8:$B$207,0))*$K121</f>
        <v>190</v>
      </c>
      <c r="Y121" s="126">
        <f>INDEX(关卡产出!E$8:E$207,MATCH(玩家节奏1!$N121,关卡产出!$B$8:$B$207,0))*$K121</f>
        <v>90</v>
      </c>
      <c r="Z121" s="144">
        <f>INDEX(关卡产出!F$8:F$207,MATCH(玩家节奏1!$N121,关卡产出!$B$8:$B$207,0))*$K121</f>
        <v>5150</v>
      </c>
      <c r="AA121" s="126">
        <f>SUM(W$7:W121)</f>
        <v>22721</v>
      </c>
      <c r="AB121" s="126">
        <f>SUM(X$7:X121)</f>
        <v>11231</v>
      </c>
      <c r="AC121" s="126">
        <f>SUM(Y$7:Y121)</f>
        <v>5277</v>
      </c>
      <c r="AD121" s="126">
        <f>SUM(Z$7:Z121)</f>
        <v>327810</v>
      </c>
      <c r="AE121" s="126">
        <f>INDEX(图鉴!AQ:AQ,MATCH($N121,图鉴!$S:$S,0))*8</f>
        <v>168</v>
      </c>
      <c r="AF121" s="90">
        <f>INDEX(图鉴!AR:AR,MATCH($N121,图鉴!$S:$S,0))*8</f>
        <v>120</v>
      </c>
      <c r="AG121" s="90">
        <f>INDEX(图鉴!AS:AS,MATCH($N121,图鉴!$S:$S,0))*8</f>
        <v>48</v>
      </c>
      <c r="AH121" s="129">
        <f ca="1">INDEX(图鉴!AT:AT,MATCH($N121,图鉴!$S:$S,0))*8</f>
        <v>9640</v>
      </c>
      <c r="AI121" s="128">
        <f>SUM($AE$7:AE121)</f>
        <v>16896</v>
      </c>
      <c r="AJ121" s="90">
        <f>SUM(AF$7:AF121)</f>
        <v>9520</v>
      </c>
      <c r="AK121" s="90">
        <f>SUM(AG$7:AG121)</f>
        <v>3128</v>
      </c>
      <c r="AL121" s="130">
        <f ca="1">SUM(AH$7:AH121)</f>
        <v>714800</v>
      </c>
      <c r="AM121" s="133">
        <f>IF(M121=0,0,INDEX(关卡产出!$AU$11:$AU$15,MATCH(玩家节奏1!N121,关卡产出!$AW$11:$AW$15,1))*M121)</f>
        <v>12200</v>
      </c>
      <c r="AN121" s="126">
        <f>IF(L121=0,0,$L121*关卡产出!AU$21)</f>
        <v>1000</v>
      </c>
      <c r="AO121" s="90">
        <f>IF(M121=0,0,$L121*关卡产出!AV$21)</f>
        <v>50</v>
      </c>
      <c r="AP121" s="129">
        <f>IF(N121=0,0,$L121*关卡产出!AW$21)</f>
        <v>1</v>
      </c>
      <c r="AQ121" s="138">
        <f>SUM(AN$7:AN121)</f>
        <v>98000</v>
      </c>
      <c r="AR121" s="126">
        <f>SUM(AO$7:AO121)</f>
        <v>4900</v>
      </c>
      <c r="AS121" s="129">
        <f>SUM(AP$7:AP121)</f>
        <v>98</v>
      </c>
      <c r="AT121" s="128">
        <v>500</v>
      </c>
      <c r="AU121" s="129">
        <v>100</v>
      </c>
      <c r="AV121" s="128">
        <f>SUM(AT$7:AT121)</f>
        <v>57500</v>
      </c>
      <c r="AW121" s="90">
        <f>SUM(AU$7:AU121)</f>
        <v>11500</v>
      </c>
      <c r="AY121" s="128">
        <f t="shared" si="91"/>
        <v>17900</v>
      </c>
      <c r="AZ121" s="90">
        <f t="shared" si="92"/>
        <v>4900</v>
      </c>
      <c r="BA121" s="90">
        <f t="shared" si="93"/>
        <v>11500</v>
      </c>
      <c r="BB121" s="90">
        <f t="shared" ca="1" si="143"/>
        <v>6700</v>
      </c>
      <c r="BC121" s="90">
        <f t="shared" ca="1" si="144"/>
        <v>41000</v>
      </c>
      <c r="BD121" s="90"/>
      <c r="BE121" s="90">
        <f t="shared" ca="1" si="94"/>
        <v>41000</v>
      </c>
      <c r="BF121" s="142">
        <f t="shared" ca="1" si="95"/>
        <v>0.43658536585365854</v>
      </c>
      <c r="BG121" s="142">
        <f t="shared" ca="1" si="96"/>
        <v>0.11951219512195121</v>
      </c>
      <c r="BH121" s="142">
        <f t="shared" ca="1" si="155"/>
        <v>0.28048780487804881</v>
      </c>
      <c r="BI121" s="142">
        <f t="shared" ca="1" si="156"/>
        <v>0.16341463414634147</v>
      </c>
      <c r="BJ121" s="143"/>
      <c r="BK121" s="128">
        <f ca="1">INDEX(商城宝箱!$L:$L,MATCH(BC121,商城宝箱!$N:$N,1))</f>
        <v>8</v>
      </c>
      <c r="BL121" s="90">
        <f ca="1">_xlfn.IFNA(INDEX(商城宝箱!T:T,MATCH(玩家节奏1!$BK121,商城宝箱!$L:$L,0)),0)+($BC121-INDEX(商城宝箱!$N:$N,MATCH(玩家节奏1!$BK121,商城宝箱!$L:$L,0)))/$BK$5*INDEX(商城宝箱!E$23:E$42,MATCH(玩家节奏1!$BK121+1,商城宝箱!$C$23:$C$42,0))</f>
        <v>102500</v>
      </c>
      <c r="BM121" s="90">
        <f ca="1">_xlfn.IFNA(INDEX(商城宝箱!U:U,MATCH(玩家节奏1!$BK121,商城宝箱!$L:$L,0)),0)+($BC121-INDEX(商城宝箱!$N:$N,MATCH(玩家节奏1!$BK121,商城宝箱!$L:$L,0)))/$BK$5*INDEX(商城宝箱!F$23:F$42,MATCH(玩家节奏1!$BK121+1,商城宝箱!$C$23:$C$42,0))</f>
        <v>55742.5</v>
      </c>
      <c r="BN121" s="90">
        <f ca="1">_xlfn.IFNA(INDEX(商城宝箱!V:V,MATCH(玩家节奏1!$BK121,商城宝箱!$L:$L,0)),0)+($BC121-INDEX(商城宝箱!$N:$N,MATCH(玩家节奏1!$BK121,商城宝箱!$L:$L,0)))/$BK$5*INDEX(商城宝箱!G$23:G$42,MATCH(玩家节奏1!$BK121+1,商城宝箱!$C$23:$C$42,0))</f>
        <v>36772</v>
      </c>
      <c r="BO121" s="90">
        <f ca="1">_xlfn.IFNA(INDEX(商城宝箱!W:W,MATCH(玩家节奏1!$BK121,商城宝箱!$L:$L,0)),0)+($BC121-INDEX(商城宝箱!$N:$N,MATCH(玩家节奏1!$BK121,商城宝箱!$L:$L,0)))/$BK$5*INDEX(商城宝箱!H$23:H$42,MATCH(玩家节奏1!$BK121+1,商城宝箱!$C$23:$C$42,0))</f>
        <v>4642.5</v>
      </c>
      <c r="BQ121" s="128">
        <f t="shared" si="146"/>
        <v>2638700</v>
      </c>
      <c r="BR121" s="90">
        <f t="shared" si="147"/>
        <v>327810</v>
      </c>
      <c r="BS121" s="90">
        <f t="shared" ca="1" si="148"/>
        <v>714800</v>
      </c>
      <c r="BT121" s="90">
        <f t="shared" si="149"/>
        <v>12200</v>
      </c>
      <c r="BU121" s="90">
        <f t="shared" si="150"/>
        <v>98000</v>
      </c>
      <c r="BV121" s="90">
        <f t="shared" si="151"/>
        <v>57500</v>
      </c>
      <c r="BW121" s="90">
        <f t="shared" ca="1" si="99"/>
        <v>102500</v>
      </c>
      <c r="BX121" s="90">
        <f t="shared" ca="1" si="100"/>
        <v>3951510</v>
      </c>
      <c r="BY121" s="142">
        <f t="shared" ca="1" si="101"/>
        <v>0.66777004233824533</v>
      </c>
      <c r="BZ121" s="142">
        <f t="shared" ca="1" si="102"/>
        <v>8.2958160298215108E-2</v>
      </c>
      <c r="CA121" s="142">
        <f t="shared" ca="1" si="103"/>
        <v>0.18089287386340919</v>
      </c>
      <c r="CB121" s="142">
        <f t="shared" ca="1" si="104"/>
        <v>3.0874273379037382E-3</v>
      </c>
      <c r="CC121" s="142">
        <f t="shared" ca="1" si="105"/>
        <v>2.4800645829062815E-2</v>
      </c>
      <c r="CD121" s="142">
        <f t="shared" ca="1" si="106"/>
        <v>1.4551399338480733E-2</v>
      </c>
      <c r="CE121" s="142">
        <f t="shared" ca="1" si="107"/>
        <v>2.5939450994683044E-2</v>
      </c>
      <c r="CG121" s="128">
        <f t="shared" si="108"/>
        <v>97</v>
      </c>
      <c r="CH121" s="90">
        <f ca="1">INDEX(角色升级!$A:$A,MATCH(玩家节奏1!$BX121,角色升级!$J:$J,1))</f>
        <v>533</v>
      </c>
      <c r="CI121" s="90">
        <f ca="1">INDEX(角色升级!$O:$O,MATCH(玩家节奏1!$BX121,角色升级!$J:$J,1))</f>
        <v>21792.305880000004</v>
      </c>
      <c r="CJ121" s="90">
        <f>INDEX(关卡对比!$J:$J,MATCH(玩家节奏1!N121,关卡对比!$A:$A,0))</f>
        <v>34700</v>
      </c>
      <c r="CK121" s="147">
        <f t="shared" ca="1" si="109"/>
        <v>1.5923051094765559</v>
      </c>
      <c r="CL121" s="128">
        <f ca="1">INDEX(角色升级!$P:$P,MATCH(玩家节奏1!$CH121,角色升级!$A:$A,0))</f>
        <v>6700</v>
      </c>
      <c r="CM121" s="90">
        <f ca="1">INDEX(角色升级!Q:Q,MATCH(玩家节奏1!$CH121,角色升级!$A:$A,0))</f>
        <v>0.9</v>
      </c>
      <c r="CO121" s="128">
        <f t="shared" si="110"/>
        <v>18302</v>
      </c>
      <c r="CP121" s="90">
        <f t="shared" si="111"/>
        <v>22721</v>
      </c>
      <c r="CQ121" s="90">
        <f t="shared" si="112"/>
        <v>16896</v>
      </c>
      <c r="CR121" s="90">
        <f t="shared" ca="1" si="113"/>
        <v>55742.5</v>
      </c>
      <c r="CS121" s="90">
        <f t="shared" ca="1" si="114"/>
        <v>113661.5</v>
      </c>
      <c r="CT121" s="142">
        <f t="shared" ca="1" si="115"/>
        <v>0.1610219819375954</v>
      </c>
      <c r="CU121" s="142">
        <f t="shared" ca="1" si="116"/>
        <v>0.19990058199126354</v>
      </c>
      <c r="CV121" s="142">
        <f t="shared" ca="1" si="117"/>
        <v>0.14865191819569512</v>
      </c>
      <c r="CW121" s="142">
        <f t="shared" ca="1" si="118"/>
        <v>0.49042551787544597</v>
      </c>
      <c r="CY121" s="128">
        <f t="shared" si="119"/>
        <v>9152</v>
      </c>
      <c r="CZ121" s="90">
        <f t="shared" si="120"/>
        <v>11231</v>
      </c>
      <c r="DA121" s="90">
        <f t="shared" si="121"/>
        <v>9520</v>
      </c>
      <c r="DB121" s="90">
        <f t="shared" ca="1" si="122"/>
        <v>36772</v>
      </c>
      <c r="DC121" s="90">
        <f t="shared" ca="1" si="123"/>
        <v>66675</v>
      </c>
      <c r="DD121" s="142">
        <f t="shared" ca="1" si="124"/>
        <v>0.13726284214473192</v>
      </c>
      <c r="DE121" s="142">
        <f t="shared" ca="1" si="125"/>
        <v>0.16844394450693664</v>
      </c>
      <c r="DF121" s="142">
        <f t="shared" ca="1" si="126"/>
        <v>0.14278215223097113</v>
      </c>
      <c r="DG121" s="142">
        <f t="shared" ca="1" si="127"/>
        <v>0.55151106111736037</v>
      </c>
      <c r="DI121" s="128">
        <f t="shared" si="128"/>
        <v>4281</v>
      </c>
      <c r="DJ121" s="90">
        <f t="shared" si="129"/>
        <v>5277</v>
      </c>
      <c r="DK121" s="90">
        <f t="shared" si="130"/>
        <v>3128</v>
      </c>
      <c r="DL121" s="90">
        <f t="shared" ca="1" si="131"/>
        <v>4642.5</v>
      </c>
      <c r="DM121" s="90">
        <f t="shared" ca="1" si="132"/>
        <v>17328.5</v>
      </c>
      <c r="DN121" s="142">
        <f t="shared" ca="1" si="133"/>
        <v>0.24704965807773321</v>
      </c>
      <c r="DO121" s="142">
        <f t="shared" ca="1" si="134"/>
        <v>0.30452722393744408</v>
      </c>
      <c r="DP121" s="142">
        <f t="shared" ca="1" si="135"/>
        <v>0.1805118735031884</v>
      </c>
      <c r="DQ121" s="142">
        <f t="shared" ca="1" si="136"/>
        <v>0.26791124448163428</v>
      </c>
      <c r="DS121" s="128">
        <f t="shared" ca="1" si="137"/>
        <v>113661.5</v>
      </c>
      <c r="DT121" s="90">
        <f t="shared" ca="1" si="138"/>
        <v>66675</v>
      </c>
      <c r="DU121" s="90">
        <f t="shared" ca="1" si="139"/>
        <v>17328.5</v>
      </c>
      <c r="DV121" s="90">
        <f t="shared" si="140"/>
        <v>98</v>
      </c>
      <c r="DW121" s="90">
        <f ca="1">_xlfn.IFNA(INDEX(武器升级消耗!$H:$H,MATCH(玩家节奏1!DS121/玩家节奏1!DS$5,武器升级消耗!M:M,1)),0)</f>
        <v>31</v>
      </c>
      <c r="DX121" s="90">
        <f ca="1">_xlfn.IFNA(INDEX(武器升级消耗!$H:$H,MATCH(玩家节奏1!DT121/玩家节奏1!DT$5,武器升级消耗!N:N,1)),0)</f>
        <v>28</v>
      </c>
      <c r="DY121" s="90">
        <f ca="1">_xlfn.IFNA(INDEX(武器升级消耗!$H:$H,MATCH(玩家节奏1!DU121/玩家节奏1!DU$5,武器升级消耗!O:O,1)),0)</f>
        <v>18</v>
      </c>
      <c r="DZ121" s="90">
        <f>_xlfn.IFNA(INDEX(武器升级消耗!$H:$H,MATCH(玩家节奏1!DV121/玩家节奏1!DV$5,武器升级消耗!P:P,1)),0)</f>
        <v>10</v>
      </c>
      <c r="EA121" s="90">
        <f ca="1">_xlfn.IFNA(INDEX(武器升级消耗!$Q:$Q,MATCH(玩家节奏1!DW121,武器升级消耗!$H:$H,0))*2*EA$4,0)</f>
        <v>4.2</v>
      </c>
      <c r="EB121" s="90">
        <f ca="1">_xlfn.IFNA(INDEX(武器升级消耗!$Q:$Q,MATCH(玩家节奏1!DX121,武器升级消耗!$H:$H,0))*2*EB$4,0)</f>
        <v>4.8000000000000007</v>
      </c>
      <c r="EC121" s="90">
        <f ca="1">_xlfn.IFNA(INDEX(武器升级消耗!$Q:$Q,MATCH(玩家节奏1!DY121,武器升级消耗!$H:$H,0))*2*EC$4,1)</f>
        <v>4.8400000000000007</v>
      </c>
      <c r="ED121" s="90">
        <f>_xlfn.IFNA(INDEX(武器升级消耗!$Q:$Q,MATCH(玩家节奏1!DZ121,武器升级消耗!$H:$H,0))*2*ED$4,0)</f>
        <v>4.1999999999999993</v>
      </c>
    </row>
    <row r="122" spans="1:134" x14ac:dyDescent="0.25">
      <c r="A122" s="123">
        <v>116</v>
      </c>
      <c r="B122" s="123">
        <f>INDEX(关卡对比!$Y:$Y,MATCH(关卡对比!Z122,关卡对比!$AA:$AA,1))</f>
        <v>71</v>
      </c>
      <c r="C122" s="124">
        <f>INDEX(关卡对比!$Y:$Y,MATCH(关卡对比!Z122,关卡对比!$AB:$AB,1))</f>
        <v>57</v>
      </c>
      <c r="D122" s="125">
        <f t="shared" si="157"/>
        <v>701.5</v>
      </c>
      <c r="E122" s="125">
        <v>3</v>
      </c>
      <c r="F122" s="128">
        <v>5</v>
      </c>
      <c r="G122" s="90">
        <v>1</v>
      </c>
      <c r="H122" s="90">
        <v>1</v>
      </c>
      <c r="J122" s="128">
        <v>116</v>
      </c>
      <c r="K122" s="90">
        <f t="shared" si="152"/>
        <v>5</v>
      </c>
      <c r="L122" s="90">
        <f t="shared" si="153"/>
        <v>1</v>
      </c>
      <c r="M122" s="90">
        <f t="shared" si="154"/>
        <v>1</v>
      </c>
      <c r="N122" s="140">
        <f>INDEX($A:$A,MATCH(SUM($K$7:K122),$D:$D,1))</f>
        <v>98</v>
      </c>
      <c r="O122" s="140">
        <v>0</v>
      </c>
      <c r="P122" s="141">
        <v>0</v>
      </c>
      <c r="Q122" s="126">
        <f>_xlfn.MAXIFS(关卡产出!X:X,关卡产出!$A:$A,玩家节奏1!$N$6,关卡产出!$B:$B,玩家节奏1!$N122)+_xlfn.MAXIFS(关卡产出!X:X,关卡产出!$A:$A,玩家节奏1!$O$6,关卡产出!$B:$B,玩家节奏1!$O122)+_xlfn.MAXIFS(关卡产出!X:X,关卡产出!$A:$A,玩家节奏1!$P$6,关卡产出!$B:$B,玩家节奏1!$P122)</f>
        <v>18100</v>
      </c>
      <c r="R122" s="90">
        <f>_xlfn.MAXIFS(关卡产出!Y:Y,关卡产出!$A:$A,玩家节奏1!$N$6,关卡产出!$B:$B,玩家节奏1!$N122)+_xlfn.MAXIFS(关卡产出!Y:Y,关卡产出!$A:$A,玩家节奏1!$O$6,关卡产出!$B:$B,玩家节奏1!$O122)+_xlfn.MAXIFS(关卡产出!Y:Y,关卡产出!$A:$A,玩家节奏1!$P$6,关卡产出!$B:$B,玩家节奏1!$P122)</f>
        <v>2695200</v>
      </c>
      <c r="S122" s="90">
        <f>_xlfn.MAXIFS(关卡产出!Z:Z,关卡产出!$A:$A,玩家节奏1!$N$6,关卡产出!$B:$B,玩家节奏1!$N122)+_xlfn.MAXIFS(关卡产出!Z:Z,关卡产出!$A:$A,玩家节奏1!$O$6,关卡产出!$B:$B,玩家节奏1!$O122)+_xlfn.MAXIFS(关卡产出!Z:Z,关卡产出!$A:$A,玩家节奏1!$P$6,关卡产出!$B:$B,玩家节奏1!$P122)</f>
        <v>18686</v>
      </c>
      <c r="T122" s="90">
        <f>_xlfn.MAXIFS(关卡产出!AA:AA,关卡产出!$A:$A,玩家节奏1!$N$6,关卡产出!$B:$B,玩家节奏1!$N122)+_xlfn.MAXIFS(关卡产出!AA:AA,关卡产出!$A:$A,玩家节奏1!$O$6,关卡产出!$B:$B,玩家节奏1!$O122)+_xlfn.MAXIFS(关卡产出!AA:AA,关卡产出!$A:$A,玩家节奏1!$P$6,关卡产出!$B:$B,玩家节奏1!$P122)</f>
        <v>9344</v>
      </c>
      <c r="U122" s="90">
        <f>_xlfn.MAXIFS(关卡产出!AB:AB,关卡产出!$A:$A,玩家节奏1!$N$6,关卡产出!$B:$B,玩家节奏1!$N122)+_xlfn.MAXIFS(关卡产出!AB:AB,关卡产出!$A:$A,玩家节奏1!$O$6,关卡产出!$B:$B,玩家节奏1!$O122)+_xlfn.MAXIFS(关卡产出!AB:AB,关卡产出!$A:$A,玩家节奏1!$P$6,关卡产出!$B:$B,玩家节奏1!$P122)</f>
        <v>4374</v>
      </c>
      <c r="V122" s="130">
        <f>_xlfn.MAXIFS(关卡产出!AC:AC,关卡产出!$A:$A,玩家节奏1!$N$6,关卡产出!$B:$B,玩家节奏1!$N122)+_xlfn.MAXIFS(关卡产出!AC:AC,关卡产出!$A:$A,玩家节奏1!$O$6,关卡产出!$B:$B,玩家节奏1!$O122)+_xlfn.MAXIFS(关卡产出!AC:AC,关卡产出!$A:$A,玩家节奏1!$P$6,关卡产出!$B:$B,玩家节奏1!$P122)</f>
        <v>588</v>
      </c>
      <c r="W122" s="126">
        <f>INDEX(关卡产出!C$8:C$207,MATCH(玩家节奏1!$N122,关卡产出!$B$8:$B$207,0))*$K122</f>
        <v>385</v>
      </c>
      <c r="X122" s="126">
        <f>INDEX(关卡产出!D$8:D$207,MATCH(玩家节奏1!$N122,关卡产出!$B$8:$B$207,0))*$K122</f>
        <v>190</v>
      </c>
      <c r="Y122" s="126">
        <f>INDEX(关卡产出!E$8:E$207,MATCH(玩家节奏1!$N122,关卡产出!$B$8:$B$207,0))*$K122</f>
        <v>95</v>
      </c>
      <c r="Z122" s="144">
        <f>INDEX(关卡产出!F$8:F$207,MATCH(玩家节奏1!$N122,关卡产出!$B$8:$B$207,0))*$K122</f>
        <v>5150</v>
      </c>
      <c r="AA122" s="126">
        <f>SUM(W$7:W122)</f>
        <v>23106</v>
      </c>
      <c r="AB122" s="126">
        <f>SUM(X$7:X122)</f>
        <v>11421</v>
      </c>
      <c r="AC122" s="126">
        <f>SUM(Y$7:Y122)</f>
        <v>5372</v>
      </c>
      <c r="AD122" s="126">
        <f>SUM(Z$7:Z122)</f>
        <v>332960</v>
      </c>
      <c r="AE122" s="126">
        <f>INDEX(图鉴!AQ:AQ,MATCH($N122,图鉴!$S:$S,0))*8</f>
        <v>168</v>
      </c>
      <c r="AF122" s="90">
        <f>INDEX(图鉴!AR:AR,MATCH($N122,图鉴!$S:$S,0))*8</f>
        <v>120</v>
      </c>
      <c r="AG122" s="90">
        <f>INDEX(图鉴!AS:AS,MATCH($N122,图鉴!$S:$S,0))*8</f>
        <v>48</v>
      </c>
      <c r="AH122" s="129">
        <f ca="1">INDEX(图鉴!AT:AT,MATCH($N122,图鉴!$S:$S,0))*8</f>
        <v>9640</v>
      </c>
      <c r="AI122" s="128">
        <f>SUM($AE$7:AE122)</f>
        <v>17064</v>
      </c>
      <c r="AJ122" s="90">
        <f>SUM(AF$7:AF122)</f>
        <v>9640</v>
      </c>
      <c r="AK122" s="90">
        <f>SUM(AG$7:AG122)</f>
        <v>3176</v>
      </c>
      <c r="AL122" s="130">
        <f ca="1">SUM(AH$7:AH122)</f>
        <v>724440</v>
      </c>
      <c r="AM122" s="133">
        <f>IF(M122=0,0,INDEX(关卡产出!$AU$11:$AU$15,MATCH(玩家节奏1!N122,关卡产出!$AW$11:$AW$15,1))*M122)</f>
        <v>12200</v>
      </c>
      <c r="AN122" s="126">
        <f>IF(L122=0,0,$L122*关卡产出!AU$21)</f>
        <v>1000</v>
      </c>
      <c r="AO122" s="90">
        <f>IF(M122=0,0,$L122*关卡产出!AV$21)</f>
        <v>50</v>
      </c>
      <c r="AP122" s="129">
        <f>IF(N122=0,0,$L122*关卡产出!AW$21)</f>
        <v>1</v>
      </c>
      <c r="AQ122" s="138">
        <f>SUM(AN$7:AN122)</f>
        <v>99000</v>
      </c>
      <c r="AR122" s="126">
        <f>SUM(AO$7:AO122)</f>
        <v>4950</v>
      </c>
      <c r="AS122" s="129">
        <f>SUM(AP$7:AP122)</f>
        <v>99</v>
      </c>
      <c r="AT122" s="128">
        <v>500</v>
      </c>
      <c r="AU122" s="129">
        <v>100</v>
      </c>
      <c r="AV122" s="128">
        <f>SUM(AT$7:AT122)</f>
        <v>58000</v>
      </c>
      <c r="AW122" s="90">
        <f>SUM(AU$7:AU122)</f>
        <v>11600</v>
      </c>
      <c r="AY122" s="128">
        <f t="shared" si="91"/>
        <v>18100</v>
      </c>
      <c r="AZ122" s="90">
        <f t="shared" si="92"/>
        <v>4950</v>
      </c>
      <c r="BA122" s="90">
        <f t="shared" si="93"/>
        <v>11600</v>
      </c>
      <c r="BB122" s="90">
        <f t="shared" ca="1" si="143"/>
        <v>6700</v>
      </c>
      <c r="BC122" s="90">
        <f t="shared" ca="1" si="144"/>
        <v>41350</v>
      </c>
      <c r="BD122" s="90"/>
      <c r="BE122" s="90">
        <f t="shared" ca="1" si="94"/>
        <v>41350</v>
      </c>
      <c r="BF122" s="142">
        <f t="shared" ca="1" si="95"/>
        <v>0.43772672309552602</v>
      </c>
      <c r="BG122" s="142">
        <f t="shared" ca="1" si="96"/>
        <v>0.11970979443772672</v>
      </c>
      <c r="BH122" s="142">
        <f t="shared" ca="1" si="155"/>
        <v>0.28053204353083433</v>
      </c>
      <c r="BI122" s="142">
        <f t="shared" ca="1" si="156"/>
        <v>0.16203143893591293</v>
      </c>
      <c r="BJ122" s="143"/>
      <c r="BK122" s="128">
        <f ca="1">INDEX(商城宝箱!$L:$L,MATCH(BC122,商城宝箱!$N:$N,1))</f>
        <v>8</v>
      </c>
      <c r="BL122" s="90">
        <f ca="1">_xlfn.IFNA(INDEX(商城宝箱!T:T,MATCH(玩家节奏1!$BK122,商城宝箱!$L:$L,0)),0)+($BC122-INDEX(商城宝箱!$N:$N,MATCH(玩家节奏1!$BK122,商城宝箱!$L:$L,0)))/$BK$5*INDEX(商城宝箱!E$23:E$42,MATCH(玩家节奏1!$BK122+1,商城宝箱!$C$23:$C$42,0))</f>
        <v>103375</v>
      </c>
      <c r="BM122" s="90">
        <f ca="1">_xlfn.IFNA(INDEX(商城宝箱!U:U,MATCH(玩家节奏1!$BK122,商城宝箱!$L:$L,0)),0)+($BC122-INDEX(商城宝箱!$N:$N,MATCH(玩家节奏1!$BK122,商城宝箱!$L:$L,0)))/$BK$5*INDEX(商城宝箱!F$23:F$42,MATCH(玩家节奏1!$BK122+1,商城宝箱!$C$23:$C$42,0))</f>
        <v>56512.5</v>
      </c>
      <c r="BN122" s="90">
        <f ca="1">_xlfn.IFNA(INDEX(商城宝箱!V:V,MATCH(玩家节奏1!$BK122,商城宝箱!$L:$L,0)),0)+($BC122-INDEX(商城宝箱!$N:$N,MATCH(玩家节奏1!$BK122,商城宝箱!$L:$L,0)))/$BK$5*INDEX(商城宝箱!G$23:G$42,MATCH(玩家节奏1!$BK122+1,商城宝箱!$C$23:$C$42,0))</f>
        <v>37349.5</v>
      </c>
      <c r="BO122" s="90">
        <f ca="1">_xlfn.IFNA(INDEX(商城宝箱!W:W,MATCH(玩家节奏1!$BK122,商城宝箱!$L:$L,0)),0)+($BC122-INDEX(商城宝箱!$N:$N,MATCH(玩家节奏1!$BK122,商城宝箱!$L:$L,0)))/$BK$5*INDEX(商城宝箱!H$23:H$42,MATCH(玩家节奏1!$BK122+1,商城宝箱!$C$23:$C$42,0))</f>
        <v>4709</v>
      </c>
      <c r="BQ122" s="128">
        <f t="shared" si="146"/>
        <v>2695200</v>
      </c>
      <c r="BR122" s="90">
        <f t="shared" si="147"/>
        <v>332960</v>
      </c>
      <c r="BS122" s="90">
        <f t="shared" ca="1" si="148"/>
        <v>724440</v>
      </c>
      <c r="BT122" s="90">
        <f t="shared" si="149"/>
        <v>12200</v>
      </c>
      <c r="BU122" s="90">
        <f t="shared" si="150"/>
        <v>99000</v>
      </c>
      <c r="BV122" s="90">
        <f t="shared" si="151"/>
        <v>58000</v>
      </c>
      <c r="BW122" s="90">
        <f t="shared" ca="1" si="99"/>
        <v>103375</v>
      </c>
      <c r="BX122" s="90">
        <f t="shared" ca="1" si="100"/>
        <v>4025175</v>
      </c>
      <c r="BY122" s="142">
        <f t="shared" ca="1" si="101"/>
        <v>0.66958579440645438</v>
      </c>
      <c r="BZ122" s="142">
        <f t="shared" ca="1" si="102"/>
        <v>8.2719384871465212E-2</v>
      </c>
      <c r="CA122" s="142">
        <f t="shared" ca="1" si="103"/>
        <v>0.17997726806909017</v>
      </c>
      <c r="CB122" s="142">
        <f t="shared" ca="1" si="104"/>
        <v>3.0309241213114959E-3</v>
      </c>
      <c r="CC122" s="142">
        <f t="shared" ca="1" si="105"/>
        <v>2.459520393523263E-2</v>
      </c>
      <c r="CD122" s="142">
        <f t="shared" ca="1" si="106"/>
        <v>1.4409311396398915E-2</v>
      </c>
      <c r="CE122" s="142">
        <f t="shared" ca="1" si="107"/>
        <v>2.5682113200047204E-2</v>
      </c>
      <c r="CG122" s="128">
        <f t="shared" si="108"/>
        <v>98</v>
      </c>
      <c r="CH122" s="90">
        <f ca="1">INDEX(角色升级!$A:$A,MATCH(玩家节奏1!$BX122,角色升级!$J:$J,1))</f>
        <v>538</v>
      </c>
      <c r="CI122" s="90">
        <f ca="1">INDEX(角色升级!$O:$O,MATCH(玩家节奏1!$BX122,角色升级!$J:$J,1))</f>
        <v>21842.472330000004</v>
      </c>
      <c r="CJ122" s="90">
        <f>INDEX(关卡对比!$J:$J,MATCH(玩家节奏1!N122,关卡对比!$A:$A,0))</f>
        <v>35200</v>
      </c>
      <c r="CK122" s="147">
        <f t="shared" ca="1" si="109"/>
        <v>1.6115391823870513</v>
      </c>
      <c r="CL122" s="128">
        <f ca="1">INDEX(角色升级!$P:$P,MATCH(玩家节奏1!$CH122,角色升级!$A:$A,0))</f>
        <v>6700</v>
      </c>
      <c r="CM122" s="90">
        <f ca="1">INDEX(角色升级!Q:Q,MATCH(玩家节奏1!$CH122,角色升级!$A:$A,0))</f>
        <v>0.9</v>
      </c>
      <c r="CO122" s="128">
        <f t="shared" si="110"/>
        <v>18686</v>
      </c>
      <c r="CP122" s="90">
        <f t="shared" si="111"/>
        <v>23106</v>
      </c>
      <c r="CQ122" s="90">
        <f t="shared" si="112"/>
        <v>17064</v>
      </c>
      <c r="CR122" s="90">
        <f t="shared" ca="1" si="113"/>
        <v>56512.5</v>
      </c>
      <c r="CS122" s="90">
        <f t="shared" ca="1" si="114"/>
        <v>115368.5</v>
      </c>
      <c r="CT122" s="142">
        <f t="shared" ca="1" si="115"/>
        <v>0.16196795485769513</v>
      </c>
      <c r="CU122" s="142">
        <f t="shared" ca="1" si="116"/>
        <v>0.20027997243615026</v>
      </c>
      <c r="CV122" s="142">
        <f t="shared" ca="1" si="117"/>
        <v>0.14790865790922131</v>
      </c>
      <c r="CW122" s="142">
        <f t="shared" ca="1" si="118"/>
        <v>0.48984341479693333</v>
      </c>
      <c r="CY122" s="128">
        <f t="shared" si="119"/>
        <v>9344</v>
      </c>
      <c r="CZ122" s="90">
        <f t="shared" si="120"/>
        <v>11421</v>
      </c>
      <c r="DA122" s="90">
        <f t="shared" si="121"/>
        <v>9640</v>
      </c>
      <c r="DB122" s="90">
        <f t="shared" ca="1" si="122"/>
        <v>37349.5</v>
      </c>
      <c r="DC122" s="90">
        <f t="shared" ca="1" si="123"/>
        <v>67754.5</v>
      </c>
      <c r="DD122" s="142">
        <f t="shared" ca="1" si="124"/>
        <v>0.13790965913703149</v>
      </c>
      <c r="DE122" s="142">
        <f t="shared" ca="1" si="125"/>
        <v>0.16856444959375391</v>
      </c>
      <c r="DF122" s="142">
        <f t="shared" ca="1" si="126"/>
        <v>0.14227837265421486</v>
      </c>
      <c r="DG122" s="142">
        <f t="shared" ca="1" si="127"/>
        <v>0.55124751861499977</v>
      </c>
      <c r="DI122" s="128">
        <f t="shared" si="128"/>
        <v>4374</v>
      </c>
      <c r="DJ122" s="90">
        <f t="shared" si="129"/>
        <v>5372</v>
      </c>
      <c r="DK122" s="90">
        <f t="shared" si="130"/>
        <v>3176</v>
      </c>
      <c r="DL122" s="90">
        <f t="shared" ca="1" si="131"/>
        <v>4709</v>
      </c>
      <c r="DM122" s="90">
        <f t="shared" ca="1" si="132"/>
        <v>17631</v>
      </c>
      <c r="DN122" s="142">
        <f t="shared" ca="1" si="133"/>
        <v>0.24808575803981622</v>
      </c>
      <c r="DO122" s="142">
        <f t="shared" ca="1" si="134"/>
        <v>0.30469060178095403</v>
      </c>
      <c r="DP122" s="142">
        <f t="shared" ca="1" si="135"/>
        <v>0.18013725823833021</v>
      </c>
      <c r="DQ122" s="142">
        <f t="shared" ca="1" si="136"/>
        <v>0.26708638194089956</v>
      </c>
      <c r="DS122" s="128">
        <f t="shared" ca="1" si="137"/>
        <v>115368.5</v>
      </c>
      <c r="DT122" s="90">
        <f t="shared" ca="1" si="138"/>
        <v>67754.5</v>
      </c>
      <c r="DU122" s="90">
        <f t="shared" ca="1" si="139"/>
        <v>17631</v>
      </c>
      <c r="DV122" s="90">
        <f t="shared" si="140"/>
        <v>99</v>
      </c>
      <c r="DW122" s="90">
        <f ca="1">_xlfn.IFNA(INDEX(武器升级消耗!$H:$H,MATCH(玩家节奏1!DS122/玩家节奏1!DS$5,武器升级消耗!M:M,1)),0)</f>
        <v>31</v>
      </c>
      <c r="DX122" s="90">
        <f ca="1">_xlfn.IFNA(INDEX(武器升级消耗!$H:$H,MATCH(玩家节奏1!DT122/玩家节奏1!DT$5,武器升级消耗!N:N,1)),0)</f>
        <v>28</v>
      </c>
      <c r="DY122" s="90">
        <f ca="1">_xlfn.IFNA(INDEX(武器升级消耗!$H:$H,MATCH(玩家节奏1!DU122/玩家节奏1!DU$5,武器升级消耗!O:O,1)),0)</f>
        <v>19</v>
      </c>
      <c r="DZ122" s="90">
        <f>_xlfn.IFNA(INDEX(武器升级消耗!$H:$H,MATCH(玩家节奏1!DV122/玩家节奏1!DV$5,武器升级消耗!P:P,1)),0)</f>
        <v>10</v>
      </c>
      <c r="EA122" s="90">
        <f ca="1">_xlfn.IFNA(INDEX(武器升级消耗!$Q:$Q,MATCH(玩家节奏1!DW122,武器升级消耗!$H:$H,0))*2*EA$4,0)</f>
        <v>4.2</v>
      </c>
      <c r="EB122" s="90">
        <f ca="1">_xlfn.IFNA(INDEX(武器升级消耗!$Q:$Q,MATCH(玩家节奏1!DX122,武器升级消耗!$H:$H,0))*2*EB$4,0)</f>
        <v>4.8000000000000007</v>
      </c>
      <c r="EC122" s="90">
        <f ca="1">_xlfn.IFNA(INDEX(武器升级消耗!$Q:$Q,MATCH(玩家节奏1!DY122,武器升级消耗!$H:$H,0))*2*EC$4,1)</f>
        <v>5.0599999999999996</v>
      </c>
      <c r="ED122" s="90">
        <f>_xlfn.IFNA(INDEX(武器升级消耗!$Q:$Q,MATCH(玩家节奏1!DZ122,武器升级消耗!$H:$H,0))*2*ED$4,0)</f>
        <v>4.1999999999999993</v>
      </c>
    </row>
    <row r="123" spans="1:134" x14ac:dyDescent="0.25">
      <c r="A123" s="123">
        <v>117</v>
      </c>
      <c r="B123" s="123">
        <f>INDEX(关卡对比!$Y:$Y,MATCH(关卡对比!Z123,关卡对比!$AA:$AA,1))</f>
        <v>72</v>
      </c>
      <c r="C123" s="124">
        <f>INDEX(关卡对比!$Y:$Y,MATCH(关卡对比!Z123,关卡对比!$AB:$AB,1))</f>
        <v>57</v>
      </c>
      <c r="D123" s="125">
        <f t="shared" si="157"/>
        <v>707.5</v>
      </c>
      <c r="E123" s="125">
        <v>3</v>
      </c>
      <c r="F123" s="128">
        <v>5</v>
      </c>
      <c r="G123" s="90">
        <v>1</v>
      </c>
      <c r="H123" s="90">
        <v>1</v>
      </c>
      <c r="J123" s="128">
        <v>117</v>
      </c>
      <c r="K123" s="90">
        <f t="shared" si="152"/>
        <v>5</v>
      </c>
      <c r="L123" s="90">
        <f t="shared" si="153"/>
        <v>1</v>
      </c>
      <c r="M123" s="90">
        <f t="shared" si="154"/>
        <v>1</v>
      </c>
      <c r="N123" s="140">
        <f>INDEX($A:$A,MATCH(SUM($K$7:K123),$D:$D,1))</f>
        <v>99</v>
      </c>
      <c r="O123" s="140">
        <v>0</v>
      </c>
      <c r="P123" s="141">
        <v>0</v>
      </c>
      <c r="Q123" s="126">
        <f>_xlfn.MAXIFS(关卡产出!X:X,关卡产出!$A:$A,玩家节奏1!$N$6,关卡产出!$B:$B,玩家节奏1!$N123)+_xlfn.MAXIFS(关卡产出!X:X,关卡产出!$A:$A,玩家节奏1!$O$6,关卡产出!$B:$B,玩家节奏1!$O123)+_xlfn.MAXIFS(关卡产出!X:X,关卡产出!$A:$A,玩家节奏1!$P$6,关卡产出!$B:$B,玩家节奏1!$P123)</f>
        <v>18300</v>
      </c>
      <c r="R123" s="90">
        <f>_xlfn.MAXIFS(关卡产出!Y:Y,关卡产出!$A:$A,玩家节奏1!$N$6,关卡产出!$B:$B,玩家节奏1!$N123)+_xlfn.MAXIFS(关卡产出!Y:Y,关卡产出!$A:$A,玩家节奏1!$O$6,关卡产出!$B:$B,玩家节奏1!$O123)+_xlfn.MAXIFS(关卡产出!Y:Y,关卡产出!$A:$A,玩家节奏1!$P$6,关卡产出!$B:$B,玩家节奏1!$P123)</f>
        <v>2752300</v>
      </c>
      <c r="S123" s="90">
        <f>_xlfn.MAXIFS(关卡产出!Z:Z,关卡产出!$A:$A,玩家节奏1!$N$6,关卡产出!$B:$B,玩家节奏1!$N123)+_xlfn.MAXIFS(关卡产出!Z:Z,关卡产出!$A:$A,玩家节奏1!$O$6,关卡产出!$B:$B,玩家节奏1!$O123)+_xlfn.MAXIFS(关卡产出!Z:Z,关卡产出!$A:$A,玩家节奏1!$P$6,关卡产出!$B:$B,玩家节奏1!$P123)</f>
        <v>19074</v>
      </c>
      <c r="T123" s="90">
        <f>_xlfn.MAXIFS(关卡产出!AA:AA,关卡产出!$A:$A,玩家节奏1!$N$6,关卡产出!$B:$B,玩家节奏1!$N123)+_xlfn.MAXIFS(关卡产出!AA:AA,关卡产出!$A:$A,玩家节奏1!$O$6,关卡产出!$B:$B,玩家节奏1!$O123)+_xlfn.MAXIFS(关卡产出!AA:AA,关卡产出!$A:$A,玩家节奏1!$P$6,关卡产出!$B:$B,玩家节奏1!$P123)</f>
        <v>9538</v>
      </c>
      <c r="U123" s="90">
        <f>_xlfn.MAXIFS(关卡产出!AB:AB,关卡产出!$A:$A,玩家节奏1!$N$6,关卡产出!$B:$B,玩家节奏1!$N123)+_xlfn.MAXIFS(关卡产出!AB:AB,关卡产出!$A:$A,玩家节奏1!$O$6,关卡产出!$B:$B,玩家节奏1!$O123)+_xlfn.MAXIFS(关卡产出!AB:AB,关卡产出!$A:$A,玩家节奏1!$P$6,关卡产出!$B:$B,玩家节奏1!$P123)</f>
        <v>4468</v>
      </c>
      <c r="V123" s="130">
        <f>_xlfn.MAXIFS(关卡产出!AC:AC,关卡产出!$A:$A,玩家节奏1!$N$6,关卡产出!$B:$B,玩家节奏1!$N123)+_xlfn.MAXIFS(关卡产出!AC:AC,关卡产出!$A:$A,玩家节奏1!$O$6,关卡产出!$B:$B,玩家节奏1!$O123)+_xlfn.MAXIFS(关卡产出!AC:AC,关卡产出!$A:$A,玩家节奏1!$P$6,关卡产出!$B:$B,玩家节奏1!$P123)</f>
        <v>594</v>
      </c>
      <c r="W123" s="126">
        <f>INDEX(关卡产出!C$8:C$207,MATCH(玩家节奏1!$N123,关卡产出!$B$8:$B$207,0))*$K123</f>
        <v>390</v>
      </c>
      <c r="X123" s="126">
        <f>INDEX(关卡产出!D$8:D$207,MATCH(玩家节奏1!$N123,关卡产出!$B$8:$B$207,0))*$K123</f>
        <v>195</v>
      </c>
      <c r="Y123" s="126">
        <f>INDEX(关卡产出!E$8:E$207,MATCH(玩家节奏1!$N123,关卡产出!$B$8:$B$207,0))*$K123</f>
        <v>95</v>
      </c>
      <c r="Z123" s="144">
        <f>INDEX(关卡产出!F$8:F$207,MATCH(玩家节奏1!$N123,关卡产出!$B$8:$B$207,0))*$K123</f>
        <v>5250</v>
      </c>
      <c r="AA123" s="126">
        <f>SUM(W$7:W123)</f>
        <v>23496</v>
      </c>
      <c r="AB123" s="126">
        <f>SUM(X$7:X123)</f>
        <v>11616</v>
      </c>
      <c r="AC123" s="126">
        <f>SUM(Y$7:Y123)</f>
        <v>5467</v>
      </c>
      <c r="AD123" s="126">
        <f>SUM(Z$7:Z123)</f>
        <v>338210</v>
      </c>
      <c r="AE123" s="126">
        <f>INDEX(图鉴!AQ:AQ,MATCH($N123,图鉴!$S:$S,0))*8</f>
        <v>168</v>
      </c>
      <c r="AF123" s="90">
        <f>INDEX(图鉴!AR:AR,MATCH($N123,图鉴!$S:$S,0))*8</f>
        <v>120</v>
      </c>
      <c r="AG123" s="90">
        <f>INDEX(图鉴!AS:AS,MATCH($N123,图鉴!$S:$S,0))*8</f>
        <v>48</v>
      </c>
      <c r="AH123" s="129">
        <f ca="1">INDEX(图鉴!AT:AT,MATCH($N123,图鉴!$S:$S,0))*8</f>
        <v>9640</v>
      </c>
      <c r="AI123" s="128">
        <f>SUM($AE$7:AE123)</f>
        <v>17232</v>
      </c>
      <c r="AJ123" s="90">
        <f>SUM(AF$7:AF123)</f>
        <v>9760</v>
      </c>
      <c r="AK123" s="90">
        <f>SUM(AG$7:AG123)</f>
        <v>3224</v>
      </c>
      <c r="AL123" s="130">
        <f ca="1">SUM(AH$7:AH123)</f>
        <v>734080</v>
      </c>
      <c r="AM123" s="133">
        <f>IF(M123=0,0,INDEX(关卡产出!$AU$11:$AU$15,MATCH(玩家节奏1!N123,关卡产出!$AW$11:$AW$15,1))*M123)</f>
        <v>12200</v>
      </c>
      <c r="AN123" s="126">
        <f>IF(L123=0,0,$L123*关卡产出!AU$21)</f>
        <v>1000</v>
      </c>
      <c r="AO123" s="90">
        <f>IF(M123=0,0,$L123*关卡产出!AV$21)</f>
        <v>50</v>
      </c>
      <c r="AP123" s="129">
        <f>IF(N123=0,0,$L123*关卡产出!AW$21)</f>
        <v>1</v>
      </c>
      <c r="AQ123" s="138">
        <f>SUM(AN$7:AN123)</f>
        <v>100000</v>
      </c>
      <c r="AR123" s="126">
        <f>SUM(AO$7:AO123)</f>
        <v>5000</v>
      </c>
      <c r="AS123" s="129">
        <f>SUM(AP$7:AP123)</f>
        <v>100</v>
      </c>
      <c r="AT123" s="128">
        <v>500</v>
      </c>
      <c r="AU123" s="129">
        <v>100</v>
      </c>
      <c r="AV123" s="128">
        <f>SUM(AT$7:AT123)</f>
        <v>58500</v>
      </c>
      <c r="AW123" s="90">
        <f>SUM(AU$7:AU123)</f>
        <v>11700</v>
      </c>
      <c r="AY123" s="128">
        <f t="shared" si="91"/>
        <v>18300</v>
      </c>
      <c r="AZ123" s="90">
        <f t="shared" si="92"/>
        <v>5000</v>
      </c>
      <c r="BA123" s="90">
        <f t="shared" si="93"/>
        <v>11700</v>
      </c>
      <c r="BB123" s="90">
        <f t="shared" ca="1" si="143"/>
        <v>6700</v>
      </c>
      <c r="BC123" s="90">
        <f t="shared" ca="1" si="144"/>
        <v>41700</v>
      </c>
      <c r="BD123" s="90"/>
      <c r="BE123" s="90">
        <f t="shared" ca="1" si="94"/>
        <v>41700</v>
      </c>
      <c r="BF123" s="142">
        <f t="shared" ca="1" si="95"/>
        <v>0.43884892086330934</v>
      </c>
      <c r="BG123" s="142">
        <f t="shared" ca="1" si="96"/>
        <v>0.11990407673860912</v>
      </c>
      <c r="BH123" s="142">
        <f t="shared" ca="1" si="155"/>
        <v>0.2805755395683453</v>
      </c>
      <c r="BI123" s="142">
        <f t="shared" ca="1" si="156"/>
        <v>0.16067146282973621</v>
      </c>
      <c r="BJ123" s="143"/>
      <c r="BK123" s="128">
        <f ca="1">INDEX(商城宝箱!$L:$L,MATCH(BC123,商城宝箱!$N:$N,1))</f>
        <v>8</v>
      </c>
      <c r="BL123" s="90">
        <f ca="1">_xlfn.IFNA(INDEX(商城宝箱!T:T,MATCH(玩家节奏1!$BK123,商城宝箱!$L:$L,0)),0)+($BC123-INDEX(商城宝箱!$N:$N,MATCH(玩家节奏1!$BK123,商城宝箱!$L:$L,0)))/$BK$5*INDEX(商城宝箱!E$23:E$42,MATCH(玩家节奏1!$BK123+1,商城宝箱!$C$23:$C$42,0))</f>
        <v>104250</v>
      </c>
      <c r="BM123" s="90">
        <f ca="1">_xlfn.IFNA(INDEX(商城宝箱!U:U,MATCH(玩家节奏1!$BK123,商城宝箱!$L:$L,0)),0)+($BC123-INDEX(商城宝箱!$N:$N,MATCH(玩家节奏1!$BK123,商城宝箱!$L:$L,0)))/$BK$5*INDEX(商城宝箱!F$23:F$42,MATCH(玩家节奏1!$BK123+1,商城宝箱!$C$23:$C$42,0))</f>
        <v>57282.5</v>
      </c>
      <c r="BN123" s="90">
        <f ca="1">_xlfn.IFNA(INDEX(商城宝箱!V:V,MATCH(玩家节奏1!$BK123,商城宝箱!$L:$L,0)),0)+($BC123-INDEX(商城宝箱!$N:$N,MATCH(玩家节奏1!$BK123,商城宝箱!$L:$L,0)))/$BK$5*INDEX(商城宝箱!G$23:G$42,MATCH(玩家节奏1!$BK123+1,商城宝箱!$C$23:$C$42,0))</f>
        <v>37927</v>
      </c>
      <c r="BO123" s="90">
        <f ca="1">_xlfn.IFNA(INDEX(商城宝箱!W:W,MATCH(玩家节奏1!$BK123,商城宝箱!$L:$L,0)),0)+($BC123-INDEX(商城宝箱!$N:$N,MATCH(玩家节奏1!$BK123,商城宝箱!$L:$L,0)))/$BK$5*INDEX(商城宝箱!H$23:H$42,MATCH(玩家节奏1!$BK123+1,商城宝箱!$C$23:$C$42,0))</f>
        <v>4775.5</v>
      </c>
      <c r="BQ123" s="128">
        <f t="shared" si="146"/>
        <v>2752300</v>
      </c>
      <c r="BR123" s="90">
        <f t="shared" si="147"/>
        <v>338210</v>
      </c>
      <c r="BS123" s="90">
        <f t="shared" ca="1" si="148"/>
        <v>734080</v>
      </c>
      <c r="BT123" s="90">
        <f t="shared" si="149"/>
        <v>12200</v>
      </c>
      <c r="BU123" s="90">
        <f t="shared" si="150"/>
        <v>100000</v>
      </c>
      <c r="BV123" s="90">
        <f t="shared" si="151"/>
        <v>58500</v>
      </c>
      <c r="BW123" s="90">
        <f t="shared" ca="1" si="99"/>
        <v>104250</v>
      </c>
      <c r="BX123" s="90">
        <f t="shared" ca="1" si="100"/>
        <v>4099540</v>
      </c>
      <c r="BY123" s="142">
        <f t="shared" ca="1" si="101"/>
        <v>0.67136800714226474</v>
      </c>
      <c r="BZ123" s="142">
        <f t="shared" ca="1" si="102"/>
        <v>8.2499499943896146E-2</v>
      </c>
      <c r="CA123" s="142">
        <f t="shared" ca="1" si="103"/>
        <v>0.17906399254550512</v>
      </c>
      <c r="CB123" s="142">
        <f t="shared" ca="1" si="104"/>
        <v>2.9759436424574466E-3</v>
      </c>
      <c r="CC123" s="142">
        <f t="shared" ca="1" si="105"/>
        <v>2.4392980675880707E-2</v>
      </c>
      <c r="CD123" s="142">
        <f t="shared" ca="1" si="106"/>
        <v>1.4269893695390215E-2</v>
      </c>
      <c r="CE123" s="142">
        <f t="shared" ca="1" si="107"/>
        <v>2.5429682354605639E-2</v>
      </c>
      <c r="CG123" s="128">
        <f t="shared" si="108"/>
        <v>99</v>
      </c>
      <c r="CH123" s="90">
        <f ca="1">INDEX(角色升级!$A:$A,MATCH(玩家节奏1!$BX123,角色升级!$J:$J,1))</f>
        <v>541</v>
      </c>
      <c r="CI123" s="90">
        <f ca="1">INDEX(角色升级!$O:$O,MATCH(玩家节奏1!$BX123,角色升级!$J:$J,1))</f>
        <v>22093.752599999996</v>
      </c>
      <c r="CJ123" s="90">
        <f>INDEX(关卡对比!$J:$J,MATCH(玩家节奏1!N123,关卡对比!$A:$A,0))</f>
        <v>35700</v>
      </c>
      <c r="CK123" s="147">
        <f t="shared" ca="1" si="109"/>
        <v>1.6158413940056524</v>
      </c>
      <c r="CL123" s="128">
        <f ca="1">INDEX(角色升级!$P:$P,MATCH(玩家节奏1!$CH123,角色升级!$A:$A,0))</f>
        <v>6700</v>
      </c>
      <c r="CM123" s="90">
        <f ca="1">INDEX(角色升级!Q:Q,MATCH(玩家节奏1!$CH123,角色升级!$A:$A,0))</f>
        <v>0.9</v>
      </c>
      <c r="CO123" s="128">
        <f t="shared" si="110"/>
        <v>19074</v>
      </c>
      <c r="CP123" s="90">
        <f t="shared" si="111"/>
        <v>23496</v>
      </c>
      <c r="CQ123" s="90">
        <f t="shared" si="112"/>
        <v>17232</v>
      </c>
      <c r="CR123" s="90">
        <f t="shared" ca="1" si="113"/>
        <v>57282.5</v>
      </c>
      <c r="CS123" s="90">
        <f t="shared" ca="1" si="114"/>
        <v>117084.5</v>
      </c>
      <c r="CT123" s="142">
        <f t="shared" ca="1" si="115"/>
        <v>0.16290798525850989</v>
      </c>
      <c r="CU123" s="142">
        <f t="shared" ca="1" si="116"/>
        <v>0.20067558045684955</v>
      </c>
      <c r="CV123" s="142">
        <f t="shared" ca="1" si="117"/>
        <v>0.1471757576792829</v>
      </c>
      <c r="CW123" s="142">
        <f t="shared" ca="1" si="118"/>
        <v>0.48924067660535769</v>
      </c>
      <c r="CY123" s="128">
        <f t="shared" si="119"/>
        <v>9538</v>
      </c>
      <c r="CZ123" s="90">
        <f t="shared" si="120"/>
        <v>11616</v>
      </c>
      <c r="DA123" s="90">
        <f t="shared" si="121"/>
        <v>9760</v>
      </c>
      <c r="DB123" s="90">
        <f t="shared" ca="1" si="122"/>
        <v>37927</v>
      </c>
      <c r="DC123" s="90">
        <f t="shared" ca="1" si="123"/>
        <v>68841</v>
      </c>
      <c r="DD123" s="142">
        <f t="shared" ca="1" si="124"/>
        <v>0.13855115410874333</v>
      </c>
      <c r="DE123" s="142">
        <f t="shared" ca="1" si="125"/>
        <v>0.16873665402884908</v>
      </c>
      <c r="DF123" s="142">
        <f t="shared" ca="1" si="126"/>
        <v>0.14177597652561699</v>
      </c>
      <c r="DG123" s="142">
        <f t="shared" ca="1" si="127"/>
        <v>0.5509362153367906</v>
      </c>
      <c r="DI123" s="128">
        <f t="shared" si="128"/>
        <v>4468</v>
      </c>
      <c r="DJ123" s="90">
        <f t="shared" si="129"/>
        <v>5467</v>
      </c>
      <c r="DK123" s="90">
        <f t="shared" si="130"/>
        <v>3224</v>
      </c>
      <c r="DL123" s="90">
        <f t="shared" ca="1" si="131"/>
        <v>4775.5</v>
      </c>
      <c r="DM123" s="90">
        <f t="shared" ca="1" si="132"/>
        <v>17934.5</v>
      </c>
      <c r="DN123" s="142">
        <f t="shared" ca="1" si="133"/>
        <v>0.24912877415038054</v>
      </c>
      <c r="DO123" s="142">
        <f t="shared" ca="1" si="134"/>
        <v>0.30483147007164962</v>
      </c>
      <c r="DP123" s="142">
        <f t="shared" ca="1" si="135"/>
        <v>0.17976525690707854</v>
      </c>
      <c r="DQ123" s="142">
        <f t="shared" ca="1" si="136"/>
        <v>0.26627449887089127</v>
      </c>
      <c r="DS123" s="128">
        <f t="shared" ca="1" si="137"/>
        <v>117084.5</v>
      </c>
      <c r="DT123" s="90">
        <f t="shared" ca="1" si="138"/>
        <v>68841</v>
      </c>
      <c r="DU123" s="90">
        <f t="shared" ca="1" si="139"/>
        <v>17934.5</v>
      </c>
      <c r="DV123" s="90">
        <f t="shared" si="140"/>
        <v>100</v>
      </c>
      <c r="DW123" s="90">
        <f ca="1">_xlfn.IFNA(INDEX(武器升级消耗!$H:$H,MATCH(玩家节奏1!DS123/玩家节奏1!DS$5,武器升级消耗!M:M,1)),0)</f>
        <v>31</v>
      </c>
      <c r="DX123" s="90">
        <f ca="1">_xlfn.IFNA(INDEX(武器升级消耗!$H:$H,MATCH(玩家节奏1!DT123/玩家节奏1!DT$5,武器升级消耗!N:N,1)),0)</f>
        <v>29</v>
      </c>
      <c r="DY123" s="90">
        <f ca="1">_xlfn.IFNA(INDEX(武器升级消耗!$H:$H,MATCH(玩家节奏1!DU123/玩家节奏1!DU$5,武器升级消耗!O:O,1)),0)</f>
        <v>19</v>
      </c>
      <c r="DZ123" s="90">
        <f>_xlfn.IFNA(INDEX(武器升级消耗!$H:$H,MATCH(玩家节奏1!DV123/玩家节奏1!DV$5,武器升级消耗!P:P,1)),0)</f>
        <v>10</v>
      </c>
      <c r="EA123" s="90">
        <f ca="1">_xlfn.IFNA(INDEX(武器升级消耗!$Q:$Q,MATCH(玩家节奏1!DW123,武器升级消耗!$H:$H,0))*2*EA$4,0)</f>
        <v>4.2</v>
      </c>
      <c r="EB123" s="90">
        <f ca="1">_xlfn.IFNA(INDEX(武器升级消耗!$Q:$Q,MATCH(玩家节奏1!DX123,武器升级消耗!$H:$H,0))*2*EB$4,0)</f>
        <v>4.9499999999999993</v>
      </c>
      <c r="EC123" s="90">
        <f ca="1">_xlfn.IFNA(INDEX(武器升级消耗!$Q:$Q,MATCH(玩家节奏1!DY123,武器升级消耗!$H:$H,0))*2*EC$4,1)</f>
        <v>5.0599999999999996</v>
      </c>
      <c r="ED123" s="90">
        <f>_xlfn.IFNA(INDEX(武器升级消耗!$Q:$Q,MATCH(玩家节奏1!DZ123,武器升级消耗!$H:$H,0))*2*ED$4,0)</f>
        <v>4.1999999999999993</v>
      </c>
    </row>
    <row r="124" spans="1:134" x14ac:dyDescent="0.25">
      <c r="A124" s="123">
        <v>118</v>
      </c>
      <c r="B124" s="123">
        <f>INDEX(关卡对比!$Y:$Y,MATCH(关卡对比!Z124,关卡对比!$AA:$AA,1))</f>
        <v>72</v>
      </c>
      <c r="C124" s="124">
        <f>INDEX(关卡对比!$Y:$Y,MATCH(关卡对比!Z124,关卡对比!$AB:$AB,1))</f>
        <v>57</v>
      </c>
      <c r="D124" s="125">
        <f t="shared" si="157"/>
        <v>710.5</v>
      </c>
      <c r="E124" s="125">
        <v>3</v>
      </c>
      <c r="F124" s="128">
        <v>5</v>
      </c>
      <c r="G124" s="90">
        <v>1</v>
      </c>
      <c r="H124" s="90">
        <v>1</v>
      </c>
      <c r="J124" s="128">
        <v>118</v>
      </c>
      <c r="K124" s="90">
        <f t="shared" si="152"/>
        <v>5</v>
      </c>
      <c r="L124" s="90">
        <f t="shared" si="153"/>
        <v>1</v>
      </c>
      <c r="M124" s="90">
        <f t="shared" si="154"/>
        <v>1</v>
      </c>
      <c r="N124" s="140">
        <f>INDEX($A:$A,MATCH(SUM($K$7:K124),$D:$D,1))</f>
        <v>100</v>
      </c>
      <c r="O124" s="140">
        <v>0</v>
      </c>
      <c r="P124" s="141">
        <v>0</v>
      </c>
      <c r="Q124" s="126">
        <f>_xlfn.MAXIFS(关卡产出!X:X,关卡产出!$A:$A,玩家节奏1!$N$6,关卡产出!$B:$B,玩家节奏1!$N124)+_xlfn.MAXIFS(关卡产出!X:X,关卡产出!$A:$A,玩家节奏1!$O$6,关卡产出!$B:$B,玩家节奏1!$O124)+_xlfn.MAXIFS(关卡产出!X:X,关卡产出!$A:$A,玩家节奏1!$P$6,关卡产出!$B:$B,玩家节奏1!$P124)</f>
        <v>18500</v>
      </c>
      <c r="R124" s="90">
        <f>_xlfn.MAXIFS(关卡产出!Y:Y,关卡产出!$A:$A,玩家节奏1!$N$6,关卡产出!$B:$B,玩家节奏1!$N124)+_xlfn.MAXIFS(关卡产出!Y:Y,关卡产出!$A:$A,玩家节奏1!$O$6,关卡产出!$B:$B,玩家节奏1!$O124)+_xlfn.MAXIFS(关卡产出!Y:Y,关卡产出!$A:$A,玩家节奏1!$P$6,关卡产出!$B:$B,玩家节奏1!$P124)</f>
        <v>2810000</v>
      </c>
      <c r="S124" s="90">
        <f>_xlfn.MAXIFS(关卡产出!Z:Z,关卡产出!$A:$A,玩家节奏1!$N$6,关卡产出!$B:$B,玩家节奏1!$N124)+_xlfn.MAXIFS(关卡产出!Z:Z,关卡产出!$A:$A,玩家节奏1!$O$6,关卡产出!$B:$B,玩家节奏1!$O124)+_xlfn.MAXIFS(关卡产出!Z:Z,关卡产出!$A:$A,玩家节奏1!$P$6,关卡产出!$B:$B,玩家节奏1!$P124)</f>
        <v>19466</v>
      </c>
      <c r="T124" s="90">
        <f>_xlfn.MAXIFS(关卡产出!AA:AA,关卡产出!$A:$A,玩家节奏1!$N$6,关卡产出!$B:$B,玩家节奏1!$N124)+_xlfn.MAXIFS(关卡产出!AA:AA,关卡产出!$A:$A,玩家节奏1!$O$6,关卡产出!$B:$B,玩家节奏1!$O124)+_xlfn.MAXIFS(关卡产出!AA:AA,关卡产出!$A:$A,玩家节奏1!$P$6,关卡产出!$B:$B,玩家节奏1!$P124)</f>
        <v>9734</v>
      </c>
      <c r="U124" s="90">
        <f>_xlfn.MAXIFS(关卡产出!AB:AB,关卡产出!$A:$A,玩家节奏1!$N$6,关卡产出!$B:$B,玩家节奏1!$N124)+_xlfn.MAXIFS(关卡产出!AB:AB,关卡产出!$A:$A,玩家节奏1!$O$6,关卡产出!$B:$B,玩家节奏1!$O124)+_xlfn.MAXIFS(关卡产出!AB:AB,关卡产出!$A:$A,玩家节奏1!$P$6,关卡产出!$B:$B,玩家节奏1!$P124)</f>
        <v>4563</v>
      </c>
      <c r="V124" s="130">
        <f>_xlfn.MAXIFS(关卡产出!AC:AC,关卡产出!$A:$A,玩家节奏1!$N$6,关卡产出!$B:$B,玩家节奏1!$N124)+_xlfn.MAXIFS(关卡产出!AC:AC,关卡产出!$A:$A,玩家节奏1!$O$6,关卡产出!$B:$B,玩家节奏1!$O124)+_xlfn.MAXIFS(关卡产出!AC:AC,关卡产出!$A:$A,玩家节奏1!$P$6,关卡产出!$B:$B,玩家节奏1!$P124)</f>
        <v>600</v>
      </c>
      <c r="W124" s="126">
        <f>INDEX(关卡产出!C$8:C$207,MATCH(玩家节奏1!$N124,关卡产出!$B$8:$B$207,0))*$K124</f>
        <v>390</v>
      </c>
      <c r="X124" s="126">
        <f>INDEX(关卡产出!D$8:D$207,MATCH(玩家节奏1!$N124,关卡产出!$B$8:$B$207,0))*$K124</f>
        <v>195</v>
      </c>
      <c r="Y124" s="126">
        <f>INDEX(关卡产出!E$8:E$207,MATCH(玩家节奏1!$N124,关卡产出!$B$8:$B$207,0))*$K124</f>
        <v>95</v>
      </c>
      <c r="Z124" s="144">
        <f>INDEX(关卡产出!F$8:F$207,MATCH(玩家节奏1!$N124,关卡产出!$B$8:$B$207,0))*$K124</f>
        <v>5250</v>
      </c>
      <c r="AA124" s="126">
        <f>SUM(W$7:W124)</f>
        <v>23886</v>
      </c>
      <c r="AB124" s="126">
        <f>SUM(X$7:X124)</f>
        <v>11811</v>
      </c>
      <c r="AC124" s="126">
        <f>SUM(Y$7:Y124)</f>
        <v>5562</v>
      </c>
      <c r="AD124" s="126">
        <f>SUM(Z$7:Z124)</f>
        <v>343460</v>
      </c>
      <c r="AE124" s="126">
        <f>INDEX(图鉴!AQ:AQ,MATCH($N124,图鉴!$S:$S,0))*8</f>
        <v>168</v>
      </c>
      <c r="AF124" s="90">
        <f>INDEX(图鉴!AR:AR,MATCH($N124,图鉴!$S:$S,0))*8</f>
        <v>120</v>
      </c>
      <c r="AG124" s="90">
        <f>INDEX(图鉴!AS:AS,MATCH($N124,图鉴!$S:$S,0))*8</f>
        <v>48</v>
      </c>
      <c r="AH124" s="129">
        <f ca="1">INDEX(图鉴!AT:AT,MATCH($N124,图鉴!$S:$S,0))*8</f>
        <v>9640</v>
      </c>
      <c r="AI124" s="128">
        <f>SUM($AE$7:AE124)</f>
        <v>17400</v>
      </c>
      <c r="AJ124" s="90">
        <f>SUM(AF$7:AF124)</f>
        <v>9880</v>
      </c>
      <c r="AK124" s="90">
        <f>SUM(AG$7:AG124)</f>
        <v>3272</v>
      </c>
      <c r="AL124" s="130">
        <f ca="1">SUM(AH$7:AH124)</f>
        <v>743720</v>
      </c>
      <c r="AM124" s="133">
        <f>IF(M124=0,0,INDEX(关卡产出!$AU$11:$AU$15,MATCH(玩家节奏1!N124,关卡产出!$AW$11:$AW$15,1))*M124)</f>
        <v>12200</v>
      </c>
      <c r="AN124" s="126">
        <f>IF(L124=0,0,$L124*关卡产出!AU$21)</f>
        <v>1000</v>
      </c>
      <c r="AO124" s="90">
        <f>IF(M124=0,0,$L124*关卡产出!AV$21)</f>
        <v>50</v>
      </c>
      <c r="AP124" s="129">
        <f>IF(N124=0,0,$L124*关卡产出!AW$21)</f>
        <v>1</v>
      </c>
      <c r="AQ124" s="138">
        <f>SUM(AN$7:AN124)</f>
        <v>101000</v>
      </c>
      <c r="AR124" s="126">
        <f>SUM(AO$7:AO124)</f>
        <v>5050</v>
      </c>
      <c r="AS124" s="129">
        <f>SUM(AP$7:AP124)</f>
        <v>101</v>
      </c>
      <c r="AT124" s="128">
        <v>500</v>
      </c>
      <c r="AU124" s="129">
        <v>100</v>
      </c>
      <c r="AV124" s="128">
        <f>SUM(AT$7:AT124)</f>
        <v>59000</v>
      </c>
      <c r="AW124" s="90">
        <f>SUM(AU$7:AU124)</f>
        <v>11800</v>
      </c>
      <c r="AY124" s="128">
        <f t="shared" si="91"/>
        <v>18500</v>
      </c>
      <c r="AZ124" s="90">
        <f t="shared" si="92"/>
        <v>5050</v>
      </c>
      <c r="BA124" s="90">
        <f t="shared" si="93"/>
        <v>11800</v>
      </c>
      <c r="BB124" s="90">
        <f t="shared" ca="1" si="143"/>
        <v>6700</v>
      </c>
      <c r="BC124" s="90">
        <f t="shared" ca="1" si="144"/>
        <v>42050</v>
      </c>
      <c r="BD124" s="90"/>
      <c r="BE124" s="90">
        <f t="shared" ca="1" si="94"/>
        <v>42050</v>
      </c>
      <c r="BF124" s="142">
        <f t="shared" ca="1" si="95"/>
        <v>0.43995243757431629</v>
      </c>
      <c r="BG124" s="142">
        <f t="shared" ca="1" si="96"/>
        <v>0.12009512485136742</v>
      </c>
      <c r="BH124" s="142">
        <f t="shared" ca="1" si="155"/>
        <v>0.28061831153388822</v>
      </c>
      <c r="BI124" s="142">
        <f t="shared" ca="1" si="156"/>
        <v>0.15933412604042807</v>
      </c>
      <c r="BJ124" s="143"/>
      <c r="BK124" s="128">
        <f ca="1">INDEX(商城宝箱!$L:$L,MATCH(BC124,商城宝箱!$N:$N,1))</f>
        <v>8</v>
      </c>
      <c r="BL124" s="90">
        <f ca="1">_xlfn.IFNA(INDEX(商城宝箱!T:T,MATCH(玩家节奏1!$BK124,商城宝箱!$L:$L,0)),0)+($BC124-INDEX(商城宝箱!$N:$N,MATCH(玩家节奏1!$BK124,商城宝箱!$L:$L,0)))/$BK$5*INDEX(商城宝箱!E$23:E$42,MATCH(玩家节奏1!$BK124+1,商城宝箱!$C$23:$C$42,0))</f>
        <v>105125</v>
      </c>
      <c r="BM124" s="90">
        <f ca="1">_xlfn.IFNA(INDEX(商城宝箱!U:U,MATCH(玩家节奏1!$BK124,商城宝箱!$L:$L,0)),0)+($BC124-INDEX(商城宝箱!$N:$N,MATCH(玩家节奏1!$BK124,商城宝箱!$L:$L,0)))/$BK$5*INDEX(商城宝箱!F$23:F$42,MATCH(玩家节奏1!$BK124+1,商城宝箱!$C$23:$C$42,0))</f>
        <v>58052.5</v>
      </c>
      <c r="BN124" s="90">
        <f ca="1">_xlfn.IFNA(INDEX(商城宝箱!V:V,MATCH(玩家节奏1!$BK124,商城宝箱!$L:$L,0)),0)+($BC124-INDEX(商城宝箱!$N:$N,MATCH(玩家节奏1!$BK124,商城宝箱!$L:$L,0)))/$BK$5*INDEX(商城宝箱!G$23:G$42,MATCH(玩家节奏1!$BK124+1,商城宝箱!$C$23:$C$42,0))</f>
        <v>38504.5</v>
      </c>
      <c r="BO124" s="90">
        <f ca="1">_xlfn.IFNA(INDEX(商城宝箱!W:W,MATCH(玩家节奏1!$BK124,商城宝箱!$L:$L,0)),0)+($BC124-INDEX(商城宝箱!$N:$N,MATCH(玩家节奏1!$BK124,商城宝箱!$L:$L,0)))/$BK$5*INDEX(商城宝箱!H$23:H$42,MATCH(玩家节奏1!$BK124+1,商城宝箱!$C$23:$C$42,0))</f>
        <v>4842</v>
      </c>
      <c r="BQ124" s="128">
        <f t="shared" si="146"/>
        <v>2810000</v>
      </c>
      <c r="BR124" s="90">
        <f t="shared" si="147"/>
        <v>343460</v>
      </c>
      <c r="BS124" s="90">
        <f t="shared" ca="1" si="148"/>
        <v>743720</v>
      </c>
      <c r="BT124" s="90">
        <f t="shared" si="149"/>
        <v>12200</v>
      </c>
      <c r="BU124" s="90">
        <f t="shared" si="150"/>
        <v>101000</v>
      </c>
      <c r="BV124" s="90">
        <f t="shared" si="151"/>
        <v>59000</v>
      </c>
      <c r="BW124" s="90">
        <f t="shared" ca="1" si="99"/>
        <v>105125</v>
      </c>
      <c r="BX124" s="90">
        <f t="shared" ca="1" si="100"/>
        <v>4174505</v>
      </c>
      <c r="BY124" s="142">
        <f t="shared" ca="1" si="101"/>
        <v>0.67313370088190094</v>
      </c>
      <c r="BZ124" s="142">
        <f t="shared" ca="1" si="102"/>
        <v>8.2275623097828363E-2</v>
      </c>
      <c r="CA124" s="142">
        <f t="shared" ca="1" si="103"/>
        <v>0.17815764982914142</v>
      </c>
      <c r="CB124" s="142">
        <f t="shared" ca="1" si="104"/>
        <v>2.9225021888822748E-3</v>
      </c>
      <c r="CC124" s="142">
        <f t="shared" ca="1" si="105"/>
        <v>2.4194485334189324E-2</v>
      </c>
      <c r="CD124" s="142">
        <f t="shared" ca="1" si="106"/>
        <v>1.4133412224922476E-2</v>
      </c>
      <c r="CE124" s="142">
        <f t="shared" ca="1" si="107"/>
        <v>2.5182626443135174E-2</v>
      </c>
      <c r="CG124" s="128">
        <f t="shared" si="108"/>
        <v>100</v>
      </c>
      <c r="CH124" s="90">
        <f ca="1">INDEX(角色升级!$A:$A,MATCH(玩家节奏1!$BX124,角色升级!$J:$J,1))</f>
        <v>543</v>
      </c>
      <c r="CI124" s="90">
        <f ca="1">INDEX(角色升级!$O:$O,MATCH(玩家节奏1!$BX124,角色升级!$J:$J,1))</f>
        <v>22581.870389999996</v>
      </c>
      <c r="CJ124" s="90">
        <f>INDEX(关卡对比!$J:$J,MATCH(玩家节奏1!N124,关卡对比!$A:$A,0))</f>
        <v>36200</v>
      </c>
      <c r="CK124" s="147">
        <f t="shared" ca="1" si="109"/>
        <v>1.6030558751249659</v>
      </c>
      <c r="CL124" s="128">
        <f ca="1">INDEX(角色升级!$P:$P,MATCH(玩家节奏1!$CH124,角色升级!$A:$A,0))</f>
        <v>6700</v>
      </c>
      <c r="CM124" s="90">
        <f ca="1">INDEX(角色升级!Q:Q,MATCH(玩家节奏1!$CH124,角色升级!$A:$A,0))</f>
        <v>0.9</v>
      </c>
      <c r="CO124" s="128">
        <f t="shared" si="110"/>
        <v>19466</v>
      </c>
      <c r="CP124" s="90">
        <f t="shared" si="111"/>
        <v>23886</v>
      </c>
      <c r="CQ124" s="90">
        <f t="shared" si="112"/>
        <v>17400</v>
      </c>
      <c r="CR124" s="90">
        <f t="shared" ca="1" si="113"/>
        <v>58052.5</v>
      </c>
      <c r="CS124" s="90">
        <f t="shared" ca="1" si="114"/>
        <v>118804.5</v>
      </c>
      <c r="CT124" s="142">
        <f t="shared" ca="1" si="115"/>
        <v>0.163849012453232</v>
      </c>
      <c r="CU124" s="142">
        <f t="shared" ca="1" si="116"/>
        <v>0.20105299041702965</v>
      </c>
      <c r="CV124" s="142">
        <f t="shared" ca="1" si="117"/>
        <v>0.14645909877151117</v>
      </c>
      <c r="CW124" s="142">
        <f t="shared" ca="1" si="118"/>
        <v>0.48863889835822716</v>
      </c>
      <c r="CY124" s="128">
        <f t="shared" si="119"/>
        <v>9734</v>
      </c>
      <c r="CZ124" s="90">
        <f t="shared" si="120"/>
        <v>11811</v>
      </c>
      <c r="DA124" s="90">
        <f t="shared" si="121"/>
        <v>9880</v>
      </c>
      <c r="DB124" s="90">
        <f t="shared" ca="1" si="122"/>
        <v>38504.5</v>
      </c>
      <c r="DC124" s="90">
        <f t="shared" ca="1" si="123"/>
        <v>69929.5</v>
      </c>
      <c r="DD124" s="142">
        <f t="shared" ca="1" si="124"/>
        <v>0.13919733445827584</v>
      </c>
      <c r="DE124" s="142">
        <f t="shared" ca="1" si="125"/>
        <v>0.16889867652421367</v>
      </c>
      <c r="DF124" s="142">
        <f t="shared" ca="1" si="126"/>
        <v>0.14128515147398452</v>
      </c>
      <c r="DG124" s="142">
        <f t="shared" ca="1" si="127"/>
        <v>0.55061883754352603</v>
      </c>
      <c r="DI124" s="128">
        <f t="shared" si="128"/>
        <v>4563</v>
      </c>
      <c r="DJ124" s="90">
        <f t="shared" si="129"/>
        <v>5562</v>
      </c>
      <c r="DK124" s="90">
        <f t="shared" si="130"/>
        <v>3272</v>
      </c>
      <c r="DL124" s="90">
        <f t="shared" ca="1" si="131"/>
        <v>4842</v>
      </c>
      <c r="DM124" s="90">
        <f t="shared" ca="1" si="132"/>
        <v>18239</v>
      </c>
      <c r="DN124" s="142">
        <f t="shared" ca="1" si="133"/>
        <v>0.25017818959372773</v>
      </c>
      <c r="DO124" s="142">
        <f t="shared" ca="1" si="134"/>
        <v>0.30495092932726575</v>
      </c>
      <c r="DP124" s="142">
        <f t="shared" ca="1" si="135"/>
        <v>0.17939580020834475</v>
      </c>
      <c r="DQ124" s="142">
        <f t="shared" ca="1" si="136"/>
        <v>0.26547508087066179</v>
      </c>
      <c r="DS124" s="128">
        <f t="shared" ca="1" si="137"/>
        <v>118804.5</v>
      </c>
      <c r="DT124" s="90">
        <f t="shared" ca="1" si="138"/>
        <v>69929.5</v>
      </c>
      <c r="DU124" s="90">
        <f t="shared" ca="1" si="139"/>
        <v>18239</v>
      </c>
      <c r="DV124" s="90">
        <f t="shared" si="140"/>
        <v>101</v>
      </c>
      <c r="DW124" s="90">
        <f ca="1">_xlfn.IFNA(INDEX(武器升级消耗!$H:$H,MATCH(玩家节奏1!DS124/玩家节奏1!DS$5,武器升级消耗!M:M,1)),0)</f>
        <v>31</v>
      </c>
      <c r="DX124" s="90">
        <f ca="1">_xlfn.IFNA(INDEX(武器升级消耗!$H:$H,MATCH(玩家节奏1!DT124/玩家节奏1!DT$5,武器升级消耗!N:N,1)),0)</f>
        <v>29</v>
      </c>
      <c r="DY124" s="90">
        <f ca="1">_xlfn.IFNA(INDEX(武器升级消耗!$H:$H,MATCH(玩家节奏1!DU124/玩家节奏1!DU$5,武器升级消耗!O:O,1)),0)</f>
        <v>19</v>
      </c>
      <c r="DZ124" s="90">
        <f>_xlfn.IFNA(INDEX(武器升级消耗!$H:$H,MATCH(玩家节奏1!DV124/玩家节奏1!DV$5,武器升级消耗!P:P,1)),0)</f>
        <v>10</v>
      </c>
      <c r="EA124" s="90">
        <f ca="1">_xlfn.IFNA(INDEX(武器升级消耗!$Q:$Q,MATCH(玩家节奏1!DW124,武器升级消耗!$H:$H,0))*2*EA$4,0)</f>
        <v>4.2</v>
      </c>
      <c r="EB124" s="90">
        <f ca="1">_xlfn.IFNA(INDEX(武器升级消耗!$Q:$Q,MATCH(玩家节奏1!DX124,武器升级消耗!$H:$H,0))*2*EB$4,0)</f>
        <v>4.9499999999999993</v>
      </c>
      <c r="EC124" s="90">
        <f ca="1">_xlfn.IFNA(INDEX(武器升级消耗!$Q:$Q,MATCH(玩家节奏1!DY124,武器升级消耗!$H:$H,0))*2*EC$4,1)</f>
        <v>5.0599999999999996</v>
      </c>
      <c r="ED124" s="90">
        <f>_xlfn.IFNA(INDEX(武器升级消耗!$Q:$Q,MATCH(玩家节奏1!DZ124,武器升级消耗!$H:$H,0))*2*ED$4,0)</f>
        <v>4.1999999999999993</v>
      </c>
    </row>
    <row r="125" spans="1:134" x14ac:dyDescent="0.25">
      <c r="A125" s="123">
        <v>119</v>
      </c>
      <c r="B125" s="123">
        <f>INDEX(关卡对比!$Y:$Y,MATCH(关卡对比!Z125,关卡对比!$AA:$AA,1))</f>
        <v>73</v>
      </c>
      <c r="C125" s="124">
        <f>INDEX(关卡对比!$Y:$Y,MATCH(关卡对比!Z125,关卡对比!$AB:$AB,1))</f>
        <v>58</v>
      </c>
      <c r="D125" s="125">
        <f t="shared" si="157"/>
        <v>719.5</v>
      </c>
      <c r="E125" s="125">
        <v>3</v>
      </c>
      <c r="F125" s="128">
        <v>5</v>
      </c>
      <c r="G125" s="90">
        <v>1</v>
      </c>
      <c r="H125" s="90">
        <v>1</v>
      </c>
      <c r="J125" s="128">
        <v>119</v>
      </c>
      <c r="K125" s="90">
        <f t="shared" si="152"/>
        <v>5</v>
      </c>
      <c r="L125" s="90">
        <f t="shared" si="153"/>
        <v>1</v>
      </c>
      <c r="M125" s="90">
        <f t="shared" si="154"/>
        <v>1</v>
      </c>
      <c r="N125" s="140">
        <f>INDEX($A:$A,MATCH(SUM($K$7:K125),$D:$D,1))</f>
        <v>100</v>
      </c>
      <c r="O125" s="140">
        <v>0</v>
      </c>
      <c r="P125" s="141">
        <v>0</v>
      </c>
      <c r="Q125" s="126">
        <f>_xlfn.MAXIFS(关卡产出!X:X,关卡产出!$A:$A,玩家节奏1!$N$6,关卡产出!$B:$B,玩家节奏1!$N125)+_xlfn.MAXIFS(关卡产出!X:X,关卡产出!$A:$A,玩家节奏1!$O$6,关卡产出!$B:$B,玩家节奏1!$O125)+_xlfn.MAXIFS(关卡产出!X:X,关卡产出!$A:$A,玩家节奏1!$P$6,关卡产出!$B:$B,玩家节奏1!$P125)</f>
        <v>18500</v>
      </c>
      <c r="R125" s="90">
        <f>_xlfn.MAXIFS(关卡产出!Y:Y,关卡产出!$A:$A,玩家节奏1!$N$6,关卡产出!$B:$B,玩家节奏1!$N125)+_xlfn.MAXIFS(关卡产出!Y:Y,关卡产出!$A:$A,玩家节奏1!$O$6,关卡产出!$B:$B,玩家节奏1!$O125)+_xlfn.MAXIFS(关卡产出!Y:Y,关卡产出!$A:$A,玩家节奏1!$P$6,关卡产出!$B:$B,玩家节奏1!$P125)</f>
        <v>2810000</v>
      </c>
      <c r="S125" s="90">
        <f>_xlfn.MAXIFS(关卡产出!Z:Z,关卡产出!$A:$A,玩家节奏1!$N$6,关卡产出!$B:$B,玩家节奏1!$N125)+_xlfn.MAXIFS(关卡产出!Z:Z,关卡产出!$A:$A,玩家节奏1!$O$6,关卡产出!$B:$B,玩家节奏1!$O125)+_xlfn.MAXIFS(关卡产出!Z:Z,关卡产出!$A:$A,玩家节奏1!$P$6,关卡产出!$B:$B,玩家节奏1!$P125)</f>
        <v>19466</v>
      </c>
      <c r="T125" s="90">
        <f>_xlfn.MAXIFS(关卡产出!AA:AA,关卡产出!$A:$A,玩家节奏1!$N$6,关卡产出!$B:$B,玩家节奏1!$N125)+_xlfn.MAXIFS(关卡产出!AA:AA,关卡产出!$A:$A,玩家节奏1!$O$6,关卡产出!$B:$B,玩家节奏1!$O125)+_xlfn.MAXIFS(关卡产出!AA:AA,关卡产出!$A:$A,玩家节奏1!$P$6,关卡产出!$B:$B,玩家节奏1!$P125)</f>
        <v>9734</v>
      </c>
      <c r="U125" s="90">
        <f>_xlfn.MAXIFS(关卡产出!AB:AB,关卡产出!$A:$A,玩家节奏1!$N$6,关卡产出!$B:$B,玩家节奏1!$N125)+_xlfn.MAXIFS(关卡产出!AB:AB,关卡产出!$A:$A,玩家节奏1!$O$6,关卡产出!$B:$B,玩家节奏1!$O125)+_xlfn.MAXIFS(关卡产出!AB:AB,关卡产出!$A:$A,玩家节奏1!$P$6,关卡产出!$B:$B,玩家节奏1!$P125)</f>
        <v>4563</v>
      </c>
      <c r="V125" s="130">
        <f>_xlfn.MAXIFS(关卡产出!AC:AC,关卡产出!$A:$A,玩家节奏1!$N$6,关卡产出!$B:$B,玩家节奏1!$N125)+_xlfn.MAXIFS(关卡产出!AC:AC,关卡产出!$A:$A,玩家节奏1!$O$6,关卡产出!$B:$B,玩家节奏1!$O125)+_xlfn.MAXIFS(关卡产出!AC:AC,关卡产出!$A:$A,玩家节奏1!$P$6,关卡产出!$B:$B,玩家节奏1!$P125)</f>
        <v>600</v>
      </c>
      <c r="W125" s="126">
        <f>INDEX(关卡产出!C$8:C$207,MATCH(玩家节奏1!$N125,关卡产出!$B$8:$B$207,0))*$K125</f>
        <v>390</v>
      </c>
      <c r="X125" s="126">
        <f>INDEX(关卡产出!D$8:D$207,MATCH(玩家节奏1!$N125,关卡产出!$B$8:$B$207,0))*$K125</f>
        <v>195</v>
      </c>
      <c r="Y125" s="126">
        <f>INDEX(关卡产出!E$8:E$207,MATCH(玩家节奏1!$N125,关卡产出!$B$8:$B$207,0))*$K125</f>
        <v>95</v>
      </c>
      <c r="Z125" s="144">
        <f>INDEX(关卡产出!F$8:F$207,MATCH(玩家节奏1!$N125,关卡产出!$B$8:$B$207,0))*$K125</f>
        <v>5250</v>
      </c>
      <c r="AA125" s="126">
        <f>SUM(W$7:W125)</f>
        <v>24276</v>
      </c>
      <c r="AB125" s="126">
        <f>SUM(X$7:X125)</f>
        <v>12006</v>
      </c>
      <c r="AC125" s="126">
        <f>SUM(Y$7:Y125)</f>
        <v>5657</v>
      </c>
      <c r="AD125" s="126">
        <f>SUM(Z$7:Z125)</f>
        <v>348710</v>
      </c>
      <c r="AE125" s="126">
        <f>INDEX(图鉴!AQ:AQ,MATCH($N125,图鉴!$S:$S,0))*8</f>
        <v>168</v>
      </c>
      <c r="AF125" s="90">
        <f>INDEX(图鉴!AR:AR,MATCH($N125,图鉴!$S:$S,0))*8</f>
        <v>120</v>
      </c>
      <c r="AG125" s="90">
        <f>INDEX(图鉴!AS:AS,MATCH($N125,图鉴!$S:$S,0))*8</f>
        <v>48</v>
      </c>
      <c r="AH125" s="129">
        <f ca="1">INDEX(图鉴!AT:AT,MATCH($N125,图鉴!$S:$S,0))*8</f>
        <v>9640</v>
      </c>
      <c r="AI125" s="128">
        <f>SUM($AE$7:AE125)</f>
        <v>17568</v>
      </c>
      <c r="AJ125" s="90">
        <f>SUM(AF$7:AF125)</f>
        <v>10000</v>
      </c>
      <c r="AK125" s="90">
        <f>SUM(AG$7:AG125)</f>
        <v>3320</v>
      </c>
      <c r="AL125" s="130">
        <f ca="1">SUM(AH$7:AH125)</f>
        <v>753360</v>
      </c>
      <c r="AM125" s="133">
        <f>IF(M125=0,0,INDEX(关卡产出!$AU$11:$AU$15,MATCH(玩家节奏1!N125,关卡产出!$AW$11:$AW$15,1))*M125)</f>
        <v>12200</v>
      </c>
      <c r="AN125" s="126">
        <f>IF(L125=0,0,$L125*关卡产出!AU$21)</f>
        <v>1000</v>
      </c>
      <c r="AO125" s="90">
        <f>IF(M125=0,0,$L125*关卡产出!AV$21)</f>
        <v>50</v>
      </c>
      <c r="AP125" s="129">
        <f>IF(N125=0,0,$L125*关卡产出!AW$21)</f>
        <v>1</v>
      </c>
      <c r="AQ125" s="138">
        <f>SUM(AN$7:AN125)</f>
        <v>102000</v>
      </c>
      <c r="AR125" s="126">
        <f>SUM(AO$7:AO125)</f>
        <v>5100</v>
      </c>
      <c r="AS125" s="129">
        <f>SUM(AP$7:AP125)</f>
        <v>102</v>
      </c>
      <c r="AT125" s="128">
        <v>500</v>
      </c>
      <c r="AU125" s="129">
        <v>100</v>
      </c>
      <c r="AV125" s="128">
        <f>SUM(AT$7:AT125)</f>
        <v>59500</v>
      </c>
      <c r="AW125" s="90">
        <f>SUM(AU$7:AU125)</f>
        <v>11900</v>
      </c>
      <c r="AY125" s="128">
        <f t="shared" si="91"/>
        <v>18500</v>
      </c>
      <c r="AZ125" s="90">
        <f t="shared" si="92"/>
        <v>5100</v>
      </c>
      <c r="BA125" s="90">
        <f t="shared" si="93"/>
        <v>11900</v>
      </c>
      <c r="BB125" s="90">
        <f t="shared" ca="1" si="143"/>
        <v>6700</v>
      </c>
      <c r="BC125" s="90">
        <f t="shared" ca="1" si="144"/>
        <v>42200</v>
      </c>
      <c r="BD125" s="90"/>
      <c r="BE125" s="90">
        <f t="shared" ca="1" si="94"/>
        <v>42200</v>
      </c>
      <c r="BF125" s="142">
        <f t="shared" ca="1" si="95"/>
        <v>0.43838862559241704</v>
      </c>
      <c r="BG125" s="142">
        <f t="shared" ca="1" si="96"/>
        <v>0.12085308056872038</v>
      </c>
      <c r="BH125" s="142">
        <f t="shared" ca="1" si="155"/>
        <v>0.28199052132701424</v>
      </c>
      <c r="BI125" s="142">
        <f t="shared" ca="1" si="156"/>
        <v>0.15876777251184834</v>
      </c>
      <c r="BJ125" s="143"/>
      <c r="BK125" s="128">
        <f ca="1">INDEX(商城宝箱!$L:$L,MATCH(BC125,商城宝箱!$N:$N,1))</f>
        <v>8</v>
      </c>
      <c r="BL125" s="90">
        <f ca="1">_xlfn.IFNA(INDEX(商城宝箱!T:T,MATCH(玩家节奏1!$BK125,商城宝箱!$L:$L,0)),0)+($BC125-INDEX(商城宝箱!$N:$N,MATCH(玩家节奏1!$BK125,商城宝箱!$L:$L,0)))/$BK$5*INDEX(商城宝箱!E$23:E$42,MATCH(玩家节奏1!$BK125+1,商城宝箱!$C$23:$C$42,0))</f>
        <v>105500</v>
      </c>
      <c r="BM125" s="90">
        <f ca="1">_xlfn.IFNA(INDEX(商城宝箱!U:U,MATCH(玩家节奏1!$BK125,商城宝箱!$L:$L,0)),0)+($BC125-INDEX(商城宝箱!$N:$N,MATCH(玩家节奏1!$BK125,商城宝箱!$L:$L,0)))/$BK$5*INDEX(商城宝箱!F$23:F$42,MATCH(玩家节奏1!$BK125+1,商城宝箱!$C$23:$C$42,0))</f>
        <v>58382.5</v>
      </c>
      <c r="BN125" s="90">
        <f ca="1">_xlfn.IFNA(INDEX(商城宝箱!V:V,MATCH(玩家节奏1!$BK125,商城宝箱!$L:$L,0)),0)+($BC125-INDEX(商城宝箱!$N:$N,MATCH(玩家节奏1!$BK125,商城宝箱!$L:$L,0)))/$BK$5*INDEX(商城宝箱!G$23:G$42,MATCH(玩家节奏1!$BK125+1,商城宝箱!$C$23:$C$42,0))</f>
        <v>38752</v>
      </c>
      <c r="BO125" s="90">
        <f ca="1">_xlfn.IFNA(INDEX(商城宝箱!W:W,MATCH(玩家节奏1!$BK125,商城宝箱!$L:$L,0)),0)+($BC125-INDEX(商城宝箱!$N:$N,MATCH(玩家节奏1!$BK125,商城宝箱!$L:$L,0)))/$BK$5*INDEX(商城宝箱!H$23:H$42,MATCH(玩家节奏1!$BK125+1,商城宝箱!$C$23:$C$42,0))</f>
        <v>4870.5</v>
      </c>
      <c r="BQ125" s="128">
        <f t="shared" si="146"/>
        <v>2810000</v>
      </c>
      <c r="BR125" s="90">
        <f t="shared" si="147"/>
        <v>348710</v>
      </c>
      <c r="BS125" s="90">
        <f t="shared" ca="1" si="148"/>
        <v>753360</v>
      </c>
      <c r="BT125" s="90">
        <f t="shared" si="149"/>
        <v>12200</v>
      </c>
      <c r="BU125" s="90">
        <f t="shared" si="150"/>
        <v>102000</v>
      </c>
      <c r="BV125" s="90">
        <f t="shared" si="151"/>
        <v>59500</v>
      </c>
      <c r="BW125" s="90">
        <f t="shared" ca="1" si="99"/>
        <v>105500</v>
      </c>
      <c r="BX125" s="90">
        <f t="shared" ca="1" si="100"/>
        <v>4191270</v>
      </c>
      <c r="BY125" s="142">
        <f t="shared" ca="1" si="101"/>
        <v>0.67044117892667376</v>
      </c>
      <c r="BZ125" s="142">
        <f t="shared" ca="1" si="102"/>
        <v>8.3199125801964563E-2</v>
      </c>
      <c r="CA125" s="142">
        <f t="shared" ca="1" si="103"/>
        <v>0.17974504147907436</v>
      </c>
      <c r="CB125" s="142">
        <f t="shared" ca="1" si="104"/>
        <v>2.9108122359094023E-3</v>
      </c>
      <c r="CC125" s="142">
        <f t="shared" ca="1" si="105"/>
        <v>2.4336299021537625E-2</v>
      </c>
      <c r="CD125" s="142">
        <f t="shared" ca="1" si="106"/>
        <v>1.419617442923028E-2</v>
      </c>
      <c r="CE125" s="142">
        <f t="shared" ca="1" si="107"/>
        <v>2.5171368105609992E-2</v>
      </c>
      <c r="CG125" s="128">
        <f t="shared" si="108"/>
        <v>100</v>
      </c>
      <c r="CH125" s="90">
        <f ca="1">INDEX(角色升级!$A:$A,MATCH(玩家节奏1!$BX125,角色升级!$J:$J,1))</f>
        <v>544</v>
      </c>
      <c r="CI125" s="90">
        <f ca="1">INDEX(角色升级!$O:$O,MATCH(玩家节奏1!$BX125,角色升级!$J:$J,1))</f>
        <v>22825.929284999998</v>
      </c>
      <c r="CJ125" s="90">
        <f>INDEX(关卡对比!$J:$J,MATCH(玩家节奏1!N125,关卡对比!$A:$A,0))</f>
        <v>36200</v>
      </c>
      <c r="CK125" s="147">
        <f t="shared" ca="1" si="109"/>
        <v>1.5859157166402307</v>
      </c>
      <c r="CL125" s="128">
        <f ca="1">INDEX(角色升级!$P:$P,MATCH(玩家节奏1!$CH125,角色升级!$A:$A,0))</f>
        <v>6700</v>
      </c>
      <c r="CM125" s="90">
        <f ca="1">INDEX(角色升级!Q:Q,MATCH(玩家节奏1!$CH125,角色升级!$A:$A,0))</f>
        <v>0.9</v>
      </c>
      <c r="CO125" s="128">
        <f t="shared" si="110"/>
        <v>19466</v>
      </c>
      <c r="CP125" s="90">
        <f t="shared" si="111"/>
        <v>24276</v>
      </c>
      <c r="CQ125" s="90">
        <f t="shared" si="112"/>
        <v>17568</v>
      </c>
      <c r="CR125" s="90">
        <f t="shared" ca="1" si="113"/>
        <v>58382.5</v>
      </c>
      <c r="CS125" s="90">
        <f t="shared" ca="1" si="114"/>
        <v>119692.5</v>
      </c>
      <c r="CT125" s="142">
        <f t="shared" ca="1" si="115"/>
        <v>0.16263341479207136</v>
      </c>
      <c r="CU125" s="142">
        <f t="shared" ca="1" si="116"/>
        <v>0.20281972554671346</v>
      </c>
      <c r="CV125" s="142">
        <f t="shared" ca="1" si="117"/>
        <v>0.14677611379159095</v>
      </c>
      <c r="CW125" s="142">
        <f t="shared" ca="1" si="118"/>
        <v>0.48777074586962427</v>
      </c>
      <c r="CY125" s="128">
        <f t="shared" si="119"/>
        <v>9734</v>
      </c>
      <c r="CZ125" s="90">
        <f t="shared" si="120"/>
        <v>12006</v>
      </c>
      <c r="DA125" s="90">
        <f t="shared" si="121"/>
        <v>10000</v>
      </c>
      <c r="DB125" s="90">
        <f t="shared" ca="1" si="122"/>
        <v>38752</v>
      </c>
      <c r="DC125" s="90">
        <f t="shared" ca="1" si="123"/>
        <v>70492</v>
      </c>
      <c r="DD125" s="142">
        <f t="shared" ca="1" si="124"/>
        <v>0.13808659138625659</v>
      </c>
      <c r="DE125" s="142">
        <f t="shared" ca="1" si="125"/>
        <v>0.17031719911479318</v>
      </c>
      <c r="DF125" s="142">
        <f t="shared" ca="1" si="126"/>
        <v>0.14186006922771377</v>
      </c>
      <c r="DG125" s="142">
        <f t="shared" ca="1" si="127"/>
        <v>0.54973614027123641</v>
      </c>
      <c r="DI125" s="128">
        <f t="shared" si="128"/>
        <v>4563</v>
      </c>
      <c r="DJ125" s="90">
        <f t="shared" si="129"/>
        <v>5657</v>
      </c>
      <c r="DK125" s="90">
        <f t="shared" si="130"/>
        <v>3320</v>
      </c>
      <c r="DL125" s="90">
        <f t="shared" ca="1" si="131"/>
        <v>4870.5</v>
      </c>
      <c r="DM125" s="90">
        <f t="shared" ca="1" si="132"/>
        <v>18410.5</v>
      </c>
      <c r="DN125" s="142">
        <f t="shared" ca="1" si="133"/>
        <v>0.2478476956084843</v>
      </c>
      <c r="DO125" s="142">
        <f t="shared" ca="1" si="134"/>
        <v>0.30727030770484237</v>
      </c>
      <c r="DP125" s="142">
        <f t="shared" ca="1" si="135"/>
        <v>0.18033187583172647</v>
      </c>
      <c r="DQ125" s="142">
        <f t="shared" ca="1" si="136"/>
        <v>0.26455012085494689</v>
      </c>
      <c r="DS125" s="128">
        <f t="shared" ca="1" si="137"/>
        <v>119692.5</v>
      </c>
      <c r="DT125" s="90">
        <f t="shared" ca="1" si="138"/>
        <v>70492</v>
      </c>
      <c r="DU125" s="90">
        <f t="shared" ca="1" si="139"/>
        <v>18410.5</v>
      </c>
      <c r="DV125" s="90">
        <f t="shared" si="140"/>
        <v>102</v>
      </c>
      <c r="DW125" s="90">
        <f ca="1">_xlfn.IFNA(INDEX(武器升级消耗!$H:$H,MATCH(玩家节奏1!DS125/玩家节奏1!DS$5,武器升级消耗!M:M,1)),0)</f>
        <v>32</v>
      </c>
      <c r="DX125" s="90">
        <f ca="1">_xlfn.IFNA(INDEX(武器升级消耗!$H:$H,MATCH(玩家节奏1!DT125/玩家节奏1!DT$5,武器升级消耗!N:N,1)),0)</f>
        <v>29</v>
      </c>
      <c r="DY125" s="90">
        <f ca="1">_xlfn.IFNA(INDEX(武器升级消耗!$H:$H,MATCH(玩家节奏1!DU125/玩家节奏1!DU$5,武器升级消耗!O:O,1)),0)</f>
        <v>19</v>
      </c>
      <c r="DZ125" s="90">
        <f>_xlfn.IFNA(INDEX(武器升级消耗!$H:$H,MATCH(玩家节奏1!DV125/玩家节奏1!DV$5,武器升级消耗!P:P,1)),0)</f>
        <v>11</v>
      </c>
      <c r="EA125" s="90">
        <f ca="1">_xlfn.IFNA(INDEX(武器升级消耗!$Q:$Q,MATCH(玩家节奏1!DW125,武器升级消耗!$H:$H,0))*2*EA$4,0)</f>
        <v>4.32</v>
      </c>
      <c r="EB125" s="90">
        <f ca="1">_xlfn.IFNA(INDEX(武器升级消耗!$Q:$Q,MATCH(玩家节奏1!DX125,武器升级消耗!$H:$H,0))*2*EB$4,0)</f>
        <v>4.9499999999999993</v>
      </c>
      <c r="EC125" s="90">
        <f ca="1">_xlfn.IFNA(INDEX(武器升级消耗!$Q:$Q,MATCH(玩家节奏1!DY125,武器升级消耗!$H:$H,0))*2*EC$4,1)</f>
        <v>5.0599999999999996</v>
      </c>
      <c r="ED125" s="90">
        <f>_xlfn.IFNA(INDEX(武器升级消耗!$Q:$Q,MATCH(玩家节奏1!DZ125,武器升级消耗!$H:$H,0))*2*ED$4,0)</f>
        <v>4.5</v>
      </c>
    </row>
    <row r="126" spans="1:134" x14ac:dyDescent="0.25">
      <c r="A126" s="123">
        <v>120</v>
      </c>
      <c r="B126" s="123">
        <f>INDEX(关卡对比!$Y:$Y,MATCH(关卡对比!Z126,关卡对比!$AA:$AA,1))</f>
        <v>73</v>
      </c>
      <c r="C126" s="124">
        <f>INDEX(关卡对比!$Y:$Y,MATCH(关卡对比!Z126,关卡对比!$AB:$AB,1))</f>
        <v>58</v>
      </c>
      <c r="D126" s="125">
        <f t="shared" si="157"/>
        <v>722.5</v>
      </c>
      <c r="E126" s="125">
        <v>3</v>
      </c>
      <c r="F126" s="128">
        <v>5</v>
      </c>
      <c r="G126" s="90">
        <v>1</v>
      </c>
      <c r="H126" s="90">
        <v>1</v>
      </c>
      <c r="J126" s="128">
        <v>120</v>
      </c>
      <c r="K126" s="90">
        <f t="shared" si="152"/>
        <v>5</v>
      </c>
      <c r="L126" s="90">
        <f t="shared" si="153"/>
        <v>1</v>
      </c>
      <c r="M126" s="90">
        <f t="shared" si="154"/>
        <v>1</v>
      </c>
      <c r="N126" s="140">
        <f>INDEX($A:$A,MATCH(SUM($K$7:K126),$D:$D,1))</f>
        <v>102</v>
      </c>
      <c r="O126" s="140">
        <v>0</v>
      </c>
      <c r="P126" s="141">
        <v>0</v>
      </c>
      <c r="Q126" s="126">
        <f>_xlfn.MAXIFS(关卡产出!X:X,关卡产出!$A:$A,玩家节奏1!$N$6,关卡产出!$B:$B,玩家节奏1!$N126)+_xlfn.MAXIFS(关卡产出!X:X,关卡产出!$A:$A,玩家节奏1!$O$6,关卡产出!$B:$B,玩家节奏1!$O126)+_xlfn.MAXIFS(关卡产出!X:X,关卡产出!$A:$A,玩家节奏1!$P$6,关卡产出!$B:$B,玩家节奏1!$P126)</f>
        <v>18900</v>
      </c>
      <c r="R126" s="90">
        <f>_xlfn.MAXIFS(关卡产出!Y:Y,关卡产出!$A:$A,玩家节奏1!$N$6,关卡产出!$B:$B,玩家节奏1!$N126)+_xlfn.MAXIFS(关卡产出!Y:Y,关卡产出!$A:$A,玩家节奏1!$O$6,关卡产出!$B:$B,玩家节奏1!$O126)+_xlfn.MAXIFS(关卡产出!Y:Y,关卡产出!$A:$A,玩家节奏1!$P$6,关卡产出!$B:$B,玩家节奏1!$P126)</f>
        <v>2927200</v>
      </c>
      <c r="S126" s="90">
        <f>_xlfn.MAXIFS(关卡产出!Z:Z,关卡产出!$A:$A,玩家节奏1!$N$6,关卡产出!$B:$B,玩家节奏1!$N126)+_xlfn.MAXIFS(关卡产出!Z:Z,关卡产出!$A:$A,玩家节奏1!$O$6,关卡产出!$B:$B,玩家节奏1!$O126)+_xlfn.MAXIFS(关卡产出!Z:Z,关卡产出!$A:$A,玩家节奏1!$P$6,关卡产出!$B:$B,玩家节奏1!$P126)</f>
        <v>20262</v>
      </c>
      <c r="T126" s="90">
        <f>_xlfn.MAXIFS(关卡产出!AA:AA,关卡产出!$A:$A,玩家节奏1!$N$6,关卡产出!$B:$B,玩家节奏1!$N126)+_xlfn.MAXIFS(关卡产出!AA:AA,关卡产出!$A:$A,玩家节奏1!$O$6,关卡产出!$B:$B,玩家节奏1!$O126)+_xlfn.MAXIFS(关卡产出!AA:AA,关卡产出!$A:$A,玩家节奏1!$P$6,关卡产出!$B:$B,玩家节奏1!$P126)</f>
        <v>10132</v>
      </c>
      <c r="U126" s="90">
        <f>_xlfn.MAXIFS(关卡产出!AB:AB,关卡产出!$A:$A,玩家节奏1!$N$6,关卡产出!$B:$B,玩家节奏1!$N126)+_xlfn.MAXIFS(关卡产出!AB:AB,关卡产出!$A:$A,玩家节奏1!$O$6,关卡产出!$B:$B,玩家节奏1!$O126)+_xlfn.MAXIFS(关卡产出!AB:AB,关卡产出!$A:$A,玩家节奏1!$P$6,关卡产出!$B:$B,玩家节奏1!$P126)</f>
        <v>4756</v>
      </c>
      <c r="V126" s="130">
        <f>_xlfn.MAXIFS(关卡产出!AC:AC,关卡产出!$A:$A,玩家节奏1!$N$6,关卡产出!$B:$B,玩家节奏1!$N126)+_xlfn.MAXIFS(关卡产出!AC:AC,关卡产出!$A:$A,玩家节奏1!$O$6,关卡产出!$B:$B,玩家节奏1!$O126)+_xlfn.MAXIFS(关卡产出!AC:AC,关卡产出!$A:$A,玩家节奏1!$P$6,关卡产出!$B:$B,玩家节奏1!$P126)</f>
        <v>612</v>
      </c>
      <c r="W126" s="126">
        <f>INDEX(关卡产出!C$8:C$207,MATCH(玩家节奏1!$N126,关卡产出!$B$8:$B$207,0))*$K126</f>
        <v>400</v>
      </c>
      <c r="X126" s="126">
        <f>INDEX(关卡产出!D$8:D$207,MATCH(玩家节奏1!$N126,关卡产出!$B$8:$B$207,0))*$K126</f>
        <v>200</v>
      </c>
      <c r="Y126" s="126">
        <f>INDEX(关卡产出!E$8:E$207,MATCH(玩家节奏1!$N126,关卡产出!$B$8:$B$207,0))*$K126</f>
        <v>95</v>
      </c>
      <c r="Z126" s="144">
        <f>INDEX(关卡产出!F$8:F$207,MATCH(玩家节奏1!$N126,关卡产出!$B$8:$B$207,0))*$K126</f>
        <v>5350</v>
      </c>
      <c r="AA126" s="126">
        <f>SUM(W$7:W126)</f>
        <v>24676</v>
      </c>
      <c r="AB126" s="126">
        <f>SUM(X$7:X126)</f>
        <v>12206</v>
      </c>
      <c r="AC126" s="126">
        <f>SUM(Y$7:Y126)</f>
        <v>5752</v>
      </c>
      <c r="AD126" s="126">
        <f>SUM(Z$7:Z126)</f>
        <v>354060</v>
      </c>
      <c r="AE126" s="126">
        <f>INDEX(图鉴!AQ:AQ,MATCH($N126,图鉴!$S:$S,0))*8</f>
        <v>168</v>
      </c>
      <c r="AF126" s="90">
        <f>INDEX(图鉴!AR:AR,MATCH($N126,图鉴!$S:$S,0))*8</f>
        <v>120</v>
      </c>
      <c r="AG126" s="90">
        <f>INDEX(图鉴!AS:AS,MATCH($N126,图鉴!$S:$S,0))*8</f>
        <v>48</v>
      </c>
      <c r="AH126" s="129">
        <f ca="1">INDEX(图鉴!AT:AT,MATCH($N126,图鉴!$S:$S,0))*8</f>
        <v>9640</v>
      </c>
      <c r="AI126" s="128">
        <f>SUM($AE$7:AE126)</f>
        <v>17736</v>
      </c>
      <c r="AJ126" s="90">
        <f>SUM(AF$7:AF126)</f>
        <v>10120</v>
      </c>
      <c r="AK126" s="90">
        <f>SUM(AG$7:AG126)</f>
        <v>3368</v>
      </c>
      <c r="AL126" s="130">
        <f ca="1">SUM(AH$7:AH126)</f>
        <v>763000</v>
      </c>
      <c r="AM126" s="133">
        <f>IF(M126=0,0,INDEX(关卡产出!$AU$11:$AU$15,MATCH(玩家节奏1!N126,关卡产出!$AW$11:$AW$15,1))*M126)</f>
        <v>12200</v>
      </c>
      <c r="AN126" s="126">
        <f>IF(L126=0,0,$L126*关卡产出!AU$21)</f>
        <v>1000</v>
      </c>
      <c r="AO126" s="90">
        <f>IF(M126=0,0,$L126*关卡产出!AV$21)</f>
        <v>50</v>
      </c>
      <c r="AP126" s="129">
        <f>IF(N126=0,0,$L126*关卡产出!AW$21)</f>
        <v>1</v>
      </c>
      <c r="AQ126" s="138">
        <f>SUM(AN$7:AN126)</f>
        <v>103000</v>
      </c>
      <c r="AR126" s="126">
        <f>SUM(AO$7:AO126)</f>
        <v>5150</v>
      </c>
      <c r="AS126" s="129">
        <f>SUM(AP$7:AP126)</f>
        <v>103</v>
      </c>
      <c r="AT126" s="128">
        <v>500</v>
      </c>
      <c r="AU126" s="129">
        <v>100</v>
      </c>
      <c r="AV126" s="128">
        <f>SUM(AT$7:AT126)</f>
        <v>60000</v>
      </c>
      <c r="AW126" s="90">
        <f>SUM(AU$7:AU126)</f>
        <v>12000</v>
      </c>
      <c r="AY126" s="128">
        <f t="shared" si="91"/>
        <v>18900</v>
      </c>
      <c r="AZ126" s="90">
        <f t="shared" si="92"/>
        <v>5150</v>
      </c>
      <c r="BA126" s="90">
        <f t="shared" si="93"/>
        <v>12000</v>
      </c>
      <c r="BB126" s="90">
        <f t="shared" ca="1" si="143"/>
        <v>6700</v>
      </c>
      <c r="BC126" s="90">
        <f t="shared" ca="1" si="144"/>
        <v>42750</v>
      </c>
      <c r="BD126" s="90"/>
      <c r="BE126" s="90">
        <f t="shared" ca="1" si="94"/>
        <v>42750</v>
      </c>
      <c r="BF126" s="142">
        <f t="shared" ca="1" si="95"/>
        <v>0.44210526315789472</v>
      </c>
      <c r="BG126" s="142">
        <f t="shared" ca="1" si="96"/>
        <v>0.12046783625730995</v>
      </c>
      <c r="BH126" s="142">
        <f t="shared" ca="1" si="155"/>
        <v>0.2807017543859649</v>
      </c>
      <c r="BI126" s="142">
        <f t="shared" ca="1" si="156"/>
        <v>0.15672514619883041</v>
      </c>
      <c r="BJ126" s="143"/>
      <c r="BK126" s="128">
        <f ca="1">INDEX(商城宝箱!$L:$L,MATCH(BC126,商城宝箱!$N:$N,1))</f>
        <v>8</v>
      </c>
      <c r="BL126" s="90">
        <f ca="1">_xlfn.IFNA(INDEX(商城宝箱!T:T,MATCH(玩家节奏1!$BK126,商城宝箱!$L:$L,0)),0)+($BC126-INDEX(商城宝箱!$N:$N,MATCH(玩家节奏1!$BK126,商城宝箱!$L:$L,0)))/$BK$5*INDEX(商城宝箱!E$23:E$42,MATCH(玩家节奏1!$BK126+1,商城宝箱!$C$23:$C$42,0))</f>
        <v>106875</v>
      </c>
      <c r="BM126" s="90">
        <f ca="1">_xlfn.IFNA(INDEX(商城宝箱!U:U,MATCH(玩家节奏1!$BK126,商城宝箱!$L:$L,0)),0)+($BC126-INDEX(商城宝箱!$N:$N,MATCH(玩家节奏1!$BK126,商城宝箱!$L:$L,0)))/$BK$5*INDEX(商城宝箱!F$23:F$42,MATCH(玩家节奏1!$BK126+1,商城宝箱!$C$23:$C$42,0))</f>
        <v>59592.5</v>
      </c>
      <c r="BN126" s="90">
        <f ca="1">_xlfn.IFNA(INDEX(商城宝箱!V:V,MATCH(玩家节奏1!$BK126,商城宝箱!$L:$L,0)),0)+($BC126-INDEX(商城宝箱!$N:$N,MATCH(玩家节奏1!$BK126,商城宝箱!$L:$L,0)))/$BK$5*INDEX(商城宝箱!G$23:G$42,MATCH(玩家节奏1!$BK126+1,商城宝箱!$C$23:$C$42,0))</f>
        <v>39659.5</v>
      </c>
      <c r="BO126" s="90">
        <f ca="1">_xlfn.IFNA(INDEX(商城宝箱!W:W,MATCH(玩家节奏1!$BK126,商城宝箱!$L:$L,0)),0)+($BC126-INDEX(商城宝箱!$N:$N,MATCH(玩家节奏1!$BK126,商城宝箱!$L:$L,0)))/$BK$5*INDEX(商城宝箱!H$23:H$42,MATCH(玩家节奏1!$BK126+1,商城宝箱!$C$23:$C$42,0))</f>
        <v>4975</v>
      </c>
      <c r="BQ126" s="128">
        <f t="shared" si="146"/>
        <v>2927200</v>
      </c>
      <c r="BR126" s="90">
        <f t="shared" si="147"/>
        <v>354060</v>
      </c>
      <c r="BS126" s="90">
        <f t="shared" ca="1" si="148"/>
        <v>763000</v>
      </c>
      <c r="BT126" s="90">
        <f t="shared" si="149"/>
        <v>12200</v>
      </c>
      <c r="BU126" s="90">
        <f t="shared" si="150"/>
        <v>103000</v>
      </c>
      <c r="BV126" s="90">
        <f t="shared" si="151"/>
        <v>60000</v>
      </c>
      <c r="BW126" s="90">
        <f t="shared" ca="1" si="99"/>
        <v>106875</v>
      </c>
      <c r="BX126" s="90">
        <f t="shared" ca="1" si="100"/>
        <v>4326335</v>
      </c>
      <c r="BY126" s="142">
        <f t="shared" ca="1" si="101"/>
        <v>0.67660040195685267</v>
      </c>
      <c r="BZ126" s="142">
        <f t="shared" ca="1" si="102"/>
        <v>8.1838322737374708E-2</v>
      </c>
      <c r="CA126" s="142">
        <f t="shared" ca="1" si="103"/>
        <v>0.17636174729881066</v>
      </c>
      <c r="CB126" s="142">
        <f t="shared" ca="1" si="104"/>
        <v>2.8199388165733815E-3</v>
      </c>
      <c r="CC126" s="142">
        <f t="shared" ca="1" si="105"/>
        <v>2.3807680172709695E-2</v>
      </c>
      <c r="CD126" s="142">
        <f t="shared" ca="1" si="106"/>
        <v>1.386855155691827E-2</v>
      </c>
      <c r="CE126" s="142">
        <f t="shared" ca="1" si="107"/>
        <v>2.4703357460760668E-2</v>
      </c>
      <c r="CG126" s="128">
        <f t="shared" si="108"/>
        <v>102</v>
      </c>
      <c r="CH126" s="90">
        <f ca="1">INDEX(角色升级!$A:$A,MATCH(玩家节奏1!$BX126,角色升级!$J:$J,1))</f>
        <v>548</v>
      </c>
      <c r="CI126" s="90">
        <f ca="1">INDEX(角色升级!$O:$O,MATCH(玩家节奏1!$BX126,角色升级!$J:$J,1))</f>
        <v>23802.164865000002</v>
      </c>
      <c r="CJ126" s="90">
        <f>INDEX(关卡对比!$J:$J,MATCH(玩家节奏1!N126,关卡对比!$A:$A,0))</f>
        <v>37200</v>
      </c>
      <c r="CK126" s="147">
        <f t="shared" ca="1" si="109"/>
        <v>1.5628830491255399</v>
      </c>
      <c r="CL126" s="128">
        <f ca="1">INDEX(角色升级!$P:$P,MATCH(玩家节奏1!$CH126,角色升级!$A:$A,0))</f>
        <v>6700</v>
      </c>
      <c r="CM126" s="90">
        <f ca="1">INDEX(角色升级!Q:Q,MATCH(玩家节奏1!$CH126,角色升级!$A:$A,0))</f>
        <v>0.9</v>
      </c>
      <c r="CO126" s="128">
        <f t="shared" si="110"/>
        <v>20262</v>
      </c>
      <c r="CP126" s="90">
        <f t="shared" si="111"/>
        <v>24676</v>
      </c>
      <c r="CQ126" s="90">
        <f t="shared" si="112"/>
        <v>17736</v>
      </c>
      <c r="CR126" s="90">
        <f t="shared" ca="1" si="113"/>
        <v>59592.5</v>
      </c>
      <c r="CS126" s="90">
        <f t="shared" ca="1" si="114"/>
        <v>122266.5</v>
      </c>
      <c r="CT126" s="142">
        <f t="shared" ca="1" si="115"/>
        <v>0.16571996417661419</v>
      </c>
      <c r="CU126" s="142">
        <f t="shared" ca="1" si="116"/>
        <v>0.20182143105429534</v>
      </c>
      <c r="CV126" s="142">
        <f t="shared" ca="1" si="117"/>
        <v>0.14506017592717546</v>
      </c>
      <c r="CW126" s="142">
        <f t="shared" ca="1" si="118"/>
        <v>0.48739842884191498</v>
      </c>
      <c r="CY126" s="128">
        <f t="shared" si="119"/>
        <v>10132</v>
      </c>
      <c r="CZ126" s="90">
        <f t="shared" si="120"/>
        <v>12206</v>
      </c>
      <c r="DA126" s="90">
        <f t="shared" si="121"/>
        <v>10120</v>
      </c>
      <c r="DB126" s="90">
        <f t="shared" ca="1" si="122"/>
        <v>39659.5</v>
      </c>
      <c r="DC126" s="90">
        <f t="shared" ca="1" si="123"/>
        <v>72117.5</v>
      </c>
      <c r="DD126" s="142">
        <f t="shared" ca="1" si="124"/>
        <v>0.14049294554026415</v>
      </c>
      <c r="DE126" s="142">
        <f t="shared" ca="1" si="125"/>
        <v>0.1692515686206538</v>
      </c>
      <c r="DF126" s="142">
        <f t="shared" ca="1" si="126"/>
        <v>0.14032655042118763</v>
      </c>
      <c r="DG126" s="142">
        <f t="shared" ca="1" si="127"/>
        <v>0.54992893541789445</v>
      </c>
      <c r="DI126" s="128">
        <f t="shared" si="128"/>
        <v>4756</v>
      </c>
      <c r="DJ126" s="90">
        <f t="shared" si="129"/>
        <v>5752</v>
      </c>
      <c r="DK126" s="90">
        <f t="shared" si="130"/>
        <v>3368</v>
      </c>
      <c r="DL126" s="90">
        <f t="shared" ca="1" si="131"/>
        <v>4975</v>
      </c>
      <c r="DM126" s="90">
        <f t="shared" ca="1" si="132"/>
        <v>18851</v>
      </c>
      <c r="DN126" s="142">
        <f t="shared" ca="1" si="133"/>
        <v>0.25229430799427088</v>
      </c>
      <c r="DO126" s="142">
        <f t="shared" ca="1" si="134"/>
        <v>0.30512970134210388</v>
      </c>
      <c r="DP126" s="142">
        <f t="shared" ca="1" si="135"/>
        <v>0.17866426184287307</v>
      </c>
      <c r="DQ126" s="142">
        <f t="shared" ca="1" si="136"/>
        <v>0.2639117288207522</v>
      </c>
      <c r="DS126" s="128">
        <f t="shared" ca="1" si="137"/>
        <v>122266.5</v>
      </c>
      <c r="DT126" s="90">
        <f t="shared" ca="1" si="138"/>
        <v>72117.5</v>
      </c>
      <c r="DU126" s="90">
        <f t="shared" ca="1" si="139"/>
        <v>18851</v>
      </c>
      <c r="DV126" s="90">
        <f t="shared" si="140"/>
        <v>103</v>
      </c>
      <c r="DW126" s="90">
        <f ca="1">_xlfn.IFNA(INDEX(武器升级消耗!$H:$H,MATCH(玩家节奏1!DS126/玩家节奏1!DS$5,武器升级消耗!M:M,1)),0)</f>
        <v>32</v>
      </c>
      <c r="DX126" s="90">
        <f ca="1">_xlfn.IFNA(INDEX(武器升级消耗!$H:$H,MATCH(玩家节奏1!DT126/玩家节奏1!DT$5,武器升级消耗!N:N,1)),0)</f>
        <v>29</v>
      </c>
      <c r="DY126" s="90">
        <f ca="1">_xlfn.IFNA(INDEX(武器升级消耗!$H:$H,MATCH(玩家节奏1!DU126/玩家节奏1!DU$5,武器升级消耗!O:O,1)),0)</f>
        <v>19</v>
      </c>
      <c r="DZ126" s="90">
        <f>_xlfn.IFNA(INDEX(武器升级消耗!$H:$H,MATCH(玩家节奏1!DV126/玩家节奏1!DV$5,武器升级消耗!P:P,1)),0)</f>
        <v>11</v>
      </c>
      <c r="EA126" s="90">
        <f ca="1">_xlfn.IFNA(INDEX(武器升级消耗!$Q:$Q,MATCH(玩家节奏1!DW126,武器升级消耗!$H:$H,0))*2*EA$4,0)</f>
        <v>4.32</v>
      </c>
      <c r="EB126" s="90">
        <f ca="1">_xlfn.IFNA(INDEX(武器升级消耗!$Q:$Q,MATCH(玩家节奏1!DX126,武器升级消耗!$H:$H,0))*2*EB$4,0)</f>
        <v>4.9499999999999993</v>
      </c>
      <c r="EC126" s="90">
        <f ca="1">_xlfn.IFNA(INDEX(武器升级消耗!$Q:$Q,MATCH(玩家节奏1!DY126,武器升级消耗!$H:$H,0))*2*EC$4,1)</f>
        <v>5.0599999999999996</v>
      </c>
      <c r="ED126" s="90">
        <f>_xlfn.IFNA(INDEX(武器升级消耗!$Q:$Q,MATCH(玩家节奏1!DZ126,武器升级消耗!$H:$H,0))*2*ED$4,0)</f>
        <v>4.5</v>
      </c>
    </row>
    <row r="127" spans="1:134" x14ac:dyDescent="0.25">
      <c r="A127" s="123">
        <v>121</v>
      </c>
      <c r="B127" s="123">
        <f>INDEX(关卡对比!$Y:$Y,MATCH(关卡对比!Z127,关卡对比!$AA:$AA,1))</f>
        <v>74</v>
      </c>
      <c r="C127" s="124">
        <f>INDEX(关卡对比!$Y:$Y,MATCH(关卡对比!Z127,关卡对比!$AB:$AB,1))</f>
        <v>58</v>
      </c>
      <c r="D127" s="125">
        <f t="shared" si="157"/>
        <v>728.5</v>
      </c>
      <c r="E127" s="125">
        <v>3</v>
      </c>
      <c r="F127" s="128">
        <v>5</v>
      </c>
      <c r="G127" s="90">
        <v>1</v>
      </c>
      <c r="H127" s="90">
        <v>1</v>
      </c>
      <c r="J127" s="128">
        <v>121</v>
      </c>
      <c r="K127" s="90">
        <f t="shared" si="152"/>
        <v>5</v>
      </c>
      <c r="L127" s="90">
        <f t="shared" si="153"/>
        <v>1</v>
      </c>
      <c r="M127" s="90">
        <f t="shared" si="154"/>
        <v>1</v>
      </c>
      <c r="N127" s="140">
        <f>INDEX($A:$A,MATCH(SUM($K$7:K127),$D:$D,1))</f>
        <v>102</v>
      </c>
      <c r="O127" s="140">
        <v>0</v>
      </c>
      <c r="P127" s="141">
        <v>0</v>
      </c>
      <c r="Q127" s="126">
        <f>_xlfn.MAXIFS(关卡产出!X:X,关卡产出!$A:$A,玩家节奏1!$N$6,关卡产出!$B:$B,玩家节奏1!$N127)+_xlfn.MAXIFS(关卡产出!X:X,关卡产出!$A:$A,玩家节奏1!$O$6,关卡产出!$B:$B,玩家节奏1!$O127)+_xlfn.MAXIFS(关卡产出!X:X,关卡产出!$A:$A,玩家节奏1!$P$6,关卡产出!$B:$B,玩家节奏1!$P127)</f>
        <v>18900</v>
      </c>
      <c r="R127" s="90">
        <f>_xlfn.MAXIFS(关卡产出!Y:Y,关卡产出!$A:$A,玩家节奏1!$N$6,关卡产出!$B:$B,玩家节奏1!$N127)+_xlfn.MAXIFS(关卡产出!Y:Y,关卡产出!$A:$A,玩家节奏1!$O$6,关卡产出!$B:$B,玩家节奏1!$O127)+_xlfn.MAXIFS(关卡产出!Y:Y,关卡产出!$A:$A,玩家节奏1!$P$6,关卡产出!$B:$B,玩家节奏1!$P127)</f>
        <v>2927200</v>
      </c>
      <c r="S127" s="90">
        <f>_xlfn.MAXIFS(关卡产出!Z:Z,关卡产出!$A:$A,玩家节奏1!$N$6,关卡产出!$B:$B,玩家节奏1!$N127)+_xlfn.MAXIFS(关卡产出!Z:Z,关卡产出!$A:$A,玩家节奏1!$O$6,关卡产出!$B:$B,玩家节奏1!$O127)+_xlfn.MAXIFS(关卡产出!Z:Z,关卡产出!$A:$A,玩家节奏1!$P$6,关卡产出!$B:$B,玩家节奏1!$P127)</f>
        <v>20262</v>
      </c>
      <c r="T127" s="90">
        <f>_xlfn.MAXIFS(关卡产出!AA:AA,关卡产出!$A:$A,玩家节奏1!$N$6,关卡产出!$B:$B,玩家节奏1!$N127)+_xlfn.MAXIFS(关卡产出!AA:AA,关卡产出!$A:$A,玩家节奏1!$O$6,关卡产出!$B:$B,玩家节奏1!$O127)+_xlfn.MAXIFS(关卡产出!AA:AA,关卡产出!$A:$A,玩家节奏1!$P$6,关卡产出!$B:$B,玩家节奏1!$P127)</f>
        <v>10132</v>
      </c>
      <c r="U127" s="90">
        <f>_xlfn.MAXIFS(关卡产出!AB:AB,关卡产出!$A:$A,玩家节奏1!$N$6,关卡产出!$B:$B,玩家节奏1!$N127)+_xlfn.MAXIFS(关卡产出!AB:AB,关卡产出!$A:$A,玩家节奏1!$O$6,关卡产出!$B:$B,玩家节奏1!$O127)+_xlfn.MAXIFS(关卡产出!AB:AB,关卡产出!$A:$A,玩家节奏1!$P$6,关卡产出!$B:$B,玩家节奏1!$P127)</f>
        <v>4756</v>
      </c>
      <c r="V127" s="130">
        <f>_xlfn.MAXIFS(关卡产出!AC:AC,关卡产出!$A:$A,玩家节奏1!$N$6,关卡产出!$B:$B,玩家节奏1!$N127)+_xlfn.MAXIFS(关卡产出!AC:AC,关卡产出!$A:$A,玩家节奏1!$O$6,关卡产出!$B:$B,玩家节奏1!$O127)+_xlfn.MAXIFS(关卡产出!AC:AC,关卡产出!$A:$A,玩家节奏1!$P$6,关卡产出!$B:$B,玩家节奏1!$P127)</f>
        <v>612</v>
      </c>
      <c r="W127" s="126">
        <f>INDEX(关卡产出!C$8:C$207,MATCH(玩家节奏1!$N127,关卡产出!$B$8:$B$207,0))*$K127</f>
        <v>400</v>
      </c>
      <c r="X127" s="126">
        <f>INDEX(关卡产出!D$8:D$207,MATCH(玩家节奏1!$N127,关卡产出!$B$8:$B$207,0))*$K127</f>
        <v>200</v>
      </c>
      <c r="Y127" s="126">
        <f>INDEX(关卡产出!E$8:E$207,MATCH(玩家节奏1!$N127,关卡产出!$B$8:$B$207,0))*$K127</f>
        <v>95</v>
      </c>
      <c r="Z127" s="144">
        <f>INDEX(关卡产出!F$8:F$207,MATCH(玩家节奏1!$N127,关卡产出!$B$8:$B$207,0))*$K127</f>
        <v>5350</v>
      </c>
      <c r="AA127" s="126">
        <f>SUM(W$7:W127)</f>
        <v>25076</v>
      </c>
      <c r="AB127" s="126">
        <f>SUM(X$7:X127)</f>
        <v>12406</v>
      </c>
      <c r="AC127" s="126">
        <f>SUM(Y$7:Y127)</f>
        <v>5847</v>
      </c>
      <c r="AD127" s="126">
        <f>SUM(Z$7:Z127)</f>
        <v>359410</v>
      </c>
      <c r="AE127" s="126">
        <f>INDEX(图鉴!AQ:AQ,MATCH($N127,图鉴!$S:$S,0))*8</f>
        <v>168</v>
      </c>
      <c r="AF127" s="90">
        <f>INDEX(图鉴!AR:AR,MATCH($N127,图鉴!$S:$S,0))*8</f>
        <v>120</v>
      </c>
      <c r="AG127" s="90">
        <f>INDEX(图鉴!AS:AS,MATCH($N127,图鉴!$S:$S,0))*8</f>
        <v>48</v>
      </c>
      <c r="AH127" s="129">
        <f ca="1">INDEX(图鉴!AT:AT,MATCH($N127,图鉴!$S:$S,0))*8</f>
        <v>9640</v>
      </c>
      <c r="AI127" s="128">
        <f>SUM($AE$7:AE127)</f>
        <v>17904</v>
      </c>
      <c r="AJ127" s="90">
        <f>SUM(AF$7:AF127)</f>
        <v>10240</v>
      </c>
      <c r="AK127" s="90">
        <f>SUM(AG$7:AG127)</f>
        <v>3416</v>
      </c>
      <c r="AL127" s="130">
        <f ca="1">SUM(AH$7:AH127)</f>
        <v>772640</v>
      </c>
      <c r="AM127" s="133">
        <f>IF(M127=0,0,INDEX(关卡产出!$AU$11:$AU$15,MATCH(玩家节奏1!N127,关卡产出!$AW$11:$AW$15,1))*M127)</f>
        <v>12200</v>
      </c>
      <c r="AN127" s="126">
        <f>IF(L127=0,0,$L127*关卡产出!AU$21)</f>
        <v>1000</v>
      </c>
      <c r="AO127" s="90">
        <f>IF(M127=0,0,$L127*关卡产出!AV$21)</f>
        <v>50</v>
      </c>
      <c r="AP127" s="129">
        <f>IF(N127=0,0,$L127*关卡产出!AW$21)</f>
        <v>1</v>
      </c>
      <c r="AQ127" s="138">
        <f>SUM(AN$7:AN127)</f>
        <v>104000</v>
      </c>
      <c r="AR127" s="126">
        <f>SUM(AO$7:AO127)</f>
        <v>5200</v>
      </c>
      <c r="AS127" s="129">
        <f>SUM(AP$7:AP127)</f>
        <v>104</v>
      </c>
      <c r="AT127" s="128">
        <v>500</v>
      </c>
      <c r="AU127" s="129">
        <v>100</v>
      </c>
      <c r="AV127" s="128">
        <f>SUM(AT$7:AT127)</f>
        <v>60500</v>
      </c>
      <c r="AW127" s="90">
        <f>SUM(AU$7:AU127)</f>
        <v>12100</v>
      </c>
      <c r="AY127" s="128">
        <f t="shared" si="91"/>
        <v>18900</v>
      </c>
      <c r="AZ127" s="90">
        <f t="shared" si="92"/>
        <v>5200</v>
      </c>
      <c r="BA127" s="90">
        <f t="shared" si="93"/>
        <v>12100</v>
      </c>
      <c r="BB127" s="90">
        <f t="shared" ca="1" si="143"/>
        <v>6700</v>
      </c>
      <c r="BC127" s="90">
        <f t="shared" ca="1" si="144"/>
        <v>42900</v>
      </c>
      <c r="BD127" s="90"/>
      <c r="BE127" s="90">
        <f t="shared" ca="1" si="94"/>
        <v>42900</v>
      </c>
      <c r="BF127" s="142">
        <f t="shared" ca="1" si="95"/>
        <v>0.44055944055944057</v>
      </c>
      <c r="BG127" s="142">
        <f t="shared" ca="1" si="96"/>
        <v>0.12121212121212122</v>
      </c>
      <c r="BH127" s="142">
        <f t="shared" ca="1" si="155"/>
        <v>0.28205128205128205</v>
      </c>
      <c r="BI127" s="142">
        <f t="shared" ca="1" si="156"/>
        <v>0.15617715617715619</v>
      </c>
      <c r="BJ127" s="143"/>
      <c r="BK127" s="128">
        <f ca="1">INDEX(商城宝箱!$L:$L,MATCH(BC127,商城宝箱!$N:$N,1))</f>
        <v>8</v>
      </c>
      <c r="BL127" s="90">
        <f ca="1">_xlfn.IFNA(INDEX(商城宝箱!T:T,MATCH(玩家节奏1!$BK127,商城宝箱!$L:$L,0)),0)+($BC127-INDEX(商城宝箱!$N:$N,MATCH(玩家节奏1!$BK127,商城宝箱!$L:$L,0)))/$BK$5*INDEX(商城宝箱!E$23:E$42,MATCH(玩家节奏1!$BK127+1,商城宝箱!$C$23:$C$42,0))</f>
        <v>107250</v>
      </c>
      <c r="BM127" s="90">
        <f ca="1">_xlfn.IFNA(INDEX(商城宝箱!U:U,MATCH(玩家节奏1!$BK127,商城宝箱!$L:$L,0)),0)+($BC127-INDEX(商城宝箱!$N:$N,MATCH(玩家节奏1!$BK127,商城宝箱!$L:$L,0)))/$BK$5*INDEX(商城宝箱!F$23:F$42,MATCH(玩家节奏1!$BK127+1,商城宝箱!$C$23:$C$42,0))</f>
        <v>59922.5</v>
      </c>
      <c r="BN127" s="90">
        <f ca="1">_xlfn.IFNA(INDEX(商城宝箱!V:V,MATCH(玩家节奏1!$BK127,商城宝箱!$L:$L,0)),0)+($BC127-INDEX(商城宝箱!$N:$N,MATCH(玩家节奏1!$BK127,商城宝箱!$L:$L,0)))/$BK$5*INDEX(商城宝箱!G$23:G$42,MATCH(玩家节奏1!$BK127+1,商城宝箱!$C$23:$C$42,0))</f>
        <v>39907</v>
      </c>
      <c r="BO127" s="90">
        <f ca="1">_xlfn.IFNA(INDEX(商城宝箱!W:W,MATCH(玩家节奏1!$BK127,商城宝箱!$L:$L,0)),0)+($BC127-INDEX(商城宝箱!$N:$N,MATCH(玩家节奏1!$BK127,商城宝箱!$L:$L,0)))/$BK$5*INDEX(商城宝箱!H$23:H$42,MATCH(玩家节奏1!$BK127+1,商城宝箱!$C$23:$C$42,0))</f>
        <v>5003.5</v>
      </c>
      <c r="BQ127" s="128">
        <f t="shared" si="146"/>
        <v>2927200</v>
      </c>
      <c r="BR127" s="90">
        <f t="shared" si="147"/>
        <v>359410</v>
      </c>
      <c r="BS127" s="90">
        <f t="shared" ca="1" si="148"/>
        <v>772640</v>
      </c>
      <c r="BT127" s="90">
        <f t="shared" si="149"/>
        <v>12200</v>
      </c>
      <c r="BU127" s="90">
        <f t="shared" si="150"/>
        <v>104000</v>
      </c>
      <c r="BV127" s="90">
        <f t="shared" si="151"/>
        <v>60500</v>
      </c>
      <c r="BW127" s="90">
        <f t="shared" ca="1" si="99"/>
        <v>107250</v>
      </c>
      <c r="BX127" s="90">
        <f t="shared" ca="1" si="100"/>
        <v>4343200</v>
      </c>
      <c r="BY127" s="142">
        <f t="shared" ca="1" si="101"/>
        <v>0.67397310738625893</v>
      </c>
      <c r="BZ127" s="142">
        <f t="shared" ca="1" si="102"/>
        <v>8.2752348498802725E-2</v>
      </c>
      <c r="CA127" s="142">
        <f t="shared" ca="1" si="103"/>
        <v>0.17789648185669552</v>
      </c>
      <c r="CB127" s="142">
        <f t="shared" ca="1" si="104"/>
        <v>2.8089887640449437E-3</v>
      </c>
      <c r="CC127" s="142">
        <f t="shared" ca="1" si="105"/>
        <v>2.394547798857985E-2</v>
      </c>
      <c r="CD127" s="142">
        <f t="shared" ca="1" si="106"/>
        <v>1.3929821329895009E-2</v>
      </c>
      <c r="CE127" s="142">
        <f t="shared" ca="1" si="107"/>
        <v>2.4693774175722969E-2</v>
      </c>
      <c r="CG127" s="128">
        <f t="shared" si="108"/>
        <v>102</v>
      </c>
      <c r="CH127" s="90">
        <f ca="1">INDEX(角色升级!$A:$A,MATCH(玩家节奏1!$BX127,角色升级!$J:$J,1))</f>
        <v>548</v>
      </c>
      <c r="CI127" s="90">
        <f ca="1">INDEX(角色升级!$O:$O,MATCH(玩家节奏1!$BX127,角色升级!$J:$J,1))</f>
        <v>23802.164865000002</v>
      </c>
      <c r="CJ127" s="90">
        <f>INDEX(关卡对比!$J:$J,MATCH(玩家节奏1!N127,关卡对比!$A:$A,0))</f>
        <v>37200</v>
      </c>
      <c r="CK127" s="147">
        <f t="shared" ca="1" si="109"/>
        <v>1.5628830491255399</v>
      </c>
      <c r="CL127" s="128">
        <f ca="1">INDEX(角色升级!$P:$P,MATCH(玩家节奏1!$CH127,角色升级!$A:$A,0))</f>
        <v>6700</v>
      </c>
      <c r="CM127" s="90">
        <f ca="1">INDEX(角色升级!Q:Q,MATCH(玩家节奏1!$CH127,角色升级!$A:$A,0))</f>
        <v>0.9</v>
      </c>
      <c r="CO127" s="128">
        <f t="shared" si="110"/>
        <v>20262</v>
      </c>
      <c r="CP127" s="90">
        <f t="shared" si="111"/>
        <v>25076</v>
      </c>
      <c r="CQ127" s="90">
        <f t="shared" si="112"/>
        <v>17904</v>
      </c>
      <c r="CR127" s="90">
        <f t="shared" ca="1" si="113"/>
        <v>59922.5</v>
      </c>
      <c r="CS127" s="90">
        <f t="shared" ca="1" si="114"/>
        <v>123164.5</v>
      </c>
      <c r="CT127" s="142">
        <f t="shared" ca="1" si="115"/>
        <v>0.16451168965083282</v>
      </c>
      <c r="CU127" s="142">
        <f t="shared" ca="1" si="116"/>
        <v>0.2035976275631371</v>
      </c>
      <c r="CV127" s="142">
        <f t="shared" ca="1" si="117"/>
        <v>0.14536656260529618</v>
      </c>
      <c r="CW127" s="142">
        <f t="shared" ca="1" si="118"/>
        <v>0.48652412018073388</v>
      </c>
      <c r="CY127" s="128">
        <f t="shared" si="119"/>
        <v>10132</v>
      </c>
      <c r="CZ127" s="90">
        <f t="shared" si="120"/>
        <v>12406</v>
      </c>
      <c r="DA127" s="90">
        <f t="shared" si="121"/>
        <v>10240</v>
      </c>
      <c r="DB127" s="90">
        <f t="shared" ca="1" si="122"/>
        <v>39907</v>
      </c>
      <c r="DC127" s="90">
        <f t="shared" ca="1" si="123"/>
        <v>72685</v>
      </c>
      <c r="DD127" s="142">
        <f t="shared" ca="1" si="124"/>
        <v>0.13939602393891448</v>
      </c>
      <c r="DE127" s="142">
        <f t="shared" ca="1" si="125"/>
        <v>0.17068170874320698</v>
      </c>
      <c r="DF127" s="142">
        <f t="shared" ca="1" si="126"/>
        <v>0.14088188759716586</v>
      </c>
      <c r="DG127" s="142">
        <f t="shared" ca="1" si="127"/>
        <v>0.54904037972071262</v>
      </c>
      <c r="DI127" s="128">
        <f t="shared" si="128"/>
        <v>4756</v>
      </c>
      <c r="DJ127" s="90">
        <f t="shared" si="129"/>
        <v>5847</v>
      </c>
      <c r="DK127" s="90">
        <f t="shared" si="130"/>
        <v>3416</v>
      </c>
      <c r="DL127" s="90">
        <f t="shared" ca="1" si="131"/>
        <v>5003.5</v>
      </c>
      <c r="DM127" s="90">
        <f t="shared" ca="1" si="132"/>
        <v>19022.5</v>
      </c>
      <c r="DN127" s="142">
        <f t="shared" ca="1" si="133"/>
        <v>0.25001971349717439</v>
      </c>
      <c r="DO127" s="142">
        <f t="shared" ca="1" si="134"/>
        <v>0.30737284794322511</v>
      </c>
      <c r="DP127" s="142">
        <f t="shared" ca="1" si="135"/>
        <v>0.17957681692732291</v>
      </c>
      <c r="DQ127" s="142">
        <f t="shared" ca="1" si="136"/>
        <v>0.26303062163227758</v>
      </c>
      <c r="DS127" s="128">
        <f t="shared" ca="1" si="137"/>
        <v>123164.5</v>
      </c>
      <c r="DT127" s="90">
        <f t="shared" ca="1" si="138"/>
        <v>72685</v>
      </c>
      <c r="DU127" s="90">
        <f t="shared" ca="1" si="139"/>
        <v>19022.5</v>
      </c>
      <c r="DV127" s="90">
        <f t="shared" si="140"/>
        <v>104</v>
      </c>
      <c r="DW127" s="90">
        <f ca="1">_xlfn.IFNA(INDEX(武器升级消耗!$H:$H,MATCH(玩家节奏1!DS127/玩家节奏1!DS$5,武器升级消耗!M:M,1)),0)</f>
        <v>32</v>
      </c>
      <c r="DX127" s="90">
        <f ca="1">_xlfn.IFNA(INDEX(武器升级消耗!$H:$H,MATCH(玩家节奏1!DT127/玩家节奏1!DT$5,武器升级消耗!N:N,1)),0)</f>
        <v>29</v>
      </c>
      <c r="DY127" s="90">
        <f ca="1">_xlfn.IFNA(INDEX(武器升级消耗!$H:$H,MATCH(玩家节奏1!DU127/玩家节奏1!DU$5,武器升级消耗!O:O,1)),0)</f>
        <v>19</v>
      </c>
      <c r="DZ127" s="90">
        <f>_xlfn.IFNA(INDEX(武器升级消耗!$H:$H,MATCH(玩家节奏1!DV127/玩家节奏1!DV$5,武器升级消耗!P:P,1)),0)</f>
        <v>11</v>
      </c>
      <c r="EA127" s="90">
        <f ca="1">_xlfn.IFNA(INDEX(武器升级消耗!$Q:$Q,MATCH(玩家节奏1!DW127,武器升级消耗!$H:$H,0))*2*EA$4,0)</f>
        <v>4.32</v>
      </c>
      <c r="EB127" s="90">
        <f ca="1">_xlfn.IFNA(INDEX(武器升级消耗!$Q:$Q,MATCH(玩家节奏1!DX127,武器升级消耗!$H:$H,0))*2*EB$4,0)</f>
        <v>4.9499999999999993</v>
      </c>
      <c r="EC127" s="90">
        <f ca="1">_xlfn.IFNA(INDEX(武器升级消耗!$Q:$Q,MATCH(玩家节奏1!DY127,武器升级消耗!$H:$H,0))*2*EC$4,1)</f>
        <v>5.0599999999999996</v>
      </c>
      <c r="ED127" s="90">
        <f>_xlfn.IFNA(INDEX(武器升级消耗!$Q:$Q,MATCH(玩家节奏1!DZ127,武器升级消耗!$H:$H,0))*2*ED$4,0)</f>
        <v>4.5</v>
      </c>
    </row>
    <row r="128" spans="1:134" x14ac:dyDescent="0.25">
      <c r="A128" s="123">
        <v>122</v>
      </c>
      <c r="B128" s="123">
        <f>INDEX(关卡对比!$Y:$Y,MATCH(关卡对比!Z128,关卡对比!$AA:$AA,1))</f>
        <v>74</v>
      </c>
      <c r="C128" s="124">
        <f>INDEX(关卡对比!$Y:$Y,MATCH(关卡对比!Z128,关卡对比!$AB:$AB,1))</f>
        <v>59</v>
      </c>
      <c r="D128" s="125">
        <f t="shared" si="157"/>
        <v>734.5</v>
      </c>
      <c r="E128" s="125">
        <v>3</v>
      </c>
      <c r="F128" s="128">
        <v>5</v>
      </c>
      <c r="G128" s="90">
        <v>1</v>
      </c>
      <c r="H128" s="90">
        <v>1</v>
      </c>
      <c r="J128" s="128">
        <v>122</v>
      </c>
      <c r="K128" s="90">
        <f t="shared" si="152"/>
        <v>5</v>
      </c>
      <c r="L128" s="90">
        <f t="shared" si="153"/>
        <v>1</v>
      </c>
      <c r="M128" s="90">
        <f t="shared" si="154"/>
        <v>1</v>
      </c>
      <c r="N128" s="140">
        <f>INDEX($A:$A,MATCH(SUM($K$7:K128),$D:$D,1))</f>
        <v>103</v>
      </c>
      <c r="O128" s="140">
        <v>0</v>
      </c>
      <c r="P128" s="141">
        <v>0</v>
      </c>
      <c r="Q128" s="126">
        <f>_xlfn.MAXIFS(关卡产出!X:X,关卡产出!$A:$A,玩家节奏1!$N$6,关卡产出!$B:$B,玩家节奏1!$N128)+_xlfn.MAXIFS(关卡产出!X:X,关卡产出!$A:$A,玩家节奏1!$O$6,关卡产出!$B:$B,玩家节奏1!$O128)+_xlfn.MAXIFS(关卡产出!X:X,关卡产出!$A:$A,玩家节奏1!$P$6,关卡产出!$B:$B,玩家节奏1!$P128)</f>
        <v>19100</v>
      </c>
      <c r="R128" s="90">
        <f>_xlfn.MAXIFS(关卡产出!Y:Y,关卡产出!$A:$A,玩家节奏1!$N$6,关卡产出!$B:$B,玩家节奏1!$N128)+_xlfn.MAXIFS(关卡产出!Y:Y,关卡产出!$A:$A,玩家节奏1!$O$6,关卡产出!$B:$B,玩家节奏1!$O128)+_xlfn.MAXIFS(关卡产出!Y:Y,关卡产出!$A:$A,玩家节奏1!$P$6,关卡产出!$B:$B,玩家节奏1!$P128)</f>
        <v>2986700</v>
      </c>
      <c r="S128" s="90">
        <f>_xlfn.MAXIFS(关卡产出!Z:Z,关卡产出!$A:$A,玩家节奏1!$N$6,关卡产出!$B:$B,玩家节奏1!$N128)+_xlfn.MAXIFS(关卡产出!Z:Z,关卡产出!$A:$A,玩家节奏1!$O$6,关卡产出!$B:$B,玩家节奏1!$O128)+_xlfn.MAXIFS(关卡产出!Z:Z,关卡产出!$A:$A,玩家节奏1!$P$6,关卡产出!$B:$B,玩家节奏1!$P128)</f>
        <v>20666</v>
      </c>
      <c r="T128" s="90">
        <f>_xlfn.MAXIFS(关卡产出!AA:AA,关卡产出!$A:$A,玩家节奏1!$N$6,关卡产出!$B:$B,玩家节奏1!$N128)+_xlfn.MAXIFS(关卡产出!AA:AA,关卡产出!$A:$A,玩家节奏1!$O$6,关卡产出!$B:$B,玩家节奏1!$O128)+_xlfn.MAXIFS(关卡产出!AA:AA,关卡产出!$A:$A,玩家节奏1!$P$6,关卡产出!$B:$B,玩家节奏1!$P128)</f>
        <v>10334</v>
      </c>
      <c r="U128" s="90">
        <f>_xlfn.MAXIFS(关卡产出!AB:AB,关卡产出!$A:$A,玩家节奏1!$N$6,关卡产出!$B:$B,玩家节奏1!$N128)+_xlfn.MAXIFS(关卡产出!AB:AB,关卡产出!$A:$A,玩家节奏1!$O$6,关卡产出!$B:$B,玩家节奏1!$O128)+_xlfn.MAXIFS(关卡产出!AB:AB,关卡产出!$A:$A,玩家节奏1!$P$6,关卡产出!$B:$B,玩家节奏1!$P128)</f>
        <v>4854</v>
      </c>
      <c r="V128" s="130">
        <f>_xlfn.MAXIFS(关卡产出!AC:AC,关卡产出!$A:$A,玩家节奏1!$N$6,关卡产出!$B:$B,玩家节奏1!$N128)+_xlfn.MAXIFS(关卡产出!AC:AC,关卡产出!$A:$A,玩家节奏1!$O$6,关卡产出!$B:$B,玩家节奏1!$O128)+_xlfn.MAXIFS(关卡产出!AC:AC,关卡产出!$A:$A,玩家节奏1!$P$6,关卡产出!$B:$B,玩家节奏1!$P128)</f>
        <v>618</v>
      </c>
      <c r="W128" s="126">
        <f>INDEX(关卡产出!C$8:C$207,MATCH(玩家节奏1!$N128,关卡产出!$B$8:$B$207,0))*$K128</f>
        <v>405</v>
      </c>
      <c r="X128" s="126">
        <f>INDEX(关卡产出!D$8:D$207,MATCH(玩家节奏1!$N128,关卡产出!$B$8:$B$207,0))*$K128</f>
        <v>200</v>
      </c>
      <c r="Y128" s="126">
        <f>INDEX(关卡产出!E$8:E$207,MATCH(玩家节奏1!$N128,关卡产出!$B$8:$B$207,0))*$K128</f>
        <v>100</v>
      </c>
      <c r="Z128" s="144">
        <f>INDEX(关卡产出!F$8:F$207,MATCH(玩家节奏1!$N128,关卡产出!$B$8:$B$207,0))*$K128</f>
        <v>5450</v>
      </c>
      <c r="AA128" s="126">
        <f>SUM(W$7:W128)</f>
        <v>25481</v>
      </c>
      <c r="AB128" s="126">
        <f>SUM(X$7:X128)</f>
        <v>12606</v>
      </c>
      <c r="AC128" s="126">
        <f>SUM(Y$7:Y128)</f>
        <v>5947</v>
      </c>
      <c r="AD128" s="126">
        <f>SUM(Z$7:Z128)</f>
        <v>364860</v>
      </c>
      <c r="AE128" s="126">
        <f>INDEX(图鉴!AQ:AQ,MATCH($N128,图鉴!$S:$S,0))*8</f>
        <v>168</v>
      </c>
      <c r="AF128" s="90">
        <f>INDEX(图鉴!AR:AR,MATCH($N128,图鉴!$S:$S,0))*8</f>
        <v>120</v>
      </c>
      <c r="AG128" s="90">
        <f>INDEX(图鉴!AS:AS,MATCH($N128,图鉴!$S:$S,0))*8</f>
        <v>48</v>
      </c>
      <c r="AH128" s="129">
        <f ca="1">INDEX(图鉴!AT:AT,MATCH($N128,图鉴!$S:$S,0))*8</f>
        <v>10000</v>
      </c>
      <c r="AI128" s="128">
        <f>SUM($AE$7:AE128)</f>
        <v>18072</v>
      </c>
      <c r="AJ128" s="90">
        <f>SUM(AF$7:AF128)</f>
        <v>10360</v>
      </c>
      <c r="AK128" s="90">
        <f>SUM(AG$7:AG128)</f>
        <v>3464</v>
      </c>
      <c r="AL128" s="130">
        <f ca="1">SUM(AH$7:AH128)</f>
        <v>782640</v>
      </c>
      <c r="AM128" s="133">
        <f>IF(M128=0,0,INDEX(关卡产出!$AU$11:$AU$15,MATCH(玩家节奏1!N128,关卡产出!$AW$11:$AW$15,1))*M128)</f>
        <v>12200</v>
      </c>
      <c r="AN128" s="126">
        <f>IF(L128=0,0,$L128*关卡产出!AU$21)</f>
        <v>1000</v>
      </c>
      <c r="AO128" s="90">
        <f>IF(M128=0,0,$L128*关卡产出!AV$21)</f>
        <v>50</v>
      </c>
      <c r="AP128" s="129">
        <f>IF(N128=0,0,$L128*关卡产出!AW$21)</f>
        <v>1</v>
      </c>
      <c r="AQ128" s="138">
        <f>SUM(AN$7:AN128)</f>
        <v>105000</v>
      </c>
      <c r="AR128" s="126">
        <f>SUM(AO$7:AO128)</f>
        <v>5250</v>
      </c>
      <c r="AS128" s="129">
        <f>SUM(AP$7:AP128)</f>
        <v>105</v>
      </c>
      <c r="AT128" s="128">
        <v>500</v>
      </c>
      <c r="AU128" s="129">
        <v>100</v>
      </c>
      <c r="AV128" s="128">
        <f>SUM(AT$7:AT128)</f>
        <v>61000</v>
      </c>
      <c r="AW128" s="90">
        <f>SUM(AU$7:AU128)</f>
        <v>12200</v>
      </c>
      <c r="AY128" s="128">
        <f t="shared" si="91"/>
        <v>19100</v>
      </c>
      <c r="AZ128" s="90">
        <f t="shared" si="92"/>
        <v>5250</v>
      </c>
      <c r="BA128" s="90">
        <f t="shared" si="93"/>
        <v>12200</v>
      </c>
      <c r="BB128" s="90">
        <f t="shared" ca="1" si="143"/>
        <v>6700</v>
      </c>
      <c r="BC128" s="90">
        <f t="shared" ca="1" si="144"/>
        <v>43250</v>
      </c>
      <c r="BD128" s="90"/>
      <c r="BE128" s="90">
        <f t="shared" ca="1" si="94"/>
        <v>43250</v>
      </c>
      <c r="BF128" s="142">
        <f t="shared" ca="1" si="95"/>
        <v>0.44161849710982659</v>
      </c>
      <c r="BG128" s="142">
        <f t="shared" ca="1" si="96"/>
        <v>0.12138728323699421</v>
      </c>
      <c r="BH128" s="142">
        <f t="shared" ca="1" si="155"/>
        <v>0.28208092485549136</v>
      </c>
      <c r="BI128" s="142">
        <f t="shared" ca="1" si="156"/>
        <v>0.15491329479768787</v>
      </c>
      <c r="BJ128" s="143"/>
      <c r="BK128" s="128">
        <f ca="1">INDEX(商城宝箱!$L:$L,MATCH(BC128,商城宝箱!$N:$N,1))</f>
        <v>8</v>
      </c>
      <c r="BL128" s="90">
        <f ca="1">_xlfn.IFNA(INDEX(商城宝箱!T:T,MATCH(玩家节奏1!$BK128,商城宝箱!$L:$L,0)),0)+($BC128-INDEX(商城宝箱!$N:$N,MATCH(玩家节奏1!$BK128,商城宝箱!$L:$L,0)))/$BK$5*INDEX(商城宝箱!E$23:E$42,MATCH(玩家节奏1!$BK128+1,商城宝箱!$C$23:$C$42,0))</f>
        <v>108125</v>
      </c>
      <c r="BM128" s="90">
        <f ca="1">_xlfn.IFNA(INDEX(商城宝箱!U:U,MATCH(玩家节奏1!$BK128,商城宝箱!$L:$L,0)),0)+($BC128-INDEX(商城宝箱!$N:$N,MATCH(玩家节奏1!$BK128,商城宝箱!$L:$L,0)))/$BK$5*INDEX(商城宝箱!F$23:F$42,MATCH(玩家节奏1!$BK128+1,商城宝箱!$C$23:$C$42,0))</f>
        <v>60692.5</v>
      </c>
      <c r="BN128" s="90">
        <f ca="1">_xlfn.IFNA(INDEX(商城宝箱!V:V,MATCH(玩家节奏1!$BK128,商城宝箱!$L:$L,0)),0)+($BC128-INDEX(商城宝箱!$N:$N,MATCH(玩家节奏1!$BK128,商城宝箱!$L:$L,0)))/$BK$5*INDEX(商城宝箱!G$23:G$42,MATCH(玩家节奏1!$BK128+1,商城宝箱!$C$23:$C$42,0))</f>
        <v>40484.5</v>
      </c>
      <c r="BO128" s="90">
        <f ca="1">_xlfn.IFNA(INDEX(商城宝箱!W:W,MATCH(玩家节奏1!$BK128,商城宝箱!$L:$L,0)),0)+($BC128-INDEX(商城宝箱!$N:$N,MATCH(玩家节奏1!$BK128,商城宝箱!$L:$L,0)))/$BK$5*INDEX(商城宝箱!H$23:H$42,MATCH(玩家节奏1!$BK128+1,商城宝箱!$C$23:$C$42,0))</f>
        <v>5070</v>
      </c>
      <c r="BQ128" s="128">
        <f t="shared" si="146"/>
        <v>2986700</v>
      </c>
      <c r="BR128" s="90">
        <f t="shared" si="147"/>
        <v>364860</v>
      </c>
      <c r="BS128" s="90">
        <f t="shared" ca="1" si="148"/>
        <v>782640</v>
      </c>
      <c r="BT128" s="90">
        <f t="shared" si="149"/>
        <v>12200</v>
      </c>
      <c r="BU128" s="90">
        <f t="shared" si="150"/>
        <v>105000</v>
      </c>
      <c r="BV128" s="90">
        <f t="shared" si="151"/>
        <v>61000</v>
      </c>
      <c r="BW128" s="90">
        <f t="shared" ca="1" si="99"/>
        <v>108125</v>
      </c>
      <c r="BX128" s="90">
        <f t="shared" ca="1" si="100"/>
        <v>4420525</v>
      </c>
      <c r="BY128" s="142">
        <f t="shared" ca="1" si="101"/>
        <v>0.67564373009993162</v>
      </c>
      <c r="BZ128" s="142">
        <f t="shared" ca="1" si="102"/>
        <v>8.2537707625225512E-2</v>
      </c>
      <c r="CA128" s="142">
        <f t="shared" ca="1" si="103"/>
        <v>0.17704684398346351</v>
      </c>
      <c r="CB128" s="142">
        <f t="shared" ca="1" si="104"/>
        <v>2.7598531848592647E-3</v>
      </c>
      <c r="CC128" s="142">
        <f t="shared" ca="1" si="105"/>
        <v>2.3752834787723179E-2</v>
      </c>
      <c r="CD128" s="142">
        <f t="shared" ca="1" si="106"/>
        <v>1.3799265924296322E-2</v>
      </c>
      <c r="CE128" s="142">
        <f t="shared" ca="1" si="107"/>
        <v>2.4459764394500653E-2</v>
      </c>
      <c r="CG128" s="128">
        <f t="shared" si="108"/>
        <v>103</v>
      </c>
      <c r="CH128" s="90">
        <f ca="1">INDEX(角色升级!$A:$A,MATCH(玩家节奏1!$BX128,角色升级!$J:$J,1))</f>
        <v>551</v>
      </c>
      <c r="CI128" s="90">
        <f ca="1">INDEX(角色升级!$O:$O,MATCH(玩家节奏1!$BX128,角色升级!$J:$J,1))</f>
        <v>24310.885099999996</v>
      </c>
      <c r="CJ128" s="90">
        <f>INDEX(关卡对比!$J:$J,MATCH(玩家节奏1!N128,关卡对比!$A:$A,0))</f>
        <v>37700</v>
      </c>
      <c r="CK128" s="147">
        <f t="shared" ca="1" si="109"/>
        <v>1.5507456781160143</v>
      </c>
      <c r="CL128" s="128">
        <f ca="1">INDEX(角色升级!$P:$P,MATCH(玩家节奏1!$CH128,角色升级!$A:$A,0))</f>
        <v>7700</v>
      </c>
      <c r="CM128" s="90">
        <f ca="1">INDEX(角色升级!Q:Q,MATCH(玩家节奏1!$CH128,角色升级!$A:$A,0))</f>
        <v>0.9</v>
      </c>
      <c r="CO128" s="128">
        <f t="shared" si="110"/>
        <v>20666</v>
      </c>
      <c r="CP128" s="90">
        <f t="shared" si="111"/>
        <v>25481</v>
      </c>
      <c r="CQ128" s="90">
        <f t="shared" si="112"/>
        <v>18072</v>
      </c>
      <c r="CR128" s="90">
        <f t="shared" ca="1" si="113"/>
        <v>60692.5</v>
      </c>
      <c r="CS128" s="90">
        <f t="shared" ca="1" si="114"/>
        <v>124911.5</v>
      </c>
      <c r="CT128" s="142">
        <f t="shared" ca="1" si="115"/>
        <v>0.16544513515569023</v>
      </c>
      <c r="CU128" s="142">
        <f t="shared" ca="1" si="116"/>
        <v>0.20399242663805975</v>
      </c>
      <c r="CV128" s="142">
        <f t="shared" ca="1" si="117"/>
        <v>0.1446784323300897</v>
      </c>
      <c r="CW128" s="142">
        <f t="shared" ca="1" si="118"/>
        <v>0.48588400587616032</v>
      </c>
      <c r="CY128" s="128">
        <f t="shared" si="119"/>
        <v>10334</v>
      </c>
      <c r="CZ128" s="90">
        <f t="shared" si="120"/>
        <v>12606</v>
      </c>
      <c r="DA128" s="90">
        <f t="shared" si="121"/>
        <v>10360</v>
      </c>
      <c r="DB128" s="90">
        <f t="shared" ca="1" si="122"/>
        <v>40484.5</v>
      </c>
      <c r="DC128" s="90">
        <f t="shared" ca="1" si="123"/>
        <v>73784.5</v>
      </c>
      <c r="DD128" s="142">
        <f t="shared" ca="1" si="124"/>
        <v>0.14005651593491858</v>
      </c>
      <c r="DE128" s="142">
        <f t="shared" ca="1" si="125"/>
        <v>0.17084889102724826</v>
      </c>
      <c r="DF128" s="142">
        <f t="shared" ca="1" si="126"/>
        <v>0.14040889346678503</v>
      </c>
      <c r="DG128" s="142">
        <f t="shared" ca="1" si="127"/>
        <v>0.54868569957104807</v>
      </c>
      <c r="DI128" s="128">
        <f t="shared" si="128"/>
        <v>4854</v>
      </c>
      <c r="DJ128" s="90">
        <f t="shared" si="129"/>
        <v>5947</v>
      </c>
      <c r="DK128" s="90">
        <f t="shared" si="130"/>
        <v>3464</v>
      </c>
      <c r="DL128" s="90">
        <f t="shared" ca="1" si="131"/>
        <v>5070</v>
      </c>
      <c r="DM128" s="90">
        <f t="shared" ca="1" si="132"/>
        <v>19335</v>
      </c>
      <c r="DN128" s="142">
        <f t="shared" ca="1" si="133"/>
        <v>0.25104732350659426</v>
      </c>
      <c r="DO128" s="142">
        <f t="shared" ca="1" si="134"/>
        <v>0.30757693302301525</v>
      </c>
      <c r="DP128" s="142">
        <f t="shared" ca="1" si="135"/>
        <v>0.17915696922679081</v>
      </c>
      <c r="DQ128" s="142">
        <f t="shared" ca="1" si="136"/>
        <v>0.26221877424359968</v>
      </c>
      <c r="DS128" s="128">
        <f t="shared" ca="1" si="137"/>
        <v>124911.5</v>
      </c>
      <c r="DT128" s="90">
        <f t="shared" ca="1" si="138"/>
        <v>73784.5</v>
      </c>
      <c r="DU128" s="90">
        <f t="shared" ca="1" si="139"/>
        <v>19335</v>
      </c>
      <c r="DV128" s="90">
        <f t="shared" si="140"/>
        <v>105</v>
      </c>
      <c r="DW128" s="90">
        <f ca="1">_xlfn.IFNA(INDEX(武器升级消耗!$H:$H,MATCH(玩家节奏1!DS128/玩家节奏1!DS$5,武器升级消耗!M:M,1)),0)</f>
        <v>32</v>
      </c>
      <c r="DX128" s="90">
        <f ca="1">_xlfn.IFNA(INDEX(武器升级消耗!$H:$H,MATCH(玩家节奏1!DT128/玩家节奏1!DT$5,武器升级消耗!N:N,1)),0)</f>
        <v>29</v>
      </c>
      <c r="DY128" s="90">
        <f ca="1">_xlfn.IFNA(INDEX(武器升级消耗!$H:$H,MATCH(玩家节奏1!DU128/玩家节奏1!DU$5,武器升级消耗!O:O,1)),0)</f>
        <v>19</v>
      </c>
      <c r="DZ128" s="90">
        <f>_xlfn.IFNA(INDEX(武器升级消耗!$H:$H,MATCH(玩家节奏1!DV128/玩家节奏1!DV$5,武器升级消耗!P:P,1)),0)</f>
        <v>11</v>
      </c>
      <c r="EA128" s="90">
        <f ca="1">_xlfn.IFNA(INDEX(武器升级消耗!$Q:$Q,MATCH(玩家节奏1!DW128,武器升级消耗!$H:$H,0))*2*EA$4,0)</f>
        <v>4.32</v>
      </c>
      <c r="EB128" s="90">
        <f ca="1">_xlfn.IFNA(INDEX(武器升级消耗!$Q:$Q,MATCH(玩家节奏1!DX128,武器升级消耗!$H:$H,0))*2*EB$4,0)</f>
        <v>4.9499999999999993</v>
      </c>
      <c r="EC128" s="90">
        <f ca="1">_xlfn.IFNA(INDEX(武器升级消耗!$Q:$Q,MATCH(玩家节奏1!DY128,武器升级消耗!$H:$H,0))*2*EC$4,1)</f>
        <v>5.0599999999999996</v>
      </c>
      <c r="ED128" s="90">
        <f>_xlfn.IFNA(INDEX(武器升级消耗!$Q:$Q,MATCH(玩家节奏1!DZ128,武器升级消耗!$H:$H,0))*2*ED$4,0)</f>
        <v>4.5</v>
      </c>
    </row>
    <row r="129" spans="1:134" x14ac:dyDescent="0.25">
      <c r="A129" s="123">
        <v>123</v>
      </c>
      <c r="B129" s="123">
        <f>INDEX(关卡对比!$Y:$Y,MATCH(关卡对比!Z129,关卡对比!$AA:$AA,1))</f>
        <v>75</v>
      </c>
      <c r="C129" s="124">
        <f>INDEX(关卡对比!$Y:$Y,MATCH(关卡对比!Z129,关卡对比!$AB:$AB,1))</f>
        <v>59</v>
      </c>
      <c r="D129" s="125">
        <f t="shared" si="157"/>
        <v>740.5</v>
      </c>
      <c r="E129" s="125">
        <v>3</v>
      </c>
      <c r="F129" s="128">
        <v>5</v>
      </c>
      <c r="G129" s="90">
        <v>1</v>
      </c>
      <c r="H129" s="90">
        <v>1</v>
      </c>
      <c r="J129" s="128">
        <v>123</v>
      </c>
      <c r="K129" s="90">
        <f t="shared" si="152"/>
        <v>5</v>
      </c>
      <c r="L129" s="90">
        <f t="shared" si="153"/>
        <v>1</v>
      </c>
      <c r="M129" s="90">
        <f t="shared" si="154"/>
        <v>1</v>
      </c>
      <c r="N129" s="140">
        <f>INDEX($A:$A,MATCH(SUM($K$7:K129),$D:$D,1))</f>
        <v>104</v>
      </c>
      <c r="O129" s="140">
        <v>0</v>
      </c>
      <c r="P129" s="141">
        <v>0</v>
      </c>
      <c r="Q129" s="126">
        <f>_xlfn.MAXIFS(关卡产出!X:X,关卡产出!$A:$A,玩家节奏1!$N$6,关卡产出!$B:$B,玩家节奏1!$N129)+_xlfn.MAXIFS(关卡产出!X:X,关卡产出!$A:$A,玩家节奏1!$O$6,关卡产出!$B:$B,玩家节奏1!$O129)+_xlfn.MAXIFS(关卡产出!X:X,关卡产出!$A:$A,玩家节奏1!$P$6,关卡产出!$B:$B,玩家节奏1!$P129)</f>
        <v>19300</v>
      </c>
      <c r="R129" s="90">
        <f>_xlfn.MAXIFS(关卡产出!Y:Y,关卡产出!$A:$A,玩家节奏1!$N$6,关卡产出!$B:$B,玩家节奏1!$N129)+_xlfn.MAXIFS(关卡产出!Y:Y,关卡产出!$A:$A,玩家节奏1!$O$6,关卡产出!$B:$B,玩家节奏1!$O129)+_xlfn.MAXIFS(关卡产出!Y:Y,关卡产出!$A:$A,玩家节奏1!$P$6,关卡产出!$B:$B,玩家节奏1!$P129)</f>
        <v>3046800</v>
      </c>
      <c r="S129" s="90">
        <f>_xlfn.MAXIFS(关卡产出!Z:Z,关卡产出!$A:$A,玩家节奏1!$N$6,关卡产出!$B:$B,玩家节奏1!$N129)+_xlfn.MAXIFS(关卡产出!Z:Z,关卡产出!$A:$A,玩家节奏1!$O$6,关卡产出!$B:$B,玩家节奏1!$O129)+_xlfn.MAXIFS(关卡产出!Z:Z,关卡产出!$A:$A,玩家节奏1!$P$6,关卡产出!$B:$B,玩家节奏1!$P129)</f>
        <v>21074</v>
      </c>
      <c r="T129" s="90">
        <f>_xlfn.MAXIFS(关卡产出!AA:AA,关卡产出!$A:$A,玩家节奏1!$N$6,关卡产出!$B:$B,玩家节奏1!$N129)+_xlfn.MAXIFS(关卡产出!AA:AA,关卡产出!$A:$A,玩家节奏1!$O$6,关卡产出!$B:$B,玩家节奏1!$O129)+_xlfn.MAXIFS(关卡产出!AA:AA,关卡产出!$A:$A,玩家节奏1!$P$6,关卡产出!$B:$B,玩家节奏1!$P129)</f>
        <v>10538</v>
      </c>
      <c r="U129" s="90">
        <f>_xlfn.MAXIFS(关卡产出!AB:AB,关卡产出!$A:$A,玩家节奏1!$N$6,关卡产出!$B:$B,玩家节奏1!$N129)+_xlfn.MAXIFS(关卡产出!AB:AB,关卡产出!$A:$A,玩家节奏1!$O$6,关卡产出!$B:$B,玩家节奏1!$O129)+_xlfn.MAXIFS(关卡产出!AB:AB,关卡产出!$A:$A,玩家节奏1!$P$6,关卡产出!$B:$B,玩家节奏1!$P129)</f>
        <v>4953</v>
      </c>
      <c r="V129" s="130">
        <f>_xlfn.MAXIFS(关卡产出!AC:AC,关卡产出!$A:$A,玩家节奏1!$N$6,关卡产出!$B:$B,玩家节奏1!$N129)+_xlfn.MAXIFS(关卡产出!AC:AC,关卡产出!$A:$A,玩家节奏1!$O$6,关卡产出!$B:$B,玩家节奏1!$O129)+_xlfn.MAXIFS(关卡产出!AC:AC,关卡产出!$A:$A,玩家节奏1!$P$6,关卡产出!$B:$B,玩家节奏1!$P129)</f>
        <v>624</v>
      </c>
      <c r="W129" s="126">
        <f>INDEX(关卡产出!C$8:C$207,MATCH(玩家节奏1!$N129,关卡产出!$B$8:$B$207,0))*$K129</f>
        <v>410</v>
      </c>
      <c r="X129" s="126">
        <f>INDEX(关卡产出!D$8:D$207,MATCH(玩家节奏1!$N129,关卡产出!$B$8:$B$207,0))*$K129</f>
        <v>205</v>
      </c>
      <c r="Y129" s="126">
        <f>INDEX(关卡产出!E$8:E$207,MATCH(玩家节奏1!$N129,关卡产出!$B$8:$B$207,0))*$K129</f>
        <v>100</v>
      </c>
      <c r="Z129" s="144">
        <f>INDEX(关卡产出!F$8:F$207,MATCH(玩家节奏1!$N129,关卡产出!$B$8:$B$207,0))*$K129</f>
        <v>5450</v>
      </c>
      <c r="AA129" s="126">
        <f>SUM(W$7:W129)</f>
        <v>25891</v>
      </c>
      <c r="AB129" s="126">
        <f>SUM(X$7:X129)</f>
        <v>12811</v>
      </c>
      <c r="AC129" s="126">
        <f>SUM(Y$7:Y129)</f>
        <v>6047</v>
      </c>
      <c r="AD129" s="126">
        <f>SUM(Z$7:Z129)</f>
        <v>370310</v>
      </c>
      <c r="AE129" s="126">
        <f>INDEX(图鉴!AQ:AQ,MATCH($N129,图鉴!$S:$S,0))*8</f>
        <v>168</v>
      </c>
      <c r="AF129" s="90">
        <f>INDEX(图鉴!AR:AR,MATCH($N129,图鉴!$S:$S,0))*8</f>
        <v>120</v>
      </c>
      <c r="AG129" s="90">
        <f>INDEX(图鉴!AS:AS,MATCH($N129,图鉴!$S:$S,0))*8</f>
        <v>48</v>
      </c>
      <c r="AH129" s="129">
        <f ca="1">INDEX(图鉴!AT:AT,MATCH($N129,图鉴!$S:$S,0))*8</f>
        <v>10000</v>
      </c>
      <c r="AI129" s="128">
        <f>SUM($AE$7:AE129)</f>
        <v>18240</v>
      </c>
      <c r="AJ129" s="90">
        <f>SUM(AF$7:AF129)</f>
        <v>10480</v>
      </c>
      <c r="AK129" s="90">
        <f>SUM(AG$7:AG129)</f>
        <v>3512</v>
      </c>
      <c r="AL129" s="130">
        <f ca="1">SUM(AH$7:AH129)</f>
        <v>792640</v>
      </c>
      <c r="AM129" s="133">
        <f>IF(M129=0,0,INDEX(关卡产出!$AU$11:$AU$15,MATCH(玩家节奏1!N129,关卡产出!$AW$11:$AW$15,1))*M129)</f>
        <v>12200</v>
      </c>
      <c r="AN129" s="126">
        <f>IF(L129=0,0,$L129*关卡产出!AU$21)</f>
        <v>1000</v>
      </c>
      <c r="AO129" s="90">
        <f>IF(M129=0,0,$L129*关卡产出!AV$21)</f>
        <v>50</v>
      </c>
      <c r="AP129" s="129">
        <f>IF(N129=0,0,$L129*关卡产出!AW$21)</f>
        <v>1</v>
      </c>
      <c r="AQ129" s="138">
        <f>SUM(AN$7:AN129)</f>
        <v>106000</v>
      </c>
      <c r="AR129" s="126">
        <f>SUM(AO$7:AO129)</f>
        <v>5300</v>
      </c>
      <c r="AS129" s="129">
        <f>SUM(AP$7:AP129)</f>
        <v>106</v>
      </c>
      <c r="AT129" s="128">
        <v>500</v>
      </c>
      <c r="AU129" s="129">
        <v>100</v>
      </c>
      <c r="AV129" s="128">
        <f>SUM(AT$7:AT129)</f>
        <v>61500</v>
      </c>
      <c r="AW129" s="90">
        <f>SUM(AU$7:AU129)</f>
        <v>12300</v>
      </c>
      <c r="AY129" s="128">
        <f t="shared" si="91"/>
        <v>19300</v>
      </c>
      <c r="AZ129" s="90">
        <f t="shared" si="92"/>
        <v>5300</v>
      </c>
      <c r="BA129" s="90">
        <f t="shared" si="93"/>
        <v>12300</v>
      </c>
      <c r="BB129" s="90">
        <f t="shared" ca="1" si="143"/>
        <v>7700</v>
      </c>
      <c r="BC129" s="90">
        <f t="shared" ca="1" si="144"/>
        <v>44600</v>
      </c>
      <c r="BD129" s="90"/>
      <c r="BE129" s="90">
        <f t="shared" ca="1" si="94"/>
        <v>44600</v>
      </c>
      <c r="BF129" s="142">
        <f t="shared" ca="1" si="95"/>
        <v>0.43273542600896858</v>
      </c>
      <c r="BG129" s="142">
        <f t="shared" ca="1" si="96"/>
        <v>0.11883408071748879</v>
      </c>
      <c r="BH129" s="142">
        <f t="shared" ca="1" si="155"/>
        <v>0.27578475336322872</v>
      </c>
      <c r="BI129" s="142">
        <f t="shared" ca="1" si="156"/>
        <v>0.1726457399103139</v>
      </c>
      <c r="BJ129" s="143"/>
      <c r="BK129" s="128">
        <f ca="1">INDEX(商城宝箱!$L:$L,MATCH(BC129,商城宝箱!$N:$N,1))</f>
        <v>9</v>
      </c>
      <c r="BL129" s="90">
        <f ca="1">_xlfn.IFNA(INDEX(商城宝箱!T:T,MATCH(玩家节奏1!$BK129,商城宝箱!$L:$L,0)),0)+($BC129-INDEX(商城宝箱!$N:$N,MATCH(玩家节奏1!$BK129,商城宝箱!$L:$L,0)))/$BK$5*INDEX(商城宝箱!E$23:E$42,MATCH(玩家节奏1!$BK129+1,商城宝箱!$C$23:$C$42,0))</f>
        <v>111500</v>
      </c>
      <c r="BM129" s="90">
        <f ca="1">_xlfn.IFNA(INDEX(商城宝箱!U:U,MATCH(玩家节奏1!$BK129,商城宝箱!$L:$L,0)),0)+($BC129-INDEX(商城宝箱!$N:$N,MATCH(玩家节奏1!$BK129,商城宝箱!$L:$L,0)))/$BK$5*INDEX(商城宝箱!F$23:F$42,MATCH(玩家节奏1!$BK129+1,商城宝箱!$C$23:$C$42,0))</f>
        <v>63912.5</v>
      </c>
      <c r="BN129" s="90">
        <f ca="1">_xlfn.IFNA(INDEX(商城宝箱!V:V,MATCH(玩家节奏1!$BK129,商城宝箱!$L:$L,0)),0)+($BC129-INDEX(商城宝箱!$N:$N,MATCH(玩家节奏1!$BK129,商城宝箱!$L:$L,0)))/$BK$5*INDEX(商城宝箱!G$23:G$42,MATCH(玩家节奏1!$BK129+1,商城宝箱!$C$23:$C$42,0))</f>
        <v>42512</v>
      </c>
      <c r="BO129" s="90">
        <f ca="1">_xlfn.IFNA(INDEX(商城宝箱!W:W,MATCH(玩家节奏1!$BK129,商城宝箱!$L:$L,0)),0)+($BC129-INDEX(商城宝箱!$N:$N,MATCH(玩家节奏1!$BK129,商城宝箱!$L:$L,0)))/$BK$5*INDEX(商城宝箱!H$23:H$42,MATCH(玩家节奏1!$BK129+1,商城宝箱!$C$23:$C$42,0))</f>
        <v>5331.5</v>
      </c>
      <c r="BQ129" s="128">
        <f t="shared" si="146"/>
        <v>3046800</v>
      </c>
      <c r="BR129" s="90">
        <f t="shared" si="147"/>
        <v>370310</v>
      </c>
      <c r="BS129" s="90">
        <f t="shared" ca="1" si="148"/>
        <v>792640</v>
      </c>
      <c r="BT129" s="90">
        <f t="shared" si="149"/>
        <v>12200</v>
      </c>
      <c r="BU129" s="90">
        <f t="shared" si="150"/>
        <v>106000</v>
      </c>
      <c r="BV129" s="90">
        <f t="shared" si="151"/>
        <v>61500</v>
      </c>
      <c r="BW129" s="90">
        <f t="shared" ca="1" si="99"/>
        <v>111500</v>
      </c>
      <c r="BX129" s="90">
        <f t="shared" ca="1" si="100"/>
        <v>4500950</v>
      </c>
      <c r="BY129" s="142">
        <f t="shared" ca="1" si="101"/>
        <v>0.6769237605394417</v>
      </c>
      <c r="BZ129" s="142">
        <f t="shared" ca="1" si="102"/>
        <v>8.2273742209977893E-2</v>
      </c>
      <c r="CA129" s="142">
        <f t="shared" ca="1" si="103"/>
        <v>0.17610504449060754</v>
      </c>
      <c r="CB129" s="142">
        <f t="shared" ca="1" si="104"/>
        <v>2.710538886235128E-3</v>
      </c>
      <c r="CC129" s="142">
        <f t="shared" ca="1" si="105"/>
        <v>2.3550583765649474E-2</v>
      </c>
      <c r="CD129" s="142">
        <f t="shared" ca="1" si="106"/>
        <v>1.3663782090447572E-2</v>
      </c>
      <c r="CE129" s="142">
        <f t="shared" ca="1" si="107"/>
        <v>2.4772548017640721E-2</v>
      </c>
      <c r="CG129" s="128">
        <f t="shared" si="108"/>
        <v>104</v>
      </c>
      <c r="CH129" s="90">
        <f ca="1">INDEX(角色升级!$A:$A,MATCH(玩家节奏1!$BX129,角色升级!$J:$J,1))</f>
        <v>554</v>
      </c>
      <c r="CI129" s="90">
        <f ca="1">INDEX(角色升级!$O:$O,MATCH(玩家节奏1!$BX129,角色升级!$J:$J,1))</f>
        <v>24372.692435000001</v>
      </c>
      <c r="CJ129" s="90">
        <f>INDEX(关卡对比!$J:$J,MATCH(玩家节奏1!N129,关卡对比!$A:$A,0))</f>
        <v>38200</v>
      </c>
      <c r="CK129" s="147">
        <f t="shared" ca="1" si="109"/>
        <v>1.5673278650635873</v>
      </c>
      <c r="CL129" s="128">
        <f ca="1">INDEX(角色升级!$P:$P,MATCH(玩家节奏1!$CH129,角色升级!$A:$A,0))</f>
        <v>7700</v>
      </c>
      <c r="CM129" s="90">
        <f ca="1">INDEX(角色升级!Q:Q,MATCH(玩家节奏1!$CH129,角色升级!$A:$A,0))</f>
        <v>0.9</v>
      </c>
      <c r="CO129" s="128">
        <f t="shared" si="110"/>
        <v>21074</v>
      </c>
      <c r="CP129" s="90">
        <f t="shared" si="111"/>
        <v>25891</v>
      </c>
      <c r="CQ129" s="90">
        <f t="shared" si="112"/>
        <v>18240</v>
      </c>
      <c r="CR129" s="90">
        <f t="shared" ca="1" si="113"/>
        <v>63912.5</v>
      </c>
      <c r="CS129" s="90">
        <f t="shared" ca="1" si="114"/>
        <v>129117.5</v>
      </c>
      <c r="CT129" s="142">
        <f t="shared" ca="1" si="115"/>
        <v>0.1632156756442775</v>
      </c>
      <c r="CU129" s="142">
        <f t="shared" ca="1" si="116"/>
        <v>0.20052277963870119</v>
      </c>
      <c r="CV129" s="142">
        <f t="shared" ca="1" si="117"/>
        <v>0.14126667570236412</v>
      </c>
      <c r="CW129" s="142">
        <f t="shared" ca="1" si="118"/>
        <v>0.49499486901465717</v>
      </c>
      <c r="CY129" s="128">
        <f t="shared" si="119"/>
        <v>10538</v>
      </c>
      <c r="CZ129" s="90">
        <f t="shared" si="120"/>
        <v>12811</v>
      </c>
      <c r="DA129" s="90">
        <f t="shared" si="121"/>
        <v>10480</v>
      </c>
      <c r="DB129" s="90">
        <f t="shared" ca="1" si="122"/>
        <v>42512</v>
      </c>
      <c r="DC129" s="90">
        <f t="shared" ca="1" si="123"/>
        <v>76341</v>
      </c>
      <c r="DD129" s="142">
        <f t="shared" ca="1" si="124"/>
        <v>0.1380385376141261</v>
      </c>
      <c r="DE129" s="142">
        <f t="shared" ca="1" si="125"/>
        <v>0.16781283975845221</v>
      </c>
      <c r="DF129" s="142">
        <f t="shared" ca="1" si="126"/>
        <v>0.13727878859328538</v>
      </c>
      <c r="DG129" s="142">
        <f t="shared" ca="1" si="127"/>
        <v>0.55686983403413626</v>
      </c>
      <c r="DI129" s="128">
        <f t="shared" si="128"/>
        <v>4953</v>
      </c>
      <c r="DJ129" s="90">
        <f t="shared" si="129"/>
        <v>6047</v>
      </c>
      <c r="DK129" s="90">
        <f t="shared" si="130"/>
        <v>3512</v>
      </c>
      <c r="DL129" s="90">
        <f t="shared" ca="1" si="131"/>
        <v>5331.5</v>
      </c>
      <c r="DM129" s="90">
        <f t="shared" ca="1" si="132"/>
        <v>19843.5</v>
      </c>
      <c r="DN129" s="142">
        <f t="shared" ca="1" si="133"/>
        <v>0.24960314460654623</v>
      </c>
      <c r="DO129" s="142">
        <f t="shared" ca="1" si="134"/>
        <v>0.30473454783682313</v>
      </c>
      <c r="DP129" s="142">
        <f t="shared" ca="1" si="135"/>
        <v>0.17698490689646484</v>
      </c>
      <c r="DQ129" s="142">
        <f t="shared" ca="1" si="136"/>
        <v>0.26867740066016582</v>
      </c>
      <c r="DS129" s="128">
        <f t="shared" ca="1" si="137"/>
        <v>129117.5</v>
      </c>
      <c r="DT129" s="90">
        <f t="shared" ca="1" si="138"/>
        <v>76341</v>
      </c>
      <c r="DU129" s="90">
        <f t="shared" ca="1" si="139"/>
        <v>19843.5</v>
      </c>
      <c r="DV129" s="90">
        <f t="shared" si="140"/>
        <v>106</v>
      </c>
      <c r="DW129" s="90">
        <f ca="1">_xlfn.IFNA(INDEX(武器升级消耗!$H:$H,MATCH(玩家节奏1!DS129/玩家节奏1!DS$5,武器升级消耗!M:M,1)),0)</f>
        <v>33</v>
      </c>
      <c r="DX129" s="90">
        <f ca="1">_xlfn.IFNA(INDEX(武器升级消耗!$H:$H,MATCH(玩家节奏1!DT129/玩家节奏1!DT$5,武器升级消耗!N:N,1)),0)</f>
        <v>30</v>
      </c>
      <c r="DY129" s="90">
        <f ca="1">_xlfn.IFNA(INDEX(武器升级消耗!$H:$H,MATCH(玩家节奏1!DU129/玩家节奏1!DU$5,武器升级消耗!O:O,1)),0)</f>
        <v>20</v>
      </c>
      <c r="DZ129" s="90">
        <f>_xlfn.IFNA(INDEX(武器升级消耗!$H:$H,MATCH(玩家节奏1!DV129/玩家节奏1!DV$5,武器升级消耗!P:P,1)),0)</f>
        <v>11</v>
      </c>
      <c r="EA129" s="90">
        <f ca="1">_xlfn.IFNA(INDEX(武器升级消耗!$Q:$Q,MATCH(玩家节奏1!DW129,武器升级消耗!$H:$H,0))*2*EA$4,0)</f>
        <v>4.4400000000000004</v>
      </c>
      <c r="EB129" s="90">
        <f ca="1">_xlfn.IFNA(INDEX(武器升级消耗!$Q:$Q,MATCH(玩家节奏1!DX129,武器升级消耗!$H:$H,0))*2*EB$4,0)</f>
        <v>5.0999999999999996</v>
      </c>
      <c r="EC129" s="90">
        <f ca="1">_xlfn.IFNA(INDEX(武器升级消耗!$Q:$Q,MATCH(玩家节奏1!DY129,武器升级消耗!$H:$H,0))*2*EC$4,1)</f>
        <v>5.28</v>
      </c>
      <c r="ED129" s="90">
        <f>_xlfn.IFNA(INDEX(武器升级消耗!$Q:$Q,MATCH(玩家节奏1!DZ129,武器升级消耗!$H:$H,0))*2*ED$4,0)</f>
        <v>4.5</v>
      </c>
    </row>
    <row r="130" spans="1:134" x14ac:dyDescent="0.25">
      <c r="A130" s="123">
        <v>124</v>
      </c>
      <c r="B130" s="123">
        <f>INDEX(关卡对比!$Y:$Y,MATCH(关卡对比!Z130,关卡对比!$AA:$AA,1))</f>
        <v>75</v>
      </c>
      <c r="C130" s="124">
        <f>INDEX(关卡对比!$Y:$Y,MATCH(关卡对比!Z130,关卡对比!$AB:$AB,1))</f>
        <v>59</v>
      </c>
      <c r="D130" s="125">
        <f t="shared" si="157"/>
        <v>743.5</v>
      </c>
      <c r="E130" s="125">
        <v>3</v>
      </c>
      <c r="F130" s="128">
        <v>5</v>
      </c>
      <c r="G130" s="90">
        <v>1</v>
      </c>
      <c r="H130" s="90">
        <v>1</v>
      </c>
      <c r="J130" s="128">
        <v>124</v>
      </c>
      <c r="K130" s="90">
        <f t="shared" si="152"/>
        <v>5</v>
      </c>
      <c r="L130" s="90">
        <f t="shared" si="153"/>
        <v>1</v>
      </c>
      <c r="M130" s="90">
        <f t="shared" si="154"/>
        <v>1</v>
      </c>
      <c r="N130" s="140">
        <f>INDEX($A:$A,MATCH(SUM($K$7:K130),$D:$D,1))</f>
        <v>105</v>
      </c>
      <c r="O130" s="140">
        <v>0</v>
      </c>
      <c r="P130" s="141">
        <v>0</v>
      </c>
      <c r="Q130" s="126">
        <f>_xlfn.MAXIFS(关卡产出!X:X,关卡产出!$A:$A,玩家节奏1!$N$6,关卡产出!$B:$B,玩家节奏1!$N130)+_xlfn.MAXIFS(关卡产出!X:X,关卡产出!$A:$A,玩家节奏1!$O$6,关卡产出!$B:$B,玩家节奏1!$O130)+_xlfn.MAXIFS(关卡产出!X:X,关卡产出!$A:$A,玩家节奏1!$P$6,关卡产出!$B:$B,玩家节奏1!$P130)</f>
        <v>19500</v>
      </c>
      <c r="R130" s="90">
        <f>_xlfn.MAXIFS(关卡产出!Y:Y,关卡产出!$A:$A,玩家节奏1!$N$6,关卡产出!$B:$B,玩家节奏1!$N130)+_xlfn.MAXIFS(关卡产出!Y:Y,关卡产出!$A:$A,玩家节奏1!$O$6,关卡产出!$B:$B,玩家节奏1!$O130)+_xlfn.MAXIFS(关卡产出!Y:Y,关卡产出!$A:$A,玩家节奏1!$P$6,关卡产出!$B:$B,玩家节奏1!$P130)</f>
        <v>3107500</v>
      </c>
      <c r="S130" s="90">
        <f>_xlfn.MAXIFS(关卡产出!Z:Z,关卡产出!$A:$A,玩家节奏1!$N$6,关卡产出!$B:$B,玩家节奏1!$N130)+_xlfn.MAXIFS(关卡产出!Z:Z,关卡产出!$A:$A,玩家节奏1!$O$6,关卡产出!$B:$B,玩家节奏1!$O130)+_xlfn.MAXIFS(关卡产出!Z:Z,关卡产出!$A:$A,玩家节奏1!$P$6,关卡产出!$B:$B,玩家节奏1!$P130)</f>
        <v>21486</v>
      </c>
      <c r="T130" s="90">
        <f>_xlfn.MAXIFS(关卡产出!AA:AA,关卡产出!$A:$A,玩家节奏1!$N$6,关卡产出!$B:$B,玩家节奏1!$N130)+_xlfn.MAXIFS(关卡产出!AA:AA,关卡产出!$A:$A,玩家节奏1!$O$6,关卡产出!$B:$B,玩家节奏1!$O130)+_xlfn.MAXIFS(关卡产出!AA:AA,关卡产出!$A:$A,玩家节奏1!$P$6,关卡产出!$B:$B,玩家节奏1!$P130)</f>
        <v>10744</v>
      </c>
      <c r="U130" s="90">
        <f>_xlfn.MAXIFS(关卡产出!AB:AB,关卡产出!$A:$A,玩家节奏1!$N$6,关卡产出!$B:$B,玩家节奏1!$N130)+_xlfn.MAXIFS(关卡产出!AB:AB,关卡产出!$A:$A,玩家节奏1!$O$6,关卡产出!$B:$B,玩家节奏1!$O130)+_xlfn.MAXIFS(关卡产出!AB:AB,关卡产出!$A:$A,玩家节奏1!$P$6,关卡产出!$B:$B,玩家节奏1!$P130)</f>
        <v>5053</v>
      </c>
      <c r="V130" s="130">
        <f>_xlfn.MAXIFS(关卡产出!AC:AC,关卡产出!$A:$A,玩家节奏1!$N$6,关卡产出!$B:$B,玩家节奏1!$N130)+_xlfn.MAXIFS(关卡产出!AC:AC,关卡产出!$A:$A,玩家节奏1!$O$6,关卡产出!$B:$B,玩家节奏1!$O130)+_xlfn.MAXIFS(关卡产出!AC:AC,关卡产出!$A:$A,玩家节奏1!$P$6,关卡产出!$B:$B,玩家节奏1!$P130)</f>
        <v>630</v>
      </c>
      <c r="W130" s="126">
        <f>INDEX(关卡产出!C$8:C$207,MATCH(玩家节奏1!$N130,关卡产出!$B$8:$B$207,0))*$K130</f>
        <v>410</v>
      </c>
      <c r="X130" s="126">
        <f>INDEX(关卡产出!D$8:D$207,MATCH(玩家节奏1!$N130,关卡产出!$B$8:$B$207,0))*$K130</f>
        <v>205</v>
      </c>
      <c r="Y130" s="126">
        <f>INDEX(关卡产出!E$8:E$207,MATCH(玩家节奏1!$N130,关卡产出!$B$8:$B$207,0))*$K130</f>
        <v>100</v>
      </c>
      <c r="Z130" s="144">
        <f>INDEX(关卡产出!F$8:F$207,MATCH(玩家节奏1!$N130,关卡产出!$B$8:$B$207,0))*$K130</f>
        <v>5550</v>
      </c>
      <c r="AA130" s="126">
        <f>SUM(W$7:W130)</f>
        <v>26301</v>
      </c>
      <c r="AB130" s="126">
        <f>SUM(X$7:X130)</f>
        <v>13016</v>
      </c>
      <c r="AC130" s="126">
        <f>SUM(Y$7:Y130)</f>
        <v>6147</v>
      </c>
      <c r="AD130" s="126">
        <f>SUM(Z$7:Z130)</f>
        <v>375860</v>
      </c>
      <c r="AE130" s="126">
        <f>INDEX(图鉴!AQ:AQ,MATCH($N130,图鉴!$S:$S,0))*8</f>
        <v>168</v>
      </c>
      <c r="AF130" s="90">
        <f>INDEX(图鉴!AR:AR,MATCH($N130,图鉴!$S:$S,0))*8</f>
        <v>120</v>
      </c>
      <c r="AG130" s="90">
        <f>INDEX(图鉴!AS:AS,MATCH($N130,图鉴!$S:$S,0))*8</f>
        <v>48</v>
      </c>
      <c r="AH130" s="129">
        <f ca="1">INDEX(图鉴!AT:AT,MATCH($N130,图鉴!$S:$S,0))*8</f>
        <v>10000</v>
      </c>
      <c r="AI130" s="128">
        <f>SUM($AE$7:AE130)</f>
        <v>18408</v>
      </c>
      <c r="AJ130" s="90">
        <f>SUM(AF$7:AF130)</f>
        <v>10600</v>
      </c>
      <c r="AK130" s="90">
        <f>SUM(AG$7:AG130)</f>
        <v>3560</v>
      </c>
      <c r="AL130" s="130">
        <f ca="1">SUM(AH$7:AH130)</f>
        <v>802640</v>
      </c>
      <c r="AM130" s="133">
        <f>IF(M130=0,0,INDEX(关卡产出!$AU$11:$AU$15,MATCH(玩家节奏1!N130,关卡产出!$AW$11:$AW$15,1))*M130)</f>
        <v>12200</v>
      </c>
      <c r="AN130" s="126">
        <f>IF(L130=0,0,$L130*关卡产出!AU$21)</f>
        <v>1000</v>
      </c>
      <c r="AO130" s="90">
        <f>IF(M130=0,0,$L130*关卡产出!AV$21)</f>
        <v>50</v>
      </c>
      <c r="AP130" s="129">
        <f>IF(N130=0,0,$L130*关卡产出!AW$21)</f>
        <v>1</v>
      </c>
      <c r="AQ130" s="138">
        <f>SUM(AN$7:AN130)</f>
        <v>107000</v>
      </c>
      <c r="AR130" s="126">
        <f>SUM(AO$7:AO130)</f>
        <v>5350</v>
      </c>
      <c r="AS130" s="129">
        <f>SUM(AP$7:AP130)</f>
        <v>107</v>
      </c>
      <c r="AT130" s="128">
        <v>500</v>
      </c>
      <c r="AU130" s="129">
        <v>100</v>
      </c>
      <c r="AV130" s="128">
        <f>SUM(AT$7:AT130)</f>
        <v>62000</v>
      </c>
      <c r="AW130" s="90">
        <f>SUM(AU$7:AU130)</f>
        <v>12400</v>
      </c>
      <c r="AY130" s="128">
        <f t="shared" si="91"/>
        <v>19500</v>
      </c>
      <c r="AZ130" s="90">
        <f t="shared" si="92"/>
        <v>5350</v>
      </c>
      <c r="BA130" s="90">
        <f t="shared" si="93"/>
        <v>12400</v>
      </c>
      <c r="BB130" s="90">
        <f t="shared" ca="1" si="143"/>
        <v>7700</v>
      </c>
      <c r="BC130" s="90">
        <f t="shared" ca="1" si="144"/>
        <v>44950</v>
      </c>
      <c r="BD130" s="90"/>
      <c r="BE130" s="90">
        <f t="shared" ca="1" si="94"/>
        <v>44950</v>
      </c>
      <c r="BF130" s="142">
        <f t="shared" ca="1" si="95"/>
        <v>0.43381535038932145</v>
      </c>
      <c r="BG130" s="142">
        <f t="shared" ca="1" si="96"/>
        <v>0.11902113459399333</v>
      </c>
      <c r="BH130" s="142">
        <f t="shared" ca="1" si="155"/>
        <v>0.27586206896551724</v>
      </c>
      <c r="BI130" s="142">
        <f t="shared" ca="1" si="156"/>
        <v>0.17130144605116795</v>
      </c>
      <c r="BJ130" s="143"/>
      <c r="BK130" s="128">
        <f ca="1">INDEX(商城宝箱!$L:$L,MATCH(BC130,商城宝箱!$N:$N,1))</f>
        <v>9</v>
      </c>
      <c r="BL130" s="90">
        <f ca="1">_xlfn.IFNA(INDEX(商城宝箱!T:T,MATCH(玩家节奏1!$BK130,商城宝箱!$L:$L,0)),0)+($BC130-INDEX(商城宝箱!$N:$N,MATCH(玩家节奏1!$BK130,商城宝箱!$L:$L,0)))/$BK$5*INDEX(商城宝箱!E$23:E$42,MATCH(玩家节奏1!$BK130+1,商城宝箱!$C$23:$C$42,0))</f>
        <v>112375</v>
      </c>
      <c r="BM130" s="90">
        <f ca="1">_xlfn.IFNA(INDEX(商城宝箱!U:U,MATCH(玩家节奏1!$BK130,商城宝箱!$L:$L,0)),0)+($BC130-INDEX(商城宝箱!$N:$N,MATCH(玩家节奏1!$BK130,商城宝箱!$L:$L,0)))/$BK$5*INDEX(商城宝箱!F$23:F$42,MATCH(玩家节奏1!$BK130+1,商城宝箱!$C$23:$C$42,0))</f>
        <v>64857.5</v>
      </c>
      <c r="BN130" s="90">
        <f ca="1">_xlfn.IFNA(INDEX(商城宝箱!V:V,MATCH(玩家节奏1!$BK130,商城宝箱!$L:$L,0)),0)+($BC130-INDEX(商城宝箱!$N:$N,MATCH(玩家节奏1!$BK130,商城宝箱!$L:$L,0)))/$BK$5*INDEX(商城宝箱!G$23:G$42,MATCH(玩家节奏1!$BK130+1,商城宝箱!$C$23:$C$42,0))</f>
        <v>42949.5</v>
      </c>
      <c r="BO130" s="90">
        <f ca="1">_xlfn.IFNA(INDEX(商城宝箱!W:W,MATCH(玩家节奏1!$BK130,商城宝箱!$L:$L,0)),0)+($BC130-INDEX(商城宝箱!$N:$N,MATCH(玩家节奏1!$BK130,商城宝箱!$L:$L,0)))/$BK$5*INDEX(商城宝箱!H$23:H$42,MATCH(玩家节奏1!$BK130+1,商城宝箱!$C$23:$C$42,0))</f>
        <v>5401.5</v>
      </c>
      <c r="BQ130" s="128">
        <f t="shared" si="146"/>
        <v>3107500</v>
      </c>
      <c r="BR130" s="90">
        <f t="shared" si="147"/>
        <v>375860</v>
      </c>
      <c r="BS130" s="90">
        <f t="shared" ca="1" si="148"/>
        <v>802640</v>
      </c>
      <c r="BT130" s="90">
        <f t="shared" si="149"/>
        <v>12200</v>
      </c>
      <c r="BU130" s="90">
        <f t="shared" si="150"/>
        <v>107000</v>
      </c>
      <c r="BV130" s="90">
        <f t="shared" si="151"/>
        <v>62000</v>
      </c>
      <c r="BW130" s="90">
        <f t="shared" ca="1" si="99"/>
        <v>112375</v>
      </c>
      <c r="BX130" s="90">
        <f t="shared" ca="1" si="100"/>
        <v>4579575</v>
      </c>
      <c r="BY130" s="142">
        <f t="shared" ca="1" si="101"/>
        <v>0.67855641626133434</v>
      </c>
      <c r="BZ130" s="142">
        <f t="shared" ca="1" si="102"/>
        <v>8.2073118138691906E-2</v>
      </c>
      <c r="CA130" s="142">
        <f t="shared" ca="1" si="103"/>
        <v>0.17526517198648348</v>
      </c>
      <c r="CB130" s="142">
        <f t="shared" ca="1" si="104"/>
        <v>2.664002664002664E-3</v>
      </c>
      <c r="CC130" s="142">
        <f t="shared" ca="1" si="105"/>
        <v>2.3364613528547955E-2</v>
      </c>
      <c r="CD130" s="142">
        <f t="shared" ca="1" si="106"/>
        <v>1.3538374194111899E-2</v>
      </c>
      <c r="CE130" s="142">
        <f t="shared" ca="1" si="107"/>
        <v>2.4538303226827818E-2</v>
      </c>
      <c r="CG130" s="128">
        <f t="shared" si="108"/>
        <v>105</v>
      </c>
      <c r="CH130" s="90">
        <f ca="1">INDEX(角色升级!$A:$A,MATCH(玩家节奏1!$BX130,角色升级!$J:$J,1))</f>
        <v>558</v>
      </c>
      <c r="CI130" s="90">
        <f ca="1">INDEX(角色升级!$O:$O,MATCH(玩家节奏1!$BX130,角色升级!$J:$J,1))</f>
        <v>24455.102214999999</v>
      </c>
      <c r="CJ130" s="90">
        <f>INDEX(关卡对比!$J:$J,MATCH(玩家节奏1!N130,关卡对比!$A:$A,0))</f>
        <v>38700</v>
      </c>
      <c r="CK130" s="147">
        <f t="shared" ca="1" si="109"/>
        <v>1.5824918522018128</v>
      </c>
      <c r="CL130" s="128">
        <f ca="1">INDEX(角色升级!$P:$P,MATCH(玩家节奏1!$CH130,角色升级!$A:$A,0))</f>
        <v>7700</v>
      </c>
      <c r="CM130" s="90">
        <f ca="1">INDEX(角色升级!Q:Q,MATCH(玩家节奏1!$CH130,角色升级!$A:$A,0))</f>
        <v>0.9</v>
      </c>
      <c r="CO130" s="128">
        <f t="shared" si="110"/>
        <v>21486</v>
      </c>
      <c r="CP130" s="90">
        <f t="shared" si="111"/>
        <v>26301</v>
      </c>
      <c r="CQ130" s="90">
        <f t="shared" si="112"/>
        <v>18408</v>
      </c>
      <c r="CR130" s="90">
        <f t="shared" ca="1" si="113"/>
        <v>64857.5</v>
      </c>
      <c r="CS130" s="90">
        <f t="shared" ca="1" si="114"/>
        <v>131052.5</v>
      </c>
      <c r="CT130" s="142">
        <f t="shared" ca="1" si="115"/>
        <v>0.16394956219835563</v>
      </c>
      <c r="CU130" s="142">
        <f t="shared" ca="1" si="116"/>
        <v>0.20069056294233228</v>
      </c>
      <c r="CV130" s="142">
        <f t="shared" ca="1" si="117"/>
        <v>0.14046279162930886</v>
      </c>
      <c r="CW130" s="142">
        <f t="shared" ca="1" si="118"/>
        <v>0.49489708323000325</v>
      </c>
      <c r="CY130" s="128">
        <f t="shared" si="119"/>
        <v>10744</v>
      </c>
      <c r="CZ130" s="90">
        <f t="shared" si="120"/>
        <v>13016</v>
      </c>
      <c r="DA130" s="90">
        <f t="shared" si="121"/>
        <v>10600</v>
      </c>
      <c r="DB130" s="90">
        <f t="shared" ca="1" si="122"/>
        <v>42949.5</v>
      </c>
      <c r="DC130" s="90">
        <f t="shared" ca="1" si="123"/>
        <v>77309.5</v>
      </c>
      <c r="DD130" s="142">
        <f t="shared" ca="1" si="124"/>
        <v>0.1389738647902263</v>
      </c>
      <c r="DE130" s="142">
        <f t="shared" ca="1" si="125"/>
        <v>0.1683622323259108</v>
      </c>
      <c r="DF130" s="142">
        <f t="shared" ca="1" si="126"/>
        <v>0.13711122177740123</v>
      </c>
      <c r="DG130" s="142">
        <f t="shared" ca="1" si="127"/>
        <v>0.55555268110646172</v>
      </c>
      <c r="DI130" s="128">
        <f t="shared" si="128"/>
        <v>5053</v>
      </c>
      <c r="DJ130" s="90">
        <f t="shared" si="129"/>
        <v>6147</v>
      </c>
      <c r="DK130" s="90">
        <f t="shared" si="130"/>
        <v>3560</v>
      </c>
      <c r="DL130" s="90">
        <f t="shared" ca="1" si="131"/>
        <v>5401.5</v>
      </c>
      <c r="DM130" s="90">
        <f t="shared" ca="1" si="132"/>
        <v>20161.5</v>
      </c>
      <c r="DN130" s="142">
        <f t="shared" ca="1" si="133"/>
        <v>0.25062619348758775</v>
      </c>
      <c r="DO130" s="142">
        <f t="shared" ca="1" si="134"/>
        <v>0.3048880291644967</v>
      </c>
      <c r="DP130" s="142">
        <f t="shared" ca="1" si="135"/>
        <v>0.17657416362869827</v>
      </c>
      <c r="DQ130" s="142">
        <f t="shared" ca="1" si="136"/>
        <v>0.26791161371921735</v>
      </c>
      <c r="DS130" s="128">
        <f t="shared" ca="1" si="137"/>
        <v>131052.5</v>
      </c>
      <c r="DT130" s="90">
        <f t="shared" ca="1" si="138"/>
        <v>77309.5</v>
      </c>
      <c r="DU130" s="90">
        <f t="shared" ca="1" si="139"/>
        <v>20161.5</v>
      </c>
      <c r="DV130" s="90">
        <f t="shared" si="140"/>
        <v>107</v>
      </c>
      <c r="DW130" s="90">
        <f ca="1">_xlfn.IFNA(INDEX(武器升级消耗!$H:$H,MATCH(玩家节奏1!DS130/玩家节奏1!DS$5,武器升级消耗!M:M,1)),0)</f>
        <v>33</v>
      </c>
      <c r="DX130" s="90">
        <f ca="1">_xlfn.IFNA(INDEX(武器升级消耗!$H:$H,MATCH(玩家节奏1!DT130/玩家节奏1!DT$5,武器升级消耗!N:N,1)),0)</f>
        <v>30</v>
      </c>
      <c r="DY130" s="90">
        <f ca="1">_xlfn.IFNA(INDEX(武器升级消耗!$H:$H,MATCH(玩家节奏1!DU130/玩家节奏1!DU$5,武器升级消耗!O:O,1)),0)</f>
        <v>20</v>
      </c>
      <c r="DZ130" s="90">
        <f>_xlfn.IFNA(INDEX(武器升级消耗!$H:$H,MATCH(玩家节奏1!DV130/玩家节奏1!DV$5,武器升级消耗!P:P,1)),0)</f>
        <v>11</v>
      </c>
      <c r="EA130" s="90">
        <f ca="1">_xlfn.IFNA(INDEX(武器升级消耗!$Q:$Q,MATCH(玩家节奏1!DW130,武器升级消耗!$H:$H,0))*2*EA$4,0)</f>
        <v>4.4400000000000004</v>
      </c>
      <c r="EB130" s="90">
        <f ca="1">_xlfn.IFNA(INDEX(武器升级消耗!$Q:$Q,MATCH(玩家节奏1!DX130,武器升级消耗!$H:$H,0))*2*EB$4,0)</f>
        <v>5.0999999999999996</v>
      </c>
      <c r="EC130" s="90">
        <f ca="1">_xlfn.IFNA(INDEX(武器升级消耗!$Q:$Q,MATCH(玩家节奏1!DY130,武器升级消耗!$H:$H,0))*2*EC$4,1)</f>
        <v>5.28</v>
      </c>
      <c r="ED130" s="90">
        <f>_xlfn.IFNA(INDEX(武器升级消耗!$Q:$Q,MATCH(玩家节奏1!DZ130,武器升级消耗!$H:$H,0))*2*ED$4,0)</f>
        <v>4.5</v>
      </c>
    </row>
    <row r="131" spans="1:134" x14ac:dyDescent="0.25">
      <c r="A131" s="123">
        <v>125</v>
      </c>
      <c r="B131" s="123">
        <f>INDEX(关卡对比!$Y:$Y,MATCH(关卡对比!Z131,关卡对比!$AA:$AA,1))</f>
        <v>76</v>
      </c>
      <c r="C131" s="124">
        <f>INDEX(关卡对比!$Y:$Y,MATCH(关卡对比!Z131,关卡对比!$AB:$AB,1))</f>
        <v>60</v>
      </c>
      <c r="D131" s="125">
        <f t="shared" si="157"/>
        <v>752.5</v>
      </c>
      <c r="E131" s="125">
        <v>3</v>
      </c>
      <c r="F131" s="128">
        <v>5</v>
      </c>
      <c r="G131" s="90">
        <v>1</v>
      </c>
      <c r="H131" s="90">
        <v>1</v>
      </c>
      <c r="J131" s="128">
        <v>125</v>
      </c>
      <c r="K131" s="90">
        <f t="shared" si="152"/>
        <v>5</v>
      </c>
      <c r="L131" s="90">
        <f t="shared" si="153"/>
        <v>1</v>
      </c>
      <c r="M131" s="90">
        <f t="shared" si="154"/>
        <v>1</v>
      </c>
      <c r="N131" s="140">
        <f>INDEX($A:$A,MATCH(SUM($K$7:K131),$D:$D,1))</f>
        <v>106</v>
      </c>
      <c r="O131" s="140">
        <v>0</v>
      </c>
      <c r="P131" s="141">
        <v>0</v>
      </c>
      <c r="Q131" s="126">
        <f>_xlfn.MAXIFS(关卡产出!X:X,关卡产出!$A:$A,玩家节奏1!$N$6,关卡产出!$B:$B,玩家节奏1!$N131)+_xlfn.MAXIFS(关卡产出!X:X,关卡产出!$A:$A,玩家节奏1!$O$6,关卡产出!$B:$B,玩家节奏1!$O131)+_xlfn.MAXIFS(关卡产出!X:X,关卡产出!$A:$A,玩家节奏1!$P$6,关卡产出!$B:$B,玩家节奏1!$P131)</f>
        <v>19700</v>
      </c>
      <c r="R131" s="90">
        <f>_xlfn.MAXIFS(关卡产出!Y:Y,关卡产出!$A:$A,玩家节奏1!$N$6,关卡产出!$B:$B,玩家节奏1!$N131)+_xlfn.MAXIFS(关卡产出!Y:Y,关卡产出!$A:$A,玩家节奏1!$O$6,关卡产出!$B:$B,玩家节奏1!$O131)+_xlfn.MAXIFS(关卡产出!Y:Y,关卡产出!$A:$A,玩家节奏1!$P$6,关卡产出!$B:$B,玩家节奏1!$P131)</f>
        <v>3168800</v>
      </c>
      <c r="S131" s="90">
        <f>_xlfn.MAXIFS(关卡产出!Z:Z,关卡产出!$A:$A,玩家节奏1!$N$6,关卡产出!$B:$B,玩家节奏1!$N131)+_xlfn.MAXIFS(关卡产出!Z:Z,关卡产出!$A:$A,玩家节奏1!$O$6,关卡产出!$B:$B,玩家节奏1!$O131)+_xlfn.MAXIFS(关卡产出!Z:Z,关卡产出!$A:$A,玩家节奏1!$P$6,关卡产出!$B:$B,玩家节奏1!$P131)</f>
        <v>21902</v>
      </c>
      <c r="T131" s="90">
        <f>_xlfn.MAXIFS(关卡产出!AA:AA,关卡产出!$A:$A,玩家节奏1!$N$6,关卡产出!$B:$B,玩家节奏1!$N131)+_xlfn.MAXIFS(关卡产出!AA:AA,关卡产出!$A:$A,玩家节奏1!$O$6,关卡产出!$B:$B,玩家节奏1!$O131)+_xlfn.MAXIFS(关卡产出!AA:AA,关卡产出!$A:$A,玩家节奏1!$P$6,关卡产出!$B:$B,玩家节奏1!$P131)</f>
        <v>10952</v>
      </c>
      <c r="U131" s="90">
        <f>_xlfn.MAXIFS(关卡产出!AB:AB,关卡产出!$A:$A,玩家节奏1!$N$6,关卡产出!$B:$B,玩家节奏1!$N131)+_xlfn.MAXIFS(关卡产出!AB:AB,关卡产出!$A:$A,玩家节奏1!$O$6,关卡产出!$B:$B,玩家节奏1!$O131)+_xlfn.MAXIFS(关卡产出!AB:AB,关卡产出!$A:$A,玩家节奏1!$P$6,关卡产出!$B:$B,玩家节奏1!$P131)</f>
        <v>5154</v>
      </c>
      <c r="V131" s="130">
        <f>_xlfn.MAXIFS(关卡产出!AC:AC,关卡产出!$A:$A,玩家节奏1!$N$6,关卡产出!$B:$B,玩家节奏1!$N131)+_xlfn.MAXIFS(关卡产出!AC:AC,关卡产出!$A:$A,玩家节奏1!$O$6,关卡产出!$B:$B,玩家节奏1!$O131)+_xlfn.MAXIFS(关卡产出!AC:AC,关卡产出!$A:$A,玩家节奏1!$P$6,关卡产出!$B:$B,玩家节奏1!$P131)</f>
        <v>636</v>
      </c>
      <c r="W131" s="126">
        <f>INDEX(关卡产出!C$8:C$207,MATCH(玩家节奏1!$N131,关卡产出!$B$8:$B$207,0))*$K131</f>
        <v>415</v>
      </c>
      <c r="X131" s="126">
        <f>INDEX(关卡产出!D$8:D$207,MATCH(玩家节奏1!$N131,关卡产出!$B$8:$B$207,0))*$K131</f>
        <v>205</v>
      </c>
      <c r="Y131" s="126">
        <f>INDEX(关卡产出!E$8:E$207,MATCH(玩家节奏1!$N131,关卡产出!$B$8:$B$207,0))*$K131</f>
        <v>100</v>
      </c>
      <c r="Z131" s="144">
        <f>INDEX(关卡产出!F$8:F$207,MATCH(玩家节奏1!$N131,关卡产出!$B$8:$B$207,0))*$K131</f>
        <v>5550</v>
      </c>
      <c r="AA131" s="126">
        <f>SUM(W$7:W131)</f>
        <v>26716</v>
      </c>
      <c r="AB131" s="126">
        <f>SUM(X$7:X131)</f>
        <v>13221</v>
      </c>
      <c r="AC131" s="126">
        <f>SUM(Y$7:Y131)</f>
        <v>6247</v>
      </c>
      <c r="AD131" s="126">
        <f>SUM(Z$7:Z131)</f>
        <v>381410</v>
      </c>
      <c r="AE131" s="126">
        <f>INDEX(图鉴!AQ:AQ,MATCH($N131,图鉴!$S:$S,0))*8</f>
        <v>168</v>
      </c>
      <c r="AF131" s="90">
        <f>INDEX(图鉴!AR:AR,MATCH($N131,图鉴!$S:$S,0))*8</f>
        <v>120</v>
      </c>
      <c r="AG131" s="90">
        <f>INDEX(图鉴!AS:AS,MATCH($N131,图鉴!$S:$S,0))*8</f>
        <v>48</v>
      </c>
      <c r="AH131" s="129">
        <f ca="1">INDEX(图鉴!AT:AT,MATCH($N131,图鉴!$S:$S,0))*8</f>
        <v>10000</v>
      </c>
      <c r="AI131" s="128">
        <f>SUM($AE$7:AE131)</f>
        <v>18576</v>
      </c>
      <c r="AJ131" s="90">
        <f>SUM(AF$7:AF131)</f>
        <v>10720</v>
      </c>
      <c r="AK131" s="90">
        <f>SUM(AG$7:AG131)</f>
        <v>3608</v>
      </c>
      <c r="AL131" s="130">
        <f ca="1">SUM(AH$7:AH131)</f>
        <v>812640</v>
      </c>
      <c r="AM131" s="133">
        <f>IF(M131=0,0,INDEX(关卡产出!$AU$11:$AU$15,MATCH(玩家节奏1!N131,关卡产出!$AW$11:$AW$15,1))*M131)</f>
        <v>12200</v>
      </c>
      <c r="AN131" s="126">
        <f>IF(L131=0,0,$L131*关卡产出!AU$21)</f>
        <v>1000</v>
      </c>
      <c r="AO131" s="90">
        <f>IF(M131=0,0,$L131*关卡产出!AV$21)</f>
        <v>50</v>
      </c>
      <c r="AP131" s="129">
        <f>IF(N131=0,0,$L131*关卡产出!AW$21)</f>
        <v>1</v>
      </c>
      <c r="AQ131" s="138">
        <f>SUM(AN$7:AN131)</f>
        <v>108000</v>
      </c>
      <c r="AR131" s="126">
        <f>SUM(AO$7:AO131)</f>
        <v>5400</v>
      </c>
      <c r="AS131" s="129">
        <f>SUM(AP$7:AP131)</f>
        <v>108</v>
      </c>
      <c r="AT131" s="128">
        <v>500</v>
      </c>
      <c r="AU131" s="129">
        <v>100</v>
      </c>
      <c r="AV131" s="128">
        <f>SUM(AT$7:AT131)</f>
        <v>62500</v>
      </c>
      <c r="AW131" s="90">
        <f>SUM(AU$7:AU131)</f>
        <v>12500</v>
      </c>
      <c r="AY131" s="128">
        <f t="shared" si="91"/>
        <v>19700</v>
      </c>
      <c r="AZ131" s="90">
        <f t="shared" si="92"/>
        <v>5400</v>
      </c>
      <c r="BA131" s="90">
        <f t="shared" si="93"/>
        <v>12500</v>
      </c>
      <c r="BB131" s="90">
        <f t="shared" ca="1" si="143"/>
        <v>7700</v>
      </c>
      <c r="BC131" s="90">
        <f t="shared" ca="1" si="144"/>
        <v>45300</v>
      </c>
      <c r="BD131" s="90"/>
      <c r="BE131" s="90">
        <f t="shared" ca="1" si="94"/>
        <v>45300</v>
      </c>
      <c r="BF131" s="142">
        <f t="shared" ca="1" si="95"/>
        <v>0.43487858719646799</v>
      </c>
      <c r="BG131" s="142">
        <f t="shared" ca="1" si="96"/>
        <v>0.11920529801324503</v>
      </c>
      <c r="BH131" s="142">
        <f t="shared" ca="1" si="155"/>
        <v>0.27593818984547464</v>
      </c>
      <c r="BI131" s="142">
        <f t="shared" ca="1" si="156"/>
        <v>0.16997792494481237</v>
      </c>
      <c r="BJ131" s="143"/>
      <c r="BK131" s="128">
        <f ca="1">INDEX(商城宝箱!$L:$L,MATCH(BC131,商城宝箱!$N:$N,1))</f>
        <v>9</v>
      </c>
      <c r="BL131" s="90">
        <f ca="1">_xlfn.IFNA(INDEX(商城宝箱!T:T,MATCH(玩家节奏1!$BK131,商城宝箱!$L:$L,0)),0)+($BC131-INDEX(商城宝箱!$N:$N,MATCH(玩家节奏1!$BK131,商城宝箱!$L:$L,0)))/$BK$5*INDEX(商城宝箱!E$23:E$42,MATCH(玩家节奏1!$BK131+1,商城宝箱!$C$23:$C$42,0))</f>
        <v>113250</v>
      </c>
      <c r="BM131" s="90">
        <f ca="1">_xlfn.IFNA(INDEX(商城宝箱!U:U,MATCH(玩家节奏1!$BK131,商城宝箱!$L:$L,0)),0)+($BC131-INDEX(商城宝箱!$N:$N,MATCH(玩家节奏1!$BK131,商城宝箱!$L:$L,0)))/$BK$5*INDEX(商城宝箱!F$23:F$42,MATCH(玩家节奏1!$BK131+1,商城宝箱!$C$23:$C$42,0))</f>
        <v>65802.5</v>
      </c>
      <c r="BN131" s="90">
        <f ca="1">_xlfn.IFNA(INDEX(商城宝箱!V:V,MATCH(玩家节奏1!$BK131,商城宝箱!$L:$L,0)),0)+($BC131-INDEX(商城宝箱!$N:$N,MATCH(玩家节奏1!$BK131,商城宝箱!$L:$L,0)))/$BK$5*INDEX(商城宝箱!G$23:G$42,MATCH(玩家节奏1!$BK131+1,商城宝箱!$C$23:$C$42,0))</f>
        <v>43387</v>
      </c>
      <c r="BO131" s="90">
        <f ca="1">_xlfn.IFNA(INDEX(商城宝箱!W:W,MATCH(玩家节奏1!$BK131,商城宝箱!$L:$L,0)),0)+($BC131-INDEX(商城宝箱!$N:$N,MATCH(玩家节奏1!$BK131,商城宝箱!$L:$L,0)))/$BK$5*INDEX(商城宝箱!H$23:H$42,MATCH(玩家节奏1!$BK131+1,商城宝箱!$C$23:$C$42,0))</f>
        <v>5471.5</v>
      </c>
      <c r="BQ131" s="128">
        <f t="shared" si="146"/>
        <v>3168800</v>
      </c>
      <c r="BR131" s="90">
        <f t="shared" si="147"/>
        <v>381410</v>
      </c>
      <c r="BS131" s="90">
        <f t="shared" ca="1" si="148"/>
        <v>812640</v>
      </c>
      <c r="BT131" s="90">
        <f t="shared" si="149"/>
        <v>12200</v>
      </c>
      <c r="BU131" s="90">
        <f t="shared" si="150"/>
        <v>108000</v>
      </c>
      <c r="BV131" s="90">
        <f t="shared" si="151"/>
        <v>62500</v>
      </c>
      <c r="BW131" s="90">
        <f t="shared" ca="1" si="99"/>
        <v>113250</v>
      </c>
      <c r="BX131" s="90">
        <f t="shared" ca="1" si="100"/>
        <v>4658800</v>
      </c>
      <c r="BY131" s="142">
        <f t="shared" ca="1" si="101"/>
        <v>0.68017515239975956</v>
      </c>
      <c r="BZ131" s="142">
        <f t="shared" ca="1" si="102"/>
        <v>8.1868721559199789E-2</v>
      </c>
      <c r="CA131" s="142">
        <f t="shared" ca="1" si="103"/>
        <v>0.17443118399587876</v>
      </c>
      <c r="CB131" s="142">
        <f t="shared" ca="1" si="104"/>
        <v>2.6187000944449213E-3</v>
      </c>
      <c r="CC131" s="142">
        <f t="shared" ca="1" si="105"/>
        <v>2.3181935262299305E-2</v>
      </c>
      <c r="CD131" s="142">
        <f t="shared" ca="1" si="106"/>
        <v>1.3415471795312097E-2</v>
      </c>
      <c r="CE131" s="142">
        <f t="shared" ca="1" si="107"/>
        <v>2.4308834893105521E-2</v>
      </c>
      <c r="CG131" s="128">
        <f t="shared" si="108"/>
        <v>106</v>
      </c>
      <c r="CH131" s="90">
        <f ca="1">INDEX(角色升级!$A:$A,MATCH(玩家节奏1!$BX131,角色升级!$J:$J,1))</f>
        <v>562</v>
      </c>
      <c r="CI131" s="90">
        <f ca="1">INDEX(角色升级!$O:$O,MATCH(玩家节奏1!$BX131,角色升级!$J:$J,1))</f>
        <v>24518.791095</v>
      </c>
      <c r="CJ131" s="90">
        <f>INDEX(关卡对比!$J:$J,MATCH(玩家节奏1!N131,关卡对比!$A:$A,0))</f>
        <v>39200</v>
      </c>
      <c r="CK131" s="147">
        <f t="shared" ca="1" si="109"/>
        <v>1.5987737669494591</v>
      </c>
      <c r="CL131" s="128">
        <f ca="1">INDEX(角色升级!$P:$P,MATCH(玩家节奏1!$CH131,角色升级!$A:$A,0))</f>
        <v>7700</v>
      </c>
      <c r="CM131" s="90">
        <f ca="1">INDEX(角色升级!Q:Q,MATCH(玩家节奏1!$CH131,角色升级!$A:$A,0))</f>
        <v>0.9</v>
      </c>
      <c r="CO131" s="128">
        <f t="shared" si="110"/>
        <v>21902</v>
      </c>
      <c r="CP131" s="90">
        <f t="shared" si="111"/>
        <v>26716</v>
      </c>
      <c r="CQ131" s="90">
        <f t="shared" si="112"/>
        <v>18576</v>
      </c>
      <c r="CR131" s="90">
        <f t="shared" ca="1" si="113"/>
        <v>65802.5</v>
      </c>
      <c r="CS131" s="90">
        <f t="shared" ca="1" si="114"/>
        <v>132996.5</v>
      </c>
      <c r="CT131" s="142">
        <f t="shared" ca="1" si="115"/>
        <v>0.1646810254405191</v>
      </c>
      <c r="CU131" s="142">
        <f t="shared" ca="1" si="116"/>
        <v>0.2008774667002515</v>
      </c>
      <c r="CV131" s="142">
        <f t="shared" ca="1" si="117"/>
        <v>0.13967284853360803</v>
      </c>
      <c r="CW131" s="142">
        <f t="shared" ca="1" si="118"/>
        <v>0.49476865932562136</v>
      </c>
      <c r="CY131" s="128">
        <f t="shared" si="119"/>
        <v>10952</v>
      </c>
      <c r="CZ131" s="90">
        <f t="shared" si="120"/>
        <v>13221</v>
      </c>
      <c r="DA131" s="90">
        <f t="shared" si="121"/>
        <v>10720</v>
      </c>
      <c r="DB131" s="90">
        <f t="shared" ca="1" si="122"/>
        <v>43387</v>
      </c>
      <c r="DC131" s="90">
        <f t="shared" ca="1" si="123"/>
        <v>78280</v>
      </c>
      <c r="DD131" s="142">
        <f t="shared" ca="1" si="124"/>
        <v>0.13990802248339296</v>
      </c>
      <c r="DE131" s="142">
        <f t="shared" ca="1" si="125"/>
        <v>0.16889371486969851</v>
      </c>
      <c r="DF131" s="142">
        <f t="shared" ca="1" si="126"/>
        <v>0.13694430250383241</v>
      </c>
      <c r="DG131" s="142">
        <f t="shared" ca="1" si="127"/>
        <v>0.55425396014307615</v>
      </c>
      <c r="DI131" s="128">
        <f t="shared" si="128"/>
        <v>5154</v>
      </c>
      <c r="DJ131" s="90">
        <f t="shared" si="129"/>
        <v>6247</v>
      </c>
      <c r="DK131" s="90">
        <f t="shared" si="130"/>
        <v>3608</v>
      </c>
      <c r="DL131" s="90">
        <f t="shared" ca="1" si="131"/>
        <v>5471.5</v>
      </c>
      <c r="DM131" s="90">
        <f t="shared" ca="1" si="132"/>
        <v>20480.5</v>
      </c>
      <c r="DN131" s="142">
        <f t="shared" ca="1" si="133"/>
        <v>0.25165401235321405</v>
      </c>
      <c r="DO131" s="142">
        <f t="shared" ca="1" si="134"/>
        <v>0.30502185005248894</v>
      </c>
      <c r="DP131" s="142">
        <f t="shared" ca="1" si="135"/>
        <v>0.17616757403383707</v>
      </c>
      <c r="DQ131" s="142">
        <f t="shared" ca="1" si="136"/>
        <v>0.26715656356045997</v>
      </c>
      <c r="DS131" s="128">
        <f t="shared" ca="1" si="137"/>
        <v>132996.5</v>
      </c>
      <c r="DT131" s="90">
        <f t="shared" ca="1" si="138"/>
        <v>78280</v>
      </c>
      <c r="DU131" s="90">
        <f t="shared" ca="1" si="139"/>
        <v>20480.5</v>
      </c>
      <c r="DV131" s="90">
        <f t="shared" si="140"/>
        <v>108</v>
      </c>
      <c r="DW131" s="90">
        <f ca="1">_xlfn.IFNA(INDEX(武器升级消耗!$H:$H,MATCH(玩家节奏1!DS131/玩家节奏1!DS$5,武器升级消耗!M:M,1)),0)</f>
        <v>33</v>
      </c>
      <c r="DX131" s="90">
        <f ca="1">_xlfn.IFNA(INDEX(武器升级消耗!$H:$H,MATCH(玩家节奏1!DT131/玩家节奏1!DT$5,武器升级消耗!N:N,1)),0)</f>
        <v>30</v>
      </c>
      <c r="DY131" s="90">
        <f ca="1">_xlfn.IFNA(INDEX(武器升级消耗!$H:$H,MATCH(玩家节奏1!DU131/玩家节奏1!DU$5,武器升级消耗!O:O,1)),0)</f>
        <v>20</v>
      </c>
      <c r="DZ131" s="90">
        <f>_xlfn.IFNA(INDEX(武器升级消耗!$H:$H,MATCH(玩家节奏1!DV131/玩家节奏1!DV$5,武器升级消耗!P:P,1)),0)</f>
        <v>11</v>
      </c>
      <c r="EA131" s="90">
        <f ca="1">_xlfn.IFNA(INDEX(武器升级消耗!$Q:$Q,MATCH(玩家节奏1!DW131,武器升级消耗!$H:$H,0))*2*EA$4,0)</f>
        <v>4.4400000000000004</v>
      </c>
      <c r="EB131" s="90">
        <f ca="1">_xlfn.IFNA(INDEX(武器升级消耗!$Q:$Q,MATCH(玩家节奏1!DX131,武器升级消耗!$H:$H,0))*2*EB$4,0)</f>
        <v>5.0999999999999996</v>
      </c>
      <c r="EC131" s="90">
        <f ca="1">_xlfn.IFNA(INDEX(武器升级消耗!$Q:$Q,MATCH(玩家节奏1!DY131,武器升级消耗!$H:$H,0))*2*EC$4,1)</f>
        <v>5.28</v>
      </c>
      <c r="ED131" s="90">
        <f>_xlfn.IFNA(INDEX(武器升级消耗!$Q:$Q,MATCH(玩家节奏1!DZ131,武器升级消耗!$H:$H,0))*2*ED$4,0)</f>
        <v>4.5</v>
      </c>
    </row>
    <row r="132" spans="1:134" x14ac:dyDescent="0.25">
      <c r="A132" s="123">
        <v>126</v>
      </c>
      <c r="B132" s="123">
        <f>INDEX(关卡对比!$Y:$Y,MATCH(关卡对比!Z132,关卡对比!$AA:$AA,1))</f>
        <v>76</v>
      </c>
      <c r="C132" s="124">
        <f>INDEX(关卡对比!$Y:$Y,MATCH(关卡对比!Z132,关卡对比!$AB:$AB,1))</f>
        <v>60</v>
      </c>
      <c r="D132" s="125">
        <f t="shared" si="157"/>
        <v>755.5</v>
      </c>
      <c r="E132" s="125">
        <v>3</v>
      </c>
      <c r="F132" s="128">
        <v>5</v>
      </c>
      <c r="G132" s="90">
        <v>1</v>
      </c>
      <c r="H132" s="90">
        <v>1</v>
      </c>
      <c r="J132" s="128">
        <v>126</v>
      </c>
      <c r="K132" s="90">
        <f t="shared" si="152"/>
        <v>5</v>
      </c>
      <c r="L132" s="90">
        <f t="shared" si="153"/>
        <v>1</v>
      </c>
      <c r="M132" s="90">
        <f t="shared" si="154"/>
        <v>1</v>
      </c>
      <c r="N132" s="140">
        <f>INDEX($A:$A,MATCH(SUM($K$7:K132),$D:$D,1))</f>
        <v>107</v>
      </c>
      <c r="O132" s="140">
        <v>0</v>
      </c>
      <c r="P132" s="141">
        <v>0</v>
      </c>
      <c r="Q132" s="126">
        <f>_xlfn.MAXIFS(关卡产出!X:X,关卡产出!$A:$A,玩家节奏1!$N$6,关卡产出!$B:$B,玩家节奏1!$N132)+_xlfn.MAXIFS(关卡产出!X:X,关卡产出!$A:$A,玩家节奏1!$O$6,关卡产出!$B:$B,玩家节奏1!$O132)+_xlfn.MAXIFS(关卡产出!X:X,关卡产出!$A:$A,玩家节奏1!$P$6,关卡产出!$B:$B,玩家节奏1!$P132)</f>
        <v>19900</v>
      </c>
      <c r="R132" s="90">
        <f>_xlfn.MAXIFS(关卡产出!Y:Y,关卡产出!$A:$A,玩家节奏1!$N$6,关卡产出!$B:$B,玩家节奏1!$N132)+_xlfn.MAXIFS(关卡产出!Y:Y,关卡产出!$A:$A,玩家节奏1!$O$6,关卡产出!$B:$B,玩家节奏1!$O132)+_xlfn.MAXIFS(关卡产出!Y:Y,关卡产出!$A:$A,玩家节奏1!$P$6,关卡产出!$B:$B,玩家节奏1!$P132)</f>
        <v>3230700</v>
      </c>
      <c r="S132" s="90">
        <f>_xlfn.MAXIFS(关卡产出!Z:Z,关卡产出!$A:$A,玩家节奏1!$N$6,关卡产出!$B:$B,玩家节奏1!$N132)+_xlfn.MAXIFS(关卡产出!Z:Z,关卡产出!$A:$A,玩家节奏1!$O$6,关卡产出!$B:$B,玩家节奏1!$O132)+_xlfn.MAXIFS(关卡产出!Z:Z,关卡产出!$A:$A,玩家节奏1!$P$6,关卡产出!$B:$B,玩家节奏1!$P132)</f>
        <v>22322</v>
      </c>
      <c r="T132" s="90">
        <f>_xlfn.MAXIFS(关卡产出!AA:AA,关卡产出!$A:$A,玩家节奏1!$N$6,关卡产出!$B:$B,玩家节奏1!$N132)+_xlfn.MAXIFS(关卡产出!AA:AA,关卡产出!$A:$A,玩家节奏1!$O$6,关卡产出!$B:$B,玩家节奏1!$O132)+_xlfn.MAXIFS(关卡产出!AA:AA,关卡产出!$A:$A,玩家节奏1!$P$6,关卡产出!$B:$B,玩家节奏1!$P132)</f>
        <v>11162</v>
      </c>
      <c r="U132" s="90">
        <f>_xlfn.MAXIFS(关卡产出!AB:AB,关卡产出!$A:$A,玩家节奏1!$N$6,关卡产出!$B:$B,玩家节奏1!$N132)+_xlfn.MAXIFS(关卡产出!AB:AB,关卡产出!$A:$A,玩家节奏1!$O$6,关卡产出!$B:$B,玩家节奏1!$O132)+_xlfn.MAXIFS(关卡产出!AB:AB,关卡产出!$A:$A,玩家节奏1!$P$6,关卡产出!$B:$B,玩家节奏1!$P132)</f>
        <v>5256</v>
      </c>
      <c r="V132" s="130">
        <f>_xlfn.MAXIFS(关卡产出!AC:AC,关卡产出!$A:$A,玩家节奏1!$N$6,关卡产出!$B:$B,玩家节奏1!$N132)+_xlfn.MAXIFS(关卡产出!AC:AC,关卡产出!$A:$A,玩家节奏1!$O$6,关卡产出!$B:$B,玩家节奏1!$O132)+_xlfn.MAXIFS(关卡产出!AC:AC,关卡产出!$A:$A,玩家节奏1!$P$6,关卡产出!$B:$B,玩家节奏1!$P132)</f>
        <v>642</v>
      </c>
      <c r="W132" s="126">
        <f>INDEX(关卡产出!C$8:C$207,MATCH(玩家节奏1!$N132,关卡产出!$B$8:$B$207,0))*$K132</f>
        <v>420</v>
      </c>
      <c r="X132" s="126">
        <f>INDEX(关卡产出!D$8:D$207,MATCH(玩家节奏1!$N132,关卡产出!$B$8:$B$207,0))*$K132</f>
        <v>210</v>
      </c>
      <c r="Y132" s="126">
        <f>INDEX(关卡产出!E$8:E$207,MATCH(玩家节奏1!$N132,关卡产出!$B$8:$B$207,0))*$K132</f>
        <v>100</v>
      </c>
      <c r="Z132" s="144">
        <f>INDEX(关卡产出!F$8:F$207,MATCH(玩家节奏1!$N132,关卡产出!$B$8:$B$207,0))*$K132</f>
        <v>5650</v>
      </c>
      <c r="AA132" s="126">
        <f>SUM(W$7:W132)</f>
        <v>27136</v>
      </c>
      <c r="AB132" s="126">
        <f>SUM(X$7:X132)</f>
        <v>13431</v>
      </c>
      <c r="AC132" s="126">
        <f>SUM(Y$7:Y132)</f>
        <v>6347</v>
      </c>
      <c r="AD132" s="126">
        <f>SUM(Z$7:Z132)</f>
        <v>387060</v>
      </c>
      <c r="AE132" s="126">
        <f>INDEX(图鉴!AQ:AQ,MATCH($N132,图鉴!$S:$S,0))*8</f>
        <v>168</v>
      </c>
      <c r="AF132" s="90">
        <f>INDEX(图鉴!AR:AR,MATCH($N132,图鉴!$S:$S,0))*8</f>
        <v>120</v>
      </c>
      <c r="AG132" s="90">
        <f>INDEX(图鉴!AS:AS,MATCH($N132,图鉴!$S:$S,0))*8</f>
        <v>48</v>
      </c>
      <c r="AH132" s="129">
        <f ca="1">INDEX(图鉴!AT:AT,MATCH($N132,图鉴!$S:$S,0))*8</f>
        <v>10000</v>
      </c>
      <c r="AI132" s="128">
        <f>SUM($AE$7:AE132)</f>
        <v>18744</v>
      </c>
      <c r="AJ132" s="90">
        <f>SUM(AF$7:AF132)</f>
        <v>10840</v>
      </c>
      <c r="AK132" s="90">
        <f>SUM(AG$7:AG132)</f>
        <v>3656</v>
      </c>
      <c r="AL132" s="130">
        <f ca="1">SUM(AH$7:AH132)</f>
        <v>822640</v>
      </c>
      <c r="AM132" s="133">
        <f>IF(M132=0,0,INDEX(关卡产出!$AU$11:$AU$15,MATCH(玩家节奏1!N132,关卡产出!$AW$11:$AW$15,1))*M132)</f>
        <v>12200</v>
      </c>
      <c r="AN132" s="126">
        <f>IF(L132=0,0,$L132*关卡产出!AU$21)</f>
        <v>1000</v>
      </c>
      <c r="AO132" s="90">
        <f>IF(M132=0,0,$L132*关卡产出!AV$21)</f>
        <v>50</v>
      </c>
      <c r="AP132" s="129">
        <f>IF(N132=0,0,$L132*关卡产出!AW$21)</f>
        <v>1</v>
      </c>
      <c r="AQ132" s="138">
        <f>SUM(AN$7:AN132)</f>
        <v>109000</v>
      </c>
      <c r="AR132" s="126">
        <f>SUM(AO$7:AO132)</f>
        <v>5450</v>
      </c>
      <c r="AS132" s="129">
        <f>SUM(AP$7:AP132)</f>
        <v>109</v>
      </c>
      <c r="AT132" s="128">
        <v>500</v>
      </c>
      <c r="AU132" s="129">
        <v>100</v>
      </c>
      <c r="AV132" s="128">
        <f>SUM(AT$7:AT132)</f>
        <v>63000</v>
      </c>
      <c r="AW132" s="90">
        <f>SUM(AU$7:AU132)</f>
        <v>12600</v>
      </c>
      <c r="AY132" s="128">
        <f t="shared" si="91"/>
        <v>19900</v>
      </c>
      <c r="AZ132" s="90">
        <f t="shared" si="92"/>
        <v>5450</v>
      </c>
      <c r="BA132" s="90">
        <f t="shared" si="93"/>
        <v>12600</v>
      </c>
      <c r="BB132" s="90">
        <f t="shared" ca="1" si="143"/>
        <v>7700</v>
      </c>
      <c r="BC132" s="90">
        <f t="shared" ca="1" si="144"/>
        <v>45650</v>
      </c>
      <c r="BD132" s="90"/>
      <c r="BE132" s="90">
        <f t="shared" ca="1" si="94"/>
        <v>45650</v>
      </c>
      <c r="BF132" s="142">
        <f t="shared" ca="1" si="95"/>
        <v>0.43592552026286968</v>
      </c>
      <c r="BG132" s="142">
        <f t="shared" ca="1" si="96"/>
        <v>0.11938663745892661</v>
      </c>
      <c r="BH132" s="142">
        <f t="shared" ca="1" si="155"/>
        <v>0.27601314348302303</v>
      </c>
      <c r="BI132" s="142">
        <f t="shared" ca="1" si="156"/>
        <v>0.16867469879518071</v>
      </c>
      <c r="BJ132" s="143"/>
      <c r="BK132" s="128">
        <f ca="1">INDEX(商城宝箱!$L:$L,MATCH(BC132,商城宝箱!$N:$N,1))</f>
        <v>9</v>
      </c>
      <c r="BL132" s="90">
        <f ca="1">_xlfn.IFNA(INDEX(商城宝箱!T:T,MATCH(玩家节奏1!$BK132,商城宝箱!$L:$L,0)),0)+($BC132-INDEX(商城宝箱!$N:$N,MATCH(玩家节奏1!$BK132,商城宝箱!$L:$L,0)))/$BK$5*INDEX(商城宝箱!E$23:E$42,MATCH(玩家节奏1!$BK132+1,商城宝箱!$C$23:$C$42,0))</f>
        <v>114125</v>
      </c>
      <c r="BM132" s="90">
        <f ca="1">_xlfn.IFNA(INDEX(商城宝箱!U:U,MATCH(玩家节奏1!$BK132,商城宝箱!$L:$L,0)),0)+($BC132-INDEX(商城宝箱!$N:$N,MATCH(玩家节奏1!$BK132,商城宝箱!$L:$L,0)))/$BK$5*INDEX(商城宝箱!F$23:F$42,MATCH(玩家节奏1!$BK132+1,商城宝箱!$C$23:$C$42,0))</f>
        <v>66747.5</v>
      </c>
      <c r="BN132" s="90">
        <f ca="1">_xlfn.IFNA(INDEX(商城宝箱!V:V,MATCH(玩家节奏1!$BK132,商城宝箱!$L:$L,0)),0)+($BC132-INDEX(商城宝箱!$N:$N,MATCH(玩家节奏1!$BK132,商城宝箱!$L:$L,0)))/$BK$5*INDEX(商城宝箱!G$23:G$42,MATCH(玩家节奏1!$BK132+1,商城宝箱!$C$23:$C$42,0))</f>
        <v>43824.5</v>
      </c>
      <c r="BO132" s="90">
        <f ca="1">_xlfn.IFNA(INDEX(商城宝箱!W:W,MATCH(玩家节奏1!$BK132,商城宝箱!$L:$L,0)),0)+($BC132-INDEX(商城宝箱!$N:$N,MATCH(玩家节奏1!$BK132,商城宝箱!$L:$L,0)))/$BK$5*INDEX(商城宝箱!H$23:H$42,MATCH(玩家节奏1!$BK132+1,商城宝箱!$C$23:$C$42,0))</f>
        <v>5541.5</v>
      </c>
      <c r="BQ132" s="128">
        <f t="shared" si="146"/>
        <v>3230700</v>
      </c>
      <c r="BR132" s="90">
        <f t="shared" si="147"/>
        <v>387060</v>
      </c>
      <c r="BS132" s="90">
        <f t="shared" ca="1" si="148"/>
        <v>822640</v>
      </c>
      <c r="BT132" s="90">
        <f t="shared" si="149"/>
        <v>12200</v>
      </c>
      <c r="BU132" s="90">
        <f t="shared" si="150"/>
        <v>109000</v>
      </c>
      <c r="BV132" s="90">
        <f t="shared" si="151"/>
        <v>63000</v>
      </c>
      <c r="BW132" s="90">
        <f t="shared" ca="1" si="99"/>
        <v>114125</v>
      </c>
      <c r="BX132" s="90">
        <f t="shared" ca="1" si="100"/>
        <v>4738725</v>
      </c>
      <c r="BY132" s="142">
        <f t="shared" ca="1" si="101"/>
        <v>0.68176566481490275</v>
      </c>
      <c r="BZ132" s="142">
        <f t="shared" ca="1" si="102"/>
        <v>8.1680198787648581E-2</v>
      </c>
      <c r="CA132" s="142">
        <f t="shared" ca="1" si="103"/>
        <v>0.17359943866757407</v>
      </c>
      <c r="CB132" s="142">
        <f t="shared" ca="1" si="104"/>
        <v>2.5745321790143975E-3</v>
      </c>
      <c r="CC132" s="142">
        <f t="shared" ca="1" si="105"/>
        <v>2.3001967828899125E-2</v>
      </c>
      <c r="CD132" s="142">
        <f t="shared" ca="1" si="106"/>
        <v>1.3294715350648117E-2</v>
      </c>
      <c r="CE132" s="142">
        <f t="shared" ca="1" si="107"/>
        <v>2.4083482371312959E-2</v>
      </c>
      <c r="CG132" s="128">
        <f t="shared" si="108"/>
        <v>107</v>
      </c>
      <c r="CH132" s="90">
        <f ca="1">INDEX(角色升级!$A:$A,MATCH(玩家节奏1!$BX132,角色升级!$J:$J,1))</f>
        <v>566</v>
      </c>
      <c r="CI132" s="90">
        <f ca="1">INDEX(角色升级!$O:$O,MATCH(玩家节奏1!$BX132,角色升级!$J:$J,1))</f>
        <v>24563.759075000002</v>
      </c>
      <c r="CJ132" s="90">
        <f>INDEX(关卡对比!$J:$J,MATCH(玩家节奏1!N132,关卡对比!$A:$A,0))</f>
        <v>39700</v>
      </c>
      <c r="CK132" s="147">
        <f t="shared" ca="1" si="109"/>
        <v>1.6162021406733731</v>
      </c>
      <c r="CL132" s="128">
        <f ca="1">INDEX(角色升级!$P:$P,MATCH(玩家节奏1!$CH132,角色升级!$A:$A,0))</f>
        <v>7700</v>
      </c>
      <c r="CM132" s="90">
        <f ca="1">INDEX(角色升级!Q:Q,MATCH(玩家节奏1!$CH132,角色升级!$A:$A,0))</f>
        <v>0.9</v>
      </c>
      <c r="CO132" s="128">
        <f t="shared" si="110"/>
        <v>22322</v>
      </c>
      <c r="CP132" s="90">
        <f t="shared" si="111"/>
        <v>27136</v>
      </c>
      <c r="CQ132" s="90">
        <f t="shared" si="112"/>
        <v>18744</v>
      </c>
      <c r="CR132" s="90">
        <f t="shared" ca="1" si="113"/>
        <v>66747.5</v>
      </c>
      <c r="CS132" s="90">
        <f t="shared" ca="1" si="114"/>
        <v>134949.5</v>
      </c>
      <c r="CT132" s="142">
        <f t="shared" ca="1" si="115"/>
        <v>0.16541002374962485</v>
      </c>
      <c r="CU132" s="142">
        <f t="shared" ca="1" si="116"/>
        <v>0.20108262720499151</v>
      </c>
      <c r="CV132" s="142">
        <f t="shared" ca="1" si="117"/>
        <v>0.1388964019874101</v>
      </c>
      <c r="CW132" s="142">
        <f t="shared" ca="1" si="118"/>
        <v>0.49461094705797354</v>
      </c>
      <c r="CY132" s="128">
        <f t="shared" si="119"/>
        <v>11162</v>
      </c>
      <c r="CZ132" s="90">
        <f t="shared" si="120"/>
        <v>13431</v>
      </c>
      <c r="DA132" s="90">
        <f t="shared" si="121"/>
        <v>10840</v>
      </c>
      <c r="DB132" s="90">
        <f t="shared" ca="1" si="122"/>
        <v>43824.5</v>
      </c>
      <c r="DC132" s="90">
        <f t="shared" ca="1" si="123"/>
        <v>79257.5</v>
      </c>
      <c r="DD132" s="142">
        <f t="shared" ca="1" si="124"/>
        <v>0.14083209790871526</v>
      </c>
      <c r="DE132" s="142">
        <f t="shared" ca="1" si="125"/>
        <v>0.16946030344131471</v>
      </c>
      <c r="DF132" s="142">
        <f t="shared" ca="1" si="126"/>
        <v>0.13676939090937767</v>
      </c>
      <c r="DG132" s="142">
        <f t="shared" ca="1" si="127"/>
        <v>0.55293820774059232</v>
      </c>
      <c r="DI132" s="128">
        <f t="shared" si="128"/>
        <v>5256</v>
      </c>
      <c r="DJ132" s="90">
        <f t="shared" si="129"/>
        <v>6347</v>
      </c>
      <c r="DK132" s="90">
        <f t="shared" si="130"/>
        <v>3656</v>
      </c>
      <c r="DL132" s="90">
        <f t="shared" ca="1" si="131"/>
        <v>5541.5</v>
      </c>
      <c r="DM132" s="90">
        <f t="shared" ca="1" si="132"/>
        <v>20800.5</v>
      </c>
      <c r="DN132" s="142">
        <f t="shared" ca="1" si="133"/>
        <v>0.25268623350400232</v>
      </c>
      <c r="DO132" s="142">
        <f t="shared" ca="1" si="134"/>
        <v>0.30513689574769837</v>
      </c>
      <c r="DP132" s="142">
        <f t="shared" ca="1" si="135"/>
        <v>0.17576500564890268</v>
      </c>
      <c r="DQ132" s="142">
        <f t="shared" ca="1" si="136"/>
        <v>0.26641186509939663</v>
      </c>
      <c r="DS132" s="128">
        <f t="shared" ca="1" si="137"/>
        <v>134949.5</v>
      </c>
      <c r="DT132" s="90">
        <f t="shared" ca="1" si="138"/>
        <v>79257.5</v>
      </c>
      <c r="DU132" s="90">
        <f t="shared" ca="1" si="139"/>
        <v>20800.5</v>
      </c>
      <c r="DV132" s="90">
        <f t="shared" si="140"/>
        <v>109</v>
      </c>
      <c r="DW132" s="90">
        <f ca="1">_xlfn.IFNA(INDEX(武器升级消耗!$H:$H,MATCH(玩家节奏1!DS132/玩家节奏1!DS$5,武器升级消耗!M:M,1)),0)</f>
        <v>33</v>
      </c>
      <c r="DX132" s="90">
        <f ca="1">_xlfn.IFNA(INDEX(武器升级消耗!$H:$H,MATCH(玩家节奏1!DT132/玩家节奏1!DT$5,武器升级消耗!N:N,1)),0)</f>
        <v>30</v>
      </c>
      <c r="DY132" s="90">
        <f ca="1">_xlfn.IFNA(INDEX(武器升级消耗!$H:$H,MATCH(玩家节奏1!DU132/玩家节奏1!DU$5,武器升级消耗!O:O,1)),0)</f>
        <v>20</v>
      </c>
      <c r="DZ132" s="90">
        <f>_xlfn.IFNA(INDEX(武器升级消耗!$H:$H,MATCH(玩家节奏1!DV132/玩家节奏1!DV$5,武器升级消耗!P:P,1)),0)</f>
        <v>11</v>
      </c>
      <c r="EA132" s="90">
        <f ca="1">_xlfn.IFNA(INDEX(武器升级消耗!$Q:$Q,MATCH(玩家节奏1!DW132,武器升级消耗!$H:$H,0))*2*EA$4,0)</f>
        <v>4.4400000000000004</v>
      </c>
      <c r="EB132" s="90">
        <f ca="1">_xlfn.IFNA(INDEX(武器升级消耗!$Q:$Q,MATCH(玩家节奏1!DX132,武器升级消耗!$H:$H,0))*2*EB$4,0)</f>
        <v>5.0999999999999996</v>
      </c>
      <c r="EC132" s="90">
        <f ca="1">_xlfn.IFNA(INDEX(武器升级消耗!$Q:$Q,MATCH(玩家节奏1!DY132,武器升级消耗!$H:$H,0))*2*EC$4,1)</f>
        <v>5.28</v>
      </c>
      <c r="ED132" s="90">
        <f>_xlfn.IFNA(INDEX(武器升级消耗!$Q:$Q,MATCH(玩家节奏1!DZ132,武器升级消耗!$H:$H,0))*2*ED$4,0)</f>
        <v>4.5</v>
      </c>
    </row>
    <row r="133" spans="1:134" x14ac:dyDescent="0.25">
      <c r="A133" s="123">
        <v>127</v>
      </c>
      <c r="B133" s="123">
        <f>INDEX(关卡对比!$Y:$Y,MATCH(关卡对比!Z133,关卡对比!$AA:$AA,1))</f>
        <v>77</v>
      </c>
      <c r="C133" s="124">
        <f>INDEX(关卡对比!$Y:$Y,MATCH(关卡对比!Z133,关卡对比!$AB:$AB,1))</f>
        <v>60</v>
      </c>
      <c r="D133" s="125">
        <f t="shared" si="157"/>
        <v>761.5</v>
      </c>
      <c r="E133" s="125">
        <v>3</v>
      </c>
      <c r="F133" s="128">
        <v>5</v>
      </c>
      <c r="G133" s="90">
        <v>1</v>
      </c>
      <c r="H133" s="90">
        <v>1</v>
      </c>
      <c r="J133" s="128">
        <v>127</v>
      </c>
      <c r="K133" s="90">
        <f t="shared" si="152"/>
        <v>5</v>
      </c>
      <c r="L133" s="90">
        <f t="shared" si="153"/>
        <v>1</v>
      </c>
      <c r="M133" s="90">
        <f t="shared" si="154"/>
        <v>1</v>
      </c>
      <c r="N133" s="140">
        <f>INDEX($A:$A,MATCH(SUM($K$7:K133),$D:$D,1))</f>
        <v>108</v>
      </c>
      <c r="O133" s="140">
        <v>0</v>
      </c>
      <c r="P133" s="141">
        <v>0</v>
      </c>
      <c r="Q133" s="126">
        <f>_xlfn.MAXIFS(关卡产出!X:X,关卡产出!$A:$A,玩家节奏1!$N$6,关卡产出!$B:$B,玩家节奏1!$N133)+_xlfn.MAXIFS(关卡产出!X:X,关卡产出!$A:$A,玩家节奏1!$O$6,关卡产出!$B:$B,玩家节奏1!$O133)+_xlfn.MAXIFS(关卡产出!X:X,关卡产出!$A:$A,玩家节奏1!$P$6,关卡产出!$B:$B,玩家节奏1!$P133)</f>
        <v>20100</v>
      </c>
      <c r="R133" s="90">
        <f>_xlfn.MAXIFS(关卡产出!Y:Y,关卡产出!$A:$A,玩家节奏1!$N$6,关卡产出!$B:$B,玩家节奏1!$N133)+_xlfn.MAXIFS(关卡产出!Y:Y,关卡产出!$A:$A,玩家节奏1!$O$6,关卡产出!$B:$B,玩家节奏1!$O133)+_xlfn.MAXIFS(关卡产出!Y:Y,关卡产出!$A:$A,玩家节奏1!$P$6,关卡产出!$B:$B,玩家节奏1!$P133)</f>
        <v>3293200</v>
      </c>
      <c r="S133" s="90">
        <f>_xlfn.MAXIFS(关卡产出!Z:Z,关卡产出!$A:$A,玩家节奏1!$N$6,关卡产出!$B:$B,玩家节奏1!$N133)+_xlfn.MAXIFS(关卡产出!Z:Z,关卡产出!$A:$A,玩家节奏1!$O$6,关卡产出!$B:$B,玩家节奏1!$O133)+_xlfn.MAXIFS(关卡产出!Z:Z,关卡产出!$A:$A,玩家节奏1!$P$6,关卡产出!$B:$B,玩家节奏1!$P133)</f>
        <v>22746</v>
      </c>
      <c r="T133" s="90">
        <f>_xlfn.MAXIFS(关卡产出!AA:AA,关卡产出!$A:$A,玩家节奏1!$N$6,关卡产出!$B:$B,玩家节奏1!$N133)+_xlfn.MAXIFS(关卡产出!AA:AA,关卡产出!$A:$A,玩家节奏1!$O$6,关卡产出!$B:$B,玩家节奏1!$O133)+_xlfn.MAXIFS(关卡产出!AA:AA,关卡产出!$A:$A,玩家节奏1!$P$6,关卡产出!$B:$B,玩家节奏1!$P133)</f>
        <v>11374</v>
      </c>
      <c r="U133" s="90">
        <f>_xlfn.MAXIFS(关卡产出!AB:AB,关卡产出!$A:$A,玩家节奏1!$N$6,关卡产出!$B:$B,玩家节奏1!$N133)+_xlfn.MAXIFS(关卡产出!AB:AB,关卡产出!$A:$A,玩家节奏1!$O$6,关卡产出!$B:$B,玩家节奏1!$O133)+_xlfn.MAXIFS(关卡产出!AB:AB,关卡产出!$A:$A,玩家节奏1!$P$6,关卡产出!$B:$B,玩家节奏1!$P133)</f>
        <v>5359</v>
      </c>
      <c r="V133" s="130">
        <f>_xlfn.MAXIFS(关卡产出!AC:AC,关卡产出!$A:$A,玩家节奏1!$N$6,关卡产出!$B:$B,玩家节奏1!$N133)+_xlfn.MAXIFS(关卡产出!AC:AC,关卡产出!$A:$A,玩家节奏1!$O$6,关卡产出!$B:$B,玩家节奏1!$O133)+_xlfn.MAXIFS(关卡产出!AC:AC,关卡产出!$A:$A,玩家节奏1!$P$6,关卡产出!$B:$B,玩家节奏1!$P133)</f>
        <v>648</v>
      </c>
      <c r="W133" s="126">
        <f>INDEX(关卡产出!C$8:C$207,MATCH(玩家节奏1!$N133,关卡产出!$B$8:$B$207,0))*$K133</f>
        <v>425</v>
      </c>
      <c r="X133" s="126">
        <f>INDEX(关卡产出!D$8:D$207,MATCH(玩家节奏1!$N133,关卡产出!$B$8:$B$207,0))*$K133</f>
        <v>210</v>
      </c>
      <c r="Y133" s="126">
        <f>INDEX(关卡产出!E$8:E$207,MATCH(玩家节奏1!$N133,关卡产出!$B$8:$B$207,0))*$K133</f>
        <v>105</v>
      </c>
      <c r="Z133" s="144">
        <f>INDEX(关卡产出!F$8:F$207,MATCH(玩家节奏1!$N133,关卡产出!$B$8:$B$207,0))*$K133</f>
        <v>5650</v>
      </c>
      <c r="AA133" s="126">
        <f>SUM(W$7:W133)</f>
        <v>27561</v>
      </c>
      <c r="AB133" s="126">
        <f>SUM(X$7:X133)</f>
        <v>13641</v>
      </c>
      <c r="AC133" s="126">
        <f>SUM(Y$7:Y133)</f>
        <v>6452</v>
      </c>
      <c r="AD133" s="126">
        <f>SUM(Z$7:Z133)</f>
        <v>392710</v>
      </c>
      <c r="AE133" s="126">
        <f>INDEX(图鉴!AQ:AQ,MATCH($N133,图鉴!$S:$S,0))*8</f>
        <v>168</v>
      </c>
      <c r="AF133" s="90">
        <f>INDEX(图鉴!AR:AR,MATCH($N133,图鉴!$S:$S,0))*8</f>
        <v>120</v>
      </c>
      <c r="AG133" s="90">
        <f>INDEX(图鉴!AS:AS,MATCH($N133,图鉴!$S:$S,0))*8</f>
        <v>48</v>
      </c>
      <c r="AH133" s="129">
        <f ca="1">INDEX(图鉴!AT:AT,MATCH($N133,图鉴!$S:$S,0))*8</f>
        <v>10000</v>
      </c>
      <c r="AI133" s="128">
        <f>SUM($AE$7:AE133)</f>
        <v>18912</v>
      </c>
      <c r="AJ133" s="90">
        <f>SUM(AF$7:AF133)</f>
        <v>10960</v>
      </c>
      <c r="AK133" s="90">
        <f>SUM(AG$7:AG133)</f>
        <v>3704</v>
      </c>
      <c r="AL133" s="130">
        <f ca="1">SUM(AH$7:AH133)</f>
        <v>832640</v>
      </c>
      <c r="AM133" s="133">
        <f>IF(M133=0,0,INDEX(关卡产出!$AU$11:$AU$15,MATCH(玩家节奏1!N133,关卡产出!$AW$11:$AW$15,1))*M133)</f>
        <v>12200</v>
      </c>
      <c r="AN133" s="126">
        <f>IF(L133=0,0,$L133*关卡产出!AU$21)</f>
        <v>1000</v>
      </c>
      <c r="AO133" s="90">
        <f>IF(M133=0,0,$L133*关卡产出!AV$21)</f>
        <v>50</v>
      </c>
      <c r="AP133" s="129">
        <f>IF(N133=0,0,$L133*关卡产出!AW$21)</f>
        <v>1</v>
      </c>
      <c r="AQ133" s="138">
        <f>SUM(AN$7:AN133)</f>
        <v>110000</v>
      </c>
      <c r="AR133" s="126">
        <f>SUM(AO$7:AO133)</f>
        <v>5500</v>
      </c>
      <c r="AS133" s="129">
        <f>SUM(AP$7:AP133)</f>
        <v>110</v>
      </c>
      <c r="AT133" s="128">
        <v>500</v>
      </c>
      <c r="AU133" s="129">
        <v>100</v>
      </c>
      <c r="AV133" s="128">
        <f>SUM(AT$7:AT133)</f>
        <v>63500</v>
      </c>
      <c r="AW133" s="90">
        <f>SUM(AU$7:AU133)</f>
        <v>12700</v>
      </c>
      <c r="AY133" s="128">
        <f t="shared" si="91"/>
        <v>20100</v>
      </c>
      <c r="AZ133" s="90">
        <f t="shared" si="92"/>
        <v>5500</v>
      </c>
      <c r="BA133" s="90">
        <f t="shared" si="93"/>
        <v>12700</v>
      </c>
      <c r="BB133" s="90">
        <f t="shared" ca="1" si="143"/>
        <v>7700</v>
      </c>
      <c r="BC133" s="90">
        <f t="shared" ca="1" si="144"/>
        <v>46000</v>
      </c>
      <c r="BD133" s="90"/>
      <c r="BE133" s="90">
        <f t="shared" ca="1" si="94"/>
        <v>46000</v>
      </c>
      <c r="BF133" s="142">
        <f t="shared" ca="1" si="95"/>
        <v>0.43695652173913041</v>
      </c>
      <c r="BG133" s="142">
        <f t="shared" ca="1" si="96"/>
        <v>0.11956521739130435</v>
      </c>
      <c r="BH133" s="142">
        <f t="shared" ca="1" si="155"/>
        <v>0.27608695652173915</v>
      </c>
      <c r="BI133" s="142">
        <f t="shared" ca="1" si="156"/>
        <v>0.16739130434782609</v>
      </c>
      <c r="BJ133" s="143"/>
      <c r="BK133" s="128">
        <f ca="1">INDEX(商城宝箱!$L:$L,MATCH(BC133,商城宝箱!$N:$N,1))</f>
        <v>9</v>
      </c>
      <c r="BL133" s="90">
        <f ca="1">_xlfn.IFNA(INDEX(商城宝箱!T:T,MATCH(玩家节奏1!$BK133,商城宝箱!$L:$L,0)),0)+($BC133-INDEX(商城宝箱!$N:$N,MATCH(玩家节奏1!$BK133,商城宝箱!$L:$L,0)))/$BK$5*INDEX(商城宝箱!E$23:E$42,MATCH(玩家节奏1!$BK133+1,商城宝箱!$C$23:$C$42,0))</f>
        <v>115000</v>
      </c>
      <c r="BM133" s="90">
        <f ca="1">_xlfn.IFNA(INDEX(商城宝箱!U:U,MATCH(玩家节奏1!$BK133,商城宝箱!$L:$L,0)),0)+($BC133-INDEX(商城宝箱!$N:$N,MATCH(玩家节奏1!$BK133,商城宝箱!$L:$L,0)))/$BK$5*INDEX(商城宝箱!F$23:F$42,MATCH(玩家节奏1!$BK133+1,商城宝箱!$C$23:$C$42,0))</f>
        <v>67692.5</v>
      </c>
      <c r="BN133" s="90">
        <f ca="1">_xlfn.IFNA(INDEX(商城宝箱!V:V,MATCH(玩家节奏1!$BK133,商城宝箱!$L:$L,0)),0)+($BC133-INDEX(商城宝箱!$N:$N,MATCH(玩家节奏1!$BK133,商城宝箱!$L:$L,0)))/$BK$5*INDEX(商城宝箱!G$23:G$42,MATCH(玩家节奏1!$BK133+1,商城宝箱!$C$23:$C$42,0))</f>
        <v>44262</v>
      </c>
      <c r="BO133" s="90">
        <f ca="1">_xlfn.IFNA(INDEX(商城宝箱!W:W,MATCH(玩家节奏1!$BK133,商城宝箱!$L:$L,0)),0)+($BC133-INDEX(商城宝箱!$N:$N,MATCH(玩家节奏1!$BK133,商城宝箱!$L:$L,0)))/$BK$5*INDEX(商城宝箱!H$23:H$42,MATCH(玩家节奏1!$BK133+1,商城宝箱!$C$23:$C$42,0))</f>
        <v>5611.5</v>
      </c>
      <c r="BQ133" s="128">
        <f t="shared" si="146"/>
        <v>3293200</v>
      </c>
      <c r="BR133" s="90">
        <f t="shared" si="147"/>
        <v>392710</v>
      </c>
      <c r="BS133" s="90">
        <f t="shared" ca="1" si="148"/>
        <v>832640</v>
      </c>
      <c r="BT133" s="90">
        <f t="shared" si="149"/>
        <v>12200</v>
      </c>
      <c r="BU133" s="90">
        <f t="shared" si="150"/>
        <v>110000</v>
      </c>
      <c r="BV133" s="90">
        <f t="shared" si="151"/>
        <v>63500</v>
      </c>
      <c r="BW133" s="90">
        <f t="shared" ca="1" si="99"/>
        <v>115000</v>
      </c>
      <c r="BX133" s="90">
        <f t="shared" ca="1" si="100"/>
        <v>4819250</v>
      </c>
      <c r="BY133" s="142">
        <f t="shared" ca="1" si="101"/>
        <v>0.68334284380349641</v>
      </c>
      <c r="BZ133" s="142">
        <f t="shared" ca="1" si="102"/>
        <v>8.1487783368781444E-2</v>
      </c>
      <c r="CA133" s="142">
        <f t="shared" ca="1" si="103"/>
        <v>0.17277377185246667</v>
      </c>
      <c r="CB133" s="142">
        <f t="shared" ca="1" si="104"/>
        <v>2.5315142397675989E-3</v>
      </c>
      <c r="CC133" s="142">
        <f t="shared" ca="1" si="105"/>
        <v>2.2825128391347201E-2</v>
      </c>
      <c r="CD133" s="142">
        <f t="shared" ca="1" si="106"/>
        <v>1.3176324116823157E-2</v>
      </c>
      <c r="CE133" s="142">
        <f t="shared" ca="1" si="107"/>
        <v>2.386263422731753E-2</v>
      </c>
      <c r="CG133" s="128">
        <f t="shared" si="108"/>
        <v>108</v>
      </c>
      <c r="CH133" s="90">
        <f ca="1">INDEX(角色升级!$A:$A,MATCH(玩家节奏1!$BX133,角色升级!$J:$J,1))</f>
        <v>570</v>
      </c>
      <c r="CI133" s="90">
        <f ca="1">INDEX(角色升级!$O:$O,MATCH(玩家节奏1!$BX133,角色升级!$J:$J,1))</f>
        <v>24608.727055000003</v>
      </c>
      <c r="CJ133" s="90">
        <f>INDEX(关卡对比!$J:$J,MATCH(玩家节奏1!N133,关卡对比!$A:$A,0))</f>
        <v>40200</v>
      </c>
      <c r="CK133" s="147">
        <f t="shared" ca="1" si="109"/>
        <v>1.6335668200209552</v>
      </c>
      <c r="CL133" s="128">
        <f ca="1">INDEX(角色升级!$P:$P,MATCH(玩家节奏1!$CH133,角色升级!$A:$A,0))</f>
        <v>7700</v>
      </c>
      <c r="CM133" s="90">
        <f ca="1">INDEX(角色升级!Q:Q,MATCH(玩家节奏1!$CH133,角色升级!$A:$A,0))</f>
        <v>0.9</v>
      </c>
      <c r="CO133" s="128">
        <f t="shared" si="110"/>
        <v>22746</v>
      </c>
      <c r="CP133" s="90">
        <f t="shared" si="111"/>
        <v>27561</v>
      </c>
      <c r="CQ133" s="90">
        <f t="shared" si="112"/>
        <v>18912</v>
      </c>
      <c r="CR133" s="90">
        <f t="shared" ca="1" si="113"/>
        <v>67692.5</v>
      </c>
      <c r="CS133" s="90">
        <f t="shared" ca="1" si="114"/>
        <v>136911.5</v>
      </c>
      <c r="CT133" s="142">
        <f t="shared" ca="1" si="115"/>
        <v>0.16613651884611591</v>
      </c>
      <c r="CU133" s="142">
        <f t="shared" ca="1" si="116"/>
        <v>0.20130522271686455</v>
      </c>
      <c r="CV133" s="142">
        <f t="shared" ca="1" si="117"/>
        <v>0.13813302753968804</v>
      </c>
      <c r="CW133" s="142">
        <f t="shared" ca="1" si="118"/>
        <v>0.49442523089733148</v>
      </c>
      <c r="CY133" s="128">
        <f t="shared" si="119"/>
        <v>11374</v>
      </c>
      <c r="CZ133" s="90">
        <f t="shared" si="120"/>
        <v>13641</v>
      </c>
      <c r="DA133" s="90">
        <f t="shared" si="121"/>
        <v>10960</v>
      </c>
      <c r="DB133" s="90">
        <f t="shared" ca="1" si="122"/>
        <v>44262</v>
      </c>
      <c r="DC133" s="90">
        <f t="shared" ca="1" si="123"/>
        <v>80237</v>
      </c>
      <c r="DD133" s="142">
        <f t="shared" ca="1" si="124"/>
        <v>0.14175505066241259</v>
      </c>
      <c r="DE133" s="142">
        <f t="shared" ca="1" si="125"/>
        <v>0.17000884878547304</v>
      </c>
      <c r="DF133" s="142">
        <f t="shared" ca="1" si="126"/>
        <v>0.13659533631616336</v>
      </c>
      <c r="DG133" s="142">
        <f t="shared" ca="1" si="127"/>
        <v>0.55164076423595099</v>
      </c>
      <c r="DI133" s="128">
        <f t="shared" si="128"/>
        <v>5359</v>
      </c>
      <c r="DJ133" s="90">
        <f t="shared" si="129"/>
        <v>6452</v>
      </c>
      <c r="DK133" s="90">
        <f t="shared" si="130"/>
        <v>3704</v>
      </c>
      <c r="DL133" s="90">
        <f t="shared" ca="1" si="131"/>
        <v>5611.5</v>
      </c>
      <c r="DM133" s="90">
        <f t="shared" ca="1" si="132"/>
        <v>21126.5</v>
      </c>
      <c r="DN133" s="142">
        <f t="shared" ca="1" si="133"/>
        <v>0.25366246183702934</v>
      </c>
      <c r="DO133" s="142">
        <f t="shared" ca="1" si="134"/>
        <v>0.30539843324734339</v>
      </c>
      <c r="DP133" s="142">
        <f t="shared" ca="1" si="135"/>
        <v>0.1753248290062244</v>
      </c>
      <c r="DQ133" s="142">
        <f t="shared" ca="1" si="136"/>
        <v>0.2656142759094029</v>
      </c>
      <c r="DS133" s="128">
        <f t="shared" ca="1" si="137"/>
        <v>136911.5</v>
      </c>
      <c r="DT133" s="90">
        <f t="shared" ca="1" si="138"/>
        <v>80237</v>
      </c>
      <c r="DU133" s="90">
        <f t="shared" ca="1" si="139"/>
        <v>21126.5</v>
      </c>
      <c r="DV133" s="90">
        <f t="shared" si="140"/>
        <v>110</v>
      </c>
      <c r="DW133" s="90">
        <f ca="1">_xlfn.IFNA(INDEX(武器升级消耗!$H:$H,MATCH(玩家节奏1!DS133/玩家节奏1!DS$5,武器升级消耗!M:M,1)),0)</f>
        <v>34</v>
      </c>
      <c r="DX133" s="90">
        <f ca="1">_xlfn.IFNA(INDEX(武器升级消耗!$H:$H,MATCH(玩家节奏1!DT133/玩家节奏1!DT$5,武器升级消耗!N:N,1)),0)</f>
        <v>31</v>
      </c>
      <c r="DY133" s="90">
        <f ca="1">_xlfn.IFNA(INDEX(武器升级消耗!$H:$H,MATCH(玩家节奏1!DU133/玩家节奏1!DU$5,武器升级消耗!O:O,1)),0)</f>
        <v>20</v>
      </c>
      <c r="DZ133" s="90">
        <f>_xlfn.IFNA(INDEX(武器升级消耗!$H:$H,MATCH(玩家节奏1!DV133/玩家节奏1!DV$5,武器升级消耗!P:P,1)),0)</f>
        <v>11</v>
      </c>
      <c r="EA133" s="90">
        <f ca="1">_xlfn.IFNA(INDEX(武器升级消耗!$Q:$Q,MATCH(玩家节奏1!DW133,武器升级消耗!$H:$H,0))*2*EA$4,0)</f>
        <v>4.5599999999999996</v>
      </c>
      <c r="EB133" s="90">
        <f ca="1">_xlfn.IFNA(INDEX(武器升级消耗!$Q:$Q,MATCH(玩家节奏1!DX133,武器升级消耗!$H:$H,0))*2*EB$4,0)</f>
        <v>5.25</v>
      </c>
      <c r="EC133" s="90">
        <f ca="1">_xlfn.IFNA(INDEX(武器升级消耗!$Q:$Q,MATCH(玩家节奏1!DY133,武器升级消耗!$H:$H,0))*2*EC$4,1)</f>
        <v>5.28</v>
      </c>
      <c r="ED133" s="90">
        <f>_xlfn.IFNA(INDEX(武器升级消耗!$Q:$Q,MATCH(玩家节奏1!DZ133,武器升级消耗!$H:$H,0))*2*ED$4,0)</f>
        <v>4.5</v>
      </c>
    </row>
    <row r="134" spans="1:134" x14ac:dyDescent="0.25">
      <c r="A134" s="123">
        <v>128</v>
      </c>
      <c r="B134" s="123">
        <f>INDEX(关卡对比!$Y:$Y,MATCH(关卡对比!Z134,关卡对比!$AA:$AA,1))</f>
        <v>77</v>
      </c>
      <c r="C134" s="124">
        <f>INDEX(关卡对比!$Y:$Y,MATCH(关卡对比!Z134,关卡对比!$AB:$AB,1))</f>
        <v>61</v>
      </c>
      <c r="D134" s="125">
        <f t="shared" si="157"/>
        <v>767.5</v>
      </c>
      <c r="E134" s="125">
        <v>3</v>
      </c>
      <c r="F134" s="128">
        <v>5</v>
      </c>
      <c r="G134" s="90">
        <v>1</v>
      </c>
      <c r="H134" s="90">
        <v>1</v>
      </c>
      <c r="J134" s="128">
        <v>128</v>
      </c>
      <c r="K134" s="90">
        <f t="shared" si="152"/>
        <v>5</v>
      </c>
      <c r="L134" s="90">
        <f t="shared" si="153"/>
        <v>1</v>
      </c>
      <c r="M134" s="90">
        <f t="shared" si="154"/>
        <v>1</v>
      </c>
      <c r="N134" s="140">
        <f>INDEX($A:$A,MATCH(SUM($K$7:K134),$D:$D,1))</f>
        <v>109</v>
      </c>
      <c r="O134" s="140">
        <v>0</v>
      </c>
      <c r="P134" s="141">
        <v>0</v>
      </c>
      <c r="Q134" s="126">
        <f>_xlfn.MAXIFS(关卡产出!X:X,关卡产出!$A:$A,玩家节奏1!$N$6,关卡产出!$B:$B,玩家节奏1!$N134)+_xlfn.MAXIFS(关卡产出!X:X,关卡产出!$A:$A,玩家节奏1!$O$6,关卡产出!$B:$B,玩家节奏1!$O134)+_xlfn.MAXIFS(关卡产出!X:X,关卡产出!$A:$A,玩家节奏1!$P$6,关卡产出!$B:$B,玩家节奏1!$P134)</f>
        <v>20300</v>
      </c>
      <c r="R134" s="90">
        <f>_xlfn.MAXIFS(关卡产出!Y:Y,关卡产出!$A:$A,玩家节奏1!$N$6,关卡产出!$B:$B,玩家节奏1!$N134)+_xlfn.MAXIFS(关卡产出!Y:Y,关卡产出!$A:$A,玩家节奏1!$O$6,关卡产出!$B:$B,玩家节奏1!$O134)+_xlfn.MAXIFS(关卡产出!Y:Y,关卡产出!$A:$A,玩家节奏1!$P$6,关卡产出!$B:$B,玩家节奏1!$P134)</f>
        <v>3356300</v>
      </c>
      <c r="S134" s="90">
        <f>_xlfn.MAXIFS(关卡产出!Z:Z,关卡产出!$A:$A,玩家节奏1!$N$6,关卡产出!$B:$B,玩家节奏1!$N134)+_xlfn.MAXIFS(关卡产出!Z:Z,关卡产出!$A:$A,玩家节奏1!$O$6,关卡产出!$B:$B,玩家节奏1!$O134)+_xlfn.MAXIFS(关卡产出!Z:Z,关卡产出!$A:$A,玩家节奏1!$P$6,关卡产出!$B:$B,玩家节奏1!$P134)</f>
        <v>23174</v>
      </c>
      <c r="T134" s="90">
        <f>_xlfn.MAXIFS(关卡产出!AA:AA,关卡产出!$A:$A,玩家节奏1!$N$6,关卡产出!$B:$B,玩家节奏1!$N134)+_xlfn.MAXIFS(关卡产出!AA:AA,关卡产出!$A:$A,玩家节奏1!$O$6,关卡产出!$B:$B,玩家节奏1!$O134)+_xlfn.MAXIFS(关卡产出!AA:AA,关卡产出!$A:$A,玩家节奏1!$P$6,关卡产出!$B:$B,玩家节奏1!$P134)</f>
        <v>11588</v>
      </c>
      <c r="U134" s="90">
        <f>_xlfn.MAXIFS(关卡产出!AB:AB,关卡产出!$A:$A,玩家节奏1!$N$6,关卡产出!$B:$B,玩家节奏1!$N134)+_xlfn.MAXIFS(关卡产出!AB:AB,关卡产出!$A:$A,玩家节奏1!$O$6,关卡产出!$B:$B,玩家节奏1!$O134)+_xlfn.MAXIFS(关卡产出!AB:AB,关卡产出!$A:$A,玩家节奏1!$P$6,关卡产出!$B:$B,玩家节奏1!$P134)</f>
        <v>5463</v>
      </c>
      <c r="V134" s="130">
        <f>_xlfn.MAXIFS(关卡产出!AC:AC,关卡产出!$A:$A,玩家节奏1!$N$6,关卡产出!$B:$B,玩家节奏1!$N134)+_xlfn.MAXIFS(关卡产出!AC:AC,关卡产出!$A:$A,玩家节奏1!$O$6,关卡产出!$B:$B,玩家节奏1!$O134)+_xlfn.MAXIFS(关卡产出!AC:AC,关卡产出!$A:$A,玩家节奏1!$P$6,关卡产出!$B:$B,玩家节奏1!$P134)</f>
        <v>654</v>
      </c>
      <c r="W134" s="126">
        <f>INDEX(关卡产出!C$8:C$207,MATCH(玩家节奏1!$N134,关卡产出!$B$8:$B$207,0))*$K134</f>
        <v>430</v>
      </c>
      <c r="X134" s="126">
        <f>INDEX(关卡产出!D$8:D$207,MATCH(玩家节奏1!$N134,关卡产出!$B$8:$B$207,0))*$K134</f>
        <v>215</v>
      </c>
      <c r="Y134" s="126">
        <f>INDEX(关卡产出!E$8:E$207,MATCH(玩家节奏1!$N134,关卡产出!$B$8:$B$207,0))*$K134</f>
        <v>105</v>
      </c>
      <c r="Z134" s="144">
        <f>INDEX(关卡产出!F$8:F$207,MATCH(玩家节奏1!$N134,关卡产出!$B$8:$B$207,0))*$K134</f>
        <v>5750</v>
      </c>
      <c r="AA134" s="126">
        <f>SUM(W$7:W134)</f>
        <v>27991</v>
      </c>
      <c r="AB134" s="126">
        <f>SUM(X$7:X134)</f>
        <v>13856</v>
      </c>
      <c r="AC134" s="126">
        <f>SUM(Y$7:Y134)</f>
        <v>6557</v>
      </c>
      <c r="AD134" s="126">
        <f>SUM(Z$7:Z134)</f>
        <v>398460</v>
      </c>
      <c r="AE134" s="126">
        <f>INDEX(图鉴!AQ:AQ,MATCH($N134,图鉴!$S:$S,0))*8</f>
        <v>168</v>
      </c>
      <c r="AF134" s="90">
        <f>INDEX(图鉴!AR:AR,MATCH($N134,图鉴!$S:$S,0))*8</f>
        <v>120</v>
      </c>
      <c r="AG134" s="90">
        <f>INDEX(图鉴!AS:AS,MATCH($N134,图鉴!$S:$S,0))*8</f>
        <v>48</v>
      </c>
      <c r="AH134" s="129">
        <f ca="1">INDEX(图鉴!AT:AT,MATCH($N134,图鉴!$S:$S,0))*8</f>
        <v>10000</v>
      </c>
      <c r="AI134" s="128">
        <f>SUM($AE$7:AE134)</f>
        <v>19080</v>
      </c>
      <c r="AJ134" s="90">
        <f>SUM(AF$7:AF134)</f>
        <v>11080</v>
      </c>
      <c r="AK134" s="90">
        <f>SUM(AG$7:AG134)</f>
        <v>3752</v>
      </c>
      <c r="AL134" s="130">
        <f ca="1">SUM(AH$7:AH134)</f>
        <v>842640</v>
      </c>
      <c r="AM134" s="133">
        <f>IF(M134=0,0,INDEX(关卡产出!$AU$11:$AU$15,MATCH(玩家节奏1!N134,关卡产出!$AW$11:$AW$15,1))*M134)</f>
        <v>12200</v>
      </c>
      <c r="AN134" s="126">
        <f>IF(L134=0,0,$L134*关卡产出!AU$21)</f>
        <v>1000</v>
      </c>
      <c r="AO134" s="90">
        <f>IF(M134=0,0,$L134*关卡产出!AV$21)</f>
        <v>50</v>
      </c>
      <c r="AP134" s="129">
        <f>IF(N134=0,0,$L134*关卡产出!AW$21)</f>
        <v>1</v>
      </c>
      <c r="AQ134" s="138">
        <f>SUM(AN$7:AN134)</f>
        <v>111000</v>
      </c>
      <c r="AR134" s="126">
        <f>SUM(AO$7:AO134)</f>
        <v>5550</v>
      </c>
      <c r="AS134" s="129">
        <f>SUM(AP$7:AP134)</f>
        <v>111</v>
      </c>
      <c r="AT134" s="128">
        <v>500</v>
      </c>
      <c r="AU134" s="129">
        <v>100</v>
      </c>
      <c r="AV134" s="128">
        <f>SUM(AT$7:AT134)</f>
        <v>64000</v>
      </c>
      <c r="AW134" s="90">
        <f>SUM(AU$7:AU134)</f>
        <v>12800</v>
      </c>
      <c r="AY134" s="128">
        <f t="shared" si="91"/>
        <v>20300</v>
      </c>
      <c r="AZ134" s="90">
        <f t="shared" si="92"/>
        <v>5550</v>
      </c>
      <c r="BA134" s="90">
        <f t="shared" si="93"/>
        <v>12800</v>
      </c>
      <c r="BB134" s="90">
        <f t="shared" ca="1" si="143"/>
        <v>7700</v>
      </c>
      <c r="BC134" s="90">
        <f t="shared" ca="1" si="144"/>
        <v>46350</v>
      </c>
      <c r="BD134" s="90"/>
      <c r="BE134" s="90">
        <f t="shared" ca="1" si="94"/>
        <v>46350</v>
      </c>
      <c r="BF134" s="142">
        <f t="shared" ca="1" si="95"/>
        <v>0.43797195253505933</v>
      </c>
      <c r="BG134" s="142">
        <f t="shared" ca="1" si="96"/>
        <v>0.11974110032362459</v>
      </c>
      <c r="BH134" s="142">
        <f t="shared" ca="1" si="155"/>
        <v>0.27615965480043148</v>
      </c>
      <c r="BI134" s="142">
        <f t="shared" ca="1" si="156"/>
        <v>0.16612729234088458</v>
      </c>
      <c r="BJ134" s="143"/>
      <c r="BK134" s="128">
        <f ca="1">INDEX(商城宝箱!$L:$L,MATCH(BC134,商城宝箱!$N:$N,1))</f>
        <v>9</v>
      </c>
      <c r="BL134" s="90">
        <f ca="1">_xlfn.IFNA(INDEX(商城宝箱!T:T,MATCH(玩家节奏1!$BK134,商城宝箱!$L:$L,0)),0)+($BC134-INDEX(商城宝箱!$N:$N,MATCH(玩家节奏1!$BK134,商城宝箱!$L:$L,0)))/$BK$5*INDEX(商城宝箱!E$23:E$42,MATCH(玩家节奏1!$BK134+1,商城宝箱!$C$23:$C$42,0))</f>
        <v>115875</v>
      </c>
      <c r="BM134" s="90">
        <f ca="1">_xlfn.IFNA(INDEX(商城宝箱!U:U,MATCH(玩家节奏1!$BK134,商城宝箱!$L:$L,0)),0)+($BC134-INDEX(商城宝箱!$N:$N,MATCH(玩家节奏1!$BK134,商城宝箱!$L:$L,0)))/$BK$5*INDEX(商城宝箱!F$23:F$42,MATCH(玩家节奏1!$BK134+1,商城宝箱!$C$23:$C$42,0))</f>
        <v>68637.5</v>
      </c>
      <c r="BN134" s="90">
        <f ca="1">_xlfn.IFNA(INDEX(商城宝箱!V:V,MATCH(玩家节奏1!$BK134,商城宝箱!$L:$L,0)),0)+($BC134-INDEX(商城宝箱!$N:$N,MATCH(玩家节奏1!$BK134,商城宝箱!$L:$L,0)))/$BK$5*INDEX(商城宝箱!G$23:G$42,MATCH(玩家节奏1!$BK134+1,商城宝箱!$C$23:$C$42,0))</f>
        <v>44699.5</v>
      </c>
      <c r="BO134" s="90">
        <f ca="1">_xlfn.IFNA(INDEX(商城宝箱!W:W,MATCH(玩家节奏1!$BK134,商城宝箱!$L:$L,0)),0)+($BC134-INDEX(商城宝箱!$N:$N,MATCH(玩家节奏1!$BK134,商城宝箱!$L:$L,0)))/$BK$5*INDEX(商城宝箱!H$23:H$42,MATCH(玩家节奏1!$BK134+1,商城宝箱!$C$23:$C$42,0))</f>
        <v>5681.5</v>
      </c>
      <c r="BQ134" s="128">
        <f t="shared" si="146"/>
        <v>3356300</v>
      </c>
      <c r="BR134" s="90">
        <f t="shared" si="147"/>
        <v>398460</v>
      </c>
      <c r="BS134" s="90">
        <f t="shared" ca="1" si="148"/>
        <v>842640</v>
      </c>
      <c r="BT134" s="90">
        <f t="shared" si="149"/>
        <v>12200</v>
      </c>
      <c r="BU134" s="90">
        <f t="shared" si="150"/>
        <v>111000</v>
      </c>
      <c r="BV134" s="90">
        <f t="shared" si="151"/>
        <v>64000</v>
      </c>
      <c r="BW134" s="90">
        <f t="shared" ca="1" si="99"/>
        <v>115875</v>
      </c>
      <c r="BX134" s="90">
        <f t="shared" ca="1" si="100"/>
        <v>4900475</v>
      </c>
      <c r="BY134" s="142">
        <f t="shared" ca="1" si="101"/>
        <v>0.68489279100495359</v>
      </c>
      <c r="BZ134" s="142">
        <f t="shared" ca="1" si="102"/>
        <v>8.1310485208066566E-2</v>
      </c>
      <c r="CA134" s="142">
        <f t="shared" ca="1" si="103"/>
        <v>0.17195067825057775</v>
      </c>
      <c r="CB134" s="142">
        <f t="shared" ca="1" si="104"/>
        <v>2.4895545839944085E-3</v>
      </c>
      <c r="CC134" s="142">
        <f t="shared" ca="1" si="105"/>
        <v>2.2650865477326178E-2</v>
      </c>
      <c r="CD134" s="142">
        <f t="shared" ca="1" si="106"/>
        <v>1.3059958473413291E-2</v>
      </c>
      <c r="CE134" s="142">
        <f t="shared" ca="1" si="107"/>
        <v>2.3645667001668206E-2</v>
      </c>
      <c r="CG134" s="128">
        <f t="shared" si="108"/>
        <v>109</v>
      </c>
      <c r="CH134" s="90">
        <f ca="1">INDEX(角色升级!$A:$A,MATCH(玩家节奏1!$BX134,角色升级!$J:$J,1))</f>
        <v>572</v>
      </c>
      <c r="CI134" s="90">
        <f ca="1">INDEX(角色升级!$O:$O,MATCH(玩家节奏1!$BX134,角色升级!$J:$J,1))</f>
        <v>25116.257650000003</v>
      </c>
      <c r="CJ134" s="90">
        <f>INDEX(关卡对比!$J:$J,MATCH(玩家节奏1!N134,关卡对比!$A:$A,0))</f>
        <v>40700</v>
      </c>
      <c r="CK134" s="147">
        <f t="shared" ca="1" si="109"/>
        <v>1.6204643449339673</v>
      </c>
      <c r="CL134" s="128">
        <f ca="1">INDEX(角色升级!$P:$P,MATCH(玩家节奏1!$CH134,角色升级!$A:$A,0))</f>
        <v>7700</v>
      </c>
      <c r="CM134" s="90">
        <f ca="1">INDEX(角色升级!Q:Q,MATCH(玩家节奏1!$CH134,角色升级!$A:$A,0))</f>
        <v>0.9</v>
      </c>
      <c r="CO134" s="128">
        <f t="shared" si="110"/>
        <v>23174</v>
      </c>
      <c r="CP134" s="90">
        <f t="shared" si="111"/>
        <v>27991</v>
      </c>
      <c r="CQ134" s="90">
        <f t="shared" si="112"/>
        <v>19080</v>
      </c>
      <c r="CR134" s="90">
        <f t="shared" ca="1" si="113"/>
        <v>68637.5</v>
      </c>
      <c r="CS134" s="90">
        <f t="shared" ca="1" si="114"/>
        <v>138882.5</v>
      </c>
      <c r="CT134" s="142">
        <f t="shared" ca="1" si="115"/>
        <v>0.16686047558187678</v>
      </c>
      <c r="CU134" s="142">
        <f t="shared" ca="1" si="116"/>
        <v>0.20154447104566811</v>
      </c>
      <c r="CV134" s="142">
        <f t="shared" ca="1" si="117"/>
        <v>0.137382319586701</v>
      </c>
      <c r="CW134" s="142">
        <f t="shared" ca="1" si="118"/>
        <v>0.49421273378575414</v>
      </c>
      <c r="CY134" s="128">
        <f t="shared" si="119"/>
        <v>11588</v>
      </c>
      <c r="CZ134" s="90">
        <f t="shared" si="120"/>
        <v>13856</v>
      </c>
      <c r="DA134" s="90">
        <f t="shared" si="121"/>
        <v>11080</v>
      </c>
      <c r="DB134" s="90">
        <f t="shared" ca="1" si="122"/>
        <v>44699.5</v>
      </c>
      <c r="DC134" s="90">
        <f t="shared" ca="1" si="123"/>
        <v>81223.5</v>
      </c>
      <c r="DD134" s="142">
        <f t="shared" ca="1" si="124"/>
        <v>0.14266807020135799</v>
      </c>
      <c r="DE134" s="142">
        <f t="shared" ca="1" si="125"/>
        <v>0.17059102353382949</v>
      </c>
      <c r="DF134" s="142">
        <f t="shared" ca="1" si="126"/>
        <v>0.13641372262953455</v>
      </c>
      <c r="DG134" s="142">
        <f t="shared" ca="1" si="127"/>
        <v>0.55032718363527799</v>
      </c>
      <c r="DI134" s="128">
        <f t="shared" si="128"/>
        <v>5463</v>
      </c>
      <c r="DJ134" s="90">
        <f t="shared" si="129"/>
        <v>6557</v>
      </c>
      <c r="DK134" s="90">
        <f t="shared" si="130"/>
        <v>3752</v>
      </c>
      <c r="DL134" s="90">
        <f t="shared" ca="1" si="131"/>
        <v>5681.5</v>
      </c>
      <c r="DM134" s="90">
        <f t="shared" ca="1" si="132"/>
        <v>21453.5</v>
      </c>
      <c r="DN134" s="142">
        <f t="shared" ca="1" si="133"/>
        <v>0.25464376442072389</v>
      </c>
      <c r="DO134" s="142">
        <f t="shared" ca="1" si="134"/>
        <v>0.30563777472207332</v>
      </c>
      <c r="DP134" s="142">
        <f t="shared" ca="1" si="135"/>
        <v>0.17488987810846715</v>
      </c>
      <c r="DQ134" s="142">
        <f t="shared" ca="1" si="136"/>
        <v>0.26482858274873566</v>
      </c>
      <c r="DS134" s="128">
        <f t="shared" ca="1" si="137"/>
        <v>138882.5</v>
      </c>
      <c r="DT134" s="90">
        <f t="shared" ca="1" si="138"/>
        <v>81223.5</v>
      </c>
      <c r="DU134" s="90">
        <f t="shared" ca="1" si="139"/>
        <v>21453.5</v>
      </c>
      <c r="DV134" s="90">
        <f t="shared" si="140"/>
        <v>111</v>
      </c>
      <c r="DW134" s="90">
        <f ca="1">_xlfn.IFNA(INDEX(武器升级消耗!$H:$H,MATCH(玩家节奏1!DS134/玩家节奏1!DS$5,武器升级消耗!M:M,1)),0)</f>
        <v>34</v>
      </c>
      <c r="DX134" s="90">
        <f ca="1">_xlfn.IFNA(INDEX(武器升级消耗!$H:$H,MATCH(玩家节奏1!DT134/玩家节奏1!DT$5,武器升级消耗!N:N,1)),0)</f>
        <v>31</v>
      </c>
      <c r="DY134" s="90">
        <f ca="1">_xlfn.IFNA(INDEX(武器升级消耗!$H:$H,MATCH(玩家节奏1!DU134/玩家节奏1!DU$5,武器升级消耗!O:O,1)),0)</f>
        <v>20</v>
      </c>
      <c r="DZ134" s="90">
        <f>_xlfn.IFNA(INDEX(武器升级消耗!$H:$H,MATCH(玩家节奏1!DV134/玩家节奏1!DV$5,武器升级消耗!P:P,1)),0)</f>
        <v>11</v>
      </c>
      <c r="EA134" s="90">
        <f ca="1">_xlfn.IFNA(INDEX(武器升级消耗!$Q:$Q,MATCH(玩家节奏1!DW134,武器升级消耗!$H:$H,0))*2*EA$4,0)</f>
        <v>4.5599999999999996</v>
      </c>
      <c r="EB134" s="90">
        <f ca="1">_xlfn.IFNA(INDEX(武器升级消耗!$Q:$Q,MATCH(玩家节奏1!DX134,武器升级消耗!$H:$H,0))*2*EB$4,0)</f>
        <v>5.25</v>
      </c>
      <c r="EC134" s="90">
        <f ca="1">_xlfn.IFNA(INDEX(武器升级消耗!$Q:$Q,MATCH(玩家节奏1!DY134,武器升级消耗!$H:$H,0))*2*EC$4,1)</f>
        <v>5.28</v>
      </c>
      <c r="ED134" s="90">
        <f>_xlfn.IFNA(INDEX(武器升级消耗!$Q:$Q,MATCH(玩家节奏1!DZ134,武器升级消耗!$H:$H,0))*2*ED$4,0)</f>
        <v>4.5</v>
      </c>
    </row>
    <row r="135" spans="1:134" x14ac:dyDescent="0.25">
      <c r="A135" s="123">
        <v>129</v>
      </c>
      <c r="B135" s="123">
        <f>INDEX(关卡对比!$Y:$Y,MATCH(关卡对比!Z135,关卡对比!$AA:$AA,1))</f>
        <v>78</v>
      </c>
      <c r="C135" s="124">
        <f>INDEX(关卡对比!$Y:$Y,MATCH(关卡对比!Z135,关卡对比!$AB:$AB,1))</f>
        <v>61</v>
      </c>
      <c r="D135" s="125">
        <f t="shared" si="157"/>
        <v>773.5</v>
      </c>
      <c r="E135" s="125">
        <v>3</v>
      </c>
      <c r="F135" s="128">
        <v>5</v>
      </c>
      <c r="G135" s="90">
        <v>1</v>
      </c>
      <c r="H135" s="90">
        <v>1</v>
      </c>
      <c r="J135" s="128">
        <v>129</v>
      </c>
      <c r="K135" s="90">
        <f t="shared" si="152"/>
        <v>5</v>
      </c>
      <c r="L135" s="90">
        <f t="shared" si="153"/>
        <v>1</v>
      </c>
      <c r="M135" s="90">
        <f t="shared" si="154"/>
        <v>1</v>
      </c>
      <c r="N135" s="140">
        <f>INDEX($A:$A,MATCH(SUM($K$7:K135),$D:$D,1))</f>
        <v>110</v>
      </c>
      <c r="O135" s="140">
        <v>0</v>
      </c>
      <c r="P135" s="141">
        <v>0</v>
      </c>
      <c r="Q135" s="126">
        <f>_xlfn.MAXIFS(关卡产出!X:X,关卡产出!$A:$A,玩家节奏1!$N$6,关卡产出!$B:$B,玩家节奏1!$N135)+_xlfn.MAXIFS(关卡产出!X:X,关卡产出!$A:$A,玩家节奏1!$O$6,关卡产出!$B:$B,玩家节奏1!$O135)+_xlfn.MAXIFS(关卡产出!X:X,关卡产出!$A:$A,玩家节奏1!$P$6,关卡产出!$B:$B,玩家节奏1!$P135)</f>
        <v>20500</v>
      </c>
      <c r="R135" s="90">
        <f>_xlfn.MAXIFS(关卡产出!Y:Y,关卡产出!$A:$A,玩家节奏1!$N$6,关卡产出!$B:$B,玩家节奏1!$N135)+_xlfn.MAXIFS(关卡产出!Y:Y,关卡产出!$A:$A,玩家节奏1!$O$6,关卡产出!$B:$B,玩家节奏1!$O135)+_xlfn.MAXIFS(关卡产出!Y:Y,关卡产出!$A:$A,玩家节奏1!$P$6,关卡产出!$B:$B,玩家节奏1!$P135)</f>
        <v>3420000</v>
      </c>
      <c r="S135" s="90">
        <f>_xlfn.MAXIFS(关卡产出!Z:Z,关卡产出!$A:$A,玩家节奏1!$N$6,关卡产出!$B:$B,玩家节奏1!$N135)+_xlfn.MAXIFS(关卡产出!Z:Z,关卡产出!$A:$A,玩家节奏1!$O$6,关卡产出!$B:$B,玩家节奏1!$O135)+_xlfn.MAXIFS(关卡产出!Z:Z,关卡产出!$A:$A,玩家节奏1!$P$6,关卡产出!$B:$B,玩家节奏1!$P135)</f>
        <v>23606</v>
      </c>
      <c r="T135" s="90">
        <f>_xlfn.MAXIFS(关卡产出!AA:AA,关卡产出!$A:$A,玩家节奏1!$N$6,关卡产出!$B:$B,玩家节奏1!$N135)+_xlfn.MAXIFS(关卡产出!AA:AA,关卡产出!$A:$A,玩家节奏1!$O$6,关卡产出!$B:$B,玩家节奏1!$O135)+_xlfn.MAXIFS(关卡产出!AA:AA,关卡产出!$A:$A,玩家节奏1!$P$6,关卡产出!$B:$B,玩家节奏1!$P135)</f>
        <v>11804</v>
      </c>
      <c r="U135" s="90">
        <f>_xlfn.MAXIFS(关卡产出!AB:AB,关卡产出!$A:$A,玩家节奏1!$N$6,关卡产出!$B:$B,玩家节奏1!$N135)+_xlfn.MAXIFS(关卡产出!AB:AB,关卡产出!$A:$A,玩家节奏1!$O$6,关卡产出!$B:$B,玩家节奏1!$O135)+_xlfn.MAXIFS(关卡产出!AB:AB,关卡产出!$A:$A,玩家节奏1!$P$6,关卡产出!$B:$B,玩家节奏1!$P135)</f>
        <v>5568</v>
      </c>
      <c r="V135" s="130">
        <f>_xlfn.MAXIFS(关卡产出!AC:AC,关卡产出!$A:$A,玩家节奏1!$N$6,关卡产出!$B:$B,玩家节奏1!$N135)+_xlfn.MAXIFS(关卡产出!AC:AC,关卡产出!$A:$A,玩家节奏1!$O$6,关卡产出!$B:$B,玩家节奏1!$O135)+_xlfn.MAXIFS(关卡产出!AC:AC,关卡产出!$A:$A,玩家节奏1!$P$6,关卡产出!$B:$B,玩家节奏1!$P135)</f>
        <v>660</v>
      </c>
      <c r="W135" s="126">
        <f>INDEX(关卡产出!C$8:C$207,MATCH(玩家节奏1!$N135,关卡产出!$B$8:$B$207,0))*$K135</f>
        <v>430</v>
      </c>
      <c r="X135" s="126">
        <f>INDEX(关卡产出!D$8:D$207,MATCH(玩家节奏1!$N135,关卡产出!$B$8:$B$207,0))*$K135</f>
        <v>215</v>
      </c>
      <c r="Y135" s="126">
        <f>INDEX(关卡产出!E$8:E$207,MATCH(玩家节奏1!$N135,关卡产出!$B$8:$B$207,0))*$K135</f>
        <v>105</v>
      </c>
      <c r="Z135" s="144">
        <f>INDEX(关卡产出!F$8:F$207,MATCH(玩家节奏1!$N135,关卡产出!$B$8:$B$207,0))*$K135</f>
        <v>5750</v>
      </c>
      <c r="AA135" s="126">
        <f>SUM(W$7:W135)</f>
        <v>28421</v>
      </c>
      <c r="AB135" s="126">
        <f>SUM(X$7:X135)</f>
        <v>14071</v>
      </c>
      <c r="AC135" s="126">
        <f>SUM(Y$7:Y135)</f>
        <v>6662</v>
      </c>
      <c r="AD135" s="126">
        <f>SUM(Z$7:Z135)</f>
        <v>404210</v>
      </c>
      <c r="AE135" s="126">
        <f>INDEX(图鉴!AQ:AQ,MATCH($N135,图鉴!$S:$S,0))*8</f>
        <v>168</v>
      </c>
      <c r="AF135" s="90">
        <f>INDEX(图鉴!AR:AR,MATCH($N135,图鉴!$S:$S,0))*8</f>
        <v>120</v>
      </c>
      <c r="AG135" s="90">
        <f>INDEX(图鉴!AS:AS,MATCH($N135,图鉴!$S:$S,0))*8</f>
        <v>48</v>
      </c>
      <c r="AH135" s="129">
        <f ca="1">INDEX(图鉴!AT:AT,MATCH($N135,图鉴!$S:$S,0))*8</f>
        <v>10520</v>
      </c>
      <c r="AI135" s="128">
        <f>SUM($AE$7:AE135)</f>
        <v>19248</v>
      </c>
      <c r="AJ135" s="90">
        <f>SUM(AF$7:AF135)</f>
        <v>11200</v>
      </c>
      <c r="AK135" s="90">
        <f>SUM(AG$7:AG135)</f>
        <v>3800</v>
      </c>
      <c r="AL135" s="130">
        <f ca="1">SUM(AH$7:AH135)</f>
        <v>853160</v>
      </c>
      <c r="AM135" s="133">
        <f>IF(M135=0,0,INDEX(关卡产出!$AU$11:$AU$15,MATCH(玩家节奏1!N135,关卡产出!$AW$11:$AW$15,1))*M135)</f>
        <v>12200</v>
      </c>
      <c r="AN135" s="126">
        <f>IF(L135=0,0,$L135*关卡产出!AU$21)</f>
        <v>1000</v>
      </c>
      <c r="AO135" s="90">
        <f>IF(M135=0,0,$L135*关卡产出!AV$21)</f>
        <v>50</v>
      </c>
      <c r="AP135" s="129">
        <f>IF(N135=0,0,$L135*关卡产出!AW$21)</f>
        <v>1</v>
      </c>
      <c r="AQ135" s="138">
        <f>SUM(AN$7:AN135)</f>
        <v>112000</v>
      </c>
      <c r="AR135" s="126">
        <f>SUM(AO$7:AO135)</f>
        <v>5600</v>
      </c>
      <c r="AS135" s="129">
        <f>SUM(AP$7:AP135)</f>
        <v>112</v>
      </c>
      <c r="AT135" s="128">
        <v>500</v>
      </c>
      <c r="AU135" s="129">
        <v>100</v>
      </c>
      <c r="AV135" s="128">
        <f>SUM(AT$7:AT135)</f>
        <v>64500</v>
      </c>
      <c r="AW135" s="90">
        <f>SUM(AU$7:AU135)</f>
        <v>12900</v>
      </c>
      <c r="AY135" s="128">
        <f t="shared" si="91"/>
        <v>20500</v>
      </c>
      <c r="AZ135" s="90">
        <f t="shared" si="92"/>
        <v>5600</v>
      </c>
      <c r="BA135" s="90">
        <f t="shared" si="93"/>
        <v>12900</v>
      </c>
      <c r="BB135" s="90">
        <f t="shared" ca="1" si="143"/>
        <v>7700</v>
      </c>
      <c r="BC135" s="90">
        <f t="shared" ca="1" si="144"/>
        <v>46700</v>
      </c>
      <c r="BD135" s="90"/>
      <c r="BE135" s="90">
        <f t="shared" ca="1" si="94"/>
        <v>46700</v>
      </c>
      <c r="BF135" s="142">
        <f t="shared" ca="1" si="95"/>
        <v>0.43897216274089934</v>
      </c>
      <c r="BG135" s="142">
        <f t="shared" ca="1" si="96"/>
        <v>0.11991434689507495</v>
      </c>
      <c r="BH135" s="142">
        <f t="shared" ca="1" si="155"/>
        <v>0.27623126338329762</v>
      </c>
      <c r="BI135" s="142">
        <f t="shared" ca="1" si="156"/>
        <v>0.16488222698072805</v>
      </c>
      <c r="BJ135" s="143"/>
      <c r="BK135" s="128">
        <f ca="1">INDEX(商城宝箱!$L:$L,MATCH(BC135,商城宝箱!$N:$N,1))</f>
        <v>9</v>
      </c>
      <c r="BL135" s="90">
        <f ca="1">_xlfn.IFNA(INDEX(商城宝箱!T:T,MATCH(玩家节奏1!$BK135,商城宝箱!$L:$L,0)),0)+($BC135-INDEX(商城宝箱!$N:$N,MATCH(玩家节奏1!$BK135,商城宝箱!$L:$L,0)))/$BK$5*INDEX(商城宝箱!E$23:E$42,MATCH(玩家节奏1!$BK135+1,商城宝箱!$C$23:$C$42,0))</f>
        <v>116750</v>
      </c>
      <c r="BM135" s="90">
        <f ca="1">_xlfn.IFNA(INDEX(商城宝箱!U:U,MATCH(玩家节奏1!$BK135,商城宝箱!$L:$L,0)),0)+($BC135-INDEX(商城宝箱!$N:$N,MATCH(玩家节奏1!$BK135,商城宝箱!$L:$L,0)))/$BK$5*INDEX(商城宝箱!F$23:F$42,MATCH(玩家节奏1!$BK135+1,商城宝箱!$C$23:$C$42,0))</f>
        <v>69582.5</v>
      </c>
      <c r="BN135" s="90">
        <f ca="1">_xlfn.IFNA(INDEX(商城宝箱!V:V,MATCH(玩家节奏1!$BK135,商城宝箱!$L:$L,0)),0)+($BC135-INDEX(商城宝箱!$N:$N,MATCH(玩家节奏1!$BK135,商城宝箱!$L:$L,0)))/$BK$5*INDEX(商城宝箱!G$23:G$42,MATCH(玩家节奏1!$BK135+1,商城宝箱!$C$23:$C$42,0))</f>
        <v>45137</v>
      </c>
      <c r="BO135" s="90">
        <f ca="1">_xlfn.IFNA(INDEX(商城宝箱!W:W,MATCH(玩家节奏1!$BK135,商城宝箱!$L:$L,0)),0)+($BC135-INDEX(商城宝箱!$N:$N,MATCH(玩家节奏1!$BK135,商城宝箱!$L:$L,0)))/$BK$5*INDEX(商城宝箱!H$23:H$42,MATCH(玩家节奏1!$BK135+1,商城宝箱!$C$23:$C$42,0))</f>
        <v>5751.5</v>
      </c>
      <c r="BQ135" s="128">
        <f t="shared" ref="BQ135:BQ166" si="158">R135</f>
        <v>3420000</v>
      </c>
      <c r="BR135" s="90">
        <f t="shared" ref="BR135:BR166" si="159">AD135</f>
        <v>404210</v>
      </c>
      <c r="BS135" s="90">
        <f t="shared" ref="BS135:BS166" ca="1" si="160">AL135</f>
        <v>853160</v>
      </c>
      <c r="BT135" s="90">
        <f t="shared" ref="BT135:BT166" si="161">AM135</f>
        <v>12200</v>
      </c>
      <c r="BU135" s="90">
        <f t="shared" ref="BU135:BU166" si="162">AQ135</f>
        <v>112000</v>
      </c>
      <c r="BV135" s="90">
        <f t="shared" ref="BV135:BV166" si="163">AV135</f>
        <v>64500</v>
      </c>
      <c r="BW135" s="90">
        <f t="shared" ca="1" si="99"/>
        <v>116750</v>
      </c>
      <c r="BX135" s="90">
        <f t="shared" ca="1" si="100"/>
        <v>4982820</v>
      </c>
      <c r="BY135" s="142">
        <f t="shared" ca="1" si="101"/>
        <v>0.6863583272123015</v>
      </c>
      <c r="BZ135" s="142">
        <f t="shared" ca="1" si="102"/>
        <v>8.1120730831135787E-2</v>
      </c>
      <c r="CA135" s="142">
        <f t="shared" ca="1" si="103"/>
        <v>0.17122031299545237</v>
      </c>
      <c r="CB135" s="142">
        <f t="shared" ca="1" si="104"/>
        <v>2.4484127461959293E-3</v>
      </c>
      <c r="CC135" s="142">
        <f t="shared" ca="1" si="105"/>
        <v>2.247723176835607E-2</v>
      </c>
      <c r="CD135" s="142">
        <f t="shared" ca="1" si="106"/>
        <v>1.2944477223740774E-2</v>
      </c>
      <c r="CE135" s="142">
        <f t="shared" ca="1" si="107"/>
        <v>2.3430507222817601E-2</v>
      </c>
      <c r="CG135" s="128">
        <f t="shared" si="108"/>
        <v>110</v>
      </c>
      <c r="CH135" s="90">
        <f ca="1">INDEX(角色升级!$A:$A,MATCH(玩家节奏1!$BX135,角色升级!$J:$J,1))</f>
        <v>574</v>
      </c>
      <c r="CI135" s="90">
        <f ca="1">INDEX(角色升级!$O:$O,MATCH(玩家节奏1!$BX135,角色升级!$J:$J,1))</f>
        <v>25636.801850000003</v>
      </c>
      <c r="CJ135" s="90">
        <f>INDEX(关卡对比!$J:$J,MATCH(玩家节奏1!N135,关卡对比!$A:$A,0))</f>
        <v>41200</v>
      </c>
      <c r="CK135" s="147">
        <f t="shared" ca="1" si="109"/>
        <v>1.6070647283175064</v>
      </c>
      <c r="CL135" s="128">
        <f ca="1">INDEX(角色升级!$P:$P,MATCH(玩家节奏1!$CH135,角色升级!$A:$A,0))</f>
        <v>7700</v>
      </c>
      <c r="CM135" s="90">
        <f ca="1">INDEX(角色升级!Q:Q,MATCH(玩家节奏1!$CH135,角色升级!$A:$A,0))</f>
        <v>0.9</v>
      </c>
      <c r="CO135" s="128">
        <f t="shared" si="110"/>
        <v>23606</v>
      </c>
      <c r="CP135" s="90">
        <f t="shared" si="111"/>
        <v>28421</v>
      </c>
      <c r="CQ135" s="90">
        <f t="shared" si="112"/>
        <v>19248</v>
      </c>
      <c r="CR135" s="90">
        <f t="shared" ca="1" si="113"/>
        <v>69582.5</v>
      </c>
      <c r="CS135" s="90">
        <f t="shared" ca="1" si="114"/>
        <v>140857.5</v>
      </c>
      <c r="CT135" s="142">
        <f t="shared" ca="1" si="115"/>
        <v>0.16758781037573434</v>
      </c>
      <c r="CU135" s="142">
        <f t="shared" ca="1" si="116"/>
        <v>0.20177129368333244</v>
      </c>
      <c r="CV135" s="142">
        <f t="shared" ca="1" si="117"/>
        <v>0.13664874074862893</v>
      </c>
      <c r="CW135" s="142">
        <f t="shared" ca="1" si="118"/>
        <v>0.49399215519230427</v>
      </c>
      <c r="CY135" s="128">
        <f t="shared" si="119"/>
        <v>11804</v>
      </c>
      <c r="CZ135" s="90">
        <f t="shared" si="120"/>
        <v>14071</v>
      </c>
      <c r="DA135" s="90">
        <f t="shared" si="121"/>
        <v>11200</v>
      </c>
      <c r="DB135" s="90">
        <f t="shared" ca="1" si="122"/>
        <v>45137</v>
      </c>
      <c r="DC135" s="90">
        <f t="shared" ca="1" si="123"/>
        <v>82212</v>
      </c>
      <c r="DD135" s="142">
        <f t="shared" ca="1" si="124"/>
        <v>0.14358001265022138</v>
      </c>
      <c r="DE135" s="142">
        <f t="shared" ca="1" si="125"/>
        <v>0.17115506252128643</v>
      </c>
      <c r="DF135" s="142">
        <f t="shared" ca="1" si="126"/>
        <v>0.13623315331095218</v>
      </c>
      <c r="DG135" s="142">
        <f t="shared" ca="1" si="127"/>
        <v>0.54903177151754001</v>
      </c>
      <c r="DI135" s="128">
        <f t="shared" si="128"/>
        <v>5568</v>
      </c>
      <c r="DJ135" s="90">
        <f t="shared" si="129"/>
        <v>6662</v>
      </c>
      <c r="DK135" s="90">
        <f t="shared" si="130"/>
        <v>3800</v>
      </c>
      <c r="DL135" s="90">
        <f t="shared" ca="1" si="131"/>
        <v>5751.5</v>
      </c>
      <c r="DM135" s="90">
        <f t="shared" ca="1" si="132"/>
        <v>21781.5</v>
      </c>
      <c r="DN135" s="142">
        <f t="shared" ca="1" si="133"/>
        <v>0.25562977756352867</v>
      </c>
      <c r="DO135" s="142">
        <f t="shared" ca="1" si="134"/>
        <v>0.30585588687647774</v>
      </c>
      <c r="DP135" s="142">
        <f t="shared" ca="1" si="135"/>
        <v>0.17445997750384501</v>
      </c>
      <c r="DQ135" s="142">
        <f t="shared" ca="1" si="136"/>
        <v>0.26405435805614857</v>
      </c>
      <c r="DS135" s="128">
        <f t="shared" ca="1" si="137"/>
        <v>140857.5</v>
      </c>
      <c r="DT135" s="90">
        <f t="shared" ca="1" si="138"/>
        <v>82212</v>
      </c>
      <c r="DU135" s="90">
        <f t="shared" ca="1" si="139"/>
        <v>21781.5</v>
      </c>
      <c r="DV135" s="90">
        <f t="shared" si="140"/>
        <v>112</v>
      </c>
      <c r="DW135" s="90">
        <f ca="1">_xlfn.IFNA(INDEX(武器升级消耗!$H:$H,MATCH(玩家节奏1!DS135/玩家节奏1!DS$5,武器升级消耗!M:M,1)),0)</f>
        <v>34</v>
      </c>
      <c r="DX135" s="90">
        <f ca="1">_xlfn.IFNA(INDEX(武器升级消耗!$H:$H,MATCH(玩家节奏1!DT135/玩家节奏1!DT$5,武器升级消耗!N:N,1)),0)</f>
        <v>31</v>
      </c>
      <c r="DY135" s="90">
        <f ca="1">_xlfn.IFNA(INDEX(武器升级消耗!$H:$H,MATCH(玩家节奏1!DU135/玩家节奏1!DU$5,武器升级消耗!O:O,1)),0)</f>
        <v>21</v>
      </c>
      <c r="DZ135" s="90">
        <f>_xlfn.IFNA(INDEX(武器升级消耗!$H:$H,MATCH(玩家节奏1!DV135/玩家节奏1!DV$5,武器升级消耗!P:P,1)),0)</f>
        <v>11</v>
      </c>
      <c r="EA135" s="90">
        <f ca="1">_xlfn.IFNA(INDEX(武器升级消耗!$Q:$Q,MATCH(玩家节奏1!DW135,武器升级消耗!$H:$H,0))*2*EA$4,0)</f>
        <v>4.5599999999999996</v>
      </c>
      <c r="EB135" s="90">
        <f ca="1">_xlfn.IFNA(INDEX(武器升级消耗!$Q:$Q,MATCH(玩家节奏1!DX135,武器升级消耗!$H:$H,0))*2*EB$4,0)</f>
        <v>5.25</v>
      </c>
      <c r="EC135" s="90">
        <f ca="1">_xlfn.IFNA(INDEX(武器升级消耗!$Q:$Q,MATCH(玩家节奏1!DY135,武器升级消耗!$H:$H,0))*2*EC$4,1)</f>
        <v>5.5</v>
      </c>
      <c r="ED135" s="90">
        <f>_xlfn.IFNA(INDEX(武器升级消耗!$Q:$Q,MATCH(玩家节奏1!DZ135,武器升级消耗!$H:$H,0))*2*ED$4,0)</f>
        <v>4.5</v>
      </c>
    </row>
    <row r="136" spans="1:134" x14ac:dyDescent="0.25">
      <c r="A136" s="123">
        <v>130</v>
      </c>
      <c r="B136" s="123">
        <f>INDEX(关卡对比!$Y:$Y,MATCH(关卡对比!Z136,关卡对比!$AA:$AA,1))</f>
        <v>78</v>
      </c>
      <c r="C136" s="124">
        <f>INDEX(关卡对比!$Y:$Y,MATCH(关卡对比!Z136,关卡对比!$AB:$AB,1))</f>
        <v>61</v>
      </c>
      <c r="D136" s="125">
        <f t="shared" si="157"/>
        <v>776.5</v>
      </c>
      <c r="E136" s="125">
        <v>3</v>
      </c>
      <c r="F136" s="128">
        <v>5</v>
      </c>
      <c r="G136" s="90">
        <v>1</v>
      </c>
      <c r="H136" s="90">
        <v>1</v>
      </c>
      <c r="J136" s="128">
        <v>130</v>
      </c>
      <c r="K136" s="90">
        <f t="shared" ref="K136:K167" si="164">INDEX($F:$F,MATCH(N135,$A:$A,0))</f>
        <v>5</v>
      </c>
      <c r="L136" s="90">
        <f t="shared" ref="L136:L167" si="165">INDEX($G:$G,MATCH(N135,$A:$A,0))</f>
        <v>1</v>
      </c>
      <c r="M136" s="90">
        <f t="shared" ref="M136:M167" si="166">INDEX($H:$H,MATCH(N135,$A:$A,0))</f>
        <v>1</v>
      </c>
      <c r="N136" s="140">
        <f>INDEX($A:$A,MATCH(SUM($K$7:K136),$D:$D,1))</f>
        <v>110</v>
      </c>
      <c r="O136" s="140">
        <v>0</v>
      </c>
      <c r="P136" s="141">
        <v>0</v>
      </c>
      <c r="Q136" s="126">
        <f>_xlfn.MAXIFS(关卡产出!X:X,关卡产出!$A:$A,玩家节奏1!$N$6,关卡产出!$B:$B,玩家节奏1!$N136)+_xlfn.MAXIFS(关卡产出!X:X,关卡产出!$A:$A,玩家节奏1!$O$6,关卡产出!$B:$B,玩家节奏1!$O136)+_xlfn.MAXIFS(关卡产出!X:X,关卡产出!$A:$A,玩家节奏1!$P$6,关卡产出!$B:$B,玩家节奏1!$P136)</f>
        <v>20500</v>
      </c>
      <c r="R136" s="90">
        <f>_xlfn.MAXIFS(关卡产出!Y:Y,关卡产出!$A:$A,玩家节奏1!$N$6,关卡产出!$B:$B,玩家节奏1!$N136)+_xlfn.MAXIFS(关卡产出!Y:Y,关卡产出!$A:$A,玩家节奏1!$O$6,关卡产出!$B:$B,玩家节奏1!$O136)+_xlfn.MAXIFS(关卡产出!Y:Y,关卡产出!$A:$A,玩家节奏1!$P$6,关卡产出!$B:$B,玩家节奏1!$P136)</f>
        <v>3420000</v>
      </c>
      <c r="S136" s="90">
        <f>_xlfn.MAXIFS(关卡产出!Z:Z,关卡产出!$A:$A,玩家节奏1!$N$6,关卡产出!$B:$B,玩家节奏1!$N136)+_xlfn.MAXIFS(关卡产出!Z:Z,关卡产出!$A:$A,玩家节奏1!$O$6,关卡产出!$B:$B,玩家节奏1!$O136)+_xlfn.MAXIFS(关卡产出!Z:Z,关卡产出!$A:$A,玩家节奏1!$P$6,关卡产出!$B:$B,玩家节奏1!$P136)</f>
        <v>23606</v>
      </c>
      <c r="T136" s="90">
        <f>_xlfn.MAXIFS(关卡产出!AA:AA,关卡产出!$A:$A,玩家节奏1!$N$6,关卡产出!$B:$B,玩家节奏1!$N136)+_xlfn.MAXIFS(关卡产出!AA:AA,关卡产出!$A:$A,玩家节奏1!$O$6,关卡产出!$B:$B,玩家节奏1!$O136)+_xlfn.MAXIFS(关卡产出!AA:AA,关卡产出!$A:$A,玩家节奏1!$P$6,关卡产出!$B:$B,玩家节奏1!$P136)</f>
        <v>11804</v>
      </c>
      <c r="U136" s="90">
        <f>_xlfn.MAXIFS(关卡产出!AB:AB,关卡产出!$A:$A,玩家节奏1!$N$6,关卡产出!$B:$B,玩家节奏1!$N136)+_xlfn.MAXIFS(关卡产出!AB:AB,关卡产出!$A:$A,玩家节奏1!$O$6,关卡产出!$B:$B,玩家节奏1!$O136)+_xlfn.MAXIFS(关卡产出!AB:AB,关卡产出!$A:$A,玩家节奏1!$P$6,关卡产出!$B:$B,玩家节奏1!$P136)</f>
        <v>5568</v>
      </c>
      <c r="V136" s="130">
        <f>_xlfn.MAXIFS(关卡产出!AC:AC,关卡产出!$A:$A,玩家节奏1!$N$6,关卡产出!$B:$B,玩家节奏1!$N136)+_xlfn.MAXIFS(关卡产出!AC:AC,关卡产出!$A:$A,玩家节奏1!$O$6,关卡产出!$B:$B,玩家节奏1!$O136)+_xlfn.MAXIFS(关卡产出!AC:AC,关卡产出!$A:$A,玩家节奏1!$P$6,关卡产出!$B:$B,玩家节奏1!$P136)</f>
        <v>660</v>
      </c>
      <c r="W136" s="126">
        <f>INDEX(关卡产出!C$8:C$207,MATCH(玩家节奏1!$N136,关卡产出!$B$8:$B$207,0))*$K136</f>
        <v>430</v>
      </c>
      <c r="X136" s="126">
        <f>INDEX(关卡产出!D$8:D$207,MATCH(玩家节奏1!$N136,关卡产出!$B$8:$B$207,0))*$K136</f>
        <v>215</v>
      </c>
      <c r="Y136" s="126">
        <f>INDEX(关卡产出!E$8:E$207,MATCH(玩家节奏1!$N136,关卡产出!$B$8:$B$207,0))*$K136</f>
        <v>105</v>
      </c>
      <c r="Z136" s="144">
        <f>INDEX(关卡产出!F$8:F$207,MATCH(玩家节奏1!$N136,关卡产出!$B$8:$B$207,0))*$K136</f>
        <v>5750</v>
      </c>
      <c r="AA136" s="126">
        <f>SUM(W$7:W136)</f>
        <v>28851</v>
      </c>
      <c r="AB136" s="126">
        <f>SUM(X$7:X136)</f>
        <v>14286</v>
      </c>
      <c r="AC136" s="126">
        <f>SUM(Y$7:Y136)</f>
        <v>6767</v>
      </c>
      <c r="AD136" s="126">
        <f>SUM(Z$7:Z136)</f>
        <v>409960</v>
      </c>
      <c r="AE136" s="126">
        <f>INDEX(图鉴!AQ:AQ,MATCH($N136,图鉴!$S:$S,0))*8</f>
        <v>168</v>
      </c>
      <c r="AF136" s="90">
        <f>INDEX(图鉴!AR:AR,MATCH($N136,图鉴!$S:$S,0))*8</f>
        <v>120</v>
      </c>
      <c r="AG136" s="90">
        <f>INDEX(图鉴!AS:AS,MATCH($N136,图鉴!$S:$S,0))*8</f>
        <v>48</v>
      </c>
      <c r="AH136" s="129">
        <f ca="1">INDEX(图鉴!AT:AT,MATCH($N136,图鉴!$S:$S,0))*8</f>
        <v>10520</v>
      </c>
      <c r="AI136" s="128">
        <f>SUM($AE$7:AE136)</f>
        <v>19416</v>
      </c>
      <c r="AJ136" s="90">
        <f>SUM(AF$7:AF136)</f>
        <v>11320</v>
      </c>
      <c r="AK136" s="90">
        <f>SUM(AG$7:AG136)</f>
        <v>3848</v>
      </c>
      <c r="AL136" s="130">
        <f ca="1">SUM(AH$7:AH136)</f>
        <v>863680</v>
      </c>
      <c r="AM136" s="133">
        <f>IF(M136=0,0,INDEX(关卡产出!$AU$11:$AU$15,MATCH(玩家节奏1!N136,关卡产出!$AW$11:$AW$15,1))*M136)</f>
        <v>12200</v>
      </c>
      <c r="AN136" s="126">
        <f>IF(L136=0,0,$L136*关卡产出!AU$21)</f>
        <v>1000</v>
      </c>
      <c r="AO136" s="90">
        <f>IF(M136=0,0,$L136*关卡产出!AV$21)</f>
        <v>50</v>
      </c>
      <c r="AP136" s="129">
        <f>IF(N136=0,0,$L136*关卡产出!AW$21)</f>
        <v>1</v>
      </c>
      <c r="AQ136" s="138">
        <f>SUM(AN$7:AN136)</f>
        <v>113000</v>
      </c>
      <c r="AR136" s="126">
        <f>SUM(AO$7:AO136)</f>
        <v>5650</v>
      </c>
      <c r="AS136" s="129">
        <f>SUM(AP$7:AP136)</f>
        <v>113</v>
      </c>
      <c r="AT136" s="128">
        <v>500</v>
      </c>
      <c r="AU136" s="129">
        <v>100</v>
      </c>
      <c r="AV136" s="128">
        <f>SUM(AT$7:AT136)</f>
        <v>65000</v>
      </c>
      <c r="AW136" s="90">
        <f>SUM(AU$7:AU136)</f>
        <v>13000</v>
      </c>
      <c r="AY136" s="128">
        <f t="shared" ref="AY136:AY199" si="167">Q136</f>
        <v>20500</v>
      </c>
      <c r="AZ136" s="90">
        <f t="shared" ref="AZ136:AZ199" si="168">AR136</f>
        <v>5650</v>
      </c>
      <c r="BA136" s="90">
        <f t="shared" ref="BA136:BA199" si="169">AW136</f>
        <v>13000</v>
      </c>
      <c r="BB136" s="90">
        <f t="shared" ca="1" si="143"/>
        <v>7700</v>
      </c>
      <c r="BC136" s="90">
        <f t="shared" ca="1" si="144"/>
        <v>46850</v>
      </c>
      <c r="BD136" s="90"/>
      <c r="BE136" s="90">
        <f t="shared" ref="BE136:BE199" ca="1" si="170">SUM(AY136:BB136)</f>
        <v>46850</v>
      </c>
      <c r="BF136" s="142">
        <f t="shared" ref="BF136:BF199" ca="1" si="171">AY136/$BC136</f>
        <v>0.43756670224119532</v>
      </c>
      <c r="BG136" s="142">
        <f t="shared" ref="BG136:BG199" ca="1" si="172">AZ136/$BC136</f>
        <v>0.12059765208110992</v>
      </c>
      <c r="BH136" s="142">
        <f t="shared" ref="BH136:BH167" ca="1" si="173">BA136/$BC136</f>
        <v>0.27748132337246534</v>
      </c>
      <c r="BI136" s="142">
        <f t="shared" ref="BI136:BI167" ca="1" si="174">BB136/$BC136</f>
        <v>0.16435432230522945</v>
      </c>
      <c r="BJ136" s="143"/>
      <c r="BK136" s="128">
        <f ca="1">INDEX(商城宝箱!$L:$L,MATCH(BC136,商城宝箱!$N:$N,1))</f>
        <v>9</v>
      </c>
      <c r="BL136" s="90">
        <f ca="1">_xlfn.IFNA(INDEX(商城宝箱!T:T,MATCH(玩家节奏1!$BK136,商城宝箱!$L:$L,0)),0)+($BC136-INDEX(商城宝箱!$N:$N,MATCH(玩家节奏1!$BK136,商城宝箱!$L:$L,0)))/$BK$5*INDEX(商城宝箱!E$23:E$42,MATCH(玩家节奏1!$BK136+1,商城宝箱!$C$23:$C$42,0))</f>
        <v>117125</v>
      </c>
      <c r="BM136" s="90">
        <f ca="1">_xlfn.IFNA(INDEX(商城宝箱!U:U,MATCH(玩家节奏1!$BK136,商城宝箱!$L:$L,0)),0)+($BC136-INDEX(商城宝箱!$N:$N,MATCH(玩家节奏1!$BK136,商城宝箱!$L:$L,0)))/$BK$5*INDEX(商城宝箱!F$23:F$42,MATCH(玩家节奏1!$BK136+1,商城宝箱!$C$23:$C$42,0))</f>
        <v>69987.5</v>
      </c>
      <c r="BN136" s="90">
        <f ca="1">_xlfn.IFNA(INDEX(商城宝箱!V:V,MATCH(玩家节奏1!$BK136,商城宝箱!$L:$L,0)),0)+($BC136-INDEX(商城宝箱!$N:$N,MATCH(玩家节奏1!$BK136,商城宝箱!$L:$L,0)))/$BK$5*INDEX(商城宝箱!G$23:G$42,MATCH(玩家节奏1!$BK136+1,商城宝箱!$C$23:$C$42,0))</f>
        <v>45324.5</v>
      </c>
      <c r="BO136" s="90">
        <f ca="1">_xlfn.IFNA(INDEX(商城宝箱!W:W,MATCH(玩家节奏1!$BK136,商城宝箱!$L:$L,0)),0)+($BC136-INDEX(商城宝箱!$N:$N,MATCH(玩家节奏1!$BK136,商城宝箱!$L:$L,0)))/$BK$5*INDEX(商城宝箱!H$23:H$42,MATCH(玩家节奏1!$BK136+1,商城宝箱!$C$23:$C$42,0))</f>
        <v>5781.5</v>
      </c>
      <c r="BQ136" s="128">
        <f t="shared" si="158"/>
        <v>3420000</v>
      </c>
      <c r="BR136" s="90">
        <f t="shared" si="159"/>
        <v>409960</v>
      </c>
      <c r="BS136" s="90">
        <f t="shared" ca="1" si="160"/>
        <v>863680</v>
      </c>
      <c r="BT136" s="90">
        <f t="shared" si="161"/>
        <v>12200</v>
      </c>
      <c r="BU136" s="90">
        <f t="shared" si="162"/>
        <v>113000</v>
      </c>
      <c r="BV136" s="90">
        <f t="shared" si="163"/>
        <v>65000</v>
      </c>
      <c r="BW136" s="90">
        <f t="shared" ref="BW136:BW199" ca="1" si="175">BL136</f>
        <v>117125</v>
      </c>
      <c r="BX136" s="90">
        <f t="shared" ref="BX136:BX199" ca="1" si="176">SUM(BQ136:BW136)</f>
        <v>5000965</v>
      </c>
      <c r="BY136" s="142">
        <f t="shared" ref="BY136:BY199" ca="1" si="177">BQ136/$BX136</f>
        <v>0.68386801347339965</v>
      </c>
      <c r="BZ136" s="142">
        <f t="shared" ref="BZ136:BZ199" ca="1" si="178">BR136/$BX136</f>
        <v>8.1976178597530674E-2</v>
      </c>
      <c r="CA136" s="142">
        <f t="shared" ref="CA136:CA199" ca="1" si="179">BS136/$BX136</f>
        <v>0.1727026683850017</v>
      </c>
      <c r="CB136" s="142">
        <f t="shared" ref="CB136:CB199" ca="1" si="180">BT136/$BX136</f>
        <v>2.4395291708700223E-3</v>
      </c>
      <c r="CC136" s="142">
        <f t="shared" ref="CC136:CC199" ca="1" si="181">BU136/$BX136</f>
        <v>2.259563904166496E-2</v>
      </c>
      <c r="CD136" s="142">
        <f t="shared" ref="CD136:CD199" ca="1" si="182">BV136/$BX136</f>
        <v>1.299749148414356E-2</v>
      </c>
      <c r="CE136" s="142">
        <f t="shared" ref="CE136:CE199" ca="1" si="183">BW136/$BX136</f>
        <v>2.3420479847389455E-2</v>
      </c>
      <c r="CG136" s="128">
        <f t="shared" ref="CG136:CG199" si="184">N136</f>
        <v>110</v>
      </c>
      <c r="CH136" s="90">
        <f ca="1">INDEX(角色升级!$A:$A,MATCH(玩家节奏1!$BX136,角色升级!$J:$J,1))</f>
        <v>575</v>
      </c>
      <c r="CI136" s="90">
        <f ca="1">INDEX(角色升级!$O:$O,MATCH(玩家节奏1!$BX136,角色升级!$J:$J,1))</f>
        <v>25897.073950000002</v>
      </c>
      <c r="CJ136" s="90">
        <f>INDEX(关卡对比!$J:$J,MATCH(玩家节奏1!N136,关卡对比!$A:$A,0))</f>
        <v>41200</v>
      </c>
      <c r="CK136" s="147">
        <f t="shared" ref="CK136:CK199" ca="1" si="185">CJ136/CI136</f>
        <v>1.5909133240128079</v>
      </c>
      <c r="CL136" s="128">
        <f ca="1">INDEX(角色升级!$P:$P,MATCH(玩家节奏1!$CH136,角色升级!$A:$A,0))</f>
        <v>7700</v>
      </c>
      <c r="CM136" s="90">
        <f ca="1">INDEX(角色升级!Q:Q,MATCH(玩家节奏1!$CH136,角色升级!$A:$A,0))</f>
        <v>0.9</v>
      </c>
      <c r="CO136" s="128">
        <f t="shared" ref="CO136:CO199" si="186">S136</f>
        <v>23606</v>
      </c>
      <c r="CP136" s="90">
        <f t="shared" ref="CP136:CP199" si="187">AA136</f>
        <v>28851</v>
      </c>
      <c r="CQ136" s="90">
        <f t="shared" ref="CQ136:CQ199" si="188">AI136</f>
        <v>19416</v>
      </c>
      <c r="CR136" s="90">
        <f t="shared" ref="CR136:CR199" ca="1" si="189">BM136</f>
        <v>69987.5</v>
      </c>
      <c r="CS136" s="90">
        <f t="shared" ref="CS136:CS199" ca="1" si="190">SUM(CO136:CR136)</f>
        <v>141860.5</v>
      </c>
      <c r="CT136" s="142">
        <f t="shared" ref="CT136:CT199" ca="1" si="191">CO136/$CS136</f>
        <v>0.1664029099009238</v>
      </c>
      <c r="CU136" s="142">
        <f t="shared" ref="CU136:CU199" ca="1" si="192">CP136/$CS136</f>
        <v>0.20337585162888894</v>
      </c>
      <c r="CV136" s="142">
        <f t="shared" ref="CV136:CV199" ca="1" si="193">CQ136/$CS136</f>
        <v>0.13686685159011847</v>
      </c>
      <c r="CW136" s="142">
        <f t="shared" ref="CW136:CW199" ca="1" si="194">CR136/$CS136</f>
        <v>0.49335438688006877</v>
      </c>
      <c r="CY136" s="128">
        <f t="shared" ref="CY136:CY199" si="195">T136</f>
        <v>11804</v>
      </c>
      <c r="CZ136" s="90">
        <f t="shared" ref="CZ136:CZ199" si="196">AB136</f>
        <v>14286</v>
      </c>
      <c r="DA136" s="90">
        <f t="shared" ref="DA136:DA199" si="197">AJ136</f>
        <v>11320</v>
      </c>
      <c r="DB136" s="90">
        <f t="shared" ref="DB136:DB199" ca="1" si="198">BN136</f>
        <v>45324.5</v>
      </c>
      <c r="DC136" s="90">
        <f t="shared" ref="DC136:DC199" ca="1" si="199">SUM(CY136:DB136)</f>
        <v>82734.5</v>
      </c>
      <c r="DD136" s="142">
        <f t="shared" ref="DD136:DD199" ca="1" si="200">CY136/$DC136</f>
        <v>0.14267324997431544</v>
      </c>
      <c r="DE136" s="142">
        <f t="shared" ref="DE136:DE199" ca="1" si="201">CZ136/$DC136</f>
        <v>0.17267282693435024</v>
      </c>
      <c r="DF136" s="142">
        <f t="shared" ref="DF136:DF199" ca="1" si="202">DA136/$DC136</f>
        <v>0.13682321159854716</v>
      </c>
      <c r="DG136" s="142">
        <f t="shared" ref="DG136:DG199" ca="1" si="203">DB136/$DC136</f>
        <v>0.54783071149278717</v>
      </c>
      <c r="DI136" s="128">
        <f t="shared" ref="DI136:DI199" si="204">U136</f>
        <v>5568</v>
      </c>
      <c r="DJ136" s="90">
        <f t="shared" ref="DJ136:DJ199" si="205">AC136</f>
        <v>6767</v>
      </c>
      <c r="DK136" s="90">
        <f t="shared" ref="DK136:DK199" si="206">AK136</f>
        <v>3848</v>
      </c>
      <c r="DL136" s="90">
        <f t="shared" ref="DL136:DL199" ca="1" si="207">BO136</f>
        <v>5781.5</v>
      </c>
      <c r="DM136" s="90">
        <f t="shared" ref="DM136:DM199" ca="1" si="208">SUM(DI136:DL136)</f>
        <v>21964.5</v>
      </c>
      <c r="DN136" s="142">
        <f t="shared" ref="DN136:DN199" ca="1" si="209">DI136/$DM136</f>
        <v>0.25349996585399165</v>
      </c>
      <c r="DO136" s="142">
        <f t="shared" ref="DO136:DO199" ca="1" si="210">DJ136/$DM136</f>
        <v>0.30808805117348448</v>
      </c>
      <c r="DP136" s="142">
        <f t="shared" ref="DP136:DP199" ca="1" si="211">DK136/$DM136</f>
        <v>0.17519178674679597</v>
      </c>
      <c r="DQ136" s="142">
        <f t="shared" ref="DQ136:DQ199" ca="1" si="212">DL136/$DM136</f>
        <v>0.2632201962257279</v>
      </c>
      <c r="DS136" s="128">
        <f t="shared" ref="DS136:DS199" ca="1" si="213">CS136</f>
        <v>141860.5</v>
      </c>
      <c r="DT136" s="90">
        <f t="shared" ref="DT136:DT199" ca="1" si="214">DC136</f>
        <v>82734.5</v>
      </c>
      <c r="DU136" s="90">
        <f t="shared" ref="DU136:DU199" ca="1" si="215">DM136</f>
        <v>21964.5</v>
      </c>
      <c r="DV136" s="90">
        <f t="shared" ref="DV136:DV199" si="216">AS136</f>
        <v>113</v>
      </c>
      <c r="DW136" s="90">
        <f ca="1">_xlfn.IFNA(INDEX(武器升级消耗!$H:$H,MATCH(玩家节奏1!DS136/玩家节奏1!DS$5,武器升级消耗!M:M,1)),0)</f>
        <v>34</v>
      </c>
      <c r="DX136" s="90">
        <f ca="1">_xlfn.IFNA(INDEX(武器升级消耗!$H:$H,MATCH(玩家节奏1!DT136/玩家节奏1!DT$5,武器升级消耗!N:N,1)),0)</f>
        <v>31</v>
      </c>
      <c r="DY136" s="90">
        <f ca="1">_xlfn.IFNA(INDEX(武器升级消耗!$H:$H,MATCH(玩家节奏1!DU136/玩家节奏1!DU$5,武器升级消耗!O:O,1)),0)</f>
        <v>21</v>
      </c>
      <c r="DZ136" s="90">
        <f>_xlfn.IFNA(INDEX(武器升级消耗!$H:$H,MATCH(玩家节奏1!DV136/玩家节奏1!DV$5,武器升级消耗!P:P,1)),0)</f>
        <v>11</v>
      </c>
      <c r="EA136" s="90">
        <f ca="1">_xlfn.IFNA(INDEX(武器升级消耗!$Q:$Q,MATCH(玩家节奏1!DW136,武器升级消耗!$H:$H,0))*2*EA$4,0)</f>
        <v>4.5599999999999996</v>
      </c>
      <c r="EB136" s="90">
        <f ca="1">_xlfn.IFNA(INDEX(武器升级消耗!$Q:$Q,MATCH(玩家节奏1!DX136,武器升级消耗!$H:$H,0))*2*EB$4,0)</f>
        <v>5.25</v>
      </c>
      <c r="EC136" s="90">
        <f ca="1">_xlfn.IFNA(INDEX(武器升级消耗!$Q:$Q,MATCH(玩家节奏1!DY136,武器升级消耗!$H:$H,0))*2*EC$4,1)</f>
        <v>5.5</v>
      </c>
      <c r="ED136" s="90">
        <f>_xlfn.IFNA(INDEX(武器升级消耗!$Q:$Q,MATCH(玩家节奏1!DZ136,武器升级消耗!$H:$H,0))*2*ED$4,0)</f>
        <v>4.5</v>
      </c>
    </row>
    <row r="137" spans="1:134" x14ac:dyDescent="0.25">
      <c r="A137" s="123">
        <v>131</v>
      </c>
      <c r="B137" s="123">
        <f>INDEX(关卡对比!$Y:$Y,MATCH(关卡对比!Z137,关卡对比!$AA:$AA,1))</f>
        <v>79</v>
      </c>
      <c r="C137" s="124">
        <f>INDEX(关卡对比!$Y:$Y,MATCH(关卡对比!Z137,关卡对比!$AB:$AB,1))</f>
        <v>62</v>
      </c>
      <c r="D137" s="125">
        <f t="shared" si="157"/>
        <v>785.5</v>
      </c>
      <c r="E137" s="125">
        <v>3</v>
      </c>
      <c r="F137" s="128">
        <v>5</v>
      </c>
      <c r="G137" s="90">
        <v>1</v>
      </c>
      <c r="H137" s="90">
        <v>1</v>
      </c>
      <c r="J137" s="128">
        <v>131</v>
      </c>
      <c r="K137" s="90">
        <f t="shared" si="164"/>
        <v>5</v>
      </c>
      <c r="L137" s="90">
        <f t="shared" si="165"/>
        <v>1</v>
      </c>
      <c r="M137" s="90">
        <f t="shared" si="166"/>
        <v>1</v>
      </c>
      <c r="N137" s="140">
        <f>INDEX($A:$A,MATCH(SUM($K$7:K137),$D:$D,1))</f>
        <v>112</v>
      </c>
      <c r="O137" s="140">
        <v>0</v>
      </c>
      <c r="P137" s="141">
        <v>0</v>
      </c>
      <c r="Q137" s="126">
        <f>_xlfn.MAXIFS(关卡产出!X:X,关卡产出!$A:$A,玩家节奏1!$N$6,关卡产出!$B:$B,玩家节奏1!$N137)+_xlfn.MAXIFS(关卡产出!X:X,关卡产出!$A:$A,玩家节奏1!$O$6,关卡产出!$B:$B,玩家节奏1!$O137)+_xlfn.MAXIFS(关卡产出!X:X,关卡产出!$A:$A,玩家节奏1!$P$6,关卡产出!$B:$B,玩家节奏1!$P137)</f>
        <v>20900</v>
      </c>
      <c r="R137" s="90">
        <f>_xlfn.MAXIFS(关卡产出!Y:Y,关卡产出!$A:$A,玩家节奏1!$N$6,关卡产出!$B:$B,玩家节奏1!$N137)+_xlfn.MAXIFS(关卡产出!Y:Y,关卡产出!$A:$A,玩家节奏1!$O$6,关卡产出!$B:$B,玩家节奏1!$O137)+_xlfn.MAXIFS(关卡产出!Y:Y,关卡产出!$A:$A,玩家节奏1!$P$6,关卡产出!$B:$B,玩家节奏1!$P137)</f>
        <v>3549200</v>
      </c>
      <c r="S137" s="90">
        <f>_xlfn.MAXIFS(关卡产出!Z:Z,关卡产出!$A:$A,玩家节奏1!$N$6,关卡产出!$B:$B,玩家节奏1!$N137)+_xlfn.MAXIFS(关卡产出!Z:Z,关卡产出!$A:$A,玩家节奏1!$O$6,关卡产出!$B:$B,玩家节奏1!$O137)+_xlfn.MAXIFS(关卡产出!Z:Z,关卡产出!$A:$A,玩家节奏1!$P$6,关卡产出!$B:$B,玩家节奏1!$P137)</f>
        <v>24482</v>
      </c>
      <c r="T137" s="90">
        <f>_xlfn.MAXIFS(关卡产出!AA:AA,关卡产出!$A:$A,玩家节奏1!$N$6,关卡产出!$B:$B,玩家节奏1!$N137)+_xlfn.MAXIFS(关卡产出!AA:AA,关卡产出!$A:$A,玩家节奏1!$O$6,关卡产出!$B:$B,玩家节奏1!$O137)+_xlfn.MAXIFS(关卡产出!AA:AA,关卡产出!$A:$A,玩家节奏1!$P$6,关卡产出!$B:$B,玩家节奏1!$P137)</f>
        <v>12242</v>
      </c>
      <c r="U137" s="90">
        <f>_xlfn.MAXIFS(关卡产出!AB:AB,关卡产出!$A:$A,玩家节奏1!$N$6,关卡产出!$B:$B,玩家节奏1!$N137)+_xlfn.MAXIFS(关卡产出!AB:AB,关卡产出!$A:$A,玩家节奏1!$O$6,关卡产出!$B:$B,玩家节奏1!$O137)+_xlfn.MAXIFS(关卡产出!AB:AB,关卡产出!$A:$A,玩家节奏1!$P$6,关卡产出!$B:$B,玩家节奏1!$P137)</f>
        <v>5781</v>
      </c>
      <c r="V137" s="130">
        <f>_xlfn.MAXIFS(关卡产出!AC:AC,关卡产出!$A:$A,玩家节奏1!$N$6,关卡产出!$B:$B,玩家节奏1!$N137)+_xlfn.MAXIFS(关卡产出!AC:AC,关卡产出!$A:$A,玩家节奏1!$O$6,关卡产出!$B:$B,玩家节奏1!$O137)+_xlfn.MAXIFS(关卡产出!AC:AC,关卡产出!$A:$A,玩家节奏1!$P$6,关卡产出!$B:$B,玩家节奏1!$P137)</f>
        <v>672</v>
      </c>
      <c r="W137" s="126">
        <f>INDEX(关卡产出!C$8:C$207,MATCH(玩家节奏1!$N137,关卡产出!$B$8:$B$207,0))*$K137</f>
        <v>440</v>
      </c>
      <c r="X137" s="126">
        <f>INDEX(关卡产出!D$8:D$207,MATCH(玩家节奏1!$N137,关卡产出!$B$8:$B$207,0))*$K137</f>
        <v>220</v>
      </c>
      <c r="Y137" s="126">
        <f>INDEX(关卡产出!E$8:E$207,MATCH(玩家节奏1!$N137,关卡产出!$B$8:$B$207,0))*$K137</f>
        <v>105</v>
      </c>
      <c r="Z137" s="144">
        <f>INDEX(关卡产出!F$8:F$207,MATCH(玩家节奏1!$N137,关卡产出!$B$8:$B$207,0))*$K137</f>
        <v>5850</v>
      </c>
      <c r="AA137" s="126">
        <f>SUM(W$7:W137)</f>
        <v>29291</v>
      </c>
      <c r="AB137" s="126">
        <f>SUM(X$7:X137)</f>
        <v>14506</v>
      </c>
      <c r="AC137" s="126">
        <f>SUM(Y$7:Y137)</f>
        <v>6872</v>
      </c>
      <c r="AD137" s="126">
        <f>SUM(Z$7:Z137)</f>
        <v>415810</v>
      </c>
      <c r="AE137" s="126">
        <f>INDEX(图鉴!AQ:AQ,MATCH($N137,图鉴!$S:$S,0))*8</f>
        <v>168</v>
      </c>
      <c r="AF137" s="90">
        <f>INDEX(图鉴!AR:AR,MATCH($N137,图鉴!$S:$S,0))*8</f>
        <v>120</v>
      </c>
      <c r="AG137" s="90">
        <f>INDEX(图鉴!AS:AS,MATCH($N137,图鉴!$S:$S,0))*8</f>
        <v>48</v>
      </c>
      <c r="AH137" s="129">
        <f ca="1">INDEX(图鉴!AT:AT,MATCH($N137,图鉴!$S:$S,0))*8</f>
        <v>10520</v>
      </c>
      <c r="AI137" s="128">
        <f>SUM($AE$7:AE137)</f>
        <v>19584</v>
      </c>
      <c r="AJ137" s="90">
        <f>SUM(AF$7:AF137)</f>
        <v>11440</v>
      </c>
      <c r="AK137" s="90">
        <f>SUM(AG$7:AG137)</f>
        <v>3896</v>
      </c>
      <c r="AL137" s="130">
        <f ca="1">SUM(AH$7:AH137)</f>
        <v>874200</v>
      </c>
      <c r="AM137" s="133">
        <f>IF(M137=0,0,INDEX(关卡产出!$AU$11:$AU$15,MATCH(玩家节奏1!N137,关卡产出!$AW$11:$AW$15,1))*M137)</f>
        <v>12200</v>
      </c>
      <c r="AN137" s="126">
        <f>IF(L137=0,0,$L137*关卡产出!AU$21)</f>
        <v>1000</v>
      </c>
      <c r="AO137" s="90">
        <f>IF(M137=0,0,$L137*关卡产出!AV$21)</f>
        <v>50</v>
      </c>
      <c r="AP137" s="129">
        <f>IF(N137=0,0,$L137*关卡产出!AW$21)</f>
        <v>1</v>
      </c>
      <c r="AQ137" s="138">
        <f>SUM(AN$7:AN137)</f>
        <v>114000</v>
      </c>
      <c r="AR137" s="126">
        <f>SUM(AO$7:AO137)</f>
        <v>5700</v>
      </c>
      <c r="AS137" s="129">
        <f>SUM(AP$7:AP137)</f>
        <v>114</v>
      </c>
      <c r="AT137" s="128">
        <v>500</v>
      </c>
      <c r="AU137" s="129">
        <v>100</v>
      </c>
      <c r="AV137" s="128">
        <f>SUM(AT$7:AT137)</f>
        <v>65500</v>
      </c>
      <c r="AW137" s="90">
        <f>SUM(AU$7:AU137)</f>
        <v>13100</v>
      </c>
      <c r="AY137" s="128">
        <f t="shared" si="167"/>
        <v>20900</v>
      </c>
      <c r="AZ137" s="90">
        <f t="shared" si="168"/>
        <v>5700</v>
      </c>
      <c r="BA137" s="90">
        <f t="shared" si="169"/>
        <v>13100</v>
      </c>
      <c r="BB137" s="90">
        <f t="shared" ref="BB137:BB200" ca="1" si="217">CL136</f>
        <v>7700</v>
      </c>
      <c r="BC137" s="90">
        <f t="shared" ca="1" si="144"/>
        <v>47400</v>
      </c>
      <c r="BD137" s="90"/>
      <c r="BE137" s="90">
        <f t="shared" ca="1" si="170"/>
        <v>47400</v>
      </c>
      <c r="BF137" s="142">
        <f t="shared" ca="1" si="171"/>
        <v>0.44092827004219409</v>
      </c>
      <c r="BG137" s="142">
        <f t="shared" ca="1" si="172"/>
        <v>0.12025316455696203</v>
      </c>
      <c r="BH137" s="142">
        <f t="shared" ca="1" si="173"/>
        <v>0.27637130801687765</v>
      </c>
      <c r="BI137" s="142">
        <f t="shared" ca="1" si="174"/>
        <v>0.16244725738396623</v>
      </c>
      <c r="BJ137" s="143"/>
      <c r="BK137" s="128">
        <f ca="1">INDEX(商城宝箱!$L:$L,MATCH(BC137,商城宝箱!$N:$N,1))</f>
        <v>9</v>
      </c>
      <c r="BL137" s="90">
        <f ca="1">_xlfn.IFNA(INDEX(商城宝箱!T:T,MATCH(玩家节奏1!$BK137,商城宝箱!$L:$L,0)),0)+($BC137-INDEX(商城宝箱!$N:$N,MATCH(玩家节奏1!$BK137,商城宝箱!$L:$L,0)))/$BK$5*INDEX(商城宝箱!E$23:E$42,MATCH(玩家节奏1!$BK137+1,商城宝箱!$C$23:$C$42,0))</f>
        <v>118500</v>
      </c>
      <c r="BM137" s="90">
        <f ca="1">_xlfn.IFNA(INDEX(商城宝箱!U:U,MATCH(玩家节奏1!$BK137,商城宝箱!$L:$L,0)),0)+($BC137-INDEX(商城宝箱!$N:$N,MATCH(玩家节奏1!$BK137,商城宝箱!$L:$L,0)))/$BK$5*INDEX(商城宝箱!F$23:F$42,MATCH(玩家节奏1!$BK137+1,商城宝箱!$C$23:$C$42,0))</f>
        <v>71472.5</v>
      </c>
      <c r="BN137" s="90">
        <f ca="1">_xlfn.IFNA(INDEX(商城宝箱!V:V,MATCH(玩家节奏1!$BK137,商城宝箱!$L:$L,0)),0)+($BC137-INDEX(商城宝箱!$N:$N,MATCH(玩家节奏1!$BK137,商城宝箱!$L:$L,0)))/$BK$5*INDEX(商城宝箱!G$23:G$42,MATCH(玩家节奏1!$BK137+1,商城宝箱!$C$23:$C$42,0))</f>
        <v>46012</v>
      </c>
      <c r="BO137" s="90">
        <f ca="1">_xlfn.IFNA(INDEX(商城宝箱!W:W,MATCH(玩家节奏1!$BK137,商城宝箱!$L:$L,0)),0)+($BC137-INDEX(商城宝箱!$N:$N,MATCH(玩家节奏1!$BK137,商城宝箱!$L:$L,0)))/$BK$5*INDEX(商城宝箱!H$23:H$42,MATCH(玩家节奏1!$BK137+1,商城宝箱!$C$23:$C$42,0))</f>
        <v>5891.5</v>
      </c>
      <c r="BQ137" s="128">
        <f t="shared" si="158"/>
        <v>3549200</v>
      </c>
      <c r="BR137" s="90">
        <f t="shared" si="159"/>
        <v>415810</v>
      </c>
      <c r="BS137" s="90">
        <f t="shared" ca="1" si="160"/>
        <v>874200</v>
      </c>
      <c r="BT137" s="90">
        <f t="shared" si="161"/>
        <v>12200</v>
      </c>
      <c r="BU137" s="90">
        <f t="shared" si="162"/>
        <v>114000</v>
      </c>
      <c r="BV137" s="90">
        <f t="shared" si="163"/>
        <v>65500</v>
      </c>
      <c r="BW137" s="90">
        <f t="shared" ca="1" si="175"/>
        <v>118500</v>
      </c>
      <c r="BX137" s="90">
        <f t="shared" ca="1" si="176"/>
        <v>5149410</v>
      </c>
      <c r="BY137" s="142">
        <f t="shared" ca="1" si="177"/>
        <v>0.68924401047887041</v>
      </c>
      <c r="BZ137" s="142">
        <f t="shared" ca="1" si="178"/>
        <v>8.0749056688047757E-2</v>
      </c>
      <c r="CA137" s="142">
        <f t="shared" ca="1" si="179"/>
        <v>0.16976702185298898</v>
      </c>
      <c r="CB137" s="142">
        <f t="shared" ca="1" si="180"/>
        <v>2.3692034621442069E-3</v>
      </c>
      <c r="CC137" s="142">
        <f t="shared" ca="1" si="181"/>
        <v>2.2138458580691769E-2</v>
      </c>
      <c r="CD137" s="142">
        <f t="shared" ca="1" si="182"/>
        <v>1.2719903833643078E-2</v>
      </c>
      <c r="CE137" s="142">
        <f t="shared" ca="1" si="183"/>
        <v>2.3012345103613812E-2</v>
      </c>
      <c r="CG137" s="128">
        <f t="shared" si="184"/>
        <v>112</v>
      </c>
      <c r="CH137" s="90">
        <f ca="1">INDEX(角色升级!$A:$A,MATCH(玩家节奏1!$BX137,角色升级!$J:$J,1))</f>
        <v>578</v>
      </c>
      <c r="CI137" s="90">
        <f ca="1">INDEX(角色升级!$O:$O,MATCH(玩家节奏1!$BX137,角色升级!$J:$J,1))</f>
        <v>26677.89025</v>
      </c>
      <c r="CJ137" s="90">
        <f>INDEX(关卡对比!$J:$J,MATCH(玩家节奏1!N137,关卡对比!$A:$A,0))</f>
        <v>42200</v>
      </c>
      <c r="CK137" s="147">
        <f t="shared" ca="1" si="185"/>
        <v>1.581834230688463</v>
      </c>
      <c r="CL137" s="128">
        <f ca="1">INDEX(角色升级!$P:$P,MATCH(玩家节奏1!$CH137,角色升级!$A:$A,0))</f>
        <v>7700</v>
      </c>
      <c r="CM137" s="90">
        <f ca="1">INDEX(角色升级!Q:Q,MATCH(玩家节奏1!$CH137,角色升级!$A:$A,0))</f>
        <v>0.9</v>
      </c>
      <c r="CO137" s="128">
        <f t="shared" si="186"/>
        <v>24482</v>
      </c>
      <c r="CP137" s="90">
        <f t="shared" si="187"/>
        <v>29291</v>
      </c>
      <c r="CQ137" s="90">
        <f t="shared" si="188"/>
        <v>19584</v>
      </c>
      <c r="CR137" s="90">
        <f t="shared" ca="1" si="189"/>
        <v>71472.5</v>
      </c>
      <c r="CS137" s="90">
        <f t="shared" ca="1" si="190"/>
        <v>144829.5</v>
      </c>
      <c r="CT137" s="142">
        <f t="shared" ca="1" si="191"/>
        <v>0.16904014720757857</v>
      </c>
      <c r="CU137" s="142">
        <f t="shared" ca="1" si="192"/>
        <v>0.2022447084330195</v>
      </c>
      <c r="CV137" s="142">
        <f t="shared" ca="1" si="193"/>
        <v>0.13522107029299971</v>
      </c>
      <c r="CW137" s="142">
        <f t="shared" ca="1" si="194"/>
        <v>0.49349407406640222</v>
      </c>
      <c r="CY137" s="128">
        <f t="shared" si="195"/>
        <v>12242</v>
      </c>
      <c r="CZ137" s="90">
        <f t="shared" si="196"/>
        <v>14506</v>
      </c>
      <c r="DA137" s="90">
        <f t="shared" si="197"/>
        <v>11440</v>
      </c>
      <c r="DB137" s="90">
        <f t="shared" ca="1" si="198"/>
        <v>46012</v>
      </c>
      <c r="DC137" s="90">
        <f t="shared" ca="1" si="199"/>
        <v>84200</v>
      </c>
      <c r="DD137" s="142">
        <f t="shared" ca="1" si="200"/>
        <v>0.1453919239904988</v>
      </c>
      <c r="DE137" s="142">
        <f t="shared" ca="1" si="201"/>
        <v>0.17228028503562945</v>
      </c>
      <c r="DF137" s="142">
        <f t="shared" ca="1" si="202"/>
        <v>0.13586698337292161</v>
      </c>
      <c r="DG137" s="142">
        <f t="shared" ca="1" si="203"/>
        <v>0.54646080760095017</v>
      </c>
      <c r="DI137" s="128">
        <f t="shared" si="204"/>
        <v>5781</v>
      </c>
      <c r="DJ137" s="90">
        <f t="shared" si="205"/>
        <v>6872</v>
      </c>
      <c r="DK137" s="90">
        <f t="shared" si="206"/>
        <v>3896</v>
      </c>
      <c r="DL137" s="90">
        <f t="shared" ca="1" si="207"/>
        <v>5891.5</v>
      </c>
      <c r="DM137" s="90">
        <f t="shared" ca="1" si="208"/>
        <v>22440.5</v>
      </c>
      <c r="DN137" s="142">
        <f t="shared" ca="1" si="209"/>
        <v>0.25761458078028565</v>
      </c>
      <c r="DO137" s="142">
        <f t="shared" ca="1" si="210"/>
        <v>0.30623203582807867</v>
      </c>
      <c r="DP137" s="142">
        <f t="shared" ca="1" si="211"/>
        <v>0.17361466990485952</v>
      </c>
      <c r="DQ137" s="142">
        <f t="shared" ca="1" si="212"/>
        <v>0.26253871348677615</v>
      </c>
      <c r="DS137" s="128">
        <f t="shared" ca="1" si="213"/>
        <v>144829.5</v>
      </c>
      <c r="DT137" s="90">
        <f t="shared" ca="1" si="214"/>
        <v>84200</v>
      </c>
      <c r="DU137" s="90">
        <f t="shared" ca="1" si="215"/>
        <v>22440.5</v>
      </c>
      <c r="DV137" s="90">
        <f t="shared" si="216"/>
        <v>114</v>
      </c>
      <c r="DW137" s="90">
        <f ca="1">_xlfn.IFNA(INDEX(武器升级消耗!$H:$H,MATCH(玩家节奏1!DS137/玩家节奏1!DS$5,武器升级消耗!M:M,1)),0)</f>
        <v>34</v>
      </c>
      <c r="DX137" s="90">
        <f ca="1">_xlfn.IFNA(INDEX(武器升级消耗!$H:$H,MATCH(玩家节奏1!DT137/玩家节奏1!DT$5,武器升级消耗!N:N,1)),0)</f>
        <v>31</v>
      </c>
      <c r="DY137" s="90">
        <f ca="1">_xlfn.IFNA(INDEX(武器升级消耗!$H:$H,MATCH(玩家节奏1!DU137/玩家节奏1!DU$5,武器升级消耗!O:O,1)),0)</f>
        <v>21</v>
      </c>
      <c r="DZ137" s="90">
        <f>_xlfn.IFNA(INDEX(武器升级消耗!$H:$H,MATCH(玩家节奏1!DV137/玩家节奏1!DV$5,武器升级消耗!P:P,1)),0)</f>
        <v>11</v>
      </c>
      <c r="EA137" s="90">
        <f ca="1">_xlfn.IFNA(INDEX(武器升级消耗!$Q:$Q,MATCH(玩家节奏1!DW137,武器升级消耗!$H:$H,0))*2*EA$4,0)</f>
        <v>4.5599999999999996</v>
      </c>
      <c r="EB137" s="90">
        <f ca="1">_xlfn.IFNA(INDEX(武器升级消耗!$Q:$Q,MATCH(玩家节奏1!DX137,武器升级消耗!$H:$H,0))*2*EB$4,0)</f>
        <v>5.25</v>
      </c>
      <c r="EC137" s="90">
        <f ca="1">_xlfn.IFNA(INDEX(武器升级消耗!$Q:$Q,MATCH(玩家节奏1!DY137,武器升级消耗!$H:$H,0))*2*EC$4,1)</f>
        <v>5.5</v>
      </c>
      <c r="ED137" s="90">
        <f>_xlfn.IFNA(INDEX(武器升级消耗!$Q:$Q,MATCH(玩家节奏1!DZ137,武器升级消耗!$H:$H,0))*2*ED$4,0)</f>
        <v>4.5</v>
      </c>
    </row>
    <row r="138" spans="1:134" x14ac:dyDescent="0.25">
      <c r="A138" s="123">
        <v>132</v>
      </c>
      <c r="B138" s="123">
        <f>INDEX(关卡对比!$Y:$Y,MATCH(关卡对比!Z138,关卡对比!$AA:$AA,1))</f>
        <v>79</v>
      </c>
      <c r="C138" s="124">
        <f>INDEX(关卡对比!$Y:$Y,MATCH(关卡对比!Z138,关卡对比!$AB:$AB,1))</f>
        <v>62</v>
      </c>
      <c r="D138" s="125">
        <f t="shared" si="157"/>
        <v>788.5</v>
      </c>
      <c r="E138" s="125">
        <v>3</v>
      </c>
      <c r="F138" s="128">
        <v>5</v>
      </c>
      <c r="G138" s="90">
        <v>1</v>
      </c>
      <c r="H138" s="90">
        <v>1</v>
      </c>
      <c r="J138" s="128">
        <v>132</v>
      </c>
      <c r="K138" s="90">
        <f t="shared" si="164"/>
        <v>5</v>
      </c>
      <c r="L138" s="90">
        <f t="shared" si="165"/>
        <v>1</v>
      </c>
      <c r="M138" s="90">
        <f t="shared" si="166"/>
        <v>1</v>
      </c>
      <c r="N138" s="140">
        <f>INDEX($A:$A,MATCH(SUM($K$7:K138),$D:$D,1))</f>
        <v>112</v>
      </c>
      <c r="O138" s="140">
        <v>0</v>
      </c>
      <c r="P138" s="141">
        <v>0</v>
      </c>
      <c r="Q138" s="126">
        <f>_xlfn.MAXIFS(关卡产出!X:X,关卡产出!$A:$A,玩家节奏1!$N$6,关卡产出!$B:$B,玩家节奏1!$N138)+_xlfn.MAXIFS(关卡产出!X:X,关卡产出!$A:$A,玩家节奏1!$O$6,关卡产出!$B:$B,玩家节奏1!$O138)+_xlfn.MAXIFS(关卡产出!X:X,关卡产出!$A:$A,玩家节奏1!$P$6,关卡产出!$B:$B,玩家节奏1!$P138)</f>
        <v>20900</v>
      </c>
      <c r="R138" s="90">
        <f>_xlfn.MAXIFS(关卡产出!Y:Y,关卡产出!$A:$A,玩家节奏1!$N$6,关卡产出!$B:$B,玩家节奏1!$N138)+_xlfn.MAXIFS(关卡产出!Y:Y,关卡产出!$A:$A,玩家节奏1!$O$6,关卡产出!$B:$B,玩家节奏1!$O138)+_xlfn.MAXIFS(关卡产出!Y:Y,关卡产出!$A:$A,玩家节奏1!$P$6,关卡产出!$B:$B,玩家节奏1!$P138)</f>
        <v>3549200</v>
      </c>
      <c r="S138" s="90">
        <f>_xlfn.MAXIFS(关卡产出!Z:Z,关卡产出!$A:$A,玩家节奏1!$N$6,关卡产出!$B:$B,玩家节奏1!$N138)+_xlfn.MAXIFS(关卡产出!Z:Z,关卡产出!$A:$A,玩家节奏1!$O$6,关卡产出!$B:$B,玩家节奏1!$O138)+_xlfn.MAXIFS(关卡产出!Z:Z,关卡产出!$A:$A,玩家节奏1!$P$6,关卡产出!$B:$B,玩家节奏1!$P138)</f>
        <v>24482</v>
      </c>
      <c r="T138" s="90">
        <f>_xlfn.MAXIFS(关卡产出!AA:AA,关卡产出!$A:$A,玩家节奏1!$N$6,关卡产出!$B:$B,玩家节奏1!$N138)+_xlfn.MAXIFS(关卡产出!AA:AA,关卡产出!$A:$A,玩家节奏1!$O$6,关卡产出!$B:$B,玩家节奏1!$O138)+_xlfn.MAXIFS(关卡产出!AA:AA,关卡产出!$A:$A,玩家节奏1!$P$6,关卡产出!$B:$B,玩家节奏1!$P138)</f>
        <v>12242</v>
      </c>
      <c r="U138" s="90">
        <f>_xlfn.MAXIFS(关卡产出!AB:AB,关卡产出!$A:$A,玩家节奏1!$N$6,关卡产出!$B:$B,玩家节奏1!$N138)+_xlfn.MAXIFS(关卡产出!AB:AB,关卡产出!$A:$A,玩家节奏1!$O$6,关卡产出!$B:$B,玩家节奏1!$O138)+_xlfn.MAXIFS(关卡产出!AB:AB,关卡产出!$A:$A,玩家节奏1!$P$6,关卡产出!$B:$B,玩家节奏1!$P138)</f>
        <v>5781</v>
      </c>
      <c r="V138" s="130">
        <f>_xlfn.MAXIFS(关卡产出!AC:AC,关卡产出!$A:$A,玩家节奏1!$N$6,关卡产出!$B:$B,玩家节奏1!$N138)+_xlfn.MAXIFS(关卡产出!AC:AC,关卡产出!$A:$A,玩家节奏1!$O$6,关卡产出!$B:$B,玩家节奏1!$O138)+_xlfn.MAXIFS(关卡产出!AC:AC,关卡产出!$A:$A,玩家节奏1!$P$6,关卡产出!$B:$B,玩家节奏1!$P138)</f>
        <v>672</v>
      </c>
      <c r="W138" s="126">
        <f>INDEX(关卡产出!C$8:C$207,MATCH(玩家节奏1!$N138,关卡产出!$B$8:$B$207,0))*$K138</f>
        <v>440</v>
      </c>
      <c r="X138" s="126">
        <f>INDEX(关卡产出!D$8:D$207,MATCH(玩家节奏1!$N138,关卡产出!$B$8:$B$207,0))*$K138</f>
        <v>220</v>
      </c>
      <c r="Y138" s="126">
        <f>INDEX(关卡产出!E$8:E$207,MATCH(玩家节奏1!$N138,关卡产出!$B$8:$B$207,0))*$K138</f>
        <v>105</v>
      </c>
      <c r="Z138" s="144">
        <f>INDEX(关卡产出!F$8:F$207,MATCH(玩家节奏1!$N138,关卡产出!$B$8:$B$207,0))*$K138</f>
        <v>5850</v>
      </c>
      <c r="AA138" s="126">
        <f>SUM(W$7:W138)</f>
        <v>29731</v>
      </c>
      <c r="AB138" s="126">
        <f>SUM(X$7:X138)</f>
        <v>14726</v>
      </c>
      <c r="AC138" s="126">
        <f>SUM(Y$7:Y138)</f>
        <v>6977</v>
      </c>
      <c r="AD138" s="126">
        <f>SUM(Z$7:Z138)</f>
        <v>421660</v>
      </c>
      <c r="AE138" s="126">
        <f>INDEX(图鉴!AQ:AQ,MATCH($N138,图鉴!$S:$S,0))*8</f>
        <v>168</v>
      </c>
      <c r="AF138" s="90">
        <f>INDEX(图鉴!AR:AR,MATCH($N138,图鉴!$S:$S,0))*8</f>
        <v>120</v>
      </c>
      <c r="AG138" s="90">
        <f>INDEX(图鉴!AS:AS,MATCH($N138,图鉴!$S:$S,0))*8</f>
        <v>48</v>
      </c>
      <c r="AH138" s="129">
        <f ca="1">INDEX(图鉴!AT:AT,MATCH($N138,图鉴!$S:$S,0))*8</f>
        <v>10520</v>
      </c>
      <c r="AI138" s="128">
        <f>SUM($AE$7:AE138)</f>
        <v>19752</v>
      </c>
      <c r="AJ138" s="90">
        <f>SUM(AF$7:AF138)</f>
        <v>11560</v>
      </c>
      <c r="AK138" s="90">
        <f>SUM(AG$7:AG138)</f>
        <v>3944</v>
      </c>
      <c r="AL138" s="130">
        <f ca="1">SUM(AH$7:AH138)</f>
        <v>884720</v>
      </c>
      <c r="AM138" s="133">
        <f>IF(M138=0,0,INDEX(关卡产出!$AU$11:$AU$15,MATCH(玩家节奏1!N138,关卡产出!$AW$11:$AW$15,1))*M138)</f>
        <v>12200</v>
      </c>
      <c r="AN138" s="126">
        <f>IF(L138=0,0,$L138*关卡产出!AU$21)</f>
        <v>1000</v>
      </c>
      <c r="AO138" s="90">
        <f>IF(M138=0,0,$L138*关卡产出!AV$21)</f>
        <v>50</v>
      </c>
      <c r="AP138" s="129">
        <f>IF(N138=0,0,$L138*关卡产出!AW$21)</f>
        <v>1</v>
      </c>
      <c r="AQ138" s="138">
        <f>SUM(AN$7:AN138)</f>
        <v>115000</v>
      </c>
      <c r="AR138" s="126">
        <f>SUM(AO$7:AO138)</f>
        <v>5750</v>
      </c>
      <c r="AS138" s="129">
        <f>SUM(AP$7:AP138)</f>
        <v>115</v>
      </c>
      <c r="AT138" s="128">
        <v>500</v>
      </c>
      <c r="AU138" s="129">
        <v>100</v>
      </c>
      <c r="AV138" s="128">
        <f>SUM(AT$7:AT138)</f>
        <v>66000</v>
      </c>
      <c r="AW138" s="90">
        <f>SUM(AU$7:AU138)</f>
        <v>13200</v>
      </c>
      <c r="AY138" s="128">
        <f t="shared" si="167"/>
        <v>20900</v>
      </c>
      <c r="AZ138" s="90">
        <f t="shared" si="168"/>
        <v>5750</v>
      </c>
      <c r="BA138" s="90">
        <f t="shared" si="169"/>
        <v>13200</v>
      </c>
      <c r="BB138" s="90">
        <f t="shared" ca="1" si="217"/>
        <v>7700</v>
      </c>
      <c r="BC138" s="90">
        <f t="shared" ca="1" si="144"/>
        <v>47550</v>
      </c>
      <c r="BD138" s="90"/>
      <c r="BE138" s="90">
        <f t="shared" ca="1" si="170"/>
        <v>47550</v>
      </c>
      <c r="BF138" s="142">
        <f t="shared" ca="1" si="171"/>
        <v>0.43953732912723448</v>
      </c>
      <c r="BG138" s="142">
        <f t="shared" ca="1" si="172"/>
        <v>0.12092534174553102</v>
      </c>
      <c r="BH138" s="142">
        <f t="shared" ca="1" si="173"/>
        <v>0.27760252365930599</v>
      </c>
      <c r="BI138" s="142">
        <f t="shared" ca="1" si="174"/>
        <v>0.16193480546792849</v>
      </c>
      <c r="BJ138" s="143"/>
      <c r="BK138" s="128">
        <f ca="1">INDEX(商城宝箱!$L:$L,MATCH(BC138,商城宝箱!$N:$N,1))</f>
        <v>9</v>
      </c>
      <c r="BL138" s="90">
        <f ca="1">_xlfn.IFNA(INDEX(商城宝箱!T:T,MATCH(玩家节奏1!$BK138,商城宝箱!$L:$L,0)),0)+($BC138-INDEX(商城宝箱!$N:$N,MATCH(玩家节奏1!$BK138,商城宝箱!$L:$L,0)))/$BK$5*INDEX(商城宝箱!E$23:E$42,MATCH(玩家节奏1!$BK138+1,商城宝箱!$C$23:$C$42,0))</f>
        <v>118875</v>
      </c>
      <c r="BM138" s="90">
        <f ca="1">_xlfn.IFNA(INDEX(商城宝箱!U:U,MATCH(玩家节奏1!$BK138,商城宝箱!$L:$L,0)),0)+($BC138-INDEX(商城宝箱!$N:$N,MATCH(玩家节奏1!$BK138,商城宝箱!$L:$L,0)))/$BK$5*INDEX(商城宝箱!F$23:F$42,MATCH(玩家节奏1!$BK138+1,商城宝箱!$C$23:$C$42,0))</f>
        <v>71877.5</v>
      </c>
      <c r="BN138" s="90">
        <f ca="1">_xlfn.IFNA(INDEX(商城宝箱!V:V,MATCH(玩家节奏1!$BK138,商城宝箱!$L:$L,0)),0)+($BC138-INDEX(商城宝箱!$N:$N,MATCH(玩家节奏1!$BK138,商城宝箱!$L:$L,0)))/$BK$5*INDEX(商城宝箱!G$23:G$42,MATCH(玩家节奏1!$BK138+1,商城宝箱!$C$23:$C$42,0))</f>
        <v>46199.5</v>
      </c>
      <c r="BO138" s="90">
        <f ca="1">_xlfn.IFNA(INDEX(商城宝箱!W:W,MATCH(玩家节奏1!$BK138,商城宝箱!$L:$L,0)),0)+($BC138-INDEX(商城宝箱!$N:$N,MATCH(玩家节奏1!$BK138,商城宝箱!$L:$L,0)))/$BK$5*INDEX(商城宝箱!H$23:H$42,MATCH(玩家节奏1!$BK138+1,商城宝箱!$C$23:$C$42,0))</f>
        <v>5921.5</v>
      </c>
      <c r="BQ138" s="128">
        <f t="shared" si="158"/>
        <v>3549200</v>
      </c>
      <c r="BR138" s="90">
        <f t="shared" si="159"/>
        <v>421660</v>
      </c>
      <c r="BS138" s="90">
        <f t="shared" ca="1" si="160"/>
        <v>884720</v>
      </c>
      <c r="BT138" s="90">
        <f t="shared" si="161"/>
        <v>12200</v>
      </c>
      <c r="BU138" s="90">
        <f t="shared" si="162"/>
        <v>115000</v>
      </c>
      <c r="BV138" s="90">
        <f t="shared" si="163"/>
        <v>66000</v>
      </c>
      <c r="BW138" s="90">
        <f t="shared" ca="1" si="175"/>
        <v>118875</v>
      </c>
      <c r="BX138" s="90">
        <f t="shared" ca="1" si="176"/>
        <v>5167655</v>
      </c>
      <c r="BY138" s="142">
        <f t="shared" ca="1" si="177"/>
        <v>0.68681055527120138</v>
      </c>
      <c r="BZ138" s="142">
        <f t="shared" ca="1" si="178"/>
        <v>8.1596004377227194E-2</v>
      </c>
      <c r="CA138" s="142">
        <f t="shared" ca="1" si="179"/>
        <v>0.17120337948256995</v>
      </c>
      <c r="CB138" s="142">
        <f t="shared" ca="1" si="180"/>
        <v>2.3608387169809131E-3</v>
      </c>
      <c r="CC138" s="142">
        <f t="shared" ca="1" si="181"/>
        <v>2.2253807578098771E-2</v>
      </c>
      <c r="CD138" s="142">
        <f t="shared" ca="1" si="182"/>
        <v>1.2771750436126252E-2</v>
      </c>
      <c r="CE138" s="142">
        <f t="shared" ca="1" si="183"/>
        <v>2.3003664137795577E-2</v>
      </c>
      <c r="CG138" s="128">
        <f t="shared" si="184"/>
        <v>112</v>
      </c>
      <c r="CH138" s="90">
        <f ca="1">INDEX(角色升级!$A:$A,MATCH(玩家节奏1!$BX138,角色升级!$J:$J,1))</f>
        <v>579</v>
      </c>
      <c r="CI138" s="90">
        <f ca="1">INDEX(角色升级!$O:$O,MATCH(玩家节奏1!$BX138,角色升级!$J:$J,1))</f>
        <v>26938.162350000002</v>
      </c>
      <c r="CJ138" s="90">
        <f>INDEX(关卡对比!$J:$J,MATCH(玩家节奏1!N138,关卡对比!$A:$A,0))</f>
        <v>42200</v>
      </c>
      <c r="CK138" s="147">
        <f t="shared" ca="1" si="185"/>
        <v>1.5665508081697339</v>
      </c>
      <c r="CL138" s="128">
        <f ca="1">INDEX(角色升级!$P:$P,MATCH(玩家节奏1!$CH138,角色升级!$A:$A,0))</f>
        <v>7700</v>
      </c>
      <c r="CM138" s="90">
        <f ca="1">INDEX(角色升级!Q:Q,MATCH(玩家节奏1!$CH138,角色升级!$A:$A,0))</f>
        <v>0.9</v>
      </c>
      <c r="CO138" s="128">
        <f t="shared" si="186"/>
        <v>24482</v>
      </c>
      <c r="CP138" s="90">
        <f t="shared" si="187"/>
        <v>29731</v>
      </c>
      <c r="CQ138" s="90">
        <f t="shared" si="188"/>
        <v>19752</v>
      </c>
      <c r="CR138" s="90">
        <f t="shared" ca="1" si="189"/>
        <v>71877.5</v>
      </c>
      <c r="CS138" s="90">
        <f t="shared" ca="1" si="190"/>
        <v>145842.5</v>
      </c>
      <c r="CT138" s="142">
        <f t="shared" ca="1" si="191"/>
        <v>0.16786601985018085</v>
      </c>
      <c r="CU138" s="142">
        <f t="shared" ca="1" si="192"/>
        <v>0.20385690042340196</v>
      </c>
      <c r="CV138" s="142">
        <f t="shared" ca="1" si="193"/>
        <v>0.13543377273428528</v>
      </c>
      <c r="CW138" s="142">
        <f t="shared" ca="1" si="194"/>
        <v>0.49284330699213191</v>
      </c>
      <c r="CY138" s="128">
        <f t="shared" si="195"/>
        <v>12242</v>
      </c>
      <c r="CZ138" s="90">
        <f t="shared" si="196"/>
        <v>14726</v>
      </c>
      <c r="DA138" s="90">
        <f t="shared" si="197"/>
        <v>11560</v>
      </c>
      <c r="DB138" s="90">
        <f t="shared" ca="1" si="198"/>
        <v>46199.5</v>
      </c>
      <c r="DC138" s="90">
        <f t="shared" ca="1" si="199"/>
        <v>84727.5</v>
      </c>
      <c r="DD138" s="142">
        <f t="shared" ca="1" si="200"/>
        <v>0.14448673689180019</v>
      </c>
      <c r="DE138" s="142">
        <f t="shared" ca="1" si="201"/>
        <v>0.17380425481691306</v>
      </c>
      <c r="DF138" s="142">
        <f t="shared" ca="1" si="202"/>
        <v>0.13643740226018708</v>
      </c>
      <c r="DG138" s="142">
        <f t="shared" ca="1" si="203"/>
        <v>0.5452716060310997</v>
      </c>
      <c r="DI138" s="128">
        <f t="shared" si="204"/>
        <v>5781</v>
      </c>
      <c r="DJ138" s="90">
        <f t="shared" si="205"/>
        <v>6977</v>
      </c>
      <c r="DK138" s="90">
        <f t="shared" si="206"/>
        <v>3944</v>
      </c>
      <c r="DL138" s="90">
        <f t="shared" ca="1" si="207"/>
        <v>5921.5</v>
      </c>
      <c r="DM138" s="90">
        <f t="shared" ca="1" si="208"/>
        <v>22623.5</v>
      </c>
      <c r="DN138" s="142">
        <f t="shared" ca="1" si="209"/>
        <v>0.25553075342011627</v>
      </c>
      <c r="DO138" s="142">
        <f t="shared" ca="1" si="210"/>
        <v>0.30839613676044819</v>
      </c>
      <c r="DP138" s="142">
        <f t="shared" ca="1" si="211"/>
        <v>0.17433199991159634</v>
      </c>
      <c r="DQ138" s="142">
        <f t="shared" ca="1" si="212"/>
        <v>0.26174110990783922</v>
      </c>
      <c r="DS138" s="128">
        <f t="shared" ca="1" si="213"/>
        <v>145842.5</v>
      </c>
      <c r="DT138" s="90">
        <f t="shared" ca="1" si="214"/>
        <v>84727.5</v>
      </c>
      <c r="DU138" s="90">
        <f t="shared" ca="1" si="215"/>
        <v>22623.5</v>
      </c>
      <c r="DV138" s="90">
        <f t="shared" si="216"/>
        <v>115</v>
      </c>
      <c r="DW138" s="90">
        <f ca="1">_xlfn.IFNA(INDEX(武器升级消耗!$H:$H,MATCH(玩家节奏1!DS138/玩家节奏1!DS$5,武器升级消耗!M:M,1)),0)</f>
        <v>35</v>
      </c>
      <c r="DX138" s="90">
        <f ca="1">_xlfn.IFNA(INDEX(武器升级消耗!$H:$H,MATCH(玩家节奏1!DT138/玩家节奏1!DT$5,武器升级消耗!N:N,1)),0)</f>
        <v>31</v>
      </c>
      <c r="DY138" s="90">
        <f ca="1">_xlfn.IFNA(INDEX(武器升级消耗!$H:$H,MATCH(玩家节奏1!DU138/玩家节奏1!DU$5,武器升级消耗!O:O,1)),0)</f>
        <v>21</v>
      </c>
      <c r="DZ138" s="90">
        <f>_xlfn.IFNA(INDEX(武器升级消耗!$H:$H,MATCH(玩家节奏1!DV138/玩家节奏1!DV$5,武器升级消耗!P:P,1)),0)</f>
        <v>11</v>
      </c>
      <c r="EA138" s="90">
        <f ca="1">_xlfn.IFNA(INDEX(武器升级消耗!$Q:$Q,MATCH(玩家节奏1!DW138,武器升级消耗!$H:$H,0))*2*EA$4,0)</f>
        <v>4.68</v>
      </c>
      <c r="EB138" s="90">
        <f ca="1">_xlfn.IFNA(INDEX(武器升级消耗!$Q:$Q,MATCH(玩家节奏1!DX138,武器升级消耗!$H:$H,0))*2*EB$4,0)</f>
        <v>5.25</v>
      </c>
      <c r="EC138" s="90">
        <f ca="1">_xlfn.IFNA(INDEX(武器升级消耗!$Q:$Q,MATCH(玩家节奏1!DY138,武器升级消耗!$H:$H,0))*2*EC$4,1)</f>
        <v>5.5</v>
      </c>
      <c r="ED138" s="90">
        <f>_xlfn.IFNA(INDEX(武器升级消耗!$Q:$Q,MATCH(玩家节奏1!DZ138,武器升级消耗!$H:$H,0))*2*ED$4,0)</f>
        <v>4.5</v>
      </c>
    </row>
    <row r="139" spans="1:134" x14ac:dyDescent="0.25">
      <c r="A139" s="123">
        <v>133</v>
      </c>
      <c r="B139" s="123">
        <f>INDEX(关卡对比!$Y:$Y,MATCH(关卡对比!Z139,关卡对比!$AA:$AA,1))</f>
        <v>80</v>
      </c>
      <c r="C139" s="124">
        <f>INDEX(关卡对比!$Y:$Y,MATCH(关卡对比!Z139,关卡对比!$AB:$AB,1))</f>
        <v>62</v>
      </c>
      <c r="D139" s="125">
        <f t="shared" si="157"/>
        <v>794.5</v>
      </c>
      <c r="E139" s="125">
        <v>3</v>
      </c>
      <c r="F139" s="128">
        <v>5</v>
      </c>
      <c r="G139" s="90">
        <v>1</v>
      </c>
      <c r="H139" s="90">
        <v>1</v>
      </c>
      <c r="J139" s="128">
        <v>133</v>
      </c>
      <c r="K139" s="90">
        <f t="shared" si="164"/>
        <v>5</v>
      </c>
      <c r="L139" s="90">
        <f t="shared" si="165"/>
        <v>1</v>
      </c>
      <c r="M139" s="90">
        <f t="shared" si="166"/>
        <v>1</v>
      </c>
      <c r="N139" s="140">
        <f>INDEX($A:$A,MATCH(SUM($K$7:K139),$D:$D,1))</f>
        <v>113</v>
      </c>
      <c r="O139" s="140">
        <v>0</v>
      </c>
      <c r="P139" s="141">
        <v>0</v>
      </c>
      <c r="Q139" s="126">
        <f>_xlfn.MAXIFS(关卡产出!X:X,关卡产出!$A:$A,玩家节奏1!$N$6,关卡产出!$B:$B,玩家节奏1!$N139)+_xlfn.MAXIFS(关卡产出!X:X,关卡产出!$A:$A,玩家节奏1!$O$6,关卡产出!$B:$B,玩家节奏1!$O139)+_xlfn.MAXIFS(关卡产出!X:X,关卡产出!$A:$A,玩家节奏1!$P$6,关卡产出!$B:$B,玩家节奏1!$P139)</f>
        <v>21100</v>
      </c>
      <c r="R139" s="90">
        <f>_xlfn.MAXIFS(关卡产出!Y:Y,关卡产出!$A:$A,玩家节奏1!$N$6,关卡产出!$B:$B,玩家节奏1!$N139)+_xlfn.MAXIFS(关卡产出!Y:Y,关卡产出!$A:$A,玩家节奏1!$O$6,关卡产出!$B:$B,玩家节奏1!$O139)+_xlfn.MAXIFS(关卡产出!Y:Y,关卡产出!$A:$A,玩家节奏1!$P$6,关卡产出!$B:$B,玩家节奏1!$P139)</f>
        <v>3614700</v>
      </c>
      <c r="S139" s="90">
        <f>_xlfn.MAXIFS(关卡产出!Z:Z,关卡产出!$A:$A,玩家节奏1!$N$6,关卡产出!$B:$B,玩家节奏1!$N139)+_xlfn.MAXIFS(关卡产出!Z:Z,关卡产出!$A:$A,玩家节奏1!$O$6,关卡产出!$B:$B,玩家节奏1!$O139)+_xlfn.MAXIFS(关卡产出!Z:Z,关卡产出!$A:$A,玩家节奏1!$P$6,关卡产出!$B:$B,玩家节奏1!$P139)</f>
        <v>24926</v>
      </c>
      <c r="T139" s="90">
        <f>_xlfn.MAXIFS(关卡产出!AA:AA,关卡产出!$A:$A,玩家节奏1!$N$6,关卡产出!$B:$B,玩家节奏1!$N139)+_xlfn.MAXIFS(关卡产出!AA:AA,关卡产出!$A:$A,玩家节奏1!$O$6,关卡产出!$B:$B,玩家节奏1!$O139)+_xlfn.MAXIFS(关卡产出!AA:AA,关卡产出!$A:$A,玩家节奏1!$P$6,关卡产出!$B:$B,玩家节奏1!$P139)</f>
        <v>12464</v>
      </c>
      <c r="U139" s="90">
        <f>_xlfn.MAXIFS(关卡产出!AB:AB,关卡产出!$A:$A,玩家节奏1!$N$6,关卡产出!$B:$B,玩家节奏1!$N139)+_xlfn.MAXIFS(关卡产出!AB:AB,关卡产出!$A:$A,玩家节奏1!$O$6,关卡产出!$B:$B,玩家节奏1!$O139)+_xlfn.MAXIFS(关卡产出!AB:AB,关卡产出!$A:$A,玩家节奏1!$P$6,关卡产出!$B:$B,玩家节奏1!$P139)</f>
        <v>5889</v>
      </c>
      <c r="V139" s="130">
        <f>_xlfn.MAXIFS(关卡产出!AC:AC,关卡产出!$A:$A,玩家节奏1!$N$6,关卡产出!$B:$B,玩家节奏1!$N139)+_xlfn.MAXIFS(关卡产出!AC:AC,关卡产出!$A:$A,玩家节奏1!$O$6,关卡产出!$B:$B,玩家节奏1!$O139)+_xlfn.MAXIFS(关卡产出!AC:AC,关卡产出!$A:$A,玩家节奏1!$P$6,关卡产出!$B:$B,玩家节奏1!$P139)</f>
        <v>678</v>
      </c>
      <c r="W139" s="126">
        <f>INDEX(关卡产出!C$8:C$207,MATCH(玩家节奏1!$N139,关卡产出!$B$8:$B$207,0))*$K139</f>
        <v>445</v>
      </c>
      <c r="X139" s="126">
        <f>INDEX(关卡产出!D$8:D$207,MATCH(玩家节奏1!$N139,关卡产出!$B$8:$B$207,0))*$K139</f>
        <v>220</v>
      </c>
      <c r="Y139" s="126">
        <f>INDEX(关卡产出!E$8:E$207,MATCH(玩家节奏1!$N139,关卡产出!$B$8:$B$207,0))*$K139</f>
        <v>110</v>
      </c>
      <c r="Z139" s="144">
        <f>INDEX(关卡产出!F$8:F$207,MATCH(玩家节奏1!$N139,关卡产出!$B$8:$B$207,0))*$K139</f>
        <v>5950</v>
      </c>
      <c r="AA139" s="126">
        <f>SUM(W$7:W139)</f>
        <v>30176</v>
      </c>
      <c r="AB139" s="126">
        <f>SUM(X$7:X139)</f>
        <v>14946</v>
      </c>
      <c r="AC139" s="126">
        <f>SUM(Y$7:Y139)</f>
        <v>7087</v>
      </c>
      <c r="AD139" s="126">
        <f>SUM(Z$7:Z139)</f>
        <v>427610</v>
      </c>
      <c r="AE139" s="126">
        <f>INDEX(图鉴!AQ:AQ,MATCH($N139,图鉴!$S:$S,0))*8</f>
        <v>168</v>
      </c>
      <c r="AF139" s="90">
        <f>INDEX(图鉴!AR:AR,MATCH($N139,图鉴!$S:$S,0))*8</f>
        <v>120</v>
      </c>
      <c r="AG139" s="90">
        <f>INDEX(图鉴!AS:AS,MATCH($N139,图鉴!$S:$S,0))*8</f>
        <v>48</v>
      </c>
      <c r="AH139" s="129">
        <f ca="1">INDEX(图鉴!AT:AT,MATCH($N139,图鉴!$S:$S,0))*8</f>
        <v>10520</v>
      </c>
      <c r="AI139" s="128">
        <f>SUM($AE$7:AE139)</f>
        <v>19920</v>
      </c>
      <c r="AJ139" s="90">
        <f>SUM(AF$7:AF139)</f>
        <v>11680</v>
      </c>
      <c r="AK139" s="90">
        <f>SUM(AG$7:AG139)</f>
        <v>3992</v>
      </c>
      <c r="AL139" s="130">
        <f ca="1">SUM(AH$7:AH139)</f>
        <v>895240</v>
      </c>
      <c r="AM139" s="133">
        <f>IF(M139=0,0,INDEX(关卡产出!$AU$11:$AU$15,MATCH(玩家节奏1!N139,关卡产出!$AW$11:$AW$15,1))*M139)</f>
        <v>12200</v>
      </c>
      <c r="AN139" s="126">
        <f>IF(L139=0,0,$L139*关卡产出!AU$21)</f>
        <v>1000</v>
      </c>
      <c r="AO139" s="90">
        <f>IF(M139=0,0,$L139*关卡产出!AV$21)</f>
        <v>50</v>
      </c>
      <c r="AP139" s="129">
        <f>IF(N139=0,0,$L139*关卡产出!AW$21)</f>
        <v>1</v>
      </c>
      <c r="AQ139" s="138">
        <f>SUM(AN$7:AN139)</f>
        <v>116000</v>
      </c>
      <c r="AR139" s="126">
        <f>SUM(AO$7:AO139)</f>
        <v>5800</v>
      </c>
      <c r="AS139" s="129">
        <f>SUM(AP$7:AP139)</f>
        <v>116</v>
      </c>
      <c r="AT139" s="128">
        <v>500</v>
      </c>
      <c r="AU139" s="129">
        <v>100</v>
      </c>
      <c r="AV139" s="128">
        <f>SUM(AT$7:AT139)</f>
        <v>66500</v>
      </c>
      <c r="AW139" s="90">
        <f>SUM(AU$7:AU139)</f>
        <v>13300</v>
      </c>
      <c r="AY139" s="128">
        <f t="shared" si="167"/>
        <v>21100</v>
      </c>
      <c r="AZ139" s="90">
        <f t="shared" si="168"/>
        <v>5800</v>
      </c>
      <c r="BA139" s="90">
        <f t="shared" si="169"/>
        <v>13300</v>
      </c>
      <c r="BB139" s="90">
        <f t="shared" ca="1" si="217"/>
        <v>7700</v>
      </c>
      <c r="BC139" s="90">
        <f t="shared" ref="BC139:BC202" ca="1" si="218">BE139-BD139</f>
        <v>47900</v>
      </c>
      <c r="BD139" s="90"/>
      <c r="BE139" s="90">
        <f t="shared" ca="1" si="170"/>
        <v>47900</v>
      </c>
      <c r="BF139" s="142">
        <f t="shared" ca="1" si="171"/>
        <v>0.44050104384133609</v>
      </c>
      <c r="BG139" s="142">
        <f t="shared" ca="1" si="172"/>
        <v>0.12108559498956159</v>
      </c>
      <c r="BH139" s="142">
        <f t="shared" ca="1" si="173"/>
        <v>0.27766179540709812</v>
      </c>
      <c r="BI139" s="142">
        <f t="shared" ca="1" si="174"/>
        <v>0.16075156576200417</v>
      </c>
      <c r="BJ139" s="143"/>
      <c r="BK139" s="128">
        <f ca="1">INDEX(商城宝箱!$L:$L,MATCH(BC139,商城宝箱!$N:$N,1))</f>
        <v>9</v>
      </c>
      <c r="BL139" s="90">
        <f ca="1">_xlfn.IFNA(INDEX(商城宝箱!T:T,MATCH(玩家节奏1!$BK139,商城宝箱!$L:$L,0)),0)+($BC139-INDEX(商城宝箱!$N:$N,MATCH(玩家节奏1!$BK139,商城宝箱!$L:$L,0)))/$BK$5*INDEX(商城宝箱!E$23:E$42,MATCH(玩家节奏1!$BK139+1,商城宝箱!$C$23:$C$42,0))</f>
        <v>119750</v>
      </c>
      <c r="BM139" s="90">
        <f ca="1">_xlfn.IFNA(INDEX(商城宝箱!U:U,MATCH(玩家节奏1!$BK139,商城宝箱!$L:$L,0)),0)+($BC139-INDEX(商城宝箱!$N:$N,MATCH(玩家节奏1!$BK139,商城宝箱!$L:$L,0)))/$BK$5*INDEX(商城宝箱!F$23:F$42,MATCH(玩家节奏1!$BK139+1,商城宝箱!$C$23:$C$42,0))</f>
        <v>72822.5</v>
      </c>
      <c r="BN139" s="90">
        <f ca="1">_xlfn.IFNA(INDEX(商城宝箱!V:V,MATCH(玩家节奏1!$BK139,商城宝箱!$L:$L,0)),0)+($BC139-INDEX(商城宝箱!$N:$N,MATCH(玩家节奏1!$BK139,商城宝箱!$L:$L,0)))/$BK$5*INDEX(商城宝箱!G$23:G$42,MATCH(玩家节奏1!$BK139+1,商城宝箱!$C$23:$C$42,0))</f>
        <v>46637</v>
      </c>
      <c r="BO139" s="90">
        <f ca="1">_xlfn.IFNA(INDEX(商城宝箱!W:W,MATCH(玩家节奏1!$BK139,商城宝箱!$L:$L,0)),0)+($BC139-INDEX(商城宝箱!$N:$N,MATCH(玩家节奏1!$BK139,商城宝箱!$L:$L,0)))/$BK$5*INDEX(商城宝箱!H$23:H$42,MATCH(玩家节奏1!$BK139+1,商城宝箱!$C$23:$C$42,0))</f>
        <v>5991.5</v>
      </c>
      <c r="BQ139" s="128">
        <f t="shared" si="158"/>
        <v>3614700</v>
      </c>
      <c r="BR139" s="90">
        <f t="shared" si="159"/>
        <v>427610</v>
      </c>
      <c r="BS139" s="90">
        <f t="shared" ca="1" si="160"/>
        <v>895240</v>
      </c>
      <c r="BT139" s="90">
        <f t="shared" si="161"/>
        <v>12200</v>
      </c>
      <c r="BU139" s="90">
        <f t="shared" si="162"/>
        <v>116000</v>
      </c>
      <c r="BV139" s="90">
        <f t="shared" si="163"/>
        <v>66500</v>
      </c>
      <c r="BW139" s="90">
        <f t="shared" ca="1" si="175"/>
        <v>119750</v>
      </c>
      <c r="BX139" s="90">
        <f t="shared" ca="1" si="176"/>
        <v>5252000</v>
      </c>
      <c r="BY139" s="142">
        <f t="shared" ca="1" si="177"/>
        <v>0.68825209444021329</v>
      </c>
      <c r="BZ139" s="142">
        <f t="shared" ca="1" si="178"/>
        <v>8.1418507235338916E-2</v>
      </c>
      <c r="CA139" s="142">
        <f t="shared" ca="1" si="179"/>
        <v>0.17045696877380045</v>
      </c>
      <c r="CB139" s="142">
        <f t="shared" ca="1" si="180"/>
        <v>2.3229246001523229E-3</v>
      </c>
      <c r="CC139" s="142">
        <f t="shared" ca="1" si="181"/>
        <v>2.2086824067022087E-2</v>
      </c>
      <c r="CD139" s="142">
        <f t="shared" ca="1" si="182"/>
        <v>1.2661843107387662E-2</v>
      </c>
      <c r="CE139" s="142">
        <f t="shared" ca="1" si="183"/>
        <v>2.2800837776085301E-2</v>
      </c>
      <c r="CG139" s="128">
        <f t="shared" si="184"/>
        <v>113</v>
      </c>
      <c r="CH139" s="90">
        <f ca="1">INDEX(角色升级!$A:$A,MATCH(玩家节奏1!$BX139,角色升级!$J:$J,1))</f>
        <v>581</v>
      </c>
      <c r="CI139" s="90">
        <f ca="1">INDEX(角色升级!$O:$O,MATCH(玩家节奏1!$BX139,角色升级!$J:$J,1))</f>
        <v>27221.309499999999</v>
      </c>
      <c r="CJ139" s="90">
        <f>INDEX(关卡对比!$J:$J,MATCH(玩家节奏1!N139,关卡对比!$A:$A,0))</f>
        <v>42700</v>
      </c>
      <c r="CK139" s="147">
        <f t="shared" ca="1" si="185"/>
        <v>1.5686240222940047</v>
      </c>
      <c r="CL139" s="128">
        <f ca="1">INDEX(角色升级!$P:$P,MATCH(玩家节奏1!$CH139,角色升级!$A:$A,0))</f>
        <v>9200</v>
      </c>
      <c r="CM139" s="90">
        <f ca="1">INDEX(角色升级!Q:Q,MATCH(玩家节奏1!$CH139,角色升级!$A:$A,0))</f>
        <v>0.9</v>
      </c>
      <c r="CO139" s="128">
        <f t="shared" si="186"/>
        <v>24926</v>
      </c>
      <c r="CP139" s="90">
        <f t="shared" si="187"/>
        <v>30176</v>
      </c>
      <c r="CQ139" s="90">
        <f t="shared" si="188"/>
        <v>19920</v>
      </c>
      <c r="CR139" s="90">
        <f t="shared" ca="1" si="189"/>
        <v>72822.5</v>
      </c>
      <c r="CS139" s="90">
        <f t="shared" ca="1" si="190"/>
        <v>147844.5</v>
      </c>
      <c r="CT139" s="142">
        <f t="shared" ca="1" si="191"/>
        <v>0.16859605869680644</v>
      </c>
      <c r="CU139" s="142">
        <f t="shared" ca="1" si="192"/>
        <v>0.20410634146011519</v>
      </c>
      <c r="CV139" s="142">
        <f t="shared" ca="1" si="193"/>
        <v>0.13473615859906862</v>
      </c>
      <c r="CW139" s="142">
        <f t="shared" ca="1" si="194"/>
        <v>0.49256144124400975</v>
      </c>
      <c r="CY139" s="128">
        <f t="shared" si="195"/>
        <v>12464</v>
      </c>
      <c r="CZ139" s="90">
        <f t="shared" si="196"/>
        <v>14946</v>
      </c>
      <c r="DA139" s="90">
        <f t="shared" si="197"/>
        <v>11680</v>
      </c>
      <c r="DB139" s="90">
        <f t="shared" ca="1" si="198"/>
        <v>46637</v>
      </c>
      <c r="DC139" s="90">
        <f t="shared" ca="1" si="199"/>
        <v>85727</v>
      </c>
      <c r="DD139" s="142">
        <f t="shared" ca="1" si="200"/>
        <v>0.14539176688791164</v>
      </c>
      <c r="DE139" s="142">
        <f t="shared" ca="1" si="201"/>
        <v>0.17434413895272202</v>
      </c>
      <c r="DF139" s="142">
        <f t="shared" ca="1" si="202"/>
        <v>0.13624645677557828</v>
      </c>
      <c r="DG139" s="142">
        <f t="shared" ca="1" si="203"/>
        <v>0.54401763738378806</v>
      </c>
      <c r="DI139" s="128">
        <f t="shared" si="204"/>
        <v>5889</v>
      </c>
      <c r="DJ139" s="90">
        <f t="shared" si="205"/>
        <v>7087</v>
      </c>
      <c r="DK139" s="90">
        <f t="shared" si="206"/>
        <v>3992</v>
      </c>
      <c r="DL139" s="90">
        <f t="shared" ca="1" si="207"/>
        <v>5991.5</v>
      </c>
      <c r="DM139" s="90">
        <f t="shared" ca="1" si="208"/>
        <v>22959.5</v>
      </c>
      <c r="DN139" s="142">
        <f t="shared" ca="1" si="209"/>
        <v>0.25649513273372676</v>
      </c>
      <c r="DO139" s="142">
        <f t="shared" ca="1" si="210"/>
        <v>0.30867396938086633</v>
      </c>
      <c r="DP139" s="142">
        <f t="shared" ca="1" si="211"/>
        <v>0.17387138221651169</v>
      </c>
      <c r="DQ139" s="142">
        <f t="shared" ca="1" si="212"/>
        <v>0.26095951566889525</v>
      </c>
      <c r="DS139" s="128">
        <f t="shared" ca="1" si="213"/>
        <v>147844.5</v>
      </c>
      <c r="DT139" s="90">
        <f t="shared" ca="1" si="214"/>
        <v>85727</v>
      </c>
      <c r="DU139" s="90">
        <f t="shared" ca="1" si="215"/>
        <v>22959.5</v>
      </c>
      <c r="DV139" s="90">
        <f t="shared" si="216"/>
        <v>116</v>
      </c>
      <c r="DW139" s="90">
        <f ca="1">_xlfn.IFNA(INDEX(武器升级消耗!$H:$H,MATCH(玩家节奏1!DS139/玩家节奏1!DS$5,武器升级消耗!M:M,1)),0)</f>
        <v>35</v>
      </c>
      <c r="DX139" s="90">
        <f ca="1">_xlfn.IFNA(INDEX(武器升级消耗!$H:$H,MATCH(玩家节奏1!DT139/玩家节奏1!DT$5,武器升级消耗!N:N,1)),0)</f>
        <v>32</v>
      </c>
      <c r="DY139" s="90">
        <f ca="1">_xlfn.IFNA(INDEX(武器升级消耗!$H:$H,MATCH(玩家节奏1!DU139/玩家节奏1!DU$5,武器升级消耗!O:O,1)),0)</f>
        <v>21</v>
      </c>
      <c r="DZ139" s="90">
        <f>_xlfn.IFNA(INDEX(武器升级消耗!$H:$H,MATCH(玩家节奏1!DV139/玩家节奏1!DV$5,武器升级消耗!P:P,1)),0)</f>
        <v>11</v>
      </c>
      <c r="EA139" s="90">
        <f ca="1">_xlfn.IFNA(INDEX(武器升级消耗!$Q:$Q,MATCH(玩家节奏1!DW139,武器升级消耗!$H:$H,0))*2*EA$4,0)</f>
        <v>4.68</v>
      </c>
      <c r="EB139" s="90">
        <f ca="1">_xlfn.IFNA(INDEX(武器升级消耗!$Q:$Q,MATCH(玩家节奏1!DX139,武器升级消耗!$H:$H,0))*2*EB$4,0)</f>
        <v>5.4</v>
      </c>
      <c r="EC139" s="90">
        <f ca="1">_xlfn.IFNA(INDEX(武器升级消耗!$Q:$Q,MATCH(玩家节奏1!DY139,武器升级消耗!$H:$H,0))*2*EC$4,1)</f>
        <v>5.5</v>
      </c>
      <c r="ED139" s="90">
        <f>_xlfn.IFNA(INDEX(武器升级消耗!$Q:$Q,MATCH(玩家节奏1!DZ139,武器升级消耗!$H:$H,0))*2*ED$4,0)</f>
        <v>4.5</v>
      </c>
    </row>
    <row r="140" spans="1:134" x14ac:dyDescent="0.25">
      <c r="A140" s="123">
        <v>134</v>
      </c>
      <c r="B140" s="123">
        <f>INDEX(关卡对比!$Y:$Y,MATCH(关卡对比!Z140,关卡对比!$AA:$AA,1))</f>
        <v>80</v>
      </c>
      <c r="C140" s="124">
        <f>INDEX(关卡对比!$Y:$Y,MATCH(关卡对比!Z140,关卡对比!$AB:$AB,1))</f>
        <v>63</v>
      </c>
      <c r="D140" s="125">
        <f t="shared" si="157"/>
        <v>800.5</v>
      </c>
      <c r="E140" s="125">
        <v>3</v>
      </c>
      <c r="F140" s="128">
        <v>5</v>
      </c>
      <c r="G140" s="90">
        <v>1</v>
      </c>
      <c r="H140" s="90">
        <v>1</v>
      </c>
      <c r="J140" s="128">
        <v>134</v>
      </c>
      <c r="K140" s="90">
        <f t="shared" si="164"/>
        <v>5</v>
      </c>
      <c r="L140" s="90">
        <f t="shared" si="165"/>
        <v>1</v>
      </c>
      <c r="M140" s="90">
        <f t="shared" si="166"/>
        <v>1</v>
      </c>
      <c r="N140" s="140">
        <f>INDEX($A:$A,MATCH(SUM($K$7:K140),$D:$D,1))</f>
        <v>114</v>
      </c>
      <c r="O140" s="140">
        <v>0</v>
      </c>
      <c r="P140" s="141">
        <v>0</v>
      </c>
      <c r="Q140" s="126">
        <f>_xlfn.MAXIFS(关卡产出!X:X,关卡产出!$A:$A,玩家节奏1!$N$6,关卡产出!$B:$B,玩家节奏1!$N140)+_xlfn.MAXIFS(关卡产出!X:X,关卡产出!$A:$A,玩家节奏1!$O$6,关卡产出!$B:$B,玩家节奏1!$O140)+_xlfn.MAXIFS(关卡产出!X:X,关卡产出!$A:$A,玩家节奏1!$P$6,关卡产出!$B:$B,玩家节奏1!$P140)</f>
        <v>21300</v>
      </c>
      <c r="R140" s="90">
        <f>_xlfn.MAXIFS(关卡产出!Y:Y,关卡产出!$A:$A,玩家节奏1!$N$6,关卡产出!$B:$B,玩家节奏1!$N140)+_xlfn.MAXIFS(关卡产出!Y:Y,关卡产出!$A:$A,玩家节奏1!$O$6,关卡产出!$B:$B,玩家节奏1!$O140)+_xlfn.MAXIFS(关卡产出!Y:Y,关卡产出!$A:$A,玩家节奏1!$P$6,关卡产出!$B:$B,玩家节奏1!$P140)</f>
        <v>3680800</v>
      </c>
      <c r="S140" s="90">
        <f>_xlfn.MAXIFS(关卡产出!Z:Z,关卡产出!$A:$A,玩家节奏1!$N$6,关卡产出!$B:$B,玩家节奏1!$N140)+_xlfn.MAXIFS(关卡产出!Z:Z,关卡产出!$A:$A,玩家节奏1!$O$6,关卡产出!$B:$B,玩家节奏1!$O140)+_xlfn.MAXIFS(关卡产出!Z:Z,关卡产出!$A:$A,玩家节奏1!$P$6,关卡产出!$B:$B,玩家节奏1!$P140)</f>
        <v>25374</v>
      </c>
      <c r="T140" s="90">
        <f>_xlfn.MAXIFS(关卡产出!AA:AA,关卡产出!$A:$A,玩家节奏1!$N$6,关卡产出!$B:$B,玩家节奏1!$N140)+_xlfn.MAXIFS(关卡产出!AA:AA,关卡产出!$A:$A,玩家节奏1!$O$6,关卡产出!$B:$B,玩家节奏1!$O140)+_xlfn.MAXIFS(关卡产出!AA:AA,关卡产出!$A:$A,玩家节奏1!$P$6,关卡产出!$B:$B,玩家节奏1!$P140)</f>
        <v>12688</v>
      </c>
      <c r="U140" s="90">
        <f>_xlfn.MAXIFS(关卡产出!AB:AB,关卡产出!$A:$A,玩家节奏1!$N$6,关卡产出!$B:$B,玩家节奏1!$N140)+_xlfn.MAXIFS(关卡产出!AB:AB,关卡产出!$A:$A,玩家节奏1!$O$6,关卡产出!$B:$B,玩家节奏1!$O140)+_xlfn.MAXIFS(关卡产出!AB:AB,关卡产出!$A:$A,玩家节奏1!$P$6,关卡产出!$B:$B,玩家节奏1!$P140)</f>
        <v>5998</v>
      </c>
      <c r="V140" s="130">
        <f>_xlfn.MAXIFS(关卡产出!AC:AC,关卡产出!$A:$A,玩家节奏1!$N$6,关卡产出!$B:$B,玩家节奏1!$N140)+_xlfn.MAXIFS(关卡产出!AC:AC,关卡产出!$A:$A,玩家节奏1!$O$6,关卡产出!$B:$B,玩家节奏1!$O140)+_xlfn.MAXIFS(关卡产出!AC:AC,关卡产出!$A:$A,玩家节奏1!$P$6,关卡产出!$B:$B,玩家节奏1!$P140)</f>
        <v>684</v>
      </c>
      <c r="W140" s="126">
        <f>INDEX(关卡产出!C$8:C$207,MATCH(玩家节奏1!$N140,关卡产出!$B$8:$B$207,0))*$K140</f>
        <v>450</v>
      </c>
      <c r="X140" s="126">
        <f>INDEX(关卡产出!D$8:D$207,MATCH(玩家节奏1!$N140,关卡产出!$B$8:$B$207,0))*$K140</f>
        <v>225</v>
      </c>
      <c r="Y140" s="126">
        <f>INDEX(关卡产出!E$8:E$207,MATCH(玩家节奏1!$N140,关卡产出!$B$8:$B$207,0))*$K140</f>
        <v>110</v>
      </c>
      <c r="Z140" s="144">
        <f>INDEX(关卡产出!F$8:F$207,MATCH(玩家节奏1!$N140,关卡产出!$B$8:$B$207,0))*$K140</f>
        <v>5950</v>
      </c>
      <c r="AA140" s="126">
        <f>SUM(W$7:W140)</f>
        <v>30626</v>
      </c>
      <c r="AB140" s="126">
        <f>SUM(X$7:X140)</f>
        <v>15171</v>
      </c>
      <c r="AC140" s="126">
        <f>SUM(Y$7:Y140)</f>
        <v>7197</v>
      </c>
      <c r="AD140" s="126">
        <f>SUM(Z$7:Z140)</f>
        <v>433560</v>
      </c>
      <c r="AE140" s="126">
        <f>INDEX(图鉴!AQ:AQ,MATCH($N140,图鉴!$S:$S,0))*8</f>
        <v>168</v>
      </c>
      <c r="AF140" s="90">
        <f>INDEX(图鉴!AR:AR,MATCH($N140,图鉴!$S:$S,0))*8</f>
        <v>120</v>
      </c>
      <c r="AG140" s="90">
        <f>INDEX(图鉴!AS:AS,MATCH($N140,图鉴!$S:$S,0))*8</f>
        <v>48</v>
      </c>
      <c r="AH140" s="129">
        <f ca="1">INDEX(图鉴!AT:AT,MATCH($N140,图鉴!$S:$S,0))*8</f>
        <v>10520</v>
      </c>
      <c r="AI140" s="128">
        <f>SUM($AE$7:AE140)</f>
        <v>20088</v>
      </c>
      <c r="AJ140" s="90">
        <f>SUM(AF$7:AF140)</f>
        <v>11800</v>
      </c>
      <c r="AK140" s="90">
        <f>SUM(AG$7:AG140)</f>
        <v>4040</v>
      </c>
      <c r="AL140" s="130">
        <f ca="1">SUM(AH$7:AH140)</f>
        <v>905760</v>
      </c>
      <c r="AM140" s="133">
        <f>IF(M140=0,0,INDEX(关卡产出!$AU$11:$AU$15,MATCH(玩家节奏1!N140,关卡产出!$AW$11:$AW$15,1))*M140)</f>
        <v>12200</v>
      </c>
      <c r="AN140" s="126">
        <f>IF(L140=0,0,$L140*关卡产出!AU$21)</f>
        <v>1000</v>
      </c>
      <c r="AO140" s="90">
        <f>IF(M140=0,0,$L140*关卡产出!AV$21)</f>
        <v>50</v>
      </c>
      <c r="AP140" s="129">
        <f>IF(N140=0,0,$L140*关卡产出!AW$21)</f>
        <v>1</v>
      </c>
      <c r="AQ140" s="138">
        <f>SUM(AN$7:AN140)</f>
        <v>117000</v>
      </c>
      <c r="AR140" s="126">
        <f>SUM(AO$7:AO140)</f>
        <v>5850</v>
      </c>
      <c r="AS140" s="129">
        <f>SUM(AP$7:AP140)</f>
        <v>117</v>
      </c>
      <c r="AT140" s="128">
        <v>500</v>
      </c>
      <c r="AU140" s="129">
        <v>100</v>
      </c>
      <c r="AV140" s="128">
        <f>SUM(AT$7:AT140)</f>
        <v>67000</v>
      </c>
      <c r="AW140" s="90">
        <f>SUM(AU$7:AU140)</f>
        <v>13400</v>
      </c>
      <c r="AY140" s="128">
        <f t="shared" si="167"/>
        <v>21300</v>
      </c>
      <c r="AZ140" s="90">
        <f t="shared" si="168"/>
        <v>5850</v>
      </c>
      <c r="BA140" s="90">
        <f t="shared" si="169"/>
        <v>13400</v>
      </c>
      <c r="BB140" s="90">
        <f t="shared" ca="1" si="217"/>
        <v>9200</v>
      </c>
      <c r="BC140" s="90">
        <f t="shared" ca="1" si="218"/>
        <v>49750</v>
      </c>
      <c r="BD140" s="90"/>
      <c r="BE140" s="90">
        <f t="shared" ca="1" si="170"/>
        <v>49750</v>
      </c>
      <c r="BF140" s="142">
        <f t="shared" ca="1" si="171"/>
        <v>0.42814070351758793</v>
      </c>
      <c r="BG140" s="142">
        <f t="shared" ca="1" si="172"/>
        <v>0.11758793969849246</v>
      </c>
      <c r="BH140" s="142">
        <f t="shared" ca="1" si="173"/>
        <v>0.26934673366834172</v>
      </c>
      <c r="BI140" s="142">
        <f t="shared" ca="1" si="174"/>
        <v>0.18492462311557789</v>
      </c>
      <c r="BJ140" s="143"/>
      <c r="BK140" s="128">
        <f ca="1">INDEX(商城宝箱!$L:$L,MATCH(BC140,商城宝箱!$N:$N,1))</f>
        <v>9</v>
      </c>
      <c r="BL140" s="90">
        <f ca="1">_xlfn.IFNA(INDEX(商城宝箱!T:T,MATCH(玩家节奏1!$BK140,商城宝箱!$L:$L,0)),0)+($BC140-INDEX(商城宝箱!$N:$N,MATCH(玩家节奏1!$BK140,商城宝箱!$L:$L,0)))/$BK$5*INDEX(商城宝箱!E$23:E$42,MATCH(玩家节奏1!$BK140+1,商城宝箱!$C$23:$C$42,0))</f>
        <v>124375</v>
      </c>
      <c r="BM140" s="90">
        <f ca="1">_xlfn.IFNA(INDEX(商城宝箱!U:U,MATCH(玩家节奏1!$BK140,商城宝箱!$L:$L,0)),0)+($BC140-INDEX(商城宝箱!$N:$N,MATCH(玩家节奏1!$BK140,商城宝箱!$L:$L,0)))/$BK$5*INDEX(商城宝箱!F$23:F$42,MATCH(玩家节奏1!$BK140+1,商城宝箱!$C$23:$C$42,0))</f>
        <v>77817.5</v>
      </c>
      <c r="BN140" s="90">
        <f ca="1">_xlfn.IFNA(INDEX(商城宝箱!V:V,MATCH(玩家节奏1!$BK140,商城宝箱!$L:$L,0)),0)+($BC140-INDEX(商城宝箱!$N:$N,MATCH(玩家节奏1!$BK140,商城宝箱!$L:$L,0)))/$BK$5*INDEX(商城宝箱!G$23:G$42,MATCH(玩家节奏1!$BK140+1,商城宝箱!$C$23:$C$42,0))</f>
        <v>48949.5</v>
      </c>
      <c r="BO140" s="90">
        <f ca="1">_xlfn.IFNA(INDEX(商城宝箱!W:W,MATCH(玩家节奏1!$BK140,商城宝箱!$L:$L,0)),0)+($BC140-INDEX(商城宝箱!$N:$N,MATCH(玩家节奏1!$BK140,商城宝箱!$L:$L,0)))/$BK$5*INDEX(商城宝箱!H$23:H$42,MATCH(玩家节奏1!$BK140+1,商城宝箱!$C$23:$C$42,0))</f>
        <v>6361.5</v>
      </c>
      <c r="BQ140" s="128">
        <f t="shared" si="158"/>
        <v>3680800</v>
      </c>
      <c r="BR140" s="90">
        <f t="shared" si="159"/>
        <v>433560</v>
      </c>
      <c r="BS140" s="90">
        <f t="shared" ca="1" si="160"/>
        <v>905760</v>
      </c>
      <c r="BT140" s="90">
        <f t="shared" si="161"/>
        <v>12200</v>
      </c>
      <c r="BU140" s="90">
        <f t="shared" si="162"/>
        <v>117000</v>
      </c>
      <c r="BV140" s="90">
        <f t="shared" si="163"/>
        <v>67000</v>
      </c>
      <c r="BW140" s="90">
        <f t="shared" ca="1" si="175"/>
        <v>124375</v>
      </c>
      <c r="BX140" s="90">
        <f t="shared" ca="1" si="176"/>
        <v>5340695</v>
      </c>
      <c r="BY140" s="142">
        <f t="shared" ca="1" si="177"/>
        <v>0.68919869043261228</v>
      </c>
      <c r="BZ140" s="142">
        <f t="shared" ca="1" si="178"/>
        <v>8.1180445616160446E-2</v>
      </c>
      <c r="CA140" s="142">
        <f t="shared" ca="1" si="179"/>
        <v>0.16959590465285884</v>
      </c>
      <c r="CB140" s="142">
        <f t="shared" ca="1" si="180"/>
        <v>2.2843468874369347E-3</v>
      </c>
      <c r="CC140" s="142">
        <f t="shared" ca="1" si="181"/>
        <v>2.1907261133616504E-2</v>
      </c>
      <c r="CD140" s="142">
        <f t="shared" ca="1" si="182"/>
        <v>1.2545183726088083E-2</v>
      </c>
      <c r="CE140" s="142">
        <f t="shared" ca="1" si="183"/>
        <v>2.3288167551226948E-2</v>
      </c>
      <c r="CG140" s="128">
        <f t="shared" si="184"/>
        <v>114</v>
      </c>
      <c r="CH140" s="90">
        <f ca="1">INDEX(角色升级!$A:$A,MATCH(玩家节奏1!$BX140,角色升级!$J:$J,1))</f>
        <v>584</v>
      </c>
      <c r="CI140" s="90">
        <f ca="1">INDEX(角色升级!$O:$O,MATCH(玩家节奏1!$BX140,角色升级!$J:$J,1))</f>
        <v>27289.934650000003</v>
      </c>
      <c r="CJ140" s="90">
        <f>INDEX(关卡对比!$J:$J,MATCH(玩家节奏1!N140,关卡对比!$A:$A,0))</f>
        <v>43200</v>
      </c>
      <c r="CK140" s="147">
        <f t="shared" ca="1" si="185"/>
        <v>1.583001225691832</v>
      </c>
      <c r="CL140" s="128">
        <f ca="1">INDEX(角色升级!$P:$P,MATCH(玩家节奏1!$CH140,角色升级!$A:$A,0))</f>
        <v>9200</v>
      </c>
      <c r="CM140" s="90">
        <f ca="1">INDEX(角色升级!Q:Q,MATCH(玩家节奏1!$CH140,角色升级!$A:$A,0))</f>
        <v>0.9</v>
      </c>
      <c r="CO140" s="128">
        <f t="shared" si="186"/>
        <v>25374</v>
      </c>
      <c r="CP140" s="90">
        <f t="shared" si="187"/>
        <v>30626</v>
      </c>
      <c r="CQ140" s="90">
        <f t="shared" si="188"/>
        <v>20088</v>
      </c>
      <c r="CR140" s="90">
        <f t="shared" ca="1" si="189"/>
        <v>77817.5</v>
      </c>
      <c r="CS140" s="90">
        <f t="shared" ca="1" si="190"/>
        <v>153905.5</v>
      </c>
      <c r="CT140" s="142">
        <f t="shared" ca="1" si="191"/>
        <v>0.16486740239952438</v>
      </c>
      <c r="CU140" s="142">
        <f t="shared" ca="1" si="192"/>
        <v>0.19899223874390454</v>
      </c>
      <c r="CV140" s="142">
        <f t="shared" ca="1" si="193"/>
        <v>0.13052165127302143</v>
      </c>
      <c r="CW140" s="142">
        <f t="shared" ca="1" si="194"/>
        <v>0.50561870758354965</v>
      </c>
      <c r="CY140" s="128">
        <f t="shared" si="195"/>
        <v>12688</v>
      </c>
      <c r="CZ140" s="90">
        <f t="shared" si="196"/>
        <v>15171</v>
      </c>
      <c r="DA140" s="90">
        <f t="shared" si="197"/>
        <v>11800</v>
      </c>
      <c r="DB140" s="90">
        <f t="shared" ca="1" si="198"/>
        <v>48949.5</v>
      </c>
      <c r="DC140" s="90">
        <f t="shared" ca="1" si="199"/>
        <v>88608.5</v>
      </c>
      <c r="DD140" s="142">
        <f t="shared" ca="1" si="200"/>
        <v>0.1431916802564088</v>
      </c>
      <c r="DE140" s="142">
        <f t="shared" ca="1" si="201"/>
        <v>0.17121382260166915</v>
      </c>
      <c r="DF140" s="142">
        <f t="shared" ca="1" si="202"/>
        <v>0.13317006833430201</v>
      </c>
      <c r="DG140" s="142">
        <f t="shared" ca="1" si="203"/>
        <v>0.55242442880761999</v>
      </c>
      <c r="DI140" s="128">
        <f t="shared" si="204"/>
        <v>5998</v>
      </c>
      <c r="DJ140" s="90">
        <f t="shared" si="205"/>
        <v>7197</v>
      </c>
      <c r="DK140" s="90">
        <f t="shared" si="206"/>
        <v>4040</v>
      </c>
      <c r="DL140" s="90">
        <f t="shared" ca="1" si="207"/>
        <v>6361.5</v>
      </c>
      <c r="DM140" s="90">
        <f t="shared" ca="1" si="208"/>
        <v>23596.5</v>
      </c>
      <c r="DN140" s="142">
        <f t="shared" ca="1" si="209"/>
        <v>0.25419024007797769</v>
      </c>
      <c r="DO140" s="142">
        <f t="shared" ca="1" si="210"/>
        <v>0.30500286059373211</v>
      </c>
      <c r="DP140" s="142">
        <f t="shared" ca="1" si="211"/>
        <v>0.17121183226325939</v>
      </c>
      <c r="DQ140" s="142">
        <f t="shared" ca="1" si="212"/>
        <v>0.26959506706503084</v>
      </c>
      <c r="DS140" s="128">
        <f t="shared" ca="1" si="213"/>
        <v>153905.5</v>
      </c>
      <c r="DT140" s="90">
        <f t="shared" ca="1" si="214"/>
        <v>88608.5</v>
      </c>
      <c r="DU140" s="90">
        <f t="shared" ca="1" si="215"/>
        <v>23596.5</v>
      </c>
      <c r="DV140" s="90">
        <f t="shared" si="216"/>
        <v>117</v>
      </c>
      <c r="DW140" s="90">
        <f ca="1">_xlfn.IFNA(INDEX(武器升级消耗!$H:$H,MATCH(玩家节奏1!DS140/玩家节奏1!DS$5,武器升级消耗!M:M,1)),0)</f>
        <v>35</v>
      </c>
      <c r="DX140" s="90">
        <f ca="1">_xlfn.IFNA(INDEX(武器升级消耗!$H:$H,MATCH(玩家节奏1!DT140/玩家节奏1!DT$5,武器升级消耗!N:N,1)),0)</f>
        <v>32</v>
      </c>
      <c r="DY140" s="90">
        <f ca="1">_xlfn.IFNA(INDEX(武器升级消耗!$H:$H,MATCH(玩家节奏1!DU140/玩家节奏1!DU$5,武器升级消耗!O:O,1)),0)</f>
        <v>21</v>
      </c>
      <c r="DZ140" s="90">
        <f>_xlfn.IFNA(INDEX(武器升级消耗!$H:$H,MATCH(玩家节奏1!DV140/玩家节奏1!DV$5,武器升级消耗!P:P,1)),0)</f>
        <v>11</v>
      </c>
      <c r="EA140" s="90">
        <f ca="1">_xlfn.IFNA(INDEX(武器升级消耗!$Q:$Q,MATCH(玩家节奏1!DW140,武器升级消耗!$H:$H,0))*2*EA$4,0)</f>
        <v>4.68</v>
      </c>
      <c r="EB140" s="90">
        <f ca="1">_xlfn.IFNA(INDEX(武器升级消耗!$Q:$Q,MATCH(玩家节奏1!DX140,武器升级消耗!$H:$H,0))*2*EB$4,0)</f>
        <v>5.4</v>
      </c>
      <c r="EC140" s="90">
        <f ca="1">_xlfn.IFNA(INDEX(武器升级消耗!$Q:$Q,MATCH(玩家节奏1!DY140,武器升级消耗!$H:$H,0))*2*EC$4,1)</f>
        <v>5.5</v>
      </c>
      <c r="ED140" s="90">
        <f>_xlfn.IFNA(INDEX(武器升级消耗!$Q:$Q,MATCH(玩家节奏1!DZ140,武器升级消耗!$H:$H,0))*2*ED$4,0)</f>
        <v>4.5</v>
      </c>
    </row>
    <row r="141" spans="1:134" x14ac:dyDescent="0.25">
      <c r="A141" s="123">
        <v>135</v>
      </c>
      <c r="B141" s="123">
        <f>INDEX(关卡对比!$Y:$Y,MATCH(关卡对比!Z141,关卡对比!$AA:$AA,1))</f>
        <v>81</v>
      </c>
      <c r="C141" s="124">
        <f>INDEX(关卡对比!$Y:$Y,MATCH(关卡对比!Z141,关卡对比!$AB:$AB,1))</f>
        <v>63</v>
      </c>
      <c r="D141" s="125">
        <f t="shared" si="157"/>
        <v>806.5</v>
      </c>
      <c r="E141" s="125">
        <v>3</v>
      </c>
      <c r="F141" s="128">
        <v>5</v>
      </c>
      <c r="G141" s="90">
        <v>1</v>
      </c>
      <c r="H141" s="90">
        <v>1</v>
      </c>
      <c r="J141" s="128">
        <v>135</v>
      </c>
      <c r="K141" s="90">
        <f t="shared" si="164"/>
        <v>5</v>
      </c>
      <c r="L141" s="90">
        <f t="shared" si="165"/>
        <v>1</v>
      </c>
      <c r="M141" s="90">
        <f t="shared" si="166"/>
        <v>1</v>
      </c>
      <c r="N141" s="140">
        <f>INDEX($A:$A,MATCH(SUM($K$7:K141),$D:$D,1))</f>
        <v>115</v>
      </c>
      <c r="O141" s="140">
        <v>0</v>
      </c>
      <c r="P141" s="141">
        <v>0</v>
      </c>
      <c r="Q141" s="126">
        <f>_xlfn.MAXIFS(关卡产出!X:X,关卡产出!$A:$A,玩家节奏1!$N$6,关卡产出!$B:$B,玩家节奏1!$N141)+_xlfn.MAXIFS(关卡产出!X:X,关卡产出!$A:$A,玩家节奏1!$O$6,关卡产出!$B:$B,玩家节奏1!$O141)+_xlfn.MAXIFS(关卡产出!X:X,关卡产出!$A:$A,玩家节奏1!$P$6,关卡产出!$B:$B,玩家节奏1!$P141)</f>
        <v>21500</v>
      </c>
      <c r="R141" s="90">
        <f>_xlfn.MAXIFS(关卡产出!Y:Y,关卡产出!$A:$A,玩家节奏1!$N$6,关卡产出!$B:$B,玩家节奏1!$N141)+_xlfn.MAXIFS(关卡产出!Y:Y,关卡产出!$A:$A,玩家节奏1!$O$6,关卡产出!$B:$B,玩家节奏1!$O141)+_xlfn.MAXIFS(关卡产出!Y:Y,关卡产出!$A:$A,玩家节奏1!$P$6,关卡产出!$B:$B,玩家节奏1!$P141)</f>
        <v>3747500</v>
      </c>
      <c r="S141" s="90">
        <f>_xlfn.MAXIFS(关卡产出!Z:Z,关卡产出!$A:$A,玩家节奏1!$N$6,关卡产出!$B:$B,玩家节奏1!$N141)+_xlfn.MAXIFS(关卡产出!Z:Z,关卡产出!$A:$A,玩家节奏1!$O$6,关卡产出!$B:$B,玩家节奏1!$O141)+_xlfn.MAXIFS(关卡产出!Z:Z,关卡产出!$A:$A,玩家节奏1!$P$6,关卡产出!$B:$B,玩家节奏1!$P141)</f>
        <v>25826</v>
      </c>
      <c r="T141" s="90">
        <f>_xlfn.MAXIFS(关卡产出!AA:AA,关卡产出!$A:$A,玩家节奏1!$N$6,关卡产出!$B:$B,玩家节奏1!$N141)+_xlfn.MAXIFS(关卡产出!AA:AA,关卡产出!$A:$A,玩家节奏1!$O$6,关卡产出!$B:$B,玩家节奏1!$O141)+_xlfn.MAXIFS(关卡产出!AA:AA,关卡产出!$A:$A,玩家节奏1!$P$6,关卡产出!$B:$B,玩家节奏1!$P141)</f>
        <v>12914</v>
      </c>
      <c r="U141" s="90">
        <f>_xlfn.MAXIFS(关卡产出!AB:AB,关卡产出!$A:$A,玩家节奏1!$N$6,关卡产出!$B:$B,玩家节奏1!$N141)+_xlfn.MAXIFS(关卡产出!AB:AB,关卡产出!$A:$A,玩家节奏1!$O$6,关卡产出!$B:$B,玩家节奏1!$O141)+_xlfn.MAXIFS(关卡产出!AB:AB,关卡产出!$A:$A,玩家节奏1!$P$6,关卡产出!$B:$B,玩家节奏1!$P141)</f>
        <v>6108</v>
      </c>
      <c r="V141" s="130">
        <f>_xlfn.MAXIFS(关卡产出!AC:AC,关卡产出!$A:$A,玩家节奏1!$N$6,关卡产出!$B:$B,玩家节奏1!$N141)+_xlfn.MAXIFS(关卡产出!AC:AC,关卡产出!$A:$A,玩家节奏1!$O$6,关卡产出!$B:$B,玩家节奏1!$O141)+_xlfn.MAXIFS(关卡产出!AC:AC,关卡产出!$A:$A,玩家节奏1!$P$6,关卡产出!$B:$B,玩家节奏1!$P141)</f>
        <v>690</v>
      </c>
      <c r="W141" s="126">
        <f>INDEX(关卡产出!C$8:C$207,MATCH(玩家节奏1!$N141,关卡产出!$B$8:$B$207,0))*$K141</f>
        <v>450</v>
      </c>
      <c r="X141" s="126">
        <f>INDEX(关卡产出!D$8:D$207,MATCH(玩家节奏1!$N141,关卡产出!$B$8:$B$207,0))*$K141</f>
        <v>225</v>
      </c>
      <c r="Y141" s="126">
        <f>INDEX(关卡产出!E$8:E$207,MATCH(玩家节奏1!$N141,关卡产出!$B$8:$B$207,0))*$K141</f>
        <v>110</v>
      </c>
      <c r="Z141" s="144">
        <f>INDEX(关卡产出!F$8:F$207,MATCH(玩家节奏1!$N141,关卡产出!$B$8:$B$207,0))*$K141</f>
        <v>6050</v>
      </c>
      <c r="AA141" s="126">
        <f>SUM(W$7:W141)</f>
        <v>31076</v>
      </c>
      <c r="AB141" s="126">
        <f>SUM(X$7:X141)</f>
        <v>15396</v>
      </c>
      <c r="AC141" s="126">
        <f>SUM(Y$7:Y141)</f>
        <v>7307</v>
      </c>
      <c r="AD141" s="126">
        <f>SUM(Z$7:Z141)</f>
        <v>439610</v>
      </c>
      <c r="AE141" s="126">
        <f>INDEX(图鉴!AQ:AQ,MATCH($N141,图鉴!$S:$S,0))*8</f>
        <v>168</v>
      </c>
      <c r="AF141" s="90">
        <f>INDEX(图鉴!AR:AR,MATCH($N141,图鉴!$S:$S,0))*8</f>
        <v>120</v>
      </c>
      <c r="AG141" s="90">
        <f>INDEX(图鉴!AS:AS,MATCH($N141,图鉴!$S:$S,0))*8</f>
        <v>48</v>
      </c>
      <c r="AH141" s="129">
        <f ca="1">INDEX(图鉴!AT:AT,MATCH($N141,图鉴!$S:$S,0))*8</f>
        <v>10520</v>
      </c>
      <c r="AI141" s="128">
        <f>SUM($AE$7:AE141)</f>
        <v>20256</v>
      </c>
      <c r="AJ141" s="90">
        <f>SUM(AF$7:AF141)</f>
        <v>11920</v>
      </c>
      <c r="AK141" s="90">
        <f>SUM(AG$7:AG141)</f>
        <v>4088</v>
      </c>
      <c r="AL141" s="130">
        <f ca="1">SUM(AH$7:AH141)</f>
        <v>916280</v>
      </c>
      <c r="AM141" s="133">
        <f>IF(M141=0,0,INDEX(关卡产出!$AU$11:$AU$15,MATCH(玩家节奏1!N141,关卡产出!$AW$11:$AW$15,1))*M141)</f>
        <v>12200</v>
      </c>
      <c r="AN141" s="126">
        <f>IF(L141=0,0,$L141*关卡产出!AU$21)</f>
        <v>1000</v>
      </c>
      <c r="AO141" s="90">
        <f>IF(M141=0,0,$L141*关卡产出!AV$21)</f>
        <v>50</v>
      </c>
      <c r="AP141" s="129">
        <f>IF(N141=0,0,$L141*关卡产出!AW$21)</f>
        <v>1</v>
      </c>
      <c r="AQ141" s="138">
        <f>SUM(AN$7:AN141)</f>
        <v>118000</v>
      </c>
      <c r="AR141" s="126">
        <f>SUM(AO$7:AO141)</f>
        <v>5900</v>
      </c>
      <c r="AS141" s="129">
        <f>SUM(AP$7:AP141)</f>
        <v>118</v>
      </c>
      <c r="AT141" s="128">
        <v>500</v>
      </c>
      <c r="AU141" s="129">
        <v>100</v>
      </c>
      <c r="AV141" s="128">
        <f>SUM(AT$7:AT141)</f>
        <v>67500</v>
      </c>
      <c r="AW141" s="90">
        <f>SUM(AU$7:AU141)</f>
        <v>13500</v>
      </c>
      <c r="AY141" s="128">
        <f t="shared" si="167"/>
        <v>21500</v>
      </c>
      <c r="AZ141" s="90">
        <f t="shared" si="168"/>
        <v>5900</v>
      </c>
      <c r="BA141" s="90">
        <f t="shared" si="169"/>
        <v>13500</v>
      </c>
      <c r="BB141" s="90">
        <f t="shared" ca="1" si="217"/>
        <v>9200</v>
      </c>
      <c r="BC141" s="90">
        <f t="shared" ca="1" si="218"/>
        <v>50100</v>
      </c>
      <c r="BD141" s="90"/>
      <c r="BE141" s="90">
        <f t="shared" ca="1" si="170"/>
        <v>50100</v>
      </c>
      <c r="BF141" s="142">
        <f t="shared" ca="1" si="171"/>
        <v>0.42914171656686628</v>
      </c>
      <c r="BG141" s="142">
        <f t="shared" ca="1" si="172"/>
        <v>0.11776447105788423</v>
      </c>
      <c r="BH141" s="142">
        <f t="shared" ca="1" si="173"/>
        <v>0.26946107784431139</v>
      </c>
      <c r="BI141" s="142">
        <f t="shared" ca="1" si="174"/>
        <v>0.18363273453093812</v>
      </c>
      <c r="BJ141" s="143"/>
      <c r="BK141" s="128">
        <f ca="1">INDEX(商城宝箱!$L:$L,MATCH(BC141,商城宝箱!$N:$N,1))</f>
        <v>9</v>
      </c>
      <c r="BL141" s="90">
        <f ca="1">_xlfn.IFNA(INDEX(商城宝箱!T:T,MATCH(玩家节奏1!$BK141,商城宝箱!$L:$L,0)),0)+($BC141-INDEX(商城宝箱!$N:$N,MATCH(玩家节奏1!$BK141,商城宝箱!$L:$L,0)))/$BK$5*INDEX(商城宝箱!E$23:E$42,MATCH(玩家节奏1!$BK141+1,商城宝箱!$C$23:$C$42,0))</f>
        <v>125250</v>
      </c>
      <c r="BM141" s="90">
        <f ca="1">_xlfn.IFNA(INDEX(商城宝箱!U:U,MATCH(玩家节奏1!$BK141,商城宝箱!$L:$L,0)),0)+($BC141-INDEX(商城宝箱!$N:$N,MATCH(玩家节奏1!$BK141,商城宝箱!$L:$L,0)))/$BK$5*INDEX(商城宝箱!F$23:F$42,MATCH(玩家节奏1!$BK141+1,商城宝箱!$C$23:$C$42,0))</f>
        <v>78762.5</v>
      </c>
      <c r="BN141" s="90">
        <f ca="1">_xlfn.IFNA(INDEX(商城宝箱!V:V,MATCH(玩家节奏1!$BK141,商城宝箱!$L:$L,0)),0)+($BC141-INDEX(商城宝箱!$N:$N,MATCH(玩家节奏1!$BK141,商城宝箱!$L:$L,0)))/$BK$5*INDEX(商城宝箱!G$23:G$42,MATCH(玩家节奏1!$BK141+1,商城宝箱!$C$23:$C$42,0))</f>
        <v>49387</v>
      </c>
      <c r="BO141" s="90">
        <f ca="1">_xlfn.IFNA(INDEX(商城宝箱!W:W,MATCH(玩家节奏1!$BK141,商城宝箱!$L:$L,0)),0)+($BC141-INDEX(商城宝箱!$N:$N,MATCH(玩家节奏1!$BK141,商城宝箱!$L:$L,0)))/$BK$5*INDEX(商城宝箱!H$23:H$42,MATCH(玩家节奏1!$BK141+1,商城宝箱!$C$23:$C$42,0))</f>
        <v>6431.5</v>
      </c>
      <c r="BQ141" s="128">
        <f t="shared" si="158"/>
        <v>3747500</v>
      </c>
      <c r="BR141" s="90">
        <f t="shared" si="159"/>
        <v>439610</v>
      </c>
      <c r="BS141" s="90">
        <f t="shared" ca="1" si="160"/>
        <v>916280</v>
      </c>
      <c r="BT141" s="90">
        <f t="shared" si="161"/>
        <v>12200</v>
      </c>
      <c r="BU141" s="90">
        <f t="shared" si="162"/>
        <v>118000</v>
      </c>
      <c r="BV141" s="90">
        <f t="shared" si="163"/>
        <v>67500</v>
      </c>
      <c r="BW141" s="90">
        <f t="shared" ca="1" si="175"/>
        <v>125250</v>
      </c>
      <c r="BX141" s="90">
        <f t="shared" ca="1" si="176"/>
        <v>5426340</v>
      </c>
      <c r="BY141" s="142">
        <f t="shared" ca="1" si="177"/>
        <v>0.69061282558778103</v>
      </c>
      <c r="BZ141" s="142">
        <f t="shared" ca="1" si="178"/>
        <v>8.101409052879105E-2</v>
      </c>
      <c r="CA141" s="142">
        <f t="shared" ca="1" si="179"/>
        <v>0.1688578305082247</v>
      </c>
      <c r="CB141" s="142">
        <f t="shared" ca="1" si="180"/>
        <v>2.2482925876373392E-3</v>
      </c>
      <c r="CC141" s="142">
        <f t="shared" ca="1" si="181"/>
        <v>2.1745780765672625E-2</v>
      </c>
      <c r="CD141" s="142">
        <f t="shared" ca="1" si="182"/>
        <v>1.2439323743075444E-2</v>
      </c>
      <c r="CE141" s="142">
        <f t="shared" ca="1" si="183"/>
        <v>2.3081856278817765E-2</v>
      </c>
      <c r="CG141" s="128">
        <f t="shared" si="184"/>
        <v>115</v>
      </c>
      <c r="CH141" s="90">
        <f ca="1">INDEX(角色升级!$A:$A,MATCH(玩家节奏1!$BX141,角色升级!$J:$J,1))</f>
        <v>588</v>
      </c>
      <c r="CI141" s="90">
        <f ca="1">INDEX(角色升级!$O:$O,MATCH(玩家节奏1!$BX141,角色升级!$J:$J,1))</f>
        <v>27381.434850000005</v>
      </c>
      <c r="CJ141" s="90">
        <f>INDEX(关卡对比!$J:$J,MATCH(玩家节奏1!N141,关卡对比!$A:$A,0))</f>
        <v>43700</v>
      </c>
      <c r="CK141" s="147">
        <f t="shared" ca="1" si="185"/>
        <v>1.5959718780040482</v>
      </c>
      <c r="CL141" s="128">
        <f ca="1">INDEX(角色升级!$P:$P,MATCH(玩家节奏1!$CH141,角色升级!$A:$A,0))</f>
        <v>9200</v>
      </c>
      <c r="CM141" s="90">
        <f ca="1">INDEX(角色升级!Q:Q,MATCH(玩家节奏1!$CH141,角色升级!$A:$A,0))</f>
        <v>0.9</v>
      </c>
      <c r="CO141" s="128">
        <f t="shared" si="186"/>
        <v>25826</v>
      </c>
      <c r="CP141" s="90">
        <f t="shared" si="187"/>
        <v>31076</v>
      </c>
      <c r="CQ141" s="90">
        <f t="shared" si="188"/>
        <v>20256</v>
      </c>
      <c r="CR141" s="90">
        <f t="shared" ca="1" si="189"/>
        <v>78762.5</v>
      </c>
      <c r="CS141" s="90">
        <f t="shared" ca="1" si="190"/>
        <v>155920.5</v>
      </c>
      <c r="CT141" s="142">
        <f t="shared" ca="1" si="191"/>
        <v>0.16563569254844615</v>
      </c>
      <c r="CU141" s="142">
        <f t="shared" ca="1" si="192"/>
        <v>0.19930669796466788</v>
      </c>
      <c r="CV141" s="142">
        <f t="shared" ca="1" si="193"/>
        <v>0.1299123591830452</v>
      </c>
      <c r="CW141" s="142">
        <f t="shared" ca="1" si="194"/>
        <v>0.50514525030384072</v>
      </c>
      <c r="CY141" s="128">
        <f t="shared" si="195"/>
        <v>12914</v>
      </c>
      <c r="CZ141" s="90">
        <f t="shared" si="196"/>
        <v>15396</v>
      </c>
      <c r="DA141" s="90">
        <f t="shared" si="197"/>
        <v>11920</v>
      </c>
      <c r="DB141" s="90">
        <f t="shared" ca="1" si="198"/>
        <v>49387</v>
      </c>
      <c r="DC141" s="90">
        <f t="shared" ca="1" si="199"/>
        <v>89617</v>
      </c>
      <c r="DD141" s="142">
        <f t="shared" ca="1" si="200"/>
        <v>0.14410212348103596</v>
      </c>
      <c r="DE141" s="142">
        <f t="shared" ca="1" si="201"/>
        <v>0.17179776158541349</v>
      </c>
      <c r="DF141" s="142">
        <f t="shared" ca="1" si="202"/>
        <v>0.13301047792271556</v>
      </c>
      <c r="DG141" s="142">
        <f t="shared" ca="1" si="203"/>
        <v>0.55108963701083502</v>
      </c>
      <c r="DI141" s="128">
        <f t="shared" si="204"/>
        <v>6108</v>
      </c>
      <c r="DJ141" s="90">
        <f t="shared" si="205"/>
        <v>7307</v>
      </c>
      <c r="DK141" s="90">
        <f t="shared" si="206"/>
        <v>4088</v>
      </c>
      <c r="DL141" s="90">
        <f t="shared" ca="1" si="207"/>
        <v>6431.5</v>
      </c>
      <c r="DM141" s="90">
        <f t="shared" ca="1" si="208"/>
        <v>23934.5</v>
      </c>
      <c r="DN141" s="142">
        <f t="shared" ca="1" si="209"/>
        <v>0.25519647370949883</v>
      </c>
      <c r="DO141" s="142">
        <f t="shared" ca="1" si="210"/>
        <v>0.30529152478639621</v>
      </c>
      <c r="DP141" s="142">
        <f t="shared" ca="1" si="211"/>
        <v>0.17079947356326641</v>
      </c>
      <c r="DQ141" s="142">
        <f t="shared" ca="1" si="212"/>
        <v>0.26871252794083855</v>
      </c>
      <c r="DS141" s="128">
        <f t="shared" ca="1" si="213"/>
        <v>155920.5</v>
      </c>
      <c r="DT141" s="90">
        <f t="shared" ca="1" si="214"/>
        <v>89617</v>
      </c>
      <c r="DU141" s="90">
        <f t="shared" ca="1" si="215"/>
        <v>23934.5</v>
      </c>
      <c r="DV141" s="90">
        <f t="shared" si="216"/>
        <v>118</v>
      </c>
      <c r="DW141" s="90">
        <f ca="1">_xlfn.IFNA(INDEX(武器升级消耗!$H:$H,MATCH(玩家节奏1!DS141/玩家节奏1!DS$5,武器升级消耗!M:M,1)),0)</f>
        <v>36</v>
      </c>
      <c r="DX141" s="90">
        <f ca="1">_xlfn.IFNA(INDEX(武器升级消耗!$H:$H,MATCH(玩家节奏1!DT141/玩家节奏1!DT$5,武器升级消耗!N:N,1)),0)</f>
        <v>32</v>
      </c>
      <c r="DY141" s="90">
        <f ca="1">_xlfn.IFNA(INDEX(武器升级消耗!$H:$H,MATCH(玩家节奏1!DU141/玩家节奏1!DU$5,武器升级消耗!O:O,1)),0)</f>
        <v>22</v>
      </c>
      <c r="DZ141" s="90">
        <f>_xlfn.IFNA(INDEX(武器升级消耗!$H:$H,MATCH(玩家节奏1!DV141/玩家节奏1!DV$5,武器升级消耗!P:P,1)),0)</f>
        <v>11</v>
      </c>
      <c r="EA141" s="90">
        <f ca="1">_xlfn.IFNA(INDEX(武器升级消耗!$Q:$Q,MATCH(玩家节奏1!DW141,武器升级消耗!$H:$H,0))*2*EA$4,0)</f>
        <v>4.8</v>
      </c>
      <c r="EB141" s="90">
        <f ca="1">_xlfn.IFNA(INDEX(武器升级消耗!$Q:$Q,MATCH(玩家节奏1!DX141,武器升级消耗!$H:$H,0))*2*EB$4,0)</f>
        <v>5.4</v>
      </c>
      <c r="EC141" s="90">
        <f ca="1">_xlfn.IFNA(INDEX(武器升级消耗!$Q:$Q,MATCH(玩家节奏1!DY141,武器升级消耗!$H:$H,0))*2*EC$4,1)</f>
        <v>5.7200000000000006</v>
      </c>
      <c r="ED141" s="90">
        <f>_xlfn.IFNA(INDEX(武器升级消耗!$Q:$Q,MATCH(玩家节奏1!DZ141,武器升级消耗!$H:$H,0))*2*ED$4,0)</f>
        <v>4.5</v>
      </c>
    </row>
    <row r="142" spans="1:134" x14ac:dyDescent="0.25">
      <c r="A142" s="123">
        <v>136</v>
      </c>
      <c r="B142" s="123">
        <f>INDEX(关卡对比!$Y:$Y,MATCH(关卡对比!Z142,关卡对比!$AA:$AA,1))</f>
        <v>81</v>
      </c>
      <c r="C142" s="124">
        <f>INDEX(关卡对比!$Y:$Y,MATCH(关卡对比!Z142,关卡对比!$AB:$AB,1))</f>
        <v>63</v>
      </c>
      <c r="D142" s="125">
        <f t="shared" si="157"/>
        <v>809.5</v>
      </c>
      <c r="E142" s="125">
        <v>3</v>
      </c>
      <c r="F142" s="128">
        <v>5</v>
      </c>
      <c r="G142" s="90">
        <v>1</v>
      </c>
      <c r="H142" s="90">
        <v>1</v>
      </c>
      <c r="J142" s="128">
        <v>136</v>
      </c>
      <c r="K142" s="90">
        <f t="shared" si="164"/>
        <v>5</v>
      </c>
      <c r="L142" s="90">
        <f t="shared" si="165"/>
        <v>1</v>
      </c>
      <c r="M142" s="90">
        <f t="shared" si="166"/>
        <v>1</v>
      </c>
      <c r="N142" s="140">
        <f>INDEX($A:$A,MATCH(SUM($K$7:K142),$D:$D,1))</f>
        <v>116</v>
      </c>
      <c r="O142" s="140">
        <v>0</v>
      </c>
      <c r="P142" s="141">
        <v>0</v>
      </c>
      <c r="Q142" s="126">
        <f>_xlfn.MAXIFS(关卡产出!X:X,关卡产出!$A:$A,玩家节奏1!$N$6,关卡产出!$B:$B,玩家节奏1!$N142)+_xlfn.MAXIFS(关卡产出!X:X,关卡产出!$A:$A,玩家节奏1!$O$6,关卡产出!$B:$B,玩家节奏1!$O142)+_xlfn.MAXIFS(关卡产出!X:X,关卡产出!$A:$A,玩家节奏1!$P$6,关卡产出!$B:$B,玩家节奏1!$P142)</f>
        <v>21700</v>
      </c>
      <c r="R142" s="90">
        <f>_xlfn.MAXIFS(关卡产出!Y:Y,关卡产出!$A:$A,玩家节奏1!$N$6,关卡产出!$B:$B,玩家节奏1!$N142)+_xlfn.MAXIFS(关卡产出!Y:Y,关卡产出!$A:$A,玩家节奏1!$O$6,关卡产出!$B:$B,玩家节奏1!$O142)+_xlfn.MAXIFS(关卡产出!Y:Y,关卡产出!$A:$A,玩家节奏1!$P$6,关卡产出!$B:$B,玩家节奏1!$P142)</f>
        <v>3814800</v>
      </c>
      <c r="S142" s="90">
        <f>_xlfn.MAXIFS(关卡产出!Z:Z,关卡产出!$A:$A,玩家节奏1!$N$6,关卡产出!$B:$B,玩家节奏1!$N142)+_xlfn.MAXIFS(关卡产出!Z:Z,关卡产出!$A:$A,玩家节奏1!$O$6,关卡产出!$B:$B,玩家节奏1!$O142)+_xlfn.MAXIFS(关卡产出!Z:Z,关卡产出!$A:$A,玩家节奏1!$P$6,关卡产出!$B:$B,玩家节奏1!$P142)</f>
        <v>26282</v>
      </c>
      <c r="T142" s="90">
        <f>_xlfn.MAXIFS(关卡产出!AA:AA,关卡产出!$A:$A,玩家节奏1!$N$6,关卡产出!$B:$B,玩家节奏1!$N142)+_xlfn.MAXIFS(关卡产出!AA:AA,关卡产出!$A:$A,玩家节奏1!$O$6,关卡产出!$B:$B,玩家节奏1!$O142)+_xlfn.MAXIFS(关卡产出!AA:AA,关卡产出!$A:$A,玩家节奏1!$P$6,关卡产出!$B:$B,玩家节奏1!$P142)</f>
        <v>13142</v>
      </c>
      <c r="U142" s="90">
        <f>_xlfn.MAXIFS(关卡产出!AB:AB,关卡产出!$A:$A,玩家节奏1!$N$6,关卡产出!$B:$B,玩家节奏1!$N142)+_xlfn.MAXIFS(关卡产出!AB:AB,关卡产出!$A:$A,玩家节奏1!$O$6,关卡产出!$B:$B,玩家节奏1!$O142)+_xlfn.MAXIFS(关卡产出!AB:AB,关卡产出!$A:$A,玩家节奏1!$P$6,关卡产出!$B:$B,玩家节奏1!$P142)</f>
        <v>6219</v>
      </c>
      <c r="V142" s="130">
        <f>_xlfn.MAXIFS(关卡产出!AC:AC,关卡产出!$A:$A,玩家节奏1!$N$6,关卡产出!$B:$B,玩家节奏1!$N142)+_xlfn.MAXIFS(关卡产出!AC:AC,关卡产出!$A:$A,玩家节奏1!$O$6,关卡产出!$B:$B,玩家节奏1!$O142)+_xlfn.MAXIFS(关卡产出!AC:AC,关卡产出!$A:$A,玩家节奏1!$P$6,关卡产出!$B:$B,玩家节奏1!$P142)</f>
        <v>696</v>
      </c>
      <c r="W142" s="126">
        <f>INDEX(关卡产出!C$8:C$207,MATCH(玩家节奏1!$N142,关卡产出!$B$8:$B$207,0))*$K142</f>
        <v>455</v>
      </c>
      <c r="X142" s="126">
        <f>INDEX(关卡产出!D$8:D$207,MATCH(玩家节奏1!$N142,关卡产出!$B$8:$B$207,0))*$K142</f>
        <v>225</v>
      </c>
      <c r="Y142" s="126">
        <f>INDEX(关卡产出!E$8:E$207,MATCH(玩家节奏1!$N142,关卡产出!$B$8:$B$207,0))*$K142</f>
        <v>110</v>
      </c>
      <c r="Z142" s="144">
        <f>INDEX(关卡产出!F$8:F$207,MATCH(玩家节奏1!$N142,关卡产出!$B$8:$B$207,0))*$K142</f>
        <v>6050</v>
      </c>
      <c r="AA142" s="126">
        <f>SUM(W$7:W142)</f>
        <v>31531</v>
      </c>
      <c r="AB142" s="126">
        <f>SUM(X$7:X142)</f>
        <v>15621</v>
      </c>
      <c r="AC142" s="126">
        <f>SUM(Y$7:Y142)</f>
        <v>7417</v>
      </c>
      <c r="AD142" s="126">
        <f>SUM(Z$7:Z142)</f>
        <v>445660</v>
      </c>
      <c r="AE142" s="126">
        <f>INDEX(图鉴!AQ:AQ,MATCH($N142,图鉴!$S:$S,0))*8</f>
        <v>168</v>
      </c>
      <c r="AF142" s="90">
        <f>INDEX(图鉴!AR:AR,MATCH($N142,图鉴!$S:$S,0))*8</f>
        <v>120</v>
      </c>
      <c r="AG142" s="90">
        <f>INDEX(图鉴!AS:AS,MATCH($N142,图鉴!$S:$S,0))*8</f>
        <v>48</v>
      </c>
      <c r="AH142" s="129">
        <f ca="1">INDEX(图鉴!AT:AT,MATCH($N142,图鉴!$S:$S,0))*8</f>
        <v>10520</v>
      </c>
      <c r="AI142" s="128">
        <f>SUM($AE$7:AE142)</f>
        <v>20424</v>
      </c>
      <c r="AJ142" s="90">
        <f>SUM(AF$7:AF142)</f>
        <v>12040</v>
      </c>
      <c r="AK142" s="90">
        <f>SUM(AG$7:AG142)</f>
        <v>4136</v>
      </c>
      <c r="AL142" s="130">
        <f ca="1">SUM(AH$7:AH142)</f>
        <v>926800</v>
      </c>
      <c r="AM142" s="133">
        <f>IF(M142=0,0,INDEX(关卡产出!$AU$11:$AU$15,MATCH(玩家节奏1!N142,关卡产出!$AW$11:$AW$15,1))*M142)</f>
        <v>12200</v>
      </c>
      <c r="AN142" s="126">
        <f>IF(L142=0,0,$L142*关卡产出!AU$21)</f>
        <v>1000</v>
      </c>
      <c r="AO142" s="90">
        <f>IF(M142=0,0,$L142*关卡产出!AV$21)</f>
        <v>50</v>
      </c>
      <c r="AP142" s="129">
        <f>IF(N142=0,0,$L142*关卡产出!AW$21)</f>
        <v>1</v>
      </c>
      <c r="AQ142" s="138">
        <f>SUM(AN$7:AN142)</f>
        <v>119000</v>
      </c>
      <c r="AR142" s="126">
        <f>SUM(AO$7:AO142)</f>
        <v>5950</v>
      </c>
      <c r="AS142" s="129">
        <f>SUM(AP$7:AP142)</f>
        <v>119</v>
      </c>
      <c r="AT142" s="128">
        <v>500</v>
      </c>
      <c r="AU142" s="129">
        <v>100</v>
      </c>
      <c r="AV142" s="128">
        <f>SUM(AT$7:AT142)</f>
        <v>68000</v>
      </c>
      <c r="AW142" s="90">
        <f>SUM(AU$7:AU142)</f>
        <v>13600</v>
      </c>
      <c r="AY142" s="128">
        <f t="shared" si="167"/>
        <v>21700</v>
      </c>
      <c r="AZ142" s="90">
        <f t="shared" si="168"/>
        <v>5950</v>
      </c>
      <c r="BA142" s="90">
        <f t="shared" si="169"/>
        <v>13600</v>
      </c>
      <c r="BB142" s="90">
        <f t="shared" ca="1" si="217"/>
        <v>9200</v>
      </c>
      <c r="BC142" s="90">
        <f t="shared" ca="1" si="218"/>
        <v>50450</v>
      </c>
      <c r="BD142" s="90"/>
      <c r="BE142" s="90">
        <f t="shared" ca="1" si="170"/>
        <v>50450</v>
      </c>
      <c r="BF142" s="142">
        <f t="shared" ca="1" si="171"/>
        <v>0.4301288404360753</v>
      </c>
      <c r="BG142" s="142">
        <f t="shared" ca="1" si="172"/>
        <v>0.11793855302279485</v>
      </c>
      <c r="BH142" s="142">
        <f t="shared" ca="1" si="173"/>
        <v>0.26957383548067393</v>
      </c>
      <c r="BI142" s="142">
        <f t="shared" ca="1" si="174"/>
        <v>0.18235877106045589</v>
      </c>
      <c r="BJ142" s="143"/>
      <c r="BK142" s="128">
        <f ca="1">INDEX(商城宝箱!$L:$L,MATCH(BC142,商城宝箱!$N:$N,1))</f>
        <v>9</v>
      </c>
      <c r="BL142" s="90">
        <f ca="1">_xlfn.IFNA(INDEX(商城宝箱!T:T,MATCH(玩家节奏1!$BK142,商城宝箱!$L:$L,0)),0)+($BC142-INDEX(商城宝箱!$N:$N,MATCH(玩家节奏1!$BK142,商城宝箱!$L:$L,0)))/$BK$5*INDEX(商城宝箱!E$23:E$42,MATCH(玩家节奏1!$BK142+1,商城宝箱!$C$23:$C$42,0))</f>
        <v>126125</v>
      </c>
      <c r="BM142" s="90">
        <f ca="1">_xlfn.IFNA(INDEX(商城宝箱!U:U,MATCH(玩家节奏1!$BK142,商城宝箱!$L:$L,0)),0)+($BC142-INDEX(商城宝箱!$N:$N,MATCH(玩家节奏1!$BK142,商城宝箱!$L:$L,0)))/$BK$5*INDEX(商城宝箱!F$23:F$42,MATCH(玩家节奏1!$BK142+1,商城宝箱!$C$23:$C$42,0))</f>
        <v>79707.5</v>
      </c>
      <c r="BN142" s="90">
        <f ca="1">_xlfn.IFNA(INDEX(商城宝箱!V:V,MATCH(玩家节奏1!$BK142,商城宝箱!$L:$L,0)),0)+($BC142-INDEX(商城宝箱!$N:$N,MATCH(玩家节奏1!$BK142,商城宝箱!$L:$L,0)))/$BK$5*INDEX(商城宝箱!G$23:G$42,MATCH(玩家节奏1!$BK142+1,商城宝箱!$C$23:$C$42,0))</f>
        <v>49824.5</v>
      </c>
      <c r="BO142" s="90">
        <f ca="1">_xlfn.IFNA(INDEX(商城宝箱!W:W,MATCH(玩家节奏1!$BK142,商城宝箱!$L:$L,0)),0)+($BC142-INDEX(商城宝箱!$N:$N,MATCH(玩家节奏1!$BK142,商城宝箱!$L:$L,0)))/$BK$5*INDEX(商城宝箱!H$23:H$42,MATCH(玩家节奏1!$BK142+1,商城宝箱!$C$23:$C$42,0))</f>
        <v>6501.5</v>
      </c>
      <c r="BQ142" s="128">
        <f t="shared" si="158"/>
        <v>3814800</v>
      </c>
      <c r="BR142" s="90">
        <f t="shared" si="159"/>
        <v>445660</v>
      </c>
      <c r="BS142" s="90">
        <f t="shared" ca="1" si="160"/>
        <v>926800</v>
      </c>
      <c r="BT142" s="90">
        <f t="shared" si="161"/>
        <v>12200</v>
      </c>
      <c r="BU142" s="90">
        <f t="shared" si="162"/>
        <v>119000</v>
      </c>
      <c r="BV142" s="90">
        <f t="shared" si="163"/>
        <v>68000</v>
      </c>
      <c r="BW142" s="90">
        <f t="shared" ca="1" si="175"/>
        <v>126125</v>
      </c>
      <c r="BX142" s="90">
        <f t="shared" ca="1" si="176"/>
        <v>5512585</v>
      </c>
      <c r="BY142" s="142">
        <f t="shared" ca="1" si="177"/>
        <v>0.69201654033452542</v>
      </c>
      <c r="BZ142" s="142">
        <f t="shared" ca="1" si="178"/>
        <v>8.0844104898155772E-2</v>
      </c>
      <c r="CA142" s="142">
        <f t="shared" ca="1" si="179"/>
        <v>0.16812439173273519</v>
      </c>
      <c r="CB142" s="142">
        <f t="shared" ca="1" si="180"/>
        <v>2.2131178022651806E-3</v>
      </c>
      <c r="CC142" s="142">
        <f t="shared" ca="1" si="181"/>
        <v>2.1586968727012826E-2</v>
      </c>
      <c r="CD142" s="142">
        <f t="shared" ca="1" si="182"/>
        <v>1.2335410701150186E-2</v>
      </c>
      <c r="CE142" s="142">
        <f t="shared" ca="1" si="183"/>
        <v>2.28794658041554E-2</v>
      </c>
      <c r="CG142" s="128">
        <f t="shared" si="184"/>
        <v>116</v>
      </c>
      <c r="CH142" s="90">
        <f ca="1">INDEX(角色升级!$A:$A,MATCH(玩家节奏1!$BX142,角色升级!$J:$J,1))</f>
        <v>591</v>
      </c>
      <c r="CI142" s="90">
        <f ca="1">INDEX(角色升级!$O:$O,MATCH(玩家节奏1!$BX142,角色升级!$J:$J,1))</f>
        <v>27439.714500000002</v>
      </c>
      <c r="CJ142" s="90">
        <f>INDEX(关卡对比!$J:$J,MATCH(玩家节奏1!N142,关卡对比!$A:$A,0))</f>
        <v>44200</v>
      </c>
      <c r="CK142" s="147">
        <f t="shared" ca="1" si="185"/>
        <v>1.610803931651694</v>
      </c>
      <c r="CL142" s="128">
        <f ca="1">INDEX(角色升级!$P:$P,MATCH(玩家节奏1!$CH142,角色升级!$A:$A,0))</f>
        <v>9200</v>
      </c>
      <c r="CM142" s="90">
        <f ca="1">INDEX(角色升级!Q:Q,MATCH(玩家节奏1!$CH142,角色升级!$A:$A,0))</f>
        <v>0.9</v>
      </c>
      <c r="CO142" s="128">
        <f t="shared" si="186"/>
        <v>26282</v>
      </c>
      <c r="CP142" s="90">
        <f t="shared" si="187"/>
        <v>31531</v>
      </c>
      <c r="CQ142" s="90">
        <f t="shared" si="188"/>
        <v>20424</v>
      </c>
      <c r="CR142" s="90">
        <f t="shared" ca="1" si="189"/>
        <v>79707.5</v>
      </c>
      <c r="CS142" s="90">
        <f t="shared" ca="1" si="190"/>
        <v>157944.5</v>
      </c>
      <c r="CT142" s="142">
        <f t="shared" ca="1" si="191"/>
        <v>0.1664002228630943</v>
      </c>
      <c r="CU142" s="142">
        <f t="shared" ca="1" si="192"/>
        <v>0.19963341553520383</v>
      </c>
      <c r="CV142" s="142">
        <f t="shared" ca="1" si="193"/>
        <v>0.12931124540582292</v>
      </c>
      <c r="CW142" s="142">
        <f t="shared" ca="1" si="194"/>
        <v>0.50465511619587888</v>
      </c>
      <c r="CY142" s="128">
        <f t="shared" si="195"/>
        <v>13142</v>
      </c>
      <c r="CZ142" s="90">
        <f t="shared" si="196"/>
        <v>15621</v>
      </c>
      <c r="DA142" s="90">
        <f t="shared" si="197"/>
        <v>12040</v>
      </c>
      <c r="DB142" s="90">
        <f t="shared" ca="1" si="198"/>
        <v>49824.5</v>
      </c>
      <c r="DC142" s="90">
        <f t="shared" ca="1" si="199"/>
        <v>90627.5</v>
      </c>
      <c r="DD142" s="142">
        <f t="shared" ca="1" si="200"/>
        <v>0.14501117210559708</v>
      </c>
      <c r="DE142" s="142">
        <f t="shared" ca="1" si="201"/>
        <v>0.17236490027861301</v>
      </c>
      <c r="DF142" s="142">
        <f t="shared" ca="1" si="202"/>
        <v>0.13285150754461947</v>
      </c>
      <c r="DG142" s="142">
        <f t="shared" ca="1" si="203"/>
        <v>0.54977242007117044</v>
      </c>
      <c r="DI142" s="128">
        <f t="shared" si="204"/>
        <v>6219</v>
      </c>
      <c r="DJ142" s="90">
        <f t="shared" si="205"/>
        <v>7417</v>
      </c>
      <c r="DK142" s="90">
        <f t="shared" si="206"/>
        <v>4136</v>
      </c>
      <c r="DL142" s="90">
        <f t="shared" ca="1" si="207"/>
        <v>6501.5</v>
      </c>
      <c r="DM142" s="90">
        <f t="shared" ca="1" si="208"/>
        <v>24273.5</v>
      </c>
      <c r="DN142" s="142">
        <f t="shared" ca="1" si="209"/>
        <v>0.25620532679671248</v>
      </c>
      <c r="DO142" s="142">
        <f t="shared" ca="1" si="210"/>
        <v>0.30555956083795083</v>
      </c>
      <c r="DP142" s="142">
        <f t="shared" ca="1" si="211"/>
        <v>0.17039157929429213</v>
      </c>
      <c r="DQ142" s="142">
        <f t="shared" ca="1" si="212"/>
        <v>0.26784353307104458</v>
      </c>
      <c r="DS142" s="128">
        <f t="shared" ca="1" si="213"/>
        <v>157944.5</v>
      </c>
      <c r="DT142" s="90">
        <f t="shared" ca="1" si="214"/>
        <v>90627.5</v>
      </c>
      <c r="DU142" s="90">
        <f t="shared" ca="1" si="215"/>
        <v>24273.5</v>
      </c>
      <c r="DV142" s="90">
        <f t="shared" si="216"/>
        <v>119</v>
      </c>
      <c r="DW142" s="90">
        <f ca="1">_xlfn.IFNA(INDEX(武器升级消耗!$H:$H,MATCH(玩家节奏1!DS142/玩家节奏1!DS$5,武器升级消耗!M:M,1)),0)</f>
        <v>36</v>
      </c>
      <c r="DX142" s="90">
        <f ca="1">_xlfn.IFNA(INDEX(武器升级消耗!$H:$H,MATCH(玩家节奏1!DT142/玩家节奏1!DT$5,武器升级消耗!N:N,1)),0)</f>
        <v>32</v>
      </c>
      <c r="DY142" s="90">
        <f ca="1">_xlfn.IFNA(INDEX(武器升级消耗!$H:$H,MATCH(玩家节奏1!DU142/玩家节奏1!DU$5,武器升级消耗!O:O,1)),0)</f>
        <v>22</v>
      </c>
      <c r="DZ142" s="90">
        <f>_xlfn.IFNA(INDEX(武器升级消耗!$H:$H,MATCH(玩家节奏1!DV142/玩家节奏1!DV$5,武器升级消耗!P:P,1)),0)</f>
        <v>11</v>
      </c>
      <c r="EA142" s="90">
        <f ca="1">_xlfn.IFNA(INDEX(武器升级消耗!$Q:$Q,MATCH(玩家节奏1!DW142,武器升级消耗!$H:$H,0))*2*EA$4,0)</f>
        <v>4.8</v>
      </c>
      <c r="EB142" s="90">
        <f ca="1">_xlfn.IFNA(INDEX(武器升级消耗!$Q:$Q,MATCH(玩家节奏1!DX142,武器升级消耗!$H:$H,0))*2*EB$4,0)</f>
        <v>5.4</v>
      </c>
      <c r="EC142" s="90">
        <f ca="1">_xlfn.IFNA(INDEX(武器升级消耗!$Q:$Q,MATCH(玩家节奏1!DY142,武器升级消耗!$H:$H,0))*2*EC$4,1)</f>
        <v>5.7200000000000006</v>
      </c>
      <c r="ED142" s="90">
        <f>_xlfn.IFNA(INDEX(武器升级消耗!$Q:$Q,MATCH(玩家节奏1!DZ142,武器升级消耗!$H:$H,0))*2*ED$4,0)</f>
        <v>4.5</v>
      </c>
    </row>
    <row r="143" spans="1:134" x14ac:dyDescent="0.25">
      <c r="A143" s="123">
        <v>137</v>
      </c>
      <c r="B143" s="123">
        <f>INDEX(关卡对比!$Y:$Y,MATCH(关卡对比!Z143,关卡对比!$AA:$AA,1))</f>
        <v>82</v>
      </c>
      <c r="C143" s="124">
        <f>INDEX(关卡对比!$Y:$Y,MATCH(关卡对比!Z143,关卡对比!$AB:$AB,1))</f>
        <v>64</v>
      </c>
      <c r="D143" s="125">
        <f t="shared" si="157"/>
        <v>818.5</v>
      </c>
      <c r="E143" s="125">
        <v>3</v>
      </c>
      <c r="F143" s="128">
        <v>5</v>
      </c>
      <c r="G143" s="90">
        <v>1</v>
      </c>
      <c r="H143" s="90">
        <v>1</v>
      </c>
      <c r="J143" s="128">
        <v>137</v>
      </c>
      <c r="K143" s="90">
        <f t="shared" si="164"/>
        <v>5</v>
      </c>
      <c r="L143" s="90">
        <f t="shared" si="165"/>
        <v>1</v>
      </c>
      <c r="M143" s="90">
        <f t="shared" si="166"/>
        <v>1</v>
      </c>
      <c r="N143" s="140">
        <f>INDEX($A:$A,MATCH(SUM($K$7:K143),$D:$D,1))</f>
        <v>117</v>
      </c>
      <c r="O143" s="140">
        <v>0</v>
      </c>
      <c r="P143" s="141">
        <v>0</v>
      </c>
      <c r="Q143" s="126">
        <f>_xlfn.MAXIFS(关卡产出!X:X,关卡产出!$A:$A,玩家节奏1!$N$6,关卡产出!$B:$B,玩家节奏1!$N143)+_xlfn.MAXIFS(关卡产出!X:X,关卡产出!$A:$A,玩家节奏1!$O$6,关卡产出!$B:$B,玩家节奏1!$O143)+_xlfn.MAXIFS(关卡产出!X:X,关卡产出!$A:$A,玩家节奏1!$P$6,关卡产出!$B:$B,玩家节奏1!$P143)</f>
        <v>21900</v>
      </c>
      <c r="R143" s="90">
        <f>_xlfn.MAXIFS(关卡产出!Y:Y,关卡产出!$A:$A,玩家节奏1!$N$6,关卡产出!$B:$B,玩家节奏1!$N143)+_xlfn.MAXIFS(关卡产出!Y:Y,关卡产出!$A:$A,玩家节奏1!$O$6,关卡产出!$B:$B,玩家节奏1!$O143)+_xlfn.MAXIFS(关卡产出!Y:Y,关卡产出!$A:$A,玩家节奏1!$P$6,关卡产出!$B:$B,玩家节奏1!$P143)</f>
        <v>3882700</v>
      </c>
      <c r="S143" s="90">
        <f>_xlfn.MAXIFS(关卡产出!Z:Z,关卡产出!$A:$A,玩家节奏1!$N$6,关卡产出!$B:$B,玩家节奏1!$N143)+_xlfn.MAXIFS(关卡产出!Z:Z,关卡产出!$A:$A,玩家节奏1!$O$6,关卡产出!$B:$B,玩家节奏1!$O143)+_xlfn.MAXIFS(关卡产出!Z:Z,关卡产出!$A:$A,玩家节奏1!$P$6,关卡产出!$B:$B,玩家节奏1!$P143)</f>
        <v>26742</v>
      </c>
      <c r="T143" s="90">
        <f>_xlfn.MAXIFS(关卡产出!AA:AA,关卡产出!$A:$A,玩家节奏1!$N$6,关卡产出!$B:$B,玩家节奏1!$N143)+_xlfn.MAXIFS(关卡产出!AA:AA,关卡产出!$A:$A,玩家节奏1!$O$6,关卡产出!$B:$B,玩家节奏1!$O143)+_xlfn.MAXIFS(关卡产出!AA:AA,关卡产出!$A:$A,玩家节奏1!$P$6,关卡产出!$B:$B,玩家节奏1!$P143)</f>
        <v>13372</v>
      </c>
      <c r="U143" s="90">
        <f>_xlfn.MAXIFS(关卡产出!AB:AB,关卡产出!$A:$A,玩家节奏1!$N$6,关卡产出!$B:$B,玩家节奏1!$N143)+_xlfn.MAXIFS(关卡产出!AB:AB,关卡产出!$A:$A,玩家节奏1!$O$6,关卡产出!$B:$B,玩家节奏1!$O143)+_xlfn.MAXIFS(关卡产出!AB:AB,关卡产出!$A:$A,玩家节奏1!$P$6,关卡产出!$B:$B,玩家节奏1!$P143)</f>
        <v>6331</v>
      </c>
      <c r="V143" s="130">
        <f>_xlfn.MAXIFS(关卡产出!AC:AC,关卡产出!$A:$A,玩家节奏1!$N$6,关卡产出!$B:$B,玩家节奏1!$N143)+_xlfn.MAXIFS(关卡产出!AC:AC,关卡产出!$A:$A,玩家节奏1!$O$6,关卡产出!$B:$B,玩家节奏1!$O143)+_xlfn.MAXIFS(关卡产出!AC:AC,关卡产出!$A:$A,玩家节奏1!$P$6,关卡产出!$B:$B,玩家节奏1!$P143)</f>
        <v>702</v>
      </c>
      <c r="W143" s="126">
        <f>INDEX(关卡产出!C$8:C$207,MATCH(玩家节奏1!$N143,关卡产出!$B$8:$B$207,0))*$K143</f>
        <v>460</v>
      </c>
      <c r="X143" s="126">
        <f>INDEX(关卡产出!D$8:D$207,MATCH(玩家节奏1!$N143,关卡产出!$B$8:$B$207,0))*$K143</f>
        <v>230</v>
      </c>
      <c r="Y143" s="126">
        <f>INDEX(关卡产出!E$8:E$207,MATCH(玩家节奏1!$N143,关卡产出!$B$8:$B$207,0))*$K143</f>
        <v>110</v>
      </c>
      <c r="Z143" s="144">
        <f>INDEX(关卡产出!F$8:F$207,MATCH(玩家节奏1!$N143,关卡产出!$B$8:$B$207,0))*$K143</f>
        <v>6150</v>
      </c>
      <c r="AA143" s="126">
        <f>SUM(W$7:W143)</f>
        <v>31991</v>
      </c>
      <c r="AB143" s="126">
        <f>SUM(X$7:X143)</f>
        <v>15851</v>
      </c>
      <c r="AC143" s="126">
        <f>SUM(Y$7:Y143)</f>
        <v>7527</v>
      </c>
      <c r="AD143" s="126">
        <f>SUM(Z$7:Z143)</f>
        <v>451810</v>
      </c>
      <c r="AE143" s="126">
        <f>INDEX(图鉴!AQ:AQ,MATCH($N143,图鉴!$S:$S,0))*8</f>
        <v>168</v>
      </c>
      <c r="AF143" s="90">
        <f>INDEX(图鉴!AR:AR,MATCH($N143,图鉴!$S:$S,0))*8</f>
        <v>120</v>
      </c>
      <c r="AG143" s="90">
        <f>INDEX(图鉴!AS:AS,MATCH($N143,图鉴!$S:$S,0))*8</f>
        <v>48</v>
      </c>
      <c r="AH143" s="129">
        <f ca="1">INDEX(图鉴!AT:AT,MATCH($N143,图鉴!$S:$S,0))*8</f>
        <v>10520</v>
      </c>
      <c r="AI143" s="128">
        <f>SUM($AE$7:AE143)</f>
        <v>20592</v>
      </c>
      <c r="AJ143" s="90">
        <f>SUM(AF$7:AF143)</f>
        <v>12160</v>
      </c>
      <c r="AK143" s="90">
        <f>SUM(AG$7:AG143)</f>
        <v>4184</v>
      </c>
      <c r="AL143" s="130">
        <f ca="1">SUM(AH$7:AH143)</f>
        <v>937320</v>
      </c>
      <c r="AM143" s="133">
        <f>IF(M143=0,0,INDEX(关卡产出!$AU$11:$AU$15,MATCH(玩家节奏1!N143,关卡产出!$AW$11:$AW$15,1))*M143)</f>
        <v>12200</v>
      </c>
      <c r="AN143" s="126">
        <f>IF(L143=0,0,$L143*关卡产出!AU$21)</f>
        <v>1000</v>
      </c>
      <c r="AO143" s="90">
        <f>IF(M143=0,0,$L143*关卡产出!AV$21)</f>
        <v>50</v>
      </c>
      <c r="AP143" s="129">
        <f>IF(N143=0,0,$L143*关卡产出!AW$21)</f>
        <v>1</v>
      </c>
      <c r="AQ143" s="138">
        <f>SUM(AN$7:AN143)</f>
        <v>120000</v>
      </c>
      <c r="AR143" s="126">
        <f>SUM(AO$7:AO143)</f>
        <v>6000</v>
      </c>
      <c r="AS143" s="129">
        <f>SUM(AP$7:AP143)</f>
        <v>120</v>
      </c>
      <c r="AT143" s="128">
        <v>500</v>
      </c>
      <c r="AU143" s="129">
        <v>100</v>
      </c>
      <c r="AV143" s="128">
        <f>SUM(AT$7:AT143)</f>
        <v>68500</v>
      </c>
      <c r="AW143" s="90">
        <f>SUM(AU$7:AU143)</f>
        <v>13700</v>
      </c>
      <c r="AY143" s="128">
        <f t="shared" si="167"/>
        <v>21900</v>
      </c>
      <c r="AZ143" s="90">
        <f t="shared" si="168"/>
        <v>6000</v>
      </c>
      <c r="BA143" s="90">
        <f t="shared" si="169"/>
        <v>13700</v>
      </c>
      <c r="BB143" s="90">
        <f t="shared" ca="1" si="217"/>
        <v>9200</v>
      </c>
      <c r="BC143" s="90">
        <f t="shared" ca="1" si="218"/>
        <v>50800</v>
      </c>
      <c r="BD143" s="90"/>
      <c r="BE143" s="90">
        <f t="shared" ca="1" si="170"/>
        <v>50800</v>
      </c>
      <c r="BF143" s="142">
        <f t="shared" ca="1" si="171"/>
        <v>0.43110236220472442</v>
      </c>
      <c r="BG143" s="142">
        <f t="shared" ca="1" si="172"/>
        <v>0.11811023622047244</v>
      </c>
      <c r="BH143" s="142">
        <f t="shared" ca="1" si="173"/>
        <v>0.26968503937007876</v>
      </c>
      <c r="BI143" s="142">
        <f t="shared" ca="1" si="174"/>
        <v>0.18110236220472442</v>
      </c>
      <c r="BJ143" s="143"/>
      <c r="BK143" s="128">
        <f ca="1">INDEX(商城宝箱!$L:$L,MATCH(BC143,商城宝箱!$N:$N,1))</f>
        <v>9</v>
      </c>
      <c r="BL143" s="90">
        <f ca="1">_xlfn.IFNA(INDEX(商城宝箱!T:T,MATCH(玩家节奏1!$BK143,商城宝箱!$L:$L,0)),0)+($BC143-INDEX(商城宝箱!$N:$N,MATCH(玩家节奏1!$BK143,商城宝箱!$L:$L,0)))/$BK$5*INDEX(商城宝箱!E$23:E$42,MATCH(玩家节奏1!$BK143+1,商城宝箱!$C$23:$C$42,0))</f>
        <v>127000</v>
      </c>
      <c r="BM143" s="90">
        <f ca="1">_xlfn.IFNA(INDEX(商城宝箱!U:U,MATCH(玩家节奏1!$BK143,商城宝箱!$L:$L,0)),0)+($BC143-INDEX(商城宝箱!$N:$N,MATCH(玩家节奏1!$BK143,商城宝箱!$L:$L,0)))/$BK$5*INDEX(商城宝箱!F$23:F$42,MATCH(玩家节奏1!$BK143+1,商城宝箱!$C$23:$C$42,0))</f>
        <v>80652.5</v>
      </c>
      <c r="BN143" s="90">
        <f ca="1">_xlfn.IFNA(INDEX(商城宝箱!V:V,MATCH(玩家节奏1!$BK143,商城宝箱!$L:$L,0)),0)+($BC143-INDEX(商城宝箱!$N:$N,MATCH(玩家节奏1!$BK143,商城宝箱!$L:$L,0)))/$BK$5*INDEX(商城宝箱!G$23:G$42,MATCH(玩家节奏1!$BK143+1,商城宝箱!$C$23:$C$42,0))</f>
        <v>50262</v>
      </c>
      <c r="BO143" s="90">
        <f ca="1">_xlfn.IFNA(INDEX(商城宝箱!W:W,MATCH(玩家节奏1!$BK143,商城宝箱!$L:$L,0)),0)+($BC143-INDEX(商城宝箱!$N:$N,MATCH(玩家节奏1!$BK143,商城宝箱!$L:$L,0)))/$BK$5*INDEX(商城宝箱!H$23:H$42,MATCH(玩家节奏1!$BK143+1,商城宝箱!$C$23:$C$42,0))</f>
        <v>6571.5</v>
      </c>
      <c r="BQ143" s="128">
        <f t="shared" si="158"/>
        <v>3882700</v>
      </c>
      <c r="BR143" s="90">
        <f t="shared" si="159"/>
        <v>451810</v>
      </c>
      <c r="BS143" s="90">
        <f t="shared" ca="1" si="160"/>
        <v>937320</v>
      </c>
      <c r="BT143" s="90">
        <f t="shared" si="161"/>
        <v>12200</v>
      </c>
      <c r="BU143" s="90">
        <f t="shared" si="162"/>
        <v>120000</v>
      </c>
      <c r="BV143" s="90">
        <f t="shared" si="163"/>
        <v>68500</v>
      </c>
      <c r="BW143" s="90">
        <f t="shared" ca="1" si="175"/>
        <v>127000</v>
      </c>
      <c r="BX143" s="90">
        <f t="shared" ca="1" si="176"/>
        <v>5599530</v>
      </c>
      <c r="BY143" s="142">
        <f t="shared" ca="1" si="177"/>
        <v>0.69339748157434644</v>
      </c>
      <c r="BZ143" s="142">
        <f t="shared" ca="1" si="178"/>
        <v>8.0687129098335045E-2</v>
      </c>
      <c r="CA143" s="142">
        <f t="shared" ca="1" si="179"/>
        <v>0.16739262045207365</v>
      </c>
      <c r="CB143" s="142">
        <f t="shared" ca="1" si="180"/>
        <v>2.1787542883063399E-3</v>
      </c>
      <c r="CC143" s="142">
        <f t="shared" ca="1" si="181"/>
        <v>2.1430370048914821E-2</v>
      </c>
      <c r="CD143" s="142">
        <f t="shared" ca="1" si="182"/>
        <v>1.2233169569588876E-2</v>
      </c>
      <c r="CE143" s="142">
        <f t="shared" ca="1" si="183"/>
        <v>2.2680474968434852E-2</v>
      </c>
      <c r="CG143" s="128">
        <f t="shared" si="184"/>
        <v>117</v>
      </c>
      <c r="CH143" s="90">
        <f ca="1">INDEX(角色升级!$A:$A,MATCH(玩家节奏1!$BX143,角色升级!$J:$J,1))</f>
        <v>595</v>
      </c>
      <c r="CI143" s="90">
        <f ca="1">INDEX(角色升级!$O:$O,MATCH(玩家节奏1!$BX143,角色升级!$J:$J,1))</f>
        <v>27489.832700000003</v>
      </c>
      <c r="CJ143" s="90">
        <f>INDEX(关卡对比!$J:$J,MATCH(玩家节奏1!N143,关卡对比!$A:$A,0))</f>
        <v>44700</v>
      </c>
      <c r="CK143" s="147">
        <f t="shared" ca="1" si="185"/>
        <v>1.6260557307793291</v>
      </c>
      <c r="CL143" s="128">
        <f ca="1">INDEX(角色升级!$P:$P,MATCH(玩家节奏1!$CH143,角色升级!$A:$A,0))</f>
        <v>9200</v>
      </c>
      <c r="CM143" s="90">
        <f ca="1">INDEX(角色升级!Q:Q,MATCH(玩家节奏1!$CH143,角色升级!$A:$A,0))</f>
        <v>0.9</v>
      </c>
      <c r="CO143" s="128">
        <f t="shared" si="186"/>
        <v>26742</v>
      </c>
      <c r="CP143" s="90">
        <f t="shared" si="187"/>
        <v>31991</v>
      </c>
      <c r="CQ143" s="90">
        <f t="shared" si="188"/>
        <v>20592</v>
      </c>
      <c r="CR143" s="90">
        <f t="shared" ca="1" si="189"/>
        <v>80652.5</v>
      </c>
      <c r="CS143" s="90">
        <f t="shared" ca="1" si="190"/>
        <v>159977.5</v>
      </c>
      <c r="CT143" s="142">
        <f t="shared" ca="1" si="191"/>
        <v>0.16716100701661171</v>
      </c>
      <c r="CU143" s="142">
        <f t="shared" ca="1" si="192"/>
        <v>0.19997187104436562</v>
      </c>
      <c r="CV143" s="142">
        <f t="shared" ca="1" si="193"/>
        <v>0.12871810098295072</v>
      </c>
      <c r="CW143" s="142">
        <f t="shared" ca="1" si="194"/>
        <v>0.50414902095607195</v>
      </c>
      <c r="CY143" s="128">
        <f t="shared" si="195"/>
        <v>13372</v>
      </c>
      <c r="CZ143" s="90">
        <f t="shared" si="196"/>
        <v>15851</v>
      </c>
      <c r="DA143" s="90">
        <f t="shared" si="197"/>
        <v>12160</v>
      </c>
      <c r="DB143" s="90">
        <f t="shared" ca="1" si="198"/>
        <v>50262</v>
      </c>
      <c r="DC143" s="90">
        <f t="shared" ca="1" si="199"/>
        <v>91645</v>
      </c>
      <c r="DD143" s="142">
        <f t="shared" ca="1" si="200"/>
        <v>0.14591085165584591</v>
      </c>
      <c r="DE143" s="142">
        <f t="shared" ca="1" si="201"/>
        <v>0.17296088166293852</v>
      </c>
      <c r="DF143" s="142">
        <f t="shared" ca="1" si="202"/>
        <v>0.13268590757815485</v>
      </c>
      <c r="DG143" s="142">
        <f t="shared" ca="1" si="203"/>
        <v>0.54844235910306072</v>
      </c>
      <c r="DI143" s="128">
        <f t="shared" si="204"/>
        <v>6331</v>
      </c>
      <c r="DJ143" s="90">
        <f t="shared" si="205"/>
        <v>7527</v>
      </c>
      <c r="DK143" s="90">
        <f t="shared" si="206"/>
        <v>4184</v>
      </c>
      <c r="DL143" s="90">
        <f t="shared" ca="1" si="207"/>
        <v>6571.5</v>
      </c>
      <c r="DM143" s="90">
        <f t="shared" ca="1" si="208"/>
        <v>24613.5</v>
      </c>
      <c r="DN143" s="142">
        <f t="shared" ca="1" si="209"/>
        <v>0.25721656814349847</v>
      </c>
      <c r="DO143" s="142">
        <f t="shared" ca="1" si="210"/>
        <v>0.30580778840880007</v>
      </c>
      <c r="DP143" s="142">
        <f t="shared" ca="1" si="211"/>
        <v>0.16998801470737604</v>
      </c>
      <c r="DQ143" s="142">
        <f t="shared" ca="1" si="212"/>
        <v>0.26698762874032544</v>
      </c>
      <c r="DS143" s="128">
        <f t="shared" ca="1" si="213"/>
        <v>159977.5</v>
      </c>
      <c r="DT143" s="90">
        <f t="shared" ca="1" si="214"/>
        <v>91645</v>
      </c>
      <c r="DU143" s="90">
        <f t="shared" ca="1" si="215"/>
        <v>24613.5</v>
      </c>
      <c r="DV143" s="90">
        <f t="shared" si="216"/>
        <v>120</v>
      </c>
      <c r="DW143" s="90">
        <f ca="1">_xlfn.IFNA(INDEX(武器升级消耗!$H:$H,MATCH(玩家节奏1!DS143/玩家节奏1!DS$5,武器升级消耗!M:M,1)),0)</f>
        <v>36</v>
      </c>
      <c r="DX143" s="90">
        <f ca="1">_xlfn.IFNA(INDEX(武器升级消耗!$H:$H,MATCH(玩家节奏1!DT143/玩家节奏1!DT$5,武器升级消耗!N:N,1)),0)</f>
        <v>33</v>
      </c>
      <c r="DY143" s="90">
        <f ca="1">_xlfn.IFNA(INDEX(武器升级消耗!$H:$H,MATCH(玩家节奏1!DU143/玩家节奏1!DU$5,武器升级消耗!O:O,1)),0)</f>
        <v>22</v>
      </c>
      <c r="DZ143" s="90">
        <f>_xlfn.IFNA(INDEX(武器升级消耗!$H:$H,MATCH(玩家节奏1!DV143/玩家节奏1!DV$5,武器升级消耗!P:P,1)),0)</f>
        <v>11</v>
      </c>
      <c r="EA143" s="90">
        <f ca="1">_xlfn.IFNA(INDEX(武器升级消耗!$Q:$Q,MATCH(玩家节奏1!DW143,武器升级消耗!$H:$H,0))*2*EA$4,0)</f>
        <v>4.8</v>
      </c>
      <c r="EB143" s="90">
        <f ca="1">_xlfn.IFNA(INDEX(武器升级消耗!$Q:$Q,MATCH(玩家节奏1!DX143,武器升级消耗!$H:$H,0))*2*EB$4,0)</f>
        <v>5.5500000000000007</v>
      </c>
      <c r="EC143" s="90">
        <f ca="1">_xlfn.IFNA(INDEX(武器升级消耗!$Q:$Q,MATCH(玩家节奏1!DY143,武器升级消耗!$H:$H,0))*2*EC$4,1)</f>
        <v>5.7200000000000006</v>
      </c>
      <c r="ED143" s="90">
        <f>_xlfn.IFNA(INDEX(武器升级消耗!$Q:$Q,MATCH(玩家节奏1!DZ143,武器升级消耗!$H:$H,0))*2*ED$4,0)</f>
        <v>4.5</v>
      </c>
    </row>
    <row r="144" spans="1:134" x14ac:dyDescent="0.25">
      <c r="A144" s="123">
        <v>138</v>
      </c>
      <c r="B144" s="123">
        <f>INDEX(关卡对比!$Y:$Y,MATCH(关卡对比!Z144,关卡对比!$AA:$AA,1))</f>
        <v>82</v>
      </c>
      <c r="C144" s="124">
        <f>INDEX(关卡对比!$Y:$Y,MATCH(关卡对比!Z144,关卡对比!$AB:$AB,1))</f>
        <v>64</v>
      </c>
      <c r="D144" s="125">
        <f t="shared" si="157"/>
        <v>821.5</v>
      </c>
      <c r="E144" s="125">
        <v>3</v>
      </c>
      <c r="F144" s="128">
        <v>5</v>
      </c>
      <c r="G144" s="90">
        <v>1</v>
      </c>
      <c r="H144" s="90">
        <v>1</v>
      </c>
      <c r="J144" s="128">
        <v>138</v>
      </c>
      <c r="K144" s="90">
        <f t="shared" si="164"/>
        <v>5</v>
      </c>
      <c r="L144" s="90">
        <f t="shared" si="165"/>
        <v>1</v>
      </c>
      <c r="M144" s="90">
        <f t="shared" si="166"/>
        <v>1</v>
      </c>
      <c r="N144" s="140">
        <f>INDEX($A:$A,MATCH(SUM($K$7:K144),$D:$D,1))</f>
        <v>118</v>
      </c>
      <c r="O144" s="140">
        <v>0</v>
      </c>
      <c r="P144" s="141">
        <v>0</v>
      </c>
      <c r="Q144" s="126">
        <f>_xlfn.MAXIFS(关卡产出!X:X,关卡产出!$A:$A,玩家节奏1!$N$6,关卡产出!$B:$B,玩家节奏1!$N144)+_xlfn.MAXIFS(关卡产出!X:X,关卡产出!$A:$A,玩家节奏1!$O$6,关卡产出!$B:$B,玩家节奏1!$O144)+_xlfn.MAXIFS(关卡产出!X:X,关卡产出!$A:$A,玩家节奏1!$P$6,关卡产出!$B:$B,玩家节奏1!$P144)</f>
        <v>22100</v>
      </c>
      <c r="R144" s="90">
        <f>_xlfn.MAXIFS(关卡产出!Y:Y,关卡产出!$A:$A,玩家节奏1!$N$6,关卡产出!$B:$B,玩家节奏1!$N144)+_xlfn.MAXIFS(关卡产出!Y:Y,关卡产出!$A:$A,玩家节奏1!$O$6,关卡产出!$B:$B,玩家节奏1!$O144)+_xlfn.MAXIFS(关卡产出!Y:Y,关卡产出!$A:$A,玩家节奏1!$P$6,关卡产出!$B:$B,玩家节奏1!$P144)</f>
        <v>3951200</v>
      </c>
      <c r="S144" s="90">
        <f>_xlfn.MAXIFS(关卡产出!Z:Z,关卡产出!$A:$A,玩家节奏1!$N$6,关卡产出!$B:$B,玩家节奏1!$N144)+_xlfn.MAXIFS(关卡产出!Z:Z,关卡产出!$A:$A,玩家节奏1!$O$6,关卡产出!$B:$B,玩家节奏1!$O144)+_xlfn.MAXIFS(关卡产出!Z:Z,关卡产出!$A:$A,玩家节奏1!$P$6,关卡产出!$B:$B,玩家节奏1!$P144)</f>
        <v>27206</v>
      </c>
      <c r="T144" s="90">
        <f>_xlfn.MAXIFS(关卡产出!AA:AA,关卡产出!$A:$A,玩家节奏1!$N$6,关卡产出!$B:$B,玩家节奏1!$N144)+_xlfn.MAXIFS(关卡产出!AA:AA,关卡产出!$A:$A,玩家节奏1!$O$6,关卡产出!$B:$B,玩家节奏1!$O144)+_xlfn.MAXIFS(关卡产出!AA:AA,关卡产出!$A:$A,玩家节奏1!$P$6,关卡产出!$B:$B,玩家节奏1!$P144)</f>
        <v>13604</v>
      </c>
      <c r="U144" s="90">
        <f>_xlfn.MAXIFS(关卡产出!AB:AB,关卡产出!$A:$A,玩家节奏1!$N$6,关卡产出!$B:$B,玩家节奏1!$N144)+_xlfn.MAXIFS(关卡产出!AB:AB,关卡产出!$A:$A,玩家节奏1!$O$6,关卡产出!$B:$B,玩家节奏1!$O144)+_xlfn.MAXIFS(关卡产出!AB:AB,关卡产出!$A:$A,玩家节奏1!$P$6,关卡产出!$B:$B,玩家节奏1!$P144)</f>
        <v>6444</v>
      </c>
      <c r="V144" s="130">
        <f>_xlfn.MAXIFS(关卡产出!AC:AC,关卡产出!$A:$A,玩家节奏1!$N$6,关卡产出!$B:$B,玩家节奏1!$N144)+_xlfn.MAXIFS(关卡产出!AC:AC,关卡产出!$A:$A,玩家节奏1!$O$6,关卡产出!$B:$B,玩家节奏1!$O144)+_xlfn.MAXIFS(关卡产出!AC:AC,关卡产出!$A:$A,玩家节奏1!$P$6,关卡产出!$B:$B,玩家节奏1!$P144)</f>
        <v>708</v>
      </c>
      <c r="W144" s="126">
        <f>INDEX(关卡产出!C$8:C$207,MATCH(玩家节奏1!$N144,关卡产出!$B$8:$B$207,0))*$K144</f>
        <v>465</v>
      </c>
      <c r="X144" s="126">
        <f>INDEX(关卡产出!D$8:D$207,MATCH(玩家节奏1!$N144,关卡产出!$B$8:$B$207,0))*$K144</f>
        <v>230</v>
      </c>
      <c r="Y144" s="126">
        <f>INDEX(关卡产出!E$8:E$207,MATCH(玩家节奏1!$N144,关卡产出!$B$8:$B$207,0))*$K144</f>
        <v>115</v>
      </c>
      <c r="Z144" s="144">
        <f>INDEX(关卡产出!F$8:F$207,MATCH(玩家节奏1!$N144,关卡产出!$B$8:$B$207,0))*$K144</f>
        <v>6150</v>
      </c>
      <c r="AA144" s="126">
        <f>SUM(W$7:W144)</f>
        <v>32456</v>
      </c>
      <c r="AB144" s="126">
        <f>SUM(X$7:X144)</f>
        <v>16081</v>
      </c>
      <c r="AC144" s="126">
        <f>SUM(Y$7:Y144)</f>
        <v>7642</v>
      </c>
      <c r="AD144" s="126">
        <f>SUM(Z$7:Z144)</f>
        <v>457960</v>
      </c>
      <c r="AE144" s="126">
        <f>INDEX(图鉴!AQ:AQ,MATCH($N144,图鉴!$S:$S,0))*8</f>
        <v>168</v>
      </c>
      <c r="AF144" s="90">
        <f>INDEX(图鉴!AR:AR,MATCH($N144,图鉴!$S:$S,0))*8</f>
        <v>120</v>
      </c>
      <c r="AG144" s="90">
        <f>INDEX(图鉴!AS:AS,MATCH($N144,图鉴!$S:$S,0))*8</f>
        <v>48</v>
      </c>
      <c r="AH144" s="129">
        <f ca="1">INDEX(图鉴!AT:AT,MATCH($N144,图鉴!$S:$S,0))*8</f>
        <v>10520</v>
      </c>
      <c r="AI144" s="128">
        <f>SUM($AE$7:AE144)</f>
        <v>20760</v>
      </c>
      <c r="AJ144" s="90">
        <f>SUM(AF$7:AF144)</f>
        <v>12280</v>
      </c>
      <c r="AK144" s="90">
        <f>SUM(AG$7:AG144)</f>
        <v>4232</v>
      </c>
      <c r="AL144" s="130">
        <f ca="1">SUM(AH$7:AH144)</f>
        <v>947840</v>
      </c>
      <c r="AM144" s="133">
        <f>IF(M144=0,0,INDEX(关卡产出!$AU$11:$AU$15,MATCH(玩家节奏1!N144,关卡产出!$AW$11:$AW$15,1))*M144)</f>
        <v>12200</v>
      </c>
      <c r="AN144" s="126">
        <f>IF(L144=0,0,$L144*关卡产出!AU$21)</f>
        <v>1000</v>
      </c>
      <c r="AO144" s="90">
        <f>IF(M144=0,0,$L144*关卡产出!AV$21)</f>
        <v>50</v>
      </c>
      <c r="AP144" s="129">
        <f>IF(N144=0,0,$L144*关卡产出!AW$21)</f>
        <v>1</v>
      </c>
      <c r="AQ144" s="138">
        <f>SUM(AN$7:AN144)</f>
        <v>121000</v>
      </c>
      <c r="AR144" s="126">
        <f>SUM(AO$7:AO144)</f>
        <v>6050</v>
      </c>
      <c r="AS144" s="129">
        <f>SUM(AP$7:AP144)</f>
        <v>121</v>
      </c>
      <c r="AT144" s="128">
        <v>500</v>
      </c>
      <c r="AU144" s="129">
        <v>100</v>
      </c>
      <c r="AV144" s="128">
        <f>SUM(AT$7:AT144)</f>
        <v>69000</v>
      </c>
      <c r="AW144" s="90">
        <f>SUM(AU$7:AU144)</f>
        <v>13800</v>
      </c>
      <c r="AY144" s="128">
        <f t="shared" si="167"/>
        <v>22100</v>
      </c>
      <c r="AZ144" s="90">
        <f t="shared" si="168"/>
        <v>6050</v>
      </c>
      <c r="BA144" s="90">
        <f t="shared" si="169"/>
        <v>13800</v>
      </c>
      <c r="BB144" s="90">
        <f t="shared" ca="1" si="217"/>
        <v>9200</v>
      </c>
      <c r="BC144" s="90">
        <f t="shared" ca="1" si="218"/>
        <v>51150</v>
      </c>
      <c r="BD144" s="90"/>
      <c r="BE144" s="90">
        <f t="shared" ca="1" si="170"/>
        <v>51150</v>
      </c>
      <c r="BF144" s="142">
        <f t="shared" ca="1" si="171"/>
        <v>0.43206256109481916</v>
      </c>
      <c r="BG144" s="142">
        <f t="shared" ca="1" si="172"/>
        <v>0.11827956989247312</v>
      </c>
      <c r="BH144" s="142">
        <f t="shared" ca="1" si="173"/>
        <v>0.26979472140762462</v>
      </c>
      <c r="BI144" s="142">
        <f t="shared" ca="1" si="174"/>
        <v>0.1798631476050831</v>
      </c>
      <c r="BJ144" s="143"/>
      <c r="BK144" s="128">
        <f ca="1">INDEX(商城宝箱!$L:$L,MATCH(BC144,商城宝箱!$N:$N,1))</f>
        <v>9</v>
      </c>
      <c r="BL144" s="90">
        <f ca="1">_xlfn.IFNA(INDEX(商城宝箱!T:T,MATCH(玩家节奏1!$BK144,商城宝箱!$L:$L,0)),0)+($BC144-INDEX(商城宝箱!$N:$N,MATCH(玩家节奏1!$BK144,商城宝箱!$L:$L,0)))/$BK$5*INDEX(商城宝箱!E$23:E$42,MATCH(玩家节奏1!$BK144+1,商城宝箱!$C$23:$C$42,0))</f>
        <v>127875</v>
      </c>
      <c r="BM144" s="90">
        <f ca="1">_xlfn.IFNA(INDEX(商城宝箱!U:U,MATCH(玩家节奏1!$BK144,商城宝箱!$L:$L,0)),0)+($BC144-INDEX(商城宝箱!$N:$N,MATCH(玩家节奏1!$BK144,商城宝箱!$L:$L,0)))/$BK$5*INDEX(商城宝箱!F$23:F$42,MATCH(玩家节奏1!$BK144+1,商城宝箱!$C$23:$C$42,0))</f>
        <v>81597.5</v>
      </c>
      <c r="BN144" s="90">
        <f ca="1">_xlfn.IFNA(INDEX(商城宝箱!V:V,MATCH(玩家节奏1!$BK144,商城宝箱!$L:$L,0)),0)+($BC144-INDEX(商城宝箱!$N:$N,MATCH(玩家节奏1!$BK144,商城宝箱!$L:$L,0)))/$BK$5*INDEX(商城宝箱!G$23:G$42,MATCH(玩家节奏1!$BK144+1,商城宝箱!$C$23:$C$42,0))</f>
        <v>50699.5</v>
      </c>
      <c r="BO144" s="90">
        <f ca="1">_xlfn.IFNA(INDEX(商城宝箱!W:W,MATCH(玩家节奏1!$BK144,商城宝箱!$L:$L,0)),0)+($BC144-INDEX(商城宝箱!$N:$N,MATCH(玩家节奏1!$BK144,商城宝箱!$L:$L,0)))/$BK$5*INDEX(商城宝箱!H$23:H$42,MATCH(玩家节奏1!$BK144+1,商城宝箱!$C$23:$C$42,0))</f>
        <v>6641.5</v>
      </c>
      <c r="BQ144" s="128">
        <f t="shared" si="158"/>
        <v>3951200</v>
      </c>
      <c r="BR144" s="90">
        <f t="shared" si="159"/>
        <v>457960</v>
      </c>
      <c r="BS144" s="90">
        <f t="shared" ca="1" si="160"/>
        <v>947840</v>
      </c>
      <c r="BT144" s="90">
        <f t="shared" si="161"/>
        <v>12200</v>
      </c>
      <c r="BU144" s="90">
        <f t="shared" si="162"/>
        <v>121000</v>
      </c>
      <c r="BV144" s="90">
        <f t="shared" si="163"/>
        <v>69000</v>
      </c>
      <c r="BW144" s="90">
        <f t="shared" ca="1" si="175"/>
        <v>127875</v>
      </c>
      <c r="BX144" s="90">
        <f t="shared" ca="1" si="176"/>
        <v>5687075</v>
      </c>
      <c r="BY144" s="142">
        <f t="shared" ca="1" si="177"/>
        <v>0.69476840027606457</v>
      </c>
      <c r="BZ144" s="142">
        <f t="shared" ca="1" si="178"/>
        <v>8.052645692205572E-2</v>
      </c>
      <c r="CA144" s="142">
        <f t="shared" ca="1" si="179"/>
        <v>0.166665640948994</v>
      </c>
      <c r="CB144" s="142">
        <f t="shared" ca="1" si="180"/>
        <v>2.1452152468536111E-3</v>
      </c>
      <c r="CC144" s="142">
        <f t="shared" ca="1" si="181"/>
        <v>2.1276315153220239E-2</v>
      </c>
      <c r="CD144" s="142">
        <f t="shared" ca="1" si="182"/>
        <v>1.2132774756795013E-2</v>
      </c>
      <c r="CE144" s="142">
        <f t="shared" ca="1" si="183"/>
        <v>2.2485196696016844E-2</v>
      </c>
      <c r="CG144" s="128">
        <f t="shared" si="184"/>
        <v>118</v>
      </c>
      <c r="CH144" s="90">
        <f ca="1">INDEX(角色升级!$A:$A,MATCH(玩家节奏1!$BX144,角色升级!$J:$J,1))</f>
        <v>600</v>
      </c>
      <c r="CI144" s="90">
        <f ca="1">INDEX(角色升级!$O:$O,MATCH(玩家节奏1!$BX144,角色升级!$J:$J,1))</f>
        <v>27552.480449999999</v>
      </c>
      <c r="CJ144" s="90">
        <f>INDEX(关卡对比!$J:$J,MATCH(玩家节奏1!N144,关卡对比!$A:$A,0))</f>
        <v>45200</v>
      </c>
      <c r="CK144" s="147">
        <f t="shared" ca="1" si="185"/>
        <v>1.640505655453609</v>
      </c>
      <c r="CL144" s="128">
        <f ca="1">INDEX(角色升级!$P:$P,MATCH(玩家节奏1!$CH144,角色升级!$A:$A,0))</f>
        <v>9200</v>
      </c>
      <c r="CM144" s="90">
        <f ca="1">INDEX(角色升级!Q:Q,MATCH(玩家节奏1!$CH144,角色升级!$A:$A,0))</f>
        <v>0.9</v>
      </c>
      <c r="CO144" s="128">
        <f t="shared" si="186"/>
        <v>27206</v>
      </c>
      <c r="CP144" s="90">
        <f t="shared" si="187"/>
        <v>32456</v>
      </c>
      <c r="CQ144" s="90">
        <f t="shared" si="188"/>
        <v>20760</v>
      </c>
      <c r="CR144" s="90">
        <f t="shared" ca="1" si="189"/>
        <v>81597.5</v>
      </c>
      <c r="CS144" s="90">
        <f t="shared" ca="1" si="190"/>
        <v>162019.5</v>
      </c>
      <c r="CT144" s="142">
        <f t="shared" ca="1" si="191"/>
        <v>0.16791805924595496</v>
      </c>
      <c r="CU144" s="142">
        <f t="shared" ca="1" si="192"/>
        <v>0.20032156623122527</v>
      </c>
      <c r="CV144" s="142">
        <f t="shared" ca="1" si="193"/>
        <v>0.12813272476461166</v>
      </c>
      <c r="CW144" s="142">
        <f t="shared" ca="1" si="194"/>
        <v>0.50362764975820806</v>
      </c>
      <c r="CY144" s="128">
        <f t="shared" si="195"/>
        <v>13604</v>
      </c>
      <c r="CZ144" s="90">
        <f t="shared" si="196"/>
        <v>16081</v>
      </c>
      <c r="DA144" s="90">
        <f t="shared" si="197"/>
        <v>12280</v>
      </c>
      <c r="DB144" s="90">
        <f t="shared" ca="1" si="198"/>
        <v>50699.5</v>
      </c>
      <c r="DC144" s="90">
        <f t="shared" ca="1" si="199"/>
        <v>92664.5</v>
      </c>
      <c r="DD144" s="142">
        <f t="shared" ca="1" si="200"/>
        <v>0.14680918798461115</v>
      </c>
      <c r="DE144" s="142">
        <f t="shared" ca="1" si="201"/>
        <v>0.17354002881362335</v>
      </c>
      <c r="DF144" s="142">
        <f t="shared" ca="1" si="202"/>
        <v>0.1325210841260677</v>
      </c>
      <c r="DG144" s="142">
        <f t="shared" ca="1" si="203"/>
        <v>0.54712969907569786</v>
      </c>
      <c r="DI144" s="128">
        <f t="shared" si="204"/>
        <v>6444</v>
      </c>
      <c r="DJ144" s="90">
        <f t="shared" si="205"/>
        <v>7642</v>
      </c>
      <c r="DK144" s="90">
        <f t="shared" si="206"/>
        <v>4232</v>
      </c>
      <c r="DL144" s="90">
        <f t="shared" ca="1" si="207"/>
        <v>6641.5</v>
      </c>
      <c r="DM144" s="90">
        <f t="shared" ca="1" si="208"/>
        <v>24959.5</v>
      </c>
      <c r="DN144" s="142">
        <f t="shared" ca="1" si="209"/>
        <v>0.25817824876299605</v>
      </c>
      <c r="DO144" s="142">
        <f t="shared" ca="1" si="210"/>
        <v>0.30617600512830784</v>
      </c>
      <c r="DP144" s="142">
        <f t="shared" ca="1" si="211"/>
        <v>0.16955467857929846</v>
      </c>
      <c r="DQ144" s="142">
        <f t="shared" ca="1" si="212"/>
        <v>0.26609106752939765</v>
      </c>
      <c r="DS144" s="128">
        <f t="shared" ca="1" si="213"/>
        <v>162019.5</v>
      </c>
      <c r="DT144" s="90">
        <f t="shared" ca="1" si="214"/>
        <v>92664.5</v>
      </c>
      <c r="DU144" s="90">
        <f t="shared" ca="1" si="215"/>
        <v>24959.5</v>
      </c>
      <c r="DV144" s="90">
        <f t="shared" si="216"/>
        <v>121</v>
      </c>
      <c r="DW144" s="90">
        <f ca="1">_xlfn.IFNA(INDEX(武器升级消耗!$H:$H,MATCH(玩家节奏1!DS144/玩家节奏1!DS$5,武器升级消耗!M:M,1)),0)</f>
        <v>36</v>
      </c>
      <c r="DX144" s="90">
        <f ca="1">_xlfn.IFNA(INDEX(武器升级消耗!$H:$H,MATCH(玩家节奏1!DT144/玩家节奏1!DT$5,武器升级消耗!N:N,1)),0)</f>
        <v>33</v>
      </c>
      <c r="DY144" s="90">
        <f ca="1">_xlfn.IFNA(INDEX(武器升级消耗!$H:$H,MATCH(玩家节奏1!DU144/玩家节奏1!DU$5,武器升级消耗!O:O,1)),0)</f>
        <v>22</v>
      </c>
      <c r="DZ144" s="90">
        <f>_xlfn.IFNA(INDEX(武器升级消耗!$H:$H,MATCH(玩家节奏1!DV144/玩家节奏1!DV$5,武器升级消耗!P:P,1)),0)</f>
        <v>11</v>
      </c>
      <c r="EA144" s="90">
        <f ca="1">_xlfn.IFNA(INDEX(武器升级消耗!$Q:$Q,MATCH(玩家节奏1!DW144,武器升级消耗!$H:$H,0))*2*EA$4,0)</f>
        <v>4.8</v>
      </c>
      <c r="EB144" s="90">
        <f ca="1">_xlfn.IFNA(INDEX(武器升级消耗!$Q:$Q,MATCH(玩家节奏1!DX144,武器升级消耗!$H:$H,0))*2*EB$4,0)</f>
        <v>5.5500000000000007</v>
      </c>
      <c r="EC144" s="90">
        <f ca="1">_xlfn.IFNA(INDEX(武器升级消耗!$Q:$Q,MATCH(玩家节奏1!DY144,武器升级消耗!$H:$H,0))*2*EC$4,1)</f>
        <v>5.7200000000000006</v>
      </c>
      <c r="ED144" s="90">
        <f>_xlfn.IFNA(INDEX(武器升级消耗!$Q:$Q,MATCH(玩家节奏1!DZ144,武器升级消耗!$H:$H,0))*2*ED$4,0)</f>
        <v>4.5</v>
      </c>
    </row>
    <row r="145" spans="1:134" x14ac:dyDescent="0.25">
      <c r="A145" s="123">
        <v>139</v>
      </c>
      <c r="B145" s="123">
        <f>INDEX(关卡对比!$Y:$Y,MATCH(关卡对比!Z145,关卡对比!$AA:$AA,1))</f>
        <v>83</v>
      </c>
      <c r="C145" s="124">
        <f>INDEX(关卡对比!$Y:$Y,MATCH(关卡对比!Z145,关卡对比!$AB:$AB,1))</f>
        <v>64</v>
      </c>
      <c r="D145" s="125">
        <f t="shared" si="157"/>
        <v>827.5</v>
      </c>
      <c r="E145" s="125">
        <v>3</v>
      </c>
      <c r="F145" s="128">
        <v>5</v>
      </c>
      <c r="G145" s="90">
        <v>1</v>
      </c>
      <c r="H145" s="90">
        <v>1</v>
      </c>
      <c r="J145" s="128">
        <v>139</v>
      </c>
      <c r="K145" s="90">
        <f t="shared" si="164"/>
        <v>5</v>
      </c>
      <c r="L145" s="90">
        <f t="shared" si="165"/>
        <v>1</v>
      </c>
      <c r="M145" s="90">
        <f t="shared" si="166"/>
        <v>1</v>
      </c>
      <c r="N145" s="140">
        <f>INDEX($A:$A,MATCH(SUM($K$7:K145),$D:$D,1))</f>
        <v>118</v>
      </c>
      <c r="O145" s="140">
        <v>0</v>
      </c>
      <c r="P145" s="141">
        <v>0</v>
      </c>
      <c r="Q145" s="126">
        <f>_xlfn.MAXIFS(关卡产出!X:X,关卡产出!$A:$A,玩家节奏1!$N$6,关卡产出!$B:$B,玩家节奏1!$N145)+_xlfn.MAXIFS(关卡产出!X:X,关卡产出!$A:$A,玩家节奏1!$O$6,关卡产出!$B:$B,玩家节奏1!$O145)+_xlfn.MAXIFS(关卡产出!X:X,关卡产出!$A:$A,玩家节奏1!$P$6,关卡产出!$B:$B,玩家节奏1!$P145)</f>
        <v>22100</v>
      </c>
      <c r="R145" s="90">
        <f>_xlfn.MAXIFS(关卡产出!Y:Y,关卡产出!$A:$A,玩家节奏1!$N$6,关卡产出!$B:$B,玩家节奏1!$N145)+_xlfn.MAXIFS(关卡产出!Y:Y,关卡产出!$A:$A,玩家节奏1!$O$6,关卡产出!$B:$B,玩家节奏1!$O145)+_xlfn.MAXIFS(关卡产出!Y:Y,关卡产出!$A:$A,玩家节奏1!$P$6,关卡产出!$B:$B,玩家节奏1!$P145)</f>
        <v>3951200</v>
      </c>
      <c r="S145" s="90">
        <f>_xlfn.MAXIFS(关卡产出!Z:Z,关卡产出!$A:$A,玩家节奏1!$N$6,关卡产出!$B:$B,玩家节奏1!$N145)+_xlfn.MAXIFS(关卡产出!Z:Z,关卡产出!$A:$A,玩家节奏1!$O$6,关卡产出!$B:$B,玩家节奏1!$O145)+_xlfn.MAXIFS(关卡产出!Z:Z,关卡产出!$A:$A,玩家节奏1!$P$6,关卡产出!$B:$B,玩家节奏1!$P145)</f>
        <v>27206</v>
      </c>
      <c r="T145" s="90">
        <f>_xlfn.MAXIFS(关卡产出!AA:AA,关卡产出!$A:$A,玩家节奏1!$N$6,关卡产出!$B:$B,玩家节奏1!$N145)+_xlfn.MAXIFS(关卡产出!AA:AA,关卡产出!$A:$A,玩家节奏1!$O$6,关卡产出!$B:$B,玩家节奏1!$O145)+_xlfn.MAXIFS(关卡产出!AA:AA,关卡产出!$A:$A,玩家节奏1!$P$6,关卡产出!$B:$B,玩家节奏1!$P145)</f>
        <v>13604</v>
      </c>
      <c r="U145" s="90">
        <f>_xlfn.MAXIFS(关卡产出!AB:AB,关卡产出!$A:$A,玩家节奏1!$N$6,关卡产出!$B:$B,玩家节奏1!$N145)+_xlfn.MAXIFS(关卡产出!AB:AB,关卡产出!$A:$A,玩家节奏1!$O$6,关卡产出!$B:$B,玩家节奏1!$O145)+_xlfn.MAXIFS(关卡产出!AB:AB,关卡产出!$A:$A,玩家节奏1!$P$6,关卡产出!$B:$B,玩家节奏1!$P145)</f>
        <v>6444</v>
      </c>
      <c r="V145" s="130">
        <f>_xlfn.MAXIFS(关卡产出!AC:AC,关卡产出!$A:$A,玩家节奏1!$N$6,关卡产出!$B:$B,玩家节奏1!$N145)+_xlfn.MAXIFS(关卡产出!AC:AC,关卡产出!$A:$A,玩家节奏1!$O$6,关卡产出!$B:$B,玩家节奏1!$O145)+_xlfn.MAXIFS(关卡产出!AC:AC,关卡产出!$A:$A,玩家节奏1!$P$6,关卡产出!$B:$B,玩家节奏1!$P145)</f>
        <v>708</v>
      </c>
      <c r="W145" s="126">
        <f>INDEX(关卡产出!C$8:C$207,MATCH(玩家节奏1!$N145,关卡产出!$B$8:$B$207,0))*$K145</f>
        <v>465</v>
      </c>
      <c r="X145" s="126">
        <f>INDEX(关卡产出!D$8:D$207,MATCH(玩家节奏1!$N145,关卡产出!$B$8:$B$207,0))*$K145</f>
        <v>230</v>
      </c>
      <c r="Y145" s="126">
        <f>INDEX(关卡产出!E$8:E$207,MATCH(玩家节奏1!$N145,关卡产出!$B$8:$B$207,0))*$K145</f>
        <v>115</v>
      </c>
      <c r="Z145" s="144">
        <f>INDEX(关卡产出!F$8:F$207,MATCH(玩家节奏1!$N145,关卡产出!$B$8:$B$207,0))*$K145</f>
        <v>6150</v>
      </c>
      <c r="AA145" s="126">
        <f>SUM(W$7:W145)</f>
        <v>32921</v>
      </c>
      <c r="AB145" s="126">
        <f>SUM(X$7:X145)</f>
        <v>16311</v>
      </c>
      <c r="AC145" s="126">
        <f>SUM(Y$7:Y145)</f>
        <v>7757</v>
      </c>
      <c r="AD145" s="126">
        <f>SUM(Z$7:Z145)</f>
        <v>464110</v>
      </c>
      <c r="AE145" s="126">
        <f>INDEX(图鉴!AQ:AQ,MATCH($N145,图鉴!$S:$S,0))*8</f>
        <v>168</v>
      </c>
      <c r="AF145" s="90">
        <f>INDEX(图鉴!AR:AR,MATCH($N145,图鉴!$S:$S,0))*8</f>
        <v>120</v>
      </c>
      <c r="AG145" s="90">
        <f>INDEX(图鉴!AS:AS,MATCH($N145,图鉴!$S:$S,0))*8</f>
        <v>48</v>
      </c>
      <c r="AH145" s="129">
        <f ca="1">INDEX(图鉴!AT:AT,MATCH($N145,图鉴!$S:$S,0))*8</f>
        <v>10520</v>
      </c>
      <c r="AI145" s="128">
        <f>SUM($AE$7:AE145)</f>
        <v>20928</v>
      </c>
      <c r="AJ145" s="90">
        <f>SUM(AF$7:AF145)</f>
        <v>12400</v>
      </c>
      <c r="AK145" s="90">
        <f>SUM(AG$7:AG145)</f>
        <v>4280</v>
      </c>
      <c r="AL145" s="130">
        <f ca="1">SUM(AH$7:AH145)</f>
        <v>958360</v>
      </c>
      <c r="AM145" s="133">
        <f>IF(M145=0,0,INDEX(关卡产出!$AU$11:$AU$15,MATCH(玩家节奏1!N145,关卡产出!$AW$11:$AW$15,1))*M145)</f>
        <v>12200</v>
      </c>
      <c r="AN145" s="126">
        <f>IF(L145=0,0,$L145*关卡产出!AU$21)</f>
        <v>1000</v>
      </c>
      <c r="AO145" s="90">
        <f>IF(M145=0,0,$L145*关卡产出!AV$21)</f>
        <v>50</v>
      </c>
      <c r="AP145" s="129">
        <f>IF(N145=0,0,$L145*关卡产出!AW$21)</f>
        <v>1</v>
      </c>
      <c r="AQ145" s="138">
        <f>SUM(AN$7:AN145)</f>
        <v>122000</v>
      </c>
      <c r="AR145" s="126">
        <f>SUM(AO$7:AO145)</f>
        <v>6100</v>
      </c>
      <c r="AS145" s="129">
        <f>SUM(AP$7:AP145)</f>
        <v>122</v>
      </c>
      <c r="AT145" s="128">
        <v>500</v>
      </c>
      <c r="AU145" s="129">
        <v>100</v>
      </c>
      <c r="AV145" s="128">
        <f>SUM(AT$7:AT145)</f>
        <v>69500</v>
      </c>
      <c r="AW145" s="90">
        <f>SUM(AU$7:AU145)</f>
        <v>13900</v>
      </c>
      <c r="AY145" s="128">
        <f t="shared" si="167"/>
        <v>22100</v>
      </c>
      <c r="AZ145" s="90">
        <f t="shared" si="168"/>
        <v>6100</v>
      </c>
      <c r="BA145" s="90">
        <f t="shared" si="169"/>
        <v>13900</v>
      </c>
      <c r="BB145" s="90">
        <f t="shared" ca="1" si="217"/>
        <v>9200</v>
      </c>
      <c r="BC145" s="90">
        <f t="shared" ca="1" si="218"/>
        <v>51300</v>
      </c>
      <c r="BD145" s="90"/>
      <c r="BE145" s="90">
        <f t="shared" ca="1" si="170"/>
        <v>51300</v>
      </c>
      <c r="BF145" s="142">
        <f t="shared" ca="1" si="171"/>
        <v>0.43079922027290446</v>
      </c>
      <c r="BG145" s="142">
        <f t="shared" ca="1" si="172"/>
        <v>0.1189083820662768</v>
      </c>
      <c r="BH145" s="142">
        <f t="shared" ca="1" si="173"/>
        <v>0.27095516569200778</v>
      </c>
      <c r="BI145" s="142">
        <f t="shared" ca="1" si="174"/>
        <v>0.17933723196881091</v>
      </c>
      <c r="BJ145" s="143"/>
      <c r="BK145" s="128">
        <f ca="1">INDEX(商城宝箱!$L:$L,MATCH(BC145,商城宝箱!$N:$N,1))</f>
        <v>9</v>
      </c>
      <c r="BL145" s="90">
        <f ca="1">_xlfn.IFNA(INDEX(商城宝箱!T:T,MATCH(玩家节奏1!$BK145,商城宝箱!$L:$L,0)),0)+($BC145-INDEX(商城宝箱!$N:$N,MATCH(玩家节奏1!$BK145,商城宝箱!$L:$L,0)))/$BK$5*INDEX(商城宝箱!E$23:E$42,MATCH(玩家节奏1!$BK145+1,商城宝箱!$C$23:$C$42,0))</f>
        <v>128250</v>
      </c>
      <c r="BM145" s="90">
        <f ca="1">_xlfn.IFNA(INDEX(商城宝箱!U:U,MATCH(玩家节奏1!$BK145,商城宝箱!$L:$L,0)),0)+($BC145-INDEX(商城宝箱!$N:$N,MATCH(玩家节奏1!$BK145,商城宝箱!$L:$L,0)))/$BK$5*INDEX(商城宝箱!F$23:F$42,MATCH(玩家节奏1!$BK145+1,商城宝箱!$C$23:$C$42,0))</f>
        <v>82002.5</v>
      </c>
      <c r="BN145" s="90">
        <f ca="1">_xlfn.IFNA(INDEX(商城宝箱!V:V,MATCH(玩家节奏1!$BK145,商城宝箱!$L:$L,0)),0)+($BC145-INDEX(商城宝箱!$N:$N,MATCH(玩家节奏1!$BK145,商城宝箱!$L:$L,0)))/$BK$5*INDEX(商城宝箱!G$23:G$42,MATCH(玩家节奏1!$BK145+1,商城宝箱!$C$23:$C$42,0))</f>
        <v>50887</v>
      </c>
      <c r="BO145" s="90">
        <f ca="1">_xlfn.IFNA(INDEX(商城宝箱!W:W,MATCH(玩家节奏1!$BK145,商城宝箱!$L:$L,0)),0)+($BC145-INDEX(商城宝箱!$N:$N,MATCH(玩家节奏1!$BK145,商城宝箱!$L:$L,0)))/$BK$5*INDEX(商城宝箱!H$23:H$42,MATCH(玩家节奏1!$BK145+1,商城宝箱!$C$23:$C$42,0))</f>
        <v>6671.5</v>
      </c>
      <c r="BQ145" s="128">
        <f t="shared" si="158"/>
        <v>3951200</v>
      </c>
      <c r="BR145" s="90">
        <f t="shared" si="159"/>
        <v>464110</v>
      </c>
      <c r="BS145" s="90">
        <f t="shared" ca="1" si="160"/>
        <v>958360</v>
      </c>
      <c r="BT145" s="90">
        <f t="shared" si="161"/>
        <v>12200</v>
      </c>
      <c r="BU145" s="90">
        <f t="shared" si="162"/>
        <v>122000</v>
      </c>
      <c r="BV145" s="90">
        <f t="shared" si="163"/>
        <v>69500</v>
      </c>
      <c r="BW145" s="90">
        <f t="shared" ca="1" si="175"/>
        <v>128250</v>
      </c>
      <c r="BX145" s="90">
        <f t="shared" ca="1" si="176"/>
        <v>5705620</v>
      </c>
      <c r="BY145" s="142">
        <f t="shared" ca="1" si="177"/>
        <v>0.6925101917057217</v>
      </c>
      <c r="BZ145" s="142">
        <f t="shared" ca="1" si="178"/>
        <v>8.1342606062093162E-2</v>
      </c>
      <c r="CA145" s="142">
        <f t="shared" ca="1" si="179"/>
        <v>0.16796772305200838</v>
      </c>
      <c r="CB145" s="142">
        <f t="shared" ca="1" si="180"/>
        <v>2.1382426449710985E-3</v>
      </c>
      <c r="CC145" s="142">
        <f t="shared" ca="1" si="181"/>
        <v>2.1382426449710987E-2</v>
      </c>
      <c r="CD145" s="142">
        <f t="shared" ca="1" si="182"/>
        <v>1.2180972444712406E-2</v>
      </c>
      <c r="CE145" s="142">
        <f t="shared" ca="1" si="183"/>
        <v>2.2477837640782247E-2</v>
      </c>
      <c r="CG145" s="128">
        <f t="shared" si="184"/>
        <v>118</v>
      </c>
      <c r="CH145" s="90">
        <f ca="1">INDEX(角色升级!$A:$A,MATCH(玩家节奏1!$BX145,角色升级!$J:$J,1))</f>
        <v>600</v>
      </c>
      <c r="CI145" s="90">
        <f ca="1">INDEX(角色升级!$O:$O,MATCH(玩家节奏1!$BX145,角色升级!$J:$J,1))</f>
        <v>27552.480449999999</v>
      </c>
      <c r="CJ145" s="90">
        <f>INDEX(关卡对比!$J:$J,MATCH(玩家节奏1!N145,关卡对比!$A:$A,0))</f>
        <v>45200</v>
      </c>
      <c r="CK145" s="147">
        <f t="shared" ca="1" si="185"/>
        <v>1.640505655453609</v>
      </c>
      <c r="CL145" s="128">
        <f ca="1">INDEX(角色升级!$P:$P,MATCH(玩家节奏1!$CH145,角色升级!$A:$A,0))</f>
        <v>9200</v>
      </c>
      <c r="CM145" s="90">
        <f ca="1">INDEX(角色升级!Q:Q,MATCH(玩家节奏1!$CH145,角色升级!$A:$A,0))</f>
        <v>0.9</v>
      </c>
      <c r="CO145" s="128">
        <f t="shared" si="186"/>
        <v>27206</v>
      </c>
      <c r="CP145" s="90">
        <f t="shared" si="187"/>
        <v>32921</v>
      </c>
      <c r="CQ145" s="90">
        <f t="shared" si="188"/>
        <v>20928</v>
      </c>
      <c r="CR145" s="90">
        <f t="shared" ca="1" si="189"/>
        <v>82002.5</v>
      </c>
      <c r="CS145" s="90">
        <f t="shared" ca="1" si="190"/>
        <v>163057.5</v>
      </c>
      <c r="CT145" s="142">
        <f t="shared" ca="1" si="191"/>
        <v>0.16684911764254939</v>
      </c>
      <c r="CU145" s="142">
        <f t="shared" ca="1" si="192"/>
        <v>0.20189810342977171</v>
      </c>
      <c r="CV145" s="142">
        <f t="shared" ca="1" si="193"/>
        <v>0.1283473621268571</v>
      </c>
      <c r="CW145" s="142">
        <f t="shared" ca="1" si="194"/>
        <v>0.50290541680082179</v>
      </c>
      <c r="CY145" s="128">
        <f t="shared" si="195"/>
        <v>13604</v>
      </c>
      <c r="CZ145" s="90">
        <f t="shared" si="196"/>
        <v>16311</v>
      </c>
      <c r="DA145" s="90">
        <f t="shared" si="197"/>
        <v>12400</v>
      </c>
      <c r="DB145" s="90">
        <f t="shared" ca="1" si="198"/>
        <v>50887</v>
      </c>
      <c r="DC145" s="90">
        <f t="shared" ca="1" si="199"/>
        <v>93202</v>
      </c>
      <c r="DD145" s="142">
        <f t="shared" ca="1" si="200"/>
        <v>0.14596253299285422</v>
      </c>
      <c r="DE145" s="142">
        <f t="shared" ca="1" si="201"/>
        <v>0.17500697409926827</v>
      </c>
      <c r="DF145" s="142">
        <f t="shared" ca="1" si="202"/>
        <v>0.13304435527134612</v>
      </c>
      <c r="DG145" s="142">
        <f t="shared" ca="1" si="203"/>
        <v>0.54598613763653137</v>
      </c>
      <c r="DI145" s="128">
        <f t="shared" si="204"/>
        <v>6444</v>
      </c>
      <c r="DJ145" s="90">
        <f t="shared" si="205"/>
        <v>7757</v>
      </c>
      <c r="DK145" s="90">
        <f t="shared" si="206"/>
        <v>4280</v>
      </c>
      <c r="DL145" s="90">
        <f t="shared" ca="1" si="207"/>
        <v>6671.5</v>
      </c>
      <c r="DM145" s="90">
        <f t="shared" ca="1" si="208"/>
        <v>25152.5</v>
      </c>
      <c r="DN145" s="142">
        <f t="shared" ca="1" si="209"/>
        <v>0.256197197097704</v>
      </c>
      <c r="DO145" s="142">
        <f t="shared" ca="1" si="210"/>
        <v>0.30839876751813933</v>
      </c>
      <c r="DP145" s="142">
        <f t="shared" ca="1" si="211"/>
        <v>0.17016201172845641</v>
      </c>
      <c r="DQ145" s="142">
        <f t="shared" ca="1" si="212"/>
        <v>0.26524202365570021</v>
      </c>
      <c r="DS145" s="128">
        <f t="shared" ca="1" si="213"/>
        <v>163057.5</v>
      </c>
      <c r="DT145" s="90">
        <f t="shared" ca="1" si="214"/>
        <v>93202</v>
      </c>
      <c r="DU145" s="90">
        <f t="shared" ca="1" si="215"/>
        <v>25152.5</v>
      </c>
      <c r="DV145" s="90">
        <f t="shared" si="216"/>
        <v>122</v>
      </c>
      <c r="DW145" s="90">
        <f ca="1">_xlfn.IFNA(INDEX(武器升级消耗!$H:$H,MATCH(玩家节奏1!DS145/玩家节奏1!DS$5,武器升级消耗!M:M,1)),0)</f>
        <v>36</v>
      </c>
      <c r="DX145" s="90">
        <f ca="1">_xlfn.IFNA(INDEX(武器升级消耗!$H:$H,MATCH(玩家节奏1!DT145/玩家节奏1!DT$5,武器升级消耗!N:N,1)),0)</f>
        <v>33</v>
      </c>
      <c r="DY145" s="90">
        <f ca="1">_xlfn.IFNA(INDEX(武器升级消耗!$H:$H,MATCH(玩家节奏1!DU145/玩家节奏1!DU$5,武器升级消耗!O:O,1)),0)</f>
        <v>22</v>
      </c>
      <c r="DZ145" s="90">
        <f>_xlfn.IFNA(INDEX(武器升级消耗!$H:$H,MATCH(玩家节奏1!DV145/玩家节奏1!DV$5,武器升级消耗!P:P,1)),0)</f>
        <v>11</v>
      </c>
      <c r="EA145" s="90">
        <f ca="1">_xlfn.IFNA(INDEX(武器升级消耗!$Q:$Q,MATCH(玩家节奏1!DW145,武器升级消耗!$H:$H,0))*2*EA$4,0)</f>
        <v>4.8</v>
      </c>
      <c r="EB145" s="90">
        <f ca="1">_xlfn.IFNA(INDEX(武器升级消耗!$Q:$Q,MATCH(玩家节奏1!DX145,武器升级消耗!$H:$H,0))*2*EB$4,0)</f>
        <v>5.5500000000000007</v>
      </c>
      <c r="EC145" s="90">
        <f ca="1">_xlfn.IFNA(INDEX(武器升级消耗!$Q:$Q,MATCH(玩家节奏1!DY145,武器升级消耗!$H:$H,0))*2*EC$4,1)</f>
        <v>5.7200000000000006</v>
      </c>
      <c r="ED145" s="90">
        <f>_xlfn.IFNA(INDEX(武器升级消耗!$Q:$Q,MATCH(玩家节奏1!DZ145,武器升级消耗!$H:$H,0))*2*ED$4,0)</f>
        <v>4.5</v>
      </c>
    </row>
    <row r="146" spans="1:134" x14ac:dyDescent="0.25">
      <c r="A146" s="123">
        <v>140</v>
      </c>
      <c r="B146" s="123">
        <f>INDEX(关卡对比!$Y:$Y,MATCH(关卡对比!Z146,关卡对比!$AA:$AA,1))</f>
        <v>83</v>
      </c>
      <c r="C146" s="124">
        <f>INDEX(关卡对比!$Y:$Y,MATCH(关卡对比!Z146,关卡对比!$AB:$AB,1))</f>
        <v>65</v>
      </c>
      <c r="D146" s="125">
        <f t="shared" si="157"/>
        <v>833.5</v>
      </c>
      <c r="E146" s="125">
        <v>3</v>
      </c>
      <c r="F146" s="128">
        <v>5</v>
      </c>
      <c r="G146" s="90">
        <v>1</v>
      </c>
      <c r="H146" s="90">
        <v>1</v>
      </c>
      <c r="J146" s="128">
        <v>140</v>
      </c>
      <c r="K146" s="90">
        <f t="shared" si="164"/>
        <v>5</v>
      </c>
      <c r="L146" s="90">
        <f t="shared" si="165"/>
        <v>1</v>
      </c>
      <c r="M146" s="90">
        <f t="shared" si="166"/>
        <v>1</v>
      </c>
      <c r="N146" s="140">
        <f>INDEX($A:$A,MATCH(SUM($K$7:K146),$D:$D,1))</f>
        <v>120</v>
      </c>
      <c r="O146" s="140">
        <v>0</v>
      </c>
      <c r="P146" s="141">
        <v>0</v>
      </c>
      <c r="Q146" s="126">
        <f>_xlfn.MAXIFS(关卡产出!X:X,关卡产出!$A:$A,玩家节奏1!$N$6,关卡产出!$B:$B,玩家节奏1!$N146)+_xlfn.MAXIFS(关卡产出!X:X,关卡产出!$A:$A,玩家节奏1!$O$6,关卡产出!$B:$B,玩家节奏1!$O146)+_xlfn.MAXIFS(关卡产出!X:X,关卡产出!$A:$A,玩家节奏1!$P$6,关卡产出!$B:$B,玩家节奏1!$P146)</f>
        <v>22500</v>
      </c>
      <c r="R146" s="90">
        <f>_xlfn.MAXIFS(关卡产出!Y:Y,关卡产出!$A:$A,玩家节奏1!$N$6,关卡产出!$B:$B,玩家节奏1!$N146)+_xlfn.MAXIFS(关卡产出!Y:Y,关卡产出!$A:$A,玩家节奏1!$O$6,关卡产出!$B:$B,玩家节奏1!$O146)+_xlfn.MAXIFS(关卡产出!Y:Y,关卡产出!$A:$A,玩家节奏1!$P$6,关卡产出!$B:$B,玩家节奏1!$P146)</f>
        <v>4090000</v>
      </c>
      <c r="S146" s="90">
        <f>_xlfn.MAXIFS(关卡产出!Z:Z,关卡产出!$A:$A,玩家节奏1!$N$6,关卡产出!$B:$B,玩家节奏1!$N146)+_xlfn.MAXIFS(关卡产出!Z:Z,关卡产出!$A:$A,玩家节奏1!$O$6,关卡产出!$B:$B,玩家节奏1!$O146)+_xlfn.MAXIFS(关卡产出!Z:Z,关卡产出!$A:$A,玩家节奏1!$P$6,关卡产出!$B:$B,玩家节奏1!$P146)</f>
        <v>28146</v>
      </c>
      <c r="T146" s="90">
        <f>_xlfn.MAXIFS(关卡产出!AA:AA,关卡产出!$A:$A,玩家节奏1!$N$6,关卡产出!$B:$B,玩家节奏1!$N146)+_xlfn.MAXIFS(关卡产出!AA:AA,关卡产出!$A:$A,玩家节奏1!$O$6,关卡产出!$B:$B,玩家节奏1!$O146)+_xlfn.MAXIFS(关卡产出!AA:AA,关卡产出!$A:$A,玩家节奏1!$P$6,关卡产出!$B:$B,玩家节奏1!$P146)</f>
        <v>14074</v>
      </c>
      <c r="U146" s="90">
        <f>_xlfn.MAXIFS(关卡产出!AB:AB,关卡产出!$A:$A,玩家节奏1!$N$6,关卡产出!$B:$B,玩家节奏1!$N146)+_xlfn.MAXIFS(关卡产出!AB:AB,关卡产出!$A:$A,玩家节奏1!$O$6,关卡产出!$B:$B,玩家节奏1!$O146)+_xlfn.MAXIFS(关卡产出!AB:AB,关卡产出!$A:$A,玩家节奏1!$P$6,关卡产出!$B:$B,玩家节奏1!$P146)</f>
        <v>6673</v>
      </c>
      <c r="V146" s="130">
        <f>_xlfn.MAXIFS(关卡产出!AC:AC,关卡产出!$A:$A,玩家节奏1!$N$6,关卡产出!$B:$B,玩家节奏1!$N146)+_xlfn.MAXIFS(关卡产出!AC:AC,关卡产出!$A:$A,玩家节奏1!$O$6,关卡产出!$B:$B,玩家节奏1!$O146)+_xlfn.MAXIFS(关卡产出!AC:AC,关卡产出!$A:$A,玩家节奏1!$P$6,关卡产出!$B:$B,玩家节奏1!$P146)</f>
        <v>720</v>
      </c>
      <c r="W146" s="126">
        <f>INDEX(关卡产出!C$8:C$207,MATCH(玩家节奏1!$N146,关卡产出!$B$8:$B$207,0))*$K146</f>
        <v>470</v>
      </c>
      <c r="X146" s="126">
        <f>INDEX(关卡产出!D$8:D$207,MATCH(玩家节奏1!$N146,关卡产出!$B$8:$B$207,0))*$K146</f>
        <v>235</v>
      </c>
      <c r="Y146" s="126">
        <f>INDEX(关卡产出!E$8:E$207,MATCH(玩家节奏1!$N146,关卡产出!$B$8:$B$207,0))*$K146</f>
        <v>115</v>
      </c>
      <c r="Z146" s="144">
        <f>INDEX(关卡产出!F$8:F$207,MATCH(玩家节奏1!$N146,关卡产出!$B$8:$B$207,0))*$K146</f>
        <v>6250</v>
      </c>
      <c r="AA146" s="126">
        <f>SUM(W$7:W146)</f>
        <v>33391</v>
      </c>
      <c r="AB146" s="126">
        <f>SUM(X$7:X146)</f>
        <v>16546</v>
      </c>
      <c r="AC146" s="126">
        <f>SUM(Y$7:Y146)</f>
        <v>7872</v>
      </c>
      <c r="AD146" s="126">
        <f>SUM(Z$7:Z146)</f>
        <v>470360</v>
      </c>
      <c r="AE146" s="126">
        <f>INDEX(图鉴!AQ:AQ,MATCH($N146,图鉴!$S:$S,0))*8</f>
        <v>168</v>
      </c>
      <c r="AF146" s="90">
        <f>INDEX(图鉴!AR:AR,MATCH($N146,图鉴!$S:$S,0))*8</f>
        <v>120</v>
      </c>
      <c r="AG146" s="90">
        <f>INDEX(图鉴!AS:AS,MATCH($N146,图鉴!$S:$S,0))*8</f>
        <v>48</v>
      </c>
      <c r="AH146" s="129">
        <f ca="1">INDEX(图鉴!AT:AT,MATCH($N146,图鉴!$S:$S,0))*8</f>
        <v>10520</v>
      </c>
      <c r="AI146" s="128">
        <f>SUM($AE$7:AE146)</f>
        <v>21096</v>
      </c>
      <c r="AJ146" s="90">
        <f>SUM(AF$7:AF146)</f>
        <v>12520</v>
      </c>
      <c r="AK146" s="90">
        <f>SUM(AG$7:AG146)</f>
        <v>4328</v>
      </c>
      <c r="AL146" s="130">
        <f ca="1">SUM(AH$7:AH146)</f>
        <v>968880</v>
      </c>
      <c r="AM146" s="133">
        <f>IF(M146=0,0,INDEX(关卡产出!$AU$11:$AU$15,MATCH(玩家节奏1!N146,关卡产出!$AW$11:$AW$15,1))*M146)</f>
        <v>12200</v>
      </c>
      <c r="AN146" s="126">
        <f>IF(L146=0,0,$L146*关卡产出!AU$21)</f>
        <v>1000</v>
      </c>
      <c r="AO146" s="90">
        <f>IF(M146=0,0,$L146*关卡产出!AV$21)</f>
        <v>50</v>
      </c>
      <c r="AP146" s="129">
        <f>IF(N146=0,0,$L146*关卡产出!AW$21)</f>
        <v>1</v>
      </c>
      <c r="AQ146" s="138">
        <f>SUM(AN$7:AN146)</f>
        <v>123000</v>
      </c>
      <c r="AR146" s="126">
        <f>SUM(AO$7:AO146)</f>
        <v>6150</v>
      </c>
      <c r="AS146" s="129">
        <f>SUM(AP$7:AP146)</f>
        <v>123</v>
      </c>
      <c r="AT146" s="128">
        <v>500</v>
      </c>
      <c r="AU146" s="129">
        <v>100</v>
      </c>
      <c r="AV146" s="128">
        <f>SUM(AT$7:AT146)</f>
        <v>70000</v>
      </c>
      <c r="AW146" s="90">
        <f>SUM(AU$7:AU146)</f>
        <v>14000</v>
      </c>
      <c r="AY146" s="128">
        <f t="shared" si="167"/>
        <v>22500</v>
      </c>
      <c r="AZ146" s="90">
        <f t="shared" si="168"/>
        <v>6150</v>
      </c>
      <c r="BA146" s="90">
        <f t="shared" si="169"/>
        <v>14000</v>
      </c>
      <c r="BB146" s="90">
        <f t="shared" ca="1" si="217"/>
        <v>9200</v>
      </c>
      <c r="BC146" s="90">
        <f t="shared" ca="1" si="218"/>
        <v>51850</v>
      </c>
      <c r="BD146" s="90"/>
      <c r="BE146" s="90">
        <f t="shared" ca="1" si="170"/>
        <v>51850</v>
      </c>
      <c r="BF146" s="142">
        <f t="shared" ca="1" si="171"/>
        <v>0.43394406943105113</v>
      </c>
      <c r="BG146" s="142">
        <f t="shared" ca="1" si="172"/>
        <v>0.11861137897782063</v>
      </c>
      <c r="BH146" s="142">
        <f t="shared" ca="1" si="173"/>
        <v>0.27000964320154291</v>
      </c>
      <c r="BI146" s="142">
        <f t="shared" ca="1" si="174"/>
        <v>0.17743490838958534</v>
      </c>
      <c r="BJ146" s="143"/>
      <c r="BK146" s="128">
        <f ca="1">INDEX(商城宝箱!$L:$L,MATCH(BC146,商城宝箱!$N:$N,1))</f>
        <v>9</v>
      </c>
      <c r="BL146" s="90">
        <f ca="1">_xlfn.IFNA(INDEX(商城宝箱!T:T,MATCH(玩家节奏1!$BK146,商城宝箱!$L:$L,0)),0)+($BC146-INDEX(商城宝箱!$N:$N,MATCH(玩家节奏1!$BK146,商城宝箱!$L:$L,0)))/$BK$5*INDEX(商城宝箱!E$23:E$42,MATCH(玩家节奏1!$BK146+1,商城宝箱!$C$23:$C$42,0))</f>
        <v>129625</v>
      </c>
      <c r="BM146" s="90">
        <f ca="1">_xlfn.IFNA(INDEX(商城宝箱!U:U,MATCH(玩家节奏1!$BK146,商城宝箱!$L:$L,0)),0)+($BC146-INDEX(商城宝箱!$N:$N,MATCH(玩家节奏1!$BK146,商城宝箱!$L:$L,0)))/$BK$5*INDEX(商城宝箱!F$23:F$42,MATCH(玩家节奏1!$BK146+1,商城宝箱!$C$23:$C$42,0))</f>
        <v>83487.5</v>
      </c>
      <c r="BN146" s="90">
        <f ca="1">_xlfn.IFNA(INDEX(商城宝箱!V:V,MATCH(玩家节奏1!$BK146,商城宝箱!$L:$L,0)),0)+($BC146-INDEX(商城宝箱!$N:$N,MATCH(玩家节奏1!$BK146,商城宝箱!$L:$L,0)))/$BK$5*INDEX(商城宝箱!G$23:G$42,MATCH(玩家节奏1!$BK146+1,商城宝箱!$C$23:$C$42,0))</f>
        <v>51574.5</v>
      </c>
      <c r="BO146" s="90">
        <f ca="1">_xlfn.IFNA(INDEX(商城宝箱!W:W,MATCH(玩家节奏1!$BK146,商城宝箱!$L:$L,0)),0)+($BC146-INDEX(商城宝箱!$N:$N,MATCH(玩家节奏1!$BK146,商城宝箱!$L:$L,0)))/$BK$5*INDEX(商城宝箱!H$23:H$42,MATCH(玩家节奏1!$BK146+1,商城宝箱!$C$23:$C$42,0))</f>
        <v>6781.5</v>
      </c>
      <c r="BQ146" s="128">
        <f t="shared" si="158"/>
        <v>4090000</v>
      </c>
      <c r="BR146" s="90">
        <f t="shared" si="159"/>
        <v>470360</v>
      </c>
      <c r="BS146" s="90">
        <f t="shared" ca="1" si="160"/>
        <v>968880</v>
      </c>
      <c r="BT146" s="90">
        <f t="shared" si="161"/>
        <v>12200</v>
      </c>
      <c r="BU146" s="90">
        <f t="shared" si="162"/>
        <v>123000</v>
      </c>
      <c r="BV146" s="90">
        <f t="shared" si="163"/>
        <v>70000</v>
      </c>
      <c r="BW146" s="90">
        <f t="shared" ca="1" si="175"/>
        <v>129625</v>
      </c>
      <c r="BX146" s="90">
        <f t="shared" ca="1" si="176"/>
        <v>5864065</v>
      </c>
      <c r="BY146" s="142">
        <f t="shared" ca="1" si="177"/>
        <v>0.69746839436466002</v>
      </c>
      <c r="BZ146" s="142">
        <f t="shared" ca="1" si="178"/>
        <v>8.0210570653633614E-2</v>
      </c>
      <c r="CA146" s="142">
        <f t="shared" ca="1" si="179"/>
        <v>0.16522327088802732</v>
      </c>
      <c r="CB146" s="142">
        <f t="shared" ca="1" si="180"/>
        <v>2.0804680712099882E-3</v>
      </c>
      <c r="CC146" s="142">
        <f t="shared" ca="1" si="181"/>
        <v>2.0975210881871192E-2</v>
      </c>
      <c r="CD146" s="142">
        <f t="shared" ca="1" si="182"/>
        <v>1.1937111883991736E-2</v>
      </c>
      <c r="CE146" s="142">
        <f t="shared" ca="1" si="183"/>
        <v>2.2104973256606125E-2</v>
      </c>
      <c r="CG146" s="128">
        <f t="shared" si="184"/>
        <v>120</v>
      </c>
      <c r="CH146" s="90">
        <f ca="1">INDEX(角色升级!$A:$A,MATCH(玩家节奏1!$BX146,角色升级!$J:$J,1))</f>
        <v>604</v>
      </c>
      <c r="CI146" s="90">
        <f ca="1">INDEX(角色升级!$O:$O,MATCH(玩家节奏1!$BX146,角色升级!$J:$J,1))</f>
        <v>28646.669865</v>
      </c>
      <c r="CJ146" s="90">
        <f>INDEX(关卡对比!$J:$J,MATCH(玩家节奏1!N146,关卡对比!$A:$A,0))</f>
        <v>46200</v>
      </c>
      <c r="CK146" s="147">
        <f t="shared" ca="1" si="185"/>
        <v>1.6127529034865709</v>
      </c>
      <c r="CL146" s="128">
        <f ca="1">INDEX(角色升级!$P:$P,MATCH(玩家节奏1!$CH146,角色升级!$A:$A,0))</f>
        <v>9200</v>
      </c>
      <c r="CM146" s="90">
        <f ca="1">INDEX(角色升级!Q:Q,MATCH(玩家节奏1!$CH146,角色升级!$A:$A,0))</f>
        <v>0.9</v>
      </c>
      <c r="CO146" s="128">
        <f t="shared" si="186"/>
        <v>28146</v>
      </c>
      <c r="CP146" s="90">
        <f t="shared" si="187"/>
        <v>33391</v>
      </c>
      <c r="CQ146" s="90">
        <f t="shared" si="188"/>
        <v>21096</v>
      </c>
      <c r="CR146" s="90">
        <f t="shared" ca="1" si="189"/>
        <v>83487.5</v>
      </c>
      <c r="CS146" s="90">
        <f t="shared" ca="1" si="190"/>
        <v>166120.5</v>
      </c>
      <c r="CT146" s="142">
        <f t="shared" ca="1" si="191"/>
        <v>0.16943122612802153</v>
      </c>
      <c r="CU146" s="142">
        <f t="shared" ca="1" si="192"/>
        <v>0.20100469237691918</v>
      </c>
      <c r="CV146" s="142">
        <f t="shared" ca="1" si="193"/>
        <v>0.12699215328631927</v>
      </c>
      <c r="CW146" s="142">
        <f t="shared" ca="1" si="194"/>
        <v>0.50257192820874008</v>
      </c>
      <c r="CY146" s="128">
        <f t="shared" si="195"/>
        <v>14074</v>
      </c>
      <c r="CZ146" s="90">
        <f t="shared" si="196"/>
        <v>16546</v>
      </c>
      <c r="DA146" s="90">
        <f t="shared" si="197"/>
        <v>12520</v>
      </c>
      <c r="DB146" s="90">
        <f t="shared" ca="1" si="198"/>
        <v>51574.5</v>
      </c>
      <c r="DC146" s="90">
        <f t="shared" ca="1" si="199"/>
        <v>94714.5</v>
      </c>
      <c r="DD146" s="142">
        <f t="shared" ca="1" si="200"/>
        <v>0.14859393229125425</v>
      </c>
      <c r="DE146" s="142">
        <f t="shared" ca="1" si="201"/>
        <v>0.17469342075395003</v>
      </c>
      <c r="DF146" s="142">
        <f t="shared" ca="1" si="202"/>
        <v>0.13218672959261782</v>
      </c>
      <c r="DG146" s="142">
        <f t="shared" ca="1" si="203"/>
        <v>0.54452591736217792</v>
      </c>
      <c r="DI146" s="128">
        <f t="shared" si="204"/>
        <v>6673</v>
      </c>
      <c r="DJ146" s="90">
        <f t="shared" si="205"/>
        <v>7872</v>
      </c>
      <c r="DK146" s="90">
        <f t="shared" si="206"/>
        <v>4328</v>
      </c>
      <c r="DL146" s="90">
        <f t="shared" ca="1" si="207"/>
        <v>6781.5</v>
      </c>
      <c r="DM146" s="90">
        <f t="shared" ca="1" si="208"/>
        <v>25654.5</v>
      </c>
      <c r="DN146" s="142">
        <f t="shared" ca="1" si="209"/>
        <v>0.26011031203102769</v>
      </c>
      <c r="DO146" s="142">
        <f t="shared" ca="1" si="210"/>
        <v>0.30684675203180728</v>
      </c>
      <c r="DP146" s="142">
        <f t="shared" ca="1" si="211"/>
        <v>0.16870334639147128</v>
      </c>
      <c r="DQ146" s="142">
        <f t="shared" ca="1" si="212"/>
        <v>0.26433958954569375</v>
      </c>
      <c r="DS146" s="128">
        <f t="shared" ca="1" si="213"/>
        <v>166120.5</v>
      </c>
      <c r="DT146" s="90">
        <f t="shared" ca="1" si="214"/>
        <v>94714.5</v>
      </c>
      <c r="DU146" s="90">
        <f t="shared" ca="1" si="215"/>
        <v>25654.5</v>
      </c>
      <c r="DV146" s="90">
        <f t="shared" si="216"/>
        <v>123</v>
      </c>
      <c r="DW146" s="90">
        <f ca="1">_xlfn.IFNA(INDEX(武器升级消耗!$H:$H,MATCH(玩家节奏1!DS146/玩家节奏1!DS$5,武器升级消耗!M:M,1)),0)</f>
        <v>37</v>
      </c>
      <c r="DX146" s="90">
        <f ca="1">_xlfn.IFNA(INDEX(武器升级消耗!$H:$H,MATCH(玩家节奏1!DT146/玩家节奏1!DT$5,武器升级消耗!N:N,1)),0)</f>
        <v>33</v>
      </c>
      <c r="DY146" s="90">
        <f ca="1">_xlfn.IFNA(INDEX(武器升级消耗!$H:$H,MATCH(玩家节奏1!DU146/玩家节奏1!DU$5,武器升级消耗!O:O,1)),0)</f>
        <v>22</v>
      </c>
      <c r="DZ146" s="90">
        <f>_xlfn.IFNA(INDEX(武器升级消耗!$H:$H,MATCH(玩家节奏1!DV146/玩家节奏1!DV$5,武器升级消耗!P:P,1)),0)</f>
        <v>12</v>
      </c>
      <c r="EA146" s="90">
        <f ca="1">_xlfn.IFNA(INDEX(武器升级消耗!$Q:$Q,MATCH(玩家节奏1!DW146,武器升级消耗!$H:$H,0))*2*EA$4,0)</f>
        <v>4.919999999999999</v>
      </c>
      <c r="EB146" s="90">
        <f ca="1">_xlfn.IFNA(INDEX(武器升级消耗!$Q:$Q,MATCH(玩家节奏1!DX146,武器升级消耗!$H:$H,0))*2*EB$4,0)</f>
        <v>5.5500000000000007</v>
      </c>
      <c r="EC146" s="90">
        <f ca="1">_xlfn.IFNA(INDEX(武器升级消耗!$Q:$Q,MATCH(玩家节奏1!DY146,武器升级消耗!$H:$H,0))*2*EC$4,1)</f>
        <v>5.7200000000000006</v>
      </c>
      <c r="ED146" s="90">
        <f>_xlfn.IFNA(INDEX(武器升级消耗!$Q:$Q,MATCH(玩家节奏1!DZ146,武器升级消耗!$H:$H,0))*2*ED$4,0)</f>
        <v>4.8000000000000007</v>
      </c>
    </row>
    <row r="147" spans="1:134" x14ac:dyDescent="0.25">
      <c r="A147" s="123">
        <v>141</v>
      </c>
      <c r="B147" s="123">
        <f>INDEX(关卡对比!$Y:$Y,MATCH(关卡对比!Z147,关卡对比!$AA:$AA,1))</f>
        <v>84</v>
      </c>
      <c r="C147" s="124">
        <f>INDEX(关卡对比!$Y:$Y,MATCH(关卡对比!Z147,关卡对比!$AB:$AB,1))</f>
        <v>65</v>
      </c>
      <c r="D147" s="125">
        <f t="shared" si="157"/>
        <v>839.5</v>
      </c>
      <c r="E147" s="125">
        <v>3</v>
      </c>
      <c r="F147" s="128">
        <v>5</v>
      </c>
      <c r="G147" s="90">
        <v>1</v>
      </c>
      <c r="H147" s="90">
        <v>1</v>
      </c>
      <c r="J147" s="128">
        <v>141</v>
      </c>
      <c r="K147" s="90">
        <f t="shared" si="164"/>
        <v>5</v>
      </c>
      <c r="L147" s="90">
        <f t="shared" si="165"/>
        <v>1</v>
      </c>
      <c r="M147" s="90">
        <f t="shared" si="166"/>
        <v>1</v>
      </c>
      <c r="N147" s="140">
        <f>INDEX($A:$A,MATCH(SUM($K$7:K147),$D:$D,1))</f>
        <v>121</v>
      </c>
      <c r="O147" s="140">
        <v>0</v>
      </c>
      <c r="P147" s="141">
        <v>0</v>
      </c>
      <c r="Q147" s="126">
        <f>_xlfn.MAXIFS(关卡产出!X:X,关卡产出!$A:$A,玩家节奏1!$N$6,关卡产出!$B:$B,玩家节奏1!$N147)+_xlfn.MAXIFS(关卡产出!X:X,关卡产出!$A:$A,玩家节奏1!$O$6,关卡产出!$B:$B,玩家节奏1!$O147)+_xlfn.MAXIFS(关卡产出!X:X,关卡产出!$A:$A,玩家节奏1!$P$6,关卡产出!$B:$B,玩家节奏1!$P147)</f>
        <v>22700</v>
      </c>
      <c r="R147" s="90">
        <f>_xlfn.MAXIFS(关卡产出!Y:Y,关卡产出!$A:$A,玩家节奏1!$N$6,关卡产出!$B:$B,玩家节奏1!$N147)+_xlfn.MAXIFS(关卡产出!Y:Y,关卡产出!$A:$A,玩家节奏1!$O$6,关卡产出!$B:$B,玩家节奏1!$O147)+_xlfn.MAXIFS(关卡产出!Y:Y,关卡产出!$A:$A,玩家节奏1!$P$6,关卡产出!$B:$B,玩家节奏1!$P147)</f>
        <v>4160300</v>
      </c>
      <c r="S147" s="90">
        <f>_xlfn.MAXIFS(关卡产出!Z:Z,关卡产出!$A:$A,玩家节奏1!$N$6,关卡产出!$B:$B,玩家节奏1!$N147)+_xlfn.MAXIFS(关卡产出!Z:Z,关卡产出!$A:$A,玩家节奏1!$O$6,关卡产出!$B:$B,玩家节奏1!$O147)+_xlfn.MAXIFS(关卡产出!Z:Z,关卡产出!$A:$A,玩家节奏1!$P$6,关卡产出!$B:$B,玩家节奏1!$P147)</f>
        <v>28622</v>
      </c>
      <c r="T147" s="90">
        <f>_xlfn.MAXIFS(关卡产出!AA:AA,关卡产出!$A:$A,玩家节奏1!$N$6,关卡产出!$B:$B,玩家节奏1!$N147)+_xlfn.MAXIFS(关卡产出!AA:AA,关卡产出!$A:$A,玩家节奏1!$O$6,关卡产出!$B:$B,玩家节奏1!$O147)+_xlfn.MAXIFS(关卡产出!AA:AA,关卡产出!$A:$A,玩家节奏1!$P$6,关卡产出!$B:$B,玩家节奏1!$P147)</f>
        <v>14312</v>
      </c>
      <c r="U147" s="90">
        <f>_xlfn.MAXIFS(关卡产出!AB:AB,关卡产出!$A:$A,玩家节奏1!$N$6,关卡产出!$B:$B,玩家节奏1!$N147)+_xlfn.MAXIFS(关卡产出!AB:AB,关卡产出!$A:$A,玩家节奏1!$O$6,关卡产出!$B:$B,玩家节奏1!$O147)+_xlfn.MAXIFS(关卡产出!AB:AB,关卡产出!$A:$A,玩家节奏1!$P$6,关卡产出!$B:$B,玩家节奏1!$P147)</f>
        <v>6789</v>
      </c>
      <c r="V147" s="130">
        <f>_xlfn.MAXIFS(关卡产出!AC:AC,关卡产出!$A:$A,玩家节奏1!$N$6,关卡产出!$B:$B,玩家节奏1!$N147)+_xlfn.MAXIFS(关卡产出!AC:AC,关卡产出!$A:$A,玩家节奏1!$O$6,关卡产出!$B:$B,玩家节奏1!$O147)+_xlfn.MAXIFS(关卡产出!AC:AC,关卡产出!$A:$A,玩家节奏1!$P$6,关卡产出!$B:$B,玩家节奏1!$P147)</f>
        <v>726</v>
      </c>
      <c r="W147" s="126">
        <f>INDEX(关卡产出!C$8:C$207,MATCH(玩家节奏1!$N147,关卡产出!$B$8:$B$207,0))*$K147</f>
        <v>475</v>
      </c>
      <c r="X147" s="126">
        <f>INDEX(关卡产出!D$8:D$207,MATCH(玩家节奏1!$N147,关卡产出!$B$8:$B$207,0))*$K147</f>
        <v>235</v>
      </c>
      <c r="Y147" s="126">
        <f>INDEX(关卡产出!E$8:E$207,MATCH(玩家节奏1!$N147,关卡产出!$B$8:$B$207,0))*$K147</f>
        <v>115</v>
      </c>
      <c r="Z147" s="144">
        <f>INDEX(关卡产出!F$8:F$207,MATCH(玩家节奏1!$N147,关卡产出!$B$8:$B$207,0))*$K147</f>
        <v>6350</v>
      </c>
      <c r="AA147" s="126">
        <f>SUM(W$7:W147)</f>
        <v>33866</v>
      </c>
      <c r="AB147" s="126">
        <f>SUM(X$7:X147)</f>
        <v>16781</v>
      </c>
      <c r="AC147" s="126">
        <f>SUM(Y$7:Y147)</f>
        <v>7987</v>
      </c>
      <c r="AD147" s="126">
        <f>SUM(Z$7:Z147)</f>
        <v>476710</v>
      </c>
      <c r="AE147" s="126">
        <f>INDEX(图鉴!AQ:AQ,MATCH($N147,图鉴!$S:$S,0))*8</f>
        <v>168</v>
      </c>
      <c r="AF147" s="90">
        <f>INDEX(图鉴!AR:AR,MATCH($N147,图鉴!$S:$S,0))*8</f>
        <v>120</v>
      </c>
      <c r="AG147" s="90">
        <f>INDEX(图鉴!AS:AS,MATCH($N147,图鉴!$S:$S,0))*8</f>
        <v>48</v>
      </c>
      <c r="AH147" s="129">
        <f ca="1">INDEX(图鉴!AT:AT,MATCH($N147,图鉴!$S:$S,0))*8</f>
        <v>10520</v>
      </c>
      <c r="AI147" s="128">
        <f>SUM($AE$7:AE147)</f>
        <v>21264</v>
      </c>
      <c r="AJ147" s="90">
        <f>SUM(AF$7:AF147)</f>
        <v>12640</v>
      </c>
      <c r="AK147" s="90">
        <f>SUM(AG$7:AG147)</f>
        <v>4376</v>
      </c>
      <c r="AL147" s="130">
        <f ca="1">SUM(AH$7:AH147)</f>
        <v>979400</v>
      </c>
      <c r="AM147" s="133">
        <f>IF(M147=0,0,INDEX(关卡产出!$AU$11:$AU$15,MATCH(玩家节奏1!N147,关卡产出!$AW$11:$AW$15,1))*M147)</f>
        <v>12200</v>
      </c>
      <c r="AN147" s="126">
        <f>IF(L147=0,0,$L147*关卡产出!AU$21)</f>
        <v>1000</v>
      </c>
      <c r="AO147" s="90">
        <f>IF(M147=0,0,$L147*关卡产出!AV$21)</f>
        <v>50</v>
      </c>
      <c r="AP147" s="129">
        <f>IF(N147=0,0,$L147*关卡产出!AW$21)</f>
        <v>1</v>
      </c>
      <c r="AQ147" s="138">
        <f>SUM(AN$7:AN147)</f>
        <v>124000</v>
      </c>
      <c r="AR147" s="126">
        <f>SUM(AO$7:AO147)</f>
        <v>6200</v>
      </c>
      <c r="AS147" s="129">
        <f>SUM(AP$7:AP147)</f>
        <v>124</v>
      </c>
      <c r="AT147" s="128">
        <v>500</v>
      </c>
      <c r="AU147" s="129">
        <v>100</v>
      </c>
      <c r="AV147" s="128">
        <f>SUM(AT$7:AT147)</f>
        <v>70500</v>
      </c>
      <c r="AW147" s="90">
        <f>SUM(AU$7:AU147)</f>
        <v>14100</v>
      </c>
      <c r="AY147" s="128">
        <f t="shared" si="167"/>
        <v>22700</v>
      </c>
      <c r="AZ147" s="90">
        <f t="shared" si="168"/>
        <v>6200</v>
      </c>
      <c r="BA147" s="90">
        <f t="shared" si="169"/>
        <v>14100</v>
      </c>
      <c r="BB147" s="90">
        <f t="shared" ca="1" si="217"/>
        <v>9200</v>
      </c>
      <c r="BC147" s="90">
        <f t="shared" ca="1" si="218"/>
        <v>52200</v>
      </c>
      <c r="BD147" s="90"/>
      <c r="BE147" s="90">
        <f t="shared" ca="1" si="170"/>
        <v>52200</v>
      </c>
      <c r="BF147" s="142">
        <f t="shared" ca="1" si="171"/>
        <v>0.43486590038314177</v>
      </c>
      <c r="BG147" s="142">
        <f t="shared" ca="1" si="172"/>
        <v>0.11877394636015326</v>
      </c>
      <c r="BH147" s="142">
        <f t="shared" ca="1" si="173"/>
        <v>0.27011494252873564</v>
      </c>
      <c r="BI147" s="142">
        <f t="shared" ca="1" si="174"/>
        <v>0.17624521072796934</v>
      </c>
      <c r="BJ147" s="143"/>
      <c r="BK147" s="128">
        <f ca="1">INDEX(商城宝箱!$L:$L,MATCH(BC147,商城宝箱!$N:$N,1))</f>
        <v>9</v>
      </c>
      <c r="BL147" s="90">
        <f ca="1">_xlfn.IFNA(INDEX(商城宝箱!T:T,MATCH(玩家节奏1!$BK147,商城宝箱!$L:$L,0)),0)+($BC147-INDEX(商城宝箱!$N:$N,MATCH(玩家节奏1!$BK147,商城宝箱!$L:$L,0)))/$BK$5*INDEX(商城宝箱!E$23:E$42,MATCH(玩家节奏1!$BK147+1,商城宝箱!$C$23:$C$42,0))</f>
        <v>130500</v>
      </c>
      <c r="BM147" s="90">
        <f ca="1">_xlfn.IFNA(INDEX(商城宝箱!U:U,MATCH(玩家节奏1!$BK147,商城宝箱!$L:$L,0)),0)+($BC147-INDEX(商城宝箱!$N:$N,MATCH(玩家节奏1!$BK147,商城宝箱!$L:$L,0)))/$BK$5*INDEX(商城宝箱!F$23:F$42,MATCH(玩家节奏1!$BK147+1,商城宝箱!$C$23:$C$42,0))</f>
        <v>84432.5</v>
      </c>
      <c r="BN147" s="90">
        <f ca="1">_xlfn.IFNA(INDEX(商城宝箱!V:V,MATCH(玩家节奏1!$BK147,商城宝箱!$L:$L,0)),0)+($BC147-INDEX(商城宝箱!$N:$N,MATCH(玩家节奏1!$BK147,商城宝箱!$L:$L,0)))/$BK$5*INDEX(商城宝箱!G$23:G$42,MATCH(玩家节奏1!$BK147+1,商城宝箱!$C$23:$C$42,0))</f>
        <v>52012</v>
      </c>
      <c r="BO147" s="90">
        <f ca="1">_xlfn.IFNA(INDEX(商城宝箱!W:W,MATCH(玩家节奏1!$BK147,商城宝箱!$L:$L,0)),0)+($BC147-INDEX(商城宝箱!$N:$N,MATCH(玩家节奏1!$BK147,商城宝箱!$L:$L,0)))/$BK$5*INDEX(商城宝箱!H$23:H$42,MATCH(玩家节奏1!$BK147+1,商城宝箱!$C$23:$C$42,0))</f>
        <v>6851.5</v>
      </c>
      <c r="BQ147" s="128">
        <f t="shared" si="158"/>
        <v>4160300</v>
      </c>
      <c r="BR147" s="90">
        <f t="shared" si="159"/>
        <v>476710</v>
      </c>
      <c r="BS147" s="90">
        <f t="shared" ca="1" si="160"/>
        <v>979400</v>
      </c>
      <c r="BT147" s="90">
        <f t="shared" si="161"/>
        <v>12200</v>
      </c>
      <c r="BU147" s="90">
        <f t="shared" si="162"/>
        <v>124000</v>
      </c>
      <c r="BV147" s="90">
        <f t="shared" si="163"/>
        <v>70500</v>
      </c>
      <c r="BW147" s="90">
        <f t="shared" ca="1" si="175"/>
        <v>130500</v>
      </c>
      <c r="BX147" s="90">
        <f t="shared" ca="1" si="176"/>
        <v>5953610</v>
      </c>
      <c r="BY147" s="142">
        <f t="shared" ca="1" si="177"/>
        <v>0.69878611464304852</v>
      </c>
      <c r="BZ147" s="142">
        <f t="shared" ca="1" si="178"/>
        <v>8.007074699216106E-2</v>
      </c>
      <c r="CA147" s="142">
        <f t="shared" ca="1" si="179"/>
        <v>0.16450523295949851</v>
      </c>
      <c r="CB147" s="142">
        <f t="shared" ca="1" si="180"/>
        <v>2.0491768859565878E-3</v>
      </c>
      <c r="CC147" s="142">
        <f t="shared" ca="1" si="181"/>
        <v>2.082769949660794E-2</v>
      </c>
      <c r="CD147" s="142">
        <f t="shared" ca="1" si="182"/>
        <v>1.184155495573274E-2</v>
      </c>
      <c r="CE147" s="142">
        <f t="shared" ca="1" si="183"/>
        <v>2.1919474066994647E-2</v>
      </c>
      <c r="CG147" s="128">
        <f t="shared" si="184"/>
        <v>121</v>
      </c>
      <c r="CH147" s="90">
        <f ca="1">INDEX(角色升级!$A:$A,MATCH(玩家节奏1!$BX147,角色升级!$J:$J,1))</f>
        <v>606</v>
      </c>
      <c r="CI147" s="90">
        <f ca="1">INDEX(角色升级!$O:$O,MATCH(玩家节奏1!$BX147,角色升级!$J:$J,1))</f>
        <v>29200.356075</v>
      </c>
      <c r="CJ147" s="90">
        <f>INDEX(关卡对比!$J:$J,MATCH(玩家节奏1!N147,关卡对比!$A:$A,0))</f>
        <v>46700</v>
      </c>
      <c r="CK147" s="147">
        <f t="shared" ca="1" si="185"/>
        <v>1.5992955661243593</v>
      </c>
      <c r="CL147" s="128">
        <f ca="1">INDEX(角色升级!$P:$P,MATCH(玩家节奏1!$CH147,角色升级!$A:$A,0))</f>
        <v>9200</v>
      </c>
      <c r="CM147" s="90">
        <f ca="1">INDEX(角色升级!Q:Q,MATCH(玩家节奏1!$CH147,角色升级!$A:$A,0))</f>
        <v>0.9</v>
      </c>
      <c r="CO147" s="128">
        <f t="shared" si="186"/>
        <v>28622</v>
      </c>
      <c r="CP147" s="90">
        <f t="shared" si="187"/>
        <v>33866</v>
      </c>
      <c r="CQ147" s="90">
        <f t="shared" si="188"/>
        <v>21264</v>
      </c>
      <c r="CR147" s="90">
        <f t="shared" ca="1" si="189"/>
        <v>84432.5</v>
      </c>
      <c r="CS147" s="90">
        <f t="shared" ca="1" si="190"/>
        <v>168184.5</v>
      </c>
      <c r="CT147" s="142">
        <f t="shared" ca="1" si="191"/>
        <v>0.17018215114948168</v>
      </c>
      <c r="CU147" s="142">
        <f t="shared" ca="1" si="192"/>
        <v>0.20136219449473644</v>
      </c>
      <c r="CV147" s="142">
        <f t="shared" ca="1" si="193"/>
        <v>0.1264325785075319</v>
      </c>
      <c r="CW147" s="142">
        <f t="shared" ca="1" si="194"/>
        <v>0.50202307584825001</v>
      </c>
      <c r="CY147" s="128">
        <f t="shared" si="195"/>
        <v>14312</v>
      </c>
      <c r="CZ147" s="90">
        <f t="shared" si="196"/>
        <v>16781</v>
      </c>
      <c r="DA147" s="90">
        <f t="shared" si="197"/>
        <v>12640</v>
      </c>
      <c r="DB147" s="90">
        <f t="shared" ca="1" si="198"/>
        <v>52012</v>
      </c>
      <c r="DC147" s="90">
        <f t="shared" ca="1" si="199"/>
        <v>95745</v>
      </c>
      <c r="DD147" s="142">
        <f t="shared" ca="1" si="200"/>
        <v>0.14948039062092014</v>
      </c>
      <c r="DE147" s="142">
        <f t="shared" ca="1" si="201"/>
        <v>0.17526763799676223</v>
      </c>
      <c r="DF147" s="142">
        <f t="shared" ca="1" si="202"/>
        <v>0.13201733771998539</v>
      </c>
      <c r="DG147" s="142">
        <f t="shared" ca="1" si="203"/>
        <v>0.54323463366233227</v>
      </c>
      <c r="DI147" s="128">
        <f t="shared" si="204"/>
        <v>6789</v>
      </c>
      <c r="DJ147" s="90">
        <f t="shared" si="205"/>
        <v>7987</v>
      </c>
      <c r="DK147" s="90">
        <f t="shared" si="206"/>
        <v>4376</v>
      </c>
      <c r="DL147" s="90">
        <f t="shared" ca="1" si="207"/>
        <v>6851.5</v>
      </c>
      <c r="DM147" s="90">
        <f t="shared" ca="1" si="208"/>
        <v>26003.5</v>
      </c>
      <c r="DN147" s="142">
        <f t="shared" ca="1" si="209"/>
        <v>0.26108023919856943</v>
      </c>
      <c r="DO147" s="142">
        <f t="shared" ca="1" si="210"/>
        <v>0.30715096044763207</v>
      </c>
      <c r="DP147" s="142">
        <f t="shared" ca="1" si="211"/>
        <v>0.16828503855250254</v>
      </c>
      <c r="DQ147" s="142">
        <f t="shared" ca="1" si="212"/>
        <v>0.26348376180129596</v>
      </c>
      <c r="DS147" s="128">
        <f t="shared" ca="1" si="213"/>
        <v>168184.5</v>
      </c>
      <c r="DT147" s="90">
        <f t="shared" ca="1" si="214"/>
        <v>95745</v>
      </c>
      <c r="DU147" s="90">
        <f t="shared" ca="1" si="215"/>
        <v>26003.5</v>
      </c>
      <c r="DV147" s="90">
        <f t="shared" si="216"/>
        <v>124</v>
      </c>
      <c r="DW147" s="90">
        <f ca="1">_xlfn.IFNA(INDEX(武器升级消耗!$H:$H,MATCH(玩家节奏1!DS147/玩家节奏1!DS$5,武器升级消耗!M:M,1)),0)</f>
        <v>37</v>
      </c>
      <c r="DX147" s="90">
        <f ca="1">_xlfn.IFNA(INDEX(武器升级消耗!$H:$H,MATCH(玩家节奏1!DT147/玩家节奏1!DT$5,武器升级消耗!N:N,1)),0)</f>
        <v>33</v>
      </c>
      <c r="DY147" s="90">
        <f ca="1">_xlfn.IFNA(INDEX(武器升级消耗!$H:$H,MATCH(玩家节奏1!DU147/玩家节奏1!DU$5,武器升级消耗!O:O,1)),0)</f>
        <v>22</v>
      </c>
      <c r="DZ147" s="90">
        <f>_xlfn.IFNA(INDEX(武器升级消耗!$H:$H,MATCH(玩家节奏1!DV147/玩家节奏1!DV$5,武器升级消耗!P:P,1)),0)</f>
        <v>12</v>
      </c>
      <c r="EA147" s="90">
        <f ca="1">_xlfn.IFNA(INDEX(武器升级消耗!$Q:$Q,MATCH(玩家节奏1!DW147,武器升级消耗!$H:$H,0))*2*EA$4,0)</f>
        <v>4.919999999999999</v>
      </c>
      <c r="EB147" s="90">
        <f ca="1">_xlfn.IFNA(INDEX(武器升级消耗!$Q:$Q,MATCH(玩家节奏1!DX147,武器升级消耗!$H:$H,0))*2*EB$4,0)</f>
        <v>5.5500000000000007</v>
      </c>
      <c r="EC147" s="90">
        <f ca="1">_xlfn.IFNA(INDEX(武器升级消耗!$Q:$Q,MATCH(玩家节奏1!DY147,武器升级消耗!$H:$H,0))*2*EC$4,1)</f>
        <v>5.7200000000000006</v>
      </c>
      <c r="ED147" s="90">
        <f>_xlfn.IFNA(INDEX(武器升级消耗!$Q:$Q,MATCH(玩家节奏1!DZ147,武器升级消耗!$H:$H,0))*2*ED$4,0)</f>
        <v>4.8000000000000007</v>
      </c>
    </row>
    <row r="148" spans="1:134" x14ac:dyDescent="0.25">
      <c r="A148" s="123">
        <v>142</v>
      </c>
      <c r="B148" s="123">
        <f>INDEX(关卡对比!$Y:$Y,MATCH(关卡对比!Z148,关卡对比!$AA:$AA,1))</f>
        <v>84</v>
      </c>
      <c r="C148" s="124">
        <f>INDEX(关卡对比!$Y:$Y,MATCH(关卡对比!Z148,关卡对比!$AB:$AB,1))</f>
        <v>65</v>
      </c>
      <c r="D148" s="125">
        <f t="shared" si="157"/>
        <v>842.5</v>
      </c>
      <c r="E148" s="125">
        <v>3</v>
      </c>
      <c r="F148" s="128">
        <v>5</v>
      </c>
      <c r="G148" s="90">
        <v>1</v>
      </c>
      <c r="H148" s="90">
        <v>1</v>
      </c>
      <c r="J148" s="128">
        <v>142</v>
      </c>
      <c r="K148" s="90">
        <f t="shared" si="164"/>
        <v>5</v>
      </c>
      <c r="L148" s="90">
        <f t="shared" si="165"/>
        <v>1</v>
      </c>
      <c r="M148" s="90">
        <f t="shared" si="166"/>
        <v>1</v>
      </c>
      <c r="N148" s="140">
        <f>INDEX($A:$A,MATCH(SUM($K$7:K148),$D:$D,1))</f>
        <v>121</v>
      </c>
      <c r="O148" s="140">
        <v>0</v>
      </c>
      <c r="P148" s="141">
        <v>0</v>
      </c>
      <c r="Q148" s="126">
        <f>_xlfn.MAXIFS(关卡产出!X:X,关卡产出!$A:$A,玩家节奏1!$N$6,关卡产出!$B:$B,玩家节奏1!$N148)+_xlfn.MAXIFS(关卡产出!X:X,关卡产出!$A:$A,玩家节奏1!$O$6,关卡产出!$B:$B,玩家节奏1!$O148)+_xlfn.MAXIFS(关卡产出!X:X,关卡产出!$A:$A,玩家节奏1!$P$6,关卡产出!$B:$B,玩家节奏1!$P148)</f>
        <v>22700</v>
      </c>
      <c r="R148" s="90">
        <f>_xlfn.MAXIFS(关卡产出!Y:Y,关卡产出!$A:$A,玩家节奏1!$N$6,关卡产出!$B:$B,玩家节奏1!$N148)+_xlfn.MAXIFS(关卡产出!Y:Y,关卡产出!$A:$A,玩家节奏1!$O$6,关卡产出!$B:$B,玩家节奏1!$O148)+_xlfn.MAXIFS(关卡产出!Y:Y,关卡产出!$A:$A,玩家节奏1!$P$6,关卡产出!$B:$B,玩家节奏1!$P148)</f>
        <v>4160300</v>
      </c>
      <c r="S148" s="90">
        <f>_xlfn.MAXIFS(关卡产出!Z:Z,关卡产出!$A:$A,玩家节奏1!$N$6,关卡产出!$B:$B,玩家节奏1!$N148)+_xlfn.MAXIFS(关卡产出!Z:Z,关卡产出!$A:$A,玩家节奏1!$O$6,关卡产出!$B:$B,玩家节奏1!$O148)+_xlfn.MAXIFS(关卡产出!Z:Z,关卡产出!$A:$A,玩家节奏1!$P$6,关卡产出!$B:$B,玩家节奏1!$P148)</f>
        <v>28622</v>
      </c>
      <c r="T148" s="90">
        <f>_xlfn.MAXIFS(关卡产出!AA:AA,关卡产出!$A:$A,玩家节奏1!$N$6,关卡产出!$B:$B,玩家节奏1!$N148)+_xlfn.MAXIFS(关卡产出!AA:AA,关卡产出!$A:$A,玩家节奏1!$O$6,关卡产出!$B:$B,玩家节奏1!$O148)+_xlfn.MAXIFS(关卡产出!AA:AA,关卡产出!$A:$A,玩家节奏1!$P$6,关卡产出!$B:$B,玩家节奏1!$P148)</f>
        <v>14312</v>
      </c>
      <c r="U148" s="90">
        <f>_xlfn.MAXIFS(关卡产出!AB:AB,关卡产出!$A:$A,玩家节奏1!$N$6,关卡产出!$B:$B,玩家节奏1!$N148)+_xlfn.MAXIFS(关卡产出!AB:AB,关卡产出!$A:$A,玩家节奏1!$O$6,关卡产出!$B:$B,玩家节奏1!$O148)+_xlfn.MAXIFS(关卡产出!AB:AB,关卡产出!$A:$A,玩家节奏1!$P$6,关卡产出!$B:$B,玩家节奏1!$P148)</f>
        <v>6789</v>
      </c>
      <c r="V148" s="130">
        <f>_xlfn.MAXIFS(关卡产出!AC:AC,关卡产出!$A:$A,玩家节奏1!$N$6,关卡产出!$B:$B,玩家节奏1!$N148)+_xlfn.MAXIFS(关卡产出!AC:AC,关卡产出!$A:$A,玩家节奏1!$O$6,关卡产出!$B:$B,玩家节奏1!$O148)+_xlfn.MAXIFS(关卡产出!AC:AC,关卡产出!$A:$A,玩家节奏1!$P$6,关卡产出!$B:$B,玩家节奏1!$P148)</f>
        <v>726</v>
      </c>
      <c r="W148" s="126">
        <f>INDEX(关卡产出!C$8:C$207,MATCH(玩家节奏1!$N148,关卡产出!$B$8:$B$207,0))*$K148</f>
        <v>475</v>
      </c>
      <c r="X148" s="126">
        <f>INDEX(关卡产出!D$8:D$207,MATCH(玩家节奏1!$N148,关卡产出!$B$8:$B$207,0))*$K148</f>
        <v>235</v>
      </c>
      <c r="Y148" s="126">
        <f>INDEX(关卡产出!E$8:E$207,MATCH(玩家节奏1!$N148,关卡产出!$B$8:$B$207,0))*$K148</f>
        <v>115</v>
      </c>
      <c r="Z148" s="144">
        <f>INDEX(关卡产出!F$8:F$207,MATCH(玩家节奏1!$N148,关卡产出!$B$8:$B$207,0))*$K148</f>
        <v>6350</v>
      </c>
      <c r="AA148" s="126">
        <f>SUM(W$7:W148)</f>
        <v>34341</v>
      </c>
      <c r="AB148" s="126">
        <f>SUM(X$7:X148)</f>
        <v>17016</v>
      </c>
      <c r="AC148" s="126">
        <f>SUM(Y$7:Y148)</f>
        <v>8102</v>
      </c>
      <c r="AD148" s="126">
        <f>SUM(Z$7:Z148)</f>
        <v>483060</v>
      </c>
      <c r="AE148" s="126">
        <f>INDEX(图鉴!AQ:AQ,MATCH($N148,图鉴!$S:$S,0))*8</f>
        <v>168</v>
      </c>
      <c r="AF148" s="90">
        <f>INDEX(图鉴!AR:AR,MATCH($N148,图鉴!$S:$S,0))*8</f>
        <v>120</v>
      </c>
      <c r="AG148" s="90">
        <f>INDEX(图鉴!AS:AS,MATCH($N148,图鉴!$S:$S,0))*8</f>
        <v>48</v>
      </c>
      <c r="AH148" s="129">
        <f ca="1">INDEX(图鉴!AT:AT,MATCH($N148,图鉴!$S:$S,0))*8</f>
        <v>10520</v>
      </c>
      <c r="AI148" s="128">
        <f>SUM($AE$7:AE148)</f>
        <v>21432</v>
      </c>
      <c r="AJ148" s="90">
        <f>SUM(AF$7:AF148)</f>
        <v>12760</v>
      </c>
      <c r="AK148" s="90">
        <f>SUM(AG$7:AG148)</f>
        <v>4424</v>
      </c>
      <c r="AL148" s="130">
        <f ca="1">SUM(AH$7:AH148)</f>
        <v>989920</v>
      </c>
      <c r="AM148" s="133">
        <f>IF(M148=0,0,INDEX(关卡产出!$AU$11:$AU$15,MATCH(玩家节奏1!N148,关卡产出!$AW$11:$AW$15,1))*M148)</f>
        <v>12200</v>
      </c>
      <c r="AN148" s="126">
        <f>IF(L148=0,0,$L148*关卡产出!AU$21)</f>
        <v>1000</v>
      </c>
      <c r="AO148" s="90">
        <f>IF(M148=0,0,$L148*关卡产出!AV$21)</f>
        <v>50</v>
      </c>
      <c r="AP148" s="129">
        <f>IF(N148=0,0,$L148*关卡产出!AW$21)</f>
        <v>1</v>
      </c>
      <c r="AQ148" s="138">
        <f>SUM(AN$7:AN148)</f>
        <v>125000</v>
      </c>
      <c r="AR148" s="126">
        <f>SUM(AO$7:AO148)</f>
        <v>6250</v>
      </c>
      <c r="AS148" s="129">
        <f>SUM(AP$7:AP148)</f>
        <v>125</v>
      </c>
      <c r="AT148" s="128">
        <v>500</v>
      </c>
      <c r="AU148" s="129">
        <v>100</v>
      </c>
      <c r="AV148" s="128">
        <f>SUM(AT$7:AT148)</f>
        <v>71000</v>
      </c>
      <c r="AW148" s="90">
        <f>SUM(AU$7:AU148)</f>
        <v>14200</v>
      </c>
      <c r="AY148" s="128">
        <f t="shared" si="167"/>
        <v>22700</v>
      </c>
      <c r="AZ148" s="90">
        <f t="shared" si="168"/>
        <v>6250</v>
      </c>
      <c r="BA148" s="90">
        <f t="shared" si="169"/>
        <v>14200</v>
      </c>
      <c r="BB148" s="90">
        <f t="shared" ca="1" si="217"/>
        <v>9200</v>
      </c>
      <c r="BC148" s="90">
        <f t="shared" ca="1" si="218"/>
        <v>52350</v>
      </c>
      <c r="BD148" s="90"/>
      <c r="BE148" s="90">
        <f t="shared" ca="1" si="170"/>
        <v>52350</v>
      </c>
      <c r="BF148" s="142">
        <f t="shared" ca="1" si="171"/>
        <v>0.43361986628462273</v>
      </c>
      <c r="BG148" s="142">
        <f t="shared" ca="1" si="172"/>
        <v>0.11938872970391595</v>
      </c>
      <c r="BH148" s="142">
        <f t="shared" ca="1" si="173"/>
        <v>0.27125119388729702</v>
      </c>
      <c r="BI148" s="142">
        <f t="shared" ca="1" si="174"/>
        <v>0.17574021012416427</v>
      </c>
      <c r="BJ148" s="143"/>
      <c r="BK148" s="128">
        <f ca="1">INDEX(商城宝箱!$L:$L,MATCH(BC148,商城宝箱!$N:$N,1))</f>
        <v>9</v>
      </c>
      <c r="BL148" s="90">
        <f ca="1">_xlfn.IFNA(INDEX(商城宝箱!T:T,MATCH(玩家节奏1!$BK148,商城宝箱!$L:$L,0)),0)+($BC148-INDEX(商城宝箱!$N:$N,MATCH(玩家节奏1!$BK148,商城宝箱!$L:$L,0)))/$BK$5*INDEX(商城宝箱!E$23:E$42,MATCH(玩家节奏1!$BK148+1,商城宝箱!$C$23:$C$42,0))</f>
        <v>130875</v>
      </c>
      <c r="BM148" s="90">
        <f ca="1">_xlfn.IFNA(INDEX(商城宝箱!U:U,MATCH(玩家节奏1!$BK148,商城宝箱!$L:$L,0)),0)+($BC148-INDEX(商城宝箱!$N:$N,MATCH(玩家节奏1!$BK148,商城宝箱!$L:$L,0)))/$BK$5*INDEX(商城宝箱!F$23:F$42,MATCH(玩家节奏1!$BK148+1,商城宝箱!$C$23:$C$42,0))</f>
        <v>84837.5</v>
      </c>
      <c r="BN148" s="90">
        <f ca="1">_xlfn.IFNA(INDEX(商城宝箱!V:V,MATCH(玩家节奏1!$BK148,商城宝箱!$L:$L,0)),0)+($BC148-INDEX(商城宝箱!$N:$N,MATCH(玩家节奏1!$BK148,商城宝箱!$L:$L,0)))/$BK$5*INDEX(商城宝箱!G$23:G$42,MATCH(玩家节奏1!$BK148+1,商城宝箱!$C$23:$C$42,0))</f>
        <v>52199.5</v>
      </c>
      <c r="BO148" s="90">
        <f ca="1">_xlfn.IFNA(INDEX(商城宝箱!W:W,MATCH(玩家节奏1!$BK148,商城宝箱!$L:$L,0)),0)+($BC148-INDEX(商城宝箱!$N:$N,MATCH(玩家节奏1!$BK148,商城宝箱!$L:$L,0)))/$BK$5*INDEX(商城宝箱!H$23:H$42,MATCH(玩家节奏1!$BK148+1,商城宝箱!$C$23:$C$42,0))</f>
        <v>6881.5</v>
      </c>
      <c r="BQ148" s="128">
        <f t="shared" si="158"/>
        <v>4160300</v>
      </c>
      <c r="BR148" s="90">
        <f t="shared" si="159"/>
        <v>483060</v>
      </c>
      <c r="BS148" s="90">
        <f t="shared" ca="1" si="160"/>
        <v>989920</v>
      </c>
      <c r="BT148" s="90">
        <f t="shared" si="161"/>
        <v>12200</v>
      </c>
      <c r="BU148" s="90">
        <f t="shared" si="162"/>
        <v>125000</v>
      </c>
      <c r="BV148" s="90">
        <f t="shared" si="163"/>
        <v>71000</v>
      </c>
      <c r="BW148" s="90">
        <f t="shared" ca="1" si="175"/>
        <v>130875</v>
      </c>
      <c r="BX148" s="90">
        <f t="shared" ca="1" si="176"/>
        <v>5972355</v>
      </c>
      <c r="BY148" s="142">
        <f t="shared" ca="1" si="177"/>
        <v>0.69659288505120676</v>
      </c>
      <c r="BZ148" s="142">
        <f t="shared" ca="1" si="178"/>
        <v>8.0882666887685015E-2</v>
      </c>
      <c r="CA148" s="142">
        <f t="shared" ca="1" si="179"/>
        <v>0.16575036145708016</v>
      </c>
      <c r="CB148" s="142">
        <f t="shared" ca="1" si="180"/>
        <v>2.0427452822211673E-3</v>
      </c>
      <c r="CC148" s="142">
        <f t="shared" ca="1" si="181"/>
        <v>2.0929767235872615E-2</v>
      </c>
      <c r="CD148" s="142">
        <f t="shared" ca="1" si="182"/>
        <v>1.1888107789975646E-2</v>
      </c>
      <c r="CE148" s="142">
        <f t="shared" ca="1" si="183"/>
        <v>2.1913466295958629E-2</v>
      </c>
      <c r="CG148" s="128">
        <f t="shared" si="184"/>
        <v>121</v>
      </c>
      <c r="CH148" s="90">
        <f ca="1">INDEX(角色升级!$A:$A,MATCH(玩家节奏1!$BX148,角色升级!$J:$J,1))</f>
        <v>606</v>
      </c>
      <c r="CI148" s="90">
        <f ca="1">INDEX(角色升级!$O:$O,MATCH(玩家节奏1!$BX148,角色升级!$J:$J,1))</f>
        <v>29200.356075</v>
      </c>
      <c r="CJ148" s="90">
        <f>INDEX(关卡对比!$J:$J,MATCH(玩家节奏1!N148,关卡对比!$A:$A,0))</f>
        <v>46700</v>
      </c>
      <c r="CK148" s="147">
        <f t="shared" ca="1" si="185"/>
        <v>1.5992955661243593</v>
      </c>
      <c r="CL148" s="128">
        <f ca="1">INDEX(角色升级!$P:$P,MATCH(玩家节奏1!$CH148,角色升级!$A:$A,0))</f>
        <v>9200</v>
      </c>
      <c r="CM148" s="90">
        <f ca="1">INDEX(角色升级!Q:Q,MATCH(玩家节奏1!$CH148,角色升级!$A:$A,0))</f>
        <v>0.9</v>
      </c>
      <c r="CO148" s="128">
        <f t="shared" si="186"/>
        <v>28622</v>
      </c>
      <c r="CP148" s="90">
        <f t="shared" si="187"/>
        <v>34341</v>
      </c>
      <c r="CQ148" s="90">
        <f t="shared" si="188"/>
        <v>21432</v>
      </c>
      <c r="CR148" s="90">
        <f t="shared" ca="1" si="189"/>
        <v>84837.5</v>
      </c>
      <c r="CS148" s="90">
        <f t="shared" ca="1" si="190"/>
        <v>169232.5</v>
      </c>
      <c r="CT148" s="142">
        <f t="shared" ca="1" si="191"/>
        <v>0.16912827027905397</v>
      </c>
      <c r="CU148" s="142">
        <f t="shared" ca="1" si="192"/>
        <v>0.20292201557029529</v>
      </c>
      <c r="CV148" s="142">
        <f t="shared" ca="1" si="193"/>
        <v>0.12664234115787451</v>
      </c>
      <c r="CW148" s="142">
        <f t="shared" ca="1" si="194"/>
        <v>0.50130737299277617</v>
      </c>
      <c r="CY148" s="128">
        <f t="shared" si="195"/>
        <v>14312</v>
      </c>
      <c r="CZ148" s="90">
        <f t="shared" si="196"/>
        <v>17016</v>
      </c>
      <c r="DA148" s="90">
        <f t="shared" si="197"/>
        <v>12760</v>
      </c>
      <c r="DB148" s="90">
        <f t="shared" ca="1" si="198"/>
        <v>52199.5</v>
      </c>
      <c r="DC148" s="90">
        <f t="shared" ca="1" si="199"/>
        <v>96287.5</v>
      </c>
      <c r="DD148" s="142">
        <f t="shared" ca="1" si="200"/>
        <v>0.14863819291185251</v>
      </c>
      <c r="DE148" s="142">
        <f t="shared" ca="1" si="201"/>
        <v>0.17672075814617683</v>
      </c>
      <c r="DF148" s="142">
        <f t="shared" ca="1" si="202"/>
        <v>0.13251979748150072</v>
      </c>
      <c r="DG148" s="142">
        <f t="shared" ca="1" si="203"/>
        <v>0.54212125146046997</v>
      </c>
      <c r="DI148" s="128">
        <f t="shared" si="204"/>
        <v>6789</v>
      </c>
      <c r="DJ148" s="90">
        <f t="shared" si="205"/>
        <v>8102</v>
      </c>
      <c r="DK148" s="90">
        <f t="shared" si="206"/>
        <v>4424</v>
      </c>
      <c r="DL148" s="90">
        <f t="shared" ca="1" si="207"/>
        <v>6881.5</v>
      </c>
      <c r="DM148" s="90">
        <f t="shared" ca="1" si="208"/>
        <v>26196.5</v>
      </c>
      <c r="DN148" s="142">
        <f t="shared" ca="1" si="209"/>
        <v>0.25915675758211976</v>
      </c>
      <c r="DO148" s="142">
        <f t="shared" ca="1" si="210"/>
        <v>0.30927795697898575</v>
      </c>
      <c r="DP148" s="142">
        <f t="shared" ca="1" si="211"/>
        <v>0.16887752180634819</v>
      </c>
      <c r="DQ148" s="142">
        <f t="shared" ca="1" si="212"/>
        <v>0.26268776363254631</v>
      </c>
      <c r="DS148" s="128">
        <f t="shared" ca="1" si="213"/>
        <v>169232.5</v>
      </c>
      <c r="DT148" s="90">
        <f t="shared" ca="1" si="214"/>
        <v>96287.5</v>
      </c>
      <c r="DU148" s="90">
        <f t="shared" ca="1" si="215"/>
        <v>26196.5</v>
      </c>
      <c r="DV148" s="90">
        <f t="shared" si="216"/>
        <v>125</v>
      </c>
      <c r="DW148" s="90">
        <f ca="1">_xlfn.IFNA(INDEX(武器升级消耗!$H:$H,MATCH(玩家节奏1!DS148/玩家节奏1!DS$5,武器升级消耗!M:M,1)),0)</f>
        <v>37</v>
      </c>
      <c r="DX148" s="90">
        <f ca="1">_xlfn.IFNA(INDEX(武器升级消耗!$H:$H,MATCH(玩家节奏1!DT148/玩家节奏1!DT$5,武器升级消耗!N:N,1)),0)</f>
        <v>33</v>
      </c>
      <c r="DY148" s="90">
        <f ca="1">_xlfn.IFNA(INDEX(武器升级消耗!$H:$H,MATCH(玩家节奏1!DU148/玩家节奏1!DU$5,武器升级消耗!O:O,1)),0)</f>
        <v>23</v>
      </c>
      <c r="DZ148" s="90">
        <f>_xlfn.IFNA(INDEX(武器升级消耗!$H:$H,MATCH(玩家节奏1!DV148/玩家节奏1!DV$5,武器升级消耗!P:P,1)),0)</f>
        <v>12</v>
      </c>
      <c r="EA148" s="90">
        <f ca="1">_xlfn.IFNA(INDEX(武器升级消耗!$Q:$Q,MATCH(玩家节奏1!DW148,武器升级消耗!$H:$H,0))*2*EA$4,0)</f>
        <v>4.919999999999999</v>
      </c>
      <c r="EB148" s="90">
        <f ca="1">_xlfn.IFNA(INDEX(武器升级消耗!$Q:$Q,MATCH(玩家节奏1!DX148,武器升级消耗!$H:$H,0))*2*EB$4,0)</f>
        <v>5.5500000000000007</v>
      </c>
      <c r="EC148" s="90">
        <f ca="1">_xlfn.IFNA(INDEX(武器升级消耗!$Q:$Q,MATCH(玩家节奏1!DY148,武器升级消耗!$H:$H,0))*2*EC$4,1)</f>
        <v>5.9400000000000013</v>
      </c>
      <c r="ED148" s="90">
        <f>_xlfn.IFNA(INDEX(武器升级消耗!$Q:$Q,MATCH(玩家节奏1!DZ148,武器升级消耗!$H:$H,0))*2*ED$4,0)</f>
        <v>4.8000000000000007</v>
      </c>
    </row>
    <row r="149" spans="1:134" x14ac:dyDescent="0.25">
      <c r="A149" s="123">
        <v>143</v>
      </c>
      <c r="B149" s="123">
        <f>INDEX(关卡对比!$Y:$Y,MATCH(关卡对比!Z149,关卡对比!$AA:$AA,1))</f>
        <v>85</v>
      </c>
      <c r="C149" s="124">
        <f>INDEX(关卡对比!$Y:$Y,MATCH(关卡对比!Z149,关卡对比!$AB:$AB,1))</f>
        <v>66</v>
      </c>
      <c r="D149" s="125">
        <f t="shared" si="157"/>
        <v>851.5</v>
      </c>
      <c r="E149" s="125">
        <v>3</v>
      </c>
      <c r="F149" s="128">
        <v>5</v>
      </c>
      <c r="G149" s="90">
        <v>1</v>
      </c>
      <c r="H149" s="90">
        <v>1</v>
      </c>
      <c r="J149" s="128">
        <v>143</v>
      </c>
      <c r="K149" s="90">
        <f t="shared" si="164"/>
        <v>5</v>
      </c>
      <c r="L149" s="90">
        <f t="shared" si="165"/>
        <v>1</v>
      </c>
      <c r="M149" s="90">
        <f t="shared" si="166"/>
        <v>1</v>
      </c>
      <c r="N149" s="140">
        <f>INDEX($A:$A,MATCH(SUM($K$7:K149),$D:$D,1))</f>
        <v>122</v>
      </c>
      <c r="O149" s="140">
        <v>0</v>
      </c>
      <c r="P149" s="141">
        <v>0</v>
      </c>
      <c r="Q149" s="126">
        <f>_xlfn.MAXIFS(关卡产出!X:X,关卡产出!$A:$A,玩家节奏1!$N$6,关卡产出!$B:$B,玩家节奏1!$N149)+_xlfn.MAXIFS(关卡产出!X:X,关卡产出!$A:$A,玩家节奏1!$O$6,关卡产出!$B:$B,玩家节奏1!$O149)+_xlfn.MAXIFS(关卡产出!X:X,关卡产出!$A:$A,玩家节奏1!$P$6,关卡产出!$B:$B,玩家节奏1!$P149)</f>
        <v>22900</v>
      </c>
      <c r="R149" s="90">
        <f>_xlfn.MAXIFS(关卡产出!Y:Y,关卡产出!$A:$A,玩家节奏1!$N$6,关卡产出!$B:$B,玩家节奏1!$N149)+_xlfn.MAXIFS(关卡产出!Y:Y,关卡产出!$A:$A,玩家节奏1!$O$6,关卡产出!$B:$B,玩家节奏1!$O149)+_xlfn.MAXIFS(关卡产出!Y:Y,关卡产出!$A:$A,玩家节奏1!$P$6,关卡产出!$B:$B,玩家节奏1!$P149)</f>
        <v>4231200</v>
      </c>
      <c r="S149" s="90">
        <f>_xlfn.MAXIFS(关卡产出!Z:Z,关卡产出!$A:$A,玩家节奏1!$N$6,关卡产出!$B:$B,玩家节奏1!$N149)+_xlfn.MAXIFS(关卡产出!Z:Z,关卡产出!$A:$A,玩家节奏1!$O$6,关卡产出!$B:$B,玩家节奏1!$O149)+_xlfn.MAXIFS(关卡产出!Z:Z,关卡产出!$A:$A,玩家节奏1!$P$6,关卡产出!$B:$B,玩家节奏1!$P149)</f>
        <v>29102</v>
      </c>
      <c r="T149" s="90">
        <f>_xlfn.MAXIFS(关卡产出!AA:AA,关卡产出!$A:$A,玩家节奏1!$N$6,关卡产出!$B:$B,玩家节奏1!$N149)+_xlfn.MAXIFS(关卡产出!AA:AA,关卡产出!$A:$A,玩家节奏1!$O$6,关卡产出!$B:$B,玩家节奏1!$O149)+_xlfn.MAXIFS(关卡产出!AA:AA,关卡产出!$A:$A,玩家节奏1!$P$6,关卡产出!$B:$B,玩家节奏1!$P149)</f>
        <v>14552</v>
      </c>
      <c r="U149" s="90">
        <f>_xlfn.MAXIFS(关卡产出!AB:AB,关卡产出!$A:$A,玩家节奏1!$N$6,关卡产出!$B:$B,玩家节奏1!$N149)+_xlfn.MAXIFS(关卡产出!AB:AB,关卡产出!$A:$A,玩家节奏1!$O$6,关卡产出!$B:$B,玩家节奏1!$O149)+_xlfn.MAXIFS(关卡产出!AB:AB,关卡产出!$A:$A,玩家节奏1!$P$6,关卡产出!$B:$B,玩家节奏1!$P149)</f>
        <v>6906</v>
      </c>
      <c r="V149" s="130">
        <f>_xlfn.MAXIFS(关卡产出!AC:AC,关卡产出!$A:$A,玩家节奏1!$N$6,关卡产出!$B:$B,玩家节奏1!$N149)+_xlfn.MAXIFS(关卡产出!AC:AC,关卡产出!$A:$A,玩家节奏1!$O$6,关卡产出!$B:$B,玩家节奏1!$O149)+_xlfn.MAXIFS(关卡产出!AC:AC,关卡产出!$A:$A,玩家节奏1!$P$6,关卡产出!$B:$B,玩家节奏1!$P149)</f>
        <v>732</v>
      </c>
      <c r="W149" s="126">
        <f>INDEX(关卡产出!C$8:C$207,MATCH(玩家节奏1!$N149,关卡产出!$B$8:$B$207,0))*$K149</f>
        <v>480</v>
      </c>
      <c r="X149" s="126">
        <f>INDEX(关卡产出!D$8:D$207,MATCH(玩家节奏1!$N149,关卡产出!$B$8:$B$207,0))*$K149</f>
        <v>240</v>
      </c>
      <c r="Y149" s="126">
        <f>INDEX(关卡产出!E$8:E$207,MATCH(玩家节奏1!$N149,关卡产出!$B$8:$B$207,0))*$K149</f>
        <v>115</v>
      </c>
      <c r="Z149" s="144">
        <f>INDEX(关卡产出!F$8:F$207,MATCH(玩家节奏1!$N149,关卡产出!$B$8:$B$207,0))*$K149</f>
        <v>6350</v>
      </c>
      <c r="AA149" s="126">
        <f>SUM(W$7:W149)</f>
        <v>34821</v>
      </c>
      <c r="AB149" s="126">
        <f>SUM(X$7:X149)</f>
        <v>17256</v>
      </c>
      <c r="AC149" s="126">
        <f>SUM(Y$7:Y149)</f>
        <v>8217</v>
      </c>
      <c r="AD149" s="126">
        <f>SUM(Z$7:Z149)</f>
        <v>489410</v>
      </c>
      <c r="AE149" s="126">
        <f>INDEX(图鉴!AQ:AQ,MATCH($N149,图鉴!$S:$S,0))*8</f>
        <v>168</v>
      </c>
      <c r="AF149" s="90">
        <f>INDEX(图鉴!AR:AR,MATCH($N149,图鉴!$S:$S,0))*8</f>
        <v>120</v>
      </c>
      <c r="AG149" s="90">
        <f>INDEX(图鉴!AS:AS,MATCH($N149,图鉴!$S:$S,0))*8</f>
        <v>48</v>
      </c>
      <c r="AH149" s="129">
        <f ca="1">INDEX(图鉴!AT:AT,MATCH($N149,图鉴!$S:$S,0))*8</f>
        <v>10520</v>
      </c>
      <c r="AI149" s="128">
        <f>SUM($AE$7:AE149)</f>
        <v>21600</v>
      </c>
      <c r="AJ149" s="90">
        <f>SUM(AF$7:AF149)</f>
        <v>12880</v>
      </c>
      <c r="AK149" s="90">
        <f>SUM(AG$7:AG149)</f>
        <v>4472</v>
      </c>
      <c r="AL149" s="130">
        <f ca="1">SUM(AH$7:AH149)</f>
        <v>1000440</v>
      </c>
      <c r="AM149" s="133">
        <f>IF(M149=0,0,INDEX(关卡产出!$AU$11:$AU$15,MATCH(玩家节奏1!N149,关卡产出!$AW$11:$AW$15,1))*M149)</f>
        <v>12200</v>
      </c>
      <c r="AN149" s="126">
        <f>IF(L149=0,0,$L149*关卡产出!AU$21)</f>
        <v>1000</v>
      </c>
      <c r="AO149" s="90">
        <f>IF(M149=0,0,$L149*关卡产出!AV$21)</f>
        <v>50</v>
      </c>
      <c r="AP149" s="129">
        <f>IF(N149=0,0,$L149*关卡产出!AW$21)</f>
        <v>1</v>
      </c>
      <c r="AQ149" s="138">
        <f>SUM(AN$7:AN149)</f>
        <v>126000</v>
      </c>
      <c r="AR149" s="126">
        <f>SUM(AO$7:AO149)</f>
        <v>6300</v>
      </c>
      <c r="AS149" s="129">
        <f>SUM(AP$7:AP149)</f>
        <v>126</v>
      </c>
      <c r="AT149" s="128">
        <v>500</v>
      </c>
      <c r="AU149" s="129">
        <v>100</v>
      </c>
      <c r="AV149" s="128">
        <f>SUM(AT$7:AT149)</f>
        <v>71500</v>
      </c>
      <c r="AW149" s="90">
        <f>SUM(AU$7:AU149)</f>
        <v>14300</v>
      </c>
      <c r="AY149" s="128">
        <f t="shared" si="167"/>
        <v>22900</v>
      </c>
      <c r="AZ149" s="90">
        <f t="shared" si="168"/>
        <v>6300</v>
      </c>
      <c r="BA149" s="90">
        <f t="shared" si="169"/>
        <v>14300</v>
      </c>
      <c r="BB149" s="90">
        <f t="shared" ca="1" si="217"/>
        <v>9200</v>
      </c>
      <c r="BC149" s="90">
        <f t="shared" ca="1" si="218"/>
        <v>52700</v>
      </c>
      <c r="BD149" s="90"/>
      <c r="BE149" s="90">
        <f t="shared" ca="1" si="170"/>
        <v>52700</v>
      </c>
      <c r="BF149" s="142">
        <f t="shared" ca="1" si="171"/>
        <v>0.43453510436432635</v>
      </c>
      <c r="BG149" s="142">
        <f t="shared" ca="1" si="172"/>
        <v>0.11954459203036052</v>
      </c>
      <c r="BH149" s="142">
        <f t="shared" ca="1" si="173"/>
        <v>0.27134724857685011</v>
      </c>
      <c r="BI149" s="142">
        <f t="shared" ca="1" si="174"/>
        <v>0.17457305502846299</v>
      </c>
      <c r="BJ149" s="143"/>
      <c r="BK149" s="128">
        <f ca="1">INDEX(商城宝箱!$L:$L,MATCH(BC149,商城宝箱!$N:$N,1))</f>
        <v>9</v>
      </c>
      <c r="BL149" s="90">
        <f ca="1">_xlfn.IFNA(INDEX(商城宝箱!T:T,MATCH(玩家节奏1!$BK149,商城宝箱!$L:$L,0)),0)+($BC149-INDEX(商城宝箱!$N:$N,MATCH(玩家节奏1!$BK149,商城宝箱!$L:$L,0)))/$BK$5*INDEX(商城宝箱!E$23:E$42,MATCH(玩家节奏1!$BK149+1,商城宝箱!$C$23:$C$42,0))</f>
        <v>131750</v>
      </c>
      <c r="BM149" s="90">
        <f ca="1">_xlfn.IFNA(INDEX(商城宝箱!U:U,MATCH(玩家节奏1!$BK149,商城宝箱!$L:$L,0)),0)+($BC149-INDEX(商城宝箱!$N:$N,MATCH(玩家节奏1!$BK149,商城宝箱!$L:$L,0)))/$BK$5*INDEX(商城宝箱!F$23:F$42,MATCH(玩家节奏1!$BK149+1,商城宝箱!$C$23:$C$42,0))</f>
        <v>85782.5</v>
      </c>
      <c r="BN149" s="90">
        <f ca="1">_xlfn.IFNA(INDEX(商城宝箱!V:V,MATCH(玩家节奏1!$BK149,商城宝箱!$L:$L,0)),0)+($BC149-INDEX(商城宝箱!$N:$N,MATCH(玩家节奏1!$BK149,商城宝箱!$L:$L,0)))/$BK$5*INDEX(商城宝箱!G$23:G$42,MATCH(玩家节奏1!$BK149+1,商城宝箱!$C$23:$C$42,0))</f>
        <v>52637</v>
      </c>
      <c r="BO149" s="90">
        <f ca="1">_xlfn.IFNA(INDEX(商城宝箱!W:W,MATCH(玩家节奏1!$BK149,商城宝箱!$L:$L,0)),0)+($BC149-INDEX(商城宝箱!$N:$N,MATCH(玩家节奏1!$BK149,商城宝箱!$L:$L,0)))/$BK$5*INDEX(商城宝箱!H$23:H$42,MATCH(玩家节奏1!$BK149+1,商城宝箱!$C$23:$C$42,0))</f>
        <v>6951.5</v>
      </c>
      <c r="BQ149" s="128">
        <f t="shared" si="158"/>
        <v>4231200</v>
      </c>
      <c r="BR149" s="90">
        <f t="shared" si="159"/>
        <v>489410</v>
      </c>
      <c r="BS149" s="90">
        <f t="shared" ca="1" si="160"/>
        <v>1000440</v>
      </c>
      <c r="BT149" s="90">
        <f t="shared" si="161"/>
        <v>12200</v>
      </c>
      <c r="BU149" s="90">
        <f t="shared" si="162"/>
        <v>126000</v>
      </c>
      <c r="BV149" s="90">
        <f t="shared" si="163"/>
        <v>71500</v>
      </c>
      <c r="BW149" s="90">
        <f t="shared" ca="1" si="175"/>
        <v>131750</v>
      </c>
      <c r="BX149" s="90">
        <f t="shared" ca="1" si="176"/>
        <v>6062500</v>
      </c>
      <c r="BY149" s="142">
        <f t="shared" ca="1" si="177"/>
        <v>0.69792989690721652</v>
      </c>
      <c r="BZ149" s="142">
        <f t="shared" ca="1" si="178"/>
        <v>8.0727422680412372E-2</v>
      </c>
      <c r="CA149" s="142">
        <f t="shared" ca="1" si="179"/>
        <v>0.16502103092783504</v>
      </c>
      <c r="CB149" s="142">
        <f t="shared" ca="1" si="180"/>
        <v>2.0123711340206186E-3</v>
      </c>
      <c r="CC149" s="142">
        <f t="shared" ca="1" si="181"/>
        <v>2.0783505154639174E-2</v>
      </c>
      <c r="CD149" s="142">
        <f t="shared" ca="1" si="182"/>
        <v>1.1793814432989691E-2</v>
      </c>
      <c r="CE149" s="142">
        <f t="shared" ca="1" si="183"/>
        <v>2.1731958762886597E-2</v>
      </c>
      <c r="CG149" s="128">
        <f t="shared" si="184"/>
        <v>122</v>
      </c>
      <c r="CH149" s="90">
        <f ca="1">INDEX(角色升级!$A:$A,MATCH(玩家节奏1!$BX149,角色升级!$J:$J,1))</f>
        <v>608</v>
      </c>
      <c r="CI149" s="90">
        <f ca="1">INDEX(角色升级!$O:$O,MATCH(玩家节奏1!$BX149,角色升级!$J:$J,1))</f>
        <v>29754.042285</v>
      </c>
      <c r="CJ149" s="90">
        <f>INDEX(关卡对比!$J:$J,MATCH(玩家节奏1!N149,关卡对比!$A:$A,0))</f>
        <v>47200</v>
      </c>
      <c r="CK149" s="147">
        <f t="shared" ca="1" si="185"/>
        <v>1.5863390778265811</v>
      </c>
      <c r="CL149" s="128">
        <f ca="1">INDEX(角色升级!$P:$P,MATCH(玩家节奏1!$CH149,角色升级!$A:$A,0))</f>
        <v>9200</v>
      </c>
      <c r="CM149" s="90">
        <f ca="1">INDEX(角色升级!Q:Q,MATCH(玩家节奏1!$CH149,角色升级!$A:$A,0))</f>
        <v>0.9</v>
      </c>
      <c r="CO149" s="128">
        <f t="shared" si="186"/>
        <v>29102</v>
      </c>
      <c r="CP149" s="90">
        <f t="shared" si="187"/>
        <v>34821</v>
      </c>
      <c r="CQ149" s="90">
        <f t="shared" si="188"/>
        <v>21600</v>
      </c>
      <c r="CR149" s="90">
        <f t="shared" ca="1" si="189"/>
        <v>85782.5</v>
      </c>
      <c r="CS149" s="90">
        <f t="shared" ca="1" si="190"/>
        <v>171305.5</v>
      </c>
      <c r="CT149" s="142">
        <f t="shared" ca="1" si="191"/>
        <v>0.1698836289552875</v>
      </c>
      <c r="CU149" s="142">
        <f t="shared" ca="1" si="192"/>
        <v>0.20326842979355594</v>
      </c>
      <c r="CV149" s="142">
        <f t="shared" ca="1" si="193"/>
        <v>0.12609052248760255</v>
      </c>
      <c r="CW149" s="142">
        <f t="shared" ca="1" si="194"/>
        <v>0.50075741876355395</v>
      </c>
      <c r="CY149" s="128">
        <f t="shared" si="195"/>
        <v>14552</v>
      </c>
      <c r="CZ149" s="90">
        <f t="shared" si="196"/>
        <v>17256</v>
      </c>
      <c r="DA149" s="90">
        <f t="shared" si="197"/>
        <v>12880</v>
      </c>
      <c r="DB149" s="90">
        <f t="shared" ca="1" si="198"/>
        <v>52637</v>
      </c>
      <c r="DC149" s="90">
        <f t="shared" ca="1" si="199"/>
        <v>97325</v>
      </c>
      <c r="DD149" s="142">
        <f t="shared" ca="1" si="200"/>
        <v>0.14951965065502185</v>
      </c>
      <c r="DE149" s="142">
        <f t="shared" ca="1" si="201"/>
        <v>0.17730285127151296</v>
      </c>
      <c r="DF149" s="142">
        <f t="shared" ca="1" si="202"/>
        <v>0.13234009761109683</v>
      </c>
      <c r="DG149" s="142">
        <f t="shared" ca="1" si="203"/>
        <v>0.54083740046236839</v>
      </c>
      <c r="DI149" s="128">
        <f t="shared" si="204"/>
        <v>6906</v>
      </c>
      <c r="DJ149" s="90">
        <f t="shared" si="205"/>
        <v>8217</v>
      </c>
      <c r="DK149" s="90">
        <f t="shared" si="206"/>
        <v>4472</v>
      </c>
      <c r="DL149" s="90">
        <f t="shared" ca="1" si="207"/>
        <v>6951.5</v>
      </c>
      <c r="DM149" s="90">
        <f t="shared" ca="1" si="208"/>
        <v>26546.5</v>
      </c>
      <c r="DN149" s="142">
        <f t="shared" ca="1" si="209"/>
        <v>0.26014728871979359</v>
      </c>
      <c r="DO149" s="142">
        <f t="shared" ca="1" si="210"/>
        <v>0.30953233006234343</v>
      </c>
      <c r="DP149" s="142">
        <f t="shared" ca="1" si="211"/>
        <v>0.16845911890456369</v>
      </c>
      <c r="DQ149" s="142">
        <f t="shared" ca="1" si="212"/>
        <v>0.26186126231329931</v>
      </c>
      <c r="DS149" s="128">
        <f t="shared" ca="1" si="213"/>
        <v>171305.5</v>
      </c>
      <c r="DT149" s="90">
        <f t="shared" ca="1" si="214"/>
        <v>97325</v>
      </c>
      <c r="DU149" s="90">
        <f t="shared" ca="1" si="215"/>
        <v>26546.5</v>
      </c>
      <c r="DV149" s="90">
        <f t="shared" si="216"/>
        <v>126</v>
      </c>
      <c r="DW149" s="90">
        <f ca="1">_xlfn.IFNA(INDEX(武器升级消耗!$H:$H,MATCH(玩家节奏1!DS149/玩家节奏1!DS$5,武器升级消耗!M:M,1)),0)</f>
        <v>37</v>
      </c>
      <c r="DX149" s="90">
        <f ca="1">_xlfn.IFNA(INDEX(武器升级消耗!$H:$H,MATCH(玩家节奏1!DT149/玩家节奏1!DT$5,武器升级消耗!N:N,1)),0)</f>
        <v>34</v>
      </c>
      <c r="DY149" s="90">
        <f ca="1">_xlfn.IFNA(INDEX(武器升级消耗!$H:$H,MATCH(玩家节奏1!DU149/玩家节奏1!DU$5,武器升级消耗!O:O,1)),0)</f>
        <v>23</v>
      </c>
      <c r="DZ149" s="90">
        <f>_xlfn.IFNA(INDEX(武器升级消耗!$H:$H,MATCH(玩家节奏1!DV149/玩家节奏1!DV$5,武器升级消耗!P:P,1)),0)</f>
        <v>12</v>
      </c>
      <c r="EA149" s="90">
        <f ca="1">_xlfn.IFNA(INDEX(武器升级消耗!$Q:$Q,MATCH(玩家节奏1!DW149,武器升级消耗!$H:$H,0))*2*EA$4,0)</f>
        <v>4.919999999999999</v>
      </c>
      <c r="EB149" s="90">
        <f ca="1">_xlfn.IFNA(INDEX(武器升级消耗!$Q:$Q,MATCH(玩家节奏1!DX149,武器升级消耗!$H:$H,0))*2*EB$4,0)</f>
        <v>5.6999999999999993</v>
      </c>
      <c r="EC149" s="90">
        <f ca="1">_xlfn.IFNA(INDEX(武器升级消耗!$Q:$Q,MATCH(玩家节奏1!DY149,武器升级消耗!$H:$H,0))*2*EC$4,1)</f>
        <v>5.9400000000000013</v>
      </c>
      <c r="ED149" s="90">
        <f>_xlfn.IFNA(INDEX(武器升级消耗!$Q:$Q,MATCH(玩家节奏1!DZ149,武器升级消耗!$H:$H,0))*2*ED$4,0)</f>
        <v>4.8000000000000007</v>
      </c>
    </row>
    <row r="150" spans="1:134" x14ac:dyDescent="0.25">
      <c r="A150" s="123">
        <v>144</v>
      </c>
      <c r="B150" s="123">
        <f>INDEX(关卡对比!$Y:$Y,MATCH(关卡对比!Z150,关卡对比!$AA:$AA,1))</f>
        <v>85</v>
      </c>
      <c r="C150" s="124">
        <f>INDEX(关卡对比!$Y:$Y,MATCH(关卡对比!Z150,关卡对比!$AB:$AB,1))</f>
        <v>66</v>
      </c>
      <c r="D150" s="125">
        <f t="shared" si="157"/>
        <v>854.5</v>
      </c>
      <c r="E150" s="125">
        <v>3</v>
      </c>
      <c r="F150" s="128">
        <v>5</v>
      </c>
      <c r="G150" s="90">
        <v>1</v>
      </c>
      <c r="H150" s="90">
        <v>1</v>
      </c>
      <c r="J150" s="128">
        <v>144</v>
      </c>
      <c r="K150" s="90">
        <f t="shared" si="164"/>
        <v>5</v>
      </c>
      <c r="L150" s="90">
        <f t="shared" si="165"/>
        <v>1</v>
      </c>
      <c r="M150" s="90">
        <f t="shared" si="166"/>
        <v>1</v>
      </c>
      <c r="N150" s="140">
        <f>INDEX($A:$A,MATCH(SUM($K$7:K150),$D:$D,1))</f>
        <v>124</v>
      </c>
      <c r="O150" s="140">
        <v>0</v>
      </c>
      <c r="P150" s="141">
        <v>0</v>
      </c>
      <c r="Q150" s="126">
        <f>_xlfn.MAXIFS(关卡产出!X:X,关卡产出!$A:$A,玩家节奏1!$N$6,关卡产出!$B:$B,玩家节奏1!$N150)+_xlfn.MAXIFS(关卡产出!X:X,关卡产出!$A:$A,玩家节奏1!$O$6,关卡产出!$B:$B,玩家节奏1!$O150)+_xlfn.MAXIFS(关卡产出!X:X,关卡产出!$A:$A,玩家节奏1!$P$6,关卡产出!$B:$B,玩家节奏1!$P150)</f>
        <v>23300</v>
      </c>
      <c r="R150" s="90">
        <f>_xlfn.MAXIFS(关卡产出!Y:Y,关卡产出!$A:$A,玩家节奏1!$N$6,关卡产出!$B:$B,玩家节奏1!$N150)+_xlfn.MAXIFS(关卡产出!Y:Y,关卡产出!$A:$A,玩家节奏1!$O$6,关卡产出!$B:$B,玩家节奏1!$O150)+_xlfn.MAXIFS(关卡产出!Y:Y,关卡产出!$A:$A,玩家节奏1!$P$6,关卡产出!$B:$B,玩家节奏1!$P150)</f>
        <v>4374800</v>
      </c>
      <c r="S150" s="90">
        <f>_xlfn.MAXIFS(关卡产出!Z:Z,关卡产出!$A:$A,玩家节奏1!$N$6,关卡产出!$B:$B,玩家节奏1!$N150)+_xlfn.MAXIFS(关卡产出!Z:Z,关卡产出!$A:$A,玩家节奏1!$O$6,关卡产出!$B:$B,玩家节奏1!$O150)+_xlfn.MAXIFS(关卡产出!Z:Z,关卡产出!$A:$A,玩家节奏1!$P$6,关卡产出!$B:$B,玩家节奏1!$P150)</f>
        <v>30074</v>
      </c>
      <c r="T150" s="90">
        <f>_xlfn.MAXIFS(关卡产出!AA:AA,关卡产出!$A:$A,玩家节奏1!$N$6,关卡产出!$B:$B,玩家节奏1!$N150)+_xlfn.MAXIFS(关卡产出!AA:AA,关卡产出!$A:$A,玩家节奏1!$O$6,关卡产出!$B:$B,玩家节奏1!$O150)+_xlfn.MAXIFS(关卡产出!AA:AA,关卡产出!$A:$A,玩家节奏1!$P$6,关卡产出!$B:$B,玩家节奏1!$P150)</f>
        <v>15038</v>
      </c>
      <c r="U150" s="90">
        <f>_xlfn.MAXIFS(关卡产出!AB:AB,关卡产出!$A:$A,玩家节奏1!$N$6,关卡产出!$B:$B,玩家节奏1!$N150)+_xlfn.MAXIFS(关卡产出!AB:AB,关卡产出!$A:$A,玩家节奏1!$O$6,关卡产出!$B:$B,玩家节奏1!$O150)+_xlfn.MAXIFS(关卡产出!AB:AB,关卡产出!$A:$A,玩家节奏1!$P$6,关卡产出!$B:$B,玩家节奏1!$P150)</f>
        <v>7143</v>
      </c>
      <c r="V150" s="130">
        <f>_xlfn.MAXIFS(关卡产出!AC:AC,关卡产出!$A:$A,玩家节奏1!$N$6,关卡产出!$B:$B,玩家节奏1!$N150)+_xlfn.MAXIFS(关卡产出!AC:AC,关卡产出!$A:$A,玩家节奏1!$O$6,关卡产出!$B:$B,玩家节奏1!$O150)+_xlfn.MAXIFS(关卡产出!AC:AC,关卡产出!$A:$A,玩家节奏1!$P$6,关卡产出!$B:$B,玩家节奏1!$P150)</f>
        <v>744</v>
      </c>
      <c r="W150" s="126">
        <f>INDEX(关卡产出!C$8:C$207,MATCH(玩家节奏1!$N150,关卡产出!$B$8:$B$207,0))*$K150</f>
        <v>490</v>
      </c>
      <c r="X150" s="126">
        <f>INDEX(关卡产出!D$8:D$207,MATCH(玩家节奏1!$N150,关卡产出!$B$8:$B$207,0))*$K150</f>
        <v>245</v>
      </c>
      <c r="Y150" s="126">
        <f>INDEX(关卡产出!E$8:E$207,MATCH(玩家节奏1!$N150,关卡产出!$B$8:$B$207,0))*$K150</f>
        <v>120</v>
      </c>
      <c r="Z150" s="144">
        <f>INDEX(关卡产出!F$8:F$207,MATCH(玩家节奏1!$N150,关卡产出!$B$8:$B$207,0))*$K150</f>
        <v>6450</v>
      </c>
      <c r="AA150" s="126">
        <f>SUM(W$7:W150)</f>
        <v>35311</v>
      </c>
      <c r="AB150" s="126">
        <f>SUM(X$7:X150)</f>
        <v>17501</v>
      </c>
      <c r="AC150" s="126">
        <f>SUM(Y$7:Y150)</f>
        <v>8337</v>
      </c>
      <c r="AD150" s="126">
        <f>SUM(Z$7:Z150)</f>
        <v>495860</v>
      </c>
      <c r="AE150" s="126">
        <f>INDEX(图鉴!AQ:AQ,MATCH($N150,图鉴!$S:$S,0))*8</f>
        <v>168</v>
      </c>
      <c r="AF150" s="90">
        <f>INDEX(图鉴!AR:AR,MATCH($N150,图鉴!$S:$S,0))*8</f>
        <v>120</v>
      </c>
      <c r="AG150" s="90">
        <f>INDEX(图鉴!AS:AS,MATCH($N150,图鉴!$S:$S,0))*8</f>
        <v>48</v>
      </c>
      <c r="AH150" s="129">
        <f ca="1">INDEX(图鉴!AT:AT,MATCH($N150,图鉴!$S:$S,0))*8</f>
        <v>10880</v>
      </c>
      <c r="AI150" s="128">
        <f>SUM($AE$7:AE150)</f>
        <v>21768</v>
      </c>
      <c r="AJ150" s="90">
        <f>SUM(AF$7:AF150)</f>
        <v>13000</v>
      </c>
      <c r="AK150" s="90">
        <f>SUM(AG$7:AG150)</f>
        <v>4520</v>
      </c>
      <c r="AL150" s="130">
        <f ca="1">SUM(AH$7:AH150)</f>
        <v>1011320</v>
      </c>
      <c r="AM150" s="133">
        <f>IF(M150=0,0,INDEX(关卡产出!$AU$11:$AU$15,MATCH(玩家节奏1!N150,关卡产出!$AW$11:$AW$15,1))*M150)</f>
        <v>12200</v>
      </c>
      <c r="AN150" s="126">
        <f>IF(L150=0,0,$L150*关卡产出!AU$21)</f>
        <v>1000</v>
      </c>
      <c r="AO150" s="90">
        <f>IF(M150=0,0,$L150*关卡产出!AV$21)</f>
        <v>50</v>
      </c>
      <c r="AP150" s="129">
        <f>IF(N150=0,0,$L150*关卡产出!AW$21)</f>
        <v>1</v>
      </c>
      <c r="AQ150" s="138">
        <f>SUM(AN$7:AN150)</f>
        <v>127000</v>
      </c>
      <c r="AR150" s="126">
        <f>SUM(AO$7:AO150)</f>
        <v>6350</v>
      </c>
      <c r="AS150" s="129">
        <f>SUM(AP$7:AP150)</f>
        <v>127</v>
      </c>
      <c r="AT150" s="128">
        <v>500</v>
      </c>
      <c r="AU150" s="129">
        <v>100</v>
      </c>
      <c r="AV150" s="128">
        <f>SUM(AT$7:AT150)</f>
        <v>72000</v>
      </c>
      <c r="AW150" s="90">
        <f>SUM(AU$7:AU150)</f>
        <v>14400</v>
      </c>
      <c r="AY150" s="128">
        <f t="shared" si="167"/>
        <v>23300</v>
      </c>
      <c r="AZ150" s="90">
        <f t="shared" si="168"/>
        <v>6350</v>
      </c>
      <c r="BA150" s="90">
        <f t="shared" si="169"/>
        <v>14400</v>
      </c>
      <c r="BB150" s="90">
        <f t="shared" ca="1" si="217"/>
        <v>9200</v>
      </c>
      <c r="BC150" s="90">
        <f t="shared" ca="1" si="218"/>
        <v>53250</v>
      </c>
      <c r="BD150" s="90"/>
      <c r="BE150" s="90">
        <f t="shared" ca="1" si="170"/>
        <v>53250</v>
      </c>
      <c r="BF150" s="142">
        <f t="shared" ca="1" si="171"/>
        <v>0.4375586854460094</v>
      </c>
      <c r="BG150" s="142">
        <f t="shared" ca="1" si="172"/>
        <v>0.11924882629107982</v>
      </c>
      <c r="BH150" s="142">
        <f t="shared" ca="1" si="173"/>
        <v>0.27042253521126758</v>
      </c>
      <c r="BI150" s="142">
        <f t="shared" ca="1" si="174"/>
        <v>0.17276995305164319</v>
      </c>
      <c r="BJ150" s="143"/>
      <c r="BK150" s="128">
        <f ca="1">INDEX(商城宝箱!$L:$L,MATCH(BC150,商城宝箱!$N:$N,1))</f>
        <v>9</v>
      </c>
      <c r="BL150" s="90">
        <f ca="1">_xlfn.IFNA(INDEX(商城宝箱!T:T,MATCH(玩家节奏1!$BK150,商城宝箱!$L:$L,0)),0)+($BC150-INDEX(商城宝箱!$N:$N,MATCH(玩家节奏1!$BK150,商城宝箱!$L:$L,0)))/$BK$5*INDEX(商城宝箱!E$23:E$42,MATCH(玩家节奏1!$BK150+1,商城宝箱!$C$23:$C$42,0))</f>
        <v>133125</v>
      </c>
      <c r="BM150" s="90">
        <f ca="1">_xlfn.IFNA(INDEX(商城宝箱!U:U,MATCH(玩家节奏1!$BK150,商城宝箱!$L:$L,0)),0)+($BC150-INDEX(商城宝箱!$N:$N,MATCH(玩家节奏1!$BK150,商城宝箱!$L:$L,0)))/$BK$5*INDEX(商城宝箱!F$23:F$42,MATCH(玩家节奏1!$BK150+1,商城宝箱!$C$23:$C$42,0))</f>
        <v>87267.5</v>
      </c>
      <c r="BN150" s="90">
        <f ca="1">_xlfn.IFNA(INDEX(商城宝箱!V:V,MATCH(玩家节奏1!$BK150,商城宝箱!$L:$L,0)),0)+($BC150-INDEX(商城宝箱!$N:$N,MATCH(玩家节奏1!$BK150,商城宝箱!$L:$L,0)))/$BK$5*INDEX(商城宝箱!G$23:G$42,MATCH(玩家节奏1!$BK150+1,商城宝箱!$C$23:$C$42,0))</f>
        <v>53324.5</v>
      </c>
      <c r="BO150" s="90">
        <f ca="1">_xlfn.IFNA(INDEX(商城宝箱!W:W,MATCH(玩家节奏1!$BK150,商城宝箱!$L:$L,0)),0)+($BC150-INDEX(商城宝箱!$N:$N,MATCH(玩家节奏1!$BK150,商城宝箱!$L:$L,0)))/$BK$5*INDEX(商城宝箱!H$23:H$42,MATCH(玩家节奏1!$BK150+1,商城宝箱!$C$23:$C$42,0))</f>
        <v>7061.5</v>
      </c>
      <c r="BQ150" s="128">
        <f t="shared" si="158"/>
        <v>4374800</v>
      </c>
      <c r="BR150" s="90">
        <f t="shared" si="159"/>
        <v>495860</v>
      </c>
      <c r="BS150" s="90">
        <f t="shared" ca="1" si="160"/>
        <v>1011320</v>
      </c>
      <c r="BT150" s="90">
        <f t="shared" si="161"/>
        <v>12200</v>
      </c>
      <c r="BU150" s="90">
        <f t="shared" si="162"/>
        <v>127000</v>
      </c>
      <c r="BV150" s="90">
        <f t="shared" si="163"/>
        <v>72000</v>
      </c>
      <c r="BW150" s="90">
        <f t="shared" ca="1" si="175"/>
        <v>133125</v>
      </c>
      <c r="BX150" s="90">
        <f t="shared" ca="1" si="176"/>
        <v>6226305</v>
      </c>
      <c r="BY150" s="142">
        <f t="shared" ca="1" si="177"/>
        <v>0.7026318177474441</v>
      </c>
      <c r="BZ150" s="142">
        <f t="shared" ca="1" si="178"/>
        <v>7.9639529383799867E-2</v>
      </c>
      <c r="CA150" s="142">
        <f t="shared" ca="1" si="179"/>
        <v>0.16242699321668308</v>
      </c>
      <c r="CB150" s="142">
        <f t="shared" ca="1" si="180"/>
        <v>1.9594285856539312E-3</v>
      </c>
      <c r="CC150" s="142">
        <f t="shared" ca="1" si="181"/>
        <v>2.0397330358856498E-2</v>
      </c>
      <c r="CD150" s="142">
        <f t="shared" ca="1" si="182"/>
        <v>1.1563840833367462E-2</v>
      </c>
      <c r="CE150" s="142">
        <f t="shared" ca="1" si="183"/>
        <v>2.1381059874195047E-2</v>
      </c>
      <c r="CG150" s="128">
        <f t="shared" si="184"/>
        <v>124</v>
      </c>
      <c r="CH150" s="90">
        <f ca="1">INDEX(角色升级!$A:$A,MATCH(玩家节奏1!$BX150,角色升级!$J:$J,1))</f>
        <v>613</v>
      </c>
      <c r="CI150" s="90">
        <f ca="1">INDEX(角色升级!$O:$O,MATCH(玩家节奏1!$BX150,角色升级!$J:$J,1))</f>
        <v>30383.561009999998</v>
      </c>
      <c r="CJ150" s="90">
        <f>INDEX(关卡对比!$J:$J,MATCH(玩家节奏1!N150,关卡对比!$A:$A,0))</f>
        <v>48200</v>
      </c>
      <c r="CK150" s="147">
        <f t="shared" ca="1" si="185"/>
        <v>1.5863841629404849</v>
      </c>
      <c r="CL150" s="128">
        <f ca="1">INDEX(角色升级!$P:$P,MATCH(玩家节奏1!$CH150,角色升级!$A:$A,0))</f>
        <v>10800</v>
      </c>
      <c r="CM150" s="90">
        <f ca="1">INDEX(角色升级!Q:Q,MATCH(玩家节奏1!$CH150,角色升级!$A:$A,0))</f>
        <v>0.9</v>
      </c>
      <c r="CO150" s="128">
        <f t="shared" si="186"/>
        <v>30074</v>
      </c>
      <c r="CP150" s="90">
        <f t="shared" si="187"/>
        <v>35311</v>
      </c>
      <c r="CQ150" s="90">
        <f t="shared" si="188"/>
        <v>21768</v>
      </c>
      <c r="CR150" s="90">
        <f t="shared" ca="1" si="189"/>
        <v>87267.5</v>
      </c>
      <c r="CS150" s="90">
        <f t="shared" ca="1" si="190"/>
        <v>174420.5</v>
      </c>
      <c r="CT150" s="142">
        <f t="shared" ca="1" si="191"/>
        <v>0.17242239300999596</v>
      </c>
      <c r="CU150" s="142">
        <f t="shared" ca="1" si="192"/>
        <v>0.20244753340347035</v>
      </c>
      <c r="CV150" s="142">
        <f t="shared" ca="1" si="193"/>
        <v>0.12480184381996383</v>
      </c>
      <c r="CW150" s="142">
        <f t="shared" ca="1" si="194"/>
        <v>0.50032822976656988</v>
      </c>
      <c r="CY150" s="128">
        <f t="shared" si="195"/>
        <v>15038</v>
      </c>
      <c r="CZ150" s="90">
        <f t="shared" si="196"/>
        <v>17501</v>
      </c>
      <c r="DA150" s="90">
        <f t="shared" si="197"/>
        <v>13000</v>
      </c>
      <c r="DB150" s="90">
        <f t="shared" ca="1" si="198"/>
        <v>53324.5</v>
      </c>
      <c r="DC150" s="90">
        <f t="shared" ca="1" si="199"/>
        <v>98863.5</v>
      </c>
      <c r="DD150" s="142">
        <f t="shared" ca="1" si="200"/>
        <v>0.15210871555225133</v>
      </c>
      <c r="DE150" s="142">
        <f t="shared" ca="1" si="201"/>
        <v>0.1770218533634759</v>
      </c>
      <c r="DF150" s="142">
        <f t="shared" ca="1" si="202"/>
        <v>0.13149443424519666</v>
      </c>
      <c r="DG150" s="142">
        <f t="shared" ca="1" si="203"/>
        <v>0.53937499683907608</v>
      </c>
      <c r="DI150" s="128">
        <f t="shared" si="204"/>
        <v>7143</v>
      </c>
      <c r="DJ150" s="90">
        <f t="shared" si="205"/>
        <v>8337</v>
      </c>
      <c r="DK150" s="90">
        <f t="shared" si="206"/>
        <v>4520</v>
      </c>
      <c r="DL150" s="90">
        <f t="shared" ca="1" si="207"/>
        <v>7061.5</v>
      </c>
      <c r="DM150" s="90">
        <f t="shared" ca="1" si="208"/>
        <v>27061.5</v>
      </c>
      <c r="DN150" s="142">
        <f t="shared" ca="1" si="209"/>
        <v>0.26395432625685938</v>
      </c>
      <c r="DO150" s="142">
        <f t="shared" ca="1" si="210"/>
        <v>0.30807604899950114</v>
      </c>
      <c r="DP150" s="142">
        <f t="shared" ca="1" si="211"/>
        <v>0.16702695711619828</v>
      </c>
      <c r="DQ150" s="142">
        <f t="shared" ca="1" si="212"/>
        <v>0.26094266762744117</v>
      </c>
      <c r="DS150" s="128">
        <f t="shared" ca="1" si="213"/>
        <v>174420.5</v>
      </c>
      <c r="DT150" s="90">
        <f t="shared" ca="1" si="214"/>
        <v>98863.5</v>
      </c>
      <c r="DU150" s="90">
        <f t="shared" ca="1" si="215"/>
        <v>27061.5</v>
      </c>
      <c r="DV150" s="90">
        <f t="shared" si="216"/>
        <v>127</v>
      </c>
      <c r="DW150" s="90">
        <f ca="1">_xlfn.IFNA(INDEX(武器升级消耗!$H:$H,MATCH(玩家节奏1!DS150/玩家节奏1!DS$5,武器升级消耗!M:M,1)),0)</f>
        <v>38</v>
      </c>
      <c r="DX150" s="90">
        <f ca="1">_xlfn.IFNA(INDEX(武器升级消耗!$H:$H,MATCH(玩家节奏1!DT150/玩家节奏1!DT$5,武器升级消耗!N:N,1)),0)</f>
        <v>34</v>
      </c>
      <c r="DY150" s="90">
        <f ca="1">_xlfn.IFNA(INDEX(武器升级消耗!$H:$H,MATCH(玩家节奏1!DU150/玩家节奏1!DU$5,武器升级消耗!O:O,1)),0)</f>
        <v>23</v>
      </c>
      <c r="DZ150" s="90">
        <f>_xlfn.IFNA(INDEX(武器升级消耗!$H:$H,MATCH(玩家节奏1!DV150/玩家节奏1!DV$5,武器升级消耗!P:P,1)),0)</f>
        <v>12</v>
      </c>
      <c r="EA150" s="90">
        <f ca="1">_xlfn.IFNA(INDEX(武器升级消耗!$Q:$Q,MATCH(玩家节奏1!DW150,武器升级消耗!$H:$H,0))*2*EA$4,0)</f>
        <v>5.04</v>
      </c>
      <c r="EB150" s="90">
        <f ca="1">_xlfn.IFNA(INDEX(武器升级消耗!$Q:$Q,MATCH(玩家节奏1!DX150,武器升级消耗!$H:$H,0))*2*EB$4,0)</f>
        <v>5.6999999999999993</v>
      </c>
      <c r="EC150" s="90">
        <f ca="1">_xlfn.IFNA(INDEX(武器升级消耗!$Q:$Q,MATCH(玩家节奏1!DY150,武器升级消耗!$H:$H,0))*2*EC$4,1)</f>
        <v>5.9400000000000013</v>
      </c>
      <c r="ED150" s="90">
        <f>_xlfn.IFNA(INDEX(武器升级消耗!$Q:$Q,MATCH(玩家节奏1!DZ150,武器升级消耗!$H:$H,0))*2*ED$4,0)</f>
        <v>4.8000000000000007</v>
      </c>
    </row>
    <row r="151" spans="1:134" x14ac:dyDescent="0.25">
      <c r="A151" s="123">
        <v>145</v>
      </c>
      <c r="B151" s="123">
        <f>INDEX(关卡对比!$Y:$Y,MATCH(关卡对比!Z151,关卡对比!$AA:$AA,1))</f>
        <v>86</v>
      </c>
      <c r="C151" s="124">
        <f>INDEX(关卡对比!$Y:$Y,MATCH(关卡对比!Z151,关卡对比!$AB:$AB,1))</f>
        <v>66</v>
      </c>
      <c r="D151" s="125">
        <f t="shared" si="157"/>
        <v>860.5</v>
      </c>
      <c r="E151" s="125">
        <v>3</v>
      </c>
      <c r="F151" s="128">
        <v>5</v>
      </c>
      <c r="G151" s="90">
        <v>1</v>
      </c>
      <c r="H151" s="90">
        <v>1</v>
      </c>
      <c r="J151" s="128">
        <v>145</v>
      </c>
      <c r="K151" s="90">
        <f t="shared" si="164"/>
        <v>5</v>
      </c>
      <c r="L151" s="90">
        <f t="shared" si="165"/>
        <v>1</v>
      </c>
      <c r="M151" s="90">
        <f t="shared" si="166"/>
        <v>1</v>
      </c>
      <c r="N151" s="140">
        <f>INDEX($A:$A,MATCH(SUM($K$7:K151),$D:$D,1))</f>
        <v>124</v>
      </c>
      <c r="O151" s="140">
        <v>0</v>
      </c>
      <c r="P151" s="141">
        <v>0</v>
      </c>
      <c r="Q151" s="126">
        <f>_xlfn.MAXIFS(关卡产出!X:X,关卡产出!$A:$A,玩家节奏1!$N$6,关卡产出!$B:$B,玩家节奏1!$N151)+_xlfn.MAXIFS(关卡产出!X:X,关卡产出!$A:$A,玩家节奏1!$O$6,关卡产出!$B:$B,玩家节奏1!$O151)+_xlfn.MAXIFS(关卡产出!X:X,关卡产出!$A:$A,玩家节奏1!$P$6,关卡产出!$B:$B,玩家节奏1!$P151)</f>
        <v>23300</v>
      </c>
      <c r="R151" s="90">
        <f>_xlfn.MAXIFS(关卡产出!Y:Y,关卡产出!$A:$A,玩家节奏1!$N$6,关卡产出!$B:$B,玩家节奏1!$N151)+_xlfn.MAXIFS(关卡产出!Y:Y,关卡产出!$A:$A,玩家节奏1!$O$6,关卡产出!$B:$B,玩家节奏1!$O151)+_xlfn.MAXIFS(关卡产出!Y:Y,关卡产出!$A:$A,玩家节奏1!$P$6,关卡产出!$B:$B,玩家节奏1!$P151)</f>
        <v>4374800</v>
      </c>
      <c r="S151" s="90">
        <f>_xlfn.MAXIFS(关卡产出!Z:Z,关卡产出!$A:$A,玩家节奏1!$N$6,关卡产出!$B:$B,玩家节奏1!$N151)+_xlfn.MAXIFS(关卡产出!Z:Z,关卡产出!$A:$A,玩家节奏1!$O$6,关卡产出!$B:$B,玩家节奏1!$O151)+_xlfn.MAXIFS(关卡产出!Z:Z,关卡产出!$A:$A,玩家节奏1!$P$6,关卡产出!$B:$B,玩家节奏1!$P151)</f>
        <v>30074</v>
      </c>
      <c r="T151" s="90">
        <f>_xlfn.MAXIFS(关卡产出!AA:AA,关卡产出!$A:$A,玩家节奏1!$N$6,关卡产出!$B:$B,玩家节奏1!$N151)+_xlfn.MAXIFS(关卡产出!AA:AA,关卡产出!$A:$A,玩家节奏1!$O$6,关卡产出!$B:$B,玩家节奏1!$O151)+_xlfn.MAXIFS(关卡产出!AA:AA,关卡产出!$A:$A,玩家节奏1!$P$6,关卡产出!$B:$B,玩家节奏1!$P151)</f>
        <v>15038</v>
      </c>
      <c r="U151" s="90">
        <f>_xlfn.MAXIFS(关卡产出!AB:AB,关卡产出!$A:$A,玩家节奏1!$N$6,关卡产出!$B:$B,玩家节奏1!$N151)+_xlfn.MAXIFS(关卡产出!AB:AB,关卡产出!$A:$A,玩家节奏1!$O$6,关卡产出!$B:$B,玩家节奏1!$O151)+_xlfn.MAXIFS(关卡产出!AB:AB,关卡产出!$A:$A,玩家节奏1!$P$6,关卡产出!$B:$B,玩家节奏1!$P151)</f>
        <v>7143</v>
      </c>
      <c r="V151" s="130">
        <f>_xlfn.MAXIFS(关卡产出!AC:AC,关卡产出!$A:$A,玩家节奏1!$N$6,关卡产出!$B:$B,玩家节奏1!$N151)+_xlfn.MAXIFS(关卡产出!AC:AC,关卡产出!$A:$A,玩家节奏1!$O$6,关卡产出!$B:$B,玩家节奏1!$O151)+_xlfn.MAXIFS(关卡产出!AC:AC,关卡产出!$A:$A,玩家节奏1!$P$6,关卡产出!$B:$B,玩家节奏1!$P151)</f>
        <v>744</v>
      </c>
      <c r="W151" s="126">
        <f>INDEX(关卡产出!C$8:C$207,MATCH(玩家节奏1!$N151,关卡产出!$B$8:$B$207,0))*$K151</f>
        <v>490</v>
      </c>
      <c r="X151" s="126">
        <f>INDEX(关卡产出!D$8:D$207,MATCH(玩家节奏1!$N151,关卡产出!$B$8:$B$207,0))*$K151</f>
        <v>245</v>
      </c>
      <c r="Y151" s="126">
        <f>INDEX(关卡产出!E$8:E$207,MATCH(玩家节奏1!$N151,关卡产出!$B$8:$B$207,0))*$K151</f>
        <v>120</v>
      </c>
      <c r="Z151" s="144">
        <f>INDEX(关卡产出!F$8:F$207,MATCH(玩家节奏1!$N151,关卡产出!$B$8:$B$207,0))*$K151</f>
        <v>6450</v>
      </c>
      <c r="AA151" s="126">
        <f>SUM(W$7:W151)</f>
        <v>35801</v>
      </c>
      <c r="AB151" s="126">
        <f>SUM(X$7:X151)</f>
        <v>17746</v>
      </c>
      <c r="AC151" s="126">
        <f>SUM(Y$7:Y151)</f>
        <v>8457</v>
      </c>
      <c r="AD151" s="126">
        <f>SUM(Z$7:Z151)</f>
        <v>502310</v>
      </c>
      <c r="AE151" s="126">
        <f>INDEX(图鉴!AQ:AQ,MATCH($N151,图鉴!$S:$S,0))*8</f>
        <v>168</v>
      </c>
      <c r="AF151" s="90">
        <f>INDEX(图鉴!AR:AR,MATCH($N151,图鉴!$S:$S,0))*8</f>
        <v>120</v>
      </c>
      <c r="AG151" s="90">
        <f>INDEX(图鉴!AS:AS,MATCH($N151,图鉴!$S:$S,0))*8</f>
        <v>48</v>
      </c>
      <c r="AH151" s="129">
        <f ca="1">INDEX(图鉴!AT:AT,MATCH($N151,图鉴!$S:$S,0))*8</f>
        <v>10880</v>
      </c>
      <c r="AI151" s="128">
        <f>SUM($AE$7:AE151)</f>
        <v>21936</v>
      </c>
      <c r="AJ151" s="90">
        <f>SUM(AF$7:AF151)</f>
        <v>13120</v>
      </c>
      <c r="AK151" s="90">
        <f>SUM(AG$7:AG151)</f>
        <v>4568</v>
      </c>
      <c r="AL151" s="130">
        <f ca="1">SUM(AH$7:AH151)</f>
        <v>1022200</v>
      </c>
      <c r="AM151" s="133">
        <f>IF(M151=0,0,INDEX(关卡产出!$AU$11:$AU$15,MATCH(玩家节奏1!N151,关卡产出!$AW$11:$AW$15,1))*M151)</f>
        <v>12200</v>
      </c>
      <c r="AN151" s="126">
        <f>IF(L151=0,0,$L151*关卡产出!AU$21)</f>
        <v>1000</v>
      </c>
      <c r="AO151" s="90">
        <f>IF(M151=0,0,$L151*关卡产出!AV$21)</f>
        <v>50</v>
      </c>
      <c r="AP151" s="129">
        <f>IF(N151=0,0,$L151*关卡产出!AW$21)</f>
        <v>1</v>
      </c>
      <c r="AQ151" s="138">
        <f>SUM(AN$7:AN151)</f>
        <v>128000</v>
      </c>
      <c r="AR151" s="126">
        <f>SUM(AO$7:AO151)</f>
        <v>6400</v>
      </c>
      <c r="AS151" s="129">
        <f>SUM(AP$7:AP151)</f>
        <v>128</v>
      </c>
      <c r="AT151" s="128">
        <v>500</v>
      </c>
      <c r="AU151" s="129">
        <v>100</v>
      </c>
      <c r="AV151" s="128">
        <f>SUM(AT$7:AT151)</f>
        <v>72500</v>
      </c>
      <c r="AW151" s="90">
        <f>SUM(AU$7:AU151)</f>
        <v>14500</v>
      </c>
      <c r="AY151" s="128">
        <f t="shared" si="167"/>
        <v>23300</v>
      </c>
      <c r="AZ151" s="90">
        <f t="shared" si="168"/>
        <v>6400</v>
      </c>
      <c r="BA151" s="90">
        <f t="shared" si="169"/>
        <v>14500</v>
      </c>
      <c r="BB151" s="90">
        <f t="shared" ca="1" si="217"/>
        <v>10800</v>
      </c>
      <c r="BC151" s="90">
        <f t="shared" ca="1" si="218"/>
        <v>55000</v>
      </c>
      <c r="BD151" s="90"/>
      <c r="BE151" s="90">
        <f t="shared" ca="1" si="170"/>
        <v>55000</v>
      </c>
      <c r="BF151" s="142">
        <f t="shared" ca="1" si="171"/>
        <v>0.42363636363636364</v>
      </c>
      <c r="BG151" s="142">
        <f t="shared" ca="1" si="172"/>
        <v>0.11636363636363636</v>
      </c>
      <c r="BH151" s="142">
        <f t="shared" ca="1" si="173"/>
        <v>0.26363636363636361</v>
      </c>
      <c r="BI151" s="142">
        <f t="shared" ca="1" si="174"/>
        <v>0.19636363636363635</v>
      </c>
      <c r="BJ151" s="143"/>
      <c r="BK151" s="128">
        <f ca="1">INDEX(商城宝箱!$L:$L,MATCH(BC151,商城宝箱!$N:$N,1))</f>
        <v>9</v>
      </c>
      <c r="BL151" s="90">
        <f ca="1">_xlfn.IFNA(INDEX(商城宝箱!T:T,MATCH(玩家节奏1!$BK151,商城宝箱!$L:$L,0)),0)+($BC151-INDEX(商城宝箱!$N:$N,MATCH(玩家节奏1!$BK151,商城宝箱!$L:$L,0)))/$BK$5*INDEX(商城宝箱!E$23:E$42,MATCH(玩家节奏1!$BK151+1,商城宝箱!$C$23:$C$42,0))</f>
        <v>137500</v>
      </c>
      <c r="BM151" s="90">
        <f ca="1">_xlfn.IFNA(INDEX(商城宝箱!U:U,MATCH(玩家节奏1!$BK151,商城宝箱!$L:$L,0)),0)+($BC151-INDEX(商城宝箱!$N:$N,MATCH(玩家节奏1!$BK151,商城宝箱!$L:$L,0)))/$BK$5*INDEX(商城宝箱!F$23:F$42,MATCH(玩家节奏1!$BK151+1,商城宝箱!$C$23:$C$42,0))</f>
        <v>91992.5</v>
      </c>
      <c r="BN151" s="90">
        <f ca="1">_xlfn.IFNA(INDEX(商城宝箱!V:V,MATCH(玩家节奏1!$BK151,商城宝箱!$L:$L,0)),0)+($BC151-INDEX(商城宝箱!$N:$N,MATCH(玩家节奏1!$BK151,商城宝箱!$L:$L,0)))/$BK$5*INDEX(商城宝箱!G$23:G$42,MATCH(玩家节奏1!$BK151+1,商城宝箱!$C$23:$C$42,0))</f>
        <v>55512</v>
      </c>
      <c r="BO151" s="90">
        <f ca="1">_xlfn.IFNA(INDEX(商城宝箱!W:W,MATCH(玩家节奏1!$BK151,商城宝箱!$L:$L,0)),0)+($BC151-INDEX(商城宝箱!$N:$N,MATCH(玩家节奏1!$BK151,商城宝箱!$L:$L,0)))/$BK$5*INDEX(商城宝箱!H$23:H$42,MATCH(玩家节奏1!$BK151+1,商城宝箱!$C$23:$C$42,0))</f>
        <v>7411.5</v>
      </c>
      <c r="BQ151" s="128">
        <f t="shared" si="158"/>
        <v>4374800</v>
      </c>
      <c r="BR151" s="90">
        <f t="shared" si="159"/>
        <v>502310</v>
      </c>
      <c r="BS151" s="90">
        <f t="shared" ca="1" si="160"/>
        <v>1022200</v>
      </c>
      <c r="BT151" s="90">
        <f t="shared" si="161"/>
        <v>12200</v>
      </c>
      <c r="BU151" s="90">
        <f t="shared" si="162"/>
        <v>128000</v>
      </c>
      <c r="BV151" s="90">
        <f t="shared" si="163"/>
        <v>72500</v>
      </c>
      <c r="BW151" s="90">
        <f t="shared" ca="1" si="175"/>
        <v>137500</v>
      </c>
      <c r="BX151" s="90">
        <f t="shared" ca="1" si="176"/>
        <v>6249510</v>
      </c>
      <c r="BY151" s="142">
        <f t="shared" ca="1" si="177"/>
        <v>0.70002288179393268</v>
      </c>
      <c r="BZ151" s="142">
        <f t="shared" ca="1" si="178"/>
        <v>8.0375901470675304E-2</v>
      </c>
      <c r="CA151" s="142">
        <f t="shared" ca="1" si="179"/>
        <v>0.163564823482161</v>
      </c>
      <c r="CB151" s="142">
        <f t="shared" ca="1" si="180"/>
        <v>1.9521530487990259E-3</v>
      </c>
      <c r="CC151" s="142">
        <f t="shared" ca="1" si="181"/>
        <v>2.048160575789142E-2</v>
      </c>
      <c r="CD151" s="142">
        <f t="shared" ca="1" si="182"/>
        <v>1.1600909511305687E-2</v>
      </c>
      <c r="CE151" s="142">
        <f t="shared" ca="1" si="183"/>
        <v>2.2001724935234921E-2</v>
      </c>
      <c r="CG151" s="128">
        <f t="shared" si="184"/>
        <v>124</v>
      </c>
      <c r="CH151" s="90">
        <f ca="1">INDEX(角色升级!$A:$A,MATCH(玩家节奏1!$BX151,角色升级!$J:$J,1))</f>
        <v>614</v>
      </c>
      <c r="CI151" s="90">
        <f ca="1">INDEX(角色升级!$O:$O,MATCH(玩家节奏1!$BX151,角色升级!$J:$J,1))</f>
        <v>30408.838514999999</v>
      </c>
      <c r="CJ151" s="90">
        <f>INDEX(关卡对比!$J:$J,MATCH(玩家节奏1!N151,关卡对比!$A:$A,0))</f>
        <v>48200</v>
      </c>
      <c r="CK151" s="147">
        <f t="shared" ca="1" si="185"/>
        <v>1.5850654728632276</v>
      </c>
      <c r="CL151" s="128">
        <f ca="1">INDEX(角色升级!$P:$P,MATCH(玩家节奏1!$CH151,角色升级!$A:$A,0))</f>
        <v>10800</v>
      </c>
      <c r="CM151" s="90">
        <f ca="1">INDEX(角色升级!Q:Q,MATCH(玩家节奏1!$CH151,角色升级!$A:$A,0))</f>
        <v>0.9</v>
      </c>
      <c r="CO151" s="128">
        <f t="shared" si="186"/>
        <v>30074</v>
      </c>
      <c r="CP151" s="90">
        <f t="shared" si="187"/>
        <v>35801</v>
      </c>
      <c r="CQ151" s="90">
        <f t="shared" si="188"/>
        <v>21936</v>
      </c>
      <c r="CR151" s="90">
        <f t="shared" ca="1" si="189"/>
        <v>91992.5</v>
      </c>
      <c r="CS151" s="90">
        <f t="shared" ca="1" si="190"/>
        <v>179803.5</v>
      </c>
      <c r="CT151" s="142">
        <f t="shared" ca="1" si="191"/>
        <v>0.16726037034874183</v>
      </c>
      <c r="CU151" s="142">
        <f t="shared" ca="1" si="192"/>
        <v>0.19911180816836158</v>
      </c>
      <c r="CV151" s="142">
        <f t="shared" ca="1" si="193"/>
        <v>0.12199984983607104</v>
      </c>
      <c r="CW151" s="142">
        <f t="shared" ca="1" si="194"/>
        <v>0.51162797164682561</v>
      </c>
      <c r="CY151" s="128">
        <f t="shared" si="195"/>
        <v>15038</v>
      </c>
      <c r="CZ151" s="90">
        <f t="shared" si="196"/>
        <v>17746</v>
      </c>
      <c r="DA151" s="90">
        <f t="shared" si="197"/>
        <v>13120</v>
      </c>
      <c r="DB151" s="90">
        <f t="shared" ca="1" si="198"/>
        <v>55512</v>
      </c>
      <c r="DC151" s="90">
        <f t="shared" ca="1" si="199"/>
        <v>101416</v>
      </c>
      <c r="DD151" s="142">
        <f t="shared" ca="1" si="200"/>
        <v>0.14828035024059319</v>
      </c>
      <c r="DE151" s="142">
        <f t="shared" ca="1" si="201"/>
        <v>0.17498225132129053</v>
      </c>
      <c r="DF151" s="142">
        <f t="shared" ca="1" si="202"/>
        <v>0.12936814703794272</v>
      </c>
      <c r="DG151" s="142">
        <f t="shared" ca="1" si="203"/>
        <v>0.54736925140017356</v>
      </c>
      <c r="DI151" s="128">
        <f t="shared" si="204"/>
        <v>7143</v>
      </c>
      <c r="DJ151" s="90">
        <f t="shared" si="205"/>
        <v>8457</v>
      </c>
      <c r="DK151" s="90">
        <f t="shared" si="206"/>
        <v>4568</v>
      </c>
      <c r="DL151" s="90">
        <f t="shared" ca="1" si="207"/>
        <v>7411.5</v>
      </c>
      <c r="DM151" s="90">
        <f t="shared" ca="1" si="208"/>
        <v>27579.5</v>
      </c>
      <c r="DN151" s="142">
        <f t="shared" ca="1" si="209"/>
        <v>0.25899671857720408</v>
      </c>
      <c r="DO151" s="142">
        <f t="shared" ca="1" si="210"/>
        <v>0.30664080204499716</v>
      </c>
      <c r="DP151" s="142">
        <f t="shared" ca="1" si="211"/>
        <v>0.16563026885911639</v>
      </c>
      <c r="DQ151" s="142">
        <f t="shared" ca="1" si="212"/>
        <v>0.26873221051868235</v>
      </c>
      <c r="DS151" s="128">
        <f t="shared" ca="1" si="213"/>
        <v>179803.5</v>
      </c>
      <c r="DT151" s="90">
        <f t="shared" ca="1" si="214"/>
        <v>101416</v>
      </c>
      <c r="DU151" s="90">
        <f t="shared" ca="1" si="215"/>
        <v>27579.5</v>
      </c>
      <c r="DV151" s="90">
        <f t="shared" si="216"/>
        <v>128</v>
      </c>
      <c r="DW151" s="90">
        <f ca="1">_xlfn.IFNA(INDEX(武器升级消耗!$H:$H,MATCH(玩家节奏1!DS151/玩家节奏1!DS$5,武器升级消耗!M:M,1)),0)</f>
        <v>38</v>
      </c>
      <c r="DX151" s="90">
        <f ca="1">_xlfn.IFNA(INDEX(武器升级消耗!$H:$H,MATCH(玩家节奏1!DT151/玩家节奏1!DT$5,武器升级消耗!N:N,1)),0)</f>
        <v>34</v>
      </c>
      <c r="DY151" s="90">
        <f ca="1">_xlfn.IFNA(INDEX(武器升级消耗!$H:$H,MATCH(玩家节奏1!DU151/玩家节奏1!DU$5,武器升级消耗!O:O,1)),0)</f>
        <v>23</v>
      </c>
      <c r="DZ151" s="90">
        <f>_xlfn.IFNA(INDEX(武器升级消耗!$H:$H,MATCH(玩家节奏1!DV151/玩家节奏1!DV$5,武器升级消耗!P:P,1)),0)</f>
        <v>12</v>
      </c>
      <c r="EA151" s="90">
        <f ca="1">_xlfn.IFNA(INDEX(武器升级消耗!$Q:$Q,MATCH(玩家节奏1!DW151,武器升级消耗!$H:$H,0))*2*EA$4,0)</f>
        <v>5.04</v>
      </c>
      <c r="EB151" s="90">
        <f ca="1">_xlfn.IFNA(INDEX(武器升级消耗!$Q:$Q,MATCH(玩家节奏1!DX151,武器升级消耗!$H:$H,0))*2*EB$4,0)</f>
        <v>5.6999999999999993</v>
      </c>
      <c r="EC151" s="90">
        <f ca="1">_xlfn.IFNA(INDEX(武器升级消耗!$Q:$Q,MATCH(玩家节奏1!DY151,武器升级消耗!$H:$H,0))*2*EC$4,1)</f>
        <v>5.9400000000000013</v>
      </c>
      <c r="ED151" s="90">
        <f>_xlfn.IFNA(INDEX(武器升级消耗!$Q:$Q,MATCH(玩家节奏1!DZ151,武器升级消耗!$H:$H,0))*2*ED$4,0)</f>
        <v>4.8000000000000007</v>
      </c>
    </row>
    <row r="152" spans="1:134" x14ac:dyDescent="0.25">
      <c r="A152" s="123">
        <v>146</v>
      </c>
      <c r="B152" s="123">
        <f>INDEX(关卡对比!$Y:$Y,MATCH(关卡对比!Z152,关卡对比!$AA:$AA,1))</f>
        <v>86</v>
      </c>
      <c r="C152" s="124">
        <f>INDEX(关卡对比!$Y:$Y,MATCH(关卡对比!Z152,关卡对比!$AB:$AB,1))</f>
        <v>67</v>
      </c>
      <c r="D152" s="125">
        <f t="shared" si="157"/>
        <v>866.5</v>
      </c>
      <c r="E152" s="125">
        <v>3</v>
      </c>
      <c r="F152" s="128">
        <v>5</v>
      </c>
      <c r="G152" s="90">
        <v>1</v>
      </c>
      <c r="H152" s="90">
        <v>1</v>
      </c>
      <c r="J152" s="128">
        <v>146</v>
      </c>
      <c r="K152" s="90">
        <f t="shared" si="164"/>
        <v>5</v>
      </c>
      <c r="L152" s="90">
        <f t="shared" si="165"/>
        <v>1</v>
      </c>
      <c r="M152" s="90">
        <f t="shared" si="166"/>
        <v>1</v>
      </c>
      <c r="N152" s="140">
        <f>INDEX($A:$A,MATCH(SUM($K$7:K152),$D:$D,1))</f>
        <v>125</v>
      </c>
      <c r="O152" s="140">
        <v>0</v>
      </c>
      <c r="P152" s="141">
        <v>0</v>
      </c>
      <c r="Q152" s="126">
        <f>_xlfn.MAXIFS(关卡产出!X:X,关卡产出!$A:$A,玩家节奏1!$N$6,关卡产出!$B:$B,玩家节奏1!$N152)+_xlfn.MAXIFS(关卡产出!X:X,关卡产出!$A:$A,玩家节奏1!$O$6,关卡产出!$B:$B,玩家节奏1!$O152)+_xlfn.MAXIFS(关卡产出!X:X,关卡产出!$A:$A,玩家节奏1!$P$6,关卡产出!$B:$B,玩家节奏1!$P152)</f>
        <v>23500</v>
      </c>
      <c r="R152" s="90">
        <f>_xlfn.MAXIFS(关卡产出!Y:Y,关卡产出!$A:$A,玩家节奏1!$N$6,关卡产出!$B:$B,玩家节奏1!$N152)+_xlfn.MAXIFS(关卡产出!Y:Y,关卡产出!$A:$A,玩家节奏1!$O$6,关卡产出!$B:$B,玩家节奏1!$O152)+_xlfn.MAXIFS(关卡产出!Y:Y,关卡产出!$A:$A,玩家节奏1!$P$6,关卡产出!$B:$B,玩家节奏1!$P152)</f>
        <v>4447500</v>
      </c>
      <c r="S152" s="90">
        <f>_xlfn.MAXIFS(关卡产出!Z:Z,关卡产出!$A:$A,玩家节奏1!$N$6,关卡产出!$B:$B,玩家节奏1!$N152)+_xlfn.MAXIFS(关卡产出!Z:Z,关卡产出!$A:$A,玩家节奏1!$O$6,关卡产出!$B:$B,玩家节奏1!$O152)+_xlfn.MAXIFS(关卡产出!Z:Z,关卡产出!$A:$A,玩家节奏1!$P$6,关卡产出!$B:$B,玩家节奏1!$P152)</f>
        <v>30566</v>
      </c>
      <c r="T152" s="90">
        <f>_xlfn.MAXIFS(关卡产出!AA:AA,关卡产出!$A:$A,玩家节奏1!$N$6,关卡产出!$B:$B,玩家节奏1!$N152)+_xlfn.MAXIFS(关卡产出!AA:AA,关卡产出!$A:$A,玩家节奏1!$O$6,关卡产出!$B:$B,玩家节奏1!$O152)+_xlfn.MAXIFS(关卡产出!AA:AA,关卡产出!$A:$A,玩家节奏1!$P$6,关卡产出!$B:$B,玩家节奏1!$P152)</f>
        <v>15284</v>
      </c>
      <c r="U152" s="90">
        <f>_xlfn.MAXIFS(关卡产出!AB:AB,关卡产出!$A:$A,玩家节奏1!$N$6,关卡产出!$B:$B,玩家节奏1!$N152)+_xlfn.MAXIFS(关卡产出!AB:AB,关卡产出!$A:$A,玩家节奏1!$O$6,关卡产出!$B:$B,玩家节奏1!$O152)+_xlfn.MAXIFS(关卡产出!AB:AB,关卡产出!$A:$A,玩家节奏1!$P$6,关卡产出!$B:$B,玩家节奏1!$P152)</f>
        <v>7263</v>
      </c>
      <c r="V152" s="130">
        <f>_xlfn.MAXIFS(关卡产出!AC:AC,关卡产出!$A:$A,玩家节奏1!$N$6,关卡产出!$B:$B,玩家节奏1!$N152)+_xlfn.MAXIFS(关卡产出!AC:AC,关卡产出!$A:$A,玩家节奏1!$O$6,关卡产出!$B:$B,玩家节奏1!$O152)+_xlfn.MAXIFS(关卡产出!AC:AC,关卡产出!$A:$A,玩家节奏1!$P$6,关卡产出!$B:$B,玩家节奏1!$P152)</f>
        <v>750</v>
      </c>
      <c r="W152" s="126">
        <f>INDEX(关卡产出!C$8:C$207,MATCH(玩家节奏1!$N152,关卡产出!$B$8:$B$207,0))*$K152</f>
        <v>490</v>
      </c>
      <c r="X152" s="126">
        <f>INDEX(关卡产出!D$8:D$207,MATCH(玩家节奏1!$N152,关卡产出!$B$8:$B$207,0))*$K152</f>
        <v>245</v>
      </c>
      <c r="Y152" s="126">
        <f>INDEX(关卡产出!E$8:E$207,MATCH(玩家节奏1!$N152,关卡产出!$B$8:$B$207,0))*$K152</f>
        <v>120</v>
      </c>
      <c r="Z152" s="144">
        <f>INDEX(关卡产出!F$8:F$207,MATCH(玩家节奏1!$N152,关卡产出!$B$8:$B$207,0))*$K152</f>
        <v>6550</v>
      </c>
      <c r="AA152" s="126">
        <f>SUM(W$7:W152)</f>
        <v>36291</v>
      </c>
      <c r="AB152" s="126">
        <f>SUM(X$7:X152)</f>
        <v>17991</v>
      </c>
      <c r="AC152" s="126">
        <f>SUM(Y$7:Y152)</f>
        <v>8577</v>
      </c>
      <c r="AD152" s="126">
        <f>SUM(Z$7:Z152)</f>
        <v>508860</v>
      </c>
      <c r="AE152" s="126">
        <f>INDEX(图鉴!AQ:AQ,MATCH($N152,图鉴!$S:$S,0))*8</f>
        <v>168</v>
      </c>
      <c r="AF152" s="90">
        <f>INDEX(图鉴!AR:AR,MATCH($N152,图鉴!$S:$S,0))*8</f>
        <v>120</v>
      </c>
      <c r="AG152" s="90">
        <f>INDEX(图鉴!AS:AS,MATCH($N152,图鉴!$S:$S,0))*8</f>
        <v>48</v>
      </c>
      <c r="AH152" s="129">
        <f ca="1">INDEX(图鉴!AT:AT,MATCH($N152,图鉴!$S:$S,0))*8</f>
        <v>10880</v>
      </c>
      <c r="AI152" s="128">
        <f>SUM($AE$7:AE152)</f>
        <v>22104</v>
      </c>
      <c r="AJ152" s="90">
        <f>SUM(AF$7:AF152)</f>
        <v>13240</v>
      </c>
      <c r="AK152" s="90">
        <f>SUM(AG$7:AG152)</f>
        <v>4616</v>
      </c>
      <c r="AL152" s="130">
        <f ca="1">SUM(AH$7:AH152)</f>
        <v>1033080</v>
      </c>
      <c r="AM152" s="133">
        <f>IF(M152=0,0,INDEX(关卡产出!$AU$11:$AU$15,MATCH(玩家节奏1!N152,关卡产出!$AW$11:$AW$15,1))*M152)</f>
        <v>12200</v>
      </c>
      <c r="AN152" s="126">
        <f>IF(L152=0,0,$L152*关卡产出!AU$21)</f>
        <v>1000</v>
      </c>
      <c r="AO152" s="90">
        <f>IF(M152=0,0,$L152*关卡产出!AV$21)</f>
        <v>50</v>
      </c>
      <c r="AP152" s="129">
        <f>IF(N152=0,0,$L152*关卡产出!AW$21)</f>
        <v>1</v>
      </c>
      <c r="AQ152" s="138">
        <f>SUM(AN$7:AN152)</f>
        <v>129000</v>
      </c>
      <c r="AR152" s="126">
        <f>SUM(AO$7:AO152)</f>
        <v>6450</v>
      </c>
      <c r="AS152" s="129">
        <f>SUM(AP$7:AP152)</f>
        <v>129</v>
      </c>
      <c r="AT152" s="128">
        <v>500</v>
      </c>
      <c r="AU152" s="129">
        <v>100</v>
      </c>
      <c r="AV152" s="128">
        <f>SUM(AT$7:AT152)</f>
        <v>73000</v>
      </c>
      <c r="AW152" s="90">
        <f>SUM(AU$7:AU152)</f>
        <v>14600</v>
      </c>
      <c r="AY152" s="128">
        <f t="shared" si="167"/>
        <v>23500</v>
      </c>
      <c r="AZ152" s="90">
        <f t="shared" si="168"/>
        <v>6450</v>
      </c>
      <c r="BA152" s="90">
        <f t="shared" si="169"/>
        <v>14600</v>
      </c>
      <c r="BB152" s="90">
        <f t="shared" ca="1" si="217"/>
        <v>10800</v>
      </c>
      <c r="BC152" s="90">
        <f t="shared" ca="1" si="218"/>
        <v>55350</v>
      </c>
      <c r="BD152" s="90"/>
      <c r="BE152" s="90">
        <f t="shared" ca="1" si="170"/>
        <v>55350</v>
      </c>
      <c r="BF152" s="142">
        <f t="shared" ca="1" si="171"/>
        <v>0.42457091237579042</v>
      </c>
      <c r="BG152" s="142">
        <f t="shared" ca="1" si="172"/>
        <v>0.11653116531165311</v>
      </c>
      <c r="BH152" s="142">
        <f t="shared" ca="1" si="173"/>
        <v>0.26377597109304424</v>
      </c>
      <c r="BI152" s="142">
        <f t="shared" ca="1" si="174"/>
        <v>0.1951219512195122</v>
      </c>
      <c r="BJ152" s="143"/>
      <c r="BK152" s="128">
        <f ca="1">INDEX(商城宝箱!$L:$L,MATCH(BC152,商城宝箱!$N:$N,1))</f>
        <v>9</v>
      </c>
      <c r="BL152" s="90">
        <f ca="1">_xlfn.IFNA(INDEX(商城宝箱!T:T,MATCH(玩家节奏1!$BK152,商城宝箱!$L:$L,0)),0)+($BC152-INDEX(商城宝箱!$N:$N,MATCH(玩家节奏1!$BK152,商城宝箱!$L:$L,0)))/$BK$5*INDEX(商城宝箱!E$23:E$42,MATCH(玩家节奏1!$BK152+1,商城宝箱!$C$23:$C$42,0))</f>
        <v>138375</v>
      </c>
      <c r="BM152" s="90">
        <f ca="1">_xlfn.IFNA(INDEX(商城宝箱!U:U,MATCH(玩家节奏1!$BK152,商城宝箱!$L:$L,0)),0)+($BC152-INDEX(商城宝箱!$N:$N,MATCH(玩家节奏1!$BK152,商城宝箱!$L:$L,0)))/$BK$5*INDEX(商城宝箱!F$23:F$42,MATCH(玩家节奏1!$BK152+1,商城宝箱!$C$23:$C$42,0))</f>
        <v>92937.5</v>
      </c>
      <c r="BN152" s="90">
        <f ca="1">_xlfn.IFNA(INDEX(商城宝箱!V:V,MATCH(玩家节奏1!$BK152,商城宝箱!$L:$L,0)),0)+($BC152-INDEX(商城宝箱!$N:$N,MATCH(玩家节奏1!$BK152,商城宝箱!$L:$L,0)))/$BK$5*INDEX(商城宝箱!G$23:G$42,MATCH(玩家节奏1!$BK152+1,商城宝箱!$C$23:$C$42,0))</f>
        <v>55949.5</v>
      </c>
      <c r="BO152" s="90">
        <f ca="1">_xlfn.IFNA(INDEX(商城宝箱!W:W,MATCH(玩家节奏1!$BK152,商城宝箱!$L:$L,0)),0)+($BC152-INDEX(商城宝箱!$N:$N,MATCH(玩家节奏1!$BK152,商城宝箱!$L:$L,0)))/$BK$5*INDEX(商城宝箱!H$23:H$42,MATCH(玩家节奏1!$BK152+1,商城宝箱!$C$23:$C$42,0))</f>
        <v>7481.5</v>
      </c>
      <c r="BQ152" s="128">
        <f t="shared" si="158"/>
        <v>4447500</v>
      </c>
      <c r="BR152" s="90">
        <f t="shared" si="159"/>
        <v>508860</v>
      </c>
      <c r="BS152" s="90">
        <f t="shared" ca="1" si="160"/>
        <v>1033080</v>
      </c>
      <c r="BT152" s="90">
        <f t="shared" si="161"/>
        <v>12200</v>
      </c>
      <c r="BU152" s="90">
        <f t="shared" si="162"/>
        <v>129000</v>
      </c>
      <c r="BV152" s="90">
        <f t="shared" si="163"/>
        <v>73000</v>
      </c>
      <c r="BW152" s="90">
        <f t="shared" ca="1" si="175"/>
        <v>138375</v>
      </c>
      <c r="BX152" s="90">
        <f t="shared" ca="1" si="176"/>
        <v>6342015</v>
      </c>
      <c r="BY152" s="142">
        <f t="shared" ca="1" si="177"/>
        <v>0.70127554097554168</v>
      </c>
      <c r="BZ152" s="142">
        <f t="shared" ca="1" si="178"/>
        <v>8.0236328674719318E-2</v>
      </c>
      <c r="CA152" s="142">
        <f t="shared" ca="1" si="179"/>
        <v>0.16289460053311133</v>
      </c>
      <c r="CB152" s="142">
        <f t="shared" ca="1" si="180"/>
        <v>1.9236788307816996E-3</v>
      </c>
      <c r="CC152" s="142">
        <f t="shared" ca="1" si="181"/>
        <v>2.0340538456626166E-2</v>
      </c>
      <c r="CD152" s="142">
        <f t="shared" ca="1" si="182"/>
        <v>1.1510537266152792E-2</v>
      </c>
      <c r="CE152" s="142">
        <f t="shared" ca="1" si="183"/>
        <v>2.1818775263067022E-2</v>
      </c>
      <c r="CG152" s="128">
        <f t="shared" si="184"/>
        <v>125</v>
      </c>
      <c r="CH152" s="90">
        <f ca="1">INDEX(角色升级!$A:$A,MATCH(玩家节奏1!$BX152,角色升级!$J:$J,1))</f>
        <v>617</v>
      </c>
      <c r="CI152" s="90">
        <f ca="1">INDEX(角色升级!$O:$O,MATCH(玩家节奏1!$BX152,角色升级!$J:$J,1))</f>
        <v>30484.671029999998</v>
      </c>
      <c r="CJ152" s="90">
        <f>INDEX(关卡对比!$J:$J,MATCH(玩家节奏1!N152,关卡对比!$A:$A,0))</f>
        <v>48700</v>
      </c>
      <c r="CK152" s="147">
        <f t="shared" ca="1" si="185"/>
        <v>1.5975242098585967</v>
      </c>
      <c r="CL152" s="128">
        <f ca="1">INDEX(角色升级!$P:$P,MATCH(玩家节奏1!$CH152,角色升级!$A:$A,0))</f>
        <v>10800</v>
      </c>
      <c r="CM152" s="90">
        <f ca="1">INDEX(角色升级!Q:Q,MATCH(玩家节奏1!$CH152,角色升级!$A:$A,0))</f>
        <v>0.9</v>
      </c>
      <c r="CO152" s="128">
        <f t="shared" si="186"/>
        <v>30566</v>
      </c>
      <c r="CP152" s="90">
        <f t="shared" si="187"/>
        <v>36291</v>
      </c>
      <c r="CQ152" s="90">
        <f t="shared" si="188"/>
        <v>22104</v>
      </c>
      <c r="CR152" s="90">
        <f t="shared" ca="1" si="189"/>
        <v>92937.5</v>
      </c>
      <c r="CS152" s="90">
        <f t="shared" ca="1" si="190"/>
        <v>181898.5</v>
      </c>
      <c r="CT152" s="142">
        <f t="shared" ca="1" si="191"/>
        <v>0.16803876887384997</v>
      </c>
      <c r="CU152" s="142">
        <f t="shared" ca="1" si="192"/>
        <v>0.199512365412579</v>
      </c>
      <c r="CV152" s="142">
        <f t="shared" ca="1" si="193"/>
        <v>0.12151831928245697</v>
      </c>
      <c r="CW152" s="142">
        <f t="shared" ca="1" si="194"/>
        <v>0.51093054643111402</v>
      </c>
      <c r="CY152" s="128">
        <f t="shared" si="195"/>
        <v>15284</v>
      </c>
      <c r="CZ152" s="90">
        <f t="shared" si="196"/>
        <v>17991</v>
      </c>
      <c r="DA152" s="90">
        <f t="shared" si="197"/>
        <v>13240</v>
      </c>
      <c r="DB152" s="90">
        <f t="shared" ca="1" si="198"/>
        <v>55949.5</v>
      </c>
      <c r="DC152" s="90">
        <f t="shared" ca="1" si="199"/>
        <v>102464.5</v>
      </c>
      <c r="DD152" s="142">
        <f t="shared" ca="1" si="200"/>
        <v>0.14916385675038671</v>
      </c>
      <c r="DE152" s="142">
        <f t="shared" ca="1" si="201"/>
        <v>0.17558276281053439</v>
      </c>
      <c r="DF152" s="142">
        <f t="shared" ca="1" si="202"/>
        <v>0.12921548438727559</v>
      </c>
      <c r="DG152" s="142">
        <f t="shared" ca="1" si="203"/>
        <v>0.54603789605180331</v>
      </c>
      <c r="DI152" s="128">
        <f t="shared" si="204"/>
        <v>7263</v>
      </c>
      <c r="DJ152" s="90">
        <f t="shared" si="205"/>
        <v>8577</v>
      </c>
      <c r="DK152" s="90">
        <f t="shared" si="206"/>
        <v>4616</v>
      </c>
      <c r="DL152" s="90">
        <f t="shared" ca="1" si="207"/>
        <v>7481.5</v>
      </c>
      <c r="DM152" s="90">
        <f t="shared" ca="1" si="208"/>
        <v>27937.5</v>
      </c>
      <c r="DN152" s="142">
        <f t="shared" ca="1" si="209"/>
        <v>0.25997315436241608</v>
      </c>
      <c r="DO152" s="142">
        <f t="shared" ca="1" si="210"/>
        <v>0.30700671140939595</v>
      </c>
      <c r="DP152" s="142">
        <f t="shared" ca="1" si="211"/>
        <v>0.16522595078299776</v>
      </c>
      <c r="DQ152" s="142">
        <f t="shared" ca="1" si="212"/>
        <v>0.26779418344519018</v>
      </c>
      <c r="DS152" s="128">
        <f t="shared" ca="1" si="213"/>
        <v>181898.5</v>
      </c>
      <c r="DT152" s="90">
        <f t="shared" ca="1" si="214"/>
        <v>102464.5</v>
      </c>
      <c r="DU152" s="90">
        <f t="shared" ca="1" si="215"/>
        <v>27937.5</v>
      </c>
      <c r="DV152" s="90">
        <f t="shared" si="216"/>
        <v>129</v>
      </c>
      <c r="DW152" s="90">
        <f ca="1">_xlfn.IFNA(INDEX(武器升级消耗!$H:$H,MATCH(玩家节奏1!DS152/玩家节奏1!DS$5,武器升级消耗!M:M,1)),0)</f>
        <v>38</v>
      </c>
      <c r="DX152" s="90">
        <f ca="1">_xlfn.IFNA(INDEX(武器升级消耗!$H:$H,MATCH(玩家节奏1!DT152/玩家节奏1!DT$5,武器升级消耗!N:N,1)),0)</f>
        <v>34</v>
      </c>
      <c r="DY152" s="90">
        <f ca="1">_xlfn.IFNA(INDEX(武器升级消耗!$H:$H,MATCH(玩家节奏1!DU152/玩家节奏1!DU$5,武器升级消耗!O:O,1)),0)</f>
        <v>23</v>
      </c>
      <c r="DZ152" s="90">
        <f>_xlfn.IFNA(INDEX(武器升级消耗!$H:$H,MATCH(玩家节奏1!DV152/玩家节奏1!DV$5,武器升级消耗!P:P,1)),0)</f>
        <v>12</v>
      </c>
      <c r="EA152" s="90">
        <f ca="1">_xlfn.IFNA(INDEX(武器升级消耗!$Q:$Q,MATCH(玩家节奏1!DW152,武器升级消耗!$H:$H,0))*2*EA$4,0)</f>
        <v>5.04</v>
      </c>
      <c r="EB152" s="90">
        <f ca="1">_xlfn.IFNA(INDEX(武器升级消耗!$Q:$Q,MATCH(玩家节奏1!DX152,武器升级消耗!$H:$H,0))*2*EB$4,0)</f>
        <v>5.6999999999999993</v>
      </c>
      <c r="EC152" s="90">
        <f ca="1">_xlfn.IFNA(INDEX(武器升级消耗!$Q:$Q,MATCH(玩家节奏1!DY152,武器升级消耗!$H:$H,0))*2*EC$4,1)</f>
        <v>5.9400000000000013</v>
      </c>
      <c r="ED152" s="90">
        <f>_xlfn.IFNA(INDEX(武器升级消耗!$Q:$Q,MATCH(玩家节奏1!DZ152,武器升级消耗!$H:$H,0))*2*ED$4,0)</f>
        <v>4.8000000000000007</v>
      </c>
    </row>
    <row r="153" spans="1:134" x14ac:dyDescent="0.25">
      <c r="A153" s="123">
        <v>147</v>
      </c>
      <c r="B153" s="123">
        <f>INDEX(关卡对比!$Y:$Y,MATCH(关卡对比!Z153,关卡对比!$AA:$AA,1))</f>
        <v>87</v>
      </c>
      <c r="C153" s="124">
        <f>INDEX(关卡对比!$Y:$Y,MATCH(关卡对比!Z153,关卡对比!$AB:$AB,1))</f>
        <v>67</v>
      </c>
      <c r="D153" s="125">
        <f t="shared" si="157"/>
        <v>872.5</v>
      </c>
      <c r="E153" s="125">
        <v>3</v>
      </c>
      <c r="F153" s="128">
        <v>5</v>
      </c>
      <c r="G153" s="90">
        <v>1</v>
      </c>
      <c r="H153" s="90">
        <v>1</v>
      </c>
      <c r="J153" s="128">
        <v>147</v>
      </c>
      <c r="K153" s="90">
        <f t="shared" si="164"/>
        <v>5</v>
      </c>
      <c r="L153" s="90">
        <f t="shared" si="165"/>
        <v>1</v>
      </c>
      <c r="M153" s="90">
        <f t="shared" si="166"/>
        <v>1</v>
      </c>
      <c r="N153" s="140">
        <f>INDEX($A:$A,MATCH(SUM($K$7:K153),$D:$D,1))</f>
        <v>126</v>
      </c>
      <c r="O153" s="140">
        <v>0</v>
      </c>
      <c r="P153" s="141">
        <v>0</v>
      </c>
      <c r="Q153" s="126">
        <f>_xlfn.MAXIFS(关卡产出!X:X,关卡产出!$A:$A,玩家节奏1!$N$6,关卡产出!$B:$B,玩家节奏1!$N153)+_xlfn.MAXIFS(关卡产出!X:X,关卡产出!$A:$A,玩家节奏1!$O$6,关卡产出!$B:$B,玩家节奏1!$O153)+_xlfn.MAXIFS(关卡产出!X:X,关卡产出!$A:$A,玩家节奏1!$P$6,关卡产出!$B:$B,玩家节奏1!$P153)</f>
        <v>23700</v>
      </c>
      <c r="R153" s="90">
        <f>_xlfn.MAXIFS(关卡产出!Y:Y,关卡产出!$A:$A,玩家节奏1!$N$6,关卡产出!$B:$B,玩家节奏1!$N153)+_xlfn.MAXIFS(关卡产出!Y:Y,关卡产出!$A:$A,玩家节奏1!$O$6,关卡产出!$B:$B,玩家节奏1!$O153)+_xlfn.MAXIFS(关卡产出!Y:Y,关卡产出!$A:$A,玩家节奏1!$P$6,关卡产出!$B:$B,玩家节奏1!$P153)</f>
        <v>4520800</v>
      </c>
      <c r="S153" s="90">
        <f>_xlfn.MAXIFS(关卡产出!Z:Z,关卡产出!$A:$A,玩家节奏1!$N$6,关卡产出!$B:$B,玩家节奏1!$N153)+_xlfn.MAXIFS(关卡产出!Z:Z,关卡产出!$A:$A,玩家节奏1!$O$6,关卡产出!$B:$B,玩家节奏1!$O153)+_xlfn.MAXIFS(关卡产出!Z:Z,关卡产出!$A:$A,玩家节奏1!$P$6,关卡产出!$B:$B,玩家节奏1!$P153)</f>
        <v>31062</v>
      </c>
      <c r="T153" s="90">
        <f>_xlfn.MAXIFS(关卡产出!AA:AA,关卡产出!$A:$A,玩家节奏1!$N$6,关卡产出!$B:$B,玩家节奏1!$N153)+_xlfn.MAXIFS(关卡产出!AA:AA,关卡产出!$A:$A,玩家节奏1!$O$6,关卡产出!$B:$B,玩家节奏1!$O153)+_xlfn.MAXIFS(关卡产出!AA:AA,关卡产出!$A:$A,玩家节奏1!$P$6,关卡产出!$B:$B,玩家节奏1!$P153)</f>
        <v>15532</v>
      </c>
      <c r="U153" s="90">
        <f>_xlfn.MAXIFS(关卡产出!AB:AB,关卡产出!$A:$A,玩家节奏1!$N$6,关卡产出!$B:$B,玩家节奏1!$N153)+_xlfn.MAXIFS(关卡产出!AB:AB,关卡产出!$A:$A,玩家节奏1!$O$6,关卡产出!$B:$B,玩家节奏1!$O153)+_xlfn.MAXIFS(关卡产出!AB:AB,关卡产出!$A:$A,玩家节奏1!$P$6,关卡产出!$B:$B,玩家节奏1!$P153)</f>
        <v>7384</v>
      </c>
      <c r="V153" s="130">
        <f>_xlfn.MAXIFS(关卡产出!AC:AC,关卡产出!$A:$A,玩家节奏1!$N$6,关卡产出!$B:$B,玩家节奏1!$N153)+_xlfn.MAXIFS(关卡产出!AC:AC,关卡产出!$A:$A,玩家节奏1!$O$6,关卡产出!$B:$B,玩家节奏1!$O153)+_xlfn.MAXIFS(关卡产出!AC:AC,关卡产出!$A:$A,玩家节奏1!$P$6,关卡产出!$B:$B,玩家节奏1!$P153)</f>
        <v>756</v>
      </c>
      <c r="W153" s="126">
        <f>INDEX(关卡产出!C$8:C$207,MATCH(玩家节奏1!$N153,关卡产出!$B$8:$B$207,0))*$K153</f>
        <v>495</v>
      </c>
      <c r="X153" s="126">
        <f>INDEX(关卡产出!D$8:D$207,MATCH(玩家节奏1!$N153,关卡产出!$B$8:$B$207,0))*$K153</f>
        <v>245</v>
      </c>
      <c r="Y153" s="126">
        <f>INDEX(关卡产出!E$8:E$207,MATCH(玩家节奏1!$N153,关卡产出!$B$8:$B$207,0))*$K153</f>
        <v>120</v>
      </c>
      <c r="Z153" s="144">
        <f>INDEX(关卡产出!F$8:F$207,MATCH(玩家节奏1!$N153,关卡产出!$B$8:$B$207,0))*$K153</f>
        <v>6550</v>
      </c>
      <c r="AA153" s="126">
        <f>SUM(W$7:W153)</f>
        <v>36786</v>
      </c>
      <c r="AB153" s="126">
        <f>SUM(X$7:X153)</f>
        <v>18236</v>
      </c>
      <c r="AC153" s="126">
        <f>SUM(Y$7:Y153)</f>
        <v>8697</v>
      </c>
      <c r="AD153" s="126">
        <f>SUM(Z$7:Z153)</f>
        <v>515410</v>
      </c>
      <c r="AE153" s="126">
        <f>INDEX(图鉴!AQ:AQ,MATCH($N153,图鉴!$S:$S,0))*8</f>
        <v>168</v>
      </c>
      <c r="AF153" s="90">
        <f>INDEX(图鉴!AR:AR,MATCH($N153,图鉴!$S:$S,0))*8</f>
        <v>120</v>
      </c>
      <c r="AG153" s="90">
        <f>INDEX(图鉴!AS:AS,MATCH($N153,图鉴!$S:$S,0))*8</f>
        <v>48</v>
      </c>
      <c r="AH153" s="129">
        <f ca="1">INDEX(图鉴!AT:AT,MATCH($N153,图鉴!$S:$S,0))*8</f>
        <v>10880</v>
      </c>
      <c r="AI153" s="128">
        <f>SUM($AE$7:AE153)</f>
        <v>22272</v>
      </c>
      <c r="AJ153" s="90">
        <f>SUM(AF$7:AF153)</f>
        <v>13360</v>
      </c>
      <c r="AK153" s="90">
        <f>SUM(AG$7:AG153)</f>
        <v>4664</v>
      </c>
      <c r="AL153" s="130">
        <f ca="1">SUM(AH$7:AH153)</f>
        <v>1043960</v>
      </c>
      <c r="AM153" s="133">
        <f>IF(M153=0,0,INDEX(关卡产出!$AU$11:$AU$15,MATCH(玩家节奏1!N153,关卡产出!$AW$11:$AW$15,1))*M153)</f>
        <v>12200</v>
      </c>
      <c r="AN153" s="126">
        <f>IF(L153=0,0,$L153*关卡产出!AU$21)</f>
        <v>1000</v>
      </c>
      <c r="AO153" s="90">
        <f>IF(M153=0,0,$L153*关卡产出!AV$21)</f>
        <v>50</v>
      </c>
      <c r="AP153" s="129">
        <f>IF(N153=0,0,$L153*关卡产出!AW$21)</f>
        <v>1</v>
      </c>
      <c r="AQ153" s="138">
        <f>SUM(AN$7:AN153)</f>
        <v>130000</v>
      </c>
      <c r="AR153" s="126">
        <f>SUM(AO$7:AO153)</f>
        <v>6500</v>
      </c>
      <c r="AS153" s="129">
        <f>SUM(AP$7:AP153)</f>
        <v>130</v>
      </c>
      <c r="AT153" s="128">
        <v>500</v>
      </c>
      <c r="AU153" s="129">
        <v>100</v>
      </c>
      <c r="AV153" s="128">
        <f>SUM(AT$7:AT153)</f>
        <v>73500</v>
      </c>
      <c r="AW153" s="90">
        <f>SUM(AU$7:AU153)</f>
        <v>14700</v>
      </c>
      <c r="AY153" s="128">
        <f t="shared" si="167"/>
        <v>23700</v>
      </c>
      <c r="AZ153" s="90">
        <f t="shared" si="168"/>
        <v>6500</v>
      </c>
      <c r="BA153" s="90">
        <f t="shared" si="169"/>
        <v>14700</v>
      </c>
      <c r="BB153" s="90">
        <f t="shared" ca="1" si="217"/>
        <v>10800</v>
      </c>
      <c r="BC153" s="90">
        <f t="shared" ca="1" si="218"/>
        <v>55700</v>
      </c>
      <c r="BD153" s="90"/>
      <c r="BE153" s="90">
        <f t="shared" ca="1" si="170"/>
        <v>55700</v>
      </c>
      <c r="BF153" s="142">
        <f t="shared" ca="1" si="171"/>
        <v>0.42549371633752242</v>
      </c>
      <c r="BG153" s="142">
        <f t="shared" ca="1" si="172"/>
        <v>0.11669658886894076</v>
      </c>
      <c r="BH153" s="142">
        <f t="shared" ca="1" si="173"/>
        <v>0.26391382405745062</v>
      </c>
      <c r="BI153" s="142">
        <f t="shared" ca="1" si="174"/>
        <v>0.19389587073608616</v>
      </c>
      <c r="BJ153" s="143"/>
      <c r="BK153" s="128">
        <f ca="1">INDEX(商城宝箱!$L:$L,MATCH(BC153,商城宝箱!$N:$N,1))</f>
        <v>9</v>
      </c>
      <c r="BL153" s="90">
        <f ca="1">_xlfn.IFNA(INDEX(商城宝箱!T:T,MATCH(玩家节奏1!$BK153,商城宝箱!$L:$L,0)),0)+($BC153-INDEX(商城宝箱!$N:$N,MATCH(玩家节奏1!$BK153,商城宝箱!$L:$L,0)))/$BK$5*INDEX(商城宝箱!E$23:E$42,MATCH(玩家节奏1!$BK153+1,商城宝箱!$C$23:$C$42,0))</f>
        <v>139250</v>
      </c>
      <c r="BM153" s="90">
        <f ca="1">_xlfn.IFNA(INDEX(商城宝箱!U:U,MATCH(玩家节奏1!$BK153,商城宝箱!$L:$L,0)),0)+($BC153-INDEX(商城宝箱!$N:$N,MATCH(玩家节奏1!$BK153,商城宝箱!$L:$L,0)))/$BK$5*INDEX(商城宝箱!F$23:F$42,MATCH(玩家节奏1!$BK153+1,商城宝箱!$C$23:$C$42,0))</f>
        <v>93882.5</v>
      </c>
      <c r="BN153" s="90">
        <f ca="1">_xlfn.IFNA(INDEX(商城宝箱!V:V,MATCH(玩家节奏1!$BK153,商城宝箱!$L:$L,0)),0)+($BC153-INDEX(商城宝箱!$N:$N,MATCH(玩家节奏1!$BK153,商城宝箱!$L:$L,0)))/$BK$5*INDEX(商城宝箱!G$23:G$42,MATCH(玩家节奏1!$BK153+1,商城宝箱!$C$23:$C$42,0))</f>
        <v>56387</v>
      </c>
      <c r="BO153" s="90">
        <f ca="1">_xlfn.IFNA(INDEX(商城宝箱!W:W,MATCH(玩家节奏1!$BK153,商城宝箱!$L:$L,0)),0)+($BC153-INDEX(商城宝箱!$N:$N,MATCH(玩家节奏1!$BK153,商城宝箱!$L:$L,0)))/$BK$5*INDEX(商城宝箱!H$23:H$42,MATCH(玩家节奏1!$BK153+1,商城宝箱!$C$23:$C$42,0))</f>
        <v>7551.5</v>
      </c>
      <c r="BQ153" s="128">
        <f t="shared" si="158"/>
        <v>4520800</v>
      </c>
      <c r="BR153" s="90">
        <f t="shared" si="159"/>
        <v>515410</v>
      </c>
      <c r="BS153" s="90">
        <f t="shared" ca="1" si="160"/>
        <v>1043960</v>
      </c>
      <c r="BT153" s="90">
        <f t="shared" si="161"/>
        <v>12200</v>
      </c>
      <c r="BU153" s="90">
        <f t="shared" si="162"/>
        <v>130000</v>
      </c>
      <c r="BV153" s="90">
        <f t="shared" si="163"/>
        <v>73500</v>
      </c>
      <c r="BW153" s="90">
        <f t="shared" ca="1" si="175"/>
        <v>139250</v>
      </c>
      <c r="BX153" s="90">
        <f t="shared" ca="1" si="176"/>
        <v>6435120</v>
      </c>
      <c r="BY153" s="142">
        <f t="shared" ca="1" si="177"/>
        <v>0.70251992192841783</v>
      </c>
      <c r="BZ153" s="142">
        <f t="shared" ca="1" si="178"/>
        <v>8.0093300513432539E-2</v>
      </c>
      <c r="CA153" s="142">
        <f t="shared" ca="1" si="179"/>
        <v>0.16222852099106155</v>
      </c>
      <c r="CB153" s="142">
        <f t="shared" ca="1" si="180"/>
        <v>1.895846542100225E-3</v>
      </c>
      <c r="CC153" s="142">
        <f t="shared" ca="1" si="181"/>
        <v>2.0201643481395842E-2</v>
      </c>
      <c r="CD153" s="142">
        <f t="shared" ca="1" si="182"/>
        <v>1.1421698429866109E-2</v>
      </c>
      <c r="CE153" s="142">
        <f t="shared" ca="1" si="183"/>
        <v>2.1639068113725929E-2</v>
      </c>
      <c r="CG153" s="128">
        <f t="shared" si="184"/>
        <v>126</v>
      </c>
      <c r="CH153" s="90">
        <f ca="1">INDEX(角色升级!$A:$A,MATCH(玩家节奏1!$BX153,角色升级!$J:$J,1))</f>
        <v>621</v>
      </c>
      <c r="CI153" s="90">
        <f ca="1">INDEX(角色升级!$O:$O,MATCH(玩家节奏1!$BX153,角色升级!$J:$J,1))</f>
        <v>30574.401000000005</v>
      </c>
      <c r="CJ153" s="90">
        <f>INDEX(关卡对比!$J:$J,MATCH(玩家节奏1!N153,关卡对比!$A:$A,0))</f>
        <v>49200</v>
      </c>
      <c r="CK153" s="147">
        <f t="shared" ca="1" si="185"/>
        <v>1.6091893345678299</v>
      </c>
      <c r="CL153" s="128">
        <f ca="1">INDEX(角色升级!$P:$P,MATCH(玩家节奏1!$CH153,角色升级!$A:$A,0))</f>
        <v>10800</v>
      </c>
      <c r="CM153" s="90">
        <f ca="1">INDEX(角色升级!Q:Q,MATCH(玩家节奏1!$CH153,角色升级!$A:$A,0))</f>
        <v>1</v>
      </c>
      <c r="CO153" s="128">
        <f t="shared" si="186"/>
        <v>31062</v>
      </c>
      <c r="CP153" s="90">
        <f t="shared" si="187"/>
        <v>36786</v>
      </c>
      <c r="CQ153" s="90">
        <f t="shared" si="188"/>
        <v>22272</v>
      </c>
      <c r="CR153" s="90">
        <f t="shared" ca="1" si="189"/>
        <v>93882.5</v>
      </c>
      <c r="CS153" s="90">
        <f t="shared" ca="1" si="190"/>
        <v>184002.5</v>
      </c>
      <c r="CT153" s="142">
        <f t="shared" ca="1" si="191"/>
        <v>0.16881292373744922</v>
      </c>
      <c r="CU153" s="142">
        <f t="shared" ca="1" si="192"/>
        <v>0.19992119672287062</v>
      </c>
      <c r="CV153" s="142">
        <f t="shared" ca="1" si="193"/>
        <v>0.12104183367073817</v>
      </c>
      <c r="CW153" s="142">
        <f t="shared" ca="1" si="194"/>
        <v>0.51022404586894199</v>
      </c>
      <c r="CY153" s="128">
        <f t="shared" si="195"/>
        <v>15532</v>
      </c>
      <c r="CZ153" s="90">
        <f t="shared" si="196"/>
        <v>18236</v>
      </c>
      <c r="DA153" s="90">
        <f t="shared" si="197"/>
        <v>13360</v>
      </c>
      <c r="DB153" s="90">
        <f t="shared" ca="1" si="198"/>
        <v>56387</v>
      </c>
      <c r="DC153" s="90">
        <f t="shared" ca="1" si="199"/>
        <v>103515</v>
      </c>
      <c r="DD153" s="142">
        <f t="shared" ca="1" si="200"/>
        <v>0.15004588706950683</v>
      </c>
      <c r="DE153" s="142">
        <f t="shared" ca="1" si="201"/>
        <v>0.17616770516350289</v>
      </c>
      <c r="DF153" s="142">
        <f t="shared" ca="1" si="202"/>
        <v>0.1290634207602763</v>
      </c>
      <c r="DG153" s="142">
        <f t="shared" ca="1" si="203"/>
        <v>0.54472298700671395</v>
      </c>
      <c r="DI153" s="128">
        <f t="shared" si="204"/>
        <v>7384</v>
      </c>
      <c r="DJ153" s="90">
        <f t="shared" si="205"/>
        <v>8697</v>
      </c>
      <c r="DK153" s="90">
        <f t="shared" si="206"/>
        <v>4664</v>
      </c>
      <c r="DL153" s="90">
        <f t="shared" ca="1" si="207"/>
        <v>7551.5</v>
      </c>
      <c r="DM153" s="90">
        <f t="shared" ca="1" si="208"/>
        <v>28296.5</v>
      </c>
      <c r="DN153" s="142">
        <f t="shared" ca="1" si="209"/>
        <v>0.26095100100719171</v>
      </c>
      <c r="DO153" s="142">
        <f t="shared" ca="1" si="210"/>
        <v>0.30735249942572401</v>
      </c>
      <c r="DP153" s="142">
        <f t="shared" ca="1" si="211"/>
        <v>0.16482603855600517</v>
      </c>
      <c r="DQ153" s="142">
        <f t="shared" ca="1" si="212"/>
        <v>0.26687046101107909</v>
      </c>
      <c r="DS153" s="128">
        <f t="shared" ca="1" si="213"/>
        <v>184002.5</v>
      </c>
      <c r="DT153" s="90">
        <f t="shared" ca="1" si="214"/>
        <v>103515</v>
      </c>
      <c r="DU153" s="90">
        <f t="shared" ca="1" si="215"/>
        <v>28296.5</v>
      </c>
      <c r="DV153" s="90">
        <f t="shared" si="216"/>
        <v>130</v>
      </c>
      <c r="DW153" s="90">
        <f ca="1">_xlfn.IFNA(INDEX(武器升级消耗!$H:$H,MATCH(玩家节奏1!DS153/玩家节奏1!DS$5,武器升级消耗!M:M,1)),0)</f>
        <v>38</v>
      </c>
      <c r="DX153" s="90">
        <f ca="1">_xlfn.IFNA(INDEX(武器升级消耗!$H:$H,MATCH(玩家节奏1!DT153/玩家节奏1!DT$5,武器升级消耗!N:N,1)),0)</f>
        <v>35</v>
      </c>
      <c r="DY153" s="90">
        <f ca="1">_xlfn.IFNA(INDEX(武器升级消耗!$H:$H,MATCH(玩家节奏1!DU153/玩家节奏1!DU$5,武器升级消耗!O:O,1)),0)</f>
        <v>23</v>
      </c>
      <c r="DZ153" s="90">
        <f>_xlfn.IFNA(INDEX(武器升级消耗!$H:$H,MATCH(玩家节奏1!DV153/玩家节奏1!DV$5,武器升级消耗!P:P,1)),0)</f>
        <v>12</v>
      </c>
      <c r="EA153" s="90">
        <f ca="1">_xlfn.IFNA(INDEX(武器升级消耗!$Q:$Q,MATCH(玩家节奏1!DW153,武器升级消耗!$H:$H,0))*2*EA$4,0)</f>
        <v>5.04</v>
      </c>
      <c r="EB153" s="90">
        <f ca="1">_xlfn.IFNA(INDEX(武器升级消耗!$Q:$Q,MATCH(玩家节奏1!DX153,武器升级消耗!$H:$H,0))*2*EB$4,0)</f>
        <v>5.85</v>
      </c>
      <c r="EC153" s="90">
        <f ca="1">_xlfn.IFNA(INDEX(武器升级消耗!$Q:$Q,MATCH(玩家节奏1!DY153,武器升级消耗!$H:$H,0))*2*EC$4,1)</f>
        <v>5.9400000000000013</v>
      </c>
      <c r="ED153" s="90">
        <f>_xlfn.IFNA(INDEX(武器升级消耗!$Q:$Q,MATCH(玩家节奏1!DZ153,武器升级消耗!$H:$H,0))*2*ED$4,0)</f>
        <v>4.8000000000000007</v>
      </c>
    </row>
    <row r="154" spans="1:134" x14ac:dyDescent="0.25">
      <c r="A154" s="123">
        <v>148</v>
      </c>
      <c r="B154" s="123">
        <f>INDEX(关卡对比!$Y:$Y,MATCH(关卡对比!Z154,关卡对比!$AA:$AA,1))</f>
        <v>87</v>
      </c>
      <c r="C154" s="124">
        <f>INDEX(关卡对比!$Y:$Y,MATCH(关卡对比!Z154,关卡对比!$AB:$AB,1))</f>
        <v>67</v>
      </c>
      <c r="D154" s="125">
        <f t="shared" si="157"/>
        <v>875.5</v>
      </c>
      <c r="E154" s="125">
        <v>3</v>
      </c>
      <c r="F154" s="128">
        <v>5</v>
      </c>
      <c r="G154" s="90">
        <v>1</v>
      </c>
      <c r="H154" s="90">
        <v>1</v>
      </c>
      <c r="J154" s="128">
        <v>148</v>
      </c>
      <c r="K154" s="90">
        <f t="shared" si="164"/>
        <v>5</v>
      </c>
      <c r="L154" s="90">
        <f t="shared" si="165"/>
        <v>1</v>
      </c>
      <c r="M154" s="90">
        <f t="shared" si="166"/>
        <v>1</v>
      </c>
      <c r="N154" s="140">
        <f>INDEX($A:$A,MATCH(SUM($K$7:K154),$D:$D,1))</f>
        <v>127</v>
      </c>
      <c r="O154" s="140">
        <v>0</v>
      </c>
      <c r="P154" s="141">
        <v>0</v>
      </c>
      <c r="Q154" s="126">
        <f>_xlfn.MAXIFS(关卡产出!X:X,关卡产出!$A:$A,玩家节奏1!$N$6,关卡产出!$B:$B,玩家节奏1!$N154)+_xlfn.MAXIFS(关卡产出!X:X,关卡产出!$A:$A,玩家节奏1!$O$6,关卡产出!$B:$B,玩家节奏1!$O154)+_xlfn.MAXIFS(关卡产出!X:X,关卡产出!$A:$A,玩家节奏1!$P$6,关卡产出!$B:$B,玩家节奏1!$P154)</f>
        <v>23900</v>
      </c>
      <c r="R154" s="90">
        <f>_xlfn.MAXIFS(关卡产出!Y:Y,关卡产出!$A:$A,玩家节奏1!$N$6,关卡产出!$B:$B,玩家节奏1!$N154)+_xlfn.MAXIFS(关卡产出!Y:Y,关卡产出!$A:$A,玩家节奏1!$O$6,关卡产出!$B:$B,玩家节奏1!$O154)+_xlfn.MAXIFS(关卡产出!Y:Y,关卡产出!$A:$A,玩家节奏1!$P$6,关卡产出!$B:$B,玩家节奏1!$P154)</f>
        <v>4594700</v>
      </c>
      <c r="S154" s="90">
        <f>_xlfn.MAXIFS(关卡产出!Z:Z,关卡产出!$A:$A,玩家节奏1!$N$6,关卡产出!$B:$B,玩家节奏1!$N154)+_xlfn.MAXIFS(关卡产出!Z:Z,关卡产出!$A:$A,玩家节奏1!$O$6,关卡产出!$B:$B,玩家节奏1!$O154)+_xlfn.MAXIFS(关卡产出!Z:Z,关卡产出!$A:$A,玩家节奏1!$P$6,关卡产出!$B:$B,玩家节奏1!$P154)</f>
        <v>31562</v>
      </c>
      <c r="T154" s="90">
        <f>_xlfn.MAXIFS(关卡产出!AA:AA,关卡产出!$A:$A,玩家节奏1!$N$6,关卡产出!$B:$B,玩家节奏1!$N154)+_xlfn.MAXIFS(关卡产出!AA:AA,关卡产出!$A:$A,玩家节奏1!$O$6,关卡产出!$B:$B,玩家节奏1!$O154)+_xlfn.MAXIFS(关卡产出!AA:AA,关卡产出!$A:$A,玩家节奏1!$P$6,关卡产出!$B:$B,玩家节奏1!$P154)</f>
        <v>15782</v>
      </c>
      <c r="U154" s="90">
        <f>_xlfn.MAXIFS(关卡产出!AB:AB,关卡产出!$A:$A,玩家节奏1!$N$6,关卡产出!$B:$B,玩家节奏1!$N154)+_xlfn.MAXIFS(关卡产出!AB:AB,关卡产出!$A:$A,玩家节奏1!$O$6,关卡产出!$B:$B,玩家节奏1!$O154)+_xlfn.MAXIFS(关卡产出!AB:AB,关卡产出!$A:$A,玩家节奏1!$P$6,关卡产出!$B:$B,玩家节奏1!$P154)</f>
        <v>7506</v>
      </c>
      <c r="V154" s="130">
        <f>_xlfn.MAXIFS(关卡产出!AC:AC,关卡产出!$A:$A,玩家节奏1!$N$6,关卡产出!$B:$B,玩家节奏1!$N154)+_xlfn.MAXIFS(关卡产出!AC:AC,关卡产出!$A:$A,玩家节奏1!$O$6,关卡产出!$B:$B,玩家节奏1!$O154)+_xlfn.MAXIFS(关卡产出!AC:AC,关卡产出!$A:$A,玩家节奏1!$P$6,关卡产出!$B:$B,玩家节奏1!$P154)</f>
        <v>762</v>
      </c>
      <c r="W154" s="126">
        <f>INDEX(关卡产出!C$8:C$207,MATCH(玩家节奏1!$N154,关卡产出!$B$8:$B$207,0))*$K154</f>
        <v>500</v>
      </c>
      <c r="X154" s="126">
        <f>INDEX(关卡产出!D$8:D$207,MATCH(玩家节奏1!$N154,关卡产出!$B$8:$B$207,0))*$K154</f>
        <v>250</v>
      </c>
      <c r="Y154" s="126">
        <f>INDEX(关卡产出!E$8:E$207,MATCH(玩家节奏1!$N154,关卡产出!$B$8:$B$207,0))*$K154</f>
        <v>120</v>
      </c>
      <c r="Z154" s="144">
        <f>INDEX(关卡产出!F$8:F$207,MATCH(玩家节奏1!$N154,关卡产出!$B$8:$B$207,0))*$K154</f>
        <v>6650</v>
      </c>
      <c r="AA154" s="126">
        <f>SUM(W$7:W154)</f>
        <v>37286</v>
      </c>
      <c r="AB154" s="126">
        <f>SUM(X$7:X154)</f>
        <v>18486</v>
      </c>
      <c r="AC154" s="126">
        <f>SUM(Y$7:Y154)</f>
        <v>8817</v>
      </c>
      <c r="AD154" s="126">
        <f>SUM(Z$7:Z154)</f>
        <v>522060</v>
      </c>
      <c r="AE154" s="126">
        <f>INDEX(图鉴!AQ:AQ,MATCH($N154,图鉴!$S:$S,0))*8</f>
        <v>168</v>
      </c>
      <c r="AF154" s="90">
        <f>INDEX(图鉴!AR:AR,MATCH($N154,图鉴!$S:$S,0))*8</f>
        <v>120</v>
      </c>
      <c r="AG154" s="90">
        <f>INDEX(图鉴!AS:AS,MATCH($N154,图鉴!$S:$S,0))*8</f>
        <v>48</v>
      </c>
      <c r="AH154" s="129">
        <f ca="1">INDEX(图鉴!AT:AT,MATCH($N154,图鉴!$S:$S,0))*8</f>
        <v>10880</v>
      </c>
      <c r="AI154" s="128">
        <f>SUM($AE$7:AE154)</f>
        <v>22440</v>
      </c>
      <c r="AJ154" s="90">
        <f>SUM(AF$7:AF154)</f>
        <v>13480</v>
      </c>
      <c r="AK154" s="90">
        <f>SUM(AG$7:AG154)</f>
        <v>4712</v>
      </c>
      <c r="AL154" s="130">
        <f ca="1">SUM(AH$7:AH154)</f>
        <v>1054840</v>
      </c>
      <c r="AM154" s="133">
        <f>IF(M154=0,0,INDEX(关卡产出!$AU$11:$AU$15,MATCH(玩家节奏1!N154,关卡产出!$AW$11:$AW$15,1))*M154)</f>
        <v>12200</v>
      </c>
      <c r="AN154" s="126">
        <f>IF(L154=0,0,$L154*关卡产出!AU$21)</f>
        <v>1000</v>
      </c>
      <c r="AO154" s="90">
        <f>IF(M154=0,0,$L154*关卡产出!AV$21)</f>
        <v>50</v>
      </c>
      <c r="AP154" s="129">
        <f>IF(N154=0,0,$L154*关卡产出!AW$21)</f>
        <v>1</v>
      </c>
      <c r="AQ154" s="138">
        <f>SUM(AN$7:AN154)</f>
        <v>131000</v>
      </c>
      <c r="AR154" s="126">
        <f>SUM(AO$7:AO154)</f>
        <v>6550</v>
      </c>
      <c r="AS154" s="129">
        <f>SUM(AP$7:AP154)</f>
        <v>131</v>
      </c>
      <c r="AT154" s="128">
        <v>500</v>
      </c>
      <c r="AU154" s="129">
        <v>100</v>
      </c>
      <c r="AV154" s="128">
        <f>SUM(AT$7:AT154)</f>
        <v>74000</v>
      </c>
      <c r="AW154" s="90">
        <f>SUM(AU$7:AU154)</f>
        <v>14800</v>
      </c>
      <c r="AY154" s="128">
        <f t="shared" si="167"/>
        <v>23900</v>
      </c>
      <c r="AZ154" s="90">
        <f t="shared" si="168"/>
        <v>6550</v>
      </c>
      <c r="BA154" s="90">
        <f t="shared" si="169"/>
        <v>14800</v>
      </c>
      <c r="BB154" s="90">
        <f t="shared" ca="1" si="217"/>
        <v>10800</v>
      </c>
      <c r="BC154" s="90">
        <f t="shared" ca="1" si="218"/>
        <v>56050</v>
      </c>
      <c r="BD154" s="90"/>
      <c r="BE154" s="90">
        <f t="shared" ca="1" si="170"/>
        <v>56050</v>
      </c>
      <c r="BF154" s="142">
        <f t="shared" ca="1" si="171"/>
        <v>0.42640499553969669</v>
      </c>
      <c r="BG154" s="142">
        <f t="shared" ca="1" si="172"/>
        <v>0.11685994647636039</v>
      </c>
      <c r="BH154" s="142">
        <f t="shared" ca="1" si="173"/>
        <v>0.26404995539696702</v>
      </c>
      <c r="BI154" s="142">
        <f t="shared" ca="1" si="174"/>
        <v>0.19268510258697591</v>
      </c>
      <c r="BJ154" s="143"/>
      <c r="BK154" s="128">
        <f ca="1">INDEX(商城宝箱!$L:$L,MATCH(BC154,商城宝箱!$N:$N,1))</f>
        <v>9</v>
      </c>
      <c r="BL154" s="90">
        <f ca="1">_xlfn.IFNA(INDEX(商城宝箱!T:T,MATCH(玩家节奏1!$BK154,商城宝箱!$L:$L,0)),0)+($BC154-INDEX(商城宝箱!$N:$N,MATCH(玩家节奏1!$BK154,商城宝箱!$L:$L,0)))/$BK$5*INDEX(商城宝箱!E$23:E$42,MATCH(玩家节奏1!$BK154+1,商城宝箱!$C$23:$C$42,0))</f>
        <v>140125</v>
      </c>
      <c r="BM154" s="90">
        <f ca="1">_xlfn.IFNA(INDEX(商城宝箱!U:U,MATCH(玩家节奏1!$BK154,商城宝箱!$L:$L,0)),0)+($BC154-INDEX(商城宝箱!$N:$N,MATCH(玩家节奏1!$BK154,商城宝箱!$L:$L,0)))/$BK$5*INDEX(商城宝箱!F$23:F$42,MATCH(玩家节奏1!$BK154+1,商城宝箱!$C$23:$C$42,0))</f>
        <v>94827.5</v>
      </c>
      <c r="BN154" s="90">
        <f ca="1">_xlfn.IFNA(INDEX(商城宝箱!V:V,MATCH(玩家节奏1!$BK154,商城宝箱!$L:$L,0)),0)+($BC154-INDEX(商城宝箱!$N:$N,MATCH(玩家节奏1!$BK154,商城宝箱!$L:$L,0)))/$BK$5*INDEX(商城宝箱!G$23:G$42,MATCH(玩家节奏1!$BK154+1,商城宝箱!$C$23:$C$42,0))</f>
        <v>56824.5</v>
      </c>
      <c r="BO154" s="90">
        <f ca="1">_xlfn.IFNA(INDEX(商城宝箱!W:W,MATCH(玩家节奏1!$BK154,商城宝箱!$L:$L,0)),0)+($BC154-INDEX(商城宝箱!$N:$N,MATCH(玩家节奏1!$BK154,商城宝箱!$L:$L,0)))/$BK$5*INDEX(商城宝箱!H$23:H$42,MATCH(玩家节奏1!$BK154+1,商城宝箱!$C$23:$C$42,0))</f>
        <v>7621.5</v>
      </c>
      <c r="BQ154" s="128">
        <f t="shared" si="158"/>
        <v>4594700</v>
      </c>
      <c r="BR154" s="90">
        <f t="shared" si="159"/>
        <v>522060</v>
      </c>
      <c r="BS154" s="90">
        <f t="shared" ca="1" si="160"/>
        <v>1054840</v>
      </c>
      <c r="BT154" s="90">
        <f t="shared" si="161"/>
        <v>12200</v>
      </c>
      <c r="BU154" s="90">
        <f t="shared" si="162"/>
        <v>131000</v>
      </c>
      <c r="BV154" s="90">
        <f t="shared" si="163"/>
        <v>74000</v>
      </c>
      <c r="BW154" s="90">
        <f t="shared" ca="1" si="175"/>
        <v>140125</v>
      </c>
      <c r="BX154" s="90">
        <f t="shared" ca="1" si="176"/>
        <v>6528925</v>
      </c>
      <c r="BY154" s="142">
        <f t="shared" ca="1" si="177"/>
        <v>0.70374525668467625</v>
      </c>
      <c r="BZ154" s="142">
        <f t="shared" ca="1" si="178"/>
        <v>7.9961096198838247E-2</v>
      </c>
      <c r="CA154" s="142">
        <f t="shared" ca="1" si="179"/>
        <v>0.16156411660418829</v>
      </c>
      <c r="CB154" s="142">
        <f t="shared" ca="1" si="180"/>
        <v>1.8686077723361809E-3</v>
      </c>
      <c r="CC154" s="142">
        <f t="shared" ca="1" si="181"/>
        <v>2.0064558866888502E-2</v>
      </c>
      <c r="CD154" s="142">
        <f t="shared" ca="1" si="182"/>
        <v>1.1334178291219459E-2</v>
      </c>
      <c r="CE154" s="142">
        <f t="shared" ca="1" si="183"/>
        <v>2.146218558185306E-2</v>
      </c>
      <c r="CG154" s="128">
        <f t="shared" si="184"/>
        <v>127</v>
      </c>
      <c r="CH154" s="90">
        <f ca="1">INDEX(角色升级!$A:$A,MATCH(玩家节奏1!$BX154,角色升级!$J:$J,1))</f>
        <v>625</v>
      </c>
      <c r="CI154" s="90">
        <f ca="1">INDEX(角色升级!$O:$O,MATCH(玩家节奏1!$BX154,角色升级!$J:$J,1))</f>
        <v>30629.990820000006</v>
      </c>
      <c r="CJ154" s="90">
        <f>INDEX(关卡对比!$J:$J,MATCH(玩家节奏1!N154,关卡对比!$A:$A,0))</f>
        <v>49700</v>
      </c>
      <c r="CK154" s="147">
        <f t="shared" ca="1" si="185"/>
        <v>1.6225927161410749</v>
      </c>
      <c r="CL154" s="128">
        <f ca="1">INDEX(角色升级!$P:$P,MATCH(玩家节奏1!$CH154,角色升级!$A:$A,0))</f>
        <v>10800</v>
      </c>
      <c r="CM154" s="90">
        <f ca="1">INDEX(角色升级!Q:Q,MATCH(玩家节奏1!$CH154,角色升级!$A:$A,0))</f>
        <v>1</v>
      </c>
      <c r="CO154" s="128">
        <f t="shared" si="186"/>
        <v>31562</v>
      </c>
      <c r="CP154" s="90">
        <f t="shared" si="187"/>
        <v>37286</v>
      </c>
      <c r="CQ154" s="90">
        <f t="shared" si="188"/>
        <v>22440</v>
      </c>
      <c r="CR154" s="90">
        <f t="shared" ca="1" si="189"/>
        <v>94827.5</v>
      </c>
      <c r="CS154" s="90">
        <f t="shared" ca="1" si="190"/>
        <v>186115.5</v>
      </c>
      <c r="CT154" s="142">
        <f t="shared" ca="1" si="191"/>
        <v>0.16958286655329621</v>
      </c>
      <c r="CU154" s="142">
        <f t="shared" ca="1" si="192"/>
        <v>0.20033796217939936</v>
      </c>
      <c r="CV154" s="142">
        <f t="shared" ca="1" si="193"/>
        <v>0.12057029102895782</v>
      </c>
      <c r="CW154" s="142">
        <f t="shared" ca="1" si="194"/>
        <v>0.50950888023834662</v>
      </c>
      <c r="CY154" s="128">
        <f t="shared" si="195"/>
        <v>15782</v>
      </c>
      <c r="CZ154" s="90">
        <f t="shared" si="196"/>
        <v>18486</v>
      </c>
      <c r="DA154" s="90">
        <f t="shared" si="197"/>
        <v>13480</v>
      </c>
      <c r="DB154" s="90">
        <f t="shared" ca="1" si="198"/>
        <v>56824.5</v>
      </c>
      <c r="DC154" s="90">
        <f t="shared" ca="1" si="199"/>
        <v>104572.5</v>
      </c>
      <c r="DD154" s="142">
        <f t="shared" ca="1" si="200"/>
        <v>0.15091921872385186</v>
      </c>
      <c r="DE154" s="142">
        <f t="shared" ca="1" si="201"/>
        <v>0.17677687728609337</v>
      </c>
      <c r="DF154" s="142">
        <f t="shared" ca="1" si="202"/>
        <v>0.12890578306916253</v>
      </c>
      <c r="DG154" s="142">
        <f t="shared" ca="1" si="203"/>
        <v>0.54339812092089224</v>
      </c>
      <c r="DI154" s="128">
        <f t="shared" si="204"/>
        <v>7506</v>
      </c>
      <c r="DJ154" s="90">
        <f t="shared" si="205"/>
        <v>8817</v>
      </c>
      <c r="DK154" s="90">
        <f t="shared" si="206"/>
        <v>4712</v>
      </c>
      <c r="DL154" s="90">
        <f t="shared" ca="1" si="207"/>
        <v>7621.5</v>
      </c>
      <c r="DM154" s="90">
        <f t="shared" ca="1" si="208"/>
        <v>28656.5</v>
      </c>
      <c r="DN154" s="142">
        <f t="shared" ca="1" si="209"/>
        <v>0.26193010311796627</v>
      </c>
      <c r="DO154" s="142">
        <f t="shared" ca="1" si="210"/>
        <v>0.30767888611658784</v>
      </c>
      <c r="DP154" s="142">
        <f t="shared" ca="1" si="211"/>
        <v>0.16443040845881388</v>
      </c>
      <c r="DQ154" s="142">
        <f t="shared" ca="1" si="212"/>
        <v>0.26596060230663199</v>
      </c>
      <c r="DS154" s="128">
        <f t="shared" ca="1" si="213"/>
        <v>186115.5</v>
      </c>
      <c r="DT154" s="90">
        <f t="shared" ca="1" si="214"/>
        <v>104572.5</v>
      </c>
      <c r="DU154" s="90">
        <f t="shared" ca="1" si="215"/>
        <v>28656.5</v>
      </c>
      <c r="DV154" s="90">
        <f t="shared" si="216"/>
        <v>131</v>
      </c>
      <c r="DW154" s="90">
        <f ca="1">_xlfn.IFNA(INDEX(武器升级消耗!$H:$H,MATCH(玩家节奏1!DS154/玩家节奏1!DS$5,武器升级消耗!M:M,1)),0)</f>
        <v>39</v>
      </c>
      <c r="DX154" s="90">
        <f ca="1">_xlfn.IFNA(INDEX(武器升级消耗!$H:$H,MATCH(玩家节奏1!DT154/玩家节奏1!DT$5,武器升级消耗!N:N,1)),0)</f>
        <v>35</v>
      </c>
      <c r="DY154" s="90">
        <f ca="1">_xlfn.IFNA(INDEX(武器升级消耗!$H:$H,MATCH(玩家节奏1!DU154/玩家节奏1!DU$5,武器升级消耗!O:O,1)),0)</f>
        <v>24</v>
      </c>
      <c r="DZ154" s="90">
        <f>_xlfn.IFNA(INDEX(武器升级消耗!$H:$H,MATCH(玩家节奏1!DV154/玩家节奏1!DV$5,武器升级消耗!P:P,1)),0)</f>
        <v>12</v>
      </c>
      <c r="EA154" s="90">
        <f ca="1">_xlfn.IFNA(INDEX(武器升级消耗!$Q:$Q,MATCH(玩家节奏1!DW154,武器升级消耗!$H:$H,0))*2*EA$4,0)</f>
        <v>5.1599999999999993</v>
      </c>
      <c r="EB154" s="90">
        <f ca="1">_xlfn.IFNA(INDEX(武器升级消耗!$Q:$Q,MATCH(玩家节奏1!DX154,武器升级消耗!$H:$H,0))*2*EB$4,0)</f>
        <v>5.85</v>
      </c>
      <c r="EC154" s="90">
        <f ca="1">_xlfn.IFNA(INDEX(武器升级消耗!$Q:$Q,MATCH(玩家节奏1!DY154,武器升级消耗!$H:$H,0))*2*EC$4,1)</f>
        <v>6.16</v>
      </c>
      <c r="ED154" s="90">
        <f>_xlfn.IFNA(INDEX(武器升级消耗!$Q:$Q,MATCH(玩家节奏1!DZ154,武器升级消耗!$H:$H,0))*2*ED$4,0)</f>
        <v>4.8000000000000007</v>
      </c>
    </row>
    <row r="155" spans="1:134" x14ac:dyDescent="0.25">
      <c r="A155" s="123">
        <v>149</v>
      </c>
      <c r="B155" s="123">
        <f>INDEX(关卡对比!$Y:$Y,MATCH(关卡对比!Z155,关卡对比!$AA:$AA,1))</f>
        <v>88</v>
      </c>
      <c r="C155" s="124">
        <f>INDEX(关卡对比!$Y:$Y,MATCH(关卡对比!Z155,关卡对比!$AB:$AB,1))</f>
        <v>68</v>
      </c>
      <c r="D155" s="125">
        <f t="shared" si="157"/>
        <v>884.5</v>
      </c>
      <c r="E155" s="125">
        <v>3</v>
      </c>
      <c r="F155" s="128">
        <v>5</v>
      </c>
      <c r="G155" s="90">
        <v>1</v>
      </c>
      <c r="H155" s="90">
        <v>1</v>
      </c>
      <c r="J155" s="128">
        <v>149</v>
      </c>
      <c r="K155" s="90">
        <f t="shared" si="164"/>
        <v>5</v>
      </c>
      <c r="L155" s="90">
        <f t="shared" si="165"/>
        <v>1</v>
      </c>
      <c r="M155" s="90">
        <f t="shared" si="166"/>
        <v>1</v>
      </c>
      <c r="N155" s="140">
        <f>INDEX($A:$A,MATCH(SUM($K$7:K155),$D:$D,1))</f>
        <v>128</v>
      </c>
      <c r="O155" s="140">
        <v>0</v>
      </c>
      <c r="P155" s="141">
        <v>0</v>
      </c>
      <c r="Q155" s="126">
        <f>_xlfn.MAXIFS(关卡产出!X:X,关卡产出!$A:$A,玩家节奏1!$N$6,关卡产出!$B:$B,玩家节奏1!$N155)+_xlfn.MAXIFS(关卡产出!X:X,关卡产出!$A:$A,玩家节奏1!$O$6,关卡产出!$B:$B,玩家节奏1!$O155)+_xlfn.MAXIFS(关卡产出!X:X,关卡产出!$A:$A,玩家节奏1!$P$6,关卡产出!$B:$B,玩家节奏1!$P155)</f>
        <v>24100</v>
      </c>
      <c r="R155" s="90">
        <f>_xlfn.MAXIFS(关卡产出!Y:Y,关卡产出!$A:$A,玩家节奏1!$N$6,关卡产出!$B:$B,玩家节奏1!$N155)+_xlfn.MAXIFS(关卡产出!Y:Y,关卡产出!$A:$A,玩家节奏1!$O$6,关卡产出!$B:$B,玩家节奏1!$O155)+_xlfn.MAXIFS(关卡产出!Y:Y,关卡产出!$A:$A,玩家节奏1!$P$6,关卡产出!$B:$B,玩家节奏1!$P155)</f>
        <v>4669200</v>
      </c>
      <c r="S155" s="90">
        <f>_xlfn.MAXIFS(关卡产出!Z:Z,关卡产出!$A:$A,玩家节奏1!$N$6,关卡产出!$B:$B,玩家节奏1!$N155)+_xlfn.MAXIFS(关卡产出!Z:Z,关卡产出!$A:$A,玩家节奏1!$O$6,关卡产出!$B:$B,玩家节奏1!$O155)+_xlfn.MAXIFS(关卡产出!Z:Z,关卡产出!$A:$A,玩家节奏1!$P$6,关卡产出!$B:$B,玩家节奏1!$P155)</f>
        <v>32066</v>
      </c>
      <c r="T155" s="90">
        <f>_xlfn.MAXIFS(关卡产出!AA:AA,关卡产出!$A:$A,玩家节奏1!$N$6,关卡产出!$B:$B,玩家节奏1!$N155)+_xlfn.MAXIFS(关卡产出!AA:AA,关卡产出!$A:$A,玩家节奏1!$O$6,关卡产出!$B:$B,玩家节奏1!$O155)+_xlfn.MAXIFS(关卡产出!AA:AA,关卡产出!$A:$A,玩家节奏1!$P$6,关卡产出!$B:$B,玩家节奏1!$P155)</f>
        <v>16034</v>
      </c>
      <c r="U155" s="90">
        <f>_xlfn.MAXIFS(关卡产出!AB:AB,关卡产出!$A:$A,玩家节奏1!$N$6,关卡产出!$B:$B,玩家节奏1!$N155)+_xlfn.MAXIFS(关卡产出!AB:AB,关卡产出!$A:$A,玩家节奏1!$O$6,关卡产出!$B:$B,玩家节奏1!$O155)+_xlfn.MAXIFS(关卡产出!AB:AB,关卡产出!$A:$A,玩家节奏1!$P$6,关卡产出!$B:$B,玩家节奏1!$P155)</f>
        <v>7629</v>
      </c>
      <c r="V155" s="130">
        <f>_xlfn.MAXIFS(关卡产出!AC:AC,关卡产出!$A:$A,玩家节奏1!$N$6,关卡产出!$B:$B,玩家节奏1!$N155)+_xlfn.MAXIFS(关卡产出!AC:AC,关卡产出!$A:$A,玩家节奏1!$O$6,关卡产出!$B:$B,玩家节奏1!$O155)+_xlfn.MAXIFS(关卡产出!AC:AC,关卡产出!$A:$A,玩家节奏1!$P$6,关卡产出!$B:$B,玩家节奏1!$P155)</f>
        <v>768</v>
      </c>
      <c r="W155" s="126">
        <f>INDEX(关卡产出!C$8:C$207,MATCH(玩家节奏1!$N155,关卡产出!$B$8:$B$207,0))*$K155</f>
        <v>505</v>
      </c>
      <c r="X155" s="126">
        <f>INDEX(关卡产出!D$8:D$207,MATCH(玩家节奏1!$N155,关卡产出!$B$8:$B$207,0))*$K155</f>
        <v>250</v>
      </c>
      <c r="Y155" s="126">
        <f>INDEX(关卡产出!E$8:E$207,MATCH(玩家节奏1!$N155,关卡产出!$B$8:$B$207,0))*$K155</f>
        <v>125</v>
      </c>
      <c r="Z155" s="144">
        <f>INDEX(关卡产出!F$8:F$207,MATCH(玩家节奏1!$N155,关卡产出!$B$8:$B$207,0))*$K155</f>
        <v>6650</v>
      </c>
      <c r="AA155" s="126">
        <f>SUM(W$7:W155)</f>
        <v>37791</v>
      </c>
      <c r="AB155" s="126">
        <f>SUM(X$7:X155)</f>
        <v>18736</v>
      </c>
      <c r="AC155" s="126">
        <f>SUM(Y$7:Y155)</f>
        <v>8942</v>
      </c>
      <c r="AD155" s="126">
        <f>SUM(Z$7:Z155)</f>
        <v>528710</v>
      </c>
      <c r="AE155" s="126">
        <f>INDEX(图鉴!AQ:AQ,MATCH($N155,图鉴!$S:$S,0))*8</f>
        <v>168</v>
      </c>
      <c r="AF155" s="90">
        <f>INDEX(图鉴!AR:AR,MATCH($N155,图鉴!$S:$S,0))*8</f>
        <v>120</v>
      </c>
      <c r="AG155" s="90">
        <f>INDEX(图鉴!AS:AS,MATCH($N155,图鉴!$S:$S,0))*8</f>
        <v>48</v>
      </c>
      <c r="AH155" s="129">
        <f ca="1">INDEX(图鉴!AT:AT,MATCH($N155,图鉴!$S:$S,0))*8</f>
        <v>10880</v>
      </c>
      <c r="AI155" s="128">
        <f>SUM($AE$7:AE155)</f>
        <v>22608</v>
      </c>
      <c r="AJ155" s="90">
        <f>SUM(AF$7:AF155)</f>
        <v>13600</v>
      </c>
      <c r="AK155" s="90">
        <f>SUM(AG$7:AG155)</f>
        <v>4760</v>
      </c>
      <c r="AL155" s="130">
        <f ca="1">SUM(AH$7:AH155)</f>
        <v>1065720</v>
      </c>
      <c r="AM155" s="133">
        <f>IF(M155=0,0,INDEX(关卡产出!$AU$11:$AU$15,MATCH(玩家节奏1!N155,关卡产出!$AW$11:$AW$15,1))*M155)</f>
        <v>12200</v>
      </c>
      <c r="AN155" s="126">
        <f>IF(L155=0,0,$L155*关卡产出!AU$21)</f>
        <v>1000</v>
      </c>
      <c r="AO155" s="90">
        <f>IF(M155=0,0,$L155*关卡产出!AV$21)</f>
        <v>50</v>
      </c>
      <c r="AP155" s="129">
        <f>IF(N155=0,0,$L155*关卡产出!AW$21)</f>
        <v>1</v>
      </c>
      <c r="AQ155" s="138">
        <f>SUM(AN$7:AN155)</f>
        <v>132000</v>
      </c>
      <c r="AR155" s="126">
        <f>SUM(AO$7:AO155)</f>
        <v>6600</v>
      </c>
      <c r="AS155" s="129">
        <f>SUM(AP$7:AP155)</f>
        <v>132</v>
      </c>
      <c r="AT155" s="128">
        <v>500</v>
      </c>
      <c r="AU155" s="129">
        <v>100</v>
      </c>
      <c r="AV155" s="128">
        <f>SUM(AT$7:AT155)</f>
        <v>74500</v>
      </c>
      <c r="AW155" s="90">
        <f>SUM(AU$7:AU155)</f>
        <v>14900</v>
      </c>
      <c r="AY155" s="128">
        <f t="shared" si="167"/>
        <v>24100</v>
      </c>
      <c r="AZ155" s="90">
        <f t="shared" si="168"/>
        <v>6600</v>
      </c>
      <c r="BA155" s="90">
        <f t="shared" si="169"/>
        <v>14900</v>
      </c>
      <c r="BB155" s="90">
        <f t="shared" ca="1" si="217"/>
        <v>10800</v>
      </c>
      <c r="BC155" s="90">
        <f t="shared" ca="1" si="218"/>
        <v>56400</v>
      </c>
      <c r="BD155" s="90"/>
      <c r="BE155" s="90">
        <f t="shared" ca="1" si="170"/>
        <v>56400</v>
      </c>
      <c r="BF155" s="142">
        <f t="shared" ca="1" si="171"/>
        <v>0.42730496453900707</v>
      </c>
      <c r="BG155" s="142">
        <f t="shared" ca="1" si="172"/>
        <v>0.11702127659574468</v>
      </c>
      <c r="BH155" s="142">
        <f t="shared" ca="1" si="173"/>
        <v>0.26418439716312059</v>
      </c>
      <c r="BI155" s="142">
        <f t="shared" ca="1" si="174"/>
        <v>0.19148936170212766</v>
      </c>
      <c r="BJ155" s="143"/>
      <c r="BK155" s="128">
        <f ca="1">INDEX(商城宝箱!$L:$L,MATCH(BC155,商城宝箱!$N:$N,1))</f>
        <v>9</v>
      </c>
      <c r="BL155" s="90">
        <f ca="1">_xlfn.IFNA(INDEX(商城宝箱!T:T,MATCH(玩家节奏1!$BK155,商城宝箱!$L:$L,0)),0)+($BC155-INDEX(商城宝箱!$N:$N,MATCH(玩家节奏1!$BK155,商城宝箱!$L:$L,0)))/$BK$5*INDEX(商城宝箱!E$23:E$42,MATCH(玩家节奏1!$BK155+1,商城宝箱!$C$23:$C$42,0))</f>
        <v>141000</v>
      </c>
      <c r="BM155" s="90">
        <f ca="1">_xlfn.IFNA(INDEX(商城宝箱!U:U,MATCH(玩家节奏1!$BK155,商城宝箱!$L:$L,0)),0)+($BC155-INDEX(商城宝箱!$N:$N,MATCH(玩家节奏1!$BK155,商城宝箱!$L:$L,0)))/$BK$5*INDEX(商城宝箱!F$23:F$42,MATCH(玩家节奏1!$BK155+1,商城宝箱!$C$23:$C$42,0))</f>
        <v>95772.5</v>
      </c>
      <c r="BN155" s="90">
        <f ca="1">_xlfn.IFNA(INDEX(商城宝箱!V:V,MATCH(玩家节奏1!$BK155,商城宝箱!$L:$L,0)),0)+($BC155-INDEX(商城宝箱!$N:$N,MATCH(玩家节奏1!$BK155,商城宝箱!$L:$L,0)))/$BK$5*INDEX(商城宝箱!G$23:G$42,MATCH(玩家节奏1!$BK155+1,商城宝箱!$C$23:$C$42,0))</f>
        <v>57262</v>
      </c>
      <c r="BO155" s="90">
        <f ca="1">_xlfn.IFNA(INDEX(商城宝箱!W:W,MATCH(玩家节奏1!$BK155,商城宝箱!$L:$L,0)),0)+($BC155-INDEX(商城宝箱!$N:$N,MATCH(玩家节奏1!$BK155,商城宝箱!$L:$L,0)))/$BK$5*INDEX(商城宝箱!H$23:H$42,MATCH(玩家节奏1!$BK155+1,商城宝箱!$C$23:$C$42,0))</f>
        <v>7691.5</v>
      </c>
      <c r="BQ155" s="128">
        <f t="shared" si="158"/>
        <v>4669200</v>
      </c>
      <c r="BR155" s="90">
        <f t="shared" si="159"/>
        <v>528710</v>
      </c>
      <c r="BS155" s="90">
        <f t="shared" ca="1" si="160"/>
        <v>1065720</v>
      </c>
      <c r="BT155" s="90">
        <f t="shared" si="161"/>
        <v>12200</v>
      </c>
      <c r="BU155" s="90">
        <f t="shared" si="162"/>
        <v>132000</v>
      </c>
      <c r="BV155" s="90">
        <f t="shared" si="163"/>
        <v>74500</v>
      </c>
      <c r="BW155" s="90">
        <f t="shared" ca="1" si="175"/>
        <v>141000</v>
      </c>
      <c r="BX155" s="90">
        <f t="shared" ca="1" si="176"/>
        <v>6623330</v>
      </c>
      <c r="BY155" s="142">
        <f t="shared" ca="1" si="177"/>
        <v>0.70496260944268219</v>
      </c>
      <c r="BZ155" s="142">
        <f t="shared" ca="1" si="178"/>
        <v>7.982540504549826E-2</v>
      </c>
      <c r="CA155" s="142">
        <f t="shared" ca="1" si="179"/>
        <v>0.16090395616706399</v>
      </c>
      <c r="CB155" s="142">
        <f t="shared" ca="1" si="180"/>
        <v>1.8419737503642428E-3</v>
      </c>
      <c r="CC155" s="142">
        <f t="shared" ca="1" si="181"/>
        <v>1.9929552053121316E-2</v>
      </c>
      <c r="CD155" s="142">
        <f t="shared" ca="1" si="182"/>
        <v>1.1248118393617713E-2</v>
      </c>
      <c r="CE155" s="142">
        <f t="shared" ca="1" si="183"/>
        <v>2.1288385147652314E-2</v>
      </c>
      <c r="CG155" s="128">
        <f t="shared" si="184"/>
        <v>128</v>
      </c>
      <c r="CH155" s="90">
        <f ca="1">INDEX(角色升级!$A:$A,MATCH(玩家节奏1!$BX155,角色升级!$J:$J,1))</f>
        <v>630</v>
      </c>
      <c r="CI155" s="90">
        <f ca="1">INDEX(角色升级!$O:$O,MATCH(玩家节奏1!$BX155,角色升级!$J:$J,1))</f>
        <v>30699.478095000006</v>
      </c>
      <c r="CJ155" s="90">
        <f>INDEX(关卡对比!$J:$J,MATCH(玩家节奏1!N155,关卡对比!$A:$A,0))</f>
        <v>50200</v>
      </c>
      <c r="CK155" s="147">
        <f t="shared" ca="1" si="185"/>
        <v>1.6352069518789645</v>
      </c>
      <c r="CL155" s="128">
        <f ca="1">INDEX(角色升级!$P:$P,MATCH(玩家节奏1!$CH155,角色升级!$A:$A,0))</f>
        <v>10800</v>
      </c>
      <c r="CM155" s="90">
        <f ca="1">INDEX(角色升级!Q:Q,MATCH(玩家节奏1!$CH155,角色升级!$A:$A,0))</f>
        <v>1</v>
      </c>
      <c r="CO155" s="128">
        <f t="shared" si="186"/>
        <v>32066</v>
      </c>
      <c r="CP155" s="90">
        <f t="shared" si="187"/>
        <v>37791</v>
      </c>
      <c r="CQ155" s="90">
        <f t="shared" si="188"/>
        <v>22608</v>
      </c>
      <c r="CR155" s="90">
        <f t="shared" ca="1" si="189"/>
        <v>95772.5</v>
      </c>
      <c r="CS155" s="90">
        <f t="shared" ca="1" si="190"/>
        <v>188237.5</v>
      </c>
      <c r="CT155" s="142">
        <f t="shared" ca="1" si="191"/>
        <v>0.1703486287270071</v>
      </c>
      <c r="CU155" s="142">
        <f t="shared" ca="1" si="192"/>
        <v>0.20076233481638886</v>
      </c>
      <c r="CV155" s="142">
        <f t="shared" ca="1" si="193"/>
        <v>0.12010359253602497</v>
      </c>
      <c r="CW155" s="142">
        <f t="shared" ca="1" si="194"/>
        <v>0.50878544392057901</v>
      </c>
      <c r="CY155" s="128">
        <f t="shared" si="195"/>
        <v>16034</v>
      </c>
      <c r="CZ155" s="90">
        <f t="shared" si="196"/>
        <v>18736</v>
      </c>
      <c r="DA155" s="90">
        <f t="shared" si="197"/>
        <v>13600</v>
      </c>
      <c r="DB155" s="90">
        <f t="shared" ca="1" si="198"/>
        <v>57262</v>
      </c>
      <c r="DC155" s="90">
        <f t="shared" ca="1" si="199"/>
        <v>105632</v>
      </c>
      <c r="DD155" s="142">
        <f t="shared" ca="1" si="200"/>
        <v>0.15179112390184793</v>
      </c>
      <c r="DE155" s="142">
        <f t="shared" ca="1" si="201"/>
        <v>0.17737049378976069</v>
      </c>
      <c r="DF155" s="142">
        <f t="shared" ca="1" si="202"/>
        <v>0.12874886398061194</v>
      </c>
      <c r="DG155" s="142">
        <f t="shared" ca="1" si="203"/>
        <v>0.54208951832777941</v>
      </c>
      <c r="DI155" s="128">
        <f t="shared" si="204"/>
        <v>7629</v>
      </c>
      <c r="DJ155" s="90">
        <f t="shared" si="205"/>
        <v>8942</v>
      </c>
      <c r="DK155" s="90">
        <f t="shared" si="206"/>
        <v>4760</v>
      </c>
      <c r="DL155" s="90">
        <f t="shared" ca="1" si="207"/>
        <v>7691.5</v>
      </c>
      <c r="DM155" s="90">
        <f t="shared" ca="1" si="208"/>
        <v>29022.5</v>
      </c>
      <c r="DN155" s="142">
        <f t="shared" ca="1" si="209"/>
        <v>0.26286501852011368</v>
      </c>
      <c r="DO155" s="142">
        <f t="shared" ca="1" si="210"/>
        <v>0.30810577999827721</v>
      </c>
      <c r="DP155" s="142">
        <f t="shared" ca="1" si="211"/>
        <v>0.1640106813679042</v>
      </c>
      <c r="DQ155" s="142">
        <f t="shared" ca="1" si="212"/>
        <v>0.26501852011370486</v>
      </c>
      <c r="DS155" s="128">
        <f t="shared" ca="1" si="213"/>
        <v>188237.5</v>
      </c>
      <c r="DT155" s="90">
        <f t="shared" ca="1" si="214"/>
        <v>105632</v>
      </c>
      <c r="DU155" s="90">
        <f t="shared" ca="1" si="215"/>
        <v>29022.5</v>
      </c>
      <c r="DV155" s="90">
        <f t="shared" si="216"/>
        <v>132</v>
      </c>
      <c r="DW155" s="90">
        <f ca="1">_xlfn.IFNA(INDEX(武器升级消耗!$H:$H,MATCH(玩家节奏1!DS155/玩家节奏1!DS$5,武器升级消耗!M:M,1)),0)</f>
        <v>39</v>
      </c>
      <c r="DX155" s="90">
        <f ca="1">_xlfn.IFNA(INDEX(武器升级消耗!$H:$H,MATCH(玩家节奏1!DT155/玩家节奏1!DT$5,武器升级消耗!N:N,1)),0)</f>
        <v>35</v>
      </c>
      <c r="DY155" s="90">
        <f ca="1">_xlfn.IFNA(INDEX(武器升级消耗!$H:$H,MATCH(玩家节奏1!DU155/玩家节奏1!DU$5,武器升级消耗!O:O,1)),0)</f>
        <v>24</v>
      </c>
      <c r="DZ155" s="90">
        <f>_xlfn.IFNA(INDEX(武器升级消耗!$H:$H,MATCH(玩家节奏1!DV155/玩家节奏1!DV$5,武器升级消耗!P:P,1)),0)</f>
        <v>12</v>
      </c>
      <c r="EA155" s="90">
        <f ca="1">_xlfn.IFNA(INDEX(武器升级消耗!$Q:$Q,MATCH(玩家节奏1!DW155,武器升级消耗!$H:$H,0))*2*EA$4,0)</f>
        <v>5.1599999999999993</v>
      </c>
      <c r="EB155" s="90">
        <f ca="1">_xlfn.IFNA(INDEX(武器升级消耗!$Q:$Q,MATCH(玩家节奏1!DX155,武器升级消耗!$H:$H,0))*2*EB$4,0)</f>
        <v>5.85</v>
      </c>
      <c r="EC155" s="90">
        <f ca="1">_xlfn.IFNA(INDEX(武器升级消耗!$Q:$Q,MATCH(玩家节奏1!DY155,武器升级消耗!$H:$H,0))*2*EC$4,1)</f>
        <v>6.16</v>
      </c>
      <c r="ED155" s="90">
        <f>_xlfn.IFNA(INDEX(武器升级消耗!$Q:$Q,MATCH(玩家节奏1!DZ155,武器升级消耗!$H:$H,0))*2*ED$4,0)</f>
        <v>4.8000000000000007</v>
      </c>
    </row>
    <row r="156" spans="1:134" x14ac:dyDescent="0.25">
      <c r="A156" s="123">
        <v>150</v>
      </c>
      <c r="B156" s="123">
        <f>INDEX(关卡对比!$Y:$Y,MATCH(关卡对比!Z156,关卡对比!$AA:$AA,1))</f>
        <v>88</v>
      </c>
      <c r="C156" s="124">
        <f>INDEX(关卡对比!$Y:$Y,MATCH(关卡对比!Z156,关卡对比!$AB:$AB,1))</f>
        <v>68</v>
      </c>
      <c r="D156" s="125">
        <f t="shared" si="157"/>
        <v>887.5</v>
      </c>
      <c r="E156" s="125">
        <v>3</v>
      </c>
      <c r="F156" s="128">
        <v>5</v>
      </c>
      <c r="G156" s="90">
        <v>1</v>
      </c>
      <c r="H156" s="90">
        <v>1</v>
      </c>
      <c r="J156" s="128">
        <v>150</v>
      </c>
      <c r="K156" s="90">
        <f t="shared" si="164"/>
        <v>5</v>
      </c>
      <c r="L156" s="90">
        <f t="shared" si="165"/>
        <v>1</v>
      </c>
      <c r="M156" s="90">
        <f t="shared" si="166"/>
        <v>1</v>
      </c>
      <c r="N156" s="140">
        <f>INDEX($A:$A,MATCH(SUM($K$7:K156),$D:$D,1))</f>
        <v>129</v>
      </c>
      <c r="O156" s="140">
        <v>0</v>
      </c>
      <c r="P156" s="141">
        <v>0</v>
      </c>
      <c r="Q156" s="126">
        <f>_xlfn.MAXIFS(关卡产出!X:X,关卡产出!$A:$A,玩家节奏1!$N$6,关卡产出!$B:$B,玩家节奏1!$N156)+_xlfn.MAXIFS(关卡产出!X:X,关卡产出!$A:$A,玩家节奏1!$O$6,关卡产出!$B:$B,玩家节奏1!$O156)+_xlfn.MAXIFS(关卡产出!X:X,关卡产出!$A:$A,玩家节奏1!$P$6,关卡产出!$B:$B,玩家节奏1!$P156)</f>
        <v>24300</v>
      </c>
      <c r="R156" s="90">
        <f>_xlfn.MAXIFS(关卡产出!Y:Y,关卡产出!$A:$A,玩家节奏1!$N$6,关卡产出!$B:$B,玩家节奏1!$N156)+_xlfn.MAXIFS(关卡产出!Y:Y,关卡产出!$A:$A,玩家节奏1!$O$6,关卡产出!$B:$B,玩家节奏1!$O156)+_xlfn.MAXIFS(关卡产出!Y:Y,关卡产出!$A:$A,玩家节奏1!$P$6,关卡产出!$B:$B,玩家节奏1!$P156)</f>
        <v>4744300</v>
      </c>
      <c r="S156" s="90">
        <f>_xlfn.MAXIFS(关卡产出!Z:Z,关卡产出!$A:$A,玩家节奏1!$N$6,关卡产出!$B:$B,玩家节奏1!$N156)+_xlfn.MAXIFS(关卡产出!Z:Z,关卡产出!$A:$A,玩家节奏1!$O$6,关卡产出!$B:$B,玩家节奏1!$O156)+_xlfn.MAXIFS(关卡产出!Z:Z,关卡产出!$A:$A,玩家节奏1!$P$6,关卡产出!$B:$B,玩家节奏1!$P156)</f>
        <v>32574</v>
      </c>
      <c r="T156" s="90">
        <f>_xlfn.MAXIFS(关卡产出!AA:AA,关卡产出!$A:$A,玩家节奏1!$N$6,关卡产出!$B:$B,玩家节奏1!$N156)+_xlfn.MAXIFS(关卡产出!AA:AA,关卡产出!$A:$A,玩家节奏1!$O$6,关卡产出!$B:$B,玩家节奏1!$O156)+_xlfn.MAXIFS(关卡产出!AA:AA,关卡产出!$A:$A,玩家节奏1!$P$6,关卡产出!$B:$B,玩家节奏1!$P156)</f>
        <v>16288</v>
      </c>
      <c r="U156" s="90">
        <f>_xlfn.MAXIFS(关卡产出!AB:AB,关卡产出!$A:$A,玩家节奏1!$N$6,关卡产出!$B:$B,玩家节奏1!$N156)+_xlfn.MAXIFS(关卡产出!AB:AB,关卡产出!$A:$A,玩家节奏1!$O$6,关卡产出!$B:$B,玩家节奏1!$O156)+_xlfn.MAXIFS(关卡产出!AB:AB,关卡产出!$A:$A,玩家节奏1!$P$6,关卡产出!$B:$B,玩家节奏1!$P156)</f>
        <v>7753</v>
      </c>
      <c r="V156" s="130">
        <f>_xlfn.MAXIFS(关卡产出!AC:AC,关卡产出!$A:$A,玩家节奏1!$N$6,关卡产出!$B:$B,玩家节奏1!$N156)+_xlfn.MAXIFS(关卡产出!AC:AC,关卡产出!$A:$A,玩家节奏1!$O$6,关卡产出!$B:$B,玩家节奏1!$O156)+_xlfn.MAXIFS(关卡产出!AC:AC,关卡产出!$A:$A,玩家节奏1!$P$6,关卡产出!$B:$B,玩家节奏1!$P156)</f>
        <v>774</v>
      </c>
      <c r="W156" s="126">
        <f>INDEX(关卡产出!C$8:C$207,MATCH(玩家节奏1!$N156,关卡产出!$B$8:$B$207,0))*$K156</f>
        <v>510</v>
      </c>
      <c r="X156" s="126">
        <f>INDEX(关卡产出!D$8:D$207,MATCH(玩家节奏1!$N156,关卡产出!$B$8:$B$207,0))*$K156</f>
        <v>255</v>
      </c>
      <c r="Y156" s="126">
        <f>INDEX(关卡产出!E$8:E$207,MATCH(玩家节奏1!$N156,关卡产出!$B$8:$B$207,0))*$K156</f>
        <v>125</v>
      </c>
      <c r="Z156" s="144">
        <f>INDEX(关卡产出!F$8:F$207,MATCH(玩家节奏1!$N156,关卡产出!$B$8:$B$207,0))*$K156</f>
        <v>6750</v>
      </c>
      <c r="AA156" s="126">
        <f>SUM(W$7:W156)</f>
        <v>38301</v>
      </c>
      <c r="AB156" s="126">
        <f>SUM(X$7:X156)</f>
        <v>18991</v>
      </c>
      <c r="AC156" s="126">
        <f>SUM(Y$7:Y156)</f>
        <v>9067</v>
      </c>
      <c r="AD156" s="126">
        <f>SUM(Z$7:Z156)</f>
        <v>535460</v>
      </c>
      <c r="AE156" s="126">
        <f>INDEX(图鉴!AQ:AQ,MATCH($N156,图鉴!$S:$S,0))*8</f>
        <v>168</v>
      </c>
      <c r="AF156" s="90">
        <f>INDEX(图鉴!AR:AR,MATCH($N156,图鉴!$S:$S,0))*8</f>
        <v>120</v>
      </c>
      <c r="AG156" s="90">
        <f>INDEX(图鉴!AS:AS,MATCH($N156,图鉴!$S:$S,0))*8</f>
        <v>48</v>
      </c>
      <c r="AH156" s="129">
        <f ca="1">INDEX(图鉴!AT:AT,MATCH($N156,图鉴!$S:$S,0))*8</f>
        <v>10880</v>
      </c>
      <c r="AI156" s="128">
        <f>SUM($AE$7:AE156)</f>
        <v>22776</v>
      </c>
      <c r="AJ156" s="90">
        <f>SUM(AF$7:AF156)</f>
        <v>13720</v>
      </c>
      <c r="AK156" s="90">
        <f>SUM(AG$7:AG156)</f>
        <v>4808</v>
      </c>
      <c r="AL156" s="130">
        <f ca="1">SUM(AH$7:AH156)</f>
        <v>1076600</v>
      </c>
      <c r="AM156" s="133">
        <f>IF(M156=0,0,INDEX(关卡产出!$AU$11:$AU$15,MATCH(玩家节奏1!N156,关卡产出!$AW$11:$AW$15,1))*M156)</f>
        <v>12200</v>
      </c>
      <c r="AN156" s="126">
        <f>IF(L156=0,0,$L156*关卡产出!AU$21)</f>
        <v>1000</v>
      </c>
      <c r="AO156" s="90">
        <f>IF(M156=0,0,$L156*关卡产出!AV$21)</f>
        <v>50</v>
      </c>
      <c r="AP156" s="129">
        <f>IF(N156=0,0,$L156*关卡产出!AW$21)</f>
        <v>1</v>
      </c>
      <c r="AQ156" s="138">
        <f>SUM(AN$7:AN156)</f>
        <v>133000</v>
      </c>
      <c r="AR156" s="126">
        <f>SUM(AO$7:AO156)</f>
        <v>6650</v>
      </c>
      <c r="AS156" s="129">
        <f>SUM(AP$7:AP156)</f>
        <v>133</v>
      </c>
      <c r="AT156" s="128">
        <v>500</v>
      </c>
      <c r="AU156" s="129">
        <v>100</v>
      </c>
      <c r="AV156" s="128">
        <f>SUM(AT$7:AT156)</f>
        <v>75000</v>
      </c>
      <c r="AW156" s="90">
        <f>SUM(AU$7:AU156)</f>
        <v>15000</v>
      </c>
      <c r="AY156" s="128">
        <f t="shared" si="167"/>
        <v>24300</v>
      </c>
      <c r="AZ156" s="90">
        <f t="shared" si="168"/>
        <v>6650</v>
      </c>
      <c r="BA156" s="90">
        <f t="shared" si="169"/>
        <v>15000</v>
      </c>
      <c r="BB156" s="90">
        <f t="shared" ca="1" si="217"/>
        <v>10800</v>
      </c>
      <c r="BC156" s="90">
        <f t="shared" ca="1" si="218"/>
        <v>56750</v>
      </c>
      <c r="BD156" s="90"/>
      <c r="BE156" s="90">
        <f t="shared" ca="1" si="170"/>
        <v>56750</v>
      </c>
      <c r="BF156" s="142">
        <f t="shared" ca="1" si="171"/>
        <v>0.42819383259911892</v>
      </c>
      <c r="BG156" s="142">
        <f t="shared" ca="1" si="172"/>
        <v>0.1171806167400881</v>
      </c>
      <c r="BH156" s="142">
        <f t="shared" ca="1" si="173"/>
        <v>0.26431718061674009</v>
      </c>
      <c r="BI156" s="142">
        <f t="shared" ca="1" si="174"/>
        <v>0.19030837004405288</v>
      </c>
      <c r="BJ156" s="143"/>
      <c r="BK156" s="128">
        <f ca="1">INDEX(商城宝箱!$L:$L,MATCH(BC156,商城宝箱!$N:$N,1))</f>
        <v>9</v>
      </c>
      <c r="BL156" s="90">
        <f ca="1">_xlfn.IFNA(INDEX(商城宝箱!T:T,MATCH(玩家节奏1!$BK156,商城宝箱!$L:$L,0)),0)+($BC156-INDEX(商城宝箱!$N:$N,MATCH(玩家节奏1!$BK156,商城宝箱!$L:$L,0)))/$BK$5*INDEX(商城宝箱!E$23:E$42,MATCH(玩家节奏1!$BK156+1,商城宝箱!$C$23:$C$42,0))</f>
        <v>141875</v>
      </c>
      <c r="BM156" s="90">
        <f ca="1">_xlfn.IFNA(INDEX(商城宝箱!U:U,MATCH(玩家节奏1!$BK156,商城宝箱!$L:$L,0)),0)+($BC156-INDEX(商城宝箱!$N:$N,MATCH(玩家节奏1!$BK156,商城宝箱!$L:$L,0)))/$BK$5*INDEX(商城宝箱!F$23:F$42,MATCH(玩家节奏1!$BK156+1,商城宝箱!$C$23:$C$42,0))</f>
        <v>96717.5</v>
      </c>
      <c r="BN156" s="90">
        <f ca="1">_xlfn.IFNA(INDEX(商城宝箱!V:V,MATCH(玩家节奏1!$BK156,商城宝箱!$L:$L,0)),0)+($BC156-INDEX(商城宝箱!$N:$N,MATCH(玩家节奏1!$BK156,商城宝箱!$L:$L,0)))/$BK$5*INDEX(商城宝箱!G$23:G$42,MATCH(玩家节奏1!$BK156+1,商城宝箱!$C$23:$C$42,0))</f>
        <v>57699.5</v>
      </c>
      <c r="BO156" s="90">
        <f ca="1">_xlfn.IFNA(INDEX(商城宝箱!W:W,MATCH(玩家节奏1!$BK156,商城宝箱!$L:$L,0)),0)+($BC156-INDEX(商城宝箱!$N:$N,MATCH(玩家节奏1!$BK156,商城宝箱!$L:$L,0)))/$BK$5*INDEX(商城宝箱!H$23:H$42,MATCH(玩家节奏1!$BK156+1,商城宝箱!$C$23:$C$42,0))</f>
        <v>7761.5</v>
      </c>
      <c r="BQ156" s="128">
        <f t="shared" si="158"/>
        <v>4744300</v>
      </c>
      <c r="BR156" s="90">
        <f t="shared" si="159"/>
        <v>535460</v>
      </c>
      <c r="BS156" s="90">
        <f t="shared" ca="1" si="160"/>
        <v>1076600</v>
      </c>
      <c r="BT156" s="90">
        <f t="shared" si="161"/>
        <v>12200</v>
      </c>
      <c r="BU156" s="90">
        <f t="shared" si="162"/>
        <v>133000</v>
      </c>
      <c r="BV156" s="90">
        <f t="shared" si="163"/>
        <v>75000</v>
      </c>
      <c r="BW156" s="90">
        <f t="shared" ca="1" si="175"/>
        <v>141875</v>
      </c>
      <c r="BX156" s="90">
        <f t="shared" ca="1" si="176"/>
        <v>6718435</v>
      </c>
      <c r="BY156" s="142">
        <f t="shared" ca="1" si="177"/>
        <v>0.70616147957076314</v>
      </c>
      <c r="BZ156" s="142">
        <f t="shared" ca="1" si="178"/>
        <v>7.9700108730679092E-2</v>
      </c>
      <c r="CA156" s="142">
        <f t="shared" ca="1" si="179"/>
        <v>0.16024565244733335</v>
      </c>
      <c r="CB156" s="142">
        <f t="shared" ca="1" si="180"/>
        <v>1.8158990895945262E-3</v>
      </c>
      <c r="CC156" s="142">
        <f t="shared" ca="1" si="181"/>
        <v>1.9796276960333769E-2</v>
      </c>
      <c r="CD156" s="142">
        <f t="shared" ca="1" si="182"/>
        <v>1.1163314075376185E-2</v>
      </c>
      <c r="CE156" s="142">
        <f t="shared" ca="1" si="183"/>
        <v>2.1117269125919949E-2</v>
      </c>
      <c r="CG156" s="128">
        <f t="shared" si="184"/>
        <v>129</v>
      </c>
      <c r="CH156" s="90">
        <f ca="1">INDEX(角色升级!$A:$A,MATCH(玩家节奏1!$BX156,角色升级!$J:$J,1))</f>
        <v>632</v>
      </c>
      <c r="CI156" s="90">
        <f ca="1">INDEX(角色升级!$O:$O,MATCH(玩家节奏1!$BX156,角色升级!$J:$J,1))</f>
        <v>31273.674510000004</v>
      </c>
      <c r="CJ156" s="90">
        <f>INDEX(关卡对比!$J:$J,MATCH(玩家节奏1!N156,关卡对比!$A:$A,0))</f>
        <v>50700</v>
      </c>
      <c r="CK156" s="147">
        <f t="shared" ca="1" si="185"/>
        <v>1.6211718256448655</v>
      </c>
      <c r="CL156" s="128">
        <f ca="1">INDEX(角色升级!$P:$P,MATCH(玩家节奏1!$CH156,角色升级!$A:$A,0))</f>
        <v>10800</v>
      </c>
      <c r="CM156" s="90">
        <f ca="1">INDEX(角色升级!Q:Q,MATCH(玩家节奏1!$CH156,角色升级!$A:$A,0))</f>
        <v>1</v>
      </c>
      <c r="CO156" s="128">
        <f t="shared" si="186"/>
        <v>32574</v>
      </c>
      <c r="CP156" s="90">
        <f t="shared" si="187"/>
        <v>38301</v>
      </c>
      <c r="CQ156" s="90">
        <f t="shared" si="188"/>
        <v>22776</v>
      </c>
      <c r="CR156" s="90">
        <f t="shared" ca="1" si="189"/>
        <v>96717.5</v>
      </c>
      <c r="CS156" s="90">
        <f t="shared" ca="1" si="190"/>
        <v>190368.5</v>
      </c>
      <c r="CT156" s="142">
        <f t="shared" ca="1" si="191"/>
        <v>0.17111024145276135</v>
      </c>
      <c r="CU156" s="142">
        <f t="shared" ca="1" si="192"/>
        <v>0.20119400005778268</v>
      </c>
      <c r="CV156" s="142">
        <f t="shared" ca="1" si="193"/>
        <v>0.11964164239356827</v>
      </c>
      <c r="CW156" s="142">
        <f t="shared" ca="1" si="194"/>
        <v>0.50805411609588769</v>
      </c>
      <c r="CY156" s="128">
        <f t="shared" si="195"/>
        <v>16288</v>
      </c>
      <c r="CZ156" s="90">
        <f t="shared" si="196"/>
        <v>18991</v>
      </c>
      <c r="DA156" s="90">
        <f t="shared" si="197"/>
        <v>13720</v>
      </c>
      <c r="DB156" s="90">
        <f t="shared" ca="1" si="198"/>
        <v>57699.5</v>
      </c>
      <c r="DC156" s="90">
        <f t="shared" ca="1" si="199"/>
        <v>106698.5</v>
      </c>
      <c r="DD156" s="142">
        <f t="shared" ca="1" si="200"/>
        <v>0.15265444218990895</v>
      </c>
      <c r="DE156" s="142">
        <f t="shared" ca="1" si="201"/>
        <v>0.17798750685342343</v>
      </c>
      <c r="DF156" s="142">
        <f t="shared" ca="1" si="202"/>
        <v>0.12858662492912271</v>
      </c>
      <c r="DG156" s="142">
        <f t="shared" ca="1" si="203"/>
        <v>0.54077142602754491</v>
      </c>
      <c r="DI156" s="128">
        <f t="shared" si="204"/>
        <v>7753</v>
      </c>
      <c r="DJ156" s="90">
        <f t="shared" si="205"/>
        <v>9067</v>
      </c>
      <c r="DK156" s="90">
        <f t="shared" si="206"/>
        <v>4808</v>
      </c>
      <c r="DL156" s="90">
        <f t="shared" ca="1" si="207"/>
        <v>7761.5</v>
      </c>
      <c r="DM156" s="90">
        <f t="shared" ca="1" si="208"/>
        <v>29389.5</v>
      </c>
      <c r="DN156" s="142">
        <f t="shared" ca="1" si="209"/>
        <v>0.26380169788529917</v>
      </c>
      <c r="DO156" s="142">
        <f t="shared" ca="1" si="210"/>
        <v>0.30851154323823132</v>
      </c>
      <c r="DP156" s="142">
        <f t="shared" ca="1" si="211"/>
        <v>0.16359584205243369</v>
      </c>
      <c r="DQ156" s="142">
        <f t="shared" ca="1" si="212"/>
        <v>0.26409091682403579</v>
      </c>
      <c r="DS156" s="128">
        <f t="shared" ca="1" si="213"/>
        <v>190368.5</v>
      </c>
      <c r="DT156" s="90">
        <f t="shared" ca="1" si="214"/>
        <v>106698.5</v>
      </c>
      <c r="DU156" s="90">
        <f t="shared" ca="1" si="215"/>
        <v>29389.5</v>
      </c>
      <c r="DV156" s="90">
        <f t="shared" si="216"/>
        <v>133</v>
      </c>
      <c r="DW156" s="90">
        <f ca="1">_xlfn.IFNA(INDEX(武器升级消耗!$H:$H,MATCH(玩家节奏1!DS156/玩家节奏1!DS$5,武器升级消耗!M:M,1)),0)</f>
        <v>39</v>
      </c>
      <c r="DX156" s="90">
        <f ca="1">_xlfn.IFNA(INDEX(武器升级消耗!$H:$H,MATCH(玩家节奏1!DT156/玩家节奏1!DT$5,武器升级消耗!N:N,1)),0)</f>
        <v>35</v>
      </c>
      <c r="DY156" s="90">
        <f ca="1">_xlfn.IFNA(INDEX(武器升级消耗!$H:$H,MATCH(玩家节奏1!DU156/玩家节奏1!DU$5,武器升级消耗!O:O,1)),0)</f>
        <v>24</v>
      </c>
      <c r="DZ156" s="90">
        <f>_xlfn.IFNA(INDEX(武器升级消耗!$H:$H,MATCH(玩家节奏1!DV156/玩家节奏1!DV$5,武器升级消耗!P:P,1)),0)</f>
        <v>12</v>
      </c>
      <c r="EA156" s="90">
        <f ca="1">_xlfn.IFNA(INDEX(武器升级消耗!$Q:$Q,MATCH(玩家节奏1!DW156,武器升级消耗!$H:$H,0))*2*EA$4,0)</f>
        <v>5.1599999999999993</v>
      </c>
      <c r="EB156" s="90">
        <f ca="1">_xlfn.IFNA(INDEX(武器升级消耗!$Q:$Q,MATCH(玩家节奏1!DX156,武器升级消耗!$H:$H,0))*2*EB$4,0)</f>
        <v>5.85</v>
      </c>
      <c r="EC156" s="90">
        <f ca="1">_xlfn.IFNA(INDEX(武器升级消耗!$Q:$Q,MATCH(玩家节奏1!DY156,武器升级消耗!$H:$H,0))*2*EC$4,1)</f>
        <v>6.16</v>
      </c>
      <c r="ED156" s="90">
        <f>_xlfn.IFNA(INDEX(武器升级消耗!$Q:$Q,MATCH(玩家节奏1!DZ156,武器升级消耗!$H:$H,0))*2*ED$4,0)</f>
        <v>4.8000000000000007</v>
      </c>
    </row>
    <row r="157" spans="1:134" x14ac:dyDescent="0.25">
      <c r="A157" s="123">
        <v>151</v>
      </c>
      <c r="B157" s="123">
        <f>INDEX(关卡对比!$Y:$Y,MATCH(关卡对比!Z157,关卡对比!$AA:$AA,1))</f>
        <v>89</v>
      </c>
      <c r="C157" s="124">
        <f>INDEX(关卡对比!$Y:$Y,MATCH(关卡对比!Z157,关卡对比!$AB:$AB,1))</f>
        <v>68</v>
      </c>
      <c r="D157" s="125">
        <f t="shared" si="157"/>
        <v>893.5</v>
      </c>
      <c r="E157" s="125">
        <v>3</v>
      </c>
      <c r="F157" s="128">
        <v>5</v>
      </c>
      <c r="G157" s="90">
        <v>1</v>
      </c>
      <c r="H157" s="90">
        <v>1</v>
      </c>
      <c r="J157" s="128">
        <v>151</v>
      </c>
      <c r="K157" s="90">
        <f t="shared" si="164"/>
        <v>5</v>
      </c>
      <c r="L157" s="90">
        <f t="shared" si="165"/>
        <v>1</v>
      </c>
      <c r="M157" s="90">
        <f t="shared" si="166"/>
        <v>1</v>
      </c>
      <c r="N157" s="140">
        <f>INDEX($A:$A,MATCH(SUM($K$7:K157),$D:$D,1))</f>
        <v>130</v>
      </c>
      <c r="O157" s="140">
        <v>0</v>
      </c>
      <c r="P157" s="141">
        <v>0</v>
      </c>
      <c r="Q157" s="126">
        <f>_xlfn.MAXIFS(关卡产出!X:X,关卡产出!$A:$A,玩家节奏1!$N$6,关卡产出!$B:$B,玩家节奏1!$N157)+_xlfn.MAXIFS(关卡产出!X:X,关卡产出!$A:$A,玩家节奏1!$O$6,关卡产出!$B:$B,玩家节奏1!$O157)+_xlfn.MAXIFS(关卡产出!X:X,关卡产出!$A:$A,玩家节奏1!$P$6,关卡产出!$B:$B,玩家节奏1!$P157)</f>
        <v>24500</v>
      </c>
      <c r="R157" s="90">
        <f>_xlfn.MAXIFS(关卡产出!Y:Y,关卡产出!$A:$A,玩家节奏1!$N$6,关卡产出!$B:$B,玩家节奏1!$N157)+_xlfn.MAXIFS(关卡产出!Y:Y,关卡产出!$A:$A,玩家节奏1!$O$6,关卡产出!$B:$B,玩家节奏1!$O157)+_xlfn.MAXIFS(关卡产出!Y:Y,关卡产出!$A:$A,玩家节奏1!$P$6,关卡产出!$B:$B,玩家节奏1!$P157)</f>
        <v>4820000</v>
      </c>
      <c r="S157" s="90">
        <f>_xlfn.MAXIFS(关卡产出!Z:Z,关卡产出!$A:$A,玩家节奏1!$N$6,关卡产出!$B:$B,玩家节奏1!$N157)+_xlfn.MAXIFS(关卡产出!Z:Z,关卡产出!$A:$A,玩家节奏1!$O$6,关卡产出!$B:$B,玩家节奏1!$O157)+_xlfn.MAXIFS(关卡产出!Z:Z,关卡产出!$A:$A,玩家节奏1!$P$6,关卡产出!$B:$B,玩家节奏1!$P157)</f>
        <v>33086</v>
      </c>
      <c r="T157" s="90">
        <f>_xlfn.MAXIFS(关卡产出!AA:AA,关卡产出!$A:$A,玩家节奏1!$N$6,关卡产出!$B:$B,玩家节奏1!$N157)+_xlfn.MAXIFS(关卡产出!AA:AA,关卡产出!$A:$A,玩家节奏1!$O$6,关卡产出!$B:$B,玩家节奏1!$O157)+_xlfn.MAXIFS(关卡产出!AA:AA,关卡产出!$A:$A,玩家节奏1!$P$6,关卡产出!$B:$B,玩家节奏1!$P157)</f>
        <v>16544</v>
      </c>
      <c r="U157" s="90">
        <f>_xlfn.MAXIFS(关卡产出!AB:AB,关卡产出!$A:$A,玩家节奏1!$N$6,关卡产出!$B:$B,玩家节奏1!$N157)+_xlfn.MAXIFS(关卡产出!AB:AB,关卡产出!$A:$A,玩家节奏1!$O$6,关卡产出!$B:$B,玩家节奏1!$O157)+_xlfn.MAXIFS(关卡产出!AB:AB,关卡产出!$A:$A,玩家节奏1!$P$6,关卡产出!$B:$B,玩家节奏1!$P157)</f>
        <v>7878</v>
      </c>
      <c r="V157" s="130">
        <f>_xlfn.MAXIFS(关卡产出!AC:AC,关卡产出!$A:$A,玩家节奏1!$N$6,关卡产出!$B:$B,玩家节奏1!$N157)+_xlfn.MAXIFS(关卡产出!AC:AC,关卡产出!$A:$A,玩家节奏1!$O$6,关卡产出!$B:$B,玩家节奏1!$O157)+_xlfn.MAXIFS(关卡产出!AC:AC,关卡产出!$A:$A,玩家节奏1!$P$6,关卡产出!$B:$B,玩家节奏1!$P157)</f>
        <v>780</v>
      </c>
      <c r="W157" s="126">
        <f>INDEX(关卡产出!C$8:C$207,MATCH(玩家节奏1!$N157,关卡产出!$B$8:$B$207,0))*$K157</f>
        <v>510</v>
      </c>
      <c r="X157" s="126">
        <f>INDEX(关卡产出!D$8:D$207,MATCH(玩家节奏1!$N157,关卡产出!$B$8:$B$207,0))*$K157</f>
        <v>255</v>
      </c>
      <c r="Y157" s="126">
        <f>INDEX(关卡产出!E$8:E$207,MATCH(玩家节奏1!$N157,关卡产出!$B$8:$B$207,0))*$K157</f>
        <v>125</v>
      </c>
      <c r="Z157" s="144">
        <f>INDEX(关卡产出!F$8:F$207,MATCH(玩家节奏1!$N157,关卡产出!$B$8:$B$207,0))*$K157</f>
        <v>6750</v>
      </c>
      <c r="AA157" s="126">
        <f>SUM(W$7:W157)</f>
        <v>38811</v>
      </c>
      <c r="AB157" s="126">
        <f>SUM(X$7:X157)</f>
        <v>19246</v>
      </c>
      <c r="AC157" s="126">
        <f>SUM(Y$7:Y157)</f>
        <v>9192</v>
      </c>
      <c r="AD157" s="126">
        <f>SUM(Z$7:Z157)</f>
        <v>542210</v>
      </c>
      <c r="AE157" s="126">
        <f>INDEX(图鉴!AQ:AQ,MATCH($N157,图鉴!$S:$S,0))*8</f>
        <v>168</v>
      </c>
      <c r="AF157" s="90">
        <f>INDEX(图鉴!AR:AR,MATCH($N157,图鉴!$S:$S,0))*8</f>
        <v>120</v>
      </c>
      <c r="AG157" s="90">
        <f>INDEX(图鉴!AS:AS,MATCH($N157,图鉴!$S:$S,0))*8</f>
        <v>48</v>
      </c>
      <c r="AH157" s="129">
        <f ca="1">INDEX(图鉴!AT:AT,MATCH($N157,图鉴!$S:$S,0))*8</f>
        <v>10880</v>
      </c>
      <c r="AI157" s="128">
        <f>SUM($AE$7:AE157)</f>
        <v>22944</v>
      </c>
      <c r="AJ157" s="90">
        <f>SUM(AF$7:AF157)</f>
        <v>13840</v>
      </c>
      <c r="AK157" s="90">
        <f>SUM(AG$7:AG157)</f>
        <v>4856</v>
      </c>
      <c r="AL157" s="130">
        <f ca="1">SUM(AH$7:AH157)</f>
        <v>1087480</v>
      </c>
      <c r="AM157" s="133">
        <f>IF(M157=0,0,INDEX(关卡产出!$AU$11:$AU$15,MATCH(玩家节奏1!N157,关卡产出!$AW$11:$AW$15,1))*M157)</f>
        <v>12200</v>
      </c>
      <c r="AN157" s="126">
        <f>IF(L157=0,0,$L157*关卡产出!AU$21)</f>
        <v>1000</v>
      </c>
      <c r="AO157" s="90">
        <f>IF(M157=0,0,$L157*关卡产出!AV$21)</f>
        <v>50</v>
      </c>
      <c r="AP157" s="129">
        <f>IF(N157=0,0,$L157*关卡产出!AW$21)</f>
        <v>1</v>
      </c>
      <c r="AQ157" s="138">
        <f>SUM(AN$7:AN157)</f>
        <v>134000</v>
      </c>
      <c r="AR157" s="126">
        <f>SUM(AO$7:AO157)</f>
        <v>6700</v>
      </c>
      <c r="AS157" s="129">
        <f>SUM(AP$7:AP157)</f>
        <v>134</v>
      </c>
      <c r="AT157" s="128">
        <v>500</v>
      </c>
      <c r="AU157" s="129">
        <v>100</v>
      </c>
      <c r="AV157" s="128">
        <f>SUM(AT$7:AT157)</f>
        <v>75500</v>
      </c>
      <c r="AW157" s="90">
        <f>SUM(AU$7:AU157)</f>
        <v>15100</v>
      </c>
      <c r="AY157" s="128">
        <f t="shared" si="167"/>
        <v>24500</v>
      </c>
      <c r="AZ157" s="90">
        <f t="shared" si="168"/>
        <v>6700</v>
      </c>
      <c r="BA157" s="90">
        <f t="shared" si="169"/>
        <v>15100</v>
      </c>
      <c r="BB157" s="90">
        <f t="shared" ca="1" si="217"/>
        <v>10800</v>
      </c>
      <c r="BC157" s="90">
        <f t="shared" ca="1" si="218"/>
        <v>57100</v>
      </c>
      <c r="BD157" s="90"/>
      <c r="BE157" s="90">
        <f t="shared" ca="1" si="170"/>
        <v>57100</v>
      </c>
      <c r="BF157" s="142">
        <f t="shared" ca="1" si="171"/>
        <v>0.42907180385288968</v>
      </c>
      <c r="BG157" s="142">
        <f t="shared" ca="1" si="172"/>
        <v>0.11733800350262696</v>
      </c>
      <c r="BH157" s="142">
        <f t="shared" ca="1" si="173"/>
        <v>0.26444833625218916</v>
      </c>
      <c r="BI157" s="142">
        <f t="shared" ca="1" si="174"/>
        <v>0.18914185639229422</v>
      </c>
      <c r="BJ157" s="143"/>
      <c r="BK157" s="128">
        <f ca="1">INDEX(商城宝箱!$L:$L,MATCH(BC157,商城宝箱!$N:$N,1))</f>
        <v>9</v>
      </c>
      <c r="BL157" s="90">
        <f ca="1">_xlfn.IFNA(INDEX(商城宝箱!T:T,MATCH(玩家节奏1!$BK157,商城宝箱!$L:$L,0)),0)+($BC157-INDEX(商城宝箱!$N:$N,MATCH(玩家节奏1!$BK157,商城宝箱!$L:$L,0)))/$BK$5*INDEX(商城宝箱!E$23:E$42,MATCH(玩家节奏1!$BK157+1,商城宝箱!$C$23:$C$42,0))</f>
        <v>142750</v>
      </c>
      <c r="BM157" s="90">
        <f ca="1">_xlfn.IFNA(INDEX(商城宝箱!U:U,MATCH(玩家节奏1!$BK157,商城宝箱!$L:$L,0)),0)+($BC157-INDEX(商城宝箱!$N:$N,MATCH(玩家节奏1!$BK157,商城宝箱!$L:$L,0)))/$BK$5*INDEX(商城宝箱!F$23:F$42,MATCH(玩家节奏1!$BK157+1,商城宝箱!$C$23:$C$42,0))</f>
        <v>97662.5</v>
      </c>
      <c r="BN157" s="90">
        <f ca="1">_xlfn.IFNA(INDEX(商城宝箱!V:V,MATCH(玩家节奏1!$BK157,商城宝箱!$L:$L,0)),0)+($BC157-INDEX(商城宝箱!$N:$N,MATCH(玩家节奏1!$BK157,商城宝箱!$L:$L,0)))/$BK$5*INDEX(商城宝箱!G$23:G$42,MATCH(玩家节奏1!$BK157+1,商城宝箱!$C$23:$C$42,0))</f>
        <v>58137</v>
      </c>
      <c r="BO157" s="90">
        <f ca="1">_xlfn.IFNA(INDEX(商城宝箱!W:W,MATCH(玩家节奏1!$BK157,商城宝箱!$L:$L,0)),0)+($BC157-INDEX(商城宝箱!$N:$N,MATCH(玩家节奏1!$BK157,商城宝箱!$L:$L,0)))/$BK$5*INDEX(商城宝箱!H$23:H$42,MATCH(玩家节奏1!$BK157+1,商城宝箱!$C$23:$C$42,0))</f>
        <v>7831.5</v>
      </c>
      <c r="BQ157" s="128">
        <f t="shared" si="158"/>
        <v>4820000</v>
      </c>
      <c r="BR157" s="90">
        <f t="shared" si="159"/>
        <v>542210</v>
      </c>
      <c r="BS157" s="90">
        <f t="shared" ca="1" si="160"/>
        <v>1087480</v>
      </c>
      <c r="BT157" s="90">
        <f t="shared" si="161"/>
        <v>12200</v>
      </c>
      <c r="BU157" s="90">
        <f t="shared" si="162"/>
        <v>134000</v>
      </c>
      <c r="BV157" s="90">
        <f t="shared" si="163"/>
        <v>75500</v>
      </c>
      <c r="BW157" s="90">
        <f t="shared" ca="1" si="175"/>
        <v>142750</v>
      </c>
      <c r="BX157" s="90">
        <f t="shared" ca="1" si="176"/>
        <v>6814140</v>
      </c>
      <c r="BY157" s="142">
        <f t="shared" ca="1" si="177"/>
        <v>0.70735265198543029</v>
      </c>
      <c r="BZ157" s="142">
        <f t="shared" ca="1" si="178"/>
        <v>7.9571303201871404E-2</v>
      </c>
      <c r="CA157" s="142">
        <f t="shared" ca="1" si="179"/>
        <v>0.15959167261019</v>
      </c>
      <c r="CB157" s="142">
        <f t="shared" ca="1" si="180"/>
        <v>1.790394679299222E-3</v>
      </c>
      <c r="CC157" s="142">
        <f t="shared" ca="1" si="181"/>
        <v>1.9664990739843912E-2</v>
      </c>
      <c r="CD157" s="142">
        <f t="shared" ca="1" si="182"/>
        <v>1.1079901498941907E-2</v>
      </c>
      <c r="CE157" s="142">
        <f t="shared" ca="1" si="183"/>
        <v>2.0949085284423272E-2</v>
      </c>
      <c r="CG157" s="128">
        <f t="shared" si="184"/>
        <v>130</v>
      </c>
      <c r="CH157" s="90">
        <f ca="1">INDEX(角色升级!$A:$A,MATCH(玩家节奏1!$BX157,角色升级!$J:$J,1))</f>
        <v>634</v>
      </c>
      <c r="CI157" s="90">
        <f ca="1">INDEX(角色升级!$O:$O,MATCH(玩家节奏1!$BX157,角色升级!$J:$J,1))</f>
        <v>31861.224330000005</v>
      </c>
      <c r="CJ157" s="90">
        <f>INDEX(关卡对比!$J:$J,MATCH(玩家节奏1!N157,关卡对比!$A:$A,0))</f>
        <v>51200</v>
      </c>
      <c r="CK157" s="147">
        <f t="shared" ca="1" si="185"/>
        <v>1.6069690062660562</v>
      </c>
      <c r="CL157" s="128">
        <f ca="1">INDEX(角色升级!$P:$P,MATCH(玩家节奏1!$CH157,角色升级!$A:$A,0))</f>
        <v>10800</v>
      </c>
      <c r="CM157" s="90">
        <f ca="1">INDEX(角色升级!Q:Q,MATCH(玩家节奏1!$CH157,角色升级!$A:$A,0))</f>
        <v>1</v>
      </c>
      <c r="CO157" s="128">
        <f t="shared" si="186"/>
        <v>33086</v>
      </c>
      <c r="CP157" s="90">
        <f t="shared" si="187"/>
        <v>38811</v>
      </c>
      <c r="CQ157" s="90">
        <f t="shared" si="188"/>
        <v>22944</v>
      </c>
      <c r="CR157" s="90">
        <f t="shared" ca="1" si="189"/>
        <v>97662.5</v>
      </c>
      <c r="CS157" s="90">
        <f t="shared" ca="1" si="190"/>
        <v>192503.5</v>
      </c>
      <c r="CT157" s="142">
        <f t="shared" ca="1" si="191"/>
        <v>0.17187219972623874</v>
      </c>
      <c r="CU157" s="142">
        <f t="shared" ca="1" si="192"/>
        <v>0.20161191874433451</v>
      </c>
      <c r="CV157" s="142">
        <f t="shared" ca="1" si="193"/>
        <v>0.11918744334518593</v>
      </c>
      <c r="CW157" s="142">
        <f t="shared" ca="1" si="194"/>
        <v>0.50732843818424078</v>
      </c>
      <c r="CY157" s="128">
        <f t="shared" si="195"/>
        <v>16544</v>
      </c>
      <c r="CZ157" s="90">
        <f t="shared" si="196"/>
        <v>19246</v>
      </c>
      <c r="DA157" s="90">
        <f t="shared" si="197"/>
        <v>13840</v>
      </c>
      <c r="DB157" s="90">
        <f t="shared" ca="1" si="198"/>
        <v>58137</v>
      </c>
      <c r="DC157" s="90">
        <f t="shared" ca="1" si="199"/>
        <v>107767</v>
      </c>
      <c r="DD157" s="142">
        <f t="shared" ca="1" si="200"/>
        <v>0.15351638256609165</v>
      </c>
      <c r="DE157" s="142">
        <f t="shared" ca="1" si="201"/>
        <v>0.17858899291991054</v>
      </c>
      <c r="DF157" s="142">
        <f t="shared" ca="1" si="202"/>
        <v>0.12842521365538614</v>
      </c>
      <c r="DG157" s="142">
        <f t="shared" ca="1" si="203"/>
        <v>0.53946941085861166</v>
      </c>
      <c r="DI157" s="128">
        <f t="shared" si="204"/>
        <v>7878</v>
      </c>
      <c r="DJ157" s="90">
        <f t="shared" si="205"/>
        <v>9192</v>
      </c>
      <c r="DK157" s="90">
        <f t="shared" si="206"/>
        <v>4856</v>
      </c>
      <c r="DL157" s="90">
        <f t="shared" ca="1" si="207"/>
        <v>7831.5</v>
      </c>
      <c r="DM157" s="90">
        <f t="shared" ca="1" si="208"/>
        <v>29757.5</v>
      </c>
      <c r="DN157" s="142">
        <f t="shared" ca="1" si="209"/>
        <v>0.26473998151726458</v>
      </c>
      <c r="DO157" s="142">
        <f t="shared" ca="1" si="210"/>
        <v>0.30889691674367808</v>
      </c>
      <c r="DP157" s="142">
        <f t="shared" ca="1" si="211"/>
        <v>0.16318575149122069</v>
      </c>
      <c r="DQ157" s="142">
        <f t="shared" ca="1" si="212"/>
        <v>0.26317735024783667</v>
      </c>
      <c r="DS157" s="128">
        <f t="shared" ca="1" si="213"/>
        <v>192503.5</v>
      </c>
      <c r="DT157" s="90">
        <f t="shared" ca="1" si="214"/>
        <v>107767</v>
      </c>
      <c r="DU157" s="90">
        <f t="shared" ca="1" si="215"/>
        <v>29757.5</v>
      </c>
      <c r="DV157" s="90">
        <f t="shared" si="216"/>
        <v>134</v>
      </c>
      <c r="DW157" s="90">
        <f ca="1">_xlfn.IFNA(INDEX(武器升级消耗!$H:$H,MATCH(玩家节奏1!DS157/玩家节奏1!DS$5,武器升级消耗!M:M,1)),0)</f>
        <v>39</v>
      </c>
      <c r="DX157" s="90">
        <f ca="1">_xlfn.IFNA(INDEX(武器升级消耗!$H:$H,MATCH(玩家节奏1!DT157/玩家节奏1!DT$5,武器升级消耗!N:N,1)),0)</f>
        <v>35</v>
      </c>
      <c r="DY157" s="90">
        <f ca="1">_xlfn.IFNA(INDEX(武器升级消耗!$H:$H,MATCH(玩家节奏1!DU157/玩家节奏1!DU$5,武器升级消耗!O:O,1)),0)</f>
        <v>24</v>
      </c>
      <c r="DZ157" s="90">
        <f>_xlfn.IFNA(INDEX(武器升级消耗!$H:$H,MATCH(玩家节奏1!DV157/玩家节奏1!DV$5,武器升级消耗!P:P,1)),0)</f>
        <v>12</v>
      </c>
      <c r="EA157" s="90">
        <f ca="1">_xlfn.IFNA(INDEX(武器升级消耗!$Q:$Q,MATCH(玩家节奏1!DW157,武器升级消耗!$H:$H,0))*2*EA$4,0)</f>
        <v>5.1599999999999993</v>
      </c>
      <c r="EB157" s="90">
        <f ca="1">_xlfn.IFNA(INDEX(武器升级消耗!$Q:$Q,MATCH(玩家节奏1!DX157,武器升级消耗!$H:$H,0))*2*EB$4,0)</f>
        <v>5.85</v>
      </c>
      <c r="EC157" s="90">
        <f ca="1">_xlfn.IFNA(INDEX(武器升级消耗!$Q:$Q,MATCH(玩家节奏1!DY157,武器升级消耗!$H:$H,0))*2*EC$4,1)</f>
        <v>6.16</v>
      </c>
      <c r="ED157" s="90">
        <f>_xlfn.IFNA(INDEX(武器升级消耗!$Q:$Q,MATCH(玩家节奏1!DZ157,武器升级消耗!$H:$H,0))*2*ED$4,0)</f>
        <v>4.8000000000000007</v>
      </c>
    </row>
    <row r="158" spans="1:134" x14ac:dyDescent="0.25">
      <c r="A158" s="123">
        <v>152</v>
      </c>
      <c r="B158" s="123">
        <f>INDEX(关卡对比!$Y:$Y,MATCH(关卡对比!Z158,关卡对比!$AA:$AA,1))</f>
        <v>89</v>
      </c>
      <c r="C158" s="124">
        <f>INDEX(关卡对比!$Y:$Y,MATCH(关卡对比!Z158,关卡对比!$AB:$AB,1))</f>
        <v>69</v>
      </c>
      <c r="D158" s="125">
        <f t="shared" si="157"/>
        <v>899.5</v>
      </c>
      <c r="E158" s="125">
        <v>3</v>
      </c>
      <c r="F158" s="128">
        <v>5</v>
      </c>
      <c r="G158" s="90">
        <v>1</v>
      </c>
      <c r="H158" s="90">
        <v>1</v>
      </c>
      <c r="J158" s="128">
        <v>152</v>
      </c>
      <c r="K158" s="90">
        <f t="shared" si="164"/>
        <v>5</v>
      </c>
      <c r="L158" s="90">
        <f t="shared" si="165"/>
        <v>1</v>
      </c>
      <c r="M158" s="90">
        <f t="shared" si="166"/>
        <v>1</v>
      </c>
      <c r="N158" s="140">
        <f>INDEX($A:$A,MATCH(SUM($K$7:K158),$D:$D,1))</f>
        <v>130</v>
      </c>
      <c r="O158" s="140">
        <v>0</v>
      </c>
      <c r="P158" s="141">
        <v>0</v>
      </c>
      <c r="Q158" s="126">
        <f>_xlfn.MAXIFS(关卡产出!X:X,关卡产出!$A:$A,玩家节奏1!$N$6,关卡产出!$B:$B,玩家节奏1!$N158)+_xlfn.MAXIFS(关卡产出!X:X,关卡产出!$A:$A,玩家节奏1!$O$6,关卡产出!$B:$B,玩家节奏1!$O158)+_xlfn.MAXIFS(关卡产出!X:X,关卡产出!$A:$A,玩家节奏1!$P$6,关卡产出!$B:$B,玩家节奏1!$P158)</f>
        <v>24500</v>
      </c>
      <c r="R158" s="90">
        <f>_xlfn.MAXIFS(关卡产出!Y:Y,关卡产出!$A:$A,玩家节奏1!$N$6,关卡产出!$B:$B,玩家节奏1!$N158)+_xlfn.MAXIFS(关卡产出!Y:Y,关卡产出!$A:$A,玩家节奏1!$O$6,关卡产出!$B:$B,玩家节奏1!$O158)+_xlfn.MAXIFS(关卡产出!Y:Y,关卡产出!$A:$A,玩家节奏1!$P$6,关卡产出!$B:$B,玩家节奏1!$P158)</f>
        <v>4820000</v>
      </c>
      <c r="S158" s="90">
        <f>_xlfn.MAXIFS(关卡产出!Z:Z,关卡产出!$A:$A,玩家节奏1!$N$6,关卡产出!$B:$B,玩家节奏1!$N158)+_xlfn.MAXIFS(关卡产出!Z:Z,关卡产出!$A:$A,玩家节奏1!$O$6,关卡产出!$B:$B,玩家节奏1!$O158)+_xlfn.MAXIFS(关卡产出!Z:Z,关卡产出!$A:$A,玩家节奏1!$P$6,关卡产出!$B:$B,玩家节奏1!$P158)</f>
        <v>33086</v>
      </c>
      <c r="T158" s="90">
        <f>_xlfn.MAXIFS(关卡产出!AA:AA,关卡产出!$A:$A,玩家节奏1!$N$6,关卡产出!$B:$B,玩家节奏1!$N158)+_xlfn.MAXIFS(关卡产出!AA:AA,关卡产出!$A:$A,玩家节奏1!$O$6,关卡产出!$B:$B,玩家节奏1!$O158)+_xlfn.MAXIFS(关卡产出!AA:AA,关卡产出!$A:$A,玩家节奏1!$P$6,关卡产出!$B:$B,玩家节奏1!$P158)</f>
        <v>16544</v>
      </c>
      <c r="U158" s="90">
        <f>_xlfn.MAXIFS(关卡产出!AB:AB,关卡产出!$A:$A,玩家节奏1!$N$6,关卡产出!$B:$B,玩家节奏1!$N158)+_xlfn.MAXIFS(关卡产出!AB:AB,关卡产出!$A:$A,玩家节奏1!$O$6,关卡产出!$B:$B,玩家节奏1!$O158)+_xlfn.MAXIFS(关卡产出!AB:AB,关卡产出!$A:$A,玩家节奏1!$P$6,关卡产出!$B:$B,玩家节奏1!$P158)</f>
        <v>7878</v>
      </c>
      <c r="V158" s="130">
        <f>_xlfn.MAXIFS(关卡产出!AC:AC,关卡产出!$A:$A,玩家节奏1!$N$6,关卡产出!$B:$B,玩家节奏1!$N158)+_xlfn.MAXIFS(关卡产出!AC:AC,关卡产出!$A:$A,玩家节奏1!$O$6,关卡产出!$B:$B,玩家节奏1!$O158)+_xlfn.MAXIFS(关卡产出!AC:AC,关卡产出!$A:$A,玩家节奏1!$P$6,关卡产出!$B:$B,玩家节奏1!$P158)</f>
        <v>780</v>
      </c>
      <c r="W158" s="126">
        <f>INDEX(关卡产出!C$8:C$207,MATCH(玩家节奏1!$N158,关卡产出!$B$8:$B$207,0))*$K158</f>
        <v>510</v>
      </c>
      <c r="X158" s="126">
        <f>INDEX(关卡产出!D$8:D$207,MATCH(玩家节奏1!$N158,关卡产出!$B$8:$B$207,0))*$K158</f>
        <v>255</v>
      </c>
      <c r="Y158" s="126">
        <f>INDEX(关卡产出!E$8:E$207,MATCH(玩家节奏1!$N158,关卡产出!$B$8:$B$207,0))*$K158</f>
        <v>125</v>
      </c>
      <c r="Z158" s="144">
        <f>INDEX(关卡产出!F$8:F$207,MATCH(玩家节奏1!$N158,关卡产出!$B$8:$B$207,0))*$K158</f>
        <v>6750</v>
      </c>
      <c r="AA158" s="126">
        <f>SUM(W$7:W158)</f>
        <v>39321</v>
      </c>
      <c r="AB158" s="126">
        <f>SUM(X$7:X158)</f>
        <v>19501</v>
      </c>
      <c r="AC158" s="126">
        <f>SUM(Y$7:Y158)</f>
        <v>9317</v>
      </c>
      <c r="AD158" s="126">
        <f>SUM(Z$7:Z158)</f>
        <v>548960</v>
      </c>
      <c r="AE158" s="126">
        <f>INDEX(图鉴!AQ:AQ,MATCH($N158,图鉴!$S:$S,0))*8</f>
        <v>168</v>
      </c>
      <c r="AF158" s="90">
        <f>INDEX(图鉴!AR:AR,MATCH($N158,图鉴!$S:$S,0))*8</f>
        <v>120</v>
      </c>
      <c r="AG158" s="90">
        <f>INDEX(图鉴!AS:AS,MATCH($N158,图鉴!$S:$S,0))*8</f>
        <v>48</v>
      </c>
      <c r="AH158" s="129">
        <f ca="1">INDEX(图鉴!AT:AT,MATCH($N158,图鉴!$S:$S,0))*8</f>
        <v>10880</v>
      </c>
      <c r="AI158" s="128">
        <f>SUM($AE$7:AE158)</f>
        <v>23112</v>
      </c>
      <c r="AJ158" s="90">
        <f>SUM(AF$7:AF158)</f>
        <v>13960</v>
      </c>
      <c r="AK158" s="90">
        <f>SUM(AG$7:AG158)</f>
        <v>4904</v>
      </c>
      <c r="AL158" s="130">
        <f ca="1">SUM(AH$7:AH158)</f>
        <v>1098360</v>
      </c>
      <c r="AM158" s="133">
        <f>IF(M158=0,0,INDEX(关卡产出!$AU$11:$AU$15,MATCH(玩家节奏1!N158,关卡产出!$AW$11:$AW$15,1))*M158)</f>
        <v>12200</v>
      </c>
      <c r="AN158" s="126">
        <f>IF(L158=0,0,$L158*关卡产出!AU$21)</f>
        <v>1000</v>
      </c>
      <c r="AO158" s="90">
        <f>IF(M158=0,0,$L158*关卡产出!AV$21)</f>
        <v>50</v>
      </c>
      <c r="AP158" s="129">
        <f>IF(N158=0,0,$L158*关卡产出!AW$21)</f>
        <v>1</v>
      </c>
      <c r="AQ158" s="138">
        <f>SUM(AN$7:AN158)</f>
        <v>135000</v>
      </c>
      <c r="AR158" s="126">
        <f>SUM(AO$7:AO158)</f>
        <v>6750</v>
      </c>
      <c r="AS158" s="129">
        <f>SUM(AP$7:AP158)</f>
        <v>135</v>
      </c>
      <c r="AT158" s="128">
        <v>500</v>
      </c>
      <c r="AU158" s="129">
        <v>100</v>
      </c>
      <c r="AV158" s="128">
        <f>SUM(AT$7:AT158)</f>
        <v>76000</v>
      </c>
      <c r="AW158" s="90">
        <f>SUM(AU$7:AU158)</f>
        <v>15200</v>
      </c>
      <c r="AY158" s="128">
        <f t="shared" si="167"/>
        <v>24500</v>
      </c>
      <c r="AZ158" s="90">
        <f t="shared" si="168"/>
        <v>6750</v>
      </c>
      <c r="BA158" s="90">
        <f t="shared" si="169"/>
        <v>15200</v>
      </c>
      <c r="BB158" s="90">
        <f t="shared" ca="1" si="217"/>
        <v>10800</v>
      </c>
      <c r="BC158" s="90">
        <f t="shared" ca="1" si="218"/>
        <v>57250</v>
      </c>
      <c r="BD158" s="90"/>
      <c r="BE158" s="90">
        <f t="shared" ca="1" si="170"/>
        <v>57250</v>
      </c>
      <c r="BF158" s="142">
        <f t="shared" ca="1" si="171"/>
        <v>0.42794759825327511</v>
      </c>
      <c r="BG158" s="142">
        <f t="shared" ca="1" si="172"/>
        <v>0.11790393013100436</v>
      </c>
      <c r="BH158" s="142">
        <f t="shared" ca="1" si="173"/>
        <v>0.26550218340611353</v>
      </c>
      <c r="BI158" s="142">
        <f t="shared" ca="1" si="174"/>
        <v>0.18864628820960699</v>
      </c>
      <c r="BJ158" s="143"/>
      <c r="BK158" s="128">
        <f ca="1">INDEX(商城宝箱!$L:$L,MATCH(BC158,商城宝箱!$N:$N,1))</f>
        <v>9</v>
      </c>
      <c r="BL158" s="90">
        <f ca="1">_xlfn.IFNA(INDEX(商城宝箱!T:T,MATCH(玩家节奏1!$BK158,商城宝箱!$L:$L,0)),0)+($BC158-INDEX(商城宝箱!$N:$N,MATCH(玩家节奏1!$BK158,商城宝箱!$L:$L,0)))/$BK$5*INDEX(商城宝箱!E$23:E$42,MATCH(玩家节奏1!$BK158+1,商城宝箱!$C$23:$C$42,0))</f>
        <v>143125</v>
      </c>
      <c r="BM158" s="90">
        <f ca="1">_xlfn.IFNA(INDEX(商城宝箱!U:U,MATCH(玩家节奏1!$BK158,商城宝箱!$L:$L,0)),0)+($BC158-INDEX(商城宝箱!$N:$N,MATCH(玩家节奏1!$BK158,商城宝箱!$L:$L,0)))/$BK$5*INDEX(商城宝箱!F$23:F$42,MATCH(玩家节奏1!$BK158+1,商城宝箱!$C$23:$C$42,0))</f>
        <v>98067.5</v>
      </c>
      <c r="BN158" s="90">
        <f ca="1">_xlfn.IFNA(INDEX(商城宝箱!V:V,MATCH(玩家节奏1!$BK158,商城宝箱!$L:$L,0)),0)+($BC158-INDEX(商城宝箱!$N:$N,MATCH(玩家节奏1!$BK158,商城宝箱!$L:$L,0)))/$BK$5*INDEX(商城宝箱!G$23:G$42,MATCH(玩家节奏1!$BK158+1,商城宝箱!$C$23:$C$42,0))</f>
        <v>58324.5</v>
      </c>
      <c r="BO158" s="90">
        <f ca="1">_xlfn.IFNA(INDEX(商城宝箱!W:W,MATCH(玩家节奏1!$BK158,商城宝箱!$L:$L,0)),0)+($BC158-INDEX(商城宝箱!$N:$N,MATCH(玩家节奏1!$BK158,商城宝箱!$L:$L,0)))/$BK$5*INDEX(商城宝箱!H$23:H$42,MATCH(玩家节奏1!$BK158+1,商城宝箱!$C$23:$C$42,0))</f>
        <v>7861.5</v>
      </c>
      <c r="BQ158" s="128">
        <f t="shared" si="158"/>
        <v>4820000</v>
      </c>
      <c r="BR158" s="90">
        <f t="shared" si="159"/>
        <v>548960</v>
      </c>
      <c r="BS158" s="90">
        <f t="shared" ca="1" si="160"/>
        <v>1098360</v>
      </c>
      <c r="BT158" s="90">
        <f t="shared" si="161"/>
        <v>12200</v>
      </c>
      <c r="BU158" s="90">
        <f t="shared" si="162"/>
        <v>135000</v>
      </c>
      <c r="BV158" s="90">
        <f t="shared" si="163"/>
        <v>76000</v>
      </c>
      <c r="BW158" s="90">
        <f t="shared" ca="1" si="175"/>
        <v>143125</v>
      </c>
      <c r="BX158" s="90">
        <f t="shared" ca="1" si="176"/>
        <v>6833645</v>
      </c>
      <c r="BY158" s="142">
        <f t="shared" ca="1" si="177"/>
        <v>0.70533368356126191</v>
      </c>
      <c r="BZ158" s="142">
        <f t="shared" ca="1" si="178"/>
        <v>8.0331945835641155E-2</v>
      </c>
      <c r="CA158" s="142">
        <f t="shared" ca="1" si="179"/>
        <v>0.16072827897849537</v>
      </c>
      <c r="CB158" s="142">
        <f t="shared" ca="1" si="180"/>
        <v>1.785284427271244E-3</v>
      </c>
      <c r="CC158" s="142">
        <f t="shared" ca="1" si="181"/>
        <v>1.9755196531280158E-2</v>
      </c>
      <c r="CD158" s="142">
        <f t="shared" ca="1" si="182"/>
        <v>1.1121443973165127E-2</v>
      </c>
      <c r="CE158" s="142">
        <f t="shared" ca="1" si="183"/>
        <v>2.0944166692884982E-2</v>
      </c>
      <c r="CG158" s="128">
        <f t="shared" si="184"/>
        <v>130</v>
      </c>
      <c r="CH158" s="90">
        <f ca="1">INDEX(角色升级!$A:$A,MATCH(玩家节奏1!$BX158,角色升级!$J:$J,1))</f>
        <v>634</v>
      </c>
      <c r="CI158" s="90">
        <f ca="1">INDEX(角色升级!$O:$O,MATCH(玩家节奏1!$BX158,角色升级!$J:$J,1))</f>
        <v>31861.224330000005</v>
      </c>
      <c r="CJ158" s="90">
        <f>INDEX(关卡对比!$J:$J,MATCH(玩家节奏1!N158,关卡对比!$A:$A,0))</f>
        <v>51200</v>
      </c>
      <c r="CK158" s="147">
        <f t="shared" ca="1" si="185"/>
        <v>1.6069690062660562</v>
      </c>
      <c r="CL158" s="128">
        <f ca="1">INDEX(角色升级!$P:$P,MATCH(玩家节奏1!$CH158,角色升级!$A:$A,0))</f>
        <v>10800</v>
      </c>
      <c r="CM158" s="90">
        <f ca="1">INDEX(角色升级!Q:Q,MATCH(玩家节奏1!$CH158,角色升级!$A:$A,0))</f>
        <v>1</v>
      </c>
      <c r="CO158" s="128">
        <f t="shared" si="186"/>
        <v>33086</v>
      </c>
      <c r="CP158" s="90">
        <f t="shared" si="187"/>
        <v>39321</v>
      </c>
      <c r="CQ158" s="90">
        <f t="shared" si="188"/>
        <v>23112</v>
      </c>
      <c r="CR158" s="90">
        <f t="shared" ca="1" si="189"/>
        <v>98067.5</v>
      </c>
      <c r="CS158" s="90">
        <f t="shared" ca="1" si="190"/>
        <v>193586.5</v>
      </c>
      <c r="CT158" s="142">
        <f t="shared" ca="1" si="191"/>
        <v>0.17091067817228991</v>
      </c>
      <c r="CU158" s="142">
        <f t="shared" ca="1" si="192"/>
        <v>0.20311850258153333</v>
      </c>
      <c r="CV158" s="142">
        <f t="shared" ca="1" si="193"/>
        <v>0.11938849041642884</v>
      </c>
      <c r="CW158" s="142">
        <f t="shared" ca="1" si="194"/>
        <v>0.50658232882974796</v>
      </c>
      <c r="CY158" s="128">
        <f t="shared" si="195"/>
        <v>16544</v>
      </c>
      <c r="CZ158" s="90">
        <f t="shared" si="196"/>
        <v>19501</v>
      </c>
      <c r="DA158" s="90">
        <f t="shared" si="197"/>
        <v>13960</v>
      </c>
      <c r="DB158" s="90">
        <f t="shared" ca="1" si="198"/>
        <v>58324.5</v>
      </c>
      <c r="DC158" s="90">
        <f t="shared" ca="1" si="199"/>
        <v>108329.5</v>
      </c>
      <c r="DD158" s="142">
        <f t="shared" ca="1" si="200"/>
        <v>0.15271925006577156</v>
      </c>
      <c r="DE158" s="142">
        <f t="shared" ca="1" si="201"/>
        <v>0.18001560055201954</v>
      </c>
      <c r="DF158" s="142">
        <f t="shared" ca="1" si="202"/>
        <v>0.12886609833886431</v>
      </c>
      <c r="DG158" s="142">
        <f t="shared" ca="1" si="203"/>
        <v>0.53839905104334462</v>
      </c>
      <c r="DI158" s="128">
        <f t="shared" si="204"/>
        <v>7878</v>
      </c>
      <c r="DJ158" s="90">
        <f t="shared" si="205"/>
        <v>9317</v>
      </c>
      <c r="DK158" s="90">
        <f t="shared" si="206"/>
        <v>4904</v>
      </c>
      <c r="DL158" s="90">
        <f t="shared" ca="1" si="207"/>
        <v>7861.5</v>
      </c>
      <c r="DM158" s="90">
        <f t="shared" ca="1" si="208"/>
        <v>29960.5</v>
      </c>
      <c r="DN158" s="142">
        <f t="shared" ca="1" si="209"/>
        <v>0.26294621251314232</v>
      </c>
      <c r="DO158" s="142">
        <f t="shared" ca="1" si="210"/>
        <v>0.31097611855609886</v>
      </c>
      <c r="DP158" s="142">
        <f t="shared" ca="1" si="211"/>
        <v>0.16368218153902639</v>
      </c>
      <c r="DQ158" s="142">
        <f t="shared" ca="1" si="212"/>
        <v>0.26239548739173246</v>
      </c>
      <c r="DS158" s="128">
        <f t="shared" ca="1" si="213"/>
        <v>193586.5</v>
      </c>
      <c r="DT158" s="90">
        <f t="shared" ca="1" si="214"/>
        <v>108329.5</v>
      </c>
      <c r="DU158" s="90">
        <f t="shared" ca="1" si="215"/>
        <v>29960.5</v>
      </c>
      <c r="DV158" s="90">
        <f t="shared" si="216"/>
        <v>135</v>
      </c>
      <c r="DW158" s="90">
        <f ca="1">_xlfn.IFNA(INDEX(武器升级消耗!$H:$H,MATCH(玩家节奏1!DS158/玩家节奏1!DS$5,武器升级消耗!M:M,1)),0)</f>
        <v>39</v>
      </c>
      <c r="DX158" s="90">
        <f ca="1">_xlfn.IFNA(INDEX(武器升级消耗!$H:$H,MATCH(玩家节奏1!DT158/玩家节奏1!DT$5,武器升级消耗!N:N,1)),0)</f>
        <v>35</v>
      </c>
      <c r="DY158" s="90">
        <f ca="1">_xlfn.IFNA(INDEX(武器升级消耗!$H:$H,MATCH(玩家节奏1!DU158/玩家节奏1!DU$5,武器升级消耗!O:O,1)),0)</f>
        <v>24</v>
      </c>
      <c r="DZ158" s="90">
        <f>_xlfn.IFNA(INDEX(武器升级消耗!$H:$H,MATCH(玩家节奏1!DV158/玩家节奏1!DV$5,武器升级消耗!P:P,1)),0)</f>
        <v>12</v>
      </c>
      <c r="EA158" s="90">
        <f ca="1">_xlfn.IFNA(INDEX(武器升级消耗!$Q:$Q,MATCH(玩家节奏1!DW158,武器升级消耗!$H:$H,0))*2*EA$4,0)</f>
        <v>5.1599999999999993</v>
      </c>
      <c r="EB158" s="90">
        <f ca="1">_xlfn.IFNA(INDEX(武器升级消耗!$Q:$Q,MATCH(玩家节奏1!DX158,武器升级消耗!$H:$H,0))*2*EB$4,0)</f>
        <v>5.85</v>
      </c>
      <c r="EC158" s="90">
        <f ca="1">_xlfn.IFNA(INDEX(武器升级消耗!$Q:$Q,MATCH(玩家节奏1!DY158,武器升级消耗!$H:$H,0))*2*EC$4,1)</f>
        <v>6.16</v>
      </c>
      <c r="ED158" s="90">
        <f>_xlfn.IFNA(INDEX(武器升级消耗!$Q:$Q,MATCH(玩家节奏1!DZ158,武器升级消耗!$H:$H,0))*2*ED$4,0)</f>
        <v>4.8000000000000007</v>
      </c>
    </row>
    <row r="159" spans="1:134" x14ac:dyDescent="0.25">
      <c r="A159" s="123">
        <v>153</v>
      </c>
      <c r="B159" s="123">
        <f>INDEX(关卡对比!$Y:$Y,MATCH(关卡对比!Z159,关卡对比!$AA:$AA,1))</f>
        <v>90</v>
      </c>
      <c r="C159" s="124">
        <f>INDEX(关卡对比!$Y:$Y,MATCH(关卡对比!Z159,关卡对比!$AB:$AB,1))</f>
        <v>69</v>
      </c>
      <c r="D159" s="125">
        <f t="shared" si="157"/>
        <v>905.5</v>
      </c>
      <c r="E159" s="125">
        <v>3</v>
      </c>
      <c r="F159" s="128">
        <v>5</v>
      </c>
      <c r="G159" s="90">
        <v>1</v>
      </c>
      <c r="H159" s="90">
        <v>1</v>
      </c>
      <c r="J159" s="128">
        <v>153</v>
      </c>
      <c r="K159" s="90">
        <f t="shared" si="164"/>
        <v>5</v>
      </c>
      <c r="L159" s="90">
        <f t="shared" si="165"/>
        <v>1</v>
      </c>
      <c r="M159" s="90">
        <f t="shared" si="166"/>
        <v>1</v>
      </c>
      <c r="N159" s="140">
        <f>INDEX($A:$A,MATCH(SUM($K$7:K159),$D:$D,1))</f>
        <v>132</v>
      </c>
      <c r="O159" s="140">
        <v>0</v>
      </c>
      <c r="P159" s="141">
        <v>0</v>
      </c>
      <c r="Q159" s="126">
        <f>_xlfn.MAXIFS(关卡产出!X:X,关卡产出!$A:$A,玩家节奏1!$N$6,关卡产出!$B:$B,玩家节奏1!$N159)+_xlfn.MAXIFS(关卡产出!X:X,关卡产出!$A:$A,玩家节奏1!$O$6,关卡产出!$B:$B,玩家节奏1!$O159)+_xlfn.MAXIFS(关卡产出!X:X,关卡产出!$A:$A,玩家节奏1!$P$6,关卡产出!$B:$B,玩家节奏1!$P159)</f>
        <v>24900</v>
      </c>
      <c r="R159" s="90">
        <f>_xlfn.MAXIFS(关卡产出!Y:Y,关卡产出!$A:$A,玩家节奏1!$N$6,关卡产出!$B:$B,玩家节奏1!$N159)+_xlfn.MAXIFS(关卡产出!Y:Y,关卡产出!$A:$A,玩家节奏1!$O$6,关卡产出!$B:$B,玩家节奏1!$O159)+_xlfn.MAXIFS(关卡产出!Y:Y,关卡产出!$A:$A,玩家节奏1!$P$6,关卡产出!$B:$B,玩家节奏1!$P159)</f>
        <v>4973200</v>
      </c>
      <c r="S159" s="90">
        <f>_xlfn.MAXIFS(关卡产出!Z:Z,关卡产出!$A:$A,玩家节奏1!$N$6,关卡产出!$B:$B,玩家节奏1!$N159)+_xlfn.MAXIFS(关卡产出!Z:Z,关卡产出!$A:$A,玩家节奏1!$O$6,关卡产出!$B:$B,玩家节奏1!$O159)+_xlfn.MAXIFS(关卡产出!Z:Z,关卡产出!$A:$A,玩家节奏1!$P$6,关卡产出!$B:$B,玩家节奏1!$P159)</f>
        <v>34122</v>
      </c>
      <c r="T159" s="90">
        <f>_xlfn.MAXIFS(关卡产出!AA:AA,关卡产出!$A:$A,玩家节奏1!$N$6,关卡产出!$B:$B,玩家节奏1!$N159)+_xlfn.MAXIFS(关卡产出!AA:AA,关卡产出!$A:$A,玩家节奏1!$O$6,关卡产出!$B:$B,玩家节奏1!$O159)+_xlfn.MAXIFS(关卡产出!AA:AA,关卡产出!$A:$A,玩家节奏1!$P$6,关卡产出!$B:$B,玩家节奏1!$P159)</f>
        <v>17062</v>
      </c>
      <c r="U159" s="90">
        <f>_xlfn.MAXIFS(关卡产出!AB:AB,关卡产出!$A:$A,玩家节奏1!$N$6,关卡产出!$B:$B,玩家节奏1!$N159)+_xlfn.MAXIFS(关卡产出!AB:AB,关卡产出!$A:$A,玩家节奏1!$O$6,关卡产出!$B:$B,玩家节奏1!$O159)+_xlfn.MAXIFS(关卡产出!AB:AB,关卡产出!$A:$A,玩家节奏1!$P$6,关卡产出!$B:$B,玩家节奏1!$P159)</f>
        <v>8131</v>
      </c>
      <c r="V159" s="130">
        <f>_xlfn.MAXIFS(关卡产出!AC:AC,关卡产出!$A:$A,玩家节奏1!$N$6,关卡产出!$B:$B,玩家节奏1!$N159)+_xlfn.MAXIFS(关卡产出!AC:AC,关卡产出!$A:$A,玩家节奏1!$O$6,关卡产出!$B:$B,玩家节奏1!$O159)+_xlfn.MAXIFS(关卡产出!AC:AC,关卡产出!$A:$A,玩家节奏1!$P$6,关卡产出!$B:$B,玩家节奏1!$P159)</f>
        <v>792</v>
      </c>
      <c r="W159" s="126">
        <f>INDEX(关卡产出!C$8:C$207,MATCH(玩家节奏1!$N159,关卡产出!$B$8:$B$207,0))*$K159</f>
        <v>520</v>
      </c>
      <c r="X159" s="126">
        <f>INDEX(关卡产出!D$8:D$207,MATCH(玩家节奏1!$N159,关卡产出!$B$8:$B$207,0))*$K159</f>
        <v>260</v>
      </c>
      <c r="Y159" s="126">
        <f>INDEX(关卡产出!E$8:E$207,MATCH(玩家节奏1!$N159,关卡产出!$B$8:$B$207,0))*$K159</f>
        <v>125</v>
      </c>
      <c r="Z159" s="144">
        <f>INDEX(关卡产出!F$8:F$207,MATCH(玩家节奏1!$N159,关卡产出!$B$8:$B$207,0))*$K159</f>
        <v>6850</v>
      </c>
      <c r="AA159" s="126">
        <f>SUM(W$7:W159)</f>
        <v>39841</v>
      </c>
      <c r="AB159" s="126">
        <f>SUM(X$7:X159)</f>
        <v>19761</v>
      </c>
      <c r="AC159" s="126">
        <f>SUM(Y$7:Y159)</f>
        <v>9442</v>
      </c>
      <c r="AD159" s="126">
        <f>SUM(Z$7:Z159)</f>
        <v>555810</v>
      </c>
      <c r="AE159" s="126">
        <f>INDEX(图鉴!AQ:AQ,MATCH($N159,图鉴!$S:$S,0))*8</f>
        <v>168</v>
      </c>
      <c r="AF159" s="90">
        <f>INDEX(图鉴!AR:AR,MATCH($N159,图鉴!$S:$S,0))*8</f>
        <v>120</v>
      </c>
      <c r="AG159" s="90">
        <f>INDEX(图鉴!AS:AS,MATCH($N159,图鉴!$S:$S,0))*8</f>
        <v>48</v>
      </c>
      <c r="AH159" s="129">
        <f ca="1">INDEX(图鉴!AT:AT,MATCH($N159,图鉴!$S:$S,0))*8</f>
        <v>10880</v>
      </c>
      <c r="AI159" s="128">
        <f>SUM($AE$7:AE159)</f>
        <v>23280</v>
      </c>
      <c r="AJ159" s="90">
        <f>SUM(AF$7:AF159)</f>
        <v>14080</v>
      </c>
      <c r="AK159" s="90">
        <f>SUM(AG$7:AG159)</f>
        <v>4952</v>
      </c>
      <c r="AL159" s="130">
        <f ca="1">SUM(AH$7:AH159)</f>
        <v>1109240</v>
      </c>
      <c r="AM159" s="133">
        <f>IF(M159=0,0,INDEX(关卡产出!$AU$11:$AU$15,MATCH(玩家节奏1!N159,关卡产出!$AW$11:$AW$15,1))*M159)</f>
        <v>12200</v>
      </c>
      <c r="AN159" s="126">
        <f>IF(L159=0,0,$L159*关卡产出!AU$21)</f>
        <v>1000</v>
      </c>
      <c r="AO159" s="90">
        <f>IF(M159=0,0,$L159*关卡产出!AV$21)</f>
        <v>50</v>
      </c>
      <c r="AP159" s="129">
        <f>IF(N159=0,0,$L159*关卡产出!AW$21)</f>
        <v>1</v>
      </c>
      <c r="AQ159" s="138">
        <f>SUM(AN$7:AN159)</f>
        <v>136000</v>
      </c>
      <c r="AR159" s="126">
        <f>SUM(AO$7:AO159)</f>
        <v>6800</v>
      </c>
      <c r="AS159" s="129">
        <f>SUM(AP$7:AP159)</f>
        <v>136</v>
      </c>
      <c r="AT159" s="128">
        <v>500</v>
      </c>
      <c r="AU159" s="129">
        <v>100</v>
      </c>
      <c r="AV159" s="128">
        <f>SUM(AT$7:AT159)</f>
        <v>76500</v>
      </c>
      <c r="AW159" s="90">
        <f>SUM(AU$7:AU159)</f>
        <v>15300</v>
      </c>
      <c r="AY159" s="128">
        <f t="shared" si="167"/>
        <v>24900</v>
      </c>
      <c r="AZ159" s="90">
        <f t="shared" si="168"/>
        <v>6800</v>
      </c>
      <c r="BA159" s="90">
        <f t="shared" si="169"/>
        <v>15300</v>
      </c>
      <c r="BB159" s="90">
        <f t="shared" ca="1" si="217"/>
        <v>10800</v>
      </c>
      <c r="BC159" s="90">
        <f t="shared" ca="1" si="218"/>
        <v>57800</v>
      </c>
      <c r="BD159" s="90"/>
      <c r="BE159" s="90">
        <f t="shared" ca="1" si="170"/>
        <v>57800</v>
      </c>
      <c r="BF159" s="142">
        <f t="shared" ca="1" si="171"/>
        <v>0.43079584775086505</v>
      </c>
      <c r="BG159" s="142">
        <f t="shared" ca="1" si="172"/>
        <v>0.11764705882352941</v>
      </c>
      <c r="BH159" s="142">
        <f t="shared" ca="1" si="173"/>
        <v>0.26470588235294118</v>
      </c>
      <c r="BI159" s="142">
        <f t="shared" ca="1" si="174"/>
        <v>0.18685121107266436</v>
      </c>
      <c r="BJ159" s="143"/>
      <c r="BK159" s="128">
        <f ca="1">INDEX(商城宝箱!$L:$L,MATCH(BC159,商城宝箱!$N:$N,1))</f>
        <v>9</v>
      </c>
      <c r="BL159" s="90">
        <f ca="1">_xlfn.IFNA(INDEX(商城宝箱!T:T,MATCH(玩家节奏1!$BK159,商城宝箱!$L:$L,0)),0)+($BC159-INDEX(商城宝箱!$N:$N,MATCH(玩家节奏1!$BK159,商城宝箱!$L:$L,0)))/$BK$5*INDEX(商城宝箱!E$23:E$42,MATCH(玩家节奏1!$BK159+1,商城宝箱!$C$23:$C$42,0))</f>
        <v>144500</v>
      </c>
      <c r="BM159" s="90">
        <f ca="1">_xlfn.IFNA(INDEX(商城宝箱!U:U,MATCH(玩家节奏1!$BK159,商城宝箱!$L:$L,0)),0)+($BC159-INDEX(商城宝箱!$N:$N,MATCH(玩家节奏1!$BK159,商城宝箱!$L:$L,0)))/$BK$5*INDEX(商城宝箱!F$23:F$42,MATCH(玩家节奏1!$BK159+1,商城宝箱!$C$23:$C$42,0))</f>
        <v>99552.5</v>
      </c>
      <c r="BN159" s="90">
        <f ca="1">_xlfn.IFNA(INDEX(商城宝箱!V:V,MATCH(玩家节奏1!$BK159,商城宝箱!$L:$L,0)),0)+($BC159-INDEX(商城宝箱!$N:$N,MATCH(玩家节奏1!$BK159,商城宝箱!$L:$L,0)))/$BK$5*INDEX(商城宝箱!G$23:G$42,MATCH(玩家节奏1!$BK159+1,商城宝箱!$C$23:$C$42,0))</f>
        <v>59012</v>
      </c>
      <c r="BO159" s="90">
        <f ca="1">_xlfn.IFNA(INDEX(商城宝箱!W:W,MATCH(玩家节奏1!$BK159,商城宝箱!$L:$L,0)),0)+($BC159-INDEX(商城宝箱!$N:$N,MATCH(玩家节奏1!$BK159,商城宝箱!$L:$L,0)))/$BK$5*INDEX(商城宝箱!H$23:H$42,MATCH(玩家节奏1!$BK159+1,商城宝箱!$C$23:$C$42,0))</f>
        <v>7971.5</v>
      </c>
      <c r="BQ159" s="128">
        <f t="shared" si="158"/>
        <v>4973200</v>
      </c>
      <c r="BR159" s="90">
        <f t="shared" si="159"/>
        <v>555810</v>
      </c>
      <c r="BS159" s="90">
        <f t="shared" ca="1" si="160"/>
        <v>1109240</v>
      </c>
      <c r="BT159" s="90">
        <f t="shared" si="161"/>
        <v>12200</v>
      </c>
      <c r="BU159" s="90">
        <f t="shared" si="162"/>
        <v>136000</v>
      </c>
      <c r="BV159" s="90">
        <f t="shared" si="163"/>
        <v>76500</v>
      </c>
      <c r="BW159" s="90">
        <f t="shared" ca="1" si="175"/>
        <v>144500</v>
      </c>
      <c r="BX159" s="90">
        <f t="shared" ca="1" si="176"/>
        <v>7007450</v>
      </c>
      <c r="BY159" s="142">
        <f t="shared" ca="1" si="177"/>
        <v>0.70970181735153304</v>
      </c>
      <c r="BZ159" s="142">
        <f t="shared" ca="1" si="178"/>
        <v>7.9317012608010051E-2</v>
      </c>
      <c r="CA159" s="142">
        <f t="shared" ca="1" si="179"/>
        <v>0.158294386688453</v>
      </c>
      <c r="CB159" s="142">
        <f t="shared" ca="1" si="180"/>
        <v>1.7410042169405419E-3</v>
      </c>
      <c r="CC159" s="142">
        <f t="shared" ca="1" si="181"/>
        <v>1.9407915860976531E-2</v>
      </c>
      <c r="CD159" s="142">
        <f t="shared" ca="1" si="182"/>
        <v>1.0916952671799299E-2</v>
      </c>
      <c r="CE159" s="142">
        <f t="shared" ca="1" si="183"/>
        <v>2.0620910602287566E-2</v>
      </c>
      <c r="CG159" s="128">
        <f t="shared" si="184"/>
        <v>132</v>
      </c>
      <c r="CH159" s="90">
        <f ca="1">INDEX(角色升级!$A:$A,MATCH(玩家节奏1!$BX159,角色升级!$J:$J,1))</f>
        <v>638</v>
      </c>
      <c r="CI159" s="90">
        <f ca="1">INDEX(角色升级!$O:$O,MATCH(玩家节奏1!$BX159,角色升级!$J:$J,1))</f>
        <v>33036.323970000005</v>
      </c>
      <c r="CJ159" s="90">
        <f>INDEX(关卡对比!$J:$J,MATCH(玩家节奏1!N159,关卡对比!$A:$A,0))</f>
        <v>52200</v>
      </c>
      <c r="CK159" s="147">
        <f t="shared" ca="1" si="185"/>
        <v>1.5800789472643009</v>
      </c>
      <c r="CL159" s="128">
        <f ca="1">INDEX(角色升级!$P:$P,MATCH(玩家节奏1!$CH159,角色升级!$A:$A,0))</f>
        <v>10800</v>
      </c>
      <c r="CM159" s="90">
        <f ca="1">INDEX(角色升级!Q:Q,MATCH(玩家节奏1!$CH159,角色升级!$A:$A,0))</f>
        <v>1</v>
      </c>
      <c r="CO159" s="128">
        <f t="shared" si="186"/>
        <v>34122</v>
      </c>
      <c r="CP159" s="90">
        <f t="shared" si="187"/>
        <v>39841</v>
      </c>
      <c r="CQ159" s="90">
        <f t="shared" si="188"/>
        <v>23280</v>
      </c>
      <c r="CR159" s="90">
        <f t="shared" ca="1" si="189"/>
        <v>99552.5</v>
      </c>
      <c r="CS159" s="90">
        <f t="shared" ca="1" si="190"/>
        <v>196795.5</v>
      </c>
      <c r="CT159" s="142">
        <f t="shared" ca="1" si="191"/>
        <v>0.17338811100863588</v>
      </c>
      <c r="CU159" s="142">
        <f t="shared" ca="1" si="192"/>
        <v>0.20244873485420145</v>
      </c>
      <c r="CV159" s="142">
        <f t="shared" ca="1" si="193"/>
        <v>0.11829538785185637</v>
      </c>
      <c r="CW159" s="142">
        <f t="shared" ca="1" si="194"/>
        <v>0.50586776628530628</v>
      </c>
      <c r="CY159" s="128">
        <f t="shared" si="195"/>
        <v>17062</v>
      </c>
      <c r="CZ159" s="90">
        <f t="shared" si="196"/>
        <v>19761</v>
      </c>
      <c r="DA159" s="90">
        <f t="shared" si="197"/>
        <v>14080</v>
      </c>
      <c r="DB159" s="90">
        <f t="shared" ca="1" si="198"/>
        <v>59012</v>
      </c>
      <c r="DC159" s="90">
        <f t="shared" ca="1" si="199"/>
        <v>109915</v>
      </c>
      <c r="DD159" s="142">
        <f t="shared" ca="1" si="200"/>
        <v>0.15522904062229906</v>
      </c>
      <c r="DE159" s="142">
        <f t="shared" ca="1" si="201"/>
        <v>0.17978437883819315</v>
      </c>
      <c r="DF159" s="142">
        <f t="shared" ca="1" si="202"/>
        <v>0.12809898557976618</v>
      </c>
      <c r="DG159" s="142">
        <f t="shared" ca="1" si="203"/>
        <v>0.53688759495974159</v>
      </c>
      <c r="DI159" s="128">
        <f t="shared" si="204"/>
        <v>8131</v>
      </c>
      <c r="DJ159" s="90">
        <f t="shared" si="205"/>
        <v>9442</v>
      </c>
      <c r="DK159" s="90">
        <f t="shared" si="206"/>
        <v>4952</v>
      </c>
      <c r="DL159" s="90">
        <f t="shared" ca="1" si="207"/>
        <v>7971.5</v>
      </c>
      <c r="DM159" s="90">
        <f t="shared" ca="1" si="208"/>
        <v>30496.5</v>
      </c>
      <c r="DN159" s="142">
        <f t="shared" ca="1" si="209"/>
        <v>0.26662075975931665</v>
      </c>
      <c r="DO159" s="142">
        <f t="shared" ca="1" si="210"/>
        <v>0.30960929942780319</v>
      </c>
      <c r="DP159" s="142">
        <f t="shared" ca="1" si="211"/>
        <v>0.16237928942665553</v>
      </c>
      <c r="DQ159" s="142">
        <f t="shared" ca="1" si="212"/>
        <v>0.26139065138622464</v>
      </c>
      <c r="DS159" s="128">
        <f t="shared" ca="1" si="213"/>
        <v>196795.5</v>
      </c>
      <c r="DT159" s="90">
        <f t="shared" ca="1" si="214"/>
        <v>109915</v>
      </c>
      <c r="DU159" s="90">
        <f t="shared" ca="1" si="215"/>
        <v>30496.5</v>
      </c>
      <c r="DV159" s="90">
        <f t="shared" si="216"/>
        <v>136</v>
      </c>
      <c r="DW159" s="90">
        <f ca="1">_xlfn.IFNA(INDEX(武器升级消耗!$H:$H,MATCH(玩家节奏1!DS159/玩家节奏1!DS$5,武器升级消耗!M:M,1)),0)</f>
        <v>40</v>
      </c>
      <c r="DX159" s="90">
        <f ca="1">_xlfn.IFNA(INDEX(武器升级消耗!$H:$H,MATCH(玩家节奏1!DT159/玩家节奏1!DT$5,武器升级消耗!N:N,1)),0)</f>
        <v>36</v>
      </c>
      <c r="DY159" s="90">
        <f ca="1">_xlfn.IFNA(INDEX(武器升级消耗!$H:$H,MATCH(玩家节奏1!DU159/玩家节奏1!DU$5,武器升级消耗!O:O,1)),0)</f>
        <v>24</v>
      </c>
      <c r="DZ159" s="90">
        <f>_xlfn.IFNA(INDEX(武器升级消耗!$H:$H,MATCH(玩家节奏1!DV159/玩家节奏1!DV$5,武器升级消耗!P:P,1)),0)</f>
        <v>12</v>
      </c>
      <c r="EA159" s="90">
        <f ca="1">_xlfn.IFNA(INDEX(武器升级消耗!$Q:$Q,MATCH(玩家节奏1!DW159,武器升级消耗!$H:$H,0))*2*EA$4,0)</f>
        <v>5.28</v>
      </c>
      <c r="EB159" s="90">
        <f ca="1">_xlfn.IFNA(INDEX(武器升级消耗!$Q:$Q,MATCH(玩家节奏1!DX159,武器升级消耗!$H:$H,0))*2*EB$4,0)</f>
        <v>6</v>
      </c>
      <c r="EC159" s="90">
        <f ca="1">_xlfn.IFNA(INDEX(武器升级消耗!$Q:$Q,MATCH(玩家节奏1!DY159,武器升级消耗!$H:$H,0))*2*EC$4,1)</f>
        <v>6.16</v>
      </c>
      <c r="ED159" s="90">
        <f>_xlfn.IFNA(INDEX(武器升级消耗!$Q:$Q,MATCH(玩家节奏1!DZ159,武器升级消耗!$H:$H,0))*2*ED$4,0)</f>
        <v>4.8000000000000007</v>
      </c>
    </row>
    <row r="160" spans="1:134" x14ac:dyDescent="0.25">
      <c r="A160" s="123">
        <v>154</v>
      </c>
      <c r="B160" s="123">
        <f>INDEX(关卡对比!$Y:$Y,MATCH(关卡对比!Z160,关卡对比!$AA:$AA,1))</f>
        <v>90</v>
      </c>
      <c r="C160" s="124">
        <f>INDEX(关卡对比!$Y:$Y,MATCH(关卡对比!Z160,关卡对比!$AB:$AB,1))</f>
        <v>69</v>
      </c>
      <c r="D160" s="125">
        <f t="shared" si="157"/>
        <v>908.5</v>
      </c>
      <c r="E160" s="125">
        <v>3</v>
      </c>
      <c r="F160" s="128">
        <v>5</v>
      </c>
      <c r="G160" s="90">
        <v>1</v>
      </c>
      <c r="H160" s="90">
        <v>1</v>
      </c>
      <c r="J160" s="128">
        <v>154</v>
      </c>
      <c r="K160" s="90">
        <f t="shared" si="164"/>
        <v>5</v>
      </c>
      <c r="L160" s="90">
        <f t="shared" si="165"/>
        <v>1</v>
      </c>
      <c r="M160" s="90">
        <f t="shared" si="166"/>
        <v>1</v>
      </c>
      <c r="N160" s="140">
        <f>INDEX($A:$A,MATCH(SUM($K$7:K160),$D:$D,1))</f>
        <v>132</v>
      </c>
      <c r="O160" s="140">
        <v>0</v>
      </c>
      <c r="P160" s="141">
        <v>0</v>
      </c>
      <c r="Q160" s="126">
        <f>_xlfn.MAXIFS(关卡产出!X:X,关卡产出!$A:$A,玩家节奏1!$N$6,关卡产出!$B:$B,玩家节奏1!$N160)+_xlfn.MAXIFS(关卡产出!X:X,关卡产出!$A:$A,玩家节奏1!$O$6,关卡产出!$B:$B,玩家节奏1!$O160)+_xlfn.MAXIFS(关卡产出!X:X,关卡产出!$A:$A,玩家节奏1!$P$6,关卡产出!$B:$B,玩家节奏1!$P160)</f>
        <v>24900</v>
      </c>
      <c r="R160" s="90">
        <f>_xlfn.MAXIFS(关卡产出!Y:Y,关卡产出!$A:$A,玩家节奏1!$N$6,关卡产出!$B:$B,玩家节奏1!$N160)+_xlfn.MAXIFS(关卡产出!Y:Y,关卡产出!$A:$A,玩家节奏1!$O$6,关卡产出!$B:$B,玩家节奏1!$O160)+_xlfn.MAXIFS(关卡产出!Y:Y,关卡产出!$A:$A,玩家节奏1!$P$6,关卡产出!$B:$B,玩家节奏1!$P160)</f>
        <v>4973200</v>
      </c>
      <c r="S160" s="90">
        <f>_xlfn.MAXIFS(关卡产出!Z:Z,关卡产出!$A:$A,玩家节奏1!$N$6,关卡产出!$B:$B,玩家节奏1!$N160)+_xlfn.MAXIFS(关卡产出!Z:Z,关卡产出!$A:$A,玩家节奏1!$O$6,关卡产出!$B:$B,玩家节奏1!$O160)+_xlfn.MAXIFS(关卡产出!Z:Z,关卡产出!$A:$A,玩家节奏1!$P$6,关卡产出!$B:$B,玩家节奏1!$P160)</f>
        <v>34122</v>
      </c>
      <c r="T160" s="90">
        <f>_xlfn.MAXIFS(关卡产出!AA:AA,关卡产出!$A:$A,玩家节奏1!$N$6,关卡产出!$B:$B,玩家节奏1!$N160)+_xlfn.MAXIFS(关卡产出!AA:AA,关卡产出!$A:$A,玩家节奏1!$O$6,关卡产出!$B:$B,玩家节奏1!$O160)+_xlfn.MAXIFS(关卡产出!AA:AA,关卡产出!$A:$A,玩家节奏1!$P$6,关卡产出!$B:$B,玩家节奏1!$P160)</f>
        <v>17062</v>
      </c>
      <c r="U160" s="90">
        <f>_xlfn.MAXIFS(关卡产出!AB:AB,关卡产出!$A:$A,玩家节奏1!$N$6,关卡产出!$B:$B,玩家节奏1!$N160)+_xlfn.MAXIFS(关卡产出!AB:AB,关卡产出!$A:$A,玩家节奏1!$O$6,关卡产出!$B:$B,玩家节奏1!$O160)+_xlfn.MAXIFS(关卡产出!AB:AB,关卡产出!$A:$A,玩家节奏1!$P$6,关卡产出!$B:$B,玩家节奏1!$P160)</f>
        <v>8131</v>
      </c>
      <c r="V160" s="130">
        <f>_xlfn.MAXIFS(关卡产出!AC:AC,关卡产出!$A:$A,玩家节奏1!$N$6,关卡产出!$B:$B,玩家节奏1!$N160)+_xlfn.MAXIFS(关卡产出!AC:AC,关卡产出!$A:$A,玩家节奏1!$O$6,关卡产出!$B:$B,玩家节奏1!$O160)+_xlfn.MAXIFS(关卡产出!AC:AC,关卡产出!$A:$A,玩家节奏1!$P$6,关卡产出!$B:$B,玩家节奏1!$P160)</f>
        <v>792</v>
      </c>
      <c r="W160" s="126">
        <f>INDEX(关卡产出!C$8:C$207,MATCH(玩家节奏1!$N160,关卡产出!$B$8:$B$207,0))*$K160</f>
        <v>520</v>
      </c>
      <c r="X160" s="126">
        <f>INDEX(关卡产出!D$8:D$207,MATCH(玩家节奏1!$N160,关卡产出!$B$8:$B$207,0))*$K160</f>
        <v>260</v>
      </c>
      <c r="Y160" s="126">
        <f>INDEX(关卡产出!E$8:E$207,MATCH(玩家节奏1!$N160,关卡产出!$B$8:$B$207,0))*$K160</f>
        <v>125</v>
      </c>
      <c r="Z160" s="144">
        <f>INDEX(关卡产出!F$8:F$207,MATCH(玩家节奏1!$N160,关卡产出!$B$8:$B$207,0))*$K160</f>
        <v>6850</v>
      </c>
      <c r="AA160" s="126">
        <f>SUM(W$7:W160)</f>
        <v>40361</v>
      </c>
      <c r="AB160" s="126">
        <f>SUM(X$7:X160)</f>
        <v>20021</v>
      </c>
      <c r="AC160" s="126">
        <f>SUM(Y$7:Y160)</f>
        <v>9567</v>
      </c>
      <c r="AD160" s="126">
        <f>SUM(Z$7:Z160)</f>
        <v>562660</v>
      </c>
      <c r="AE160" s="126">
        <f>INDEX(图鉴!AQ:AQ,MATCH($N160,图鉴!$S:$S,0))*8</f>
        <v>168</v>
      </c>
      <c r="AF160" s="90">
        <f>INDEX(图鉴!AR:AR,MATCH($N160,图鉴!$S:$S,0))*8</f>
        <v>120</v>
      </c>
      <c r="AG160" s="90">
        <f>INDEX(图鉴!AS:AS,MATCH($N160,图鉴!$S:$S,0))*8</f>
        <v>48</v>
      </c>
      <c r="AH160" s="129">
        <f ca="1">INDEX(图鉴!AT:AT,MATCH($N160,图鉴!$S:$S,0))*8</f>
        <v>10880</v>
      </c>
      <c r="AI160" s="128">
        <f>SUM($AE$7:AE160)</f>
        <v>23448</v>
      </c>
      <c r="AJ160" s="90">
        <f>SUM(AF$7:AF160)</f>
        <v>14200</v>
      </c>
      <c r="AK160" s="90">
        <f>SUM(AG$7:AG160)</f>
        <v>5000</v>
      </c>
      <c r="AL160" s="130">
        <f ca="1">SUM(AH$7:AH160)</f>
        <v>1120120</v>
      </c>
      <c r="AM160" s="133">
        <f>IF(M160=0,0,INDEX(关卡产出!$AU$11:$AU$15,MATCH(玩家节奏1!N160,关卡产出!$AW$11:$AW$15,1))*M160)</f>
        <v>12200</v>
      </c>
      <c r="AN160" s="126">
        <f>IF(L160=0,0,$L160*关卡产出!AU$21)</f>
        <v>1000</v>
      </c>
      <c r="AO160" s="90">
        <f>IF(M160=0,0,$L160*关卡产出!AV$21)</f>
        <v>50</v>
      </c>
      <c r="AP160" s="129">
        <f>IF(N160=0,0,$L160*关卡产出!AW$21)</f>
        <v>1</v>
      </c>
      <c r="AQ160" s="138">
        <f>SUM(AN$7:AN160)</f>
        <v>137000</v>
      </c>
      <c r="AR160" s="126">
        <f>SUM(AO$7:AO160)</f>
        <v>6850</v>
      </c>
      <c r="AS160" s="129">
        <f>SUM(AP$7:AP160)</f>
        <v>137</v>
      </c>
      <c r="AT160" s="128">
        <v>500</v>
      </c>
      <c r="AU160" s="129">
        <v>100</v>
      </c>
      <c r="AV160" s="128">
        <f>SUM(AT$7:AT160)</f>
        <v>77000</v>
      </c>
      <c r="AW160" s="90">
        <f>SUM(AU$7:AU160)</f>
        <v>15400</v>
      </c>
      <c r="AY160" s="128">
        <f t="shared" si="167"/>
        <v>24900</v>
      </c>
      <c r="AZ160" s="90">
        <f t="shared" si="168"/>
        <v>6850</v>
      </c>
      <c r="BA160" s="90">
        <f t="shared" si="169"/>
        <v>15400</v>
      </c>
      <c r="BB160" s="90">
        <f t="shared" ca="1" si="217"/>
        <v>10800</v>
      </c>
      <c r="BC160" s="90">
        <f t="shared" ca="1" si="218"/>
        <v>57950</v>
      </c>
      <c r="BD160" s="90"/>
      <c r="BE160" s="90">
        <f t="shared" ca="1" si="170"/>
        <v>57950</v>
      </c>
      <c r="BF160" s="142">
        <f t="shared" ca="1" si="171"/>
        <v>0.4296807592752373</v>
      </c>
      <c r="BG160" s="142">
        <f t="shared" ca="1" si="172"/>
        <v>0.1182053494391717</v>
      </c>
      <c r="BH160" s="142">
        <f t="shared" ca="1" si="173"/>
        <v>0.26574633304572909</v>
      </c>
      <c r="BI160" s="142">
        <f t="shared" ca="1" si="174"/>
        <v>0.18636755823986195</v>
      </c>
      <c r="BJ160" s="143"/>
      <c r="BK160" s="128">
        <f ca="1">INDEX(商城宝箱!$L:$L,MATCH(BC160,商城宝箱!$N:$N,1))</f>
        <v>9</v>
      </c>
      <c r="BL160" s="90">
        <f ca="1">_xlfn.IFNA(INDEX(商城宝箱!T:T,MATCH(玩家节奏1!$BK160,商城宝箱!$L:$L,0)),0)+($BC160-INDEX(商城宝箱!$N:$N,MATCH(玩家节奏1!$BK160,商城宝箱!$L:$L,0)))/$BK$5*INDEX(商城宝箱!E$23:E$42,MATCH(玩家节奏1!$BK160+1,商城宝箱!$C$23:$C$42,0))</f>
        <v>144875</v>
      </c>
      <c r="BM160" s="90">
        <f ca="1">_xlfn.IFNA(INDEX(商城宝箱!U:U,MATCH(玩家节奏1!$BK160,商城宝箱!$L:$L,0)),0)+($BC160-INDEX(商城宝箱!$N:$N,MATCH(玩家节奏1!$BK160,商城宝箱!$L:$L,0)))/$BK$5*INDEX(商城宝箱!F$23:F$42,MATCH(玩家节奏1!$BK160+1,商城宝箱!$C$23:$C$42,0))</f>
        <v>99957.5</v>
      </c>
      <c r="BN160" s="90">
        <f ca="1">_xlfn.IFNA(INDEX(商城宝箱!V:V,MATCH(玩家节奏1!$BK160,商城宝箱!$L:$L,0)),0)+($BC160-INDEX(商城宝箱!$N:$N,MATCH(玩家节奏1!$BK160,商城宝箱!$L:$L,0)))/$BK$5*INDEX(商城宝箱!G$23:G$42,MATCH(玩家节奏1!$BK160+1,商城宝箱!$C$23:$C$42,0))</f>
        <v>59199.5</v>
      </c>
      <c r="BO160" s="90">
        <f ca="1">_xlfn.IFNA(INDEX(商城宝箱!W:W,MATCH(玩家节奏1!$BK160,商城宝箱!$L:$L,0)),0)+($BC160-INDEX(商城宝箱!$N:$N,MATCH(玩家节奏1!$BK160,商城宝箱!$L:$L,0)))/$BK$5*INDEX(商城宝箱!H$23:H$42,MATCH(玩家节奏1!$BK160+1,商城宝箱!$C$23:$C$42,0))</f>
        <v>8001.5</v>
      </c>
      <c r="BQ160" s="128">
        <f t="shared" si="158"/>
        <v>4973200</v>
      </c>
      <c r="BR160" s="90">
        <f t="shared" si="159"/>
        <v>562660</v>
      </c>
      <c r="BS160" s="90">
        <f t="shared" ca="1" si="160"/>
        <v>1120120</v>
      </c>
      <c r="BT160" s="90">
        <f t="shared" si="161"/>
        <v>12200</v>
      </c>
      <c r="BU160" s="90">
        <f t="shared" si="162"/>
        <v>137000</v>
      </c>
      <c r="BV160" s="90">
        <f t="shared" si="163"/>
        <v>77000</v>
      </c>
      <c r="BW160" s="90">
        <f t="shared" ca="1" si="175"/>
        <v>144875</v>
      </c>
      <c r="BX160" s="90">
        <f t="shared" ca="1" si="176"/>
        <v>7027055</v>
      </c>
      <c r="BY160" s="142">
        <f t="shared" ca="1" si="177"/>
        <v>0.7077217981074575</v>
      </c>
      <c r="BZ160" s="142">
        <f t="shared" ca="1" si="178"/>
        <v>8.0070527411554349E-2</v>
      </c>
      <c r="CA160" s="142">
        <f t="shared" ca="1" si="179"/>
        <v>0.15940105776886618</v>
      </c>
      <c r="CB160" s="142">
        <f t="shared" ca="1" si="180"/>
        <v>1.7361469349535474E-3</v>
      </c>
      <c r="CC160" s="142">
        <f t="shared" ca="1" si="181"/>
        <v>1.9496076236773442E-2</v>
      </c>
      <c r="CD160" s="142">
        <f t="shared" ca="1" si="182"/>
        <v>1.0957648687821569E-2</v>
      </c>
      <c r="CE160" s="142">
        <f t="shared" ca="1" si="183"/>
        <v>2.0616744852573376E-2</v>
      </c>
      <c r="CG160" s="128">
        <f t="shared" si="184"/>
        <v>132</v>
      </c>
      <c r="CH160" s="90">
        <f ca="1">INDEX(角色升级!$A:$A,MATCH(玩家节奏1!$BX160,角色升级!$J:$J,1))</f>
        <v>638</v>
      </c>
      <c r="CI160" s="90">
        <f ca="1">INDEX(角色升级!$O:$O,MATCH(玩家节奏1!$BX160,角色升级!$J:$J,1))</f>
        <v>33036.323970000005</v>
      </c>
      <c r="CJ160" s="90">
        <f>INDEX(关卡对比!$J:$J,MATCH(玩家节奏1!N160,关卡对比!$A:$A,0))</f>
        <v>52200</v>
      </c>
      <c r="CK160" s="147">
        <f t="shared" ca="1" si="185"/>
        <v>1.5800789472643009</v>
      </c>
      <c r="CL160" s="128">
        <f ca="1">INDEX(角色升级!$P:$P,MATCH(玩家节奏1!$CH160,角色升级!$A:$A,0))</f>
        <v>10800</v>
      </c>
      <c r="CM160" s="90">
        <f ca="1">INDEX(角色升级!Q:Q,MATCH(玩家节奏1!$CH160,角色升级!$A:$A,0))</f>
        <v>1</v>
      </c>
      <c r="CO160" s="128">
        <f t="shared" si="186"/>
        <v>34122</v>
      </c>
      <c r="CP160" s="90">
        <f t="shared" si="187"/>
        <v>40361</v>
      </c>
      <c r="CQ160" s="90">
        <f t="shared" si="188"/>
        <v>23448</v>
      </c>
      <c r="CR160" s="90">
        <f t="shared" ca="1" si="189"/>
        <v>99957.5</v>
      </c>
      <c r="CS160" s="90">
        <f t="shared" ca="1" si="190"/>
        <v>197888.5</v>
      </c>
      <c r="CT160" s="142">
        <f t="shared" ca="1" si="191"/>
        <v>0.17243043431023025</v>
      </c>
      <c r="CU160" s="142">
        <f t="shared" ca="1" si="192"/>
        <v>0.20395828964290497</v>
      </c>
      <c r="CV160" s="142">
        <f t="shared" ca="1" si="193"/>
        <v>0.11849096839887108</v>
      </c>
      <c r="CW160" s="142">
        <f t="shared" ca="1" si="194"/>
        <v>0.50512030764799365</v>
      </c>
      <c r="CY160" s="128">
        <f t="shared" si="195"/>
        <v>17062</v>
      </c>
      <c r="CZ160" s="90">
        <f t="shared" si="196"/>
        <v>20021</v>
      </c>
      <c r="DA160" s="90">
        <f t="shared" si="197"/>
        <v>14200</v>
      </c>
      <c r="DB160" s="90">
        <f t="shared" ca="1" si="198"/>
        <v>59199.5</v>
      </c>
      <c r="DC160" s="90">
        <f t="shared" ca="1" si="199"/>
        <v>110482.5</v>
      </c>
      <c r="DD160" s="142">
        <f t="shared" ca="1" si="200"/>
        <v>0.15443169732763107</v>
      </c>
      <c r="DE160" s="142">
        <f t="shared" ca="1" si="201"/>
        <v>0.18121421944651869</v>
      </c>
      <c r="DF160" s="142">
        <f t="shared" ca="1" si="202"/>
        <v>0.12852714230760529</v>
      </c>
      <c r="DG160" s="142">
        <f t="shared" ca="1" si="203"/>
        <v>0.53582694091824501</v>
      </c>
      <c r="DI160" s="128">
        <f t="shared" si="204"/>
        <v>8131</v>
      </c>
      <c r="DJ160" s="90">
        <f t="shared" si="205"/>
        <v>9567</v>
      </c>
      <c r="DK160" s="90">
        <f t="shared" si="206"/>
        <v>5000</v>
      </c>
      <c r="DL160" s="90">
        <f t="shared" ca="1" si="207"/>
        <v>8001.5</v>
      </c>
      <c r="DM160" s="90">
        <f t="shared" ca="1" si="208"/>
        <v>30699.5</v>
      </c>
      <c r="DN160" s="142">
        <f t="shared" ca="1" si="209"/>
        <v>0.26485773383931333</v>
      </c>
      <c r="DO160" s="142">
        <f t="shared" ca="1" si="210"/>
        <v>0.3116337399631916</v>
      </c>
      <c r="DP160" s="142">
        <f t="shared" ca="1" si="211"/>
        <v>0.16286910210264011</v>
      </c>
      <c r="DQ160" s="142">
        <f t="shared" ca="1" si="212"/>
        <v>0.26063942409485497</v>
      </c>
      <c r="DS160" s="128">
        <f t="shared" ca="1" si="213"/>
        <v>197888.5</v>
      </c>
      <c r="DT160" s="90">
        <f t="shared" ca="1" si="214"/>
        <v>110482.5</v>
      </c>
      <c r="DU160" s="90">
        <f t="shared" ca="1" si="215"/>
        <v>30699.5</v>
      </c>
      <c r="DV160" s="90">
        <f t="shared" si="216"/>
        <v>137</v>
      </c>
      <c r="DW160" s="90">
        <f ca="1">_xlfn.IFNA(INDEX(武器升级消耗!$H:$H,MATCH(玩家节奏1!DS160/玩家节奏1!DS$5,武器升级消耗!M:M,1)),0)</f>
        <v>40</v>
      </c>
      <c r="DX160" s="90">
        <f ca="1">_xlfn.IFNA(INDEX(武器升级消耗!$H:$H,MATCH(玩家节奏1!DT160/玩家节奏1!DT$5,武器升级消耗!N:N,1)),0)</f>
        <v>36</v>
      </c>
      <c r="DY160" s="90">
        <f ca="1">_xlfn.IFNA(INDEX(武器升级消耗!$H:$H,MATCH(玩家节奏1!DU160/玩家节奏1!DU$5,武器升级消耗!O:O,1)),0)</f>
        <v>24</v>
      </c>
      <c r="DZ160" s="90">
        <f>_xlfn.IFNA(INDEX(武器升级消耗!$H:$H,MATCH(玩家节奏1!DV160/玩家节奏1!DV$5,武器升级消耗!P:P,1)),0)</f>
        <v>12</v>
      </c>
      <c r="EA160" s="90">
        <f ca="1">_xlfn.IFNA(INDEX(武器升级消耗!$Q:$Q,MATCH(玩家节奏1!DW160,武器升级消耗!$H:$H,0))*2*EA$4,0)</f>
        <v>5.28</v>
      </c>
      <c r="EB160" s="90">
        <f ca="1">_xlfn.IFNA(INDEX(武器升级消耗!$Q:$Q,MATCH(玩家节奏1!DX160,武器升级消耗!$H:$H,0))*2*EB$4,0)</f>
        <v>6</v>
      </c>
      <c r="EC160" s="90">
        <f ca="1">_xlfn.IFNA(INDEX(武器升级消耗!$Q:$Q,MATCH(玩家节奏1!DY160,武器升级消耗!$H:$H,0))*2*EC$4,1)</f>
        <v>6.16</v>
      </c>
      <c r="ED160" s="90">
        <f>_xlfn.IFNA(INDEX(武器升级消耗!$Q:$Q,MATCH(玩家节奏1!DZ160,武器升级消耗!$H:$H,0))*2*ED$4,0)</f>
        <v>4.8000000000000007</v>
      </c>
    </row>
    <row r="161" spans="1:134" x14ac:dyDescent="0.25">
      <c r="A161" s="123">
        <v>155</v>
      </c>
      <c r="B161" s="123">
        <f>INDEX(关卡对比!$Y:$Y,MATCH(关卡对比!Z161,关卡对比!$AA:$AA,1))</f>
        <v>91</v>
      </c>
      <c r="C161" s="124">
        <f>INDEX(关卡对比!$Y:$Y,MATCH(关卡对比!Z161,关卡对比!$AB:$AB,1))</f>
        <v>70</v>
      </c>
      <c r="D161" s="125">
        <f t="shared" si="157"/>
        <v>917.5</v>
      </c>
      <c r="E161" s="125">
        <v>3</v>
      </c>
      <c r="F161" s="128">
        <v>5</v>
      </c>
      <c r="G161" s="90">
        <v>1</v>
      </c>
      <c r="H161" s="90">
        <v>1</v>
      </c>
      <c r="J161" s="128">
        <v>155</v>
      </c>
      <c r="K161" s="90">
        <f t="shared" si="164"/>
        <v>5</v>
      </c>
      <c r="L161" s="90">
        <f t="shared" si="165"/>
        <v>1</v>
      </c>
      <c r="M161" s="90">
        <f t="shared" si="166"/>
        <v>1</v>
      </c>
      <c r="N161" s="140">
        <f>INDEX($A:$A,MATCH(SUM($K$7:K161),$D:$D,1))</f>
        <v>133</v>
      </c>
      <c r="O161" s="140">
        <v>0</v>
      </c>
      <c r="P161" s="141">
        <v>0</v>
      </c>
      <c r="Q161" s="126">
        <f>_xlfn.MAXIFS(关卡产出!X:X,关卡产出!$A:$A,玩家节奏1!$N$6,关卡产出!$B:$B,玩家节奏1!$N161)+_xlfn.MAXIFS(关卡产出!X:X,关卡产出!$A:$A,玩家节奏1!$O$6,关卡产出!$B:$B,玩家节奏1!$O161)+_xlfn.MAXIFS(关卡产出!X:X,关卡产出!$A:$A,玩家节奏1!$P$6,关卡产出!$B:$B,玩家节奏1!$P161)</f>
        <v>25100</v>
      </c>
      <c r="R161" s="90">
        <f>_xlfn.MAXIFS(关卡产出!Y:Y,关卡产出!$A:$A,玩家节奏1!$N$6,关卡产出!$B:$B,玩家节奏1!$N161)+_xlfn.MAXIFS(关卡产出!Y:Y,关卡产出!$A:$A,玩家节奏1!$O$6,关卡产出!$B:$B,玩家节奏1!$O161)+_xlfn.MAXIFS(关卡产出!Y:Y,关卡产出!$A:$A,玩家节奏1!$P$6,关卡产出!$B:$B,玩家节奏1!$P161)</f>
        <v>5050700</v>
      </c>
      <c r="S161" s="90">
        <f>_xlfn.MAXIFS(关卡产出!Z:Z,关卡产出!$A:$A,玩家节奏1!$N$6,关卡产出!$B:$B,玩家节奏1!$N161)+_xlfn.MAXIFS(关卡产出!Z:Z,关卡产出!$A:$A,玩家节奏1!$O$6,关卡产出!$B:$B,玩家节奏1!$O161)+_xlfn.MAXIFS(关卡产出!Z:Z,关卡产出!$A:$A,玩家节奏1!$P$6,关卡产出!$B:$B,玩家节奏1!$P161)</f>
        <v>34646</v>
      </c>
      <c r="T161" s="90">
        <f>_xlfn.MAXIFS(关卡产出!AA:AA,关卡产出!$A:$A,玩家节奏1!$N$6,关卡产出!$B:$B,玩家节奏1!$N161)+_xlfn.MAXIFS(关卡产出!AA:AA,关卡产出!$A:$A,玩家节奏1!$O$6,关卡产出!$B:$B,玩家节奏1!$O161)+_xlfn.MAXIFS(关卡产出!AA:AA,关卡产出!$A:$A,玩家节奏1!$P$6,关卡产出!$B:$B,玩家节奏1!$P161)</f>
        <v>17324</v>
      </c>
      <c r="U161" s="90">
        <f>_xlfn.MAXIFS(关卡产出!AB:AB,关卡产出!$A:$A,玩家节奏1!$N$6,关卡产出!$B:$B,玩家节奏1!$N161)+_xlfn.MAXIFS(关卡产出!AB:AB,关卡产出!$A:$A,玩家节奏1!$O$6,关卡产出!$B:$B,玩家节奏1!$O161)+_xlfn.MAXIFS(关卡产出!AB:AB,关卡产出!$A:$A,玩家节奏1!$P$6,关卡产出!$B:$B,玩家节奏1!$P161)</f>
        <v>8259</v>
      </c>
      <c r="V161" s="130">
        <f>_xlfn.MAXIFS(关卡产出!AC:AC,关卡产出!$A:$A,玩家节奏1!$N$6,关卡产出!$B:$B,玩家节奏1!$N161)+_xlfn.MAXIFS(关卡产出!AC:AC,关卡产出!$A:$A,玩家节奏1!$O$6,关卡产出!$B:$B,玩家节奏1!$O161)+_xlfn.MAXIFS(关卡产出!AC:AC,关卡产出!$A:$A,玩家节奏1!$P$6,关卡产出!$B:$B,玩家节奏1!$P161)</f>
        <v>798</v>
      </c>
      <c r="W161" s="126">
        <f>INDEX(关卡产出!C$8:C$207,MATCH(玩家节奏1!$N161,关卡产出!$B$8:$B$207,0))*$K161</f>
        <v>525</v>
      </c>
      <c r="X161" s="126">
        <f>INDEX(关卡产出!D$8:D$207,MATCH(玩家节奏1!$N161,关卡产出!$B$8:$B$207,0))*$K161</f>
        <v>260</v>
      </c>
      <c r="Y161" s="126">
        <f>INDEX(关卡产出!E$8:E$207,MATCH(玩家节奏1!$N161,关卡产出!$B$8:$B$207,0))*$K161</f>
        <v>130</v>
      </c>
      <c r="Z161" s="144">
        <f>INDEX(关卡产出!F$8:F$207,MATCH(玩家节奏1!$N161,关卡产出!$B$8:$B$207,0))*$K161</f>
        <v>6950</v>
      </c>
      <c r="AA161" s="126">
        <f>SUM(W$7:W161)</f>
        <v>40886</v>
      </c>
      <c r="AB161" s="126">
        <f>SUM(X$7:X161)</f>
        <v>20281</v>
      </c>
      <c r="AC161" s="126">
        <f>SUM(Y$7:Y161)</f>
        <v>9697</v>
      </c>
      <c r="AD161" s="126">
        <f>SUM(Z$7:Z161)</f>
        <v>569610</v>
      </c>
      <c r="AE161" s="126">
        <f>INDEX(图鉴!AQ:AQ,MATCH($N161,图鉴!$S:$S,0))*8</f>
        <v>168</v>
      </c>
      <c r="AF161" s="90">
        <f>INDEX(图鉴!AR:AR,MATCH($N161,图鉴!$S:$S,0))*8</f>
        <v>120</v>
      </c>
      <c r="AG161" s="90">
        <f>INDEX(图鉴!AS:AS,MATCH($N161,图鉴!$S:$S,0))*8</f>
        <v>48</v>
      </c>
      <c r="AH161" s="129">
        <f ca="1">INDEX(图鉴!AT:AT,MATCH($N161,图鉴!$S:$S,0))*8</f>
        <v>10880</v>
      </c>
      <c r="AI161" s="128">
        <f>SUM($AE$7:AE161)</f>
        <v>23616</v>
      </c>
      <c r="AJ161" s="90">
        <f>SUM(AF$7:AF161)</f>
        <v>14320</v>
      </c>
      <c r="AK161" s="90">
        <f>SUM(AG$7:AG161)</f>
        <v>5048</v>
      </c>
      <c r="AL161" s="130">
        <f ca="1">SUM(AH$7:AH161)</f>
        <v>1131000</v>
      </c>
      <c r="AM161" s="133">
        <f>IF(M161=0,0,INDEX(关卡产出!$AU$11:$AU$15,MATCH(玩家节奏1!N161,关卡产出!$AW$11:$AW$15,1))*M161)</f>
        <v>12200</v>
      </c>
      <c r="AN161" s="126">
        <f>IF(L161=0,0,$L161*关卡产出!AU$21)</f>
        <v>1000</v>
      </c>
      <c r="AO161" s="90">
        <f>IF(M161=0,0,$L161*关卡产出!AV$21)</f>
        <v>50</v>
      </c>
      <c r="AP161" s="129">
        <f>IF(N161=0,0,$L161*关卡产出!AW$21)</f>
        <v>1</v>
      </c>
      <c r="AQ161" s="138">
        <f>SUM(AN$7:AN161)</f>
        <v>138000</v>
      </c>
      <c r="AR161" s="126">
        <f>SUM(AO$7:AO161)</f>
        <v>6900</v>
      </c>
      <c r="AS161" s="129">
        <f>SUM(AP$7:AP161)</f>
        <v>138</v>
      </c>
      <c r="AT161" s="128">
        <v>500</v>
      </c>
      <c r="AU161" s="129">
        <v>100</v>
      </c>
      <c r="AV161" s="128">
        <f>SUM(AT$7:AT161)</f>
        <v>77500</v>
      </c>
      <c r="AW161" s="90">
        <f>SUM(AU$7:AU161)</f>
        <v>15500</v>
      </c>
      <c r="AY161" s="128">
        <f t="shared" si="167"/>
        <v>25100</v>
      </c>
      <c r="AZ161" s="90">
        <f t="shared" si="168"/>
        <v>6900</v>
      </c>
      <c r="BA161" s="90">
        <f t="shared" si="169"/>
        <v>15500</v>
      </c>
      <c r="BB161" s="90">
        <f t="shared" ca="1" si="217"/>
        <v>10800</v>
      </c>
      <c r="BC161" s="90">
        <f t="shared" ca="1" si="218"/>
        <v>58300</v>
      </c>
      <c r="BD161" s="90"/>
      <c r="BE161" s="90">
        <f t="shared" ca="1" si="170"/>
        <v>58300</v>
      </c>
      <c r="BF161" s="142">
        <f t="shared" ca="1" si="171"/>
        <v>0.43053173241852488</v>
      </c>
      <c r="BG161" s="142">
        <f t="shared" ca="1" si="172"/>
        <v>0.1183533447684391</v>
      </c>
      <c r="BH161" s="142">
        <f t="shared" ca="1" si="173"/>
        <v>0.2658662092624357</v>
      </c>
      <c r="BI161" s="142">
        <f t="shared" ca="1" si="174"/>
        <v>0.18524871355060035</v>
      </c>
      <c r="BJ161" s="143"/>
      <c r="BK161" s="128">
        <f ca="1">INDEX(商城宝箱!$L:$L,MATCH(BC161,商城宝箱!$N:$N,1))</f>
        <v>9</v>
      </c>
      <c r="BL161" s="90">
        <f ca="1">_xlfn.IFNA(INDEX(商城宝箱!T:T,MATCH(玩家节奏1!$BK161,商城宝箱!$L:$L,0)),0)+($BC161-INDEX(商城宝箱!$N:$N,MATCH(玩家节奏1!$BK161,商城宝箱!$L:$L,0)))/$BK$5*INDEX(商城宝箱!E$23:E$42,MATCH(玩家节奏1!$BK161+1,商城宝箱!$C$23:$C$42,0))</f>
        <v>145750</v>
      </c>
      <c r="BM161" s="90">
        <f ca="1">_xlfn.IFNA(INDEX(商城宝箱!U:U,MATCH(玩家节奏1!$BK161,商城宝箱!$L:$L,0)),0)+($BC161-INDEX(商城宝箱!$N:$N,MATCH(玩家节奏1!$BK161,商城宝箱!$L:$L,0)))/$BK$5*INDEX(商城宝箱!F$23:F$42,MATCH(玩家节奏1!$BK161+1,商城宝箱!$C$23:$C$42,0))</f>
        <v>100902.5</v>
      </c>
      <c r="BN161" s="90">
        <f ca="1">_xlfn.IFNA(INDEX(商城宝箱!V:V,MATCH(玩家节奏1!$BK161,商城宝箱!$L:$L,0)),0)+($BC161-INDEX(商城宝箱!$N:$N,MATCH(玩家节奏1!$BK161,商城宝箱!$L:$L,0)))/$BK$5*INDEX(商城宝箱!G$23:G$42,MATCH(玩家节奏1!$BK161+1,商城宝箱!$C$23:$C$42,0))</f>
        <v>59637</v>
      </c>
      <c r="BO161" s="90">
        <f ca="1">_xlfn.IFNA(INDEX(商城宝箱!W:W,MATCH(玩家节奏1!$BK161,商城宝箱!$L:$L,0)),0)+($BC161-INDEX(商城宝箱!$N:$N,MATCH(玩家节奏1!$BK161,商城宝箱!$L:$L,0)))/$BK$5*INDEX(商城宝箱!H$23:H$42,MATCH(玩家节奏1!$BK161+1,商城宝箱!$C$23:$C$42,0))</f>
        <v>8071.5</v>
      </c>
      <c r="BQ161" s="128">
        <f t="shared" si="158"/>
        <v>5050700</v>
      </c>
      <c r="BR161" s="90">
        <f t="shared" si="159"/>
        <v>569610</v>
      </c>
      <c r="BS161" s="90">
        <f t="shared" ca="1" si="160"/>
        <v>1131000</v>
      </c>
      <c r="BT161" s="90">
        <f t="shared" si="161"/>
        <v>12200</v>
      </c>
      <c r="BU161" s="90">
        <f t="shared" si="162"/>
        <v>138000</v>
      </c>
      <c r="BV161" s="90">
        <f t="shared" si="163"/>
        <v>77500</v>
      </c>
      <c r="BW161" s="90">
        <f t="shared" ca="1" si="175"/>
        <v>145750</v>
      </c>
      <c r="BX161" s="90">
        <f t="shared" ca="1" si="176"/>
        <v>7124760</v>
      </c>
      <c r="BY161" s="142">
        <f t="shared" ca="1" si="177"/>
        <v>0.70889405397515148</v>
      </c>
      <c r="BZ161" s="142">
        <f t="shared" ca="1" si="178"/>
        <v>7.9947956141680557E-2</v>
      </c>
      <c r="CA161" s="142">
        <f t="shared" ca="1" si="179"/>
        <v>0.15874218921058394</v>
      </c>
      <c r="CB161" s="142">
        <f t="shared" ca="1" si="180"/>
        <v>1.7123383805208877E-3</v>
      </c>
      <c r="CC161" s="142">
        <f t="shared" ca="1" si="181"/>
        <v>1.9369073484580532E-2</v>
      </c>
      <c r="CD161" s="142">
        <f t="shared" ca="1" si="182"/>
        <v>1.0877559384456458E-2</v>
      </c>
      <c r="CE161" s="142">
        <f t="shared" ca="1" si="183"/>
        <v>2.0456829423026179E-2</v>
      </c>
      <c r="CG161" s="128">
        <f t="shared" si="184"/>
        <v>133</v>
      </c>
      <c r="CH161" s="90">
        <f ca="1">INDEX(角色升级!$A:$A,MATCH(玩家节奏1!$BX161,角色升级!$J:$J,1))</f>
        <v>641</v>
      </c>
      <c r="CI161" s="90">
        <f ca="1">INDEX(角色升级!$O:$O,MATCH(玩家节奏1!$BX161,角色升级!$J:$J,1))</f>
        <v>33651.685100000002</v>
      </c>
      <c r="CJ161" s="90">
        <f>INDEX(关卡对比!$J:$J,MATCH(玩家节奏1!N161,关卡对比!$A:$A,0))</f>
        <v>52700</v>
      </c>
      <c r="CK161" s="147">
        <f t="shared" ca="1" si="185"/>
        <v>1.56604341932345</v>
      </c>
      <c r="CL161" s="128">
        <f ca="1">INDEX(角色升级!$P:$P,MATCH(玩家节奏1!$CH161,角色升级!$A:$A,0))</f>
        <v>12500</v>
      </c>
      <c r="CM161" s="90">
        <f ca="1">INDEX(角色升级!Q:Q,MATCH(玩家节奏1!$CH161,角色升级!$A:$A,0))</f>
        <v>1</v>
      </c>
      <c r="CO161" s="128">
        <f t="shared" si="186"/>
        <v>34646</v>
      </c>
      <c r="CP161" s="90">
        <f t="shared" si="187"/>
        <v>40886</v>
      </c>
      <c r="CQ161" s="90">
        <f t="shared" si="188"/>
        <v>23616</v>
      </c>
      <c r="CR161" s="90">
        <f t="shared" ca="1" si="189"/>
        <v>100902.5</v>
      </c>
      <c r="CS161" s="90">
        <f t="shared" ca="1" si="190"/>
        <v>200050.5</v>
      </c>
      <c r="CT161" s="142">
        <f t="shared" ca="1" si="191"/>
        <v>0.17318627046670715</v>
      </c>
      <c r="CU161" s="142">
        <f t="shared" ca="1" si="192"/>
        <v>0.20437839445540001</v>
      </c>
      <c r="CV161" s="142">
        <f t="shared" ca="1" si="193"/>
        <v>0.11805019232643757</v>
      </c>
      <c r="CW161" s="142">
        <f t="shared" ca="1" si="194"/>
        <v>0.5043851427514553</v>
      </c>
      <c r="CY161" s="128">
        <f t="shared" si="195"/>
        <v>17324</v>
      </c>
      <c r="CZ161" s="90">
        <f t="shared" si="196"/>
        <v>20281</v>
      </c>
      <c r="DA161" s="90">
        <f t="shared" si="197"/>
        <v>14320</v>
      </c>
      <c r="DB161" s="90">
        <f t="shared" ca="1" si="198"/>
        <v>59637</v>
      </c>
      <c r="DC161" s="90">
        <f t="shared" ca="1" si="199"/>
        <v>111562</v>
      </c>
      <c r="DD161" s="142">
        <f t="shared" ca="1" si="200"/>
        <v>0.15528585002061635</v>
      </c>
      <c r="DE161" s="142">
        <f t="shared" ca="1" si="201"/>
        <v>0.18179129094135996</v>
      </c>
      <c r="DF161" s="142">
        <f t="shared" ca="1" si="202"/>
        <v>0.12835911869633029</v>
      </c>
      <c r="DG161" s="142">
        <f t="shared" ca="1" si="203"/>
        <v>0.53456374034169341</v>
      </c>
      <c r="DI161" s="128">
        <f t="shared" si="204"/>
        <v>8259</v>
      </c>
      <c r="DJ161" s="90">
        <f t="shared" si="205"/>
        <v>9697</v>
      </c>
      <c r="DK161" s="90">
        <f t="shared" si="206"/>
        <v>5048</v>
      </c>
      <c r="DL161" s="90">
        <f t="shared" ca="1" si="207"/>
        <v>8071.5</v>
      </c>
      <c r="DM161" s="90">
        <f t="shared" ca="1" si="208"/>
        <v>31075.5</v>
      </c>
      <c r="DN161" s="142">
        <f t="shared" ca="1" si="209"/>
        <v>0.26577207124583674</v>
      </c>
      <c r="DO161" s="142">
        <f t="shared" ca="1" si="210"/>
        <v>0.31204646747437692</v>
      </c>
      <c r="DP161" s="142">
        <f t="shared" ca="1" si="211"/>
        <v>0.16244308217084197</v>
      </c>
      <c r="DQ161" s="142">
        <f t="shared" ca="1" si="212"/>
        <v>0.25973837910894437</v>
      </c>
      <c r="DS161" s="128">
        <f t="shared" ca="1" si="213"/>
        <v>200050.5</v>
      </c>
      <c r="DT161" s="90">
        <f t="shared" ca="1" si="214"/>
        <v>111562</v>
      </c>
      <c r="DU161" s="90">
        <f t="shared" ca="1" si="215"/>
        <v>31075.5</v>
      </c>
      <c r="DV161" s="90">
        <f t="shared" si="216"/>
        <v>138</v>
      </c>
      <c r="DW161" s="90">
        <f ca="1">_xlfn.IFNA(INDEX(武器升级消耗!$H:$H,MATCH(玩家节奏1!DS161/玩家节奏1!DS$5,武器升级消耗!M:M,1)),0)</f>
        <v>40</v>
      </c>
      <c r="DX161" s="90">
        <f ca="1">_xlfn.IFNA(INDEX(武器升级消耗!$H:$H,MATCH(玩家节奏1!DT161/玩家节奏1!DT$5,武器升级消耗!N:N,1)),0)</f>
        <v>36</v>
      </c>
      <c r="DY161" s="90">
        <f ca="1">_xlfn.IFNA(INDEX(武器升级消耗!$H:$H,MATCH(玩家节奏1!DU161/玩家节奏1!DU$5,武器升级消耗!O:O,1)),0)</f>
        <v>24</v>
      </c>
      <c r="DZ161" s="90">
        <f>_xlfn.IFNA(INDEX(武器升级消耗!$H:$H,MATCH(玩家节奏1!DV161/玩家节奏1!DV$5,武器升级消耗!P:P,1)),0)</f>
        <v>12</v>
      </c>
      <c r="EA161" s="90">
        <f ca="1">_xlfn.IFNA(INDEX(武器升级消耗!$Q:$Q,MATCH(玩家节奏1!DW161,武器升级消耗!$H:$H,0))*2*EA$4,0)</f>
        <v>5.28</v>
      </c>
      <c r="EB161" s="90">
        <f ca="1">_xlfn.IFNA(INDEX(武器升级消耗!$Q:$Q,MATCH(玩家节奏1!DX161,武器升级消耗!$H:$H,0))*2*EB$4,0)</f>
        <v>6</v>
      </c>
      <c r="EC161" s="90">
        <f ca="1">_xlfn.IFNA(INDEX(武器升级消耗!$Q:$Q,MATCH(玩家节奏1!DY161,武器升级消耗!$H:$H,0))*2*EC$4,1)</f>
        <v>6.16</v>
      </c>
      <c r="ED161" s="90">
        <f>_xlfn.IFNA(INDEX(武器升级消耗!$Q:$Q,MATCH(玩家节奏1!DZ161,武器升级消耗!$H:$H,0))*2*ED$4,0)</f>
        <v>4.8000000000000007</v>
      </c>
    </row>
    <row r="162" spans="1:134" x14ac:dyDescent="0.25">
      <c r="A162" s="123">
        <v>156</v>
      </c>
      <c r="B162" s="123">
        <f>INDEX(关卡对比!$Y:$Y,MATCH(关卡对比!Z162,关卡对比!$AA:$AA,1))</f>
        <v>91</v>
      </c>
      <c r="C162" s="124">
        <f>INDEX(关卡对比!$Y:$Y,MATCH(关卡对比!Z162,关卡对比!$AB:$AB,1))</f>
        <v>70</v>
      </c>
      <c r="D162" s="125">
        <f t="shared" si="157"/>
        <v>920.5</v>
      </c>
      <c r="E162" s="125">
        <v>3</v>
      </c>
      <c r="F162" s="128">
        <v>5</v>
      </c>
      <c r="G162" s="90">
        <v>1</v>
      </c>
      <c r="H162" s="90">
        <v>1</v>
      </c>
      <c r="J162" s="128">
        <v>156</v>
      </c>
      <c r="K162" s="90">
        <f t="shared" si="164"/>
        <v>5</v>
      </c>
      <c r="L162" s="90">
        <f t="shared" si="165"/>
        <v>1</v>
      </c>
      <c r="M162" s="90">
        <f t="shared" si="166"/>
        <v>1</v>
      </c>
      <c r="N162" s="140">
        <f>INDEX($A:$A,MATCH(SUM($K$7:K162),$D:$D,1))</f>
        <v>134</v>
      </c>
      <c r="O162" s="140">
        <v>0</v>
      </c>
      <c r="P162" s="141">
        <v>0</v>
      </c>
      <c r="Q162" s="126">
        <f>_xlfn.MAXIFS(关卡产出!X:X,关卡产出!$A:$A,玩家节奏1!$N$6,关卡产出!$B:$B,玩家节奏1!$N162)+_xlfn.MAXIFS(关卡产出!X:X,关卡产出!$A:$A,玩家节奏1!$O$6,关卡产出!$B:$B,玩家节奏1!$O162)+_xlfn.MAXIFS(关卡产出!X:X,关卡产出!$A:$A,玩家节奏1!$P$6,关卡产出!$B:$B,玩家节奏1!$P162)</f>
        <v>25300</v>
      </c>
      <c r="R162" s="90">
        <f>_xlfn.MAXIFS(关卡产出!Y:Y,关卡产出!$A:$A,玩家节奏1!$N$6,关卡产出!$B:$B,玩家节奏1!$N162)+_xlfn.MAXIFS(关卡产出!Y:Y,关卡产出!$A:$A,玩家节奏1!$O$6,关卡产出!$B:$B,玩家节奏1!$O162)+_xlfn.MAXIFS(关卡产出!Y:Y,关卡产出!$A:$A,玩家节奏1!$P$6,关卡产出!$B:$B,玩家节奏1!$P162)</f>
        <v>5128800</v>
      </c>
      <c r="S162" s="90">
        <f>_xlfn.MAXIFS(关卡产出!Z:Z,关卡产出!$A:$A,玩家节奏1!$N$6,关卡产出!$B:$B,玩家节奏1!$N162)+_xlfn.MAXIFS(关卡产出!Z:Z,关卡产出!$A:$A,玩家节奏1!$O$6,关卡产出!$B:$B,玩家节奏1!$O162)+_xlfn.MAXIFS(关卡产出!Z:Z,关卡产出!$A:$A,玩家节奏1!$P$6,关卡产出!$B:$B,玩家节奏1!$P162)</f>
        <v>35174</v>
      </c>
      <c r="T162" s="90">
        <f>_xlfn.MAXIFS(关卡产出!AA:AA,关卡产出!$A:$A,玩家节奏1!$N$6,关卡产出!$B:$B,玩家节奏1!$N162)+_xlfn.MAXIFS(关卡产出!AA:AA,关卡产出!$A:$A,玩家节奏1!$O$6,关卡产出!$B:$B,玩家节奏1!$O162)+_xlfn.MAXIFS(关卡产出!AA:AA,关卡产出!$A:$A,玩家节奏1!$P$6,关卡产出!$B:$B,玩家节奏1!$P162)</f>
        <v>17588</v>
      </c>
      <c r="U162" s="90">
        <f>_xlfn.MAXIFS(关卡产出!AB:AB,关卡产出!$A:$A,玩家节奏1!$N$6,关卡产出!$B:$B,玩家节奏1!$N162)+_xlfn.MAXIFS(关卡产出!AB:AB,关卡产出!$A:$A,玩家节奏1!$O$6,关卡产出!$B:$B,玩家节奏1!$O162)+_xlfn.MAXIFS(关卡产出!AB:AB,关卡产出!$A:$A,玩家节奏1!$P$6,关卡产出!$B:$B,玩家节奏1!$P162)</f>
        <v>8388</v>
      </c>
      <c r="V162" s="130">
        <f>_xlfn.MAXIFS(关卡产出!AC:AC,关卡产出!$A:$A,玩家节奏1!$N$6,关卡产出!$B:$B,玩家节奏1!$N162)+_xlfn.MAXIFS(关卡产出!AC:AC,关卡产出!$A:$A,玩家节奏1!$O$6,关卡产出!$B:$B,玩家节奏1!$O162)+_xlfn.MAXIFS(关卡产出!AC:AC,关卡产出!$A:$A,玩家节奏1!$P$6,关卡产出!$B:$B,玩家节奏1!$P162)</f>
        <v>804</v>
      </c>
      <c r="W162" s="126">
        <f>INDEX(关卡产出!C$8:C$207,MATCH(玩家节奏1!$N162,关卡产出!$B$8:$B$207,0))*$K162</f>
        <v>530</v>
      </c>
      <c r="X162" s="126">
        <f>INDEX(关卡产出!D$8:D$207,MATCH(玩家节奏1!$N162,关卡产出!$B$8:$B$207,0))*$K162</f>
        <v>265</v>
      </c>
      <c r="Y162" s="126">
        <f>INDEX(关卡产出!E$8:E$207,MATCH(玩家节奏1!$N162,关卡产出!$B$8:$B$207,0))*$K162</f>
        <v>130</v>
      </c>
      <c r="Z162" s="144">
        <f>INDEX(关卡产出!F$8:F$207,MATCH(玩家节奏1!$N162,关卡产出!$B$8:$B$207,0))*$K162</f>
        <v>6950</v>
      </c>
      <c r="AA162" s="126">
        <f>SUM(W$7:W162)</f>
        <v>41416</v>
      </c>
      <c r="AB162" s="126">
        <f>SUM(X$7:X162)</f>
        <v>20546</v>
      </c>
      <c r="AC162" s="126">
        <f>SUM(Y$7:Y162)</f>
        <v>9827</v>
      </c>
      <c r="AD162" s="126">
        <f>SUM(Z$7:Z162)</f>
        <v>576560</v>
      </c>
      <c r="AE162" s="126">
        <f>INDEX(图鉴!AQ:AQ,MATCH($N162,图鉴!$S:$S,0))*8</f>
        <v>168</v>
      </c>
      <c r="AF162" s="90">
        <f>INDEX(图鉴!AR:AR,MATCH($N162,图鉴!$S:$S,0))*8</f>
        <v>120</v>
      </c>
      <c r="AG162" s="90">
        <f>INDEX(图鉴!AS:AS,MATCH($N162,图鉴!$S:$S,0))*8</f>
        <v>48</v>
      </c>
      <c r="AH162" s="129">
        <f ca="1">INDEX(图鉴!AT:AT,MATCH($N162,图鉴!$S:$S,0))*8</f>
        <v>10880</v>
      </c>
      <c r="AI162" s="128">
        <f>SUM($AE$7:AE162)</f>
        <v>23784</v>
      </c>
      <c r="AJ162" s="90">
        <f>SUM(AF$7:AF162)</f>
        <v>14440</v>
      </c>
      <c r="AK162" s="90">
        <f>SUM(AG$7:AG162)</f>
        <v>5096</v>
      </c>
      <c r="AL162" s="130">
        <f ca="1">SUM(AH$7:AH162)</f>
        <v>1141880</v>
      </c>
      <c r="AM162" s="133">
        <f>IF(M162=0,0,INDEX(关卡产出!$AU$11:$AU$15,MATCH(玩家节奏1!N162,关卡产出!$AW$11:$AW$15,1))*M162)</f>
        <v>12200</v>
      </c>
      <c r="AN162" s="126">
        <f>IF(L162=0,0,$L162*关卡产出!AU$21)</f>
        <v>1000</v>
      </c>
      <c r="AO162" s="90">
        <f>IF(M162=0,0,$L162*关卡产出!AV$21)</f>
        <v>50</v>
      </c>
      <c r="AP162" s="129">
        <f>IF(N162=0,0,$L162*关卡产出!AW$21)</f>
        <v>1</v>
      </c>
      <c r="AQ162" s="138">
        <f>SUM(AN$7:AN162)</f>
        <v>139000</v>
      </c>
      <c r="AR162" s="126">
        <f>SUM(AO$7:AO162)</f>
        <v>6950</v>
      </c>
      <c r="AS162" s="129">
        <f>SUM(AP$7:AP162)</f>
        <v>139</v>
      </c>
      <c r="AT162" s="128">
        <v>500</v>
      </c>
      <c r="AU162" s="129">
        <v>100</v>
      </c>
      <c r="AV162" s="128">
        <f>SUM(AT$7:AT162)</f>
        <v>78000</v>
      </c>
      <c r="AW162" s="90">
        <f>SUM(AU$7:AU162)</f>
        <v>15600</v>
      </c>
      <c r="AY162" s="128">
        <f t="shared" si="167"/>
        <v>25300</v>
      </c>
      <c r="AZ162" s="90">
        <f t="shared" si="168"/>
        <v>6950</v>
      </c>
      <c r="BA162" s="90">
        <f t="shared" si="169"/>
        <v>15600</v>
      </c>
      <c r="BB162" s="90">
        <f t="shared" ca="1" si="217"/>
        <v>12500</v>
      </c>
      <c r="BC162" s="90">
        <f t="shared" ca="1" si="218"/>
        <v>60350</v>
      </c>
      <c r="BD162" s="90"/>
      <c r="BE162" s="90">
        <f t="shared" ca="1" si="170"/>
        <v>60350</v>
      </c>
      <c r="BF162" s="142">
        <f t="shared" ca="1" si="171"/>
        <v>0.41922120961060483</v>
      </c>
      <c r="BG162" s="142">
        <f t="shared" ca="1" si="172"/>
        <v>0.11516155758077878</v>
      </c>
      <c r="BH162" s="142">
        <f t="shared" ca="1" si="173"/>
        <v>0.25849212924606463</v>
      </c>
      <c r="BI162" s="142">
        <f t="shared" ca="1" si="174"/>
        <v>0.20712510356255179</v>
      </c>
      <c r="BJ162" s="143"/>
      <c r="BK162" s="128">
        <f ca="1">INDEX(商城宝箱!$L:$L,MATCH(BC162,商城宝箱!$N:$N,1))</f>
        <v>10</v>
      </c>
      <c r="BL162" s="90">
        <f ca="1">_xlfn.IFNA(INDEX(商城宝箱!T:T,MATCH(玩家节奏1!$BK162,商城宝箱!$L:$L,0)),0)+($BC162-INDEX(商城宝箱!$N:$N,MATCH(玩家节奏1!$BK162,商城宝箱!$L:$L,0)))/$BK$5*INDEX(商城宝箱!E$23:E$42,MATCH(玩家节奏1!$BK162+1,商城宝箱!$C$23:$C$42,0))</f>
        <v>150875</v>
      </c>
      <c r="BM162" s="90">
        <f ca="1">_xlfn.IFNA(INDEX(商城宝箱!U:U,MATCH(玩家节奏1!$BK162,商城宝箱!$L:$L,0)),0)+($BC162-INDEX(商城宝箱!$N:$N,MATCH(玩家节奏1!$BK162,商城宝箱!$L:$L,0)))/$BK$5*INDEX(商城宝箱!F$23:F$42,MATCH(玩家节奏1!$BK162+1,商城宝箱!$C$23:$C$42,0))</f>
        <v>107062.5</v>
      </c>
      <c r="BN162" s="90">
        <f ca="1">_xlfn.IFNA(INDEX(商城宝箱!V:V,MATCH(玩家节奏1!$BK162,商城宝箱!$L:$L,0)),0)+($BC162-INDEX(商城宝箱!$N:$N,MATCH(玩家节奏1!$BK162,商城宝箱!$L:$L,0)))/$BK$5*INDEX(商城宝箱!G$23:G$42,MATCH(玩家节奏1!$BK162+1,商城宝箱!$C$23:$C$42,0))</f>
        <v>62512</v>
      </c>
      <c r="BO162" s="90">
        <f ca="1">_xlfn.IFNA(INDEX(商城宝箱!W:W,MATCH(玩家节奏1!$BK162,商城宝箱!$L:$L,0)),0)+($BC162-INDEX(商城宝箱!$N:$N,MATCH(玩家节奏1!$BK162,商城宝箱!$L:$L,0)))/$BK$5*INDEX(商城宝箱!H$23:H$42,MATCH(玩家节奏1!$BK162+1,商城宝箱!$C$23:$C$42,0))</f>
        <v>8544</v>
      </c>
      <c r="BQ162" s="128">
        <f t="shared" si="158"/>
        <v>5128800</v>
      </c>
      <c r="BR162" s="90">
        <f t="shared" si="159"/>
        <v>576560</v>
      </c>
      <c r="BS162" s="90">
        <f t="shared" ca="1" si="160"/>
        <v>1141880</v>
      </c>
      <c r="BT162" s="90">
        <f t="shared" si="161"/>
        <v>12200</v>
      </c>
      <c r="BU162" s="90">
        <f t="shared" si="162"/>
        <v>139000</v>
      </c>
      <c r="BV162" s="90">
        <f t="shared" si="163"/>
        <v>78000</v>
      </c>
      <c r="BW162" s="90">
        <f t="shared" ca="1" si="175"/>
        <v>150875</v>
      </c>
      <c r="BX162" s="90">
        <f t="shared" ca="1" si="176"/>
        <v>7227315</v>
      </c>
      <c r="BY162" s="142">
        <f t="shared" ca="1" si="177"/>
        <v>0.70964113228771686</v>
      </c>
      <c r="BZ162" s="142">
        <f t="shared" ca="1" si="178"/>
        <v>7.9775130875020667E-2</v>
      </c>
      <c r="CA162" s="142">
        <f t="shared" ca="1" si="179"/>
        <v>0.15799505072077252</v>
      </c>
      <c r="CB162" s="142">
        <f t="shared" ca="1" si="180"/>
        <v>1.6880404410213198E-3</v>
      </c>
      <c r="CC162" s="142">
        <f t="shared" ca="1" si="181"/>
        <v>1.9232591909997005E-2</v>
      </c>
      <c r="CD162" s="142">
        <f t="shared" ca="1" si="182"/>
        <v>1.0792389704890406E-2</v>
      </c>
      <c r="CE162" s="142">
        <f t="shared" ca="1" si="183"/>
        <v>2.0875664060581282E-2</v>
      </c>
      <c r="CG162" s="128">
        <f t="shared" si="184"/>
        <v>134</v>
      </c>
      <c r="CH162" s="90">
        <f ca="1">INDEX(角色升级!$A:$A,MATCH(玩家节奏1!$BX162,角色升级!$J:$J,1))</f>
        <v>645</v>
      </c>
      <c r="CI162" s="90">
        <f ca="1">INDEX(角色升级!$O:$O,MATCH(玩家节奏1!$BX162,角色升级!$J:$J,1))</f>
        <v>33762.930339999999</v>
      </c>
      <c r="CJ162" s="90">
        <f>INDEX(关卡对比!$J:$J,MATCH(玩家节奏1!N162,关卡对比!$A:$A,0))</f>
        <v>53200</v>
      </c>
      <c r="CK162" s="147">
        <f t="shared" ca="1" si="185"/>
        <v>1.5756926150741215</v>
      </c>
      <c r="CL162" s="128">
        <f ca="1">INDEX(角色升级!$P:$P,MATCH(玩家节奏1!$CH162,角色升级!$A:$A,0))</f>
        <v>12500</v>
      </c>
      <c r="CM162" s="90">
        <f ca="1">INDEX(角色升级!Q:Q,MATCH(玩家节奏1!$CH162,角色升级!$A:$A,0))</f>
        <v>1</v>
      </c>
      <c r="CO162" s="128">
        <f t="shared" si="186"/>
        <v>35174</v>
      </c>
      <c r="CP162" s="90">
        <f t="shared" si="187"/>
        <v>41416</v>
      </c>
      <c r="CQ162" s="90">
        <f t="shared" si="188"/>
        <v>23784</v>
      </c>
      <c r="CR162" s="90">
        <f t="shared" ca="1" si="189"/>
        <v>107062.5</v>
      </c>
      <c r="CS162" s="90">
        <f t="shared" ca="1" si="190"/>
        <v>207436.5</v>
      </c>
      <c r="CT162" s="142">
        <f t="shared" ca="1" si="191"/>
        <v>0.16956514403202907</v>
      </c>
      <c r="CU162" s="142">
        <f t="shared" ca="1" si="192"/>
        <v>0.19965628035567512</v>
      </c>
      <c r="CV162" s="142">
        <f t="shared" ca="1" si="193"/>
        <v>0.11465677448279353</v>
      </c>
      <c r="CW162" s="142">
        <f t="shared" ca="1" si="194"/>
        <v>0.51612180112950223</v>
      </c>
      <c r="CY162" s="128">
        <f t="shared" si="195"/>
        <v>17588</v>
      </c>
      <c r="CZ162" s="90">
        <f t="shared" si="196"/>
        <v>20546</v>
      </c>
      <c r="DA162" s="90">
        <f t="shared" si="197"/>
        <v>14440</v>
      </c>
      <c r="DB162" s="90">
        <f t="shared" ca="1" si="198"/>
        <v>62512</v>
      </c>
      <c r="DC162" s="90">
        <f t="shared" ca="1" si="199"/>
        <v>115086</v>
      </c>
      <c r="DD162" s="142">
        <f t="shared" ca="1" si="200"/>
        <v>0.15282484402968216</v>
      </c>
      <c r="DE162" s="142">
        <f t="shared" ca="1" si="201"/>
        <v>0.17852736214656864</v>
      </c>
      <c r="DF162" s="142">
        <f t="shared" ca="1" si="202"/>
        <v>0.12547138661522689</v>
      </c>
      <c r="DG162" s="142">
        <f t="shared" ca="1" si="203"/>
        <v>0.54317640720852234</v>
      </c>
      <c r="DI162" s="128">
        <f t="shared" si="204"/>
        <v>8388</v>
      </c>
      <c r="DJ162" s="90">
        <f t="shared" si="205"/>
        <v>9827</v>
      </c>
      <c r="DK162" s="90">
        <f t="shared" si="206"/>
        <v>5096</v>
      </c>
      <c r="DL162" s="90">
        <f t="shared" ca="1" si="207"/>
        <v>8544</v>
      </c>
      <c r="DM162" s="90">
        <f t="shared" ca="1" si="208"/>
        <v>31855</v>
      </c>
      <c r="DN162" s="142">
        <f t="shared" ca="1" si="209"/>
        <v>0.26331816041437767</v>
      </c>
      <c r="DO162" s="142">
        <f t="shared" ca="1" si="210"/>
        <v>0.30849160257416419</v>
      </c>
      <c r="DP162" s="142">
        <f t="shared" ca="1" si="211"/>
        <v>0.15997488620310782</v>
      </c>
      <c r="DQ162" s="142">
        <f t="shared" ca="1" si="212"/>
        <v>0.26821535080835035</v>
      </c>
      <c r="DS162" s="128">
        <f t="shared" ca="1" si="213"/>
        <v>207436.5</v>
      </c>
      <c r="DT162" s="90">
        <f t="shared" ca="1" si="214"/>
        <v>115086</v>
      </c>
      <c r="DU162" s="90">
        <f t="shared" ca="1" si="215"/>
        <v>31855</v>
      </c>
      <c r="DV162" s="90">
        <f t="shared" si="216"/>
        <v>139</v>
      </c>
      <c r="DW162" s="90">
        <f ca="1">_xlfn.IFNA(INDEX(武器升级消耗!$H:$H,MATCH(玩家节奏1!DS162/玩家节奏1!DS$5,武器升级消耗!M:M,1)),0)</f>
        <v>41</v>
      </c>
      <c r="DX162" s="90">
        <f ca="1">_xlfn.IFNA(INDEX(武器升级消耗!$H:$H,MATCH(玩家节奏1!DT162/玩家节奏1!DT$5,武器升级消耗!N:N,1)),0)</f>
        <v>36</v>
      </c>
      <c r="DY162" s="90">
        <f ca="1">_xlfn.IFNA(INDEX(武器升级消耗!$H:$H,MATCH(玩家节奏1!DU162/玩家节奏1!DU$5,武器升级消耗!O:O,1)),0)</f>
        <v>25</v>
      </c>
      <c r="DZ162" s="90">
        <f>_xlfn.IFNA(INDEX(武器升级消耗!$H:$H,MATCH(玩家节奏1!DV162/玩家节奏1!DV$5,武器升级消耗!P:P,1)),0)</f>
        <v>12</v>
      </c>
      <c r="EA162" s="90">
        <f ca="1">_xlfn.IFNA(INDEX(武器升级消耗!$Q:$Q,MATCH(玩家节奏1!DW162,武器升级消耗!$H:$H,0))*2*EA$4,0)</f>
        <v>5.3999999999999995</v>
      </c>
      <c r="EB162" s="90">
        <f ca="1">_xlfn.IFNA(INDEX(武器升级消耗!$Q:$Q,MATCH(玩家节奏1!DX162,武器升级消耗!$H:$H,0))*2*EB$4,0)</f>
        <v>6</v>
      </c>
      <c r="EC162" s="90">
        <f ca="1">_xlfn.IFNA(INDEX(武器升级消耗!$Q:$Q,MATCH(玩家节奏1!DY162,武器升级消耗!$H:$H,0))*2*EC$4,1)</f>
        <v>6.38</v>
      </c>
      <c r="ED162" s="90">
        <f>_xlfn.IFNA(INDEX(武器升级消耗!$Q:$Q,MATCH(玩家节奏1!DZ162,武器升级消耗!$H:$H,0))*2*ED$4,0)</f>
        <v>4.8000000000000007</v>
      </c>
    </row>
    <row r="163" spans="1:134" x14ac:dyDescent="0.25">
      <c r="A163" s="123">
        <v>157</v>
      </c>
      <c r="B163" s="123">
        <f>INDEX(关卡对比!$Y:$Y,MATCH(关卡对比!Z163,关卡对比!$AA:$AA,1))</f>
        <v>92</v>
      </c>
      <c r="C163" s="124">
        <f>INDEX(关卡对比!$Y:$Y,MATCH(关卡对比!Z163,关卡对比!$AB:$AB,1))</f>
        <v>70</v>
      </c>
      <c r="D163" s="125">
        <f t="shared" si="157"/>
        <v>926.5</v>
      </c>
      <c r="E163" s="125">
        <v>3</v>
      </c>
      <c r="F163" s="128">
        <v>5</v>
      </c>
      <c r="G163" s="90">
        <v>1</v>
      </c>
      <c r="H163" s="90">
        <v>1</v>
      </c>
      <c r="J163" s="128">
        <v>157</v>
      </c>
      <c r="K163" s="90">
        <f t="shared" si="164"/>
        <v>5</v>
      </c>
      <c r="L163" s="90">
        <f t="shared" si="165"/>
        <v>1</v>
      </c>
      <c r="M163" s="90">
        <f t="shared" si="166"/>
        <v>1</v>
      </c>
      <c r="N163" s="140">
        <f>INDEX($A:$A,MATCH(SUM($K$7:K163),$D:$D,1))</f>
        <v>135</v>
      </c>
      <c r="O163" s="140">
        <v>0</v>
      </c>
      <c r="P163" s="141">
        <v>0</v>
      </c>
      <c r="Q163" s="126">
        <f>_xlfn.MAXIFS(关卡产出!X:X,关卡产出!$A:$A,玩家节奏1!$N$6,关卡产出!$B:$B,玩家节奏1!$N163)+_xlfn.MAXIFS(关卡产出!X:X,关卡产出!$A:$A,玩家节奏1!$O$6,关卡产出!$B:$B,玩家节奏1!$O163)+_xlfn.MAXIFS(关卡产出!X:X,关卡产出!$A:$A,玩家节奏1!$P$6,关卡产出!$B:$B,玩家节奏1!$P163)</f>
        <v>25500</v>
      </c>
      <c r="R163" s="90">
        <f>_xlfn.MAXIFS(关卡产出!Y:Y,关卡产出!$A:$A,玩家节奏1!$N$6,关卡产出!$B:$B,玩家节奏1!$N163)+_xlfn.MAXIFS(关卡产出!Y:Y,关卡产出!$A:$A,玩家节奏1!$O$6,关卡产出!$B:$B,玩家节奏1!$O163)+_xlfn.MAXIFS(关卡产出!Y:Y,关卡产出!$A:$A,玩家节奏1!$P$6,关卡产出!$B:$B,玩家节奏1!$P163)</f>
        <v>5207500</v>
      </c>
      <c r="S163" s="90">
        <f>_xlfn.MAXIFS(关卡产出!Z:Z,关卡产出!$A:$A,玩家节奏1!$N$6,关卡产出!$B:$B,玩家节奏1!$N163)+_xlfn.MAXIFS(关卡产出!Z:Z,关卡产出!$A:$A,玩家节奏1!$O$6,关卡产出!$B:$B,玩家节奏1!$O163)+_xlfn.MAXIFS(关卡产出!Z:Z,关卡产出!$A:$A,玩家节奏1!$P$6,关卡产出!$B:$B,玩家节奏1!$P163)</f>
        <v>35706</v>
      </c>
      <c r="T163" s="90">
        <f>_xlfn.MAXIFS(关卡产出!AA:AA,关卡产出!$A:$A,玩家节奏1!$N$6,关卡产出!$B:$B,玩家节奏1!$N163)+_xlfn.MAXIFS(关卡产出!AA:AA,关卡产出!$A:$A,玩家节奏1!$O$6,关卡产出!$B:$B,玩家节奏1!$O163)+_xlfn.MAXIFS(关卡产出!AA:AA,关卡产出!$A:$A,玩家节奏1!$P$6,关卡产出!$B:$B,玩家节奏1!$P163)</f>
        <v>17854</v>
      </c>
      <c r="U163" s="90">
        <f>_xlfn.MAXIFS(关卡产出!AB:AB,关卡产出!$A:$A,玩家节奏1!$N$6,关卡产出!$B:$B,玩家节奏1!$N163)+_xlfn.MAXIFS(关卡产出!AB:AB,关卡产出!$A:$A,玩家节奏1!$O$6,关卡产出!$B:$B,玩家节奏1!$O163)+_xlfn.MAXIFS(关卡产出!AB:AB,关卡产出!$A:$A,玩家节奏1!$P$6,关卡产出!$B:$B,玩家节奏1!$P163)</f>
        <v>8518</v>
      </c>
      <c r="V163" s="130">
        <f>_xlfn.MAXIFS(关卡产出!AC:AC,关卡产出!$A:$A,玩家节奏1!$N$6,关卡产出!$B:$B,玩家节奏1!$N163)+_xlfn.MAXIFS(关卡产出!AC:AC,关卡产出!$A:$A,玩家节奏1!$O$6,关卡产出!$B:$B,玩家节奏1!$O163)+_xlfn.MAXIFS(关卡产出!AC:AC,关卡产出!$A:$A,玩家节奏1!$P$6,关卡产出!$B:$B,玩家节奏1!$P163)</f>
        <v>810</v>
      </c>
      <c r="W163" s="126">
        <f>INDEX(关卡产出!C$8:C$207,MATCH(玩家节奏1!$N163,关卡产出!$B$8:$B$207,0))*$K163</f>
        <v>530</v>
      </c>
      <c r="X163" s="126">
        <f>INDEX(关卡产出!D$8:D$207,MATCH(玩家节奏1!$N163,关卡产出!$B$8:$B$207,0))*$K163</f>
        <v>265</v>
      </c>
      <c r="Y163" s="126">
        <f>INDEX(关卡产出!E$8:E$207,MATCH(玩家节奏1!$N163,关卡产出!$B$8:$B$207,0))*$K163</f>
        <v>130</v>
      </c>
      <c r="Z163" s="144">
        <f>INDEX(关卡产出!F$8:F$207,MATCH(玩家节奏1!$N163,关卡产出!$B$8:$B$207,0))*$K163</f>
        <v>7050</v>
      </c>
      <c r="AA163" s="126">
        <f>SUM(W$7:W163)</f>
        <v>41946</v>
      </c>
      <c r="AB163" s="126">
        <f>SUM(X$7:X163)</f>
        <v>20811</v>
      </c>
      <c r="AC163" s="126">
        <f>SUM(Y$7:Y163)</f>
        <v>9957</v>
      </c>
      <c r="AD163" s="126">
        <f>SUM(Z$7:Z163)</f>
        <v>583610</v>
      </c>
      <c r="AE163" s="126">
        <f>INDEX(图鉴!AQ:AQ,MATCH($N163,图鉴!$S:$S,0))*8</f>
        <v>168</v>
      </c>
      <c r="AF163" s="90">
        <f>INDEX(图鉴!AR:AR,MATCH($N163,图鉴!$S:$S,0))*8</f>
        <v>120</v>
      </c>
      <c r="AG163" s="90">
        <f>INDEX(图鉴!AS:AS,MATCH($N163,图鉴!$S:$S,0))*8</f>
        <v>48</v>
      </c>
      <c r="AH163" s="129">
        <f ca="1">INDEX(图鉴!AT:AT,MATCH($N163,图鉴!$S:$S,0))*8</f>
        <v>10880</v>
      </c>
      <c r="AI163" s="128">
        <f>SUM($AE$7:AE163)</f>
        <v>23952</v>
      </c>
      <c r="AJ163" s="90">
        <f>SUM(AF$7:AF163)</f>
        <v>14560</v>
      </c>
      <c r="AK163" s="90">
        <f>SUM(AG$7:AG163)</f>
        <v>5144</v>
      </c>
      <c r="AL163" s="130">
        <f ca="1">SUM(AH$7:AH163)</f>
        <v>1152760</v>
      </c>
      <c r="AM163" s="133">
        <f>IF(M163=0,0,INDEX(关卡产出!$AU$11:$AU$15,MATCH(玩家节奏1!N163,关卡产出!$AW$11:$AW$15,1))*M163)</f>
        <v>12200</v>
      </c>
      <c r="AN163" s="126">
        <f>IF(L163=0,0,$L163*关卡产出!AU$21)</f>
        <v>1000</v>
      </c>
      <c r="AO163" s="90">
        <f>IF(M163=0,0,$L163*关卡产出!AV$21)</f>
        <v>50</v>
      </c>
      <c r="AP163" s="129">
        <f>IF(N163=0,0,$L163*关卡产出!AW$21)</f>
        <v>1</v>
      </c>
      <c r="AQ163" s="138">
        <f>SUM(AN$7:AN163)</f>
        <v>140000</v>
      </c>
      <c r="AR163" s="126">
        <f>SUM(AO$7:AO163)</f>
        <v>7000</v>
      </c>
      <c r="AS163" s="129">
        <f>SUM(AP$7:AP163)</f>
        <v>140</v>
      </c>
      <c r="AT163" s="128">
        <v>500</v>
      </c>
      <c r="AU163" s="129">
        <v>100</v>
      </c>
      <c r="AV163" s="128">
        <f>SUM(AT$7:AT163)</f>
        <v>78500</v>
      </c>
      <c r="AW163" s="90">
        <f>SUM(AU$7:AU163)</f>
        <v>15700</v>
      </c>
      <c r="AY163" s="128">
        <f t="shared" si="167"/>
        <v>25500</v>
      </c>
      <c r="AZ163" s="90">
        <f t="shared" si="168"/>
        <v>7000</v>
      </c>
      <c r="BA163" s="90">
        <f t="shared" si="169"/>
        <v>15700</v>
      </c>
      <c r="BB163" s="90">
        <f t="shared" ca="1" si="217"/>
        <v>12500</v>
      </c>
      <c r="BC163" s="90">
        <f t="shared" ca="1" si="218"/>
        <v>60700</v>
      </c>
      <c r="BD163" s="90"/>
      <c r="BE163" s="90">
        <f t="shared" ca="1" si="170"/>
        <v>60700</v>
      </c>
      <c r="BF163" s="142">
        <f t="shared" ca="1" si="171"/>
        <v>0.42009884678747939</v>
      </c>
      <c r="BG163" s="142">
        <f t="shared" ca="1" si="172"/>
        <v>0.11532125205930807</v>
      </c>
      <c r="BH163" s="142">
        <f t="shared" ca="1" si="173"/>
        <v>0.25864909390444812</v>
      </c>
      <c r="BI163" s="142">
        <f t="shared" ca="1" si="174"/>
        <v>0.20593080724876442</v>
      </c>
      <c r="BJ163" s="143"/>
      <c r="BK163" s="128">
        <f ca="1">INDEX(商城宝箱!$L:$L,MATCH(BC163,商城宝箱!$N:$N,1))</f>
        <v>10</v>
      </c>
      <c r="BL163" s="90">
        <f ca="1">_xlfn.IFNA(INDEX(商城宝箱!T:T,MATCH(玩家节奏1!$BK163,商城宝箱!$L:$L,0)),0)+($BC163-INDEX(商城宝箱!$N:$N,MATCH(玩家节奏1!$BK163,商城宝箱!$L:$L,0)))/$BK$5*INDEX(商城宝箱!E$23:E$42,MATCH(玩家节奏1!$BK163+1,商城宝箱!$C$23:$C$42,0))</f>
        <v>151750</v>
      </c>
      <c r="BM163" s="90">
        <f ca="1">_xlfn.IFNA(INDEX(商城宝箱!U:U,MATCH(玩家节奏1!$BK163,商城宝箱!$L:$L,0)),0)+($BC163-INDEX(商城宝箱!$N:$N,MATCH(玩家节奏1!$BK163,商城宝箱!$L:$L,0)))/$BK$5*INDEX(商城宝箱!F$23:F$42,MATCH(玩家节奏1!$BK163+1,商城宝箱!$C$23:$C$42,0))</f>
        <v>108182.5</v>
      </c>
      <c r="BN163" s="90">
        <f ca="1">_xlfn.IFNA(INDEX(商城宝箱!V:V,MATCH(玩家节奏1!$BK163,商城宝箱!$L:$L,0)),0)+($BC163-INDEX(商城宝箱!$N:$N,MATCH(玩家节奏1!$BK163,商城宝箱!$L:$L,0)))/$BK$5*INDEX(商城宝箱!G$23:G$42,MATCH(玩家节奏1!$BK163+1,商城宝箱!$C$23:$C$42,0))</f>
        <v>63037</v>
      </c>
      <c r="BO163" s="90">
        <f ca="1">_xlfn.IFNA(INDEX(商城宝箱!W:W,MATCH(玩家节奏1!$BK163,商城宝箱!$L:$L,0)),0)+($BC163-INDEX(商城宝箱!$N:$N,MATCH(玩家节奏1!$BK163,商城宝箱!$L:$L,0)))/$BK$5*INDEX(商城宝箱!H$23:H$42,MATCH(玩家节奏1!$BK163+1,商城宝箱!$C$23:$C$42,0))</f>
        <v>8631.5</v>
      </c>
      <c r="BQ163" s="128">
        <f t="shared" si="158"/>
        <v>5207500</v>
      </c>
      <c r="BR163" s="90">
        <f t="shared" si="159"/>
        <v>583610</v>
      </c>
      <c r="BS163" s="90">
        <f t="shared" ca="1" si="160"/>
        <v>1152760</v>
      </c>
      <c r="BT163" s="90">
        <f t="shared" si="161"/>
        <v>12200</v>
      </c>
      <c r="BU163" s="90">
        <f t="shared" si="162"/>
        <v>140000</v>
      </c>
      <c r="BV163" s="90">
        <f t="shared" si="163"/>
        <v>78500</v>
      </c>
      <c r="BW163" s="90">
        <f t="shared" ca="1" si="175"/>
        <v>151750</v>
      </c>
      <c r="BX163" s="90">
        <f t="shared" ca="1" si="176"/>
        <v>7326320</v>
      </c>
      <c r="BY163" s="142">
        <f t="shared" ca="1" si="177"/>
        <v>0.71079341333711876</v>
      </c>
      <c r="BZ163" s="142">
        <f t="shared" ca="1" si="178"/>
        <v>7.9659365138295898E-2</v>
      </c>
      <c r="CA163" s="142">
        <f t="shared" ca="1" si="179"/>
        <v>0.15734502451435373</v>
      </c>
      <c r="CB163" s="142">
        <f t="shared" ca="1" si="180"/>
        <v>1.6652289280293517E-3</v>
      </c>
      <c r="CC163" s="142">
        <f t="shared" ca="1" si="181"/>
        <v>1.9109184420008953E-2</v>
      </c>
      <c r="CD163" s="142">
        <f t="shared" ca="1" si="182"/>
        <v>1.0714792692647877E-2</v>
      </c>
      <c r="CE163" s="142">
        <f t="shared" ca="1" si="183"/>
        <v>2.071299096954542E-2</v>
      </c>
      <c r="CG163" s="128">
        <f t="shared" si="184"/>
        <v>135</v>
      </c>
      <c r="CH163" s="90">
        <f ca="1">INDEX(角色升级!$A:$A,MATCH(玩家节奏1!$BX163,角色升级!$J:$J,1))</f>
        <v>648</v>
      </c>
      <c r="CI163" s="90">
        <f ca="1">INDEX(角色升级!$O:$O,MATCH(玩家节奏1!$BX163,角色升级!$J:$J,1))</f>
        <v>33846.364270000005</v>
      </c>
      <c r="CJ163" s="90">
        <f>INDEX(关卡对比!$J:$J,MATCH(玩家节奏1!N163,关卡对比!$A:$A,0))</f>
        <v>53700</v>
      </c>
      <c r="CK163" s="147">
        <f t="shared" ca="1" si="185"/>
        <v>1.5865810452083748</v>
      </c>
      <c r="CL163" s="128">
        <f ca="1">INDEX(角色升级!$P:$P,MATCH(玩家节奏1!$CH163,角色升级!$A:$A,0))</f>
        <v>12500</v>
      </c>
      <c r="CM163" s="90">
        <f ca="1">INDEX(角色升级!Q:Q,MATCH(玩家节奏1!$CH163,角色升级!$A:$A,0))</f>
        <v>1</v>
      </c>
      <c r="CO163" s="128">
        <f t="shared" si="186"/>
        <v>35706</v>
      </c>
      <c r="CP163" s="90">
        <f t="shared" si="187"/>
        <v>41946</v>
      </c>
      <c r="CQ163" s="90">
        <f t="shared" si="188"/>
        <v>23952</v>
      </c>
      <c r="CR163" s="90">
        <f t="shared" ca="1" si="189"/>
        <v>108182.5</v>
      </c>
      <c r="CS163" s="90">
        <f t="shared" ca="1" si="190"/>
        <v>209786.5</v>
      </c>
      <c r="CT163" s="142">
        <f t="shared" ca="1" si="191"/>
        <v>0.17020160973179876</v>
      </c>
      <c r="CU163" s="142">
        <f t="shared" ca="1" si="192"/>
        <v>0.19994613571416656</v>
      </c>
      <c r="CV163" s="142">
        <f t="shared" ca="1" si="193"/>
        <v>0.11417321896308866</v>
      </c>
      <c r="CW163" s="142">
        <f t="shared" ca="1" si="194"/>
        <v>0.51567903559094608</v>
      </c>
      <c r="CY163" s="128">
        <f t="shared" si="195"/>
        <v>17854</v>
      </c>
      <c r="CZ163" s="90">
        <f t="shared" si="196"/>
        <v>20811</v>
      </c>
      <c r="DA163" s="90">
        <f t="shared" si="197"/>
        <v>14560</v>
      </c>
      <c r="DB163" s="90">
        <f t="shared" ca="1" si="198"/>
        <v>63037</v>
      </c>
      <c r="DC163" s="90">
        <f t="shared" ca="1" si="199"/>
        <v>116262</v>
      </c>
      <c r="DD163" s="142">
        <f t="shared" ca="1" si="200"/>
        <v>0.15356694362732448</v>
      </c>
      <c r="DE163" s="142">
        <f t="shared" ca="1" si="201"/>
        <v>0.17900087732879186</v>
      </c>
      <c r="DF163" s="142">
        <f t="shared" ca="1" si="202"/>
        <v>0.12523438440763104</v>
      </c>
      <c r="DG163" s="142">
        <f t="shared" ca="1" si="203"/>
        <v>0.54219779463625262</v>
      </c>
      <c r="DI163" s="128">
        <f t="shared" si="204"/>
        <v>8518</v>
      </c>
      <c r="DJ163" s="90">
        <f t="shared" si="205"/>
        <v>9957</v>
      </c>
      <c r="DK163" s="90">
        <f t="shared" si="206"/>
        <v>5144</v>
      </c>
      <c r="DL163" s="90">
        <f t="shared" ca="1" si="207"/>
        <v>8631.5</v>
      </c>
      <c r="DM163" s="90">
        <f t="shared" ca="1" si="208"/>
        <v>32250.5</v>
      </c>
      <c r="DN163" s="142">
        <f t="shared" ca="1" si="209"/>
        <v>0.26411993612502133</v>
      </c>
      <c r="DO163" s="142">
        <f t="shared" ca="1" si="210"/>
        <v>0.30873939938915673</v>
      </c>
      <c r="DP163" s="142">
        <f t="shared" ca="1" si="211"/>
        <v>0.15950140307902202</v>
      </c>
      <c r="DQ163" s="142">
        <f t="shared" ca="1" si="212"/>
        <v>0.26763926140679989</v>
      </c>
      <c r="DS163" s="128">
        <f t="shared" ca="1" si="213"/>
        <v>209786.5</v>
      </c>
      <c r="DT163" s="90">
        <f t="shared" ca="1" si="214"/>
        <v>116262</v>
      </c>
      <c r="DU163" s="90">
        <f t="shared" ca="1" si="215"/>
        <v>32250.5</v>
      </c>
      <c r="DV163" s="90">
        <f t="shared" si="216"/>
        <v>140</v>
      </c>
      <c r="DW163" s="90">
        <f ca="1">_xlfn.IFNA(INDEX(武器升级消耗!$H:$H,MATCH(玩家节奏1!DS163/玩家节奏1!DS$5,武器升级消耗!M:M,1)),0)</f>
        <v>41</v>
      </c>
      <c r="DX163" s="90">
        <f ca="1">_xlfn.IFNA(INDEX(武器升级消耗!$H:$H,MATCH(玩家节奏1!DT163/玩家节奏1!DT$5,武器升级消耗!N:N,1)),0)</f>
        <v>37</v>
      </c>
      <c r="DY163" s="90">
        <f ca="1">_xlfn.IFNA(INDEX(武器升级消耗!$H:$H,MATCH(玩家节奏1!DU163/玩家节奏1!DU$5,武器升级消耗!O:O,1)),0)</f>
        <v>25</v>
      </c>
      <c r="DZ163" s="90">
        <f>_xlfn.IFNA(INDEX(武器升级消耗!$H:$H,MATCH(玩家节奏1!DV163/玩家节奏1!DV$5,武器升级消耗!P:P,1)),0)</f>
        <v>12</v>
      </c>
      <c r="EA163" s="90">
        <f ca="1">_xlfn.IFNA(INDEX(武器升级消耗!$Q:$Q,MATCH(玩家节奏1!DW163,武器升级消耗!$H:$H,0))*2*EA$4,0)</f>
        <v>5.3999999999999995</v>
      </c>
      <c r="EB163" s="90">
        <f ca="1">_xlfn.IFNA(INDEX(武器升级消耗!$Q:$Q,MATCH(玩家节奏1!DX163,武器升级消耗!$H:$H,0))*2*EB$4,0)</f>
        <v>6.1499999999999995</v>
      </c>
      <c r="EC163" s="90">
        <f ca="1">_xlfn.IFNA(INDEX(武器升级消耗!$Q:$Q,MATCH(玩家节奏1!DY163,武器升级消耗!$H:$H,0))*2*EC$4,1)</f>
        <v>6.38</v>
      </c>
      <c r="ED163" s="90">
        <f>_xlfn.IFNA(INDEX(武器升级消耗!$Q:$Q,MATCH(玩家节奏1!DZ163,武器升级消耗!$H:$H,0))*2*ED$4,0)</f>
        <v>4.8000000000000007</v>
      </c>
    </row>
    <row r="164" spans="1:134" x14ac:dyDescent="0.25">
      <c r="A164" s="123">
        <v>158</v>
      </c>
      <c r="B164" s="123">
        <f>INDEX(关卡对比!$Y:$Y,MATCH(关卡对比!Z164,关卡对比!$AA:$AA,1))</f>
        <v>92</v>
      </c>
      <c r="C164" s="124">
        <f>INDEX(关卡对比!$Y:$Y,MATCH(关卡对比!Z164,关卡对比!$AB:$AB,1))</f>
        <v>71</v>
      </c>
      <c r="D164" s="125">
        <f t="shared" si="157"/>
        <v>932.5</v>
      </c>
      <c r="E164" s="125">
        <v>3</v>
      </c>
      <c r="F164" s="128">
        <v>5</v>
      </c>
      <c r="G164" s="90">
        <v>1</v>
      </c>
      <c r="H164" s="90">
        <v>1</v>
      </c>
      <c r="J164" s="128">
        <v>158</v>
      </c>
      <c r="K164" s="90">
        <f t="shared" si="164"/>
        <v>5</v>
      </c>
      <c r="L164" s="90">
        <f t="shared" si="165"/>
        <v>1</v>
      </c>
      <c r="M164" s="90">
        <f t="shared" si="166"/>
        <v>1</v>
      </c>
      <c r="N164" s="140">
        <f>INDEX($A:$A,MATCH(SUM($K$7:K164),$D:$D,1))</f>
        <v>136</v>
      </c>
      <c r="O164" s="140">
        <v>0</v>
      </c>
      <c r="P164" s="141">
        <v>0</v>
      </c>
      <c r="Q164" s="126">
        <f>_xlfn.MAXIFS(关卡产出!X:X,关卡产出!$A:$A,玩家节奏1!$N$6,关卡产出!$B:$B,玩家节奏1!$N164)+_xlfn.MAXIFS(关卡产出!X:X,关卡产出!$A:$A,玩家节奏1!$O$6,关卡产出!$B:$B,玩家节奏1!$O164)+_xlfn.MAXIFS(关卡产出!X:X,关卡产出!$A:$A,玩家节奏1!$P$6,关卡产出!$B:$B,玩家节奏1!$P164)</f>
        <v>25700</v>
      </c>
      <c r="R164" s="90">
        <f>_xlfn.MAXIFS(关卡产出!Y:Y,关卡产出!$A:$A,玩家节奏1!$N$6,关卡产出!$B:$B,玩家节奏1!$N164)+_xlfn.MAXIFS(关卡产出!Y:Y,关卡产出!$A:$A,玩家节奏1!$O$6,关卡产出!$B:$B,玩家节奏1!$O164)+_xlfn.MAXIFS(关卡产出!Y:Y,关卡产出!$A:$A,玩家节奏1!$P$6,关卡产出!$B:$B,玩家节奏1!$P164)</f>
        <v>5286800</v>
      </c>
      <c r="S164" s="90">
        <f>_xlfn.MAXIFS(关卡产出!Z:Z,关卡产出!$A:$A,玩家节奏1!$N$6,关卡产出!$B:$B,玩家节奏1!$N164)+_xlfn.MAXIFS(关卡产出!Z:Z,关卡产出!$A:$A,玩家节奏1!$O$6,关卡产出!$B:$B,玩家节奏1!$O164)+_xlfn.MAXIFS(关卡产出!Z:Z,关卡产出!$A:$A,玩家节奏1!$P$6,关卡产出!$B:$B,玩家节奏1!$P164)</f>
        <v>36242</v>
      </c>
      <c r="T164" s="90">
        <f>_xlfn.MAXIFS(关卡产出!AA:AA,关卡产出!$A:$A,玩家节奏1!$N$6,关卡产出!$B:$B,玩家节奏1!$N164)+_xlfn.MAXIFS(关卡产出!AA:AA,关卡产出!$A:$A,玩家节奏1!$O$6,关卡产出!$B:$B,玩家节奏1!$O164)+_xlfn.MAXIFS(关卡产出!AA:AA,关卡产出!$A:$A,玩家节奏1!$P$6,关卡产出!$B:$B,玩家节奏1!$P164)</f>
        <v>18122</v>
      </c>
      <c r="U164" s="90">
        <f>_xlfn.MAXIFS(关卡产出!AB:AB,关卡产出!$A:$A,玩家节奏1!$N$6,关卡产出!$B:$B,玩家节奏1!$N164)+_xlfn.MAXIFS(关卡产出!AB:AB,关卡产出!$A:$A,玩家节奏1!$O$6,关卡产出!$B:$B,玩家节奏1!$O164)+_xlfn.MAXIFS(关卡产出!AB:AB,关卡产出!$A:$A,玩家节奏1!$P$6,关卡产出!$B:$B,玩家节奏1!$P164)</f>
        <v>8649</v>
      </c>
      <c r="V164" s="130">
        <f>_xlfn.MAXIFS(关卡产出!AC:AC,关卡产出!$A:$A,玩家节奏1!$N$6,关卡产出!$B:$B,玩家节奏1!$N164)+_xlfn.MAXIFS(关卡产出!AC:AC,关卡产出!$A:$A,玩家节奏1!$O$6,关卡产出!$B:$B,玩家节奏1!$O164)+_xlfn.MAXIFS(关卡产出!AC:AC,关卡产出!$A:$A,玩家节奏1!$P$6,关卡产出!$B:$B,玩家节奏1!$P164)</f>
        <v>816</v>
      </c>
      <c r="W164" s="126">
        <f>INDEX(关卡产出!C$8:C$207,MATCH(玩家节奏1!$N164,关卡产出!$B$8:$B$207,0))*$K164</f>
        <v>535</v>
      </c>
      <c r="X164" s="126">
        <f>INDEX(关卡产出!D$8:D$207,MATCH(玩家节奏1!$N164,关卡产出!$B$8:$B$207,0))*$K164</f>
        <v>265</v>
      </c>
      <c r="Y164" s="126">
        <f>INDEX(关卡产出!E$8:E$207,MATCH(玩家节奏1!$N164,关卡产出!$B$8:$B$207,0))*$K164</f>
        <v>130</v>
      </c>
      <c r="Z164" s="144">
        <f>INDEX(关卡产出!F$8:F$207,MATCH(玩家节奏1!$N164,关卡产出!$B$8:$B$207,0))*$K164</f>
        <v>7050</v>
      </c>
      <c r="AA164" s="126">
        <f>SUM(W$7:W164)</f>
        <v>42481</v>
      </c>
      <c r="AB164" s="126">
        <f>SUM(X$7:X164)</f>
        <v>21076</v>
      </c>
      <c r="AC164" s="126">
        <f>SUM(Y$7:Y164)</f>
        <v>10087</v>
      </c>
      <c r="AD164" s="126">
        <f>SUM(Z$7:Z164)</f>
        <v>590660</v>
      </c>
      <c r="AE164" s="126">
        <f>INDEX(图鉴!AQ:AQ,MATCH($N164,图鉴!$S:$S,0))*8</f>
        <v>168</v>
      </c>
      <c r="AF164" s="90">
        <f>INDEX(图鉴!AR:AR,MATCH($N164,图鉴!$S:$S,0))*8</f>
        <v>120</v>
      </c>
      <c r="AG164" s="90">
        <f>INDEX(图鉴!AS:AS,MATCH($N164,图鉴!$S:$S,0))*8</f>
        <v>48</v>
      </c>
      <c r="AH164" s="129">
        <f ca="1">INDEX(图鉴!AT:AT,MATCH($N164,图鉴!$S:$S,0))*8</f>
        <v>10880</v>
      </c>
      <c r="AI164" s="128">
        <f>SUM($AE$7:AE164)</f>
        <v>24120</v>
      </c>
      <c r="AJ164" s="90">
        <f>SUM(AF$7:AF164)</f>
        <v>14680</v>
      </c>
      <c r="AK164" s="90">
        <f>SUM(AG$7:AG164)</f>
        <v>5192</v>
      </c>
      <c r="AL164" s="130">
        <f ca="1">SUM(AH$7:AH164)</f>
        <v>1163640</v>
      </c>
      <c r="AM164" s="133">
        <f>IF(M164=0,0,INDEX(关卡产出!$AU$11:$AU$15,MATCH(玩家节奏1!N164,关卡产出!$AW$11:$AW$15,1))*M164)</f>
        <v>12200</v>
      </c>
      <c r="AN164" s="126">
        <f>IF(L164=0,0,$L164*关卡产出!AU$21)</f>
        <v>1000</v>
      </c>
      <c r="AO164" s="90">
        <f>IF(M164=0,0,$L164*关卡产出!AV$21)</f>
        <v>50</v>
      </c>
      <c r="AP164" s="129">
        <f>IF(N164=0,0,$L164*关卡产出!AW$21)</f>
        <v>1</v>
      </c>
      <c r="AQ164" s="138">
        <f>SUM(AN$7:AN164)</f>
        <v>141000</v>
      </c>
      <c r="AR164" s="126">
        <f>SUM(AO$7:AO164)</f>
        <v>7050</v>
      </c>
      <c r="AS164" s="129">
        <f>SUM(AP$7:AP164)</f>
        <v>141</v>
      </c>
      <c r="AT164" s="128">
        <v>500</v>
      </c>
      <c r="AU164" s="129">
        <v>100</v>
      </c>
      <c r="AV164" s="128">
        <f>SUM(AT$7:AT164)</f>
        <v>79000</v>
      </c>
      <c r="AW164" s="90">
        <f>SUM(AU$7:AU164)</f>
        <v>15800</v>
      </c>
      <c r="AY164" s="128">
        <f t="shared" si="167"/>
        <v>25700</v>
      </c>
      <c r="AZ164" s="90">
        <f t="shared" si="168"/>
        <v>7050</v>
      </c>
      <c r="BA164" s="90">
        <f t="shared" si="169"/>
        <v>15800</v>
      </c>
      <c r="BB164" s="90">
        <f t="shared" ca="1" si="217"/>
        <v>12500</v>
      </c>
      <c r="BC164" s="90">
        <f t="shared" ca="1" si="218"/>
        <v>61050</v>
      </c>
      <c r="BD164" s="90"/>
      <c r="BE164" s="90">
        <f t="shared" ca="1" si="170"/>
        <v>61050</v>
      </c>
      <c r="BF164" s="142">
        <f t="shared" ca="1" si="171"/>
        <v>0.42096642096642095</v>
      </c>
      <c r="BG164" s="142">
        <f t="shared" ca="1" si="172"/>
        <v>0.11547911547911548</v>
      </c>
      <c r="BH164" s="142">
        <f t="shared" ca="1" si="173"/>
        <v>0.25880425880425878</v>
      </c>
      <c r="BI164" s="142">
        <f t="shared" ca="1" si="174"/>
        <v>0.20475020475020475</v>
      </c>
      <c r="BJ164" s="143"/>
      <c r="BK164" s="128">
        <f ca="1">INDEX(商城宝箱!$L:$L,MATCH(BC164,商城宝箱!$N:$N,1))</f>
        <v>10</v>
      </c>
      <c r="BL164" s="90">
        <f ca="1">_xlfn.IFNA(INDEX(商城宝箱!T:T,MATCH(玩家节奏1!$BK164,商城宝箱!$L:$L,0)),0)+($BC164-INDEX(商城宝箱!$N:$N,MATCH(玩家节奏1!$BK164,商城宝箱!$L:$L,0)))/$BK$5*INDEX(商城宝箱!E$23:E$42,MATCH(玩家节奏1!$BK164+1,商城宝箱!$C$23:$C$42,0))</f>
        <v>152625</v>
      </c>
      <c r="BM164" s="90">
        <f ca="1">_xlfn.IFNA(INDEX(商城宝箱!U:U,MATCH(玩家节奏1!$BK164,商城宝箱!$L:$L,0)),0)+($BC164-INDEX(商城宝箱!$N:$N,MATCH(玩家节奏1!$BK164,商城宝箱!$L:$L,0)))/$BK$5*INDEX(商城宝箱!F$23:F$42,MATCH(玩家节奏1!$BK164+1,商城宝箱!$C$23:$C$42,0))</f>
        <v>109302.5</v>
      </c>
      <c r="BN164" s="90">
        <f ca="1">_xlfn.IFNA(INDEX(商城宝箱!V:V,MATCH(玩家节奏1!$BK164,商城宝箱!$L:$L,0)),0)+($BC164-INDEX(商城宝箱!$N:$N,MATCH(玩家节奏1!$BK164,商城宝箱!$L:$L,0)))/$BK$5*INDEX(商城宝箱!G$23:G$42,MATCH(玩家节奏1!$BK164+1,商城宝箱!$C$23:$C$42,0))</f>
        <v>63562</v>
      </c>
      <c r="BO164" s="90">
        <f ca="1">_xlfn.IFNA(INDEX(商城宝箱!W:W,MATCH(玩家节奏1!$BK164,商城宝箱!$L:$L,0)),0)+($BC164-INDEX(商城宝箱!$N:$N,MATCH(玩家节奏1!$BK164,商城宝箱!$L:$L,0)))/$BK$5*INDEX(商城宝箱!H$23:H$42,MATCH(玩家节奏1!$BK164+1,商城宝箱!$C$23:$C$42,0))</f>
        <v>8719</v>
      </c>
      <c r="BQ164" s="128">
        <f t="shared" si="158"/>
        <v>5286800</v>
      </c>
      <c r="BR164" s="90">
        <f t="shared" si="159"/>
        <v>590660</v>
      </c>
      <c r="BS164" s="90">
        <f t="shared" ca="1" si="160"/>
        <v>1163640</v>
      </c>
      <c r="BT164" s="90">
        <f t="shared" si="161"/>
        <v>12200</v>
      </c>
      <c r="BU164" s="90">
        <f t="shared" si="162"/>
        <v>141000</v>
      </c>
      <c r="BV164" s="90">
        <f t="shared" si="163"/>
        <v>79000</v>
      </c>
      <c r="BW164" s="90">
        <f t="shared" ca="1" si="175"/>
        <v>152625</v>
      </c>
      <c r="BX164" s="90">
        <f t="shared" ca="1" si="176"/>
        <v>7425925</v>
      </c>
      <c r="BY164" s="142">
        <f t="shared" ca="1" si="177"/>
        <v>0.71193824338382083</v>
      </c>
      <c r="BZ164" s="142">
        <f t="shared" ca="1" si="178"/>
        <v>7.9540259294296672E-2</v>
      </c>
      <c r="CA164" s="142">
        <f t="shared" ca="1" si="179"/>
        <v>0.15669967041143024</v>
      </c>
      <c r="CB164" s="142">
        <f t="shared" ca="1" si="180"/>
        <v>1.6428929729292983E-3</v>
      </c>
      <c r="CC164" s="142">
        <f t="shared" ca="1" si="181"/>
        <v>1.8987533539592712E-2</v>
      </c>
      <c r="CD164" s="142">
        <f t="shared" ca="1" si="182"/>
        <v>1.0638405316509392E-2</v>
      </c>
      <c r="CE164" s="142">
        <f t="shared" ca="1" si="183"/>
        <v>2.0552995081420833E-2</v>
      </c>
      <c r="CG164" s="128">
        <f t="shared" si="184"/>
        <v>136</v>
      </c>
      <c r="CH164" s="90">
        <f ca="1">INDEX(角色升级!$A:$A,MATCH(玩家节奏1!$BX164,角色升级!$J:$J,1))</f>
        <v>652</v>
      </c>
      <c r="CI164" s="90">
        <f ca="1">INDEX(角色升级!$O:$O,MATCH(玩家节奏1!$BX164,角色升级!$J:$J,1))</f>
        <v>33932.68131</v>
      </c>
      <c r="CJ164" s="90">
        <f>INDEX(关卡对比!$J:$J,MATCH(玩家节奏1!N164,关卡对比!$A:$A,0))</f>
        <v>54200</v>
      </c>
      <c r="CK164" s="147">
        <f t="shared" ca="1" si="185"/>
        <v>1.5972802003131772</v>
      </c>
      <c r="CL164" s="128">
        <f ca="1">INDEX(角色升级!$P:$P,MATCH(玩家节奏1!$CH164,角色升级!$A:$A,0))</f>
        <v>12500</v>
      </c>
      <c r="CM164" s="90">
        <f ca="1">INDEX(角色升级!Q:Q,MATCH(玩家节奏1!$CH164,角色升级!$A:$A,0))</f>
        <v>1.1000000000000001</v>
      </c>
      <c r="CO164" s="128">
        <f t="shared" si="186"/>
        <v>36242</v>
      </c>
      <c r="CP164" s="90">
        <f t="shared" si="187"/>
        <v>42481</v>
      </c>
      <c r="CQ164" s="90">
        <f t="shared" si="188"/>
        <v>24120</v>
      </c>
      <c r="CR164" s="90">
        <f t="shared" ca="1" si="189"/>
        <v>109302.5</v>
      </c>
      <c r="CS164" s="90">
        <f t="shared" ca="1" si="190"/>
        <v>212145.5</v>
      </c>
      <c r="CT164" s="142">
        <f t="shared" ca="1" si="191"/>
        <v>0.17083558218298289</v>
      </c>
      <c r="CU164" s="142">
        <f t="shared" ca="1" si="192"/>
        <v>0.20024464341690018</v>
      </c>
      <c r="CV164" s="142">
        <f t="shared" ca="1" si="193"/>
        <v>0.11369555328771999</v>
      </c>
      <c r="CW164" s="142">
        <f t="shared" ca="1" si="194"/>
        <v>0.51522422111239696</v>
      </c>
      <c r="CY164" s="128">
        <f t="shared" si="195"/>
        <v>18122</v>
      </c>
      <c r="CZ164" s="90">
        <f t="shared" si="196"/>
        <v>21076</v>
      </c>
      <c r="DA164" s="90">
        <f t="shared" si="197"/>
        <v>14680</v>
      </c>
      <c r="DB164" s="90">
        <f t="shared" ca="1" si="198"/>
        <v>63562</v>
      </c>
      <c r="DC164" s="90">
        <f t="shared" ca="1" si="199"/>
        <v>117440</v>
      </c>
      <c r="DD164" s="142">
        <f t="shared" ca="1" si="200"/>
        <v>0.15430858310626702</v>
      </c>
      <c r="DE164" s="142">
        <f t="shared" ca="1" si="201"/>
        <v>0.17946185286103541</v>
      </c>
      <c r="DF164" s="142">
        <f t="shared" ca="1" si="202"/>
        <v>0.125</v>
      </c>
      <c r="DG164" s="142">
        <f t="shared" ca="1" si="203"/>
        <v>0.54122956403269751</v>
      </c>
      <c r="DI164" s="128">
        <f t="shared" si="204"/>
        <v>8649</v>
      </c>
      <c r="DJ164" s="90">
        <f t="shared" si="205"/>
        <v>10087</v>
      </c>
      <c r="DK164" s="90">
        <f t="shared" si="206"/>
        <v>5192</v>
      </c>
      <c r="DL164" s="90">
        <f t="shared" ca="1" si="207"/>
        <v>8719</v>
      </c>
      <c r="DM164" s="90">
        <f t="shared" ca="1" si="208"/>
        <v>32647</v>
      </c>
      <c r="DN164" s="142">
        <f t="shared" ca="1" si="209"/>
        <v>0.26492480166630933</v>
      </c>
      <c r="DO164" s="142">
        <f t="shared" ca="1" si="210"/>
        <v>0.30897172787698718</v>
      </c>
      <c r="DP164" s="142">
        <f t="shared" ca="1" si="211"/>
        <v>0.15903452078292032</v>
      </c>
      <c r="DQ164" s="142">
        <f t="shared" ca="1" si="212"/>
        <v>0.2670689496737832</v>
      </c>
      <c r="DS164" s="128">
        <f t="shared" ca="1" si="213"/>
        <v>212145.5</v>
      </c>
      <c r="DT164" s="90">
        <f t="shared" ca="1" si="214"/>
        <v>117440</v>
      </c>
      <c r="DU164" s="90">
        <f t="shared" ca="1" si="215"/>
        <v>32647</v>
      </c>
      <c r="DV164" s="90">
        <f t="shared" si="216"/>
        <v>141</v>
      </c>
      <c r="DW164" s="90">
        <f ca="1">_xlfn.IFNA(INDEX(武器升级消耗!$H:$H,MATCH(玩家节奏1!DS164/玩家节奏1!DS$5,武器升级消耗!M:M,1)),0)</f>
        <v>41</v>
      </c>
      <c r="DX164" s="90">
        <f ca="1">_xlfn.IFNA(INDEX(武器升级消耗!$H:$H,MATCH(玩家节奏1!DT164/玩家节奏1!DT$5,武器升级消耗!N:N,1)),0)</f>
        <v>37</v>
      </c>
      <c r="DY164" s="90">
        <f ca="1">_xlfn.IFNA(INDEX(武器升级消耗!$H:$H,MATCH(玩家节奏1!DU164/玩家节奏1!DU$5,武器升级消耗!O:O,1)),0)</f>
        <v>25</v>
      </c>
      <c r="DZ164" s="90">
        <f>_xlfn.IFNA(INDEX(武器升级消耗!$H:$H,MATCH(玩家节奏1!DV164/玩家节奏1!DV$5,武器升级消耗!P:P,1)),0)</f>
        <v>12</v>
      </c>
      <c r="EA164" s="90">
        <f ca="1">_xlfn.IFNA(INDEX(武器升级消耗!$Q:$Q,MATCH(玩家节奏1!DW164,武器升级消耗!$H:$H,0))*2*EA$4,0)</f>
        <v>5.3999999999999995</v>
      </c>
      <c r="EB164" s="90">
        <f ca="1">_xlfn.IFNA(INDEX(武器升级消耗!$Q:$Q,MATCH(玩家节奏1!DX164,武器升级消耗!$H:$H,0))*2*EB$4,0)</f>
        <v>6.1499999999999995</v>
      </c>
      <c r="EC164" s="90">
        <f ca="1">_xlfn.IFNA(INDEX(武器升级消耗!$Q:$Q,MATCH(玩家节奏1!DY164,武器升级消耗!$H:$H,0))*2*EC$4,1)</f>
        <v>6.38</v>
      </c>
      <c r="ED164" s="90">
        <f>_xlfn.IFNA(INDEX(武器升级消耗!$Q:$Q,MATCH(玩家节奏1!DZ164,武器升级消耗!$H:$H,0))*2*ED$4,0)</f>
        <v>4.8000000000000007</v>
      </c>
    </row>
    <row r="165" spans="1:134" x14ac:dyDescent="0.25">
      <c r="A165" s="123">
        <v>159</v>
      </c>
      <c r="B165" s="123">
        <f>INDEX(关卡对比!$Y:$Y,MATCH(关卡对比!Z165,关卡对比!$AA:$AA,1))</f>
        <v>93</v>
      </c>
      <c r="C165" s="124">
        <f>INDEX(关卡对比!$Y:$Y,MATCH(关卡对比!Z165,关卡对比!$AB:$AB,1))</f>
        <v>71</v>
      </c>
      <c r="D165" s="125">
        <f t="shared" si="157"/>
        <v>938.5</v>
      </c>
      <c r="E165" s="125">
        <v>3</v>
      </c>
      <c r="F165" s="128">
        <v>5</v>
      </c>
      <c r="G165" s="90">
        <v>1</v>
      </c>
      <c r="H165" s="90">
        <v>1</v>
      </c>
      <c r="J165" s="128">
        <v>159</v>
      </c>
      <c r="K165" s="90">
        <f t="shared" si="164"/>
        <v>5</v>
      </c>
      <c r="L165" s="90">
        <f t="shared" si="165"/>
        <v>1</v>
      </c>
      <c r="M165" s="90">
        <f t="shared" si="166"/>
        <v>1</v>
      </c>
      <c r="N165" s="140">
        <f>INDEX($A:$A,MATCH(SUM($K$7:K165),$D:$D,1))</f>
        <v>137</v>
      </c>
      <c r="O165" s="140">
        <v>0</v>
      </c>
      <c r="P165" s="141">
        <v>0</v>
      </c>
      <c r="Q165" s="126">
        <f>_xlfn.MAXIFS(关卡产出!X:X,关卡产出!$A:$A,玩家节奏1!$N$6,关卡产出!$B:$B,玩家节奏1!$N165)+_xlfn.MAXIFS(关卡产出!X:X,关卡产出!$A:$A,玩家节奏1!$O$6,关卡产出!$B:$B,玩家节奏1!$O165)+_xlfn.MAXIFS(关卡产出!X:X,关卡产出!$A:$A,玩家节奏1!$P$6,关卡产出!$B:$B,玩家节奏1!$P165)</f>
        <v>25900</v>
      </c>
      <c r="R165" s="90">
        <f>_xlfn.MAXIFS(关卡产出!Y:Y,关卡产出!$A:$A,玩家节奏1!$N$6,关卡产出!$B:$B,玩家节奏1!$N165)+_xlfn.MAXIFS(关卡产出!Y:Y,关卡产出!$A:$A,玩家节奏1!$O$6,关卡产出!$B:$B,玩家节奏1!$O165)+_xlfn.MAXIFS(关卡产出!Y:Y,关卡产出!$A:$A,玩家节奏1!$P$6,关卡产出!$B:$B,玩家节奏1!$P165)</f>
        <v>5366700</v>
      </c>
      <c r="S165" s="90">
        <f>_xlfn.MAXIFS(关卡产出!Z:Z,关卡产出!$A:$A,玩家节奏1!$N$6,关卡产出!$B:$B,玩家节奏1!$N165)+_xlfn.MAXIFS(关卡产出!Z:Z,关卡产出!$A:$A,玩家节奏1!$O$6,关卡产出!$B:$B,玩家节奏1!$O165)+_xlfn.MAXIFS(关卡产出!Z:Z,关卡产出!$A:$A,玩家节奏1!$P$6,关卡产出!$B:$B,玩家节奏1!$P165)</f>
        <v>36782</v>
      </c>
      <c r="T165" s="90">
        <f>_xlfn.MAXIFS(关卡产出!AA:AA,关卡产出!$A:$A,玩家节奏1!$N$6,关卡产出!$B:$B,玩家节奏1!$N165)+_xlfn.MAXIFS(关卡产出!AA:AA,关卡产出!$A:$A,玩家节奏1!$O$6,关卡产出!$B:$B,玩家节奏1!$O165)+_xlfn.MAXIFS(关卡产出!AA:AA,关卡产出!$A:$A,玩家节奏1!$P$6,关卡产出!$B:$B,玩家节奏1!$P165)</f>
        <v>18392</v>
      </c>
      <c r="U165" s="90">
        <f>_xlfn.MAXIFS(关卡产出!AB:AB,关卡产出!$A:$A,玩家节奏1!$N$6,关卡产出!$B:$B,玩家节奏1!$N165)+_xlfn.MAXIFS(关卡产出!AB:AB,关卡产出!$A:$A,玩家节奏1!$O$6,关卡产出!$B:$B,玩家节奏1!$O165)+_xlfn.MAXIFS(关卡产出!AB:AB,关卡产出!$A:$A,玩家节奏1!$P$6,关卡产出!$B:$B,玩家节奏1!$P165)</f>
        <v>8781</v>
      </c>
      <c r="V165" s="130">
        <f>_xlfn.MAXIFS(关卡产出!AC:AC,关卡产出!$A:$A,玩家节奏1!$N$6,关卡产出!$B:$B,玩家节奏1!$N165)+_xlfn.MAXIFS(关卡产出!AC:AC,关卡产出!$A:$A,玩家节奏1!$O$6,关卡产出!$B:$B,玩家节奏1!$O165)+_xlfn.MAXIFS(关卡产出!AC:AC,关卡产出!$A:$A,玩家节奏1!$P$6,关卡产出!$B:$B,玩家节奏1!$P165)</f>
        <v>822</v>
      </c>
      <c r="W165" s="126">
        <f>INDEX(关卡产出!C$8:C$207,MATCH(玩家节奏1!$N165,关卡产出!$B$8:$B$207,0))*$K165</f>
        <v>540</v>
      </c>
      <c r="X165" s="126">
        <f>INDEX(关卡产出!D$8:D$207,MATCH(玩家节奏1!$N165,关卡产出!$B$8:$B$207,0))*$K165</f>
        <v>270</v>
      </c>
      <c r="Y165" s="126">
        <f>INDEX(关卡产出!E$8:E$207,MATCH(玩家节奏1!$N165,关卡产出!$B$8:$B$207,0))*$K165</f>
        <v>130</v>
      </c>
      <c r="Z165" s="144">
        <f>INDEX(关卡产出!F$8:F$207,MATCH(玩家节奏1!$N165,关卡产出!$B$8:$B$207,0))*$K165</f>
        <v>7150</v>
      </c>
      <c r="AA165" s="126">
        <f>SUM(W$7:W165)</f>
        <v>43021</v>
      </c>
      <c r="AB165" s="126">
        <f>SUM(X$7:X165)</f>
        <v>21346</v>
      </c>
      <c r="AC165" s="126">
        <f>SUM(Y$7:Y165)</f>
        <v>10217</v>
      </c>
      <c r="AD165" s="126">
        <f>SUM(Z$7:Z165)</f>
        <v>597810</v>
      </c>
      <c r="AE165" s="126">
        <f>INDEX(图鉴!AQ:AQ,MATCH($N165,图鉴!$S:$S,0))*8</f>
        <v>168</v>
      </c>
      <c r="AF165" s="90">
        <f>INDEX(图鉴!AR:AR,MATCH($N165,图鉴!$S:$S,0))*8</f>
        <v>120</v>
      </c>
      <c r="AG165" s="90">
        <f>INDEX(图鉴!AS:AS,MATCH($N165,图鉴!$S:$S,0))*8</f>
        <v>48</v>
      </c>
      <c r="AH165" s="129">
        <f ca="1">INDEX(图鉴!AT:AT,MATCH($N165,图鉴!$S:$S,0))*8</f>
        <v>10880</v>
      </c>
      <c r="AI165" s="128">
        <f>SUM($AE$7:AE165)</f>
        <v>24288</v>
      </c>
      <c r="AJ165" s="90">
        <f>SUM(AF$7:AF165)</f>
        <v>14800</v>
      </c>
      <c r="AK165" s="90">
        <f>SUM(AG$7:AG165)</f>
        <v>5240</v>
      </c>
      <c r="AL165" s="130">
        <f ca="1">SUM(AH$7:AH165)</f>
        <v>1174520</v>
      </c>
      <c r="AM165" s="133">
        <f>IF(M165=0,0,INDEX(关卡产出!$AU$11:$AU$15,MATCH(玩家节奏1!N165,关卡产出!$AW$11:$AW$15,1))*M165)</f>
        <v>12200</v>
      </c>
      <c r="AN165" s="126">
        <f>IF(L165=0,0,$L165*关卡产出!AU$21)</f>
        <v>1000</v>
      </c>
      <c r="AO165" s="90">
        <f>IF(M165=0,0,$L165*关卡产出!AV$21)</f>
        <v>50</v>
      </c>
      <c r="AP165" s="129">
        <f>IF(N165=0,0,$L165*关卡产出!AW$21)</f>
        <v>1</v>
      </c>
      <c r="AQ165" s="138">
        <f>SUM(AN$7:AN165)</f>
        <v>142000</v>
      </c>
      <c r="AR165" s="126">
        <f>SUM(AO$7:AO165)</f>
        <v>7100</v>
      </c>
      <c r="AS165" s="129">
        <f>SUM(AP$7:AP165)</f>
        <v>142</v>
      </c>
      <c r="AT165" s="128">
        <v>500</v>
      </c>
      <c r="AU165" s="129">
        <v>100</v>
      </c>
      <c r="AV165" s="128">
        <f>SUM(AT$7:AT165)</f>
        <v>79500</v>
      </c>
      <c r="AW165" s="90">
        <f>SUM(AU$7:AU165)</f>
        <v>15900</v>
      </c>
      <c r="AY165" s="128">
        <f t="shared" si="167"/>
        <v>25900</v>
      </c>
      <c r="AZ165" s="90">
        <f t="shared" si="168"/>
        <v>7100</v>
      </c>
      <c r="BA165" s="90">
        <f t="shared" si="169"/>
        <v>15900</v>
      </c>
      <c r="BB165" s="90">
        <f t="shared" ca="1" si="217"/>
        <v>12500</v>
      </c>
      <c r="BC165" s="90">
        <f t="shared" ca="1" si="218"/>
        <v>61400</v>
      </c>
      <c r="BD165" s="90"/>
      <c r="BE165" s="90">
        <f t="shared" ca="1" si="170"/>
        <v>61400</v>
      </c>
      <c r="BF165" s="142">
        <f t="shared" ca="1" si="171"/>
        <v>0.42182410423452771</v>
      </c>
      <c r="BG165" s="142">
        <f t="shared" ca="1" si="172"/>
        <v>0.11563517915309446</v>
      </c>
      <c r="BH165" s="142">
        <f t="shared" ca="1" si="173"/>
        <v>0.25895765472312704</v>
      </c>
      <c r="BI165" s="142">
        <f t="shared" ca="1" si="174"/>
        <v>0.20358306188925082</v>
      </c>
      <c r="BJ165" s="143"/>
      <c r="BK165" s="128">
        <f ca="1">INDEX(商城宝箱!$L:$L,MATCH(BC165,商城宝箱!$N:$N,1))</f>
        <v>10</v>
      </c>
      <c r="BL165" s="90">
        <f ca="1">_xlfn.IFNA(INDEX(商城宝箱!T:T,MATCH(玩家节奏1!$BK165,商城宝箱!$L:$L,0)),0)+($BC165-INDEX(商城宝箱!$N:$N,MATCH(玩家节奏1!$BK165,商城宝箱!$L:$L,0)))/$BK$5*INDEX(商城宝箱!E$23:E$42,MATCH(玩家节奏1!$BK165+1,商城宝箱!$C$23:$C$42,0))</f>
        <v>153500</v>
      </c>
      <c r="BM165" s="90">
        <f ca="1">_xlfn.IFNA(INDEX(商城宝箱!U:U,MATCH(玩家节奏1!$BK165,商城宝箱!$L:$L,0)),0)+($BC165-INDEX(商城宝箱!$N:$N,MATCH(玩家节奏1!$BK165,商城宝箱!$L:$L,0)))/$BK$5*INDEX(商城宝箱!F$23:F$42,MATCH(玩家节奏1!$BK165+1,商城宝箱!$C$23:$C$42,0))</f>
        <v>110422.5</v>
      </c>
      <c r="BN165" s="90">
        <f ca="1">_xlfn.IFNA(INDEX(商城宝箱!V:V,MATCH(玩家节奏1!$BK165,商城宝箱!$L:$L,0)),0)+($BC165-INDEX(商城宝箱!$N:$N,MATCH(玩家节奏1!$BK165,商城宝箱!$L:$L,0)))/$BK$5*INDEX(商城宝箱!G$23:G$42,MATCH(玩家节奏1!$BK165+1,商城宝箱!$C$23:$C$42,0))</f>
        <v>64087</v>
      </c>
      <c r="BO165" s="90">
        <f ca="1">_xlfn.IFNA(INDEX(商城宝箱!W:W,MATCH(玩家节奏1!$BK165,商城宝箱!$L:$L,0)),0)+($BC165-INDEX(商城宝箱!$N:$N,MATCH(玩家节奏1!$BK165,商城宝箱!$L:$L,0)))/$BK$5*INDEX(商城宝箱!H$23:H$42,MATCH(玩家节奏1!$BK165+1,商城宝箱!$C$23:$C$42,0))</f>
        <v>8806.5</v>
      </c>
      <c r="BQ165" s="128">
        <f t="shared" si="158"/>
        <v>5366700</v>
      </c>
      <c r="BR165" s="90">
        <f t="shared" si="159"/>
        <v>597810</v>
      </c>
      <c r="BS165" s="90">
        <f t="shared" ca="1" si="160"/>
        <v>1174520</v>
      </c>
      <c r="BT165" s="90">
        <f t="shared" si="161"/>
        <v>12200</v>
      </c>
      <c r="BU165" s="90">
        <f t="shared" si="162"/>
        <v>142000</v>
      </c>
      <c r="BV165" s="90">
        <f t="shared" si="163"/>
        <v>79500</v>
      </c>
      <c r="BW165" s="90">
        <f t="shared" ca="1" si="175"/>
        <v>153500</v>
      </c>
      <c r="BX165" s="90">
        <f t="shared" ca="1" si="176"/>
        <v>7526230</v>
      </c>
      <c r="BY165" s="142">
        <f t="shared" ca="1" si="177"/>
        <v>0.71306616991508365</v>
      </c>
      <c r="BZ165" s="142">
        <f t="shared" ca="1" si="178"/>
        <v>7.9430206092558964E-2</v>
      </c>
      <c r="CA165" s="142">
        <f t="shared" ca="1" si="179"/>
        <v>0.15605688372531798</v>
      </c>
      <c r="CB165" s="142">
        <f t="shared" ca="1" si="180"/>
        <v>1.6209974980833698E-3</v>
      </c>
      <c r="CC165" s="142">
        <f t="shared" ca="1" si="181"/>
        <v>1.8867347928511354E-2</v>
      </c>
      <c r="CD165" s="142">
        <f t="shared" ca="1" si="182"/>
        <v>1.056305746701868E-2</v>
      </c>
      <c r="CE165" s="142">
        <f t="shared" ca="1" si="183"/>
        <v>2.0395337373426005E-2</v>
      </c>
      <c r="CG165" s="128">
        <f t="shared" si="184"/>
        <v>137</v>
      </c>
      <c r="CH165" s="90">
        <f ca="1">INDEX(角色升级!$A:$A,MATCH(玩家节奏1!$BX165,角色升级!$J:$J,1))</f>
        <v>656</v>
      </c>
      <c r="CI165" s="90">
        <f ca="1">INDEX(角色升级!$O:$O,MATCH(玩家节奏1!$BX165,角色升级!$J:$J,1))</f>
        <v>33994.07015</v>
      </c>
      <c r="CJ165" s="90">
        <f>INDEX(关卡对比!$J:$J,MATCH(玩家节奏1!N165,关卡对比!$A:$A,0))</f>
        <v>54700</v>
      </c>
      <c r="CK165" s="147">
        <f t="shared" ca="1" si="185"/>
        <v>1.6091041690104884</v>
      </c>
      <c r="CL165" s="128">
        <f ca="1">INDEX(角色升级!$P:$P,MATCH(玩家节奏1!$CH165,角色升级!$A:$A,0))</f>
        <v>12500</v>
      </c>
      <c r="CM165" s="90">
        <f ca="1">INDEX(角色升级!Q:Q,MATCH(玩家节奏1!$CH165,角色升级!$A:$A,0))</f>
        <v>1.1000000000000001</v>
      </c>
      <c r="CO165" s="128">
        <f t="shared" si="186"/>
        <v>36782</v>
      </c>
      <c r="CP165" s="90">
        <f t="shared" si="187"/>
        <v>43021</v>
      </c>
      <c r="CQ165" s="90">
        <f t="shared" si="188"/>
        <v>24288</v>
      </c>
      <c r="CR165" s="90">
        <f t="shared" ca="1" si="189"/>
        <v>110422.5</v>
      </c>
      <c r="CS165" s="90">
        <f t="shared" ca="1" si="190"/>
        <v>214513.5</v>
      </c>
      <c r="CT165" s="142">
        <f t="shared" ca="1" si="191"/>
        <v>0.17146706384446667</v>
      </c>
      <c r="CU165" s="142">
        <f t="shared" ca="1" si="192"/>
        <v>0.20055148044295582</v>
      </c>
      <c r="CV165" s="142">
        <f t="shared" ca="1" si="193"/>
        <v>0.11322364326720696</v>
      </c>
      <c r="CW165" s="142">
        <f t="shared" ca="1" si="194"/>
        <v>0.51475781244537056</v>
      </c>
      <c r="CY165" s="128">
        <f t="shared" si="195"/>
        <v>18392</v>
      </c>
      <c r="CZ165" s="90">
        <f t="shared" si="196"/>
        <v>21346</v>
      </c>
      <c r="DA165" s="90">
        <f t="shared" si="197"/>
        <v>14800</v>
      </c>
      <c r="DB165" s="90">
        <f t="shared" ca="1" si="198"/>
        <v>64087</v>
      </c>
      <c r="DC165" s="90">
        <f t="shared" ca="1" si="199"/>
        <v>118625</v>
      </c>
      <c r="DD165" s="142">
        <f t="shared" ca="1" si="200"/>
        <v>0.1550432033719705</v>
      </c>
      <c r="DE165" s="142">
        <f t="shared" ca="1" si="201"/>
        <v>0.17994520547945206</v>
      </c>
      <c r="DF165" s="142">
        <f t="shared" ca="1" si="202"/>
        <v>0.12476290832455215</v>
      </c>
      <c r="DG165" s="142">
        <f t="shared" ca="1" si="203"/>
        <v>0.54024868282402527</v>
      </c>
      <c r="DI165" s="128">
        <f t="shared" si="204"/>
        <v>8781</v>
      </c>
      <c r="DJ165" s="90">
        <f t="shared" si="205"/>
        <v>10217</v>
      </c>
      <c r="DK165" s="90">
        <f t="shared" si="206"/>
        <v>5240</v>
      </c>
      <c r="DL165" s="90">
        <f t="shared" ca="1" si="207"/>
        <v>8806.5</v>
      </c>
      <c r="DM165" s="90">
        <f t="shared" ca="1" si="208"/>
        <v>33044.5</v>
      </c>
      <c r="DN165" s="142">
        <f t="shared" ca="1" si="209"/>
        <v>0.26573257274281653</v>
      </c>
      <c r="DO165" s="142">
        <f t="shared" ca="1" si="210"/>
        <v>0.30918912375735752</v>
      </c>
      <c r="DP165" s="142">
        <f t="shared" ca="1" si="211"/>
        <v>0.15857404409205769</v>
      </c>
      <c r="DQ165" s="142">
        <f t="shared" ca="1" si="212"/>
        <v>0.26650425940776828</v>
      </c>
      <c r="DS165" s="128">
        <f t="shared" ca="1" si="213"/>
        <v>214513.5</v>
      </c>
      <c r="DT165" s="90">
        <f t="shared" ca="1" si="214"/>
        <v>118625</v>
      </c>
      <c r="DU165" s="90">
        <f t="shared" ca="1" si="215"/>
        <v>33044.5</v>
      </c>
      <c r="DV165" s="90">
        <f t="shared" si="216"/>
        <v>142</v>
      </c>
      <c r="DW165" s="90">
        <f ca="1">_xlfn.IFNA(INDEX(武器升级消耗!$H:$H,MATCH(玩家节奏1!DS165/玩家节奏1!DS$5,武器升级消耗!M:M,1)),0)</f>
        <v>41</v>
      </c>
      <c r="DX165" s="90">
        <f ca="1">_xlfn.IFNA(INDEX(武器升级消耗!$H:$H,MATCH(玩家节奏1!DT165/玩家节奏1!DT$5,武器升级消耗!N:N,1)),0)</f>
        <v>37</v>
      </c>
      <c r="DY165" s="90">
        <f ca="1">_xlfn.IFNA(INDEX(武器升级消耗!$H:$H,MATCH(玩家节奏1!DU165/玩家节奏1!DU$5,武器升级消耗!O:O,1)),0)</f>
        <v>25</v>
      </c>
      <c r="DZ165" s="90">
        <f>_xlfn.IFNA(INDEX(武器升级消耗!$H:$H,MATCH(玩家节奏1!DV165/玩家节奏1!DV$5,武器升级消耗!P:P,1)),0)</f>
        <v>12</v>
      </c>
      <c r="EA165" s="90">
        <f ca="1">_xlfn.IFNA(INDEX(武器升级消耗!$Q:$Q,MATCH(玩家节奏1!DW165,武器升级消耗!$H:$H,0))*2*EA$4,0)</f>
        <v>5.3999999999999995</v>
      </c>
      <c r="EB165" s="90">
        <f ca="1">_xlfn.IFNA(INDEX(武器升级消耗!$Q:$Q,MATCH(玩家节奏1!DX165,武器升级消耗!$H:$H,0))*2*EB$4,0)</f>
        <v>6.1499999999999995</v>
      </c>
      <c r="EC165" s="90">
        <f ca="1">_xlfn.IFNA(INDEX(武器升级消耗!$Q:$Q,MATCH(玩家节奏1!DY165,武器升级消耗!$H:$H,0))*2*EC$4,1)</f>
        <v>6.38</v>
      </c>
      <c r="ED165" s="90">
        <f>_xlfn.IFNA(INDEX(武器升级消耗!$Q:$Q,MATCH(玩家节奏1!DZ165,武器升级消耗!$H:$H,0))*2*ED$4,0)</f>
        <v>4.8000000000000007</v>
      </c>
    </row>
    <row r="166" spans="1:134" x14ac:dyDescent="0.25">
      <c r="A166" s="123">
        <v>160</v>
      </c>
      <c r="B166" s="123">
        <f>INDEX(关卡对比!$Y:$Y,MATCH(关卡对比!Z166,关卡对比!$AA:$AA,1))</f>
        <v>93</v>
      </c>
      <c r="C166" s="124">
        <f>INDEX(关卡对比!$Y:$Y,MATCH(关卡对比!Z166,关卡对比!$AB:$AB,1))</f>
        <v>71</v>
      </c>
      <c r="D166" s="125">
        <f t="shared" si="157"/>
        <v>941.5</v>
      </c>
      <c r="E166" s="125">
        <v>3</v>
      </c>
      <c r="F166" s="128">
        <v>5</v>
      </c>
      <c r="G166" s="90">
        <v>1</v>
      </c>
      <c r="H166" s="90">
        <v>1</v>
      </c>
      <c r="J166" s="128">
        <v>160</v>
      </c>
      <c r="K166" s="90">
        <f t="shared" si="164"/>
        <v>5</v>
      </c>
      <c r="L166" s="90">
        <f t="shared" si="165"/>
        <v>1</v>
      </c>
      <c r="M166" s="90">
        <f t="shared" si="166"/>
        <v>1</v>
      </c>
      <c r="N166" s="140">
        <f>INDEX($A:$A,MATCH(SUM($K$7:K166),$D:$D,1))</f>
        <v>138</v>
      </c>
      <c r="O166" s="140">
        <v>0</v>
      </c>
      <c r="P166" s="141">
        <v>0</v>
      </c>
      <c r="Q166" s="126">
        <f>_xlfn.MAXIFS(关卡产出!X:X,关卡产出!$A:$A,玩家节奏1!$N$6,关卡产出!$B:$B,玩家节奏1!$N166)+_xlfn.MAXIFS(关卡产出!X:X,关卡产出!$A:$A,玩家节奏1!$O$6,关卡产出!$B:$B,玩家节奏1!$O166)+_xlfn.MAXIFS(关卡产出!X:X,关卡产出!$A:$A,玩家节奏1!$P$6,关卡产出!$B:$B,玩家节奏1!$P166)</f>
        <v>26100</v>
      </c>
      <c r="R166" s="90">
        <f>_xlfn.MAXIFS(关卡产出!Y:Y,关卡产出!$A:$A,玩家节奏1!$N$6,关卡产出!$B:$B,玩家节奏1!$N166)+_xlfn.MAXIFS(关卡产出!Y:Y,关卡产出!$A:$A,玩家节奏1!$O$6,关卡产出!$B:$B,玩家节奏1!$O166)+_xlfn.MAXIFS(关卡产出!Y:Y,关卡产出!$A:$A,玩家节奏1!$P$6,关卡产出!$B:$B,玩家节奏1!$P166)</f>
        <v>5447200</v>
      </c>
      <c r="S166" s="90">
        <f>_xlfn.MAXIFS(关卡产出!Z:Z,关卡产出!$A:$A,玩家节奏1!$N$6,关卡产出!$B:$B,玩家节奏1!$N166)+_xlfn.MAXIFS(关卡产出!Z:Z,关卡产出!$A:$A,玩家节奏1!$O$6,关卡产出!$B:$B,玩家节奏1!$O166)+_xlfn.MAXIFS(关卡产出!Z:Z,关卡产出!$A:$A,玩家节奏1!$P$6,关卡产出!$B:$B,玩家节奏1!$P166)</f>
        <v>37326</v>
      </c>
      <c r="T166" s="90">
        <f>_xlfn.MAXIFS(关卡产出!AA:AA,关卡产出!$A:$A,玩家节奏1!$N$6,关卡产出!$B:$B,玩家节奏1!$N166)+_xlfn.MAXIFS(关卡产出!AA:AA,关卡产出!$A:$A,玩家节奏1!$O$6,关卡产出!$B:$B,玩家节奏1!$O166)+_xlfn.MAXIFS(关卡产出!AA:AA,关卡产出!$A:$A,玩家节奏1!$P$6,关卡产出!$B:$B,玩家节奏1!$P166)</f>
        <v>18664</v>
      </c>
      <c r="U166" s="90">
        <f>_xlfn.MAXIFS(关卡产出!AB:AB,关卡产出!$A:$A,玩家节奏1!$N$6,关卡产出!$B:$B,玩家节奏1!$N166)+_xlfn.MAXIFS(关卡产出!AB:AB,关卡产出!$A:$A,玩家节奏1!$O$6,关卡产出!$B:$B,玩家节奏1!$O166)+_xlfn.MAXIFS(关卡产出!AB:AB,关卡产出!$A:$A,玩家节奏1!$P$6,关卡产出!$B:$B,玩家节奏1!$P166)</f>
        <v>8914</v>
      </c>
      <c r="V166" s="130">
        <f>_xlfn.MAXIFS(关卡产出!AC:AC,关卡产出!$A:$A,玩家节奏1!$N$6,关卡产出!$B:$B,玩家节奏1!$N166)+_xlfn.MAXIFS(关卡产出!AC:AC,关卡产出!$A:$A,玩家节奏1!$O$6,关卡产出!$B:$B,玩家节奏1!$O166)+_xlfn.MAXIFS(关卡产出!AC:AC,关卡产出!$A:$A,玩家节奏1!$P$6,关卡产出!$B:$B,玩家节奏1!$P166)</f>
        <v>828</v>
      </c>
      <c r="W166" s="126">
        <f>INDEX(关卡产出!C$8:C$207,MATCH(玩家节奏1!$N166,关卡产出!$B$8:$B$207,0))*$K166</f>
        <v>545</v>
      </c>
      <c r="X166" s="126">
        <f>INDEX(关卡产出!D$8:D$207,MATCH(玩家节奏1!$N166,关卡产出!$B$8:$B$207,0))*$K166</f>
        <v>270</v>
      </c>
      <c r="Y166" s="126">
        <f>INDEX(关卡产出!E$8:E$207,MATCH(玩家节奏1!$N166,关卡产出!$B$8:$B$207,0))*$K166</f>
        <v>135</v>
      </c>
      <c r="Z166" s="144">
        <f>INDEX(关卡产出!F$8:F$207,MATCH(玩家节奏1!$N166,关卡产出!$B$8:$B$207,0))*$K166</f>
        <v>7150</v>
      </c>
      <c r="AA166" s="126">
        <f>SUM(W$7:W166)</f>
        <v>43566</v>
      </c>
      <c r="AB166" s="126">
        <f>SUM(X$7:X166)</f>
        <v>21616</v>
      </c>
      <c r="AC166" s="126">
        <f>SUM(Y$7:Y166)</f>
        <v>10352</v>
      </c>
      <c r="AD166" s="126">
        <f>SUM(Z$7:Z166)</f>
        <v>604960</v>
      </c>
      <c r="AE166" s="126">
        <f>INDEX(图鉴!AQ:AQ,MATCH($N166,图鉴!$S:$S,0))*8</f>
        <v>168</v>
      </c>
      <c r="AF166" s="90">
        <f>INDEX(图鉴!AR:AR,MATCH($N166,图鉴!$S:$S,0))*8</f>
        <v>120</v>
      </c>
      <c r="AG166" s="90">
        <f>INDEX(图鉴!AS:AS,MATCH($N166,图鉴!$S:$S,0))*8</f>
        <v>48</v>
      </c>
      <c r="AH166" s="129">
        <f ca="1">INDEX(图鉴!AT:AT,MATCH($N166,图鉴!$S:$S,0))*8</f>
        <v>10880</v>
      </c>
      <c r="AI166" s="128">
        <f>SUM($AE$7:AE166)</f>
        <v>24456</v>
      </c>
      <c r="AJ166" s="90">
        <f>SUM(AF$7:AF166)</f>
        <v>14920</v>
      </c>
      <c r="AK166" s="90">
        <f>SUM(AG$7:AG166)</f>
        <v>5288</v>
      </c>
      <c r="AL166" s="130">
        <f ca="1">SUM(AH$7:AH166)</f>
        <v>1185400</v>
      </c>
      <c r="AM166" s="133">
        <f>IF(M166=0,0,INDEX(关卡产出!$AU$11:$AU$15,MATCH(玩家节奏1!N166,关卡产出!$AW$11:$AW$15,1))*M166)</f>
        <v>12200</v>
      </c>
      <c r="AN166" s="126">
        <f>IF(L166=0,0,$L166*关卡产出!AU$21)</f>
        <v>1000</v>
      </c>
      <c r="AO166" s="90">
        <f>IF(M166=0,0,$L166*关卡产出!AV$21)</f>
        <v>50</v>
      </c>
      <c r="AP166" s="129">
        <f>IF(N166=0,0,$L166*关卡产出!AW$21)</f>
        <v>1</v>
      </c>
      <c r="AQ166" s="138">
        <f>SUM(AN$7:AN166)</f>
        <v>143000</v>
      </c>
      <c r="AR166" s="126">
        <f>SUM(AO$7:AO166)</f>
        <v>7150</v>
      </c>
      <c r="AS166" s="129">
        <f>SUM(AP$7:AP166)</f>
        <v>143</v>
      </c>
      <c r="AT166" s="128">
        <v>500</v>
      </c>
      <c r="AU166" s="129">
        <v>100</v>
      </c>
      <c r="AV166" s="128">
        <f>SUM(AT$7:AT166)</f>
        <v>80000</v>
      </c>
      <c r="AW166" s="90">
        <f>SUM(AU$7:AU166)</f>
        <v>16000</v>
      </c>
      <c r="AY166" s="128">
        <f t="shared" si="167"/>
        <v>26100</v>
      </c>
      <c r="AZ166" s="90">
        <f t="shared" si="168"/>
        <v>7150</v>
      </c>
      <c r="BA166" s="90">
        <f t="shared" si="169"/>
        <v>16000</v>
      </c>
      <c r="BB166" s="90">
        <f t="shared" ca="1" si="217"/>
        <v>12500</v>
      </c>
      <c r="BC166" s="90">
        <f t="shared" ca="1" si="218"/>
        <v>61750</v>
      </c>
      <c r="BD166" s="90"/>
      <c r="BE166" s="90">
        <f t="shared" ca="1" si="170"/>
        <v>61750</v>
      </c>
      <c r="BF166" s="142">
        <f t="shared" ca="1" si="171"/>
        <v>0.42267206477732794</v>
      </c>
      <c r="BG166" s="142">
        <f t="shared" ca="1" si="172"/>
        <v>0.11578947368421053</v>
      </c>
      <c r="BH166" s="142">
        <f t="shared" ca="1" si="173"/>
        <v>0.25910931174089069</v>
      </c>
      <c r="BI166" s="142">
        <f t="shared" ca="1" si="174"/>
        <v>0.20242914979757085</v>
      </c>
      <c r="BJ166" s="143"/>
      <c r="BK166" s="128">
        <f ca="1">INDEX(商城宝箱!$L:$L,MATCH(BC166,商城宝箱!$N:$N,1))</f>
        <v>10</v>
      </c>
      <c r="BL166" s="90">
        <f ca="1">_xlfn.IFNA(INDEX(商城宝箱!T:T,MATCH(玩家节奏1!$BK166,商城宝箱!$L:$L,0)),0)+($BC166-INDEX(商城宝箱!$N:$N,MATCH(玩家节奏1!$BK166,商城宝箱!$L:$L,0)))/$BK$5*INDEX(商城宝箱!E$23:E$42,MATCH(玩家节奏1!$BK166+1,商城宝箱!$C$23:$C$42,0))</f>
        <v>154375</v>
      </c>
      <c r="BM166" s="90">
        <f ca="1">_xlfn.IFNA(INDEX(商城宝箱!U:U,MATCH(玩家节奏1!$BK166,商城宝箱!$L:$L,0)),0)+($BC166-INDEX(商城宝箱!$N:$N,MATCH(玩家节奏1!$BK166,商城宝箱!$L:$L,0)))/$BK$5*INDEX(商城宝箱!F$23:F$42,MATCH(玩家节奏1!$BK166+1,商城宝箱!$C$23:$C$42,0))</f>
        <v>111542.5</v>
      </c>
      <c r="BN166" s="90">
        <f ca="1">_xlfn.IFNA(INDEX(商城宝箱!V:V,MATCH(玩家节奏1!$BK166,商城宝箱!$L:$L,0)),0)+($BC166-INDEX(商城宝箱!$N:$N,MATCH(玩家节奏1!$BK166,商城宝箱!$L:$L,0)))/$BK$5*INDEX(商城宝箱!G$23:G$42,MATCH(玩家节奏1!$BK166+1,商城宝箱!$C$23:$C$42,0))</f>
        <v>64612</v>
      </c>
      <c r="BO166" s="90">
        <f ca="1">_xlfn.IFNA(INDEX(商城宝箱!W:W,MATCH(玩家节奏1!$BK166,商城宝箱!$L:$L,0)),0)+($BC166-INDEX(商城宝箱!$N:$N,MATCH(玩家节奏1!$BK166,商城宝箱!$L:$L,0)))/$BK$5*INDEX(商城宝箱!H$23:H$42,MATCH(玩家节奏1!$BK166+1,商城宝箱!$C$23:$C$42,0))</f>
        <v>8894</v>
      </c>
      <c r="BQ166" s="128">
        <f t="shared" si="158"/>
        <v>5447200</v>
      </c>
      <c r="BR166" s="90">
        <f t="shared" si="159"/>
        <v>604960</v>
      </c>
      <c r="BS166" s="90">
        <f t="shared" ca="1" si="160"/>
        <v>1185400</v>
      </c>
      <c r="BT166" s="90">
        <f t="shared" si="161"/>
        <v>12200</v>
      </c>
      <c r="BU166" s="90">
        <f t="shared" si="162"/>
        <v>143000</v>
      </c>
      <c r="BV166" s="90">
        <f t="shared" si="163"/>
        <v>80000</v>
      </c>
      <c r="BW166" s="90">
        <f t="shared" ca="1" si="175"/>
        <v>154375</v>
      </c>
      <c r="BX166" s="90">
        <f t="shared" ca="1" si="176"/>
        <v>7627135</v>
      </c>
      <c r="BY166" s="142">
        <f t="shared" ca="1" si="177"/>
        <v>0.7141869129102868</v>
      </c>
      <c r="BZ166" s="142">
        <f t="shared" ca="1" si="178"/>
        <v>7.9316807687290186E-2</v>
      </c>
      <c r="CA166" s="142">
        <f t="shared" ca="1" si="179"/>
        <v>0.15541877782417646</v>
      </c>
      <c r="CB166" s="142">
        <f t="shared" ca="1" si="180"/>
        <v>1.5995521254048865E-3</v>
      </c>
      <c r="CC166" s="142">
        <f t="shared" ca="1" si="181"/>
        <v>1.874884868302449E-2</v>
      </c>
      <c r="CD166" s="142">
        <f t="shared" ca="1" si="182"/>
        <v>1.0488866396097618E-2</v>
      </c>
      <c r="CE166" s="142">
        <f t="shared" ca="1" si="183"/>
        <v>2.0240234373719621E-2</v>
      </c>
      <c r="CG166" s="128">
        <f t="shared" si="184"/>
        <v>138</v>
      </c>
      <c r="CH166" s="90">
        <f ca="1">INDEX(角色升级!$A:$A,MATCH(玩家节奏1!$BX166,角色升级!$J:$J,1))</f>
        <v>660</v>
      </c>
      <c r="CI166" s="90">
        <f ca="1">INDEX(角色升级!$O:$O,MATCH(玩家节奏1!$BX166,角色升级!$J:$J,1))</f>
        <v>34055.458989999999</v>
      </c>
      <c r="CJ166" s="90">
        <f>INDEX(关卡对比!$J:$J,MATCH(玩家节奏1!N166,关卡对比!$A:$A,0))</f>
        <v>55200</v>
      </c>
      <c r="CK166" s="147">
        <f t="shared" ca="1" si="185"/>
        <v>1.6208855096097474</v>
      </c>
      <c r="CL166" s="128">
        <f ca="1">INDEX(角色升级!$P:$P,MATCH(玩家节奏1!$CH166,角色升级!$A:$A,0))</f>
        <v>12500</v>
      </c>
      <c r="CM166" s="90">
        <f ca="1">INDEX(角色升级!Q:Q,MATCH(玩家节奏1!$CH166,角色升级!$A:$A,0))</f>
        <v>1.1000000000000001</v>
      </c>
      <c r="CO166" s="128">
        <f t="shared" si="186"/>
        <v>37326</v>
      </c>
      <c r="CP166" s="90">
        <f t="shared" si="187"/>
        <v>43566</v>
      </c>
      <c r="CQ166" s="90">
        <f t="shared" si="188"/>
        <v>24456</v>
      </c>
      <c r="CR166" s="90">
        <f t="shared" ca="1" si="189"/>
        <v>111542.5</v>
      </c>
      <c r="CS166" s="90">
        <f t="shared" ca="1" si="190"/>
        <v>216890.5</v>
      </c>
      <c r="CT166" s="142">
        <f t="shared" ca="1" si="191"/>
        <v>0.17209605768809608</v>
      </c>
      <c r="CU166" s="142">
        <f t="shared" ca="1" si="192"/>
        <v>0.20086633577773116</v>
      </c>
      <c r="CV166" s="142">
        <f t="shared" ca="1" si="193"/>
        <v>0.11275735912822368</v>
      </c>
      <c r="CW166" s="142">
        <f t="shared" ca="1" si="194"/>
        <v>0.51428024740594913</v>
      </c>
      <c r="CY166" s="128">
        <f t="shared" si="195"/>
        <v>18664</v>
      </c>
      <c r="CZ166" s="90">
        <f t="shared" si="196"/>
        <v>21616</v>
      </c>
      <c r="DA166" s="90">
        <f t="shared" si="197"/>
        <v>14920</v>
      </c>
      <c r="DB166" s="90">
        <f t="shared" ca="1" si="198"/>
        <v>64612</v>
      </c>
      <c r="DC166" s="90">
        <f t="shared" ca="1" si="199"/>
        <v>119812</v>
      </c>
      <c r="DD166" s="142">
        <f t="shared" ca="1" si="200"/>
        <v>0.15577738456915835</v>
      </c>
      <c r="DE166" s="142">
        <f t="shared" ca="1" si="201"/>
        <v>0.18041598504323439</v>
      </c>
      <c r="DF166" s="142">
        <f t="shared" ca="1" si="202"/>
        <v>0.12452842787033018</v>
      </c>
      <c r="DG166" s="142">
        <f t="shared" ca="1" si="203"/>
        <v>0.53927820251727709</v>
      </c>
      <c r="DI166" s="128">
        <f t="shared" si="204"/>
        <v>8914</v>
      </c>
      <c r="DJ166" s="90">
        <f t="shared" si="205"/>
        <v>10352</v>
      </c>
      <c r="DK166" s="90">
        <f t="shared" si="206"/>
        <v>5288</v>
      </c>
      <c r="DL166" s="90">
        <f t="shared" ca="1" si="207"/>
        <v>8894</v>
      </c>
      <c r="DM166" s="90">
        <f t="shared" ca="1" si="208"/>
        <v>33448</v>
      </c>
      <c r="DN166" s="142">
        <f t="shared" ca="1" si="209"/>
        <v>0.26650322889260941</v>
      </c>
      <c r="DO166" s="142">
        <f t="shared" ca="1" si="210"/>
        <v>0.30949533604400858</v>
      </c>
      <c r="DP166" s="142">
        <f t="shared" ca="1" si="211"/>
        <v>0.15809614924659171</v>
      </c>
      <c r="DQ166" s="142">
        <f t="shared" ca="1" si="212"/>
        <v>0.26590528581679024</v>
      </c>
      <c r="DS166" s="128">
        <f t="shared" ca="1" si="213"/>
        <v>216890.5</v>
      </c>
      <c r="DT166" s="90">
        <f t="shared" ca="1" si="214"/>
        <v>119812</v>
      </c>
      <c r="DU166" s="90">
        <f t="shared" ca="1" si="215"/>
        <v>33448</v>
      </c>
      <c r="DV166" s="90">
        <f t="shared" si="216"/>
        <v>143</v>
      </c>
      <c r="DW166" s="90">
        <f ca="1">_xlfn.IFNA(INDEX(武器升级消耗!$H:$H,MATCH(玩家节奏1!DS166/玩家节奏1!DS$5,武器升级消耗!M:M,1)),0)</f>
        <v>42</v>
      </c>
      <c r="DX166" s="90">
        <f ca="1">_xlfn.IFNA(INDEX(武器升级消耗!$H:$H,MATCH(玩家节奏1!DT166/玩家节奏1!DT$5,武器升级消耗!N:N,1)),0)</f>
        <v>37</v>
      </c>
      <c r="DY166" s="90">
        <f ca="1">_xlfn.IFNA(INDEX(武器升级消耗!$H:$H,MATCH(玩家节奏1!DU166/玩家节奏1!DU$5,武器升级消耗!O:O,1)),0)</f>
        <v>25</v>
      </c>
      <c r="DZ166" s="90">
        <f>_xlfn.IFNA(INDEX(武器升级消耗!$H:$H,MATCH(玩家节奏1!DV166/玩家节奏1!DV$5,武器升级消耗!P:P,1)),0)</f>
        <v>12</v>
      </c>
      <c r="EA166" s="90">
        <f ca="1">_xlfn.IFNA(INDEX(武器升级消耗!$Q:$Q,MATCH(玩家节奏1!DW166,武器升级消耗!$H:$H,0))*2*EA$4,0)</f>
        <v>5.52</v>
      </c>
      <c r="EB166" s="90">
        <f ca="1">_xlfn.IFNA(INDEX(武器升级消耗!$Q:$Q,MATCH(玩家节奏1!DX166,武器升级消耗!$H:$H,0))*2*EB$4,0)</f>
        <v>6.1499999999999995</v>
      </c>
      <c r="EC166" s="90">
        <f ca="1">_xlfn.IFNA(INDEX(武器升级消耗!$Q:$Q,MATCH(玩家节奏1!DY166,武器升级消耗!$H:$H,0))*2*EC$4,1)</f>
        <v>6.38</v>
      </c>
      <c r="ED166" s="90">
        <f>_xlfn.IFNA(INDEX(武器升级消耗!$Q:$Q,MATCH(玩家节奏1!DZ166,武器升级消耗!$H:$H,0))*2*ED$4,0)</f>
        <v>4.8000000000000007</v>
      </c>
    </row>
    <row r="167" spans="1:134" x14ac:dyDescent="0.25">
      <c r="A167" s="123">
        <v>161</v>
      </c>
      <c r="B167" s="123">
        <f>INDEX(关卡对比!$Y:$Y,MATCH(关卡对比!Z167,关卡对比!$AA:$AA,1))</f>
        <v>94</v>
      </c>
      <c r="C167" s="124">
        <f>INDEX(关卡对比!$Y:$Y,MATCH(关卡对比!Z167,关卡对比!$AB:$AB,1))</f>
        <v>72</v>
      </c>
      <c r="D167" s="125">
        <f t="shared" si="157"/>
        <v>950.5</v>
      </c>
      <c r="E167" s="125">
        <v>3</v>
      </c>
      <c r="F167" s="128">
        <v>5</v>
      </c>
      <c r="G167" s="90">
        <v>1</v>
      </c>
      <c r="H167" s="90">
        <v>1</v>
      </c>
      <c r="J167" s="128">
        <v>161</v>
      </c>
      <c r="K167" s="90">
        <f t="shared" si="164"/>
        <v>5</v>
      </c>
      <c r="L167" s="90">
        <f t="shared" si="165"/>
        <v>1</v>
      </c>
      <c r="M167" s="90">
        <f t="shared" si="166"/>
        <v>1</v>
      </c>
      <c r="N167" s="140">
        <f>INDEX($A:$A,MATCH(SUM($K$7:K167),$D:$D,1))</f>
        <v>139</v>
      </c>
      <c r="O167" s="140">
        <v>0</v>
      </c>
      <c r="P167" s="141">
        <v>0</v>
      </c>
      <c r="Q167" s="126">
        <f>_xlfn.MAXIFS(关卡产出!X:X,关卡产出!$A:$A,玩家节奏1!$N$6,关卡产出!$B:$B,玩家节奏1!$N167)+_xlfn.MAXIFS(关卡产出!X:X,关卡产出!$A:$A,玩家节奏1!$O$6,关卡产出!$B:$B,玩家节奏1!$O167)+_xlfn.MAXIFS(关卡产出!X:X,关卡产出!$A:$A,玩家节奏1!$P$6,关卡产出!$B:$B,玩家节奏1!$P167)</f>
        <v>26300</v>
      </c>
      <c r="R167" s="90">
        <f>_xlfn.MAXIFS(关卡产出!Y:Y,关卡产出!$A:$A,玩家节奏1!$N$6,关卡产出!$B:$B,玩家节奏1!$N167)+_xlfn.MAXIFS(关卡产出!Y:Y,关卡产出!$A:$A,玩家节奏1!$O$6,关卡产出!$B:$B,玩家节奏1!$O167)+_xlfn.MAXIFS(关卡产出!Y:Y,关卡产出!$A:$A,玩家节奏1!$P$6,关卡产出!$B:$B,玩家节奏1!$P167)</f>
        <v>5528300</v>
      </c>
      <c r="S167" s="90">
        <f>_xlfn.MAXIFS(关卡产出!Z:Z,关卡产出!$A:$A,玩家节奏1!$N$6,关卡产出!$B:$B,玩家节奏1!$N167)+_xlfn.MAXIFS(关卡产出!Z:Z,关卡产出!$A:$A,玩家节奏1!$O$6,关卡产出!$B:$B,玩家节奏1!$O167)+_xlfn.MAXIFS(关卡产出!Z:Z,关卡产出!$A:$A,玩家节奏1!$P$6,关卡产出!$B:$B,玩家节奏1!$P167)</f>
        <v>37874</v>
      </c>
      <c r="T167" s="90">
        <f>_xlfn.MAXIFS(关卡产出!AA:AA,关卡产出!$A:$A,玩家节奏1!$N$6,关卡产出!$B:$B,玩家节奏1!$N167)+_xlfn.MAXIFS(关卡产出!AA:AA,关卡产出!$A:$A,玩家节奏1!$O$6,关卡产出!$B:$B,玩家节奏1!$O167)+_xlfn.MAXIFS(关卡产出!AA:AA,关卡产出!$A:$A,玩家节奏1!$P$6,关卡产出!$B:$B,玩家节奏1!$P167)</f>
        <v>18938</v>
      </c>
      <c r="U167" s="90">
        <f>_xlfn.MAXIFS(关卡产出!AB:AB,关卡产出!$A:$A,玩家节奏1!$N$6,关卡产出!$B:$B,玩家节奏1!$N167)+_xlfn.MAXIFS(关卡产出!AB:AB,关卡产出!$A:$A,玩家节奏1!$O$6,关卡产出!$B:$B,玩家节奏1!$O167)+_xlfn.MAXIFS(关卡产出!AB:AB,关卡产出!$A:$A,玩家节奏1!$P$6,关卡产出!$B:$B,玩家节奏1!$P167)</f>
        <v>9048</v>
      </c>
      <c r="V167" s="130">
        <f>_xlfn.MAXIFS(关卡产出!AC:AC,关卡产出!$A:$A,玩家节奏1!$N$6,关卡产出!$B:$B,玩家节奏1!$N167)+_xlfn.MAXIFS(关卡产出!AC:AC,关卡产出!$A:$A,玩家节奏1!$O$6,关卡产出!$B:$B,玩家节奏1!$O167)+_xlfn.MAXIFS(关卡产出!AC:AC,关卡产出!$A:$A,玩家节奏1!$P$6,关卡产出!$B:$B,玩家节奏1!$P167)</f>
        <v>834</v>
      </c>
      <c r="W167" s="126">
        <f>INDEX(关卡产出!C$8:C$207,MATCH(玩家节奏1!$N167,关卡产出!$B$8:$B$207,0))*$K167</f>
        <v>550</v>
      </c>
      <c r="X167" s="126">
        <f>INDEX(关卡产出!D$8:D$207,MATCH(玩家节奏1!$N167,关卡产出!$B$8:$B$207,0))*$K167</f>
        <v>275</v>
      </c>
      <c r="Y167" s="126">
        <f>INDEX(关卡产出!E$8:E$207,MATCH(玩家节奏1!$N167,关卡产出!$B$8:$B$207,0))*$K167</f>
        <v>135</v>
      </c>
      <c r="Z167" s="144">
        <f>INDEX(关卡产出!F$8:F$207,MATCH(玩家节奏1!$N167,关卡产出!$B$8:$B$207,0))*$K167</f>
        <v>7250</v>
      </c>
      <c r="AA167" s="126">
        <f>SUM(W$7:W167)</f>
        <v>44116</v>
      </c>
      <c r="AB167" s="126">
        <f>SUM(X$7:X167)</f>
        <v>21891</v>
      </c>
      <c r="AC167" s="126">
        <f>SUM(Y$7:Y167)</f>
        <v>10487</v>
      </c>
      <c r="AD167" s="126">
        <f>SUM(Z$7:Z167)</f>
        <v>612210</v>
      </c>
      <c r="AE167" s="126">
        <f>INDEX(图鉴!AQ:AQ,MATCH($N167,图鉴!$S:$S,0))*8</f>
        <v>168</v>
      </c>
      <c r="AF167" s="90">
        <f>INDEX(图鉴!AR:AR,MATCH($N167,图鉴!$S:$S,0))*8</f>
        <v>120</v>
      </c>
      <c r="AG167" s="90">
        <f>INDEX(图鉴!AS:AS,MATCH($N167,图鉴!$S:$S,0))*8</f>
        <v>48</v>
      </c>
      <c r="AH167" s="129">
        <f ca="1">INDEX(图鉴!AT:AT,MATCH($N167,图鉴!$S:$S,0))*8</f>
        <v>10880</v>
      </c>
      <c r="AI167" s="128">
        <f>SUM($AE$7:AE167)</f>
        <v>24624</v>
      </c>
      <c r="AJ167" s="90">
        <f>SUM(AF$7:AF167)</f>
        <v>15040</v>
      </c>
      <c r="AK167" s="90">
        <f>SUM(AG$7:AG167)</f>
        <v>5336</v>
      </c>
      <c r="AL167" s="130">
        <f ca="1">SUM(AH$7:AH167)</f>
        <v>1196280</v>
      </c>
      <c r="AM167" s="133">
        <f>IF(M167=0,0,INDEX(关卡产出!$AU$11:$AU$15,MATCH(玩家节奏1!N167,关卡产出!$AW$11:$AW$15,1))*M167)</f>
        <v>12200</v>
      </c>
      <c r="AN167" s="126">
        <f>IF(L167=0,0,$L167*关卡产出!AU$21)</f>
        <v>1000</v>
      </c>
      <c r="AO167" s="90">
        <f>IF(M167=0,0,$L167*关卡产出!AV$21)</f>
        <v>50</v>
      </c>
      <c r="AP167" s="129">
        <f>IF(N167=0,0,$L167*关卡产出!AW$21)</f>
        <v>1</v>
      </c>
      <c r="AQ167" s="138">
        <f>SUM(AN$7:AN167)</f>
        <v>144000</v>
      </c>
      <c r="AR167" s="126">
        <f>SUM(AO$7:AO167)</f>
        <v>7200</v>
      </c>
      <c r="AS167" s="129">
        <f>SUM(AP$7:AP167)</f>
        <v>144</v>
      </c>
      <c r="AT167" s="128">
        <v>500</v>
      </c>
      <c r="AU167" s="129">
        <v>100</v>
      </c>
      <c r="AV167" s="128">
        <f>SUM(AT$7:AT167)</f>
        <v>80500</v>
      </c>
      <c r="AW167" s="90">
        <f>SUM(AU$7:AU167)</f>
        <v>16100</v>
      </c>
      <c r="AY167" s="128">
        <f t="shared" si="167"/>
        <v>26300</v>
      </c>
      <c r="AZ167" s="90">
        <f t="shared" si="168"/>
        <v>7200</v>
      </c>
      <c r="BA167" s="90">
        <f t="shared" si="169"/>
        <v>16100</v>
      </c>
      <c r="BB167" s="90">
        <f t="shared" ca="1" si="217"/>
        <v>12500</v>
      </c>
      <c r="BC167" s="90">
        <f t="shared" ca="1" si="218"/>
        <v>62100</v>
      </c>
      <c r="BD167" s="90"/>
      <c r="BE167" s="90">
        <f t="shared" ca="1" si="170"/>
        <v>62100</v>
      </c>
      <c r="BF167" s="142">
        <f t="shared" ca="1" si="171"/>
        <v>0.42351046698872785</v>
      </c>
      <c r="BG167" s="142">
        <f t="shared" ca="1" si="172"/>
        <v>0.11594202898550725</v>
      </c>
      <c r="BH167" s="142">
        <f t="shared" ca="1" si="173"/>
        <v>0.25925925925925924</v>
      </c>
      <c r="BI167" s="142">
        <f t="shared" ca="1" si="174"/>
        <v>0.20128824476650564</v>
      </c>
      <c r="BJ167" s="143"/>
      <c r="BK167" s="128">
        <f ca="1">INDEX(商城宝箱!$L:$L,MATCH(BC167,商城宝箱!$N:$N,1))</f>
        <v>10</v>
      </c>
      <c r="BL167" s="90">
        <f ca="1">_xlfn.IFNA(INDEX(商城宝箱!T:T,MATCH(玩家节奏1!$BK167,商城宝箱!$L:$L,0)),0)+($BC167-INDEX(商城宝箱!$N:$N,MATCH(玩家节奏1!$BK167,商城宝箱!$L:$L,0)))/$BK$5*INDEX(商城宝箱!E$23:E$42,MATCH(玩家节奏1!$BK167+1,商城宝箱!$C$23:$C$42,0))</f>
        <v>155250</v>
      </c>
      <c r="BM167" s="90">
        <f ca="1">_xlfn.IFNA(INDEX(商城宝箱!U:U,MATCH(玩家节奏1!$BK167,商城宝箱!$L:$L,0)),0)+($BC167-INDEX(商城宝箱!$N:$N,MATCH(玩家节奏1!$BK167,商城宝箱!$L:$L,0)))/$BK$5*INDEX(商城宝箱!F$23:F$42,MATCH(玩家节奏1!$BK167+1,商城宝箱!$C$23:$C$42,0))</f>
        <v>112662.5</v>
      </c>
      <c r="BN167" s="90">
        <f ca="1">_xlfn.IFNA(INDEX(商城宝箱!V:V,MATCH(玩家节奏1!$BK167,商城宝箱!$L:$L,0)),0)+($BC167-INDEX(商城宝箱!$N:$N,MATCH(玩家节奏1!$BK167,商城宝箱!$L:$L,0)))/$BK$5*INDEX(商城宝箱!G$23:G$42,MATCH(玩家节奏1!$BK167+1,商城宝箱!$C$23:$C$42,0))</f>
        <v>65137</v>
      </c>
      <c r="BO167" s="90">
        <f ca="1">_xlfn.IFNA(INDEX(商城宝箱!W:W,MATCH(玩家节奏1!$BK167,商城宝箱!$L:$L,0)),0)+($BC167-INDEX(商城宝箱!$N:$N,MATCH(玩家节奏1!$BK167,商城宝箱!$L:$L,0)))/$BK$5*INDEX(商城宝箱!H$23:H$42,MATCH(玩家节奏1!$BK167+1,商城宝箱!$C$23:$C$42,0))</f>
        <v>8981.5</v>
      </c>
      <c r="BQ167" s="128">
        <f t="shared" ref="BQ167:BQ198" si="219">R167</f>
        <v>5528300</v>
      </c>
      <c r="BR167" s="90">
        <f t="shared" ref="BR167:BR198" si="220">AD167</f>
        <v>612210</v>
      </c>
      <c r="BS167" s="90">
        <f t="shared" ref="BS167:BS198" ca="1" si="221">AL167</f>
        <v>1196280</v>
      </c>
      <c r="BT167" s="90">
        <f t="shared" ref="BT167:BT198" si="222">AM167</f>
        <v>12200</v>
      </c>
      <c r="BU167" s="90">
        <f t="shared" ref="BU167:BU198" si="223">AQ167</f>
        <v>144000</v>
      </c>
      <c r="BV167" s="90">
        <f t="shared" ref="BV167:BV198" si="224">AV167</f>
        <v>80500</v>
      </c>
      <c r="BW167" s="90">
        <f t="shared" ca="1" si="175"/>
        <v>155250</v>
      </c>
      <c r="BX167" s="90">
        <f t="shared" ca="1" si="176"/>
        <v>7728740</v>
      </c>
      <c r="BY167" s="142">
        <f t="shared" ca="1" si="177"/>
        <v>0.71529123764028801</v>
      </c>
      <c r="BZ167" s="142">
        <f t="shared" ca="1" si="178"/>
        <v>7.9212135483921059E-2</v>
      </c>
      <c r="CA167" s="142">
        <f t="shared" ca="1" si="179"/>
        <v>0.15478331526225492</v>
      </c>
      <c r="CB167" s="142">
        <f t="shared" ca="1" si="180"/>
        <v>1.5785237955992827E-3</v>
      </c>
      <c r="CC167" s="142">
        <f t="shared" ca="1" si="181"/>
        <v>1.8631756275925958E-2</v>
      </c>
      <c r="CD167" s="142">
        <f t="shared" ca="1" si="182"/>
        <v>1.0415669307028053E-2</v>
      </c>
      <c r="CE167" s="142">
        <f t="shared" ca="1" si="183"/>
        <v>2.0087362234982677E-2</v>
      </c>
      <c r="CG167" s="128">
        <f t="shared" si="184"/>
        <v>139</v>
      </c>
      <c r="CH167" s="90">
        <f ca="1">INDEX(角色升级!$A:$A,MATCH(玩家节奏1!$BX167,角色升级!$J:$J,1))</f>
        <v>662</v>
      </c>
      <c r="CI167" s="90">
        <f ca="1">INDEX(角色升级!$O:$O,MATCH(玩家节奏1!$BX167,角色升级!$J:$J,1))</f>
        <v>34664.075214999997</v>
      </c>
      <c r="CJ167" s="90">
        <f>INDEX(关卡对比!$J:$J,MATCH(玩家节奏1!N167,关卡对比!$A:$A,0))</f>
        <v>55700</v>
      </c>
      <c r="CK167" s="147">
        <f t="shared" ca="1" si="185"/>
        <v>1.6068508868194828</v>
      </c>
      <c r="CL167" s="128">
        <f ca="1">INDEX(角色升级!$P:$P,MATCH(玩家节奏1!$CH167,角色升级!$A:$A,0))</f>
        <v>12500</v>
      </c>
      <c r="CM167" s="90">
        <f ca="1">INDEX(角色升级!Q:Q,MATCH(玩家节奏1!$CH167,角色升级!$A:$A,0))</f>
        <v>1.1000000000000001</v>
      </c>
      <c r="CO167" s="128">
        <f t="shared" si="186"/>
        <v>37874</v>
      </c>
      <c r="CP167" s="90">
        <f t="shared" si="187"/>
        <v>44116</v>
      </c>
      <c r="CQ167" s="90">
        <f t="shared" si="188"/>
        <v>24624</v>
      </c>
      <c r="CR167" s="90">
        <f t="shared" ca="1" si="189"/>
        <v>112662.5</v>
      </c>
      <c r="CS167" s="90">
        <f t="shared" ca="1" si="190"/>
        <v>219276.5</v>
      </c>
      <c r="CT167" s="142">
        <f t="shared" ca="1" si="191"/>
        <v>0.17272256716976056</v>
      </c>
      <c r="CU167" s="142">
        <f t="shared" ca="1" si="192"/>
        <v>0.20118890989230492</v>
      </c>
      <c r="CV167" s="142">
        <f t="shared" ca="1" si="193"/>
        <v>0.11229657532840956</v>
      </c>
      <c r="CW167" s="142">
        <f t="shared" ca="1" si="194"/>
        <v>0.51379194760952496</v>
      </c>
      <c r="CY167" s="128">
        <f t="shared" si="195"/>
        <v>18938</v>
      </c>
      <c r="CZ167" s="90">
        <f t="shared" si="196"/>
        <v>21891</v>
      </c>
      <c r="DA167" s="90">
        <f t="shared" si="197"/>
        <v>15040</v>
      </c>
      <c r="DB167" s="90">
        <f t="shared" ca="1" si="198"/>
        <v>65137</v>
      </c>
      <c r="DC167" s="90">
        <f t="shared" ca="1" si="199"/>
        <v>121006</v>
      </c>
      <c r="DD167" s="142">
        <f t="shared" ca="1" si="200"/>
        <v>0.15650463613374543</v>
      </c>
      <c r="DE167" s="142">
        <f t="shared" ca="1" si="201"/>
        <v>0.18090838470819628</v>
      </c>
      <c r="DF167" s="142">
        <f t="shared" ca="1" si="202"/>
        <v>0.12429135745334942</v>
      </c>
      <c r="DG167" s="142">
        <f t="shared" ca="1" si="203"/>
        <v>0.5382956217047089</v>
      </c>
      <c r="DI167" s="128">
        <f t="shared" si="204"/>
        <v>9048</v>
      </c>
      <c r="DJ167" s="90">
        <f t="shared" si="205"/>
        <v>10487</v>
      </c>
      <c r="DK167" s="90">
        <f t="shared" si="206"/>
        <v>5336</v>
      </c>
      <c r="DL167" s="90">
        <f t="shared" ca="1" si="207"/>
        <v>8981.5</v>
      </c>
      <c r="DM167" s="90">
        <f t="shared" ca="1" si="208"/>
        <v>33852.5</v>
      </c>
      <c r="DN167" s="142">
        <f t="shared" ca="1" si="209"/>
        <v>0.26727715826009896</v>
      </c>
      <c r="DO167" s="142">
        <f t="shared" ca="1" si="210"/>
        <v>0.30978509711247321</v>
      </c>
      <c r="DP167" s="142">
        <f t="shared" ca="1" si="211"/>
        <v>0.15762499076877631</v>
      </c>
      <c r="DQ167" s="142">
        <f t="shared" ca="1" si="212"/>
        <v>0.2653127538586515</v>
      </c>
      <c r="DS167" s="128">
        <f t="shared" ca="1" si="213"/>
        <v>219276.5</v>
      </c>
      <c r="DT167" s="90">
        <f t="shared" ca="1" si="214"/>
        <v>121006</v>
      </c>
      <c r="DU167" s="90">
        <f t="shared" ca="1" si="215"/>
        <v>33852.5</v>
      </c>
      <c r="DV167" s="90">
        <f t="shared" si="216"/>
        <v>144</v>
      </c>
      <c r="DW167" s="90">
        <f ca="1">_xlfn.IFNA(INDEX(武器升级消耗!$H:$H,MATCH(玩家节奏1!DS167/玩家节奏1!DS$5,武器升级消耗!M:M,1)),0)</f>
        <v>42</v>
      </c>
      <c r="DX167" s="90">
        <f ca="1">_xlfn.IFNA(INDEX(武器升级消耗!$H:$H,MATCH(玩家节奏1!DT167/玩家节奏1!DT$5,武器升级消耗!N:N,1)),0)</f>
        <v>37</v>
      </c>
      <c r="DY167" s="90">
        <f ca="1">_xlfn.IFNA(INDEX(武器升级消耗!$H:$H,MATCH(玩家节奏1!DU167/玩家节奏1!DU$5,武器升级消耗!O:O,1)),0)</f>
        <v>26</v>
      </c>
      <c r="DZ167" s="90">
        <f>_xlfn.IFNA(INDEX(武器升级消耗!$H:$H,MATCH(玩家节奏1!DV167/玩家节奏1!DV$5,武器升级消耗!P:P,1)),0)</f>
        <v>12</v>
      </c>
      <c r="EA167" s="90">
        <f ca="1">_xlfn.IFNA(INDEX(武器升级消耗!$Q:$Q,MATCH(玩家节奏1!DW167,武器升级消耗!$H:$H,0))*2*EA$4,0)</f>
        <v>5.52</v>
      </c>
      <c r="EB167" s="90">
        <f ca="1">_xlfn.IFNA(INDEX(武器升级消耗!$Q:$Q,MATCH(玩家节奏1!DX167,武器升级消耗!$H:$H,0))*2*EB$4,0)</f>
        <v>6.1499999999999995</v>
      </c>
      <c r="EC167" s="90">
        <f ca="1">_xlfn.IFNA(INDEX(武器升级消耗!$Q:$Q,MATCH(玩家节奏1!DY167,武器升级消耗!$H:$H,0))*2*EC$4,1)</f>
        <v>6.6000000000000005</v>
      </c>
      <c r="ED167" s="90">
        <f>_xlfn.IFNA(INDEX(武器升级消耗!$Q:$Q,MATCH(玩家节奏1!DZ167,武器升级消耗!$H:$H,0))*2*ED$4,0)</f>
        <v>4.8000000000000007</v>
      </c>
    </row>
    <row r="168" spans="1:134" x14ac:dyDescent="0.25">
      <c r="A168" s="123">
        <v>162</v>
      </c>
      <c r="B168" s="123">
        <f>INDEX(关卡对比!$Y:$Y,MATCH(关卡对比!Z168,关卡对比!$AA:$AA,1))</f>
        <v>94</v>
      </c>
      <c r="C168" s="124">
        <f>INDEX(关卡对比!$Y:$Y,MATCH(关卡对比!Z168,关卡对比!$AB:$AB,1))</f>
        <v>72</v>
      </c>
      <c r="D168" s="125">
        <f t="shared" si="157"/>
        <v>953.5</v>
      </c>
      <c r="E168" s="125">
        <v>3</v>
      </c>
      <c r="F168" s="128">
        <v>5</v>
      </c>
      <c r="G168" s="90">
        <v>1</v>
      </c>
      <c r="H168" s="90">
        <v>1</v>
      </c>
      <c r="J168" s="128">
        <v>162</v>
      </c>
      <c r="K168" s="90">
        <f t="shared" ref="K168:K199" si="225">INDEX($F:$F,MATCH(N167,$A:$A,0))</f>
        <v>5</v>
      </c>
      <c r="L168" s="90">
        <f t="shared" ref="L168:L199" si="226">INDEX($G:$G,MATCH(N167,$A:$A,0))</f>
        <v>1</v>
      </c>
      <c r="M168" s="90">
        <f t="shared" ref="M168:M199" si="227">INDEX($H:$H,MATCH(N167,$A:$A,0))</f>
        <v>1</v>
      </c>
      <c r="N168" s="140">
        <f>INDEX($A:$A,MATCH(SUM($K$7:K168),$D:$D,1))</f>
        <v>140</v>
      </c>
      <c r="O168" s="140">
        <v>0</v>
      </c>
      <c r="P168" s="141">
        <v>0</v>
      </c>
      <c r="Q168" s="126">
        <f>_xlfn.MAXIFS(关卡产出!X:X,关卡产出!$A:$A,玩家节奏1!$N$6,关卡产出!$B:$B,玩家节奏1!$N168)+_xlfn.MAXIFS(关卡产出!X:X,关卡产出!$A:$A,玩家节奏1!$O$6,关卡产出!$B:$B,玩家节奏1!$O168)+_xlfn.MAXIFS(关卡产出!X:X,关卡产出!$A:$A,玩家节奏1!$P$6,关卡产出!$B:$B,玩家节奏1!$P168)</f>
        <v>26500</v>
      </c>
      <c r="R168" s="90">
        <f>_xlfn.MAXIFS(关卡产出!Y:Y,关卡产出!$A:$A,玩家节奏1!$N$6,关卡产出!$B:$B,玩家节奏1!$N168)+_xlfn.MAXIFS(关卡产出!Y:Y,关卡产出!$A:$A,玩家节奏1!$O$6,关卡产出!$B:$B,玩家节奏1!$O168)+_xlfn.MAXIFS(关卡产出!Y:Y,关卡产出!$A:$A,玩家节奏1!$P$6,关卡产出!$B:$B,玩家节奏1!$P168)</f>
        <v>5610000</v>
      </c>
      <c r="S168" s="90">
        <f>_xlfn.MAXIFS(关卡产出!Z:Z,关卡产出!$A:$A,玩家节奏1!$N$6,关卡产出!$B:$B,玩家节奏1!$N168)+_xlfn.MAXIFS(关卡产出!Z:Z,关卡产出!$A:$A,玩家节奏1!$O$6,关卡产出!$B:$B,玩家节奏1!$O168)+_xlfn.MAXIFS(关卡产出!Z:Z,关卡产出!$A:$A,玩家节奏1!$P$6,关卡产出!$B:$B,玩家节奏1!$P168)</f>
        <v>38426</v>
      </c>
      <c r="T168" s="90">
        <f>_xlfn.MAXIFS(关卡产出!AA:AA,关卡产出!$A:$A,玩家节奏1!$N$6,关卡产出!$B:$B,玩家节奏1!$N168)+_xlfn.MAXIFS(关卡产出!AA:AA,关卡产出!$A:$A,玩家节奏1!$O$6,关卡产出!$B:$B,玩家节奏1!$O168)+_xlfn.MAXIFS(关卡产出!AA:AA,关卡产出!$A:$A,玩家节奏1!$P$6,关卡产出!$B:$B,玩家节奏1!$P168)</f>
        <v>19214</v>
      </c>
      <c r="U168" s="90">
        <f>_xlfn.MAXIFS(关卡产出!AB:AB,关卡产出!$A:$A,玩家节奏1!$N$6,关卡产出!$B:$B,玩家节奏1!$N168)+_xlfn.MAXIFS(关卡产出!AB:AB,关卡产出!$A:$A,玩家节奏1!$O$6,关卡产出!$B:$B,玩家节奏1!$O168)+_xlfn.MAXIFS(关卡产出!AB:AB,关卡产出!$A:$A,玩家节奏1!$P$6,关卡产出!$B:$B,玩家节奏1!$P168)</f>
        <v>9183</v>
      </c>
      <c r="V168" s="130">
        <f>_xlfn.MAXIFS(关卡产出!AC:AC,关卡产出!$A:$A,玩家节奏1!$N$6,关卡产出!$B:$B,玩家节奏1!$N168)+_xlfn.MAXIFS(关卡产出!AC:AC,关卡产出!$A:$A,玩家节奏1!$O$6,关卡产出!$B:$B,玩家节奏1!$O168)+_xlfn.MAXIFS(关卡产出!AC:AC,关卡产出!$A:$A,玩家节奏1!$P$6,关卡产出!$B:$B,玩家节奏1!$P168)</f>
        <v>840</v>
      </c>
      <c r="W168" s="126">
        <f>INDEX(关卡产出!C$8:C$207,MATCH(玩家节奏1!$N168,关卡产出!$B$8:$B$207,0))*$K168</f>
        <v>550</v>
      </c>
      <c r="X168" s="126">
        <f>INDEX(关卡产出!D$8:D$207,MATCH(玩家节奏1!$N168,关卡产出!$B$8:$B$207,0))*$K168</f>
        <v>275</v>
      </c>
      <c r="Y168" s="126">
        <f>INDEX(关卡产出!E$8:E$207,MATCH(玩家节奏1!$N168,关卡产出!$B$8:$B$207,0))*$K168</f>
        <v>135</v>
      </c>
      <c r="Z168" s="144">
        <f>INDEX(关卡产出!F$8:F$207,MATCH(玩家节奏1!$N168,关卡产出!$B$8:$B$207,0))*$K168</f>
        <v>7250</v>
      </c>
      <c r="AA168" s="126">
        <f>SUM(W$7:W168)</f>
        <v>44666</v>
      </c>
      <c r="AB168" s="126">
        <f>SUM(X$7:X168)</f>
        <v>22166</v>
      </c>
      <c r="AC168" s="126">
        <f>SUM(Y$7:Y168)</f>
        <v>10622</v>
      </c>
      <c r="AD168" s="126">
        <f>SUM(Z$7:Z168)</f>
        <v>619460</v>
      </c>
      <c r="AE168" s="126">
        <f>INDEX(图鉴!AQ:AQ,MATCH($N168,图鉴!$S:$S,0))*8</f>
        <v>168</v>
      </c>
      <c r="AF168" s="90">
        <f>INDEX(图鉴!AR:AR,MATCH($N168,图鉴!$S:$S,0))*8</f>
        <v>120</v>
      </c>
      <c r="AG168" s="90">
        <f>INDEX(图鉴!AS:AS,MATCH($N168,图鉴!$S:$S,0))*8</f>
        <v>48</v>
      </c>
      <c r="AH168" s="129">
        <f ca="1">INDEX(图鉴!AT:AT,MATCH($N168,图鉴!$S:$S,0))*8</f>
        <v>11400</v>
      </c>
      <c r="AI168" s="128">
        <f>SUM($AE$7:AE168)</f>
        <v>24792</v>
      </c>
      <c r="AJ168" s="90">
        <f>SUM(AF$7:AF168)</f>
        <v>15160</v>
      </c>
      <c r="AK168" s="90">
        <f>SUM(AG$7:AG168)</f>
        <v>5384</v>
      </c>
      <c r="AL168" s="130">
        <f ca="1">SUM(AH$7:AH168)</f>
        <v>1207680</v>
      </c>
      <c r="AM168" s="133">
        <f>IF(M168=0,0,INDEX(关卡产出!$AU$11:$AU$15,MATCH(玩家节奏1!N168,关卡产出!$AW$11:$AW$15,1))*M168)</f>
        <v>12200</v>
      </c>
      <c r="AN168" s="126">
        <f>IF(L168=0,0,$L168*关卡产出!AU$21)</f>
        <v>1000</v>
      </c>
      <c r="AO168" s="90">
        <f>IF(M168=0,0,$L168*关卡产出!AV$21)</f>
        <v>50</v>
      </c>
      <c r="AP168" s="129">
        <f>IF(N168=0,0,$L168*关卡产出!AW$21)</f>
        <v>1</v>
      </c>
      <c r="AQ168" s="138">
        <f>SUM(AN$7:AN168)</f>
        <v>145000</v>
      </c>
      <c r="AR168" s="126">
        <f>SUM(AO$7:AO168)</f>
        <v>7250</v>
      </c>
      <c r="AS168" s="129">
        <f>SUM(AP$7:AP168)</f>
        <v>145</v>
      </c>
      <c r="AT168" s="128">
        <v>500</v>
      </c>
      <c r="AU168" s="129">
        <v>100</v>
      </c>
      <c r="AV168" s="128">
        <f>SUM(AT$7:AT168)</f>
        <v>81000</v>
      </c>
      <c r="AW168" s="90">
        <f>SUM(AU$7:AU168)</f>
        <v>16200</v>
      </c>
      <c r="AY168" s="128">
        <f t="shared" si="167"/>
        <v>26500</v>
      </c>
      <c r="AZ168" s="90">
        <f t="shared" si="168"/>
        <v>7250</v>
      </c>
      <c r="BA168" s="90">
        <f t="shared" si="169"/>
        <v>16200</v>
      </c>
      <c r="BB168" s="90">
        <f t="shared" ca="1" si="217"/>
        <v>12500</v>
      </c>
      <c r="BC168" s="90">
        <f t="shared" ca="1" si="218"/>
        <v>62450</v>
      </c>
      <c r="BD168" s="90"/>
      <c r="BE168" s="90">
        <f t="shared" ca="1" si="170"/>
        <v>62450</v>
      </c>
      <c r="BF168" s="142">
        <f t="shared" ca="1" si="171"/>
        <v>0.42433947157726182</v>
      </c>
      <c r="BG168" s="142">
        <f t="shared" ca="1" si="172"/>
        <v>0.11609287429943956</v>
      </c>
      <c r="BH168" s="142">
        <f t="shared" ref="BH168:BH199" ca="1" si="228">BA168/$BC168</f>
        <v>0.25940752602081663</v>
      </c>
      <c r="BI168" s="142">
        <f t="shared" ref="BI168:BI199" ca="1" si="229">BB168/$BC168</f>
        <v>0.20016012810248199</v>
      </c>
      <c r="BJ168" s="143"/>
      <c r="BK168" s="128">
        <f ca="1">INDEX(商城宝箱!$L:$L,MATCH(BC168,商城宝箱!$N:$N,1))</f>
        <v>10</v>
      </c>
      <c r="BL168" s="90">
        <f ca="1">_xlfn.IFNA(INDEX(商城宝箱!T:T,MATCH(玩家节奏1!$BK168,商城宝箱!$L:$L,0)),0)+($BC168-INDEX(商城宝箱!$N:$N,MATCH(玩家节奏1!$BK168,商城宝箱!$L:$L,0)))/$BK$5*INDEX(商城宝箱!E$23:E$42,MATCH(玩家节奏1!$BK168+1,商城宝箱!$C$23:$C$42,0))</f>
        <v>156125</v>
      </c>
      <c r="BM168" s="90">
        <f ca="1">_xlfn.IFNA(INDEX(商城宝箱!U:U,MATCH(玩家节奏1!$BK168,商城宝箱!$L:$L,0)),0)+($BC168-INDEX(商城宝箱!$N:$N,MATCH(玩家节奏1!$BK168,商城宝箱!$L:$L,0)))/$BK$5*INDEX(商城宝箱!F$23:F$42,MATCH(玩家节奏1!$BK168+1,商城宝箱!$C$23:$C$42,0))</f>
        <v>113782.5</v>
      </c>
      <c r="BN168" s="90">
        <f ca="1">_xlfn.IFNA(INDEX(商城宝箱!V:V,MATCH(玩家节奏1!$BK168,商城宝箱!$L:$L,0)),0)+($BC168-INDEX(商城宝箱!$N:$N,MATCH(玩家节奏1!$BK168,商城宝箱!$L:$L,0)))/$BK$5*INDEX(商城宝箱!G$23:G$42,MATCH(玩家节奏1!$BK168+1,商城宝箱!$C$23:$C$42,0))</f>
        <v>65662</v>
      </c>
      <c r="BO168" s="90">
        <f ca="1">_xlfn.IFNA(INDEX(商城宝箱!W:W,MATCH(玩家节奏1!$BK168,商城宝箱!$L:$L,0)),0)+($BC168-INDEX(商城宝箱!$N:$N,MATCH(玩家节奏1!$BK168,商城宝箱!$L:$L,0)))/$BK$5*INDEX(商城宝箱!H$23:H$42,MATCH(玩家节奏1!$BK168+1,商城宝箱!$C$23:$C$42,0))</f>
        <v>9069</v>
      </c>
      <c r="BQ168" s="128">
        <f t="shared" si="219"/>
        <v>5610000</v>
      </c>
      <c r="BR168" s="90">
        <f t="shared" si="220"/>
        <v>619460</v>
      </c>
      <c r="BS168" s="90">
        <f t="shared" ca="1" si="221"/>
        <v>1207680</v>
      </c>
      <c r="BT168" s="90">
        <f t="shared" si="222"/>
        <v>12200</v>
      </c>
      <c r="BU168" s="90">
        <f t="shared" si="223"/>
        <v>145000</v>
      </c>
      <c r="BV168" s="90">
        <f t="shared" si="224"/>
        <v>81000</v>
      </c>
      <c r="BW168" s="90">
        <f t="shared" ca="1" si="175"/>
        <v>156125</v>
      </c>
      <c r="BX168" s="90">
        <f t="shared" ca="1" si="176"/>
        <v>7831465</v>
      </c>
      <c r="BY168" s="142">
        <f t="shared" ca="1" si="177"/>
        <v>0.71634106773126105</v>
      </c>
      <c r="BZ168" s="142">
        <f t="shared" ca="1" si="178"/>
        <v>7.9098865920999462E-2</v>
      </c>
      <c r="CA168" s="142">
        <f t="shared" ca="1" si="179"/>
        <v>0.15420869530796599</v>
      </c>
      <c r="CB168" s="142">
        <f t="shared" ca="1" si="180"/>
        <v>1.5578183647631701E-3</v>
      </c>
      <c r="CC168" s="142">
        <f t="shared" ca="1" si="181"/>
        <v>1.8515054335299971E-2</v>
      </c>
      <c r="CD168" s="142">
        <f t="shared" ca="1" si="182"/>
        <v>1.034289242178826E-2</v>
      </c>
      <c r="CE168" s="142">
        <f t="shared" ca="1" si="183"/>
        <v>1.9935605917922126E-2</v>
      </c>
      <c r="CG168" s="128">
        <f t="shared" si="184"/>
        <v>140</v>
      </c>
      <c r="CH168" s="90">
        <f ca="1">INDEX(角色升级!$A:$A,MATCH(玩家节奏1!$BX168,角色升级!$J:$J,1))</f>
        <v>664</v>
      </c>
      <c r="CI168" s="90">
        <f ca="1">INDEX(角色升级!$O:$O,MATCH(玩家节奏1!$BX168,角色升级!$J:$J,1))</f>
        <v>35286.216244999996</v>
      </c>
      <c r="CJ168" s="90">
        <f>INDEX(关卡对比!$J:$J,MATCH(玩家节奏1!N168,关卡对比!$A:$A,0))</f>
        <v>56200</v>
      </c>
      <c r="CK168" s="147">
        <f t="shared" ca="1" si="185"/>
        <v>1.5926898936908107</v>
      </c>
      <c r="CL168" s="128">
        <f ca="1">INDEX(角色升级!$P:$P,MATCH(玩家节奏1!$CH168,角色升级!$A:$A,0))</f>
        <v>12500</v>
      </c>
      <c r="CM168" s="90">
        <f ca="1">INDEX(角色升级!Q:Q,MATCH(玩家节奏1!$CH168,角色升级!$A:$A,0))</f>
        <v>1.1000000000000001</v>
      </c>
      <c r="CO168" s="128">
        <f t="shared" si="186"/>
        <v>38426</v>
      </c>
      <c r="CP168" s="90">
        <f t="shared" si="187"/>
        <v>44666</v>
      </c>
      <c r="CQ168" s="90">
        <f t="shared" si="188"/>
        <v>24792</v>
      </c>
      <c r="CR168" s="90">
        <f t="shared" ca="1" si="189"/>
        <v>113782.5</v>
      </c>
      <c r="CS168" s="90">
        <f t="shared" ca="1" si="190"/>
        <v>221666.5</v>
      </c>
      <c r="CT168" s="142">
        <f t="shared" ca="1" si="191"/>
        <v>0.17335050627857615</v>
      </c>
      <c r="CU168" s="142">
        <f t="shared" ca="1" si="192"/>
        <v>0.20150090338413787</v>
      </c>
      <c r="CV168" s="142">
        <f t="shared" ca="1" si="193"/>
        <v>0.11184369311555874</v>
      </c>
      <c r="CW168" s="142">
        <f t="shared" ca="1" si="194"/>
        <v>0.51330489722172723</v>
      </c>
      <c r="CY168" s="128">
        <f t="shared" si="195"/>
        <v>19214</v>
      </c>
      <c r="CZ168" s="90">
        <f t="shared" si="196"/>
        <v>22166</v>
      </c>
      <c r="DA168" s="90">
        <f t="shared" si="197"/>
        <v>15160</v>
      </c>
      <c r="DB168" s="90">
        <f t="shared" ca="1" si="198"/>
        <v>65662</v>
      </c>
      <c r="DC168" s="90">
        <f t="shared" ca="1" si="199"/>
        <v>122202</v>
      </c>
      <c r="DD168" s="142">
        <f t="shared" ca="1" si="200"/>
        <v>0.15723146920672329</v>
      </c>
      <c r="DE168" s="142">
        <f t="shared" ca="1" si="201"/>
        <v>0.18138819331925829</v>
      </c>
      <c r="DF168" s="142">
        <f t="shared" ca="1" si="202"/>
        <v>0.12405688941261191</v>
      </c>
      <c r="DG168" s="142">
        <f t="shared" ca="1" si="203"/>
        <v>0.53732344806140653</v>
      </c>
      <c r="DI168" s="128">
        <f t="shared" si="204"/>
        <v>9183</v>
      </c>
      <c r="DJ168" s="90">
        <f t="shared" si="205"/>
        <v>10622</v>
      </c>
      <c r="DK168" s="90">
        <f t="shared" si="206"/>
        <v>5384</v>
      </c>
      <c r="DL168" s="90">
        <f t="shared" ca="1" si="207"/>
        <v>9069</v>
      </c>
      <c r="DM168" s="90">
        <f t="shared" ca="1" si="208"/>
        <v>34258</v>
      </c>
      <c r="DN168" s="142">
        <f t="shared" ca="1" si="209"/>
        <v>0.26805417712651058</v>
      </c>
      <c r="DO168" s="142">
        <f t="shared" ca="1" si="210"/>
        <v>0.3100589643294997</v>
      </c>
      <c r="DP168" s="142">
        <f t="shared" ca="1" si="211"/>
        <v>0.15716037130013427</v>
      </c>
      <c r="DQ168" s="142">
        <f t="shared" ca="1" si="212"/>
        <v>0.26472648724385545</v>
      </c>
      <c r="DS168" s="128">
        <f t="shared" ca="1" si="213"/>
        <v>221666.5</v>
      </c>
      <c r="DT168" s="90">
        <f t="shared" ca="1" si="214"/>
        <v>122202</v>
      </c>
      <c r="DU168" s="90">
        <f t="shared" ca="1" si="215"/>
        <v>34258</v>
      </c>
      <c r="DV168" s="90">
        <f t="shared" si="216"/>
        <v>145</v>
      </c>
      <c r="DW168" s="90">
        <f ca="1">_xlfn.IFNA(INDEX(武器升级消耗!$H:$H,MATCH(玩家节奏1!DS168/玩家节奏1!DS$5,武器升级消耗!M:M,1)),0)</f>
        <v>42</v>
      </c>
      <c r="DX168" s="90">
        <f ca="1">_xlfn.IFNA(INDEX(武器升级消耗!$H:$H,MATCH(玩家节奏1!DT168/玩家节奏1!DT$5,武器升级消耗!N:N,1)),0)</f>
        <v>37</v>
      </c>
      <c r="DY168" s="90">
        <f ca="1">_xlfn.IFNA(INDEX(武器升级消耗!$H:$H,MATCH(玩家节奏1!DU168/玩家节奏1!DU$5,武器升级消耗!O:O,1)),0)</f>
        <v>26</v>
      </c>
      <c r="DZ168" s="90">
        <f>_xlfn.IFNA(INDEX(武器升级消耗!$H:$H,MATCH(玩家节奏1!DV168/玩家节奏1!DV$5,武器升级消耗!P:P,1)),0)</f>
        <v>12</v>
      </c>
      <c r="EA168" s="90">
        <f ca="1">_xlfn.IFNA(INDEX(武器升级消耗!$Q:$Q,MATCH(玩家节奏1!DW168,武器升级消耗!$H:$H,0))*2*EA$4,0)</f>
        <v>5.52</v>
      </c>
      <c r="EB168" s="90">
        <f ca="1">_xlfn.IFNA(INDEX(武器升级消耗!$Q:$Q,MATCH(玩家节奏1!DX168,武器升级消耗!$H:$H,0))*2*EB$4,0)</f>
        <v>6.1499999999999995</v>
      </c>
      <c r="EC168" s="90">
        <f ca="1">_xlfn.IFNA(INDEX(武器升级消耗!$Q:$Q,MATCH(玩家节奏1!DY168,武器升级消耗!$H:$H,0))*2*EC$4,1)</f>
        <v>6.6000000000000005</v>
      </c>
      <c r="ED168" s="90">
        <f>_xlfn.IFNA(INDEX(武器升级消耗!$Q:$Q,MATCH(玩家节奏1!DZ168,武器升级消耗!$H:$H,0))*2*ED$4,0)</f>
        <v>4.8000000000000007</v>
      </c>
    </row>
    <row r="169" spans="1:134" x14ac:dyDescent="0.25">
      <c r="A169" s="123">
        <v>163</v>
      </c>
      <c r="B169" s="123">
        <f>INDEX(关卡对比!$Y:$Y,MATCH(关卡对比!Z169,关卡对比!$AA:$AA,1))</f>
        <v>95</v>
      </c>
      <c r="C169" s="124">
        <f>INDEX(关卡对比!$Y:$Y,MATCH(关卡对比!Z169,关卡对比!$AB:$AB,1))</f>
        <v>72</v>
      </c>
      <c r="D169" s="125">
        <f t="shared" si="157"/>
        <v>959.5</v>
      </c>
      <c r="E169" s="125">
        <v>3</v>
      </c>
      <c r="F169" s="128">
        <v>5</v>
      </c>
      <c r="G169" s="90">
        <v>1</v>
      </c>
      <c r="H169" s="90">
        <v>1</v>
      </c>
      <c r="J169" s="128">
        <v>163</v>
      </c>
      <c r="K169" s="90">
        <f t="shared" si="225"/>
        <v>5</v>
      </c>
      <c r="L169" s="90">
        <f t="shared" si="226"/>
        <v>1</v>
      </c>
      <c r="M169" s="90">
        <f t="shared" si="227"/>
        <v>1</v>
      </c>
      <c r="N169" s="140">
        <f>INDEX($A:$A,MATCH(SUM($K$7:K169),$D:$D,1))</f>
        <v>140</v>
      </c>
      <c r="O169" s="140">
        <v>0</v>
      </c>
      <c r="P169" s="141">
        <v>0</v>
      </c>
      <c r="Q169" s="126">
        <f>_xlfn.MAXIFS(关卡产出!X:X,关卡产出!$A:$A,玩家节奏1!$N$6,关卡产出!$B:$B,玩家节奏1!$N169)+_xlfn.MAXIFS(关卡产出!X:X,关卡产出!$A:$A,玩家节奏1!$O$6,关卡产出!$B:$B,玩家节奏1!$O169)+_xlfn.MAXIFS(关卡产出!X:X,关卡产出!$A:$A,玩家节奏1!$P$6,关卡产出!$B:$B,玩家节奏1!$P169)</f>
        <v>26500</v>
      </c>
      <c r="R169" s="90">
        <f>_xlfn.MAXIFS(关卡产出!Y:Y,关卡产出!$A:$A,玩家节奏1!$N$6,关卡产出!$B:$B,玩家节奏1!$N169)+_xlfn.MAXIFS(关卡产出!Y:Y,关卡产出!$A:$A,玩家节奏1!$O$6,关卡产出!$B:$B,玩家节奏1!$O169)+_xlfn.MAXIFS(关卡产出!Y:Y,关卡产出!$A:$A,玩家节奏1!$P$6,关卡产出!$B:$B,玩家节奏1!$P169)</f>
        <v>5610000</v>
      </c>
      <c r="S169" s="90">
        <f>_xlfn.MAXIFS(关卡产出!Z:Z,关卡产出!$A:$A,玩家节奏1!$N$6,关卡产出!$B:$B,玩家节奏1!$N169)+_xlfn.MAXIFS(关卡产出!Z:Z,关卡产出!$A:$A,玩家节奏1!$O$6,关卡产出!$B:$B,玩家节奏1!$O169)+_xlfn.MAXIFS(关卡产出!Z:Z,关卡产出!$A:$A,玩家节奏1!$P$6,关卡产出!$B:$B,玩家节奏1!$P169)</f>
        <v>38426</v>
      </c>
      <c r="T169" s="90">
        <f>_xlfn.MAXIFS(关卡产出!AA:AA,关卡产出!$A:$A,玩家节奏1!$N$6,关卡产出!$B:$B,玩家节奏1!$N169)+_xlfn.MAXIFS(关卡产出!AA:AA,关卡产出!$A:$A,玩家节奏1!$O$6,关卡产出!$B:$B,玩家节奏1!$O169)+_xlfn.MAXIFS(关卡产出!AA:AA,关卡产出!$A:$A,玩家节奏1!$P$6,关卡产出!$B:$B,玩家节奏1!$P169)</f>
        <v>19214</v>
      </c>
      <c r="U169" s="90">
        <f>_xlfn.MAXIFS(关卡产出!AB:AB,关卡产出!$A:$A,玩家节奏1!$N$6,关卡产出!$B:$B,玩家节奏1!$N169)+_xlfn.MAXIFS(关卡产出!AB:AB,关卡产出!$A:$A,玩家节奏1!$O$6,关卡产出!$B:$B,玩家节奏1!$O169)+_xlfn.MAXIFS(关卡产出!AB:AB,关卡产出!$A:$A,玩家节奏1!$P$6,关卡产出!$B:$B,玩家节奏1!$P169)</f>
        <v>9183</v>
      </c>
      <c r="V169" s="130">
        <f>_xlfn.MAXIFS(关卡产出!AC:AC,关卡产出!$A:$A,玩家节奏1!$N$6,关卡产出!$B:$B,玩家节奏1!$N169)+_xlfn.MAXIFS(关卡产出!AC:AC,关卡产出!$A:$A,玩家节奏1!$O$6,关卡产出!$B:$B,玩家节奏1!$O169)+_xlfn.MAXIFS(关卡产出!AC:AC,关卡产出!$A:$A,玩家节奏1!$P$6,关卡产出!$B:$B,玩家节奏1!$P169)</f>
        <v>840</v>
      </c>
      <c r="W169" s="126">
        <f>INDEX(关卡产出!C$8:C$207,MATCH(玩家节奏1!$N169,关卡产出!$B$8:$B$207,0))*$K169</f>
        <v>550</v>
      </c>
      <c r="X169" s="126">
        <f>INDEX(关卡产出!D$8:D$207,MATCH(玩家节奏1!$N169,关卡产出!$B$8:$B$207,0))*$K169</f>
        <v>275</v>
      </c>
      <c r="Y169" s="126">
        <f>INDEX(关卡产出!E$8:E$207,MATCH(玩家节奏1!$N169,关卡产出!$B$8:$B$207,0))*$K169</f>
        <v>135</v>
      </c>
      <c r="Z169" s="144">
        <f>INDEX(关卡产出!F$8:F$207,MATCH(玩家节奏1!$N169,关卡产出!$B$8:$B$207,0))*$K169</f>
        <v>7250</v>
      </c>
      <c r="AA169" s="126">
        <f>SUM(W$7:W169)</f>
        <v>45216</v>
      </c>
      <c r="AB169" s="126">
        <f>SUM(X$7:X169)</f>
        <v>22441</v>
      </c>
      <c r="AC169" s="126">
        <f>SUM(Y$7:Y169)</f>
        <v>10757</v>
      </c>
      <c r="AD169" s="126">
        <f>SUM(Z$7:Z169)</f>
        <v>626710</v>
      </c>
      <c r="AE169" s="126">
        <f>INDEX(图鉴!AQ:AQ,MATCH($N169,图鉴!$S:$S,0))*8</f>
        <v>168</v>
      </c>
      <c r="AF169" s="90">
        <f>INDEX(图鉴!AR:AR,MATCH($N169,图鉴!$S:$S,0))*8</f>
        <v>120</v>
      </c>
      <c r="AG169" s="90">
        <f>INDEX(图鉴!AS:AS,MATCH($N169,图鉴!$S:$S,0))*8</f>
        <v>48</v>
      </c>
      <c r="AH169" s="129">
        <f ca="1">INDEX(图鉴!AT:AT,MATCH($N169,图鉴!$S:$S,0))*8</f>
        <v>11400</v>
      </c>
      <c r="AI169" s="128">
        <f>SUM($AE$7:AE169)</f>
        <v>24960</v>
      </c>
      <c r="AJ169" s="90">
        <f>SUM(AF$7:AF169)</f>
        <v>15280</v>
      </c>
      <c r="AK169" s="90">
        <f>SUM(AG$7:AG169)</f>
        <v>5432</v>
      </c>
      <c r="AL169" s="130">
        <f ca="1">SUM(AH$7:AH169)</f>
        <v>1219080</v>
      </c>
      <c r="AM169" s="133">
        <f>IF(M169=0,0,INDEX(关卡产出!$AU$11:$AU$15,MATCH(玩家节奏1!N169,关卡产出!$AW$11:$AW$15,1))*M169)</f>
        <v>12200</v>
      </c>
      <c r="AN169" s="126">
        <f>IF(L169=0,0,$L169*关卡产出!AU$21)</f>
        <v>1000</v>
      </c>
      <c r="AO169" s="90">
        <f>IF(M169=0,0,$L169*关卡产出!AV$21)</f>
        <v>50</v>
      </c>
      <c r="AP169" s="129">
        <f>IF(N169=0,0,$L169*关卡产出!AW$21)</f>
        <v>1</v>
      </c>
      <c r="AQ169" s="138">
        <f>SUM(AN$7:AN169)</f>
        <v>146000</v>
      </c>
      <c r="AR169" s="126">
        <f>SUM(AO$7:AO169)</f>
        <v>7300</v>
      </c>
      <c r="AS169" s="129">
        <f>SUM(AP$7:AP169)</f>
        <v>146</v>
      </c>
      <c r="AT169" s="128">
        <v>500</v>
      </c>
      <c r="AU169" s="129">
        <v>100</v>
      </c>
      <c r="AV169" s="128">
        <f>SUM(AT$7:AT169)</f>
        <v>81500</v>
      </c>
      <c r="AW169" s="90">
        <f>SUM(AU$7:AU169)</f>
        <v>16300</v>
      </c>
      <c r="AY169" s="128">
        <f t="shared" si="167"/>
        <v>26500</v>
      </c>
      <c r="AZ169" s="90">
        <f t="shared" si="168"/>
        <v>7300</v>
      </c>
      <c r="BA169" s="90">
        <f t="shared" si="169"/>
        <v>16300</v>
      </c>
      <c r="BB169" s="90">
        <f t="shared" ca="1" si="217"/>
        <v>12500</v>
      </c>
      <c r="BC169" s="90">
        <f t="shared" ca="1" si="218"/>
        <v>62600</v>
      </c>
      <c r="BD169" s="90"/>
      <c r="BE169" s="90">
        <f t="shared" ca="1" si="170"/>
        <v>62600</v>
      </c>
      <c r="BF169" s="142">
        <f t="shared" ca="1" si="171"/>
        <v>0.42332268370607029</v>
      </c>
      <c r="BG169" s="142">
        <f t="shared" ca="1" si="172"/>
        <v>0.11661341853035144</v>
      </c>
      <c r="BH169" s="142">
        <f t="shared" ca="1" si="228"/>
        <v>0.26038338658146964</v>
      </c>
      <c r="BI169" s="142">
        <f t="shared" ca="1" si="229"/>
        <v>0.19968051118210864</v>
      </c>
      <c r="BJ169" s="143"/>
      <c r="BK169" s="128">
        <f ca="1">INDEX(商城宝箱!$L:$L,MATCH(BC169,商城宝箱!$N:$N,1))</f>
        <v>10</v>
      </c>
      <c r="BL169" s="90">
        <f ca="1">_xlfn.IFNA(INDEX(商城宝箱!T:T,MATCH(玩家节奏1!$BK169,商城宝箱!$L:$L,0)),0)+($BC169-INDEX(商城宝箱!$N:$N,MATCH(玩家节奏1!$BK169,商城宝箱!$L:$L,0)))/$BK$5*INDEX(商城宝箱!E$23:E$42,MATCH(玩家节奏1!$BK169+1,商城宝箱!$C$23:$C$42,0))</f>
        <v>156500</v>
      </c>
      <c r="BM169" s="90">
        <f ca="1">_xlfn.IFNA(INDEX(商城宝箱!U:U,MATCH(玩家节奏1!$BK169,商城宝箱!$L:$L,0)),0)+($BC169-INDEX(商城宝箱!$N:$N,MATCH(玩家节奏1!$BK169,商城宝箱!$L:$L,0)))/$BK$5*INDEX(商城宝箱!F$23:F$42,MATCH(玩家节奏1!$BK169+1,商城宝箱!$C$23:$C$42,0))</f>
        <v>114262.5</v>
      </c>
      <c r="BN169" s="90">
        <f ca="1">_xlfn.IFNA(INDEX(商城宝箱!V:V,MATCH(玩家节奏1!$BK169,商城宝箱!$L:$L,0)),0)+($BC169-INDEX(商城宝箱!$N:$N,MATCH(玩家节奏1!$BK169,商城宝箱!$L:$L,0)))/$BK$5*INDEX(商城宝箱!G$23:G$42,MATCH(玩家节奏1!$BK169+1,商城宝箱!$C$23:$C$42,0))</f>
        <v>65887</v>
      </c>
      <c r="BO169" s="90">
        <f ca="1">_xlfn.IFNA(INDEX(商城宝箱!W:W,MATCH(玩家节奏1!$BK169,商城宝箱!$L:$L,0)),0)+($BC169-INDEX(商城宝箱!$N:$N,MATCH(玩家节奏1!$BK169,商城宝箱!$L:$L,0)))/$BK$5*INDEX(商城宝箱!H$23:H$42,MATCH(玩家节奏1!$BK169+1,商城宝箱!$C$23:$C$42,0))</f>
        <v>9106.5</v>
      </c>
      <c r="BQ169" s="128">
        <f t="shared" si="219"/>
        <v>5610000</v>
      </c>
      <c r="BR169" s="90">
        <f t="shared" si="220"/>
        <v>626710</v>
      </c>
      <c r="BS169" s="90">
        <f t="shared" ca="1" si="221"/>
        <v>1219080</v>
      </c>
      <c r="BT169" s="90">
        <f t="shared" si="222"/>
        <v>12200</v>
      </c>
      <c r="BU169" s="90">
        <f t="shared" si="223"/>
        <v>146000</v>
      </c>
      <c r="BV169" s="90">
        <f t="shared" si="224"/>
        <v>81500</v>
      </c>
      <c r="BW169" s="90">
        <f t="shared" ca="1" si="175"/>
        <v>156500</v>
      </c>
      <c r="BX169" s="90">
        <f t="shared" ca="1" si="176"/>
        <v>7851990</v>
      </c>
      <c r="BY169" s="142">
        <f t="shared" ca="1" si="177"/>
        <v>0.71446856147295146</v>
      </c>
      <c r="BZ169" s="142">
        <f t="shared" ca="1" si="178"/>
        <v>7.9815435322765318E-2</v>
      </c>
      <c r="CA169" s="142">
        <f t="shared" ca="1" si="179"/>
        <v>0.1552574570268174</v>
      </c>
      <c r="CB169" s="142">
        <f t="shared" ca="1" si="180"/>
        <v>1.5537462477664898E-3</v>
      </c>
      <c r="CC169" s="142">
        <f t="shared" ca="1" si="181"/>
        <v>1.8594012473271106E-2</v>
      </c>
      <c r="CD169" s="142">
        <f t="shared" ca="1" si="182"/>
        <v>1.0379534360079419E-2</v>
      </c>
      <c r="CE169" s="142">
        <f t="shared" ca="1" si="183"/>
        <v>1.9931253096348824E-2</v>
      </c>
      <c r="CG169" s="128">
        <f t="shared" si="184"/>
        <v>140</v>
      </c>
      <c r="CH169" s="90">
        <f ca="1">INDEX(角色升级!$A:$A,MATCH(玩家节奏1!$BX169,角色升级!$J:$J,1))</f>
        <v>665</v>
      </c>
      <c r="CI169" s="90">
        <f ca="1">INDEX(角色升级!$O:$O,MATCH(玩家节奏1!$BX169,角色升级!$J:$J,1))</f>
        <v>35597.286760000003</v>
      </c>
      <c r="CJ169" s="90">
        <f>INDEX(关卡对比!$J:$J,MATCH(玩家节奏1!N169,关卡对比!$A:$A,0))</f>
        <v>56200</v>
      </c>
      <c r="CK169" s="147">
        <f t="shared" ca="1" si="185"/>
        <v>1.5787720108812022</v>
      </c>
      <c r="CL169" s="128">
        <f ca="1">INDEX(角色升级!$P:$P,MATCH(玩家节奏1!$CH169,角色升级!$A:$A,0))</f>
        <v>12500</v>
      </c>
      <c r="CM169" s="90">
        <f ca="1">INDEX(角色升级!Q:Q,MATCH(玩家节奏1!$CH169,角色升级!$A:$A,0))</f>
        <v>1.1000000000000001</v>
      </c>
      <c r="CO169" s="128">
        <f t="shared" si="186"/>
        <v>38426</v>
      </c>
      <c r="CP169" s="90">
        <f t="shared" si="187"/>
        <v>45216</v>
      </c>
      <c r="CQ169" s="90">
        <f t="shared" si="188"/>
        <v>24960</v>
      </c>
      <c r="CR169" s="90">
        <f t="shared" ca="1" si="189"/>
        <v>114262.5</v>
      </c>
      <c r="CS169" s="90">
        <f t="shared" ca="1" si="190"/>
        <v>222864.5</v>
      </c>
      <c r="CT169" s="142">
        <f t="shared" ca="1" si="191"/>
        <v>0.17241866694785396</v>
      </c>
      <c r="CU169" s="142">
        <f t="shared" ca="1" si="192"/>
        <v>0.20288560986608456</v>
      </c>
      <c r="CV169" s="142">
        <f t="shared" ca="1" si="193"/>
        <v>0.11199630268616133</v>
      </c>
      <c r="CW169" s="142">
        <f t="shared" ca="1" si="194"/>
        <v>0.51269942049990014</v>
      </c>
      <c r="CY169" s="128">
        <f t="shared" si="195"/>
        <v>19214</v>
      </c>
      <c r="CZ169" s="90">
        <f t="shared" si="196"/>
        <v>22441</v>
      </c>
      <c r="DA169" s="90">
        <f t="shared" si="197"/>
        <v>15280</v>
      </c>
      <c r="DB169" s="90">
        <f t="shared" ca="1" si="198"/>
        <v>65887</v>
      </c>
      <c r="DC169" s="90">
        <f t="shared" ca="1" si="199"/>
        <v>122822</v>
      </c>
      <c r="DD169" s="142">
        <f t="shared" ca="1" si="200"/>
        <v>0.15643777173470552</v>
      </c>
      <c r="DE169" s="142">
        <f t="shared" ca="1" si="201"/>
        <v>0.18271156633176466</v>
      </c>
      <c r="DF169" s="142">
        <f t="shared" ca="1" si="202"/>
        <v>0.12440767940596961</v>
      </c>
      <c r="DG169" s="142">
        <f t="shared" ca="1" si="203"/>
        <v>0.53644298252756017</v>
      </c>
      <c r="DI169" s="128">
        <f t="shared" si="204"/>
        <v>9183</v>
      </c>
      <c r="DJ169" s="90">
        <f t="shared" si="205"/>
        <v>10757</v>
      </c>
      <c r="DK169" s="90">
        <f t="shared" si="206"/>
        <v>5432</v>
      </c>
      <c r="DL169" s="90">
        <f t="shared" ca="1" si="207"/>
        <v>9106.5</v>
      </c>
      <c r="DM169" s="90">
        <f t="shared" ca="1" si="208"/>
        <v>34478.5</v>
      </c>
      <c r="DN169" s="142">
        <f t="shared" ca="1" si="209"/>
        <v>0.26633989297678262</v>
      </c>
      <c r="DO169" s="142">
        <f t="shared" ca="1" si="210"/>
        <v>0.31199153095407284</v>
      </c>
      <c r="DP169" s="142">
        <f t="shared" ca="1" si="211"/>
        <v>0.15754745711095319</v>
      </c>
      <c r="DQ169" s="142">
        <f t="shared" ca="1" si="212"/>
        <v>0.26412111895819135</v>
      </c>
      <c r="DS169" s="128">
        <f t="shared" ca="1" si="213"/>
        <v>222864.5</v>
      </c>
      <c r="DT169" s="90">
        <f t="shared" ca="1" si="214"/>
        <v>122822</v>
      </c>
      <c r="DU169" s="90">
        <f t="shared" ca="1" si="215"/>
        <v>34478.5</v>
      </c>
      <c r="DV169" s="90">
        <f t="shared" si="216"/>
        <v>146</v>
      </c>
      <c r="DW169" s="90">
        <f ca="1">_xlfn.IFNA(INDEX(武器升级消耗!$H:$H,MATCH(玩家节奏1!DS169/玩家节奏1!DS$5,武器升级消耗!M:M,1)),0)</f>
        <v>42</v>
      </c>
      <c r="DX169" s="90">
        <f ca="1">_xlfn.IFNA(INDEX(武器升级消耗!$H:$H,MATCH(玩家节奏1!DT169/玩家节奏1!DT$5,武器升级消耗!N:N,1)),0)</f>
        <v>37</v>
      </c>
      <c r="DY169" s="90">
        <f ca="1">_xlfn.IFNA(INDEX(武器升级消耗!$H:$H,MATCH(玩家节奏1!DU169/玩家节奏1!DU$5,武器升级消耗!O:O,1)),0)</f>
        <v>26</v>
      </c>
      <c r="DZ169" s="90">
        <f>_xlfn.IFNA(INDEX(武器升级消耗!$H:$H,MATCH(玩家节奏1!DV169/玩家节奏1!DV$5,武器升级消耗!P:P,1)),0)</f>
        <v>13</v>
      </c>
      <c r="EA169" s="90">
        <f ca="1">_xlfn.IFNA(INDEX(武器升级消耗!$Q:$Q,MATCH(玩家节奏1!DW169,武器升级消耗!$H:$H,0))*2*EA$4,0)</f>
        <v>5.52</v>
      </c>
      <c r="EB169" s="90">
        <f ca="1">_xlfn.IFNA(INDEX(武器升级消耗!$Q:$Q,MATCH(玩家节奏1!DX169,武器升级消耗!$H:$H,0))*2*EB$4,0)</f>
        <v>6.1499999999999995</v>
      </c>
      <c r="EC169" s="90">
        <f ca="1">_xlfn.IFNA(INDEX(武器升级消耗!$Q:$Q,MATCH(玩家节奏1!DY169,武器升级消耗!$H:$H,0))*2*EC$4,1)</f>
        <v>6.6000000000000005</v>
      </c>
      <c r="ED169" s="90">
        <f>_xlfn.IFNA(INDEX(武器升级消耗!$Q:$Q,MATCH(玩家节奏1!DZ169,武器升级消耗!$H:$H,0))*2*ED$4,0)</f>
        <v>5.0999999999999996</v>
      </c>
    </row>
    <row r="170" spans="1:134" x14ac:dyDescent="0.25">
      <c r="A170" s="123">
        <v>164</v>
      </c>
      <c r="B170" s="123">
        <f>INDEX(关卡对比!$Y:$Y,MATCH(关卡对比!Z170,关卡对比!$AA:$AA,1))</f>
        <v>95</v>
      </c>
      <c r="C170" s="124">
        <f>INDEX(关卡对比!$Y:$Y,MATCH(关卡对比!Z170,关卡对比!$AB:$AB,1))</f>
        <v>73</v>
      </c>
      <c r="D170" s="125">
        <f t="shared" si="157"/>
        <v>965.5</v>
      </c>
      <c r="E170" s="125">
        <v>3</v>
      </c>
      <c r="F170" s="128">
        <v>5</v>
      </c>
      <c r="G170" s="90">
        <v>1</v>
      </c>
      <c r="H170" s="90">
        <v>1</v>
      </c>
      <c r="J170" s="128">
        <v>164</v>
      </c>
      <c r="K170" s="90">
        <f t="shared" si="225"/>
        <v>5</v>
      </c>
      <c r="L170" s="90">
        <f t="shared" si="226"/>
        <v>1</v>
      </c>
      <c r="M170" s="90">
        <f t="shared" si="227"/>
        <v>1</v>
      </c>
      <c r="N170" s="140">
        <f>INDEX($A:$A,MATCH(SUM($K$7:K170),$D:$D,1))</f>
        <v>142</v>
      </c>
      <c r="O170" s="140">
        <v>0</v>
      </c>
      <c r="P170" s="141">
        <v>0</v>
      </c>
      <c r="Q170" s="126">
        <f>_xlfn.MAXIFS(关卡产出!X:X,关卡产出!$A:$A,玩家节奏1!$N$6,关卡产出!$B:$B,玩家节奏1!$N170)+_xlfn.MAXIFS(关卡产出!X:X,关卡产出!$A:$A,玩家节奏1!$O$6,关卡产出!$B:$B,玩家节奏1!$O170)+_xlfn.MAXIFS(关卡产出!X:X,关卡产出!$A:$A,玩家节奏1!$P$6,关卡产出!$B:$B,玩家节奏1!$P170)</f>
        <v>26900</v>
      </c>
      <c r="R170" s="90">
        <f>_xlfn.MAXIFS(关卡产出!Y:Y,关卡产出!$A:$A,玩家节奏1!$N$6,关卡产出!$B:$B,玩家节奏1!$N170)+_xlfn.MAXIFS(关卡产出!Y:Y,关卡产出!$A:$A,玩家节奏1!$O$6,关卡产出!$B:$B,玩家节奏1!$O170)+_xlfn.MAXIFS(关卡产出!Y:Y,关卡产出!$A:$A,玩家节奏1!$P$6,关卡产出!$B:$B,玩家节奏1!$P170)</f>
        <v>5775200</v>
      </c>
      <c r="S170" s="90">
        <f>_xlfn.MAXIFS(关卡产出!Z:Z,关卡产出!$A:$A,玩家节奏1!$N$6,关卡产出!$B:$B,玩家节奏1!$N170)+_xlfn.MAXIFS(关卡产出!Z:Z,关卡产出!$A:$A,玩家节奏1!$O$6,关卡产出!$B:$B,玩家节奏1!$O170)+_xlfn.MAXIFS(关卡产出!Z:Z,关卡产出!$A:$A,玩家节奏1!$P$6,关卡产出!$B:$B,玩家节奏1!$P170)</f>
        <v>39542</v>
      </c>
      <c r="T170" s="90">
        <f>_xlfn.MAXIFS(关卡产出!AA:AA,关卡产出!$A:$A,玩家节奏1!$N$6,关卡产出!$B:$B,玩家节奏1!$N170)+_xlfn.MAXIFS(关卡产出!AA:AA,关卡产出!$A:$A,玩家节奏1!$O$6,关卡产出!$B:$B,玩家节奏1!$O170)+_xlfn.MAXIFS(关卡产出!AA:AA,关卡产出!$A:$A,玩家节奏1!$P$6,关卡产出!$B:$B,玩家节奏1!$P170)</f>
        <v>19772</v>
      </c>
      <c r="U170" s="90">
        <f>_xlfn.MAXIFS(关卡产出!AB:AB,关卡产出!$A:$A,玩家节奏1!$N$6,关卡产出!$B:$B,玩家节奏1!$N170)+_xlfn.MAXIFS(关卡产出!AB:AB,关卡产出!$A:$A,玩家节奏1!$O$6,关卡产出!$B:$B,玩家节奏1!$O170)+_xlfn.MAXIFS(关卡产出!AB:AB,关卡产出!$A:$A,玩家节奏1!$P$6,关卡产出!$B:$B,玩家节奏1!$P170)</f>
        <v>9456</v>
      </c>
      <c r="V170" s="130">
        <f>_xlfn.MAXIFS(关卡产出!AC:AC,关卡产出!$A:$A,玩家节奏1!$N$6,关卡产出!$B:$B,玩家节奏1!$N170)+_xlfn.MAXIFS(关卡产出!AC:AC,关卡产出!$A:$A,玩家节奏1!$O$6,关卡产出!$B:$B,玩家节奏1!$O170)+_xlfn.MAXIFS(关卡产出!AC:AC,关卡产出!$A:$A,玩家节奏1!$P$6,关卡产出!$B:$B,玩家节奏1!$P170)</f>
        <v>852</v>
      </c>
      <c r="W170" s="126">
        <f>INDEX(关卡产出!C$8:C$207,MATCH(玩家节奏1!$N170,关卡产出!$B$8:$B$207,0))*$K170</f>
        <v>560</v>
      </c>
      <c r="X170" s="126">
        <f>INDEX(关卡产出!D$8:D$207,MATCH(玩家节奏1!$N170,关卡产出!$B$8:$B$207,0))*$K170</f>
        <v>280</v>
      </c>
      <c r="Y170" s="126">
        <f>INDEX(关卡产出!E$8:E$207,MATCH(玩家节奏1!$N170,关卡产出!$B$8:$B$207,0))*$K170</f>
        <v>135</v>
      </c>
      <c r="Z170" s="144">
        <f>INDEX(关卡产出!F$8:F$207,MATCH(玩家节奏1!$N170,关卡产出!$B$8:$B$207,0))*$K170</f>
        <v>7350</v>
      </c>
      <c r="AA170" s="126">
        <f>SUM(W$7:W170)</f>
        <v>45776</v>
      </c>
      <c r="AB170" s="126">
        <f>SUM(X$7:X170)</f>
        <v>22721</v>
      </c>
      <c r="AC170" s="126">
        <f>SUM(Y$7:Y170)</f>
        <v>10892</v>
      </c>
      <c r="AD170" s="126">
        <f>SUM(Z$7:Z170)</f>
        <v>634060</v>
      </c>
      <c r="AE170" s="126">
        <f>INDEX(图鉴!AQ:AQ,MATCH($N170,图鉴!$S:$S,0))*8</f>
        <v>168</v>
      </c>
      <c r="AF170" s="90">
        <f>INDEX(图鉴!AR:AR,MATCH($N170,图鉴!$S:$S,0))*8</f>
        <v>120</v>
      </c>
      <c r="AG170" s="90">
        <f>INDEX(图鉴!AS:AS,MATCH($N170,图鉴!$S:$S,0))*8</f>
        <v>48</v>
      </c>
      <c r="AH170" s="129">
        <f ca="1">INDEX(图鉴!AT:AT,MATCH($N170,图鉴!$S:$S,0))*8</f>
        <v>11400</v>
      </c>
      <c r="AI170" s="128">
        <f>SUM($AE$7:AE170)</f>
        <v>25128</v>
      </c>
      <c r="AJ170" s="90">
        <f>SUM(AF$7:AF170)</f>
        <v>15400</v>
      </c>
      <c r="AK170" s="90">
        <f>SUM(AG$7:AG170)</f>
        <v>5480</v>
      </c>
      <c r="AL170" s="130">
        <f ca="1">SUM(AH$7:AH170)</f>
        <v>1230480</v>
      </c>
      <c r="AM170" s="133">
        <f>IF(M170=0,0,INDEX(关卡产出!$AU$11:$AU$15,MATCH(玩家节奏1!N170,关卡产出!$AW$11:$AW$15,1))*M170)</f>
        <v>12200</v>
      </c>
      <c r="AN170" s="126">
        <f>IF(L170=0,0,$L170*关卡产出!AU$21)</f>
        <v>1000</v>
      </c>
      <c r="AO170" s="90">
        <f>IF(M170=0,0,$L170*关卡产出!AV$21)</f>
        <v>50</v>
      </c>
      <c r="AP170" s="129">
        <f>IF(N170=0,0,$L170*关卡产出!AW$21)</f>
        <v>1</v>
      </c>
      <c r="AQ170" s="138">
        <f>SUM(AN$7:AN170)</f>
        <v>147000</v>
      </c>
      <c r="AR170" s="126">
        <f>SUM(AO$7:AO170)</f>
        <v>7350</v>
      </c>
      <c r="AS170" s="129">
        <f>SUM(AP$7:AP170)</f>
        <v>147</v>
      </c>
      <c r="AT170" s="128">
        <v>500</v>
      </c>
      <c r="AU170" s="129">
        <v>100</v>
      </c>
      <c r="AV170" s="128">
        <f>SUM(AT$7:AT170)</f>
        <v>82000</v>
      </c>
      <c r="AW170" s="90">
        <f>SUM(AU$7:AU170)</f>
        <v>16400</v>
      </c>
      <c r="AY170" s="128">
        <f t="shared" si="167"/>
        <v>26900</v>
      </c>
      <c r="AZ170" s="90">
        <f t="shared" si="168"/>
        <v>7350</v>
      </c>
      <c r="BA170" s="90">
        <f t="shared" si="169"/>
        <v>16400</v>
      </c>
      <c r="BB170" s="90">
        <f t="shared" ca="1" si="217"/>
        <v>12500</v>
      </c>
      <c r="BC170" s="90">
        <f t="shared" ca="1" si="218"/>
        <v>63150</v>
      </c>
      <c r="BD170" s="90"/>
      <c r="BE170" s="90">
        <f t="shared" ca="1" si="170"/>
        <v>63150</v>
      </c>
      <c r="BF170" s="142">
        <f t="shared" ca="1" si="171"/>
        <v>0.4259699129057799</v>
      </c>
      <c r="BG170" s="142">
        <f t="shared" ca="1" si="172"/>
        <v>0.1163895486935867</v>
      </c>
      <c r="BH170" s="142">
        <f t="shared" ca="1" si="228"/>
        <v>0.25969912905779891</v>
      </c>
      <c r="BI170" s="142">
        <f t="shared" ca="1" si="229"/>
        <v>0.19794140934283452</v>
      </c>
      <c r="BJ170" s="143"/>
      <c r="BK170" s="128">
        <f ca="1">INDEX(商城宝箱!$L:$L,MATCH(BC170,商城宝箱!$N:$N,1))</f>
        <v>10</v>
      </c>
      <c r="BL170" s="90">
        <f ca="1">_xlfn.IFNA(INDEX(商城宝箱!T:T,MATCH(玩家节奏1!$BK170,商城宝箱!$L:$L,0)),0)+($BC170-INDEX(商城宝箱!$N:$N,MATCH(玩家节奏1!$BK170,商城宝箱!$L:$L,0)))/$BK$5*INDEX(商城宝箱!E$23:E$42,MATCH(玩家节奏1!$BK170+1,商城宝箱!$C$23:$C$42,0))</f>
        <v>157875</v>
      </c>
      <c r="BM170" s="90">
        <f ca="1">_xlfn.IFNA(INDEX(商城宝箱!U:U,MATCH(玩家节奏1!$BK170,商城宝箱!$L:$L,0)),0)+($BC170-INDEX(商城宝箱!$N:$N,MATCH(玩家节奏1!$BK170,商城宝箱!$L:$L,0)))/$BK$5*INDEX(商城宝箱!F$23:F$42,MATCH(玩家节奏1!$BK170+1,商城宝箱!$C$23:$C$42,0))</f>
        <v>116022.5</v>
      </c>
      <c r="BN170" s="90">
        <f ca="1">_xlfn.IFNA(INDEX(商城宝箱!V:V,MATCH(玩家节奏1!$BK170,商城宝箱!$L:$L,0)),0)+($BC170-INDEX(商城宝箱!$N:$N,MATCH(玩家节奏1!$BK170,商城宝箱!$L:$L,0)))/$BK$5*INDEX(商城宝箱!G$23:G$42,MATCH(玩家节奏1!$BK170+1,商城宝箱!$C$23:$C$42,0))</f>
        <v>66712</v>
      </c>
      <c r="BO170" s="90">
        <f ca="1">_xlfn.IFNA(INDEX(商城宝箱!W:W,MATCH(玩家节奏1!$BK170,商城宝箱!$L:$L,0)),0)+($BC170-INDEX(商城宝箱!$N:$N,MATCH(玩家节奏1!$BK170,商城宝箱!$L:$L,0)))/$BK$5*INDEX(商城宝箱!H$23:H$42,MATCH(玩家节奏1!$BK170+1,商城宝箱!$C$23:$C$42,0))</f>
        <v>9244</v>
      </c>
      <c r="BQ170" s="128">
        <f t="shared" si="219"/>
        <v>5775200</v>
      </c>
      <c r="BR170" s="90">
        <f t="shared" si="220"/>
        <v>634060</v>
      </c>
      <c r="BS170" s="90">
        <f t="shared" ca="1" si="221"/>
        <v>1230480</v>
      </c>
      <c r="BT170" s="90">
        <f t="shared" si="222"/>
        <v>12200</v>
      </c>
      <c r="BU170" s="90">
        <f t="shared" si="223"/>
        <v>147000</v>
      </c>
      <c r="BV170" s="90">
        <f t="shared" si="224"/>
        <v>82000</v>
      </c>
      <c r="BW170" s="90">
        <f t="shared" ca="1" si="175"/>
        <v>157875</v>
      </c>
      <c r="BX170" s="90">
        <f t="shared" ca="1" si="176"/>
        <v>8038815</v>
      </c>
      <c r="BY170" s="142">
        <f t="shared" ca="1" si="177"/>
        <v>0.71841434340757937</v>
      </c>
      <c r="BZ170" s="142">
        <f t="shared" ca="1" si="178"/>
        <v>7.8874809284701794E-2</v>
      </c>
      <c r="CA170" s="142">
        <f t="shared" ca="1" si="179"/>
        <v>0.15306733641712117</v>
      </c>
      <c r="CB170" s="142">
        <f t="shared" ca="1" si="180"/>
        <v>1.5176366168396711E-3</v>
      </c>
      <c r="CC170" s="142">
        <f t="shared" ca="1" si="181"/>
        <v>1.8286277268478004E-2</v>
      </c>
      <c r="CD170" s="142">
        <f t="shared" ca="1" si="182"/>
        <v>1.0200508408266641E-2</v>
      </c>
      <c r="CE170" s="142">
        <f t="shared" ca="1" si="183"/>
        <v>1.9639088597013365E-2</v>
      </c>
      <c r="CG170" s="128">
        <f t="shared" si="184"/>
        <v>142</v>
      </c>
      <c r="CH170" s="90">
        <f ca="1">INDEX(角色升级!$A:$A,MATCH(玩家节奏1!$BX170,角色升级!$J:$J,1))</f>
        <v>669</v>
      </c>
      <c r="CI170" s="90">
        <f ca="1">INDEX(角色升级!$O:$O,MATCH(玩家节奏1!$BX170,角色升级!$J:$J,1))</f>
        <v>36841.568819999993</v>
      </c>
      <c r="CJ170" s="90">
        <f>INDEX(关卡对比!$J:$J,MATCH(玩家节奏1!N170,关卡对比!$A:$A,0))</f>
        <v>57200</v>
      </c>
      <c r="CK170" s="147">
        <f t="shared" ca="1" si="185"/>
        <v>1.5525940352721388</v>
      </c>
      <c r="CL170" s="128">
        <f ca="1">INDEX(角色升级!$P:$P,MATCH(玩家节奏1!$CH170,角色升级!$A:$A,0))</f>
        <v>12500</v>
      </c>
      <c r="CM170" s="90">
        <f ca="1">INDEX(角色升级!Q:Q,MATCH(玩家节奏1!$CH170,角色升级!$A:$A,0))</f>
        <v>1.1000000000000001</v>
      </c>
      <c r="CO170" s="128">
        <f t="shared" si="186"/>
        <v>39542</v>
      </c>
      <c r="CP170" s="90">
        <f t="shared" si="187"/>
        <v>45776</v>
      </c>
      <c r="CQ170" s="90">
        <f t="shared" si="188"/>
        <v>25128</v>
      </c>
      <c r="CR170" s="90">
        <f t="shared" ca="1" si="189"/>
        <v>116022.5</v>
      </c>
      <c r="CS170" s="90">
        <f t="shared" ca="1" si="190"/>
        <v>226468.5</v>
      </c>
      <c r="CT170" s="142">
        <f t="shared" ca="1" si="191"/>
        <v>0.17460264893351615</v>
      </c>
      <c r="CU170" s="142">
        <f t="shared" ca="1" si="192"/>
        <v>0.20212965600072416</v>
      </c>
      <c r="CV170" s="142">
        <f t="shared" ca="1" si="193"/>
        <v>0.11095582829400115</v>
      </c>
      <c r="CW170" s="142">
        <f t="shared" ca="1" si="194"/>
        <v>0.51231186677175855</v>
      </c>
      <c r="CY170" s="128">
        <f t="shared" si="195"/>
        <v>19772</v>
      </c>
      <c r="CZ170" s="90">
        <f t="shared" si="196"/>
        <v>22721</v>
      </c>
      <c r="DA170" s="90">
        <f t="shared" si="197"/>
        <v>15400</v>
      </c>
      <c r="DB170" s="90">
        <f t="shared" ca="1" si="198"/>
        <v>66712</v>
      </c>
      <c r="DC170" s="90">
        <f t="shared" ca="1" si="199"/>
        <v>124605</v>
      </c>
      <c r="DD170" s="142">
        <f t="shared" ca="1" si="200"/>
        <v>0.15867742064925164</v>
      </c>
      <c r="DE170" s="142">
        <f t="shared" ca="1" si="201"/>
        <v>0.18234420769632037</v>
      </c>
      <c r="DF170" s="142">
        <f t="shared" ca="1" si="202"/>
        <v>0.1235905461257574</v>
      </c>
      <c r="DG170" s="142">
        <f t="shared" ca="1" si="203"/>
        <v>0.53538782552867059</v>
      </c>
      <c r="DI170" s="128">
        <f t="shared" si="204"/>
        <v>9456</v>
      </c>
      <c r="DJ170" s="90">
        <f t="shared" si="205"/>
        <v>10892</v>
      </c>
      <c r="DK170" s="90">
        <f t="shared" si="206"/>
        <v>5480</v>
      </c>
      <c r="DL170" s="90">
        <f t="shared" ca="1" si="207"/>
        <v>9244</v>
      </c>
      <c r="DM170" s="90">
        <f t="shared" ca="1" si="208"/>
        <v>35072</v>
      </c>
      <c r="DN170" s="142">
        <f t="shared" ca="1" si="209"/>
        <v>0.26961678832116787</v>
      </c>
      <c r="DO170" s="142">
        <f t="shared" ca="1" si="210"/>
        <v>0.31056113138686131</v>
      </c>
      <c r="DP170" s="142">
        <f t="shared" ca="1" si="211"/>
        <v>0.15625</v>
      </c>
      <c r="DQ170" s="142">
        <f t="shared" ca="1" si="212"/>
        <v>0.26357208029197082</v>
      </c>
      <c r="DS170" s="128">
        <f t="shared" ca="1" si="213"/>
        <v>226468.5</v>
      </c>
      <c r="DT170" s="90">
        <f t="shared" ca="1" si="214"/>
        <v>124605</v>
      </c>
      <c r="DU170" s="90">
        <f t="shared" ca="1" si="215"/>
        <v>35072</v>
      </c>
      <c r="DV170" s="90">
        <f t="shared" si="216"/>
        <v>147</v>
      </c>
      <c r="DW170" s="90">
        <f ca="1">_xlfn.IFNA(INDEX(武器升级消耗!$H:$H,MATCH(玩家节奏1!DS170/玩家节奏1!DS$5,武器升级消耗!M:M,1)),0)</f>
        <v>42</v>
      </c>
      <c r="DX170" s="90">
        <f ca="1">_xlfn.IFNA(INDEX(武器升级消耗!$H:$H,MATCH(玩家节奏1!DT170/玩家节奏1!DT$5,武器升级消耗!N:N,1)),0)</f>
        <v>38</v>
      </c>
      <c r="DY170" s="90">
        <f ca="1">_xlfn.IFNA(INDEX(武器升级消耗!$H:$H,MATCH(玩家节奏1!DU170/玩家节奏1!DU$5,武器升级消耗!O:O,1)),0)</f>
        <v>26</v>
      </c>
      <c r="DZ170" s="90">
        <f>_xlfn.IFNA(INDEX(武器升级消耗!$H:$H,MATCH(玩家节奏1!DV170/玩家节奏1!DV$5,武器升级消耗!P:P,1)),0)</f>
        <v>13</v>
      </c>
      <c r="EA170" s="90">
        <f ca="1">_xlfn.IFNA(INDEX(武器升级消耗!$Q:$Q,MATCH(玩家节奏1!DW170,武器升级消耗!$H:$H,0))*2*EA$4,0)</f>
        <v>5.52</v>
      </c>
      <c r="EB170" s="90">
        <f ca="1">_xlfn.IFNA(INDEX(武器升级消耗!$Q:$Q,MATCH(玩家节奏1!DX170,武器升级消耗!$H:$H,0))*2*EB$4,0)</f>
        <v>6.3000000000000007</v>
      </c>
      <c r="EC170" s="90">
        <f ca="1">_xlfn.IFNA(INDEX(武器升级消耗!$Q:$Q,MATCH(玩家节奏1!DY170,武器升级消耗!$H:$H,0))*2*EC$4,1)</f>
        <v>6.6000000000000005</v>
      </c>
      <c r="ED170" s="90">
        <f>_xlfn.IFNA(INDEX(武器升级消耗!$Q:$Q,MATCH(玩家节奏1!DZ170,武器升级消耗!$H:$H,0))*2*ED$4,0)</f>
        <v>5.0999999999999996</v>
      </c>
    </row>
    <row r="171" spans="1:134" x14ac:dyDescent="0.25">
      <c r="A171" s="123">
        <v>165</v>
      </c>
      <c r="B171" s="123">
        <f>INDEX(关卡对比!$Y:$Y,MATCH(关卡对比!Z171,关卡对比!$AA:$AA,1))</f>
        <v>96</v>
      </c>
      <c r="C171" s="124">
        <f>INDEX(关卡对比!$Y:$Y,MATCH(关卡对比!Z171,关卡对比!$AB:$AB,1))</f>
        <v>73</v>
      </c>
      <c r="D171" s="125">
        <f t="shared" ref="D171:D206" si="230">A171*E171+B171*E171+C171*E171-4.5-10-16</f>
        <v>971.5</v>
      </c>
      <c r="E171" s="125">
        <v>3</v>
      </c>
      <c r="F171" s="128">
        <v>5</v>
      </c>
      <c r="G171" s="90">
        <v>1</v>
      </c>
      <c r="H171" s="90">
        <v>1</v>
      </c>
      <c r="J171" s="128">
        <v>165</v>
      </c>
      <c r="K171" s="90">
        <f t="shared" si="225"/>
        <v>5</v>
      </c>
      <c r="L171" s="90">
        <f t="shared" si="226"/>
        <v>1</v>
      </c>
      <c r="M171" s="90">
        <f t="shared" si="227"/>
        <v>1</v>
      </c>
      <c r="N171" s="140">
        <f>INDEX($A:$A,MATCH(SUM($K$7:K171),$D:$D,1))</f>
        <v>142</v>
      </c>
      <c r="O171" s="140">
        <v>0</v>
      </c>
      <c r="P171" s="141">
        <v>0</v>
      </c>
      <c r="Q171" s="126">
        <f>_xlfn.MAXIFS(关卡产出!X:X,关卡产出!$A:$A,玩家节奏1!$N$6,关卡产出!$B:$B,玩家节奏1!$N171)+_xlfn.MAXIFS(关卡产出!X:X,关卡产出!$A:$A,玩家节奏1!$O$6,关卡产出!$B:$B,玩家节奏1!$O171)+_xlfn.MAXIFS(关卡产出!X:X,关卡产出!$A:$A,玩家节奏1!$P$6,关卡产出!$B:$B,玩家节奏1!$P171)</f>
        <v>26900</v>
      </c>
      <c r="R171" s="90">
        <f>_xlfn.MAXIFS(关卡产出!Y:Y,关卡产出!$A:$A,玩家节奏1!$N$6,关卡产出!$B:$B,玩家节奏1!$N171)+_xlfn.MAXIFS(关卡产出!Y:Y,关卡产出!$A:$A,玩家节奏1!$O$6,关卡产出!$B:$B,玩家节奏1!$O171)+_xlfn.MAXIFS(关卡产出!Y:Y,关卡产出!$A:$A,玩家节奏1!$P$6,关卡产出!$B:$B,玩家节奏1!$P171)</f>
        <v>5775200</v>
      </c>
      <c r="S171" s="90">
        <f>_xlfn.MAXIFS(关卡产出!Z:Z,关卡产出!$A:$A,玩家节奏1!$N$6,关卡产出!$B:$B,玩家节奏1!$N171)+_xlfn.MAXIFS(关卡产出!Z:Z,关卡产出!$A:$A,玩家节奏1!$O$6,关卡产出!$B:$B,玩家节奏1!$O171)+_xlfn.MAXIFS(关卡产出!Z:Z,关卡产出!$A:$A,玩家节奏1!$P$6,关卡产出!$B:$B,玩家节奏1!$P171)</f>
        <v>39542</v>
      </c>
      <c r="T171" s="90">
        <f>_xlfn.MAXIFS(关卡产出!AA:AA,关卡产出!$A:$A,玩家节奏1!$N$6,关卡产出!$B:$B,玩家节奏1!$N171)+_xlfn.MAXIFS(关卡产出!AA:AA,关卡产出!$A:$A,玩家节奏1!$O$6,关卡产出!$B:$B,玩家节奏1!$O171)+_xlfn.MAXIFS(关卡产出!AA:AA,关卡产出!$A:$A,玩家节奏1!$P$6,关卡产出!$B:$B,玩家节奏1!$P171)</f>
        <v>19772</v>
      </c>
      <c r="U171" s="90">
        <f>_xlfn.MAXIFS(关卡产出!AB:AB,关卡产出!$A:$A,玩家节奏1!$N$6,关卡产出!$B:$B,玩家节奏1!$N171)+_xlfn.MAXIFS(关卡产出!AB:AB,关卡产出!$A:$A,玩家节奏1!$O$6,关卡产出!$B:$B,玩家节奏1!$O171)+_xlfn.MAXIFS(关卡产出!AB:AB,关卡产出!$A:$A,玩家节奏1!$P$6,关卡产出!$B:$B,玩家节奏1!$P171)</f>
        <v>9456</v>
      </c>
      <c r="V171" s="130">
        <f>_xlfn.MAXIFS(关卡产出!AC:AC,关卡产出!$A:$A,玩家节奏1!$N$6,关卡产出!$B:$B,玩家节奏1!$N171)+_xlfn.MAXIFS(关卡产出!AC:AC,关卡产出!$A:$A,玩家节奏1!$O$6,关卡产出!$B:$B,玩家节奏1!$O171)+_xlfn.MAXIFS(关卡产出!AC:AC,关卡产出!$A:$A,玩家节奏1!$P$6,关卡产出!$B:$B,玩家节奏1!$P171)</f>
        <v>852</v>
      </c>
      <c r="W171" s="126">
        <f>INDEX(关卡产出!C$8:C$207,MATCH(玩家节奏1!$N171,关卡产出!$B$8:$B$207,0))*$K171</f>
        <v>560</v>
      </c>
      <c r="X171" s="126">
        <f>INDEX(关卡产出!D$8:D$207,MATCH(玩家节奏1!$N171,关卡产出!$B$8:$B$207,0))*$K171</f>
        <v>280</v>
      </c>
      <c r="Y171" s="126">
        <f>INDEX(关卡产出!E$8:E$207,MATCH(玩家节奏1!$N171,关卡产出!$B$8:$B$207,0))*$K171</f>
        <v>135</v>
      </c>
      <c r="Z171" s="144">
        <f>INDEX(关卡产出!F$8:F$207,MATCH(玩家节奏1!$N171,关卡产出!$B$8:$B$207,0))*$K171</f>
        <v>7350</v>
      </c>
      <c r="AA171" s="126">
        <f>SUM(W$7:W171)</f>
        <v>46336</v>
      </c>
      <c r="AB171" s="126">
        <f>SUM(X$7:X171)</f>
        <v>23001</v>
      </c>
      <c r="AC171" s="126">
        <f>SUM(Y$7:Y171)</f>
        <v>11027</v>
      </c>
      <c r="AD171" s="126">
        <f>SUM(Z$7:Z171)</f>
        <v>641410</v>
      </c>
      <c r="AE171" s="126">
        <f>INDEX(图鉴!AQ:AQ,MATCH($N171,图鉴!$S:$S,0))*8</f>
        <v>168</v>
      </c>
      <c r="AF171" s="90">
        <f>INDEX(图鉴!AR:AR,MATCH($N171,图鉴!$S:$S,0))*8</f>
        <v>120</v>
      </c>
      <c r="AG171" s="90">
        <f>INDEX(图鉴!AS:AS,MATCH($N171,图鉴!$S:$S,0))*8</f>
        <v>48</v>
      </c>
      <c r="AH171" s="129">
        <f ca="1">INDEX(图鉴!AT:AT,MATCH($N171,图鉴!$S:$S,0))*8</f>
        <v>11400</v>
      </c>
      <c r="AI171" s="128">
        <f>SUM($AE$7:AE171)</f>
        <v>25296</v>
      </c>
      <c r="AJ171" s="90">
        <f>SUM(AF$7:AF171)</f>
        <v>15520</v>
      </c>
      <c r="AK171" s="90">
        <f>SUM(AG$7:AG171)</f>
        <v>5528</v>
      </c>
      <c r="AL171" s="130">
        <f ca="1">SUM(AH$7:AH171)</f>
        <v>1241880</v>
      </c>
      <c r="AM171" s="133">
        <f>IF(M171=0,0,INDEX(关卡产出!$AU$11:$AU$15,MATCH(玩家节奏1!N171,关卡产出!$AW$11:$AW$15,1))*M171)</f>
        <v>12200</v>
      </c>
      <c r="AN171" s="126">
        <f>IF(L171=0,0,$L171*关卡产出!AU$21)</f>
        <v>1000</v>
      </c>
      <c r="AO171" s="90">
        <f>IF(M171=0,0,$L171*关卡产出!AV$21)</f>
        <v>50</v>
      </c>
      <c r="AP171" s="129">
        <f>IF(N171=0,0,$L171*关卡产出!AW$21)</f>
        <v>1</v>
      </c>
      <c r="AQ171" s="138">
        <f>SUM(AN$7:AN171)</f>
        <v>148000</v>
      </c>
      <c r="AR171" s="126">
        <f>SUM(AO$7:AO171)</f>
        <v>7400</v>
      </c>
      <c r="AS171" s="129">
        <f>SUM(AP$7:AP171)</f>
        <v>148</v>
      </c>
      <c r="AT171" s="128">
        <v>500</v>
      </c>
      <c r="AU171" s="129">
        <v>100</v>
      </c>
      <c r="AV171" s="128">
        <f>SUM(AT$7:AT171)</f>
        <v>82500</v>
      </c>
      <c r="AW171" s="90">
        <f>SUM(AU$7:AU171)</f>
        <v>16500</v>
      </c>
      <c r="AY171" s="128">
        <f t="shared" si="167"/>
        <v>26900</v>
      </c>
      <c r="AZ171" s="90">
        <f t="shared" si="168"/>
        <v>7400</v>
      </c>
      <c r="BA171" s="90">
        <f t="shared" si="169"/>
        <v>16500</v>
      </c>
      <c r="BB171" s="90">
        <f t="shared" ca="1" si="217"/>
        <v>12500</v>
      </c>
      <c r="BC171" s="90">
        <f t="shared" ca="1" si="218"/>
        <v>63300</v>
      </c>
      <c r="BD171" s="90"/>
      <c r="BE171" s="90">
        <f t="shared" ca="1" si="170"/>
        <v>63300</v>
      </c>
      <c r="BF171" s="142">
        <f t="shared" ca="1" si="171"/>
        <v>0.42496050552922593</v>
      </c>
      <c r="BG171" s="142">
        <f t="shared" ca="1" si="172"/>
        <v>0.11690363349131122</v>
      </c>
      <c r="BH171" s="142">
        <f t="shared" ca="1" si="228"/>
        <v>0.26066350710900477</v>
      </c>
      <c r="BI171" s="142">
        <f t="shared" ca="1" si="229"/>
        <v>0.19747235387045814</v>
      </c>
      <c r="BJ171" s="143"/>
      <c r="BK171" s="128">
        <f ca="1">INDEX(商城宝箱!$L:$L,MATCH(BC171,商城宝箱!$N:$N,1))</f>
        <v>10</v>
      </c>
      <c r="BL171" s="90">
        <f ca="1">_xlfn.IFNA(INDEX(商城宝箱!T:T,MATCH(玩家节奏1!$BK171,商城宝箱!$L:$L,0)),0)+($BC171-INDEX(商城宝箱!$N:$N,MATCH(玩家节奏1!$BK171,商城宝箱!$L:$L,0)))/$BK$5*INDEX(商城宝箱!E$23:E$42,MATCH(玩家节奏1!$BK171+1,商城宝箱!$C$23:$C$42,0))</f>
        <v>158250</v>
      </c>
      <c r="BM171" s="90">
        <f ca="1">_xlfn.IFNA(INDEX(商城宝箱!U:U,MATCH(玩家节奏1!$BK171,商城宝箱!$L:$L,0)),0)+($BC171-INDEX(商城宝箱!$N:$N,MATCH(玩家节奏1!$BK171,商城宝箱!$L:$L,0)))/$BK$5*INDEX(商城宝箱!F$23:F$42,MATCH(玩家节奏1!$BK171+1,商城宝箱!$C$23:$C$42,0))</f>
        <v>116502.5</v>
      </c>
      <c r="BN171" s="90">
        <f ca="1">_xlfn.IFNA(INDEX(商城宝箱!V:V,MATCH(玩家节奏1!$BK171,商城宝箱!$L:$L,0)),0)+($BC171-INDEX(商城宝箱!$N:$N,MATCH(玩家节奏1!$BK171,商城宝箱!$L:$L,0)))/$BK$5*INDEX(商城宝箱!G$23:G$42,MATCH(玩家节奏1!$BK171+1,商城宝箱!$C$23:$C$42,0))</f>
        <v>66937</v>
      </c>
      <c r="BO171" s="90">
        <f ca="1">_xlfn.IFNA(INDEX(商城宝箱!W:W,MATCH(玩家节奏1!$BK171,商城宝箱!$L:$L,0)),0)+($BC171-INDEX(商城宝箱!$N:$N,MATCH(玩家节奏1!$BK171,商城宝箱!$L:$L,0)))/$BK$5*INDEX(商城宝箱!H$23:H$42,MATCH(玩家节奏1!$BK171+1,商城宝箱!$C$23:$C$42,0))</f>
        <v>9281.5</v>
      </c>
      <c r="BQ171" s="128">
        <f t="shared" si="219"/>
        <v>5775200</v>
      </c>
      <c r="BR171" s="90">
        <f t="shared" si="220"/>
        <v>641410</v>
      </c>
      <c r="BS171" s="90">
        <f t="shared" ca="1" si="221"/>
        <v>1241880</v>
      </c>
      <c r="BT171" s="90">
        <f t="shared" si="222"/>
        <v>12200</v>
      </c>
      <c r="BU171" s="90">
        <f t="shared" si="223"/>
        <v>148000</v>
      </c>
      <c r="BV171" s="90">
        <f t="shared" si="224"/>
        <v>82500</v>
      </c>
      <c r="BW171" s="90">
        <f t="shared" ca="1" si="175"/>
        <v>158250</v>
      </c>
      <c r="BX171" s="90">
        <f t="shared" ca="1" si="176"/>
        <v>8059440</v>
      </c>
      <c r="BY171" s="142">
        <f t="shared" ca="1" si="177"/>
        <v>0.71657584149767228</v>
      </c>
      <c r="BZ171" s="142">
        <f t="shared" ca="1" si="178"/>
        <v>7.958493394081971E-2</v>
      </c>
      <c r="CA171" s="142">
        <f t="shared" ca="1" si="179"/>
        <v>0.15409011047913998</v>
      </c>
      <c r="CB171" s="142">
        <f t="shared" ca="1" si="180"/>
        <v>1.5137528165728635E-3</v>
      </c>
      <c r="CC171" s="142">
        <f t="shared" ca="1" si="181"/>
        <v>1.8363558758424901E-2</v>
      </c>
      <c r="CD171" s="142">
        <f t="shared" ca="1" si="182"/>
        <v>1.0236443226824692E-2</v>
      </c>
      <c r="CE171" s="142">
        <f t="shared" ca="1" si="183"/>
        <v>1.9635359280545547E-2</v>
      </c>
      <c r="CG171" s="128">
        <f t="shared" si="184"/>
        <v>142</v>
      </c>
      <c r="CH171" s="90">
        <f ca="1">INDEX(角色升级!$A:$A,MATCH(玩家节奏1!$BX171,角色升级!$J:$J,1))</f>
        <v>669</v>
      </c>
      <c r="CI171" s="90">
        <f ca="1">INDEX(角色升级!$O:$O,MATCH(玩家节奏1!$BX171,角色升级!$J:$J,1))</f>
        <v>36841.568819999993</v>
      </c>
      <c r="CJ171" s="90">
        <f>INDEX(关卡对比!$J:$J,MATCH(玩家节奏1!N171,关卡对比!$A:$A,0))</f>
        <v>57200</v>
      </c>
      <c r="CK171" s="147">
        <f t="shared" ca="1" si="185"/>
        <v>1.5525940352721388</v>
      </c>
      <c r="CL171" s="128">
        <f ca="1">INDEX(角色升级!$P:$P,MATCH(玩家节奏1!$CH171,角色升级!$A:$A,0))</f>
        <v>12500</v>
      </c>
      <c r="CM171" s="90">
        <f ca="1">INDEX(角色升级!Q:Q,MATCH(玩家节奏1!$CH171,角色升级!$A:$A,0))</f>
        <v>1.1000000000000001</v>
      </c>
      <c r="CO171" s="128">
        <f t="shared" si="186"/>
        <v>39542</v>
      </c>
      <c r="CP171" s="90">
        <f t="shared" si="187"/>
        <v>46336</v>
      </c>
      <c r="CQ171" s="90">
        <f t="shared" si="188"/>
        <v>25296</v>
      </c>
      <c r="CR171" s="90">
        <f t="shared" ca="1" si="189"/>
        <v>116502.5</v>
      </c>
      <c r="CS171" s="90">
        <f t="shared" ca="1" si="190"/>
        <v>227676.5</v>
      </c>
      <c r="CT171" s="142">
        <f t="shared" ca="1" si="191"/>
        <v>0.17367624677997071</v>
      </c>
      <c r="CU171" s="142">
        <f t="shared" ca="1" si="192"/>
        <v>0.2035168319962754</v>
      </c>
      <c r="CV171" s="142">
        <f t="shared" ca="1" si="193"/>
        <v>0.11110501083774565</v>
      </c>
      <c r="CW171" s="142">
        <f t="shared" ca="1" si="194"/>
        <v>0.51170191038600821</v>
      </c>
      <c r="CY171" s="128">
        <f t="shared" si="195"/>
        <v>19772</v>
      </c>
      <c r="CZ171" s="90">
        <f t="shared" si="196"/>
        <v>23001</v>
      </c>
      <c r="DA171" s="90">
        <f t="shared" si="197"/>
        <v>15520</v>
      </c>
      <c r="DB171" s="90">
        <f t="shared" ca="1" si="198"/>
        <v>66937</v>
      </c>
      <c r="DC171" s="90">
        <f t="shared" ca="1" si="199"/>
        <v>125230</v>
      </c>
      <c r="DD171" s="142">
        <f t="shared" ca="1" si="200"/>
        <v>0.1578854906971173</v>
      </c>
      <c r="DE171" s="142">
        <f t="shared" ca="1" si="201"/>
        <v>0.1836700471133115</v>
      </c>
      <c r="DF171" s="142">
        <f t="shared" ca="1" si="202"/>
        <v>0.12393196518406133</v>
      </c>
      <c r="DG171" s="142">
        <f t="shared" ca="1" si="203"/>
        <v>0.53451249700550985</v>
      </c>
      <c r="DI171" s="128">
        <f t="shared" si="204"/>
        <v>9456</v>
      </c>
      <c r="DJ171" s="90">
        <f t="shared" si="205"/>
        <v>11027</v>
      </c>
      <c r="DK171" s="90">
        <f t="shared" si="206"/>
        <v>5528</v>
      </c>
      <c r="DL171" s="90">
        <f t="shared" ca="1" si="207"/>
        <v>9281.5</v>
      </c>
      <c r="DM171" s="90">
        <f t="shared" ca="1" si="208"/>
        <v>35292.5</v>
      </c>
      <c r="DN171" s="142">
        <f t="shared" ca="1" si="209"/>
        <v>0.26793228022951054</v>
      </c>
      <c r="DO171" s="142">
        <f t="shared" ca="1" si="210"/>
        <v>0.31244598710774246</v>
      </c>
      <c r="DP171" s="142">
        <f t="shared" ca="1" si="211"/>
        <v>0.15663384571792874</v>
      </c>
      <c r="DQ171" s="142">
        <f t="shared" ca="1" si="212"/>
        <v>0.26298788694481828</v>
      </c>
      <c r="DS171" s="128">
        <f t="shared" ca="1" si="213"/>
        <v>227676.5</v>
      </c>
      <c r="DT171" s="90">
        <f t="shared" ca="1" si="214"/>
        <v>125230</v>
      </c>
      <c r="DU171" s="90">
        <f t="shared" ca="1" si="215"/>
        <v>35292.5</v>
      </c>
      <c r="DV171" s="90">
        <f t="shared" si="216"/>
        <v>148</v>
      </c>
      <c r="DW171" s="90">
        <f ca="1">_xlfn.IFNA(INDEX(武器升级消耗!$H:$H,MATCH(玩家节奏1!DS171/玩家节奏1!DS$5,武器升级消耗!M:M,1)),0)</f>
        <v>42</v>
      </c>
      <c r="DX171" s="90">
        <f ca="1">_xlfn.IFNA(INDEX(武器升级消耗!$H:$H,MATCH(玩家节奏1!DT171/玩家节奏1!DT$5,武器升级消耗!N:N,1)),0)</f>
        <v>38</v>
      </c>
      <c r="DY171" s="90">
        <f ca="1">_xlfn.IFNA(INDEX(武器升级消耗!$H:$H,MATCH(玩家节奏1!DU171/玩家节奏1!DU$5,武器升级消耗!O:O,1)),0)</f>
        <v>26</v>
      </c>
      <c r="DZ171" s="90">
        <f>_xlfn.IFNA(INDEX(武器升级消耗!$H:$H,MATCH(玩家节奏1!DV171/玩家节奏1!DV$5,武器升级消耗!P:P,1)),0)</f>
        <v>13</v>
      </c>
      <c r="EA171" s="90">
        <f ca="1">_xlfn.IFNA(INDEX(武器升级消耗!$Q:$Q,MATCH(玩家节奏1!DW171,武器升级消耗!$H:$H,0))*2*EA$4,0)</f>
        <v>5.52</v>
      </c>
      <c r="EB171" s="90">
        <f ca="1">_xlfn.IFNA(INDEX(武器升级消耗!$Q:$Q,MATCH(玩家节奏1!DX171,武器升级消耗!$H:$H,0))*2*EB$4,0)</f>
        <v>6.3000000000000007</v>
      </c>
      <c r="EC171" s="90">
        <f ca="1">_xlfn.IFNA(INDEX(武器升级消耗!$Q:$Q,MATCH(玩家节奏1!DY171,武器升级消耗!$H:$H,0))*2*EC$4,1)</f>
        <v>6.6000000000000005</v>
      </c>
      <c r="ED171" s="90">
        <f>_xlfn.IFNA(INDEX(武器升级消耗!$Q:$Q,MATCH(玩家节奏1!DZ171,武器升级消耗!$H:$H,0))*2*ED$4,0)</f>
        <v>5.0999999999999996</v>
      </c>
    </row>
    <row r="172" spans="1:134" x14ac:dyDescent="0.25">
      <c r="A172" s="123">
        <v>166</v>
      </c>
      <c r="B172" s="123">
        <f>INDEX(关卡对比!$Y:$Y,MATCH(关卡对比!Z172,关卡对比!$AA:$AA,1))</f>
        <v>96</v>
      </c>
      <c r="C172" s="124">
        <f>INDEX(关卡对比!$Y:$Y,MATCH(关卡对比!Z172,关卡对比!$AB:$AB,1))</f>
        <v>73</v>
      </c>
      <c r="D172" s="125">
        <f t="shared" si="230"/>
        <v>974.5</v>
      </c>
      <c r="E172" s="125">
        <v>3</v>
      </c>
      <c r="F172" s="128">
        <v>5</v>
      </c>
      <c r="G172" s="90">
        <v>1</v>
      </c>
      <c r="H172" s="90">
        <v>1</v>
      </c>
      <c r="J172" s="128">
        <v>166</v>
      </c>
      <c r="K172" s="90">
        <f t="shared" si="225"/>
        <v>5</v>
      </c>
      <c r="L172" s="90">
        <f t="shared" si="226"/>
        <v>1</v>
      </c>
      <c r="M172" s="90">
        <f t="shared" si="227"/>
        <v>1</v>
      </c>
      <c r="N172" s="140">
        <f>INDEX($A:$A,MATCH(SUM($K$7:K172),$D:$D,1))</f>
        <v>143</v>
      </c>
      <c r="O172" s="140">
        <v>0</v>
      </c>
      <c r="P172" s="141">
        <v>0</v>
      </c>
      <c r="Q172" s="126">
        <f>_xlfn.MAXIFS(关卡产出!X:X,关卡产出!$A:$A,玩家节奏1!$N$6,关卡产出!$B:$B,玩家节奏1!$N172)+_xlfn.MAXIFS(关卡产出!X:X,关卡产出!$A:$A,玩家节奏1!$O$6,关卡产出!$B:$B,玩家节奏1!$O172)+_xlfn.MAXIFS(关卡产出!X:X,关卡产出!$A:$A,玩家节奏1!$P$6,关卡产出!$B:$B,玩家节奏1!$P172)</f>
        <v>27100</v>
      </c>
      <c r="R172" s="90">
        <f>_xlfn.MAXIFS(关卡产出!Y:Y,关卡产出!$A:$A,玩家节奏1!$N$6,关卡产出!$B:$B,玩家节奏1!$N172)+_xlfn.MAXIFS(关卡产出!Y:Y,关卡产出!$A:$A,玩家节奏1!$O$6,关卡产出!$B:$B,玩家节奏1!$O172)+_xlfn.MAXIFS(关卡产出!Y:Y,关卡产出!$A:$A,玩家节奏1!$P$6,关卡产出!$B:$B,玩家节奏1!$P172)</f>
        <v>5858700</v>
      </c>
      <c r="S172" s="90">
        <f>_xlfn.MAXIFS(关卡产出!Z:Z,关卡产出!$A:$A,玩家节奏1!$N$6,关卡产出!$B:$B,玩家节奏1!$N172)+_xlfn.MAXIFS(关卡产出!Z:Z,关卡产出!$A:$A,玩家节奏1!$O$6,关卡产出!$B:$B,玩家节奏1!$O172)+_xlfn.MAXIFS(关卡产出!Z:Z,关卡产出!$A:$A,玩家节奏1!$P$6,关卡产出!$B:$B,玩家节奏1!$P172)</f>
        <v>40106</v>
      </c>
      <c r="T172" s="90">
        <f>_xlfn.MAXIFS(关卡产出!AA:AA,关卡产出!$A:$A,玩家节奏1!$N$6,关卡产出!$B:$B,玩家节奏1!$N172)+_xlfn.MAXIFS(关卡产出!AA:AA,关卡产出!$A:$A,玩家节奏1!$O$6,关卡产出!$B:$B,玩家节奏1!$O172)+_xlfn.MAXIFS(关卡产出!AA:AA,关卡产出!$A:$A,玩家节奏1!$P$6,关卡产出!$B:$B,玩家节奏1!$P172)</f>
        <v>20054</v>
      </c>
      <c r="U172" s="90">
        <f>_xlfn.MAXIFS(关卡产出!AB:AB,关卡产出!$A:$A,玩家节奏1!$N$6,关卡产出!$B:$B,玩家节奏1!$N172)+_xlfn.MAXIFS(关卡产出!AB:AB,关卡产出!$A:$A,玩家节奏1!$O$6,关卡产出!$B:$B,玩家节奏1!$O172)+_xlfn.MAXIFS(关卡产出!AB:AB,关卡产出!$A:$A,玩家节奏1!$P$6,关卡产出!$B:$B,玩家节奏1!$P172)</f>
        <v>9594</v>
      </c>
      <c r="V172" s="130">
        <f>_xlfn.MAXIFS(关卡产出!AC:AC,关卡产出!$A:$A,玩家节奏1!$N$6,关卡产出!$B:$B,玩家节奏1!$N172)+_xlfn.MAXIFS(关卡产出!AC:AC,关卡产出!$A:$A,玩家节奏1!$O$6,关卡产出!$B:$B,玩家节奏1!$O172)+_xlfn.MAXIFS(关卡产出!AC:AC,关卡产出!$A:$A,玩家节奏1!$P$6,关卡产出!$B:$B,玩家节奏1!$P172)</f>
        <v>858</v>
      </c>
      <c r="W172" s="126">
        <f>INDEX(关卡产出!C$8:C$207,MATCH(玩家节奏1!$N172,关卡产出!$B$8:$B$207,0))*$K172</f>
        <v>565</v>
      </c>
      <c r="X172" s="126">
        <f>INDEX(关卡产出!D$8:D$207,MATCH(玩家节奏1!$N172,关卡产出!$B$8:$B$207,0))*$K172</f>
        <v>280</v>
      </c>
      <c r="Y172" s="126">
        <f>INDEX(关卡产出!E$8:E$207,MATCH(玩家节奏1!$N172,关卡产出!$B$8:$B$207,0))*$K172</f>
        <v>140</v>
      </c>
      <c r="Z172" s="144">
        <f>INDEX(关卡产出!F$8:F$207,MATCH(玩家节奏1!$N172,关卡产出!$B$8:$B$207,0))*$K172</f>
        <v>7450</v>
      </c>
      <c r="AA172" s="126">
        <f>SUM(W$7:W172)</f>
        <v>46901</v>
      </c>
      <c r="AB172" s="126">
        <f>SUM(X$7:X172)</f>
        <v>23281</v>
      </c>
      <c r="AC172" s="126">
        <f>SUM(Y$7:Y172)</f>
        <v>11167</v>
      </c>
      <c r="AD172" s="126">
        <f>SUM(Z$7:Z172)</f>
        <v>648860</v>
      </c>
      <c r="AE172" s="126">
        <f>INDEX(图鉴!AQ:AQ,MATCH($N172,图鉴!$S:$S,0))*8</f>
        <v>168</v>
      </c>
      <c r="AF172" s="90">
        <f>INDEX(图鉴!AR:AR,MATCH($N172,图鉴!$S:$S,0))*8</f>
        <v>120</v>
      </c>
      <c r="AG172" s="90">
        <f>INDEX(图鉴!AS:AS,MATCH($N172,图鉴!$S:$S,0))*8</f>
        <v>48</v>
      </c>
      <c r="AH172" s="129">
        <f ca="1">INDEX(图鉴!AT:AT,MATCH($N172,图鉴!$S:$S,0))*8</f>
        <v>11760</v>
      </c>
      <c r="AI172" s="128">
        <f>SUM($AE$7:AE172)</f>
        <v>25464</v>
      </c>
      <c r="AJ172" s="90">
        <f>SUM(AF$7:AF172)</f>
        <v>15640</v>
      </c>
      <c r="AK172" s="90">
        <f>SUM(AG$7:AG172)</f>
        <v>5576</v>
      </c>
      <c r="AL172" s="130">
        <f ca="1">SUM(AH$7:AH172)</f>
        <v>1253640</v>
      </c>
      <c r="AM172" s="133">
        <f>IF(M172=0,0,INDEX(关卡产出!$AU$11:$AU$15,MATCH(玩家节奏1!N172,关卡产出!$AW$11:$AW$15,1))*M172)</f>
        <v>12200</v>
      </c>
      <c r="AN172" s="126">
        <f>IF(L172=0,0,$L172*关卡产出!AU$21)</f>
        <v>1000</v>
      </c>
      <c r="AO172" s="90">
        <f>IF(M172=0,0,$L172*关卡产出!AV$21)</f>
        <v>50</v>
      </c>
      <c r="AP172" s="129">
        <f>IF(N172=0,0,$L172*关卡产出!AW$21)</f>
        <v>1</v>
      </c>
      <c r="AQ172" s="138">
        <f>SUM(AN$7:AN172)</f>
        <v>149000</v>
      </c>
      <c r="AR172" s="126">
        <f>SUM(AO$7:AO172)</f>
        <v>7450</v>
      </c>
      <c r="AS172" s="129">
        <f>SUM(AP$7:AP172)</f>
        <v>149</v>
      </c>
      <c r="AT172" s="128">
        <v>500</v>
      </c>
      <c r="AU172" s="129">
        <v>100</v>
      </c>
      <c r="AV172" s="128">
        <f>SUM(AT$7:AT172)</f>
        <v>83000</v>
      </c>
      <c r="AW172" s="90">
        <f>SUM(AU$7:AU172)</f>
        <v>16600</v>
      </c>
      <c r="AY172" s="128">
        <f t="shared" si="167"/>
        <v>27100</v>
      </c>
      <c r="AZ172" s="90">
        <f t="shared" si="168"/>
        <v>7450</v>
      </c>
      <c r="BA172" s="90">
        <f t="shared" si="169"/>
        <v>16600</v>
      </c>
      <c r="BB172" s="90">
        <f t="shared" ca="1" si="217"/>
        <v>12500</v>
      </c>
      <c r="BC172" s="90">
        <f t="shared" ca="1" si="218"/>
        <v>63650</v>
      </c>
      <c r="BD172" s="90"/>
      <c r="BE172" s="90">
        <f t="shared" ca="1" si="170"/>
        <v>63650</v>
      </c>
      <c r="BF172" s="142">
        <f t="shared" ca="1" si="171"/>
        <v>0.4257659073055774</v>
      </c>
      <c r="BG172" s="142">
        <f t="shared" ca="1" si="172"/>
        <v>0.11704634721131187</v>
      </c>
      <c r="BH172" s="142">
        <f t="shared" ca="1" si="228"/>
        <v>0.26080125687352712</v>
      </c>
      <c r="BI172" s="142">
        <f t="shared" ca="1" si="229"/>
        <v>0.19638648860958366</v>
      </c>
      <c r="BJ172" s="143"/>
      <c r="BK172" s="128">
        <f ca="1">INDEX(商城宝箱!$L:$L,MATCH(BC172,商城宝箱!$N:$N,1))</f>
        <v>10</v>
      </c>
      <c r="BL172" s="90">
        <f ca="1">_xlfn.IFNA(INDEX(商城宝箱!T:T,MATCH(玩家节奏1!$BK172,商城宝箱!$L:$L,0)),0)+($BC172-INDEX(商城宝箱!$N:$N,MATCH(玩家节奏1!$BK172,商城宝箱!$L:$L,0)))/$BK$5*INDEX(商城宝箱!E$23:E$42,MATCH(玩家节奏1!$BK172+1,商城宝箱!$C$23:$C$42,0))</f>
        <v>159125</v>
      </c>
      <c r="BM172" s="90">
        <f ca="1">_xlfn.IFNA(INDEX(商城宝箱!U:U,MATCH(玩家节奏1!$BK172,商城宝箱!$L:$L,0)),0)+($BC172-INDEX(商城宝箱!$N:$N,MATCH(玩家节奏1!$BK172,商城宝箱!$L:$L,0)))/$BK$5*INDEX(商城宝箱!F$23:F$42,MATCH(玩家节奏1!$BK172+1,商城宝箱!$C$23:$C$42,0))</f>
        <v>117622.5</v>
      </c>
      <c r="BN172" s="90">
        <f ca="1">_xlfn.IFNA(INDEX(商城宝箱!V:V,MATCH(玩家节奏1!$BK172,商城宝箱!$L:$L,0)),0)+($BC172-INDEX(商城宝箱!$N:$N,MATCH(玩家节奏1!$BK172,商城宝箱!$L:$L,0)))/$BK$5*INDEX(商城宝箱!G$23:G$42,MATCH(玩家节奏1!$BK172+1,商城宝箱!$C$23:$C$42,0))</f>
        <v>67462</v>
      </c>
      <c r="BO172" s="90">
        <f ca="1">_xlfn.IFNA(INDEX(商城宝箱!W:W,MATCH(玩家节奏1!$BK172,商城宝箱!$L:$L,0)),0)+($BC172-INDEX(商城宝箱!$N:$N,MATCH(玩家节奏1!$BK172,商城宝箱!$L:$L,0)))/$BK$5*INDEX(商城宝箱!H$23:H$42,MATCH(玩家节奏1!$BK172+1,商城宝箱!$C$23:$C$42,0))</f>
        <v>9369</v>
      </c>
      <c r="BQ172" s="128">
        <f t="shared" si="219"/>
        <v>5858700</v>
      </c>
      <c r="BR172" s="90">
        <f t="shared" si="220"/>
        <v>648860</v>
      </c>
      <c r="BS172" s="90">
        <f t="shared" ca="1" si="221"/>
        <v>1253640</v>
      </c>
      <c r="BT172" s="90">
        <f t="shared" si="222"/>
        <v>12200</v>
      </c>
      <c r="BU172" s="90">
        <f t="shared" si="223"/>
        <v>149000</v>
      </c>
      <c r="BV172" s="90">
        <f t="shared" si="224"/>
        <v>83000</v>
      </c>
      <c r="BW172" s="90">
        <f t="shared" ca="1" si="175"/>
        <v>159125</v>
      </c>
      <c r="BX172" s="90">
        <f t="shared" ca="1" si="176"/>
        <v>8164525</v>
      </c>
      <c r="BY172" s="142">
        <f t="shared" ca="1" si="177"/>
        <v>0.71758001843340546</v>
      </c>
      <c r="BZ172" s="142">
        <f t="shared" ca="1" si="178"/>
        <v>7.947308630936889E-2</v>
      </c>
      <c r="CA172" s="142">
        <f t="shared" ca="1" si="179"/>
        <v>0.15354720574681319</v>
      </c>
      <c r="CB172" s="142">
        <f t="shared" ca="1" si="180"/>
        <v>1.4942694155508128E-3</v>
      </c>
      <c r="CC172" s="142">
        <f t="shared" ca="1" si="181"/>
        <v>1.8249683845661568E-2</v>
      </c>
      <c r="CD172" s="142">
        <f t="shared" ca="1" si="182"/>
        <v>1.016593126973094E-2</v>
      </c>
      <c r="CE172" s="142">
        <f t="shared" ca="1" si="183"/>
        <v>1.9489804979469106E-2</v>
      </c>
      <c r="CG172" s="128">
        <f t="shared" si="184"/>
        <v>143</v>
      </c>
      <c r="CH172" s="90">
        <f ca="1">INDEX(角色升级!$A:$A,MATCH(玩家节奏1!$BX172,角色升级!$J:$J,1))</f>
        <v>672</v>
      </c>
      <c r="CI172" s="90">
        <f ca="1">INDEX(角色升级!$O:$O,MATCH(玩家节奏1!$BX172,角色升级!$J:$J,1))</f>
        <v>37213.595265000004</v>
      </c>
      <c r="CJ172" s="90">
        <f>INDEX(关卡对比!$J:$J,MATCH(玩家节奏1!N172,关卡对比!$A:$A,0))</f>
        <v>57700</v>
      </c>
      <c r="CK172" s="147">
        <f t="shared" ca="1" si="185"/>
        <v>1.5505086135621999</v>
      </c>
      <c r="CL172" s="128">
        <f ca="1">INDEX(角色升级!$P:$P,MATCH(玩家节奏1!$CH172,角色升级!$A:$A,0))</f>
        <v>14300</v>
      </c>
      <c r="CM172" s="90">
        <f ca="1">INDEX(角色升级!Q:Q,MATCH(玩家节奏1!$CH172,角色升级!$A:$A,0))</f>
        <v>1.1000000000000001</v>
      </c>
      <c r="CO172" s="128">
        <f t="shared" si="186"/>
        <v>40106</v>
      </c>
      <c r="CP172" s="90">
        <f t="shared" si="187"/>
        <v>46901</v>
      </c>
      <c r="CQ172" s="90">
        <f t="shared" si="188"/>
        <v>25464</v>
      </c>
      <c r="CR172" s="90">
        <f t="shared" ca="1" si="189"/>
        <v>117622.5</v>
      </c>
      <c r="CS172" s="90">
        <f t="shared" ca="1" si="190"/>
        <v>230093.5</v>
      </c>
      <c r="CT172" s="142">
        <f t="shared" ca="1" si="191"/>
        <v>0.17430305506239854</v>
      </c>
      <c r="CU172" s="142">
        <f t="shared" ca="1" si="192"/>
        <v>0.20383452813747455</v>
      </c>
      <c r="CV172" s="142">
        <f t="shared" ca="1" si="193"/>
        <v>0.11066805450827598</v>
      </c>
      <c r="CW172" s="142">
        <f t="shared" ca="1" si="194"/>
        <v>0.51119436229185089</v>
      </c>
      <c r="CY172" s="128">
        <f t="shared" si="195"/>
        <v>20054</v>
      </c>
      <c r="CZ172" s="90">
        <f t="shared" si="196"/>
        <v>23281</v>
      </c>
      <c r="DA172" s="90">
        <f t="shared" si="197"/>
        <v>15640</v>
      </c>
      <c r="DB172" s="90">
        <f t="shared" ca="1" si="198"/>
        <v>67462</v>
      </c>
      <c r="DC172" s="90">
        <f t="shared" ca="1" si="199"/>
        <v>126437</v>
      </c>
      <c r="DD172" s="142">
        <f t="shared" ca="1" si="200"/>
        <v>0.15860863513053933</v>
      </c>
      <c r="DE172" s="142">
        <f t="shared" ca="1" si="201"/>
        <v>0.18413122740969812</v>
      </c>
      <c r="DF172" s="142">
        <f t="shared" ca="1" si="202"/>
        <v>0.12369796815805501</v>
      </c>
      <c r="DG172" s="142">
        <f t="shared" ca="1" si="203"/>
        <v>0.53356216930170752</v>
      </c>
      <c r="DI172" s="128">
        <f t="shared" si="204"/>
        <v>9594</v>
      </c>
      <c r="DJ172" s="90">
        <f t="shared" si="205"/>
        <v>11167</v>
      </c>
      <c r="DK172" s="90">
        <f t="shared" si="206"/>
        <v>5576</v>
      </c>
      <c r="DL172" s="90">
        <f t="shared" ca="1" si="207"/>
        <v>9369</v>
      </c>
      <c r="DM172" s="90">
        <f t="shared" ca="1" si="208"/>
        <v>35706</v>
      </c>
      <c r="DN172" s="142">
        <f t="shared" ca="1" si="209"/>
        <v>0.26869433708620399</v>
      </c>
      <c r="DO172" s="142">
        <f t="shared" ca="1" si="210"/>
        <v>0.31274855766537835</v>
      </c>
      <c r="DP172" s="142">
        <f t="shared" ca="1" si="211"/>
        <v>0.15616423010138353</v>
      </c>
      <c r="DQ172" s="142">
        <f t="shared" ca="1" si="212"/>
        <v>0.26239287514703413</v>
      </c>
      <c r="DS172" s="128">
        <f t="shared" ca="1" si="213"/>
        <v>230093.5</v>
      </c>
      <c r="DT172" s="90">
        <f t="shared" ca="1" si="214"/>
        <v>126437</v>
      </c>
      <c r="DU172" s="90">
        <f t="shared" ca="1" si="215"/>
        <v>35706</v>
      </c>
      <c r="DV172" s="90">
        <f t="shared" si="216"/>
        <v>149</v>
      </c>
      <c r="DW172" s="90">
        <f ca="1">_xlfn.IFNA(INDEX(武器升级消耗!$H:$H,MATCH(玩家节奏1!DS172/玩家节奏1!DS$5,武器升级消耗!M:M,1)),0)</f>
        <v>43</v>
      </c>
      <c r="DX172" s="90">
        <f ca="1">_xlfn.IFNA(INDEX(武器升级消耗!$H:$H,MATCH(玩家节奏1!DT172/玩家节奏1!DT$5,武器升级消耗!N:N,1)),0)</f>
        <v>38</v>
      </c>
      <c r="DY172" s="90">
        <f ca="1">_xlfn.IFNA(INDEX(武器升级消耗!$H:$H,MATCH(玩家节奏1!DU172/玩家节奏1!DU$5,武器升级消耗!O:O,1)),0)</f>
        <v>26</v>
      </c>
      <c r="DZ172" s="90">
        <f>_xlfn.IFNA(INDEX(武器升级消耗!$H:$H,MATCH(玩家节奏1!DV172/玩家节奏1!DV$5,武器升级消耗!P:P,1)),0)</f>
        <v>13</v>
      </c>
      <c r="EA172" s="90">
        <f ca="1">_xlfn.IFNA(INDEX(武器升级消耗!$Q:$Q,MATCH(玩家节奏1!DW172,武器升级消耗!$H:$H,0))*2*EA$4,0)</f>
        <v>5.64</v>
      </c>
      <c r="EB172" s="90">
        <f ca="1">_xlfn.IFNA(INDEX(武器升级消耗!$Q:$Q,MATCH(玩家节奏1!DX172,武器升级消耗!$H:$H,0))*2*EB$4,0)</f>
        <v>6.3000000000000007</v>
      </c>
      <c r="EC172" s="90">
        <f ca="1">_xlfn.IFNA(INDEX(武器升级消耗!$Q:$Q,MATCH(玩家节奏1!DY172,武器升级消耗!$H:$H,0))*2*EC$4,1)</f>
        <v>6.6000000000000005</v>
      </c>
      <c r="ED172" s="90">
        <f>_xlfn.IFNA(INDEX(武器升级消耗!$Q:$Q,MATCH(玩家节奏1!DZ172,武器升级消耗!$H:$H,0))*2*ED$4,0)</f>
        <v>5.0999999999999996</v>
      </c>
    </row>
    <row r="173" spans="1:134" x14ac:dyDescent="0.25">
      <c r="A173" s="123">
        <v>167</v>
      </c>
      <c r="B173" s="123">
        <f>INDEX(关卡对比!$Y:$Y,MATCH(关卡对比!Z173,关卡对比!$AA:$AA,1))</f>
        <v>97</v>
      </c>
      <c r="C173" s="124">
        <f>INDEX(关卡对比!$Y:$Y,MATCH(关卡对比!Z173,关卡对比!$AB:$AB,1))</f>
        <v>74</v>
      </c>
      <c r="D173" s="125">
        <f t="shared" si="230"/>
        <v>983.5</v>
      </c>
      <c r="E173" s="125">
        <v>3</v>
      </c>
      <c r="F173" s="128">
        <v>5</v>
      </c>
      <c r="G173" s="90">
        <v>1</v>
      </c>
      <c r="H173" s="90">
        <v>1</v>
      </c>
      <c r="J173" s="128">
        <v>167</v>
      </c>
      <c r="K173" s="90">
        <f t="shared" si="225"/>
        <v>5</v>
      </c>
      <c r="L173" s="90">
        <f t="shared" si="226"/>
        <v>1</v>
      </c>
      <c r="M173" s="90">
        <f t="shared" si="227"/>
        <v>1</v>
      </c>
      <c r="N173" s="140">
        <f>INDEX($A:$A,MATCH(SUM($K$7:K173),$D:$D,1))</f>
        <v>144</v>
      </c>
      <c r="O173" s="140">
        <v>0</v>
      </c>
      <c r="P173" s="141">
        <v>0</v>
      </c>
      <c r="Q173" s="126">
        <f>_xlfn.MAXIFS(关卡产出!X:X,关卡产出!$A:$A,玩家节奏1!$N$6,关卡产出!$B:$B,玩家节奏1!$N173)+_xlfn.MAXIFS(关卡产出!X:X,关卡产出!$A:$A,玩家节奏1!$O$6,关卡产出!$B:$B,玩家节奏1!$O173)+_xlfn.MAXIFS(关卡产出!X:X,关卡产出!$A:$A,玩家节奏1!$P$6,关卡产出!$B:$B,玩家节奏1!$P173)</f>
        <v>27300</v>
      </c>
      <c r="R173" s="90">
        <f>_xlfn.MAXIFS(关卡产出!Y:Y,关卡产出!$A:$A,玩家节奏1!$N$6,关卡产出!$B:$B,玩家节奏1!$N173)+_xlfn.MAXIFS(关卡产出!Y:Y,关卡产出!$A:$A,玩家节奏1!$O$6,关卡产出!$B:$B,玩家节奏1!$O173)+_xlfn.MAXIFS(关卡产出!Y:Y,关卡产出!$A:$A,玩家节奏1!$P$6,关卡产出!$B:$B,玩家节奏1!$P173)</f>
        <v>5942800</v>
      </c>
      <c r="S173" s="90">
        <f>_xlfn.MAXIFS(关卡产出!Z:Z,关卡产出!$A:$A,玩家节奏1!$N$6,关卡产出!$B:$B,玩家节奏1!$N173)+_xlfn.MAXIFS(关卡产出!Z:Z,关卡产出!$A:$A,玩家节奏1!$O$6,关卡产出!$B:$B,玩家节奏1!$O173)+_xlfn.MAXIFS(关卡产出!Z:Z,关卡产出!$A:$A,玩家节奏1!$P$6,关卡产出!$B:$B,玩家节奏1!$P173)</f>
        <v>40674</v>
      </c>
      <c r="T173" s="90">
        <f>_xlfn.MAXIFS(关卡产出!AA:AA,关卡产出!$A:$A,玩家节奏1!$N$6,关卡产出!$B:$B,玩家节奏1!$N173)+_xlfn.MAXIFS(关卡产出!AA:AA,关卡产出!$A:$A,玩家节奏1!$O$6,关卡产出!$B:$B,玩家节奏1!$O173)+_xlfn.MAXIFS(关卡产出!AA:AA,关卡产出!$A:$A,玩家节奏1!$P$6,关卡产出!$B:$B,玩家节奏1!$P173)</f>
        <v>20338</v>
      </c>
      <c r="U173" s="90">
        <f>_xlfn.MAXIFS(关卡产出!AB:AB,关卡产出!$A:$A,玩家节奏1!$N$6,关卡产出!$B:$B,玩家节奏1!$N173)+_xlfn.MAXIFS(关卡产出!AB:AB,关卡产出!$A:$A,玩家节奏1!$O$6,关卡产出!$B:$B,玩家节奏1!$O173)+_xlfn.MAXIFS(关卡产出!AB:AB,关卡产出!$A:$A,玩家节奏1!$P$6,关卡产出!$B:$B,玩家节奏1!$P173)</f>
        <v>9733</v>
      </c>
      <c r="V173" s="130">
        <f>_xlfn.MAXIFS(关卡产出!AC:AC,关卡产出!$A:$A,玩家节奏1!$N$6,关卡产出!$B:$B,玩家节奏1!$N173)+_xlfn.MAXIFS(关卡产出!AC:AC,关卡产出!$A:$A,玩家节奏1!$O$6,关卡产出!$B:$B,玩家节奏1!$O173)+_xlfn.MAXIFS(关卡产出!AC:AC,关卡产出!$A:$A,玩家节奏1!$P$6,关卡产出!$B:$B,玩家节奏1!$P173)</f>
        <v>864</v>
      </c>
      <c r="W173" s="126">
        <f>INDEX(关卡产出!C$8:C$207,MATCH(玩家节奏1!$N173,关卡产出!$B$8:$B$207,0))*$K173</f>
        <v>570</v>
      </c>
      <c r="X173" s="126">
        <f>INDEX(关卡产出!D$8:D$207,MATCH(玩家节奏1!$N173,关卡产出!$B$8:$B$207,0))*$K173</f>
        <v>285</v>
      </c>
      <c r="Y173" s="126">
        <f>INDEX(关卡产出!E$8:E$207,MATCH(玩家节奏1!$N173,关卡产出!$B$8:$B$207,0))*$K173</f>
        <v>140</v>
      </c>
      <c r="Z173" s="144">
        <f>INDEX(关卡产出!F$8:F$207,MATCH(玩家节奏1!$N173,关卡产出!$B$8:$B$207,0))*$K173</f>
        <v>7450</v>
      </c>
      <c r="AA173" s="126">
        <f>SUM(W$7:W173)</f>
        <v>47471</v>
      </c>
      <c r="AB173" s="126">
        <f>SUM(X$7:X173)</f>
        <v>23566</v>
      </c>
      <c r="AC173" s="126">
        <f>SUM(Y$7:Y173)</f>
        <v>11307</v>
      </c>
      <c r="AD173" s="126">
        <f>SUM(Z$7:Z173)</f>
        <v>656310</v>
      </c>
      <c r="AE173" s="126">
        <f>INDEX(图鉴!AQ:AQ,MATCH($N173,图鉴!$S:$S,0))*8</f>
        <v>168</v>
      </c>
      <c r="AF173" s="90">
        <f>INDEX(图鉴!AR:AR,MATCH($N173,图鉴!$S:$S,0))*8</f>
        <v>120</v>
      </c>
      <c r="AG173" s="90">
        <f>INDEX(图鉴!AS:AS,MATCH($N173,图鉴!$S:$S,0))*8</f>
        <v>48</v>
      </c>
      <c r="AH173" s="129">
        <f ca="1">INDEX(图鉴!AT:AT,MATCH($N173,图鉴!$S:$S,0))*8</f>
        <v>11760</v>
      </c>
      <c r="AI173" s="128">
        <f>SUM($AE$7:AE173)</f>
        <v>25632</v>
      </c>
      <c r="AJ173" s="90">
        <f>SUM(AF$7:AF173)</f>
        <v>15760</v>
      </c>
      <c r="AK173" s="90">
        <f>SUM(AG$7:AG173)</f>
        <v>5624</v>
      </c>
      <c r="AL173" s="130">
        <f ca="1">SUM(AH$7:AH173)</f>
        <v>1265400</v>
      </c>
      <c r="AM173" s="133">
        <f>IF(M173=0,0,INDEX(关卡产出!$AU$11:$AU$15,MATCH(玩家节奏1!N173,关卡产出!$AW$11:$AW$15,1))*M173)</f>
        <v>12200</v>
      </c>
      <c r="AN173" s="126">
        <f>IF(L173=0,0,$L173*关卡产出!AU$21)</f>
        <v>1000</v>
      </c>
      <c r="AO173" s="90">
        <f>IF(M173=0,0,$L173*关卡产出!AV$21)</f>
        <v>50</v>
      </c>
      <c r="AP173" s="129">
        <f>IF(N173=0,0,$L173*关卡产出!AW$21)</f>
        <v>1</v>
      </c>
      <c r="AQ173" s="138">
        <f>SUM(AN$7:AN173)</f>
        <v>150000</v>
      </c>
      <c r="AR173" s="126">
        <f>SUM(AO$7:AO173)</f>
        <v>7500</v>
      </c>
      <c r="AS173" s="129">
        <f>SUM(AP$7:AP173)</f>
        <v>150</v>
      </c>
      <c r="AT173" s="128">
        <v>500</v>
      </c>
      <c r="AU173" s="129">
        <v>100</v>
      </c>
      <c r="AV173" s="128">
        <f>SUM(AT$7:AT173)</f>
        <v>83500</v>
      </c>
      <c r="AW173" s="90">
        <f>SUM(AU$7:AU173)</f>
        <v>16700</v>
      </c>
      <c r="AY173" s="128">
        <f t="shared" si="167"/>
        <v>27300</v>
      </c>
      <c r="AZ173" s="90">
        <f t="shared" si="168"/>
        <v>7500</v>
      </c>
      <c r="BA173" s="90">
        <f t="shared" si="169"/>
        <v>16700</v>
      </c>
      <c r="BB173" s="90">
        <f t="shared" ca="1" si="217"/>
        <v>14300</v>
      </c>
      <c r="BC173" s="90">
        <f t="shared" ca="1" si="218"/>
        <v>65800</v>
      </c>
      <c r="BD173" s="90"/>
      <c r="BE173" s="90">
        <f t="shared" ca="1" si="170"/>
        <v>65800</v>
      </c>
      <c r="BF173" s="142">
        <f t="shared" ca="1" si="171"/>
        <v>0.41489361702127658</v>
      </c>
      <c r="BG173" s="142">
        <f t="shared" ca="1" si="172"/>
        <v>0.11398176291793313</v>
      </c>
      <c r="BH173" s="142">
        <f t="shared" ca="1" si="228"/>
        <v>0.25379939209726443</v>
      </c>
      <c r="BI173" s="142">
        <f t="shared" ca="1" si="229"/>
        <v>0.21732522796352582</v>
      </c>
      <c r="BJ173" s="143"/>
      <c r="BK173" s="128">
        <f ca="1">INDEX(商城宝箱!$L:$L,MATCH(BC173,商城宝箱!$N:$N,1))</f>
        <v>10</v>
      </c>
      <c r="BL173" s="90">
        <f ca="1">_xlfn.IFNA(INDEX(商城宝箱!T:T,MATCH(玩家节奏1!$BK173,商城宝箱!$L:$L,0)),0)+($BC173-INDEX(商城宝箱!$N:$N,MATCH(玩家节奏1!$BK173,商城宝箱!$L:$L,0)))/$BK$5*INDEX(商城宝箱!E$23:E$42,MATCH(玩家节奏1!$BK173+1,商城宝箱!$C$23:$C$42,0))</f>
        <v>164500</v>
      </c>
      <c r="BM173" s="90">
        <f ca="1">_xlfn.IFNA(INDEX(商城宝箱!U:U,MATCH(玩家节奏1!$BK173,商城宝箱!$L:$L,0)),0)+($BC173-INDEX(商城宝箱!$N:$N,MATCH(玩家节奏1!$BK173,商城宝箱!$L:$L,0)))/$BK$5*INDEX(商城宝箱!F$23:F$42,MATCH(玩家节奏1!$BK173+1,商城宝箱!$C$23:$C$42,0))</f>
        <v>124502.5</v>
      </c>
      <c r="BN173" s="90">
        <f ca="1">_xlfn.IFNA(INDEX(商城宝箱!V:V,MATCH(玩家节奏1!$BK173,商城宝箱!$L:$L,0)),0)+($BC173-INDEX(商城宝箱!$N:$N,MATCH(玩家节奏1!$BK173,商城宝箱!$L:$L,0)))/$BK$5*INDEX(商城宝箱!G$23:G$42,MATCH(玩家节奏1!$BK173+1,商城宝箱!$C$23:$C$42,0))</f>
        <v>70687</v>
      </c>
      <c r="BO173" s="90">
        <f ca="1">_xlfn.IFNA(INDEX(商城宝箱!W:W,MATCH(玩家节奏1!$BK173,商城宝箱!$L:$L,0)),0)+($BC173-INDEX(商城宝箱!$N:$N,MATCH(玩家节奏1!$BK173,商城宝箱!$L:$L,0)))/$BK$5*INDEX(商城宝箱!H$23:H$42,MATCH(玩家节奏1!$BK173+1,商城宝箱!$C$23:$C$42,0))</f>
        <v>9906.5</v>
      </c>
      <c r="BQ173" s="128">
        <f t="shared" si="219"/>
        <v>5942800</v>
      </c>
      <c r="BR173" s="90">
        <f t="shared" si="220"/>
        <v>656310</v>
      </c>
      <c r="BS173" s="90">
        <f t="shared" ca="1" si="221"/>
        <v>1265400</v>
      </c>
      <c r="BT173" s="90">
        <f t="shared" si="222"/>
        <v>12200</v>
      </c>
      <c r="BU173" s="90">
        <f t="shared" si="223"/>
        <v>150000</v>
      </c>
      <c r="BV173" s="90">
        <f t="shared" si="224"/>
        <v>83500</v>
      </c>
      <c r="BW173" s="90">
        <f t="shared" ca="1" si="175"/>
        <v>164500</v>
      </c>
      <c r="BX173" s="90">
        <f t="shared" ca="1" si="176"/>
        <v>8274710</v>
      </c>
      <c r="BY173" s="142">
        <f t="shared" ca="1" si="177"/>
        <v>0.71818831113114534</v>
      </c>
      <c r="BZ173" s="142">
        <f t="shared" ca="1" si="178"/>
        <v>7.9315166332113149E-2</v>
      </c>
      <c r="CA173" s="142">
        <f t="shared" ca="1" si="179"/>
        <v>0.15292378826569147</v>
      </c>
      <c r="CB173" s="142">
        <f t="shared" ca="1" si="180"/>
        <v>1.4743719115231833E-3</v>
      </c>
      <c r="CC173" s="142">
        <f t="shared" ca="1" si="181"/>
        <v>1.8127523502334222E-2</v>
      </c>
      <c r="CD173" s="142">
        <f t="shared" ca="1" si="182"/>
        <v>1.0090988082966049E-2</v>
      </c>
      <c r="CE173" s="142">
        <f t="shared" ca="1" si="183"/>
        <v>1.9879850774226528E-2</v>
      </c>
      <c r="CG173" s="128">
        <f t="shared" si="184"/>
        <v>144</v>
      </c>
      <c r="CH173" s="90">
        <f ca="1">INDEX(角色升级!$A:$A,MATCH(玩家节奏1!$BX173,角色升级!$J:$J,1))</f>
        <v>676</v>
      </c>
      <c r="CI173" s="90">
        <f ca="1">INDEX(角色升级!$O:$O,MATCH(玩家节奏1!$BX173,角色升级!$J:$J,1))</f>
        <v>37335.507124999996</v>
      </c>
      <c r="CJ173" s="90">
        <f>INDEX(关卡对比!$J:$J,MATCH(玩家节奏1!N173,关卡对比!$A:$A,0))</f>
        <v>58200</v>
      </c>
      <c r="CK173" s="147">
        <f t="shared" ca="1" si="185"/>
        <v>1.5588378056616528</v>
      </c>
      <c r="CL173" s="128">
        <f ca="1">INDEX(角色升级!$P:$P,MATCH(玩家节奏1!$CH173,角色升级!$A:$A,0))</f>
        <v>14300</v>
      </c>
      <c r="CM173" s="90">
        <f ca="1">INDEX(角色升级!Q:Q,MATCH(玩家节奏1!$CH173,角色升级!$A:$A,0))</f>
        <v>1.1000000000000001</v>
      </c>
      <c r="CO173" s="128">
        <f t="shared" si="186"/>
        <v>40674</v>
      </c>
      <c r="CP173" s="90">
        <f t="shared" si="187"/>
        <v>47471</v>
      </c>
      <c r="CQ173" s="90">
        <f t="shared" si="188"/>
        <v>25632</v>
      </c>
      <c r="CR173" s="90">
        <f t="shared" ca="1" si="189"/>
        <v>124502.5</v>
      </c>
      <c r="CS173" s="90">
        <f t="shared" ca="1" si="190"/>
        <v>238279.5</v>
      </c>
      <c r="CT173" s="142">
        <f t="shared" ca="1" si="191"/>
        <v>0.17069869627894971</v>
      </c>
      <c r="CU173" s="142">
        <f t="shared" ca="1" si="192"/>
        <v>0.19922402053051144</v>
      </c>
      <c r="CV173" s="142">
        <f t="shared" ca="1" si="193"/>
        <v>0.10757115068648374</v>
      </c>
      <c r="CW173" s="142">
        <f t="shared" ca="1" si="194"/>
        <v>0.52250613250405509</v>
      </c>
      <c r="CY173" s="128">
        <f t="shared" si="195"/>
        <v>20338</v>
      </c>
      <c r="CZ173" s="90">
        <f t="shared" si="196"/>
        <v>23566</v>
      </c>
      <c r="DA173" s="90">
        <f t="shared" si="197"/>
        <v>15760</v>
      </c>
      <c r="DB173" s="90">
        <f t="shared" ca="1" si="198"/>
        <v>70687</v>
      </c>
      <c r="DC173" s="90">
        <f t="shared" ca="1" si="199"/>
        <v>130351</v>
      </c>
      <c r="DD173" s="142">
        <f t="shared" ca="1" si="200"/>
        <v>0.15602488665219291</v>
      </c>
      <c r="DE173" s="142">
        <f t="shared" ca="1" si="201"/>
        <v>0.18078879333491879</v>
      </c>
      <c r="DF173" s="142">
        <f t="shared" ca="1" si="202"/>
        <v>0.12090432754639396</v>
      </c>
      <c r="DG173" s="142">
        <f t="shared" ca="1" si="203"/>
        <v>0.54228199246649433</v>
      </c>
      <c r="DI173" s="128">
        <f t="shared" si="204"/>
        <v>9733</v>
      </c>
      <c r="DJ173" s="90">
        <f t="shared" si="205"/>
        <v>11307</v>
      </c>
      <c r="DK173" s="90">
        <f t="shared" si="206"/>
        <v>5624</v>
      </c>
      <c r="DL173" s="90">
        <f t="shared" ca="1" si="207"/>
        <v>9906.5</v>
      </c>
      <c r="DM173" s="90">
        <f t="shared" ca="1" si="208"/>
        <v>36570.5</v>
      </c>
      <c r="DN173" s="142">
        <f t="shared" ca="1" si="209"/>
        <v>0.26614347629920293</v>
      </c>
      <c r="DO173" s="142">
        <f t="shared" ca="1" si="210"/>
        <v>0.30918363161564649</v>
      </c>
      <c r="DP173" s="142">
        <f t="shared" ca="1" si="211"/>
        <v>0.15378515470119358</v>
      </c>
      <c r="DQ173" s="142">
        <f t="shared" ca="1" si="212"/>
        <v>0.27088773738395699</v>
      </c>
      <c r="DS173" s="128">
        <f t="shared" ca="1" si="213"/>
        <v>238279.5</v>
      </c>
      <c r="DT173" s="90">
        <f t="shared" ca="1" si="214"/>
        <v>130351</v>
      </c>
      <c r="DU173" s="90">
        <f t="shared" ca="1" si="215"/>
        <v>36570.5</v>
      </c>
      <c r="DV173" s="90">
        <f t="shared" si="216"/>
        <v>150</v>
      </c>
      <c r="DW173" s="90">
        <f ca="1">_xlfn.IFNA(INDEX(武器升级消耗!$H:$H,MATCH(玩家节奏1!DS173/玩家节奏1!DS$5,武器升级消耗!M:M,1)),0)</f>
        <v>43</v>
      </c>
      <c r="DX173" s="90">
        <f ca="1">_xlfn.IFNA(INDEX(武器升级消耗!$H:$H,MATCH(玩家节奏1!DT173/玩家节奏1!DT$5,武器升级消耗!N:N,1)),0)</f>
        <v>39</v>
      </c>
      <c r="DY173" s="90">
        <f ca="1">_xlfn.IFNA(INDEX(武器升级消耗!$H:$H,MATCH(玩家节奏1!DU173/玩家节奏1!DU$5,武器升级消耗!O:O,1)),0)</f>
        <v>27</v>
      </c>
      <c r="DZ173" s="90">
        <f>_xlfn.IFNA(INDEX(武器升级消耗!$H:$H,MATCH(玩家节奏1!DV173/玩家节奏1!DV$5,武器升级消耗!P:P,1)),0)</f>
        <v>13</v>
      </c>
      <c r="EA173" s="90">
        <f ca="1">_xlfn.IFNA(INDEX(武器升级消耗!$Q:$Q,MATCH(玩家节奏1!DW173,武器升级消耗!$H:$H,0))*2*EA$4,0)</f>
        <v>5.64</v>
      </c>
      <c r="EB173" s="90">
        <f ca="1">_xlfn.IFNA(INDEX(武器升级消耗!$Q:$Q,MATCH(玩家节奏1!DX173,武器升级消耗!$H:$H,0))*2*EB$4,0)</f>
        <v>6.4499999999999993</v>
      </c>
      <c r="EC173" s="90">
        <f ca="1">_xlfn.IFNA(INDEX(武器升级消耗!$Q:$Q,MATCH(玩家节奏1!DY173,武器升级消耗!$H:$H,0))*2*EC$4,1)</f>
        <v>6.8200000000000012</v>
      </c>
      <c r="ED173" s="90">
        <f>_xlfn.IFNA(INDEX(武器升级消耗!$Q:$Q,MATCH(玩家节奏1!DZ173,武器升级消耗!$H:$H,0))*2*ED$4,0)</f>
        <v>5.0999999999999996</v>
      </c>
    </row>
    <row r="174" spans="1:134" x14ac:dyDescent="0.25">
      <c r="A174" s="123">
        <v>168</v>
      </c>
      <c r="B174" s="123">
        <f>INDEX(关卡对比!$Y:$Y,MATCH(关卡对比!Z174,关卡对比!$AA:$AA,1))</f>
        <v>97</v>
      </c>
      <c r="C174" s="124">
        <f>INDEX(关卡对比!$Y:$Y,MATCH(关卡对比!Z174,关卡对比!$AB:$AB,1))</f>
        <v>74</v>
      </c>
      <c r="D174" s="125">
        <f t="shared" si="230"/>
        <v>986.5</v>
      </c>
      <c r="E174" s="125">
        <v>3</v>
      </c>
      <c r="F174" s="128">
        <v>5</v>
      </c>
      <c r="G174" s="90">
        <v>1</v>
      </c>
      <c r="H174" s="90">
        <v>1</v>
      </c>
      <c r="J174" s="128">
        <v>168</v>
      </c>
      <c r="K174" s="90">
        <f t="shared" si="225"/>
        <v>5</v>
      </c>
      <c r="L174" s="90">
        <f t="shared" si="226"/>
        <v>1</v>
      </c>
      <c r="M174" s="90">
        <f t="shared" si="227"/>
        <v>1</v>
      </c>
      <c r="N174" s="140">
        <f>INDEX($A:$A,MATCH(SUM($K$7:K174),$D:$D,1))</f>
        <v>145</v>
      </c>
      <c r="O174" s="140">
        <v>0</v>
      </c>
      <c r="P174" s="141">
        <v>0</v>
      </c>
      <c r="Q174" s="126">
        <f>_xlfn.MAXIFS(关卡产出!X:X,关卡产出!$A:$A,玩家节奏1!$N$6,关卡产出!$B:$B,玩家节奏1!$N174)+_xlfn.MAXIFS(关卡产出!X:X,关卡产出!$A:$A,玩家节奏1!$O$6,关卡产出!$B:$B,玩家节奏1!$O174)+_xlfn.MAXIFS(关卡产出!X:X,关卡产出!$A:$A,玩家节奏1!$P$6,关卡产出!$B:$B,玩家节奏1!$P174)</f>
        <v>27500</v>
      </c>
      <c r="R174" s="90">
        <f>_xlfn.MAXIFS(关卡产出!Y:Y,关卡产出!$A:$A,玩家节奏1!$N$6,关卡产出!$B:$B,玩家节奏1!$N174)+_xlfn.MAXIFS(关卡产出!Y:Y,关卡产出!$A:$A,玩家节奏1!$O$6,关卡产出!$B:$B,玩家节奏1!$O174)+_xlfn.MAXIFS(关卡产出!Y:Y,关卡产出!$A:$A,玩家节奏1!$P$6,关卡产出!$B:$B,玩家节奏1!$P174)</f>
        <v>6027500</v>
      </c>
      <c r="S174" s="90">
        <f>_xlfn.MAXIFS(关卡产出!Z:Z,关卡产出!$A:$A,玩家节奏1!$N$6,关卡产出!$B:$B,玩家节奏1!$N174)+_xlfn.MAXIFS(关卡产出!Z:Z,关卡产出!$A:$A,玩家节奏1!$O$6,关卡产出!$B:$B,玩家节奏1!$O174)+_xlfn.MAXIFS(关卡产出!Z:Z,关卡产出!$A:$A,玩家节奏1!$P$6,关卡产出!$B:$B,玩家节奏1!$P174)</f>
        <v>41246</v>
      </c>
      <c r="T174" s="90">
        <f>_xlfn.MAXIFS(关卡产出!AA:AA,关卡产出!$A:$A,玩家节奏1!$N$6,关卡产出!$B:$B,玩家节奏1!$N174)+_xlfn.MAXIFS(关卡产出!AA:AA,关卡产出!$A:$A,玩家节奏1!$O$6,关卡产出!$B:$B,玩家节奏1!$O174)+_xlfn.MAXIFS(关卡产出!AA:AA,关卡产出!$A:$A,玩家节奏1!$P$6,关卡产出!$B:$B,玩家节奏1!$P174)</f>
        <v>20624</v>
      </c>
      <c r="U174" s="90">
        <f>_xlfn.MAXIFS(关卡产出!AB:AB,关卡产出!$A:$A,玩家节奏1!$N$6,关卡产出!$B:$B,玩家节奏1!$N174)+_xlfn.MAXIFS(关卡产出!AB:AB,关卡产出!$A:$A,玩家节奏1!$O$6,关卡产出!$B:$B,玩家节奏1!$O174)+_xlfn.MAXIFS(关卡产出!AB:AB,关卡产出!$A:$A,玩家节奏1!$P$6,关卡产出!$B:$B,玩家节奏1!$P174)</f>
        <v>9873</v>
      </c>
      <c r="V174" s="130">
        <f>_xlfn.MAXIFS(关卡产出!AC:AC,关卡产出!$A:$A,玩家节奏1!$N$6,关卡产出!$B:$B,玩家节奏1!$N174)+_xlfn.MAXIFS(关卡产出!AC:AC,关卡产出!$A:$A,玩家节奏1!$O$6,关卡产出!$B:$B,玩家节奏1!$O174)+_xlfn.MAXIFS(关卡产出!AC:AC,关卡产出!$A:$A,玩家节奏1!$P$6,关卡产出!$B:$B,玩家节奏1!$P174)</f>
        <v>870</v>
      </c>
      <c r="W174" s="126">
        <f>INDEX(关卡产出!C$8:C$207,MATCH(玩家节奏1!$N174,关卡产出!$B$8:$B$207,0))*$K174</f>
        <v>570</v>
      </c>
      <c r="X174" s="126">
        <f>INDEX(关卡产出!D$8:D$207,MATCH(玩家节奏1!$N174,关卡产出!$B$8:$B$207,0))*$K174</f>
        <v>285</v>
      </c>
      <c r="Y174" s="126">
        <f>INDEX(关卡产出!E$8:E$207,MATCH(玩家节奏1!$N174,关卡产出!$B$8:$B$207,0))*$K174</f>
        <v>140</v>
      </c>
      <c r="Z174" s="144">
        <f>INDEX(关卡产出!F$8:F$207,MATCH(玩家节奏1!$N174,关卡产出!$B$8:$B$207,0))*$K174</f>
        <v>7550</v>
      </c>
      <c r="AA174" s="126">
        <f>SUM(W$7:W174)</f>
        <v>48041</v>
      </c>
      <c r="AB174" s="126">
        <f>SUM(X$7:X174)</f>
        <v>23851</v>
      </c>
      <c r="AC174" s="126">
        <f>SUM(Y$7:Y174)</f>
        <v>11447</v>
      </c>
      <c r="AD174" s="126">
        <f>SUM(Z$7:Z174)</f>
        <v>663860</v>
      </c>
      <c r="AE174" s="126">
        <f>INDEX(图鉴!AQ:AQ,MATCH($N174,图鉴!$S:$S,0))*8</f>
        <v>168</v>
      </c>
      <c r="AF174" s="90">
        <f>INDEX(图鉴!AR:AR,MATCH($N174,图鉴!$S:$S,0))*8</f>
        <v>120</v>
      </c>
      <c r="AG174" s="90">
        <f>INDEX(图鉴!AS:AS,MATCH($N174,图鉴!$S:$S,0))*8</f>
        <v>48</v>
      </c>
      <c r="AH174" s="129">
        <f ca="1">INDEX(图鉴!AT:AT,MATCH($N174,图鉴!$S:$S,0))*8</f>
        <v>11760</v>
      </c>
      <c r="AI174" s="128">
        <f>SUM($AE$7:AE174)</f>
        <v>25800</v>
      </c>
      <c r="AJ174" s="90">
        <f>SUM(AF$7:AF174)</f>
        <v>15880</v>
      </c>
      <c r="AK174" s="90">
        <f>SUM(AG$7:AG174)</f>
        <v>5672</v>
      </c>
      <c r="AL174" s="130">
        <f ca="1">SUM(AH$7:AH174)</f>
        <v>1277160</v>
      </c>
      <c r="AM174" s="133">
        <f>IF(M174=0,0,INDEX(关卡产出!$AU$11:$AU$15,MATCH(玩家节奏1!N174,关卡产出!$AW$11:$AW$15,1))*M174)</f>
        <v>12200</v>
      </c>
      <c r="AN174" s="126">
        <f>IF(L174=0,0,$L174*关卡产出!AU$21)</f>
        <v>1000</v>
      </c>
      <c r="AO174" s="90">
        <f>IF(M174=0,0,$L174*关卡产出!AV$21)</f>
        <v>50</v>
      </c>
      <c r="AP174" s="129">
        <f>IF(N174=0,0,$L174*关卡产出!AW$21)</f>
        <v>1</v>
      </c>
      <c r="AQ174" s="138">
        <f>SUM(AN$7:AN174)</f>
        <v>151000</v>
      </c>
      <c r="AR174" s="126">
        <f>SUM(AO$7:AO174)</f>
        <v>7550</v>
      </c>
      <c r="AS174" s="129">
        <f>SUM(AP$7:AP174)</f>
        <v>151</v>
      </c>
      <c r="AT174" s="128">
        <v>500</v>
      </c>
      <c r="AU174" s="129">
        <v>100</v>
      </c>
      <c r="AV174" s="128">
        <f>SUM(AT$7:AT174)</f>
        <v>84000</v>
      </c>
      <c r="AW174" s="90">
        <f>SUM(AU$7:AU174)</f>
        <v>16800</v>
      </c>
      <c r="AY174" s="128">
        <f t="shared" si="167"/>
        <v>27500</v>
      </c>
      <c r="AZ174" s="90">
        <f t="shared" si="168"/>
        <v>7550</v>
      </c>
      <c r="BA174" s="90">
        <f t="shared" si="169"/>
        <v>16800</v>
      </c>
      <c r="BB174" s="90">
        <f t="shared" ca="1" si="217"/>
        <v>14300</v>
      </c>
      <c r="BC174" s="90">
        <f t="shared" ca="1" si="218"/>
        <v>66150</v>
      </c>
      <c r="BD174" s="90"/>
      <c r="BE174" s="90">
        <f t="shared" ca="1" si="170"/>
        <v>66150</v>
      </c>
      <c r="BF174" s="142">
        <f t="shared" ca="1" si="171"/>
        <v>0.41572184429327286</v>
      </c>
      <c r="BG174" s="142">
        <f t="shared" ca="1" si="172"/>
        <v>0.11413454270597127</v>
      </c>
      <c r="BH174" s="142">
        <f t="shared" ca="1" si="228"/>
        <v>0.25396825396825395</v>
      </c>
      <c r="BI174" s="142">
        <f t="shared" ca="1" si="229"/>
        <v>0.2161753590325019</v>
      </c>
      <c r="BJ174" s="143"/>
      <c r="BK174" s="128">
        <f ca="1">INDEX(商城宝箱!$L:$L,MATCH(BC174,商城宝箱!$N:$N,1))</f>
        <v>10</v>
      </c>
      <c r="BL174" s="90">
        <f ca="1">_xlfn.IFNA(INDEX(商城宝箱!T:T,MATCH(玩家节奏1!$BK174,商城宝箱!$L:$L,0)),0)+($BC174-INDEX(商城宝箱!$N:$N,MATCH(玩家节奏1!$BK174,商城宝箱!$L:$L,0)))/$BK$5*INDEX(商城宝箱!E$23:E$42,MATCH(玩家节奏1!$BK174+1,商城宝箱!$C$23:$C$42,0))</f>
        <v>165375</v>
      </c>
      <c r="BM174" s="90">
        <f ca="1">_xlfn.IFNA(INDEX(商城宝箱!U:U,MATCH(玩家节奏1!$BK174,商城宝箱!$L:$L,0)),0)+($BC174-INDEX(商城宝箱!$N:$N,MATCH(玩家节奏1!$BK174,商城宝箱!$L:$L,0)))/$BK$5*INDEX(商城宝箱!F$23:F$42,MATCH(玩家节奏1!$BK174+1,商城宝箱!$C$23:$C$42,0))</f>
        <v>125622.5</v>
      </c>
      <c r="BN174" s="90">
        <f ca="1">_xlfn.IFNA(INDEX(商城宝箱!V:V,MATCH(玩家节奏1!$BK174,商城宝箱!$L:$L,0)),0)+($BC174-INDEX(商城宝箱!$N:$N,MATCH(玩家节奏1!$BK174,商城宝箱!$L:$L,0)))/$BK$5*INDEX(商城宝箱!G$23:G$42,MATCH(玩家节奏1!$BK174+1,商城宝箱!$C$23:$C$42,0))</f>
        <v>71212</v>
      </c>
      <c r="BO174" s="90">
        <f ca="1">_xlfn.IFNA(INDEX(商城宝箱!W:W,MATCH(玩家节奏1!$BK174,商城宝箱!$L:$L,0)),0)+($BC174-INDEX(商城宝箱!$N:$N,MATCH(玩家节奏1!$BK174,商城宝箱!$L:$L,0)))/$BK$5*INDEX(商城宝箱!H$23:H$42,MATCH(玩家节奏1!$BK174+1,商城宝箱!$C$23:$C$42,0))</f>
        <v>9994</v>
      </c>
      <c r="BQ174" s="128">
        <f t="shared" si="219"/>
        <v>6027500</v>
      </c>
      <c r="BR174" s="90">
        <f t="shared" si="220"/>
        <v>663860</v>
      </c>
      <c r="BS174" s="90">
        <f t="shared" ca="1" si="221"/>
        <v>1277160</v>
      </c>
      <c r="BT174" s="90">
        <f t="shared" si="222"/>
        <v>12200</v>
      </c>
      <c r="BU174" s="90">
        <f t="shared" si="223"/>
        <v>151000</v>
      </c>
      <c r="BV174" s="90">
        <f t="shared" si="224"/>
        <v>84000</v>
      </c>
      <c r="BW174" s="90">
        <f t="shared" ca="1" si="175"/>
        <v>165375</v>
      </c>
      <c r="BX174" s="90">
        <f t="shared" ca="1" si="176"/>
        <v>8381095</v>
      </c>
      <c r="BY174" s="142">
        <f t="shared" ca="1" si="177"/>
        <v>0.71917810262262871</v>
      </c>
      <c r="BZ174" s="142">
        <f t="shared" ca="1" si="178"/>
        <v>7.920922027491635E-2</v>
      </c>
      <c r="CA174" s="142">
        <f t="shared" ca="1" si="179"/>
        <v>0.15238581593455269</v>
      </c>
      <c r="CB174" s="142">
        <f t="shared" ca="1" si="180"/>
        <v>1.4556570471996797E-3</v>
      </c>
      <c r="CC174" s="142">
        <f t="shared" ca="1" si="181"/>
        <v>1.8016738862881281E-2</v>
      </c>
      <c r="CD174" s="142">
        <f t="shared" ca="1" si="182"/>
        <v>1.0022556718424025E-2</v>
      </c>
      <c r="CE174" s="142">
        <f t="shared" ca="1" si="183"/>
        <v>1.9731908539397297E-2</v>
      </c>
      <c r="CG174" s="128">
        <f t="shared" si="184"/>
        <v>145</v>
      </c>
      <c r="CH174" s="90">
        <f ca="1">INDEX(角色升级!$A:$A,MATCH(玩家节奏1!$BX174,角色升级!$J:$J,1))</f>
        <v>679</v>
      </c>
      <c r="CI174" s="90">
        <f ca="1">INDEX(角色升级!$O:$O,MATCH(玩家节奏1!$BX174,角色升级!$J:$J,1))</f>
        <v>37426.941019999991</v>
      </c>
      <c r="CJ174" s="90">
        <f>INDEX(关卡对比!$J:$J,MATCH(玩家节奏1!N174,关卡对比!$A:$A,0))</f>
        <v>58700</v>
      </c>
      <c r="CK174" s="147">
        <f t="shared" ca="1" si="185"/>
        <v>1.5683889305469083</v>
      </c>
      <c r="CL174" s="128">
        <f ca="1">INDEX(角色升级!$P:$P,MATCH(玩家节奏1!$CH174,角色升级!$A:$A,0))</f>
        <v>14300</v>
      </c>
      <c r="CM174" s="90">
        <f ca="1">INDEX(角色升级!Q:Q,MATCH(玩家节奏1!$CH174,角色升级!$A:$A,0))</f>
        <v>1.1000000000000001</v>
      </c>
      <c r="CO174" s="128">
        <f t="shared" si="186"/>
        <v>41246</v>
      </c>
      <c r="CP174" s="90">
        <f t="shared" si="187"/>
        <v>48041</v>
      </c>
      <c r="CQ174" s="90">
        <f t="shared" si="188"/>
        <v>25800</v>
      </c>
      <c r="CR174" s="90">
        <f t="shared" ca="1" si="189"/>
        <v>125622.5</v>
      </c>
      <c r="CS174" s="90">
        <f t="shared" ca="1" si="190"/>
        <v>240709.5</v>
      </c>
      <c r="CT174" s="142">
        <f t="shared" ca="1" si="191"/>
        <v>0.17135177464952567</v>
      </c>
      <c r="CU174" s="142">
        <f t="shared" ca="1" si="192"/>
        <v>0.19958082252673867</v>
      </c>
      <c r="CV174" s="142">
        <f t="shared" ca="1" si="193"/>
        <v>0.1071831398428396</v>
      </c>
      <c r="CW174" s="142">
        <f t="shared" ca="1" si="194"/>
        <v>0.52188426298089607</v>
      </c>
      <c r="CY174" s="128">
        <f t="shared" si="195"/>
        <v>20624</v>
      </c>
      <c r="CZ174" s="90">
        <f t="shared" si="196"/>
        <v>23851</v>
      </c>
      <c r="DA174" s="90">
        <f t="shared" si="197"/>
        <v>15880</v>
      </c>
      <c r="DB174" s="90">
        <f t="shared" ca="1" si="198"/>
        <v>71212</v>
      </c>
      <c r="DC174" s="90">
        <f t="shared" ca="1" si="199"/>
        <v>131567</v>
      </c>
      <c r="DD174" s="142">
        <f t="shared" ca="1" si="200"/>
        <v>0.15675663350232202</v>
      </c>
      <c r="DE174" s="142">
        <f t="shared" ca="1" si="201"/>
        <v>0.18128406059270183</v>
      </c>
      <c r="DF174" s="142">
        <f t="shared" ca="1" si="202"/>
        <v>0.12069895946551946</v>
      </c>
      <c r="DG174" s="142">
        <f t="shared" ca="1" si="203"/>
        <v>0.54126034643945675</v>
      </c>
      <c r="DI174" s="128">
        <f t="shared" si="204"/>
        <v>9873</v>
      </c>
      <c r="DJ174" s="90">
        <f t="shared" si="205"/>
        <v>11447</v>
      </c>
      <c r="DK174" s="90">
        <f t="shared" si="206"/>
        <v>5672</v>
      </c>
      <c r="DL174" s="90">
        <f t="shared" ca="1" si="207"/>
        <v>9994</v>
      </c>
      <c r="DM174" s="90">
        <f t="shared" ca="1" si="208"/>
        <v>36986</v>
      </c>
      <c r="DN174" s="142">
        <f t="shared" ca="1" si="209"/>
        <v>0.26693884172389554</v>
      </c>
      <c r="DO174" s="142">
        <f t="shared" ca="1" si="210"/>
        <v>0.30949548477802413</v>
      </c>
      <c r="DP174" s="142">
        <f t="shared" ca="1" si="211"/>
        <v>0.15335532363597038</v>
      </c>
      <c r="DQ174" s="142">
        <f t="shared" ca="1" si="212"/>
        <v>0.27021034986211001</v>
      </c>
      <c r="DS174" s="128">
        <f t="shared" ca="1" si="213"/>
        <v>240709.5</v>
      </c>
      <c r="DT174" s="90">
        <f t="shared" ca="1" si="214"/>
        <v>131567</v>
      </c>
      <c r="DU174" s="90">
        <f t="shared" ca="1" si="215"/>
        <v>36986</v>
      </c>
      <c r="DV174" s="90">
        <f t="shared" si="216"/>
        <v>151</v>
      </c>
      <c r="DW174" s="90">
        <f ca="1">_xlfn.IFNA(INDEX(武器升级消耗!$H:$H,MATCH(玩家节奏1!DS174/玩家节奏1!DS$5,武器升级消耗!M:M,1)),0)</f>
        <v>44</v>
      </c>
      <c r="DX174" s="90">
        <f ca="1">_xlfn.IFNA(INDEX(武器升级消耗!$H:$H,MATCH(玩家节奏1!DT174/玩家节奏1!DT$5,武器升级消耗!N:N,1)),0)</f>
        <v>39</v>
      </c>
      <c r="DY174" s="90">
        <f ca="1">_xlfn.IFNA(INDEX(武器升级消耗!$H:$H,MATCH(玩家节奏1!DU174/玩家节奏1!DU$5,武器升级消耗!O:O,1)),0)</f>
        <v>27</v>
      </c>
      <c r="DZ174" s="90">
        <f>_xlfn.IFNA(INDEX(武器升级消耗!$H:$H,MATCH(玩家节奏1!DV174/玩家节奏1!DV$5,武器升级消耗!P:P,1)),0)</f>
        <v>13</v>
      </c>
      <c r="EA174" s="90">
        <f ca="1">_xlfn.IFNA(INDEX(武器升级消耗!$Q:$Q,MATCH(玩家节奏1!DW174,武器升级消耗!$H:$H,0))*2*EA$4,0)</f>
        <v>5.76</v>
      </c>
      <c r="EB174" s="90">
        <f ca="1">_xlfn.IFNA(INDEX(武器升级消耗!$Q:$Q,MATCH(玩家节奏1!DX174,武器升级消耗!$H:$H,0))*2*EB$4,0)</f>
        <v>6.4499999999999993</v>
      </c>
      <c r="EC174" s="90">
        <f ca="1">_xlfn.IFNA(INDEX(武器升级消耗!$Q:$Q,MATCH(玩家节奏1!DY174,武器升级消耗!$H:$H,0))*2*EC$4,1)</f>
        <v>6.8200000000000012</v>
      </c>
      <c r="ED174" s="90">
        <f>_xlfn.IFNA(INDEX(武器升级消耗!$Q:$Q,MATCH(玩家节奏1!DZ174,武器升级消耗!$H:$H,0))*2*ED$4,0)</f>
        <v>5.0999999999999996</v>
      </c>
    </row>
    <row r="175" spans="1:134" x14ac:dyDescent="0.25">
      <c r="A175" s="123">
        <v>169</v>
      </c>
      <c r="B175" s="123">
        <f>INDEX(关卡对比!$Y:$Y,MATCH(关卡对比!Z175,关卡对比!$AA:$AA,1))</f>
        <v>98</v>
      </c>
      <c r="C175" s="124">
        <f>INDEX(关卡对比!$Y:$Y,MATCH(关卡对比!Z175,关卡对比!$AB:$AB,1))</f>
        <v>74</v>
      </c>
      <c r="D175" s="125">
        <f t="shared" si="230"/>
        <v>992.5</v>
      </c>
      <c r="E175" s="125">
        <v>3</v>
      </c>
      <c r="F175" s="128">
        <v>5</v>
      </c>
      <c r="G175" s="90">
        <v>1</v>
      </c>
      <c r="H175" s="90">
        <v>1</v>
      </c>
      <c r="J175" s="128">
        <v>169</v>
      </c>
      <c r="K175" s="90">
        <f t="shared" si="225"/>
        <v>5</v>
      </c>
      <c r="L175" s="90">
        <f t="shared" si="226"/>
        <v>1</v>
      </c>
      <c r="M175" s="90">
        <f t="shared" si="227"/>
        <v>1</v>
      </c>
      <c r="N175" s="140">
        <f>INDEX($A:$A,MATCH(SUM($K$7:K175),$D:$D,1))</f>
        <v>146</v>
      </c>
      <c r="O175" s="140">
        <v>0</v>
      </c>
      <c r="P175" s="141">
        <v>0</v>
      </c>
      <c r="Q175" s="126">
        <f>_xlfn.MAXIFS(关卡产出!X:X,关卡产出!$A:$A,玩家节奏1!$N$6,关卡产出!$B:$B,玩家节奏1!$N175)+_xlfn.MAXIFS(关卡产出!X:X,关卡产出!$A:$A,玩家节奏1!$O$6,关卡产出!$B:$B,玩家节奏1!$O175)+_xlfn.MAXIFS(关卡产出!X:X,关卡产出!$A:$A,玩家节奏1!$P$6,关卡产出!$B:$B,玩家节奏1!$P175)</f>
        <v>27700</v>
      </c>
      <c r="R175" s="90">
        <f>_xlfn.MAXIFS(关卡产出!Y:Y,关卡产出!$A:$A,玩家节奏1!$N$6,关卡产出!$B:$B,玩家节奏1!$N175)+_xlfn.MAXIFS(关卡产出!Y:Y,关卡产出!$A:$A,玩家节奏1!$O$6,关卡产出!$B:$B,玩家节奏1!$O175)+_xlfn.MAXIFS(关卡产出!Y:Y,关卡产出!$A:$A,玩家节奏1!$P$6,关卡产出!$B:$B,玩家节奏1!$P175)</f>
        <v>6112800</v>
      </c>
      <c r="S175" s="90">
        <f>_xlfn.MAXIFS(关卡产出!Z:Z,关卡产出!$A:$A,玩家节奏1!$N$6,关卡产出!$B:$B,玩家节奏1!$N175)+_xlfn.MAXIFS(关卡产出!Z:Z,关卡产出!$A:$A,玩家节奏1!$O$6,关卡产出!$B:$B,玩家节奏1!$O175)+_xlfn.MAXIFS(关卡产出!Z:Z,关卡产出!$A:$A,玩家节奏1!$P$6,关卡产出!$B:$B,玩家节奏1!$P175)</f>
        <v>41822</v>
      </c>
      <c r="T175" s="90">
        <f>_xlfn.MAXIFS(关卡产出!AA:AA,关卡产出!$A:$A,玩家节奏1!$N$6,关卡产出!$B:$B,玩家节奏1!$N175)+_xlfn.MAXIFS(关卡产出!AA:AA,关卡产出!$A:$A,玩家节奏1!$O$6,关卡产出!$B:$B,玩家节奏1!$O175)+_xlfn.MAXIFS(关卡产出!AA:AA,关卡产出!$A:$A,玩家节奏1!$P$6,关卡产出!$B:$B,玩家节奏1!$P175)</f>
        <v>20912</v>
      </c>
      <c r="U175" s="90">
        <f>_xlfn.MAXIFS(关卡产出!AB:AB,关卡产出!$A:$A,玩家节奏1!$N$6,关卡产出!$B:$B,玩家节奏1!$N175)+_xlfn.MAXIFS(关卡产出!AB:AB,关卡产出!$A:$A,玩家节奏1!$O$6,关卡产出!$B:$B,玩家节奏1!$O175)+_xlfn.MAXIFS(关卡产出!AB:AB,关卡产出!$A:$A,玩家节奏1!$P$6,关卡产出!$B:$B,玩家节奏1!$P175)</f>
        <v>10014</v>
      </c>
      <c r="V175" s="130">
        <f>_xlfn.MAXIFS(关卡产出!AC:AC,关卡产出!$A:$A,玩家节奏1!$N$6,关卡产出!$B:$B,玩家节奏1!$N175)+_xlfn.MAXIFS(关卡产出!AC:AC,关卡产出!$A:$A,玩家节奏1!$O$6,关卡产出!$B:$B,玩家节奏1!$O175)+_xlfn.MAXIFS(关卡产出!AC:AC,关卡产出!$A:$A,玩家节奏1!$P$6,关卡产出!$B:$B,玩家节奏1!$P175)</f>
        <v>876</v>
      </c>
      <c r="W175" s="126">
        <f>INDEX(关卡产出!C$8:C$207,MATCH(玩家节奏1!$N175,关卡产出!$B$8:$B$207,0))*$K175</f>
        <v>575</v>
      </c>
      <c r="X175" s="126">
        <f>INDEX(关卡产出!D$8:D$207,MATCH(玩家节奏1!$N175,关卡产出!$B$8:$B$207,0))*$K175</f>
        <v>285</v>
      </c>
      <c r="Y175" s="126">
        <f>INDEX(关卡产出!E$8:E$207,MATCH(玩家节奏1!$N175,关卡产出!$B$8:$B$207,0))*$K175</f>
        <v>140</v>
      </c>
      <c r="Z175" s="144">
        <f>INDEX(关卡产出!F$8:F$207,MATCH(玩家节奏1!$N175,关卡产出!$B$8:$B$207,0))*$K175</f>
        <v>7550</v>
      </c>
      <c r="AA175" s="126">
        <f>SUM(W$7:W175)</f>
        <v>48616</v>
      </c>
      <c r="AB175" s="126">
        <f>SUM(X$7:X175)</f>
        <v>24136</v>
      </c>
      <c r="AC175" s="126">
        <f>SUM(Y$7:Y175)</f>
        <v>11587</v>
      </c>
      <c r="AD175" s="126">
        <f>SUM(Z$7:Z175)</f>
        <v>671410</v>
      </c>
      <c r="AE175" s="126">
        <f>INDEX(图鉴!AQ:AQ,MATCH($N175,图鉴!$S:$S,0))*8</f>
        <v>168</v>
      </c>
      <c r="AF175" s="90">
        <f>INDEX(图鉴!AR:AR,MATCH($N175,图鉴!$S:$S,0))*8</f>
        <v>120</v>
      </c>
      <c r="AG175" s="90">
        <f>INDEX(图鉴!AS:AS,MATCH($N175,图鉴!$S:$S,0))*8</f>
        <v>48</v>
      </c>
      <c r="AH175" s="129">
        <f ca="1">INDEX(图鉴!AT:AT,MATCH($N175,图鉴!$S:$S,0))*8</f>
        <v>11760</v>
      </c>
      <c r="AI175" s="128">
        <f>SUM($AE$7:AE175)</f>
        <v>25968</v>
      </c>
      <c r="AJ175" s="90">
        <f>SUM(AF$7:AF175)</f>
        <v>16000</v>
      </c>
      <c r="AK175" s="90">
        <f>SUM(AG$7:AG175)</f>
        <v>5720</v>
      </c>
      <c r="AL175" s="130">
        <f ca="1">SUM(AH$7:AH175)</f>
        <v>1288920</v>
      </c>
      <c r="AM175" s="133">
        <f>IF(M175=0,0,INDEX(关卡产出!$AU$11:$AU$15,MATCH(玩家节奏1!N175,关卡产出!$AW$11:$AW$15,1))*M175)</f>
        <v>12200</v>
      </c>
      <c r="AN175" s="126">
        <f>IF(L175=0,0,$L175*关卡产出!AU$21)</f>
        <v>1000</v>
      </c>
      <c r="AO175" s="90">
        <f>IF(M175=0,0,$L175*关卡产出!AV$21)</f>
        <v>50</v>
      </c>
      <c r="AP175" s="129">
        <f>IF(N175=0,0,$L175*关卡产出!AW$21)</f>
        <v>1</v>
      </c>
      <c r="AQ175" s="138">
        <f>SUM(AN$7:AN175)</f>
        <v>152000</v>
      </c>
      <c r="AR175" s="126">
        <f>SUM(AO$7:AO175)</f>
        <v>7600</v>
      </c>
      <c r="AS175" s="129">
        <f>SUM(AP$7:AP175)</f>
        <v>152</v>
      </c>
      <c r="AT175" s="128">
        <v>500</v>
      </c>
      <c r="AU175" s="129">
        <v>100</v>
      </c>
      <c r="AV175" s="128">
        <f>SUM(AT$7:AT175)</f>
        <v>84500</v>
      </c>
      <c r="AW175" s="90">
        <f>SUM(AU$7:AU175)</f>
        <v>16900</v>
      </c>
      <c r="AY175" s="128">
        <f t="shared" si="167"/>
        <v>27700</v>
      </c>
      <c r="AZ175" s="90">
        <f t="shared" si="168"/>
        <v>7600</v>
      </c>
      <c r="BA175" s="90">
        <f t="shared" si="169"/>
        <v>16900</v>
      </c>
      <c r="BB175" s="90">
        <f t="shared" ca="1" si="217"/>
        <v>14300</v>
      </c>
      <c r="BC175" s="90">
        <f t="shared" ca="1" si="218"/>
        <v>66500</v>
      </c>
      <c r="BD175" s="90"/>
      <c r="BE175" s="90">
        <f t="shared" ca="1" si="170"/>
        <v>66500</v>
      </c>
      <c r="BF175" s="142">
        <f t="shared" ca="1" si="171"/>
        <v>0.41654135338345866</v>
      </c>
      <c r="BG175" s="142">
        <f t="shared" ca="1" si="172"/>
        <v>0.11428571428571428</v>
      </c>
      <c r="BH175" s="142">
        <f t="shared" ca="1" si="228"/>
        <v>0.25413533834586466</v>
      </c>
      <c r="BI175" s="142">
        <f t="shared" ca="1" si="229"/>
        <v>0.21503759398496242</v>
      </c>
      <c r="BJ175" s="143"/>
      <c r="BK175" s="128">
        <f ca="1">INDEX(商城宝箱!$L:$L,MATCH(BC175,商城宝箱!$N:$N,1))</f>
        <v>10</v>
      </c>
      <c r="BL175" s="90">
        <f ca="1">_xlfn.IFNA(INDEX(商城宝箱!T:T,MATCH(玩家节奏1!$BK175,商城宝箱!$L:$L,0)),0)+($BC175-INDEX(商城宝箱!$N:$N,MATCH(玩家节奏1!$BK175,商城宝箱!$L:$L,0)))/$BK$5*INDEX(商城宝箱!E$23:E$42,MATCH(玩家节奏1!$BK175+1,商城宝箱!$C$23:$C$42,0))</f>
        <v>166250</v>
      </c>
      <c r="BM175" s="90">
        <f ca="1">_xlfn.IFNA(INDEX(商城宝箱!U:U,MATCH(玩家节奏1!$BK175,商城宝箱!$L:$L,0)),0)+($BC175-INDEX(商城宝箱!$N:$N,MATCH(玩家节奏1!$BK175,商城宝箱!$L:$L,0)))/$BK$5*INDEX(商城宝箱!F$23:F$42,MATCH(玩家节奏1!$BK175+1,商城宝箱!$C$23:$C$42,0))</f>
        <v>126742.5</v>
      </c>
      <c r="BN175" s="90">
        <f ca="1">_xlfn.IFNA(INDEX(商城宝箱!V:V,MATCH(玩家节奏1!$BK175,商城宝箱!$L:$L,0)),0)+($BC175-INDEX(商城宝箱!$N:$N,MATCH(玩家节奏1!$BK175,商城宝箱!$L:$L,0)))/$BK$5*INDEX(商城宝箱!G$23:G$42,MATCH(玩家节奏1!$BK175+1,商城宝箱!$C$23:$C$42,0))</f>
        <v>71737</v>
      </c>
      <c r="BO175" s="90">
        <f ca="1">_xlfn.IFNA(INDEX(商城宝箱!W:W,MATCH(玩家节奏1!$BK175,商城宝箱!$L:$L,0)),0)+($BC175-INDEX(商城宝箱!$N:$N,MATCH(玩家节奏1!$BK175,商城宝箱!$L:$L,0)))/$BK$5*INDEX(商城宝箱!H$23:H$42,MATCH(玩家节奏1!$BK175+1,商城宝箱!$C$23:$C$42,0))</f>
        <v>10081.5</v>
      </c>
      <c r="BQ175" s="128">
        <f t="shared" si="219"/>
        <v>6112800</v>
      </c>
      <c r="BR175" s="90">
        <f t="shared" si="220"/>
        <v>671410</v>
      </c>
      <c r="BS175" s="90">
        <f t="shared" ca="1" si="221"/>
        <v>1288920</v>
      </c>
      <c r="BT175" s="90">
        <f t="shared" si="222"/>
        <v>12200</v>
      </c>
      <c r="BU175" s="90">
        <f t="shared" si="223"/>
        <v>152000</v>
      </c>
      <c r="BV175" s="90">
        <f t="shared" si="224"/>
        <v>84500</v>
      </c>
      <c r="BW175" s="90">
        <f t="shared" ca="1" si="175"/>
        <v>166250</v>
      </c>
      <c r="BX175" s="90">
        <f t="shared" ca="1" si="176"/>
        <v>8488080</v>
      </c>
      <c r="BY175" s="142">
        <f t="shared" ca="1" si="177"/>
        <v>0.72016286368648741</v>
      </c>
      <c r="BZ175" s="142">
        <f t="shared" ca="1" si="178"/>
        <v>7.9100338356848668E-2</v>
      </c>
      <c r="CA175" s="142">
        <f t="shared" ca="1" si="179"/>
        <v>0.15185059518760427</v>
      </c>
      <c r="CB175" s="142">
        <f t="shared" ca="1" si="180"/>
        <v>1.4373097331787637E-3</v>
      </c>
      <c r="CC175" s="142">
        <f t="shared" ca="1" si="181"/>
        <v>1.7907465528128858E-2</v>
      </c>
      <c r="CD175" s="142">
        <f t="shared" ca="1" si="182"/>
        <v>9.9551370863611086E-3</v>
      </c>
      <c r="CE175" s="142">
        <f t="shared" ca="1" si="183"/>
        <v>1.9586290421390939E-2</v>
      </c>
      <c r="CG175" s="128">
        <f t="shared" si="184"/>
        <v>146</v>
      </c>
      <c r="CH175" s="90">
        <f ca="1">INDEX(角色升级!$A:$A,MATCH(玩家节奏1!$BX175,角色升级!$J:$J,1))</f>
        <v>683</v>
      </c>
      <c r="CI175" s="90">
        <f ca="1">INDEX(角色升级!$O:$O,MATCH(玩家节奏1!$BX175,角色升级!$J:$J,1))</f>
        <v>37508.059930000003</v>
      </c>
      <c r="CJ175" s="90">
        <f>INDEX(关卡对比!$J:$J,MATCH(玩家节奏1!N175,关卡对比!$A:$A,0))</f>
        <v>59200</v>
      </c>
      <c r="CK175" s="147">
        <f t="shared" ca="1" si="185"/>
        <v>1.578327434436303</v>
      </c>
      <c r="CL175" s="128">
        <f ca="1">INDEX(角色升级!$P:$P,MATCH(玩家节奏1!$CH175,角色升级!$A:$A,0))</f>
        <v>14300</v>
      </c>
      <c r="CM175" s="90">
        <f ca="1">INDEX(角色升级!Q:Q,MATCH(玩家节奏1!$CH175,角色升级!$A:$A,0))</f>
        <v>1.2</v>
      </c>
      <c r="CO175" s="128">
        <f t="shared" si="186"/>
        <v>41822</v>
      </c>
      <c r="CP175" s="90">
        <f t="shared" si="187"/>
        <v>48616</v>
      </c>
      <c r="CQ175" s="90">
        <f t="shared" si="188"/>
        <v>25968</v>
      </c>
      <c r="CR175" s="90">
        <f t="shared" ca="1" si="189"/>
        <v>126742.5</v>
      </c>
      <c r="CS175" s="90">
        <f t="shared" ca="1" si="190"/>
        <v>243148.5</v>
      </c>
      <c r="CT175" s="142">
        <f t="shared" ca="1" si="191"/>
        <v>0.17200188362255989</v>
      </c>
      <c r="CU175" s="142">
        <f t="shared" ca="1" si="192"/>
        <v>0.19994365583172424</v>
      </c>
      <c r="CV175" s="142">
        <f t="shared" ca="1" si="193"/>
        <v>0.10679893151715927</v>
      </c>
      <c r="CW175" s="142">
        <f t="shared" ca="1" si="194"/>
        <v>0.52125552902855665</v>
      </c>
      <c r="CY175" s="128">
        <f t="shared" si="195"/>
        <v>20912</v>
      </c>
      <c r="CZ175" s="90">
        <f t="shared" si="196"/>
        <v>24136</v>
      </c>
      <c r="DA175" s="90">
        <f t="shared" si="197"/>
        <v>16000</v>
      </c>
      <c r="DB175" s="90">
        <f t="shared" ca="1" si="198"/>
        <v>71737</v>
      </c>
      <c r="DC175" s="90">
        <f t="shared" ca="1" si="199"/>
        <v>132785</v>
      </c>
      <c r="DD175" s="142">
        <f t="shared" ca="1" si="200"/>
        <v>0.15748766803479308</v>
      </c>
      <c r="DE175" s="142">
        <f t="shared" ca="1" si="201"/>
        <v>0.18176751892156492</v>
      </c>
      <c r="DF175" s="142">
        <f t="shared" ca="1" si="202"/>
        <v>0.12049553789961215</v>
      </c>
      <c r="DG175" s="142">
        <f t="shared" ca="1" si="203"/>
        <v>0.54024927514402987</v>
      </c>
      <c r="DI175" s="128">
        <f t="shared" si="204"/>
        <v>10014</v>
      </c>
      <c r="DJ175" s="90">
        <f t="shared" si="205"/>
        <v>11587</v>
      </c>
      <c r="DK175" s="90">
        <f t="shared" si="206"/>
        <v>5720</v>
      </c>
      <c r="DL175" s="90">
        <f t="shared" ca="1" si="207"/>
        <v>10081.5</v>
      </c>
      <c r="DM175" s="90">
        <f t="shared" ca="1" si="208"/>
        <v>37402.5</v>
      </c>
      <c r="DN175" s="142">
        <f t="shared" ca="1" si="209"/>
        <v>0.26773611389612995</v>
      </c>
      <c r="DO175" s="142">
        <f t="shared" ca="1" si="210"/>
        <v>0.30979212619477309</v>
      </c>
      <c r="DP175" s="142">
        <f t="shared" ca="1" si="211"/>
        <v>0.15293095381324778</v>
      </c>
      <c r="DQ175" s="142">
        <f t="shared" ca="1" si="212"/>
        <v>0.26954080609584918</v>
      </c>
      <c r="DS175" s="128">
        <f t="shared" ca="1" si="213"/>
        <v>243148.5</v>
      </c>
      <c r="DT175" s="90">
        <f t="shared" ca="1" si="214"/>
        <v>132785</v>
      </c>
      <c r="DU175" s="90">
        <f t="shared" ca="1" si="215"/>
        <v>37402.5</v>
      </c>
      <c r="DV175" s="90">
        <f t="shared" si="216"/>
        <v>152</v>
      </c>
      <c r="DW175" s="90">
        <f ca="1">_xlfn.IFNA(INDEX(武器升级消耗!$H:$H,MATCH(玩家节奏1!DS175/玩家节奏1!DS$5,武器升级消耗!M:M,1)),0)</f>
        <v>44</v>
      </c>
      <c r="DX175" s="90">
        <f ca="1">_xlfn.IFNA(INDEX(武器升级消耗!$H:$H,MATCH(玩家节奏1!DT175/玩家节奏1!DT$5,武器升级消耗!N:N,1)),0)</f>
        <v>39</v>
      </c>
      <c r="DY175" s="90">
        <f ca="1">_xlfn.IFNA(INDEX(武器升级消耗!$H:$H,MATCH(玩家节奏1!DU175/玩家节奏1!DU$5,武器升级消耗!O:O,1)),0)</f>
        <v>27</v>
      </c>
      <c r="DZ175" s="90">
        <f>_xlfn.IFNA(INDEX(武器升级消耗!$H:$H,MATCH(玩家节奏1!DV175/玩家节奏1!DV$5,武器升级消耗!P:P,1)),0)</f>
        <v>13</v>
      </c>
      <c r="EA175" s="90">
        <f ca="1">_xlfn.IFNA(INDEX(武器升级消耗!$Q:$Q,MATCH(玩家节奏1!DW175,武器升级消耗!$H:$H,0))*2*EA$4,0)</f>
        <v>5.76</v>
      </c>
      <c r="EB175" s="90">
        <f ca="1">_xlfn.IFNA(INDEX(武器升级消耗!$Q:$Q,MATCH(玩家节奏1!DX175,武器升级消耗!$H:$H,0))*2*EB$4,0)</f>
        <v>6.4499999999999993</v>
      </c>
      <c r="EC175" s="90">
        <f ca="1">_xlfn.IFNA(INDEX(武器升级消耗!$Q:$Q,MATCH(玩家节奏1!DY175,武器升级消耗!$H:$H,0))*2*EC$4,1)</f>
        <v>6.8200000000000012</v>
      </c>
      <c r="ED175" s="90">
        <f>_xlfn.IFNA(INDEX(武器升级消耗!$Q:$Q,MATCH(玩家节奏1!DZ175,武器升级消耗!$H:$H,0))*2*ED$4,0)</f>
        <v>5.0999999999999996</v>
      </c>
    </row>
    <row r="176" spans="1:134" x14ac:dyDescent="0.25">
      <c r="A176" s="123">
        <v>170</v>
      </c>
      <c r="B176" s="123">
        <f>INDEX(关卡对比!$Y:$Y,MATCH(关卡对比!Z176,关卡对比!$AA:$AA,1))</f>
        <v>98</v>
      </c>
      <c r="C176" s="124">
        <f>INDEX(关卡对比!$Y:$Y,MATCH(关卡对比!Z176,关卡对比!$AB:$AB,1))</f>
        <v>75</v>
      </c>
      <c r="D176" s="125">
        <f t="shared" si="230"/>
        <v>998.5</v>
      </c>
      <c r="E176" s="125">
        <v>3</v>
      </c>
      <c r="F176" s="128">
        <v>5</v>
      </c>
      <c r="G176" s="90">
        <v>1</v>
      </c>
      <c r="H176" s="90">
        <v>1</v>
      </c>
      <c r="J176" s="128">
        <v>170</v>
      </c>
      <c r="K176" s="90">
        <f t="shared" si="225"/>
        <v>5</v>
      </c>
      <c r="L176" s="90">
        <f t="shared" si="226"/>
        <v>1</v>
      </c>
      <c r="M176" s="90">
        <f t="shared" si="227"/>
        <v>1</v>
      </c>
      <c r="N176" s="140">
        <f>INDEX($A:$A,MATCH(SUM($K$7:K176),$D:$D,1))</f>
        <v>147</v>
      </c>
      <c r="O176" s="140">
        <v>0</v>
      </c>
      <c r="P176" s="141">
        <v>0</v>
      </c>
      <c r="Q176" s="126">
        <f>_xlfn.MAXIFS(关卡产出!X:X,关卡产出!$A:$A,玩家节奏1!$N$6,关卡产出!$B:$B,玩家节奏1!$N176)+_xlfn.MAXIFS(关卡产出!X:X,关卡产出!$A:$A,玩家节奏1!$O$6,关卡产出!$B:$B,玩家节奏1!$O176)+_xlfn.MAXIFS(关卡产出!X:X,关卡产出!$A:$A,玩家节奏1!$P$6,关卡产出!$B:$B,玩家节奏1!$P176)</f>
        <v>27900</v>
      </c>
      <c r="R176" s="90">
        <f>_xlfn.MAXIFS(关卡产出!Y:Y,关卡产出!$A:$A,玩家节奏1!$N$6,关卡产出!$B:$B,玩家节奏1!$N176)+_xlfn.MAXIFS(关卡产出!Y:Y,关卡产出!$A:$A,玩家节奏1!$O$6,关卡产出!$B:$B,玩家节奏1!$O176)+_xlfn.MAXIFS(关卡产出!Y:Y,关卡产出!$A:$A,玩家节奏1!$P$6,关卡产出!$B:$B,玩家节奏1!$P176)</f>
        <v>6198700</v>
      </c>
      <c r="S176" s="90">
        <f>_xlfn.MAXIFS(关卡产出!Z:Z,关卡产出!$A:$A,玩家节奏1!$N$6,关卡产出!$B:$B,玩家节奏1!$N176)+_xlfn.MAXIFS(关卡产出!Z:Z,关卡产出!$A:$A,玩家节奏1!$O$6,关卡产出!$B:$B,玩家节奏1!$O176)+_xlfn.MAXIFS(关卡产出!Z:Z,关卡产出!$A:$A,玩家节奏1!$P$6,关卡产出!$B:$B,玩家节奏1!$P176)</f>
        <v>42402</v>
      </c>
      <c r="T176" s="90">
        <f>_xlfn.MAXIFS(关卡产出!AA:AA,关卡产出!$A:$A,玩家节奏1!$N$6,关卡产出!$B:$B,玩家节奏1!$N176)+_xlfn.MAXIFS(关卡产出!AA:AA,关卡产出!$A:$A,玩家节奏1!$O$6,关卡产出!$B:$B,玩家节奏1!$O176)+_xlfn.MAXIFS(关卡产出!AA:AA,关卡产出!$A:$A,玩家节奏1!$P$6,关卡产出!$B:$B,玩家节奏1!$P176)</f>
        <v>21202</v>
      </c>
      <c r="U176" s="90">
        <f>_xlfn.MAXIFS(关卡产出!AB:AB,关卡产出!$A:$A,玩家节奏1!$N$6,关卡产出!$B:$B,玩家节奏1!$N176)+_xlfn.MAXIFS(关卡产出!AB:AB,关卡产出!$A:$A,玩家节奏1!$O$6,关卡产出!$B:$B,玩家节奏1!$O176)+_xlfn.MAXIFS(关卡产出!AB:AB,关卡产出!$A:$A,玩家节奏1!$P$6,关卡产出!$B:$B,玩家节奏1!$P176)</f>
        <v>10156</v>
      </c>
      <c r="V176" s="130">
        <f>_xlfn.MAXIFS(关卡产出!AC:AC,关卡产出!$A:$A,玩家节奏1!$N$6,关卡产出!$B:$B,玩家节奏1!$N176)+_xlfn.MAXIFS(关卡产出!AC:AC,关卡产出!$A:$A,玩家节奏1!$O$6,关卡产出!$B:$B,玩家节奏1!$O176)+_xlfn.MAXIFS(关卡产出!AC:AC,关卡产出!$A:$A,玩家节奏1!$P$6,关卡产出!$B:$B,玩家节奏1!$P176)</f>
        <v>882</v>
      </c>
      <c r="W176" s="126">
        <f>INDEX(关卡产出!C$8:C$207,MATCH(玩家节奏1!$N176,关卡产出!$B$8:$B$207,0))*$K176</f>
        <v>580</v>
      </c>
      <c r="X176" s="126">
        <f>INDEX(关卡产出!D$8:D$207,MATCH(玩家节奏1!$N176,关卡产出!$B$8:$B$207,0))*$K176</f>
        <v>290</v>
      </c>
      <c r="Y176" s="126">
        <f>INDEX(关卡产出!E$8:E$207,MATCH(玩家节奏1!$N176,关卡产出!$B$8:$B$207,0))*$K176</f>
        <v>140</v>
      </c>
      <c r="Z176" s="144">
        <f>INDEX(关卡产出!F$8:F$207,MATCH(玩家节奏1!$N176,关卡产出!$B$8:$B$207,0))*$K176</f>
        <v>7650</v>
      </c>
      <c r="AA176" s="126">
        <f>SUM(W$7:W176)</f>
        <v>49196</v>
      </c>
      <c r="AB176" s="126">
        <f>SUM(X$7:X176)</f>
        <v>24426</v>
      </c>
      <c r="AC176" s="126">
        <f>SUM(Y$7:Y176)</f>
        <v>11727</v>
      </c>
      <c r="AD176" s="126">
        <f>SUM(Z$7:Z176)</f>
        <v>679060</v>
      </c>
      <c r="AE176" s="126">
        <f>INDEX(图鉴!AQ:AQ,MATCH($N176,图鉴!$S:$S,0))*8</f>
        <v>168</v>
      </c>
      <c r="AF176" s="90">
        <f>INDEX(图鉴!AR:AR,MATCH($N176,图鉴!$S:$S,0))*8</f>
        <v>120</v>
      </c>
      <c r="AG176" s="90">
        <f>INDEX(图鉴!AS:AS,MATCH($N176,图鉴!$S:$S,0))*8</f>
        <v>48</v>
      </c>
      <c r="AH176" s="129">
        <f ca="1">INDEX(图鉴!AT:AT,MATCH($N176,图鉴!$S:$S,0))*8</f>
        <v>11760</v>
      </c>
      <c r="AI176" s="128">
        <f>SUM($AE$7:AE176)</f>
        <v>26136</v>
      </c>
      <c r="AJ176" s="90">
        <f>SUM(AF$7:AF176)</f>
        <v>16120</v>
      </c>
      <c r="AK176" s="90">
        <f>SUM(AG$7:AG176)</f>
        <v>5768</v>
      </c>
      <c r="AL176" s="130">
        <f ca="1">SUM(AH$7:AH176)</f>
        <v>1300680</v>
      </c>
      <c r="AM176" s="133">
        <f>IF(M176=0,0,INDEX(关卡产出!$AU$11:$AU$15,MATCH(玩家节奏1!N176,关卡产出!$AW$11:$AW$15,1))*M176)</f>
        <v>12200</v>
      </c>
      <c r="AN176" s="126">
        <f>IF(L176=0,0,$L176*关卡产出!AU$21)</f>
        <v>1000</v>
      </c>
      <c r="AO176" s="90">
        <f>IF(M176=0,0,$L176*关卡产出!AV$21)</f>
        <v>50</v>
      </c>
      <c r="AP176" s="129">
        <f>IF(N176=0,0,$L176*关卡产出!AW$21)</f>
        <v>1</v>
      </c>
      <c r="AQ176" s="138">
        <f>SUM(AN$7:AN176)</f>
        <v>153000</v>
      </c>
      <c r="AR176" s="126">
        <f>SUM(AO$7:AO176)</f>
        <v>7650</v>
      </c>
      <c r="AS176" s="129">
        <f>SUM(AP$7:AP176)</f>
        <v>153</v>
      </c>
      <c r="AT176" s="128">
        <v>500</v>
      </c>
      <c r="AU176" s="129">
        <v>100</v>
      </c>
      <c r="AV176" s="128">
        <f>SUM(AT$7:AT176)</f>
        <v>85000</v>
      </c>
      <c r="AW176" s="90">
        <f>SUM(AU$7:AU176)</f>
        <v>17000</v>
      </c>
      <c r="AY176" s="128">
        <f t="shared" si="167"/>
        <v>27900</v>
      </c>
      <c r="AZ176" s="90">
        <f t="shared" si="168"/>
        <v>7650</v>
      </c>
      <c r="BA176" s="90">
        <f t="shared" si="169"/>
        <v>17000</v>
      </c>
      <c r="BB176" s="90">
        <f t="shared" ca="1" si="217"/>
        <v>14300</v>
      </c>
      <c r="BC176" s="90">
        <f t="shared" ca="1" si="218"/>
        <v>66850</v>
      </c>
      <c r="BD176" s="90"/>
      <c r="BE176" s="90">
        <f t="shared" ca="1" si="170"/>
        <v>66850</v>
      </c>
      <c r="BF176" s="142">
        <f t="shared" ca="1" si="171"/>
        <v>0.41735228122662676</v>
      </c>
      <c r="BG176" s="142">
        <f t="shared" ca="1" si="172"/>
        <v>0.11443530291697832</v>
      </c>
      <c r="BH176" s="142">
        <f t="shared" ca="1" si="228"/>
        <v>0.25430067314884069</v>
      </c>
      <c r="BI176" s="142">
        <f t="shared" ca="1" si="229"/>
        <v>0.21391174270755423</v>
      </c>
      <c r="BJ176" s="143"/>
      <c r="BK176" s="128">
        <f ca="1">INDEX(商城宝箱!$L:$L,MATCH(BC176,商城宝箱!$N:$N,1))</f>
        <v>10</v>
      </c>
      <c r="BL176" s="90">
        <f ca="1">_xlfn.IFNA(INDEX(商城宝箱!T:T,MATCH(玩家节奏1!$BK176,商城宝箱!$L:$L,0)),0)+($BC176-INDEX(商城宝箱!$N:$N,MATCH(玩家节奏1!$BK176,商城宝箱!$L:$L,0)))/$BK$5*INDEX(商城宝箱!E$23:E$42,MATCH(玩家节奏1!$BK176+1,商城宝箱!$C$23:$C$42,0))</f>
        <v>167125</v>
      </c>
      <c r="BM176" s="90">
        <f ca="1">_xlfn.IFNA(INDEX(商城宝箱!U:U,MATCH(玩家节奏1!$BK176,商城宝箱!$L:$L,0)),0)+($BC176-INDEX(商城宝箱!$N:$N,MATCH(玩家节奏1!$BK176,商城宝箱!$L:$L,0)))/$BK$5*INDEX(商城宝箱!F$23:F$42,MATCH(玩家节奏1!$BK176+1,商城宝箱!$C$23:$C$42,0))</f>
        <v>127862.5</v>
      </c>
      <c r="BN176" s="90">
        <f ca="1">_xlfn.IFNA(INDEX(商城宝箱!V:V,MATCH(玩家节奏1!$BK176,商城宝箱!$L:$L,0)),0)+($BC176-INDEX(商城宝箱!$N:$N,MATCH(玩家节奏1!$BK176,商城宝箱!$L:$L,0)))/$BK$5*INDEX(商城宝箱!G$23:G$42,MATCH(玩家节奏1!$BK176+1,商城宝箱!$C$23:$C$42,0))</f>
        <v>72262</v>
      </c>
      <c r="BO176" s="90">
        <f ca="1">_xlfn.IFNA(INDEX(商城宝箱!W:W,MATCH(玩家节奏1!$BK176,商城宝箱!$L:$L,0)),0)+($BC176-INDEX(商城宝箱!$N:$N,MATCH(玩家节奏1!$BK176,商城宝箱!$L:$L,0)))/$BK$5*INDEX(商城宝箱!H$23:H$42,MATCH(玩家节奏1!$BK176+1,商城宝箱!$C$23:$C$42,0))</f>
        <v>10169</v>
      </c>
      <c r="BQ176" s="128">
        <f t="shared" si="219"/>
        <v>6198700</v>
      </c>
      <c r="BR176" s="90">
        <f t="shared" si="220"/>
        <v>679060</v>
      </c>
      <c r="BS176" s="90">
        <f t="shared" ca="1" si="221"/>
        <v>1300680</v>
      </c>
      <c r="BT176" s="90">
        <f t="shared" si="222"/>
        <v>12200</v>
      </c>
      <c r="BU176" s="90">
        <f t="shared" si="223"/>
        <v>153000</v>
      </c>
      <c r="BV176" s="90">
        <f t="shared" si="224"/>
        <v>85000</v>
      </c>
      <c r="BW176" s="90">
        <f t="shared" ca="1" si="175"/>
        <v>167125</v>
      </c>
      <c r="BX176" s="90">
        <f t="shared" ca="1" si="176"/>
        <v>8595765</v>
      </c>
      <c r="BY176" s="142">
        <f t="shared" ca="1" si="177"/>
        <v>0.72113418642785143</v>
      </c>
      <c r="BZ176" s="142">
        <f t="shared" ca="1" si="178"/>
        <v>7.8999367711890686E-2</v>
      </c>
      <c r="CA176" s="142">
        <f t="shared" ca="1" si="179"/>
        <v>0.15131637498233141</v>
      </c>
      <c r="CB176" s="142">
        <f t="shared" ca="1" si="180"/>
        <v>1.4193035756561517E-3</v>
      </c>
      <c r="CC176" s="142">
        <f t="shared" ca="1" si="181"/>
        <v>1.7799462875032066E-2</v>
      </c>
      <c r="CD176" s="142">
        <f t="shared" ca="1" si="182"/>
        <v>9.8885904861289245E-3</v>
      </c>
      <c r="CE176" s="142">
        <f t="shared" ca="1" si="183"/>
        <v>1.9442713941109371E-2</v>
      </c>
      <c r="CG176" s="128">
        <f t="shared" si="184"/>
        <v>147</v>
      </c>
      <c r="CH176" s="90">
        <f ca="1">INDEX(角色升级!$A:$A,MATCH(玩家节奏1!$BX176,角色升级!$J:$J,1))</f>
        <v>688</v>
      </c>
      <c r="CI176" s="90">
        <f ca="1">INDEX(角色升级!$O:$O,MATCH(玩家节奏1!$BX176,角色升级!$J:$J,1))</f>
        <v>37592.461505000007</v>
      </c>
      <c r="CJ176" s="90">
        <f>INDEX(关卡对比!$J:$J,MATCH(玩家节奏1!N176,关卡对比!$A:$A,0))</f>
        <v>59700</v>
      </c>
      <c r="CK176" s="147">
        <f t="shared" ca="1" si="185"/>
        <v>1.5880843554780144</v>
      </c>
      <c r="CL176" s="128">
        <f ca="1">INDEX(角色升级!$P:$P,MATCH(玩家节奏1!$CH176,角色升级!$A:$A,0))</f>
        <v>14300</v>
      </c>
      <c r="CM176" s="90">
        <f ca="1">INDEX(角色升级!Q:Q,MATCH(玩家节奏1!$CH176,角色升级!$A:$A,0))</f>
        <v>1.2</v>
      </c>
      <c r="CO176" s="128">
        <f t="shared" si="186"/>
        <v>42402</v>
      </c>
      <c r="CP176" s="90">
        <f t="shared" si="187"/>
        <v>49196</v>
      </c>
      <c r="CQ176" s="90">
        <f t="shared" si="188"/>
        <v>26136</v>
      </c>
      <c r="CR176" s="90">
        <f t="shared" ca="1" si="189"/>
        <v>127862.5</v>
      </c>
      <c r="CS176" s="90">
        <f t="shared" ca="1" si="190"/>
        <v>245596.5</v>
      </c>
      <c r="CT176" s="142">
        <f t="shared" ca="1" si="191"/>
        <v>0.1726490401939767</v>
      </c>
      <c r="CU176" s="142">
        <f t="shared" ca="1" si="192"/>
        <v>0.20031230086747978</v>
      </c>
      <c r="CV176" s="142">
        <f t="shared" ca="1" si="193"/>
        <v>0.10641845466038807</v>
      </c>
      <c r="CW176" s="142">
        <f t="shared" ca="1" si="194"/>
        <v>0.52062020427815547</v>
      </c>
      <c r="CY176" s="128">
        <f t="shared" si="195"/>
        <v>21202</v>
      </c>
      <c r="CZ176" s="90">
        <f t="shared" si="196"/>
        <v>24426</v>
      </c>
      <c r="DA176" s="90">
        <f t="shared" si="197"/>
        <v>16120</v>
      </c>
      <c r="DB176" s="90">
        <f t="shared" ca="1" si="198"/>
        <v>72262</v>
      </c>
      <c r="DC176" s="90">
        <f t="shared" ca="1" si="199"/>
        <v>134010</v>
      </c>
      <c r="DD176" s="142">
        <f t="shared" ca="1" si="200"/>
        <v>0.15821207372584137</v>
      </c>
      <c r="DE176" s="142">
        <f t="shared" ca="1" si="201"/>
        <v>0.18226997985224982</v>
      </c>
      <c r="DF176" s="142">
        <f t="shared" ca="1" si="202"/>
        <v>0.12028953063204238</v>
      </c>
      <c r="DG176" s="142">
        <f t="shared" ca="1" si="203"/>
        <v>0.53922841578986647</v>
      </c>
      <c r="DI176" s="128">
        <f t="shared" si="204"/>
        <v>10156</v>
      </c>
      <c r="DJ176" s="90">
        <f t="shared" si="205"/>
        <v>11727</v>
      </c>
      <c r="DK176" s="90">
        <f t="shared" si="206"/>
        <v>5768</v>
      </c>
      <c r="DL176" s="90">
        <f t="shared" ca="1" si="207"/>
        <v>10169</v>
      </c>
      <c r="DM176" s="90">
        <f t="shared" ca="1" si="208"/>
        <v>37820</v>
      </c>
      <c r="DN176" s="142">
        <f t="shared" ca="1" si="209"/>
        <v>0.26853516657852988</v>
      </c>
      <c r="DO176" s="142">
        <f t="shared" ca="1" si="210"/>
        <v>0.31007403490216817</v>
      </c>
      <c r="DP176" s="142">
        <f t="shared" ca="1" si="211"/>
        <v>0.15251189846641988</v>
      </c>
      <c r="DQ176" s="142">
        <f t="shared" ca="1" si="212"/>
        <v>0.26887890005288206</v>
      </c>
      <c r="DS176" s="128">
        <f t="shared" ca="1" si="213"/>
        <v>245596.5</v>
      </c>
      <c r="DT176" s="90">
        <f t="shared" ca="1" si="214"/>
        <v>134010</v>
      </c>
      <c r="DU176" s="90">
        <f t="shared" ca="1" si="215"/>
        <v>37820</v>
      </c>
      <c r="DV176" s="90">
        <f t="shared" si="216"/>
        <v>153</v>
      </c>
      <c r="DW176" s="90">
        <f ca="1">_xlfn.IFNA(INDEX(武器升级消耗!$H:$H,MATCH(玩家节奏1!DS176/玩家节奏1!DS$5,武器升级消耗!M:M,1)),0)</f>
        <v>44</v>
      </c>
      <c r="DX176" s="90">
        <f ca="1">_xlfn.IFNA(INDEX(武器升级消耗!$H:$H,MATCH(玩家节奏1!DT176/玩家节奏1!DT$5,武器升级消耗!N:N,1)),0)</f>
        <v>39</v>
      </c>
      <c r="DY176" s="90">
        <f ca="1">_xlfn.IFNA(INDEX(武器升级消耗!$H:$H,MATCH(玩家节奏1!DU176/玩家节奏1!DU$5,武器升级消耗!O:O,1)),0)</f>
        <v>27</v>
      </c>
      <c r="DZ176" s="90">
        <f>_xlfn.IFNA(INDEX(武器升级消耗!$H:$H,MATCH(玩家节奏1!DV176/玩家节奏1!DV$5,武器升级消耗!P:P,1)),0)</f>
        <v>13</v>
      </c>
      <c r="EA176" s="90">
        <f ca="1">_xlfn.IFNA(INDEX(武器升级消耗!$Q:$Q,MATCH(玩家节奏1!DW176,武器升级消耗!$H:$H,0))*2*EA$4,0)</f>
        <v>5.76</v>
      </c>
      <c r="EB176" s="90">
        <f ca="1">_xlfn.IFNA(INDEX(武器升级消耗!$Q:$Q,MATCH(玩家节奏1!DX176,武器升级消耗!$H:$H,0))*2*EB$4,0)</f>
        <v>6.4499999999999993</v>
      </c>
      <c r="EC176" s="90">
        <f ca="1">_xlfn.IFNA(INDEX(武器升级消耗!$Q:$Q,MATCH(玩家节奏1!DY176,武器升级消耗!$H:$H,0))*2*EC$4,1)</f>
        <v>6.8200000000000012</v>
      </c>
      <c r="ED176" s="90">
        <f>_xlfn.IFNA(INDEX(武器升级消耗!$Q:$Q,MATCH(玩家节奏1!DZ176,武器升级消耗!$H:$H,0))*2*ED$4,0)</f>
        <v>5.0999999999999996</v>
      </c>
    </row>
    <row r="177" spans="1:134" x14ac:dyDescent="0.25">
      <c r="A177" s="123">
        <v>171</v>
      </c>
      <c r="B177" s="123">
        <f>INDEX(关卡对比!$Y:$Y,MATCH(关卡对比!Z177,关卡对比!$AA:$AA,1))</f>
        <v>99</v>
      </c>
      <c r="C177" s="124">
        <f>INDEX(关卡对比!$Y:$Y,MATCH(关卡对比!Z177,关卡对比!$AB:$AB,1))</f>
        <v>75</v>
      </c>
      <c r="D177" s="125">
        <f t="shared" si="230"/>
        <v>1004.5</v>
      </c>
      <c r="E177" s="125">
        <v>3</v>
      </c>
      <c r="F177" s="128">
        <v>5</v>
      </c>
      <c r="G177" s="90">
        <v>1</v>
      </c>
      <c r="H177" s="90">
        <v>1</v>
      </c>
      <c r="J177" s="128">
        <v>171</v>
      </c>
      <c r="K177" s="90">
        <f t="shared" si="225"/>
        <v>5</v>
      </c>
      <c r="L177" s="90">
        <f t="shared" si="226"/>
        <v>1</v>
      </c>
      <c r="M177" s="90">
        <f t="shared" si="227"/>
        <v>1</v>
      </c>
      <c r="N177" s="140">
        <f>INDEX($A:$A,MATCH(SUM($K$7:K177),$D:$D,1))</f>
        <v>148</v>
      </c>
      <c r="O177" s="140">
        <v>0</v>
      </c>
      <c r="P177" s="141">
        <v>0</v>
      </c>
      <c r="Q177" s="126">
        <f>_xlfn.MAXIFS(关卡产出!X:X,关卡产出!$A:$A,玩家节奏1!$N$6,关卡产出!$B:$B,玩家节奏1!$N177)+_xlfn.MAXIFS(关卡产出!X:X,关卡产出!$A:$A,玩家节奏1!$O$6,关卡产出!$B:$B,玩家节奏1!$O177)+_xlfn.MAXIFS(关卡产出!X:X,关卡产出!$A:$A,玩家节奏1!$P$6,关卡产出!$B:$B,玩家节奏1!$P177)</f>
        <v>28100</v>
      </c>
      <c r="R177" s="90">
        <f>_xlfn.MAXIFS(关卡产出!Y:Y,关卡产出!$A:$A,玩家节奏1!$N$6,关卡产出!$B:$B,玩家节奏1!$N177)+_xlfn.MAXIFS(关卡产出!Y:Y,关卡产出!$A:$A,玩家节奏1!$O$6,关卡产出!$B:$B,玩家节奏1!$O177)+_xlfn.MAXIFS(关卡产出!Y:Y,关卡产出!$A:$A,玩家节奏1!$P$6,关卡产出!$B:$B,玩家节奏1!$P177)</f>
        <v>6285200</v>
      </c>
      <c r="S177" s="90">
        <f>_xlfn.MAXIFS(关卡产出!Z:Z,关卡产出!$A:$A,玩家节奏1!$N$6,关卡产出!$B:$B,玩家节奏1!$N177)+_xlfn.MAXIFS(关卡产出!Z:Z,关卡产出!$A:$A,玩家节奏1!$O$6,关卡产出!$B:$B,玩家节奏1!$O177)+_xlfn.MAXIFS(关卡产出!Z:Z,关卡产出!$A:$A,玩家节奏1!$P$6,关卡产出!$B:$B,玩家节奏1!$P177)</f>
        <v>42986</v>
      </c>
      <c r="T177" s="90">
        <f>_xlfn.MAXIFS(关卡产出!AA:AA,关卡产出!$A:$A,玩家节奏1!$N$6,关卡产出!$B:$B,玩家节奏1!$N177)+_xlfn.MAXIFS(关卡产出!AA:AA,关卡产出!$A:$A,玩家节奏1!$O$6,关卡产出!$B:$B,玩家节奏1!$O177)+_xlfn.MAXIFS(关卡产出!AA:AA,关卡产出!$A:$A,玩家节奏1!$P$6,关卡产出!$B:$B,玩家节奏1!$P177)</f>
        <v>21494</v>
      </c>
      <c r="U177" s="90">
        <f>_xlfn.MAXIFS(关卡产出!AB:AB,关卡产出!$A:$A,玩家节奏1!$N$6,关卡产出!$B:$B,玩家节奏1!$N177)+_xlfn.MAXIFS(关卡产出!AB:AB,关卡产出!$A:$A,玩家节奏1!$O$6,关卡产出!$B:$B,玩家节奏1!$O177)+_xlfn.MAXIFS(关卡产出!AB:AB,关卡产出!$A:$A,玩家节奏1!$P$6,关卡产出!$B:$B,玩家节奏1!$P177)</f>
        <v>10299</v>
      </c>
      <c r="V177" s="130">
        <f>_xlfn.MAXIFS(关卡产出!AC:AC,关卡产出!$A:$A,玩家节奏1!$N$6,关卡产出!$B:$B,玩家节奏1!$N177)+_xlfn.MAXIFS(关卡产出!AC:AC,关卡产出!$A:$A,玩家节奏1!$O$6,关卡产出!$B:$B,玩家节奏1!$O177)+_xlfn.MAXIFS(关卡产出!AC:AC,关卡产出!$A:$A,玩家节奏1!$P$6,关卡产出!$B:$B,玩家节奏1!$P177)</f>
        <v>888</v>
      </c>
      <c r="W177" s="126">
        <f>INDEX(关卡产出!C$8:C$207,MATCH(玩家节奏1!$N177,关卡产出!$B$8:$B$207,0))*$K177</f>
        <v>585</v>
      </c>
      <c r="X177" s="126">
        <f>INDEX(关卡产出!D$8:D$207,MATCH(玩家节奏1!$N177,关卡产出!$B$8:$B$207,0))*$K177</f>
        <v>290</v>
      </c>
      <c r="Y177" s="126">
        <f>INDEX(关卡产出!E$8:E$207,MATCH(玩家节奏1!$N177,关卡产出!$B$8:$B$207,0))*$K177</f>
        <v>145</v>
      </c>
      <c r="Z177" s="144">
        <f>INDEX(关卡产出!F$8:F$207,MATCH(玩家节奏1!$N177,关卡产出!$B$8:$B$207,0))*$K177</f>
        <v>7650</v>
      </c>
      <c r="AA177" s="126">
        <f>SUM(W$7:W177)</f>
        <v>49781</v>
      </c>
      <c r="AB177" s="126">
        <f>SUM(X$7:X177)</f>
        <v>24716</v>
      </c>
      <c r="AC177" s="126">
        <f>SUM(Y$7:Y177)</f>
        <v>11872</v>
      </c>
      <c r="AD177" s="126">
        <f>SUM(Z$7:Z177)</f>
        <v>686710</v>
      </c>
      <c r="AE177" s="126">
        <f>INDEX(图鉴!AQ:AQ,MATCH($N177,图鉴!$S:$S,0))*8</f>
        <v>168</v>
      </c>
      <c r="AF177" s="90">
        <f>INDEX(图鉴!AR:AR,MATCH($N177,图鉴!$S:$S,0))*8</f>
        <v>120</v>
      </c>
      <c r="AG177" s="90">
        <f>INDEX(图鉴!AS:AS,MATCH($N177,图鉴!$S:$S,0))*8</f>
        <v>48</v>
      </c>
      <c r="AH177" s="129">
        <f ca="1">INDEX(图鉴!AT:AT,MATCH($N177,图鉴!$S:$S,0))*8</f>
        <v>11760</v>
      </c>
      <c r="AI177" s="128">
        <f>SUM($AE$7:AE177)</f>
        <v>26304</v>
      </c>
      <c r="AJ177" s="90">
        <f>SUM(AF$7:AF177)</f>
        <v>16240</v>
      </c>
      <c r="AK177" s="90">
        <f>SUM(AG$7:AG177)</f>
        <v>5816</v>
      </c>
      <c r="AL177" s="130">
        <f ca="1">SUM(AH$7:AH177)</f>
        <v>1312440</v>
      </c>
      <c r="AM177" s="133">
        <f>IF(M177=0,0,INDEX(关卡产出!$AU$11:$AU$15,MATCH(玩家节奏1!N177,关卡产出!$AW$11:$AW$15,1))*M177)</f>
        <v>12200</v>
      </c>
      <c r="AN177" s="126">
        <f>IF(L177=0,0,$L177*关卡产出!AU$21)</f>
        <v>1000</v>
      </c>
      <c r="AO177" s="90">
        <f>IF(M177=0,0,$L177*关卡产出!AV$21)</f>
        <v>50</v>
      </c>
      <c r="AP177" s="129">
        <f>IF(N177=0,0,$L177*关卡产出!AW$21)</f>
        <v>1</v>
      </c>
      <c r="AQ177" s="138">
        <f>SUM(AN$7:AN177)</f>
        <v>154000</v>
      </c>
      <c r="AR177" s="126">
        <f>SUM(AO$7:AO177)</f>
        <v>7700</v>
      </c>
      <c r="AS177" s="129">
        <f>SUM(AP$7:AP177)</f>
        <v>154</v>
      </c>
      <c r="AT177" s="128">
        <v>500</v>
      </c>
      <c r="AU177" s="129">
        <v>100</v>
      </c>
      <c r="AV177" s="128">
        <f>SUM(AT$7:AT177)</f>
        <v>85500</v>
      </c>
      <c r="AW177" s="90">
        <f>SUM(AU$7:AU177)</f>
        <v>17100</v>
      </c>
      <c r="AY177" s="128">
        <f t="shared" si="167"/>
        <v>28100</v>
      </c>
      <c r="AZ177" s="90">
        <f t="shared" si="168"/>
        <v>7700</v>
      </c>
      <c r="BA177" s="90">
        <f t="shared" si="169"/>
        <v>17100</v>
      </c>
      <c r="BB177" s="90">
        <f t="shared" ca="1" si="217"/>
        <v>14300</v>
      </c>
      <c r="BC177" s="90">
        <f t="shared" ca="1" si="218"/>
        <v>67200</v>
      </c>
      <c r="BD177" s="90"/>
      <c r="BE177" s="90">
        <f t="shared" ca="1" si="170"/>
        <v>67200</v>
      </c>
      <c r="BF177" s="142">
        <f t="shared" ca="1" si="171"/>
        <v>0.41815476190476192</v>
      </c>
      <c r="BG177" s="142">
        <f t="shared" ca="1" si="172"/>
        <v>0.11458333333333333</v>
      </c>
      <c r="BH177" s="142">
        <f t="shared" ca="1" si="228"/>
        <v>0.2544642857142857</v>
      </c>
      <c r="BI177" s="142">
        <f t="shared" ca="1" si="229"/>
        <v>0.21279761904761904</v>
      </c>
      <c r="BJ177" s="143"/>
      <c r="BK177" s="128">
        <f ca="1">INDEX(商城宝箱!$L:$L,MATCH(BC177,商城宝箱!$N:$N,1))</f>
        <v>10</v>
      </c>
      <c r="BL177" s="90">
        <f ca="1">_xlfn.IFNA(INDEX(商城宝箱!T:T,MATCH(玩家节奏1!$BK177,商城宝箱!$L:$L,0)),0)+($BC177-INDEX(商城宝箱!$N:$N,MATCH(玩家节奏1!$BK177,商城宝箱!$L:$L,0)))/$BK$5*INDEX(商城宝箱!E$23:E$42,MATCH(玩家节奏1!$BK177+1,商城宝箱!$C$23:$C$42,0))</f>
        <v>168000</v>
      </c>
      <c r="BM177" s="90">
        <f ca="1">_xlfn.IFNA(INDEX(商城宝箱!U:U,MATCH(玩家节奏1!$BK177,商城宝箱!$L:$L,0)),0)+($BC177-INDEX(商城宝箱!$N:$N,MATCH(玩家节奏1!$BK177,商城宝箱!$L:$L,0)))/$BK$5*INDEX(商城宝箱!F$23:F$42,MATCH(玩家节奏1!$BK177+1,商城宝箱!$C$23:$C$42,0))</f>
        <v>128982.5</v>
      </c>
      <c r="BN177" s="90">
        <f ca="1">_xlfn.IFNA(INDEX(商城宝箱!V:V,MATCH(玩家节奏1!$BK177,商城宝箱!$L:$L,0)),0)+($BC177-INDEX(商城宝箱!$N:$N,MATCH(玩家节奏1!$BK177,商城宝箱!$L:$L,0)))/$BK$5*INDEX(商城宝箱!G$23:G$42,MATCH(玩家节奏1!$BK177+1,商城宝箱!$C$23:$C$42,0))</f>
        <v>72787</v>
      </c>
      <c r="BO177" s="90">
        <f ca="1">_xlfn.IFNA(INDEX(商城宝箱!W:W,MATCH(玩家节奏1!$BK177,商城宝箱!$L:$L,0)),0)+($BC177-INDEX(商城宝箱!$N:$N,MATCH(玩家节奏1!$BK177,商城宝箱!$L:$L,0)))/$BK$5*INDEX(商城宝箱!H$23:H$42,MATCH(玩家节奏1!$BK177+1,商城宝箱!$C$23:$C$42,0))</f>
        <v>10256.5</v>
      </c>
      <c r="BQ177" s="128">
        <f t="shared" si="219"/>
        <v>6285200</v>
      </c>
      <c r="BR177" s="90">
        <f t="shared" si="220"/>
        <v>686710</v>
      </c>
      <c r="BS177" s="90">
        <f t="shared" ca="1" si="221"/>
        <v>1312440</v>
      </c>
      <c r="BT177" s="90">
        <f t="shared" si="222"/>
        <v>12200</v>
      </c>
      <c r="BU177" s="90">
        <f t="shared" si="223"/>
        <v>154000</v>
      </c>
      <c r="BV177" s="90">
        <f t="shared" si="224"/>
        <v>85500</v>
      </c>
      <c r="BW177" s="90">
        <f t="shared" ca="1" si="175"/>
        <v>168000</v>
      </c>
      <c r="BX177" s="90">
        <f t="shared" ca="1" si="176"/>
        <v>8704050</v>
      </c>
      <c r="BY177" s="142">
        <f t="shared" ca="1" si="177"/>
        <v>0.72210063131530722</v>
      </c>
      <c r="BZ177" s="142">
        <f t="shared" ca="1" si="178"/>
        <v>7.8895456712679723E-2</v>
      </c>
      <c r="CA177" s="142">
        <f t="shared" ca="1" si="179"/>
        <v>0.15078497940613853</v>
      </c>
      <c r="CB177" s="142">
        <f t="shared" ca="1" si="180"/>
        <v>1.4016463600278032E-3</v>
      </c>
      <c r="CC177" s="142">
        <f t="shared" ca="1" si="181"/>
        <v>1.7692913069203418E-2</v>
      </c>
      <c r="CD177" s="142">
        <f t="shared" ca="1" si="182"/>
        <v>9.8230134247850147E-3</v>
      </c>
      <c r="CE177" s="142">
        <f t="shared" ca="1" si="183"/>
        <v>1.9301359711858274E-2</v>
      </c>
      <c r="CG177" s="128">
        <f t="shared" si="184"/>
        <v>148</v>
      </c>
      <c r="CH177" s="90">
        <f ca="1">INDEX(角色升级!$A:$A,MATCH(玩家节奏1!$BX177,角色升级!$J:$J,1))</f>
        <v>691</v>
      </c>
      <c r="CI177" s="90">
        <f ca="1">INDEX(角色升级!$O:$O,MATCH(玩家节奏1!$BX177,角色升级!$J:$J,1))</f>
        <v>37941.257850000002</v>
      </c>
      <c r="CJ177" s="90">
        <f>INDEX(关卡对比!$J:$J,MATCH(玩家节奏1!N177,关卡对比!$A:$A,0))</f>
        <v>60200</v>
      </c>
      <c r="CK177" s="147">
        <f t="shared" ca="1" si="185"/>
        <v>1.5866632634584621</v>
      </c>
      <c r="CL177" s="128">
        <f ca="1">INDEX(角色升级!$P:$P,MATCH(玩家节奏1!$CH177,角色升级!$A:$A,0))</f>
        <v>14300</v>
      </c>
      <c r="CM177" s="90">
        <f ca="1">INDEX(角色升级!Q:Q,MATCH(玩家节奏1!$CH177,角色升级!$A:$A,0))</f>
        <v>1.2</v>
      </c>
      <c r="CO177" s="128">
        <f t="shared" si="186"/>
        <v>42986</v>
      </c>
      <c r="CP177" s="90">
        <f t="shared" si="187"/>
        <v>49781</v>
      </c>
      <c r="CQ177" s="90">
        <f t="shared" si="188"/>
        <v>26304</v>
      </c>
      <c r="CR177" s="90">
        <f t="shared" ca="1" si="189"/>
        <v>128982.5</v>
      </c>
      <c r="CS177" s="90">
        <f t="shared" ca="1" si="190"/>
        <v>248053.5</v>
      </c>
      <c r="CT177" s="142">
        <f t="shared" ca="1" si="191"/>
        <v>0.17329326133273668</v>
      </c>
      <c r="CU177" s="142">
        <f t="shared" ca="1" si="192"/>
        <v>0.20068654544281778</v>
      </c>
      <c r="CV177" s="142">
        <f t="shared" ca="1" si="193"/>
        <v>0.10604164021068035</v>
      </c>
      <c r="CW177" s="142">
        <f t="shared" ca="1" si="194"/>
        <v>0.51997855301376517</v>
      </c>
      <c r="CY177" s="128">
        <f t="shared" si="195"/>
        <v>21494</v>
      </c>
      <c r="CZ177" s="90">
        <f t="shared" si="196"/>
        <v>24716</v>
      </c>
      <c r="DA177" s="90">
        <f t="shared" si="197"/>
        <v>16240</v>
      </c>
      <c r="DB177" s="90">
        <f t="shared" ca="1" si="198"/>
        <v>72787</v>
      </c>
      <c r="DC177" s="90">
        <f t="shared" ca="1" si="199"/>
        <v>135237</v>
      </c>
      <c r="DD177" s="142">
        <f t="shared" ca="1" si="200"/>
        <v>0.15893579419833329</v>
      </c>
      <c r="DE177" s="142">
        <f t="shared" ca="1" si="201"/>
        <v>0.18276063503331189</v>
      </c>
      <c r="DF177" s="142">
        <f t="shared" ca="1" si="202"/>
        <v>0.12008547956550353</v>
      </c>
      <c r="DG177" s="142">
        <f t="shared" ca="1" si="203"/>
        <v>0.53821809120285125</v>
      </c>
      <c r="DI177" s="128">
        <f t="shared" si="204"/>
        <v>10299</v>
      </c>
      <c r="DJ177" s="90">
        <f t="shared" si="205"/>
        <v>11872</v>
      </c>
      <c r="DK177" s="90">
        <f t="shared" si="206"/>
        <v>5816</v>
      </c>
      <c r="DL177" s="90">
        <f t="shared" ca="1" si="207"/>
        <v>10256.5</v>
      </c>
      <c r="DM177" s="90">
        <f t="shared" ca="1" si="208"/>
        <v>38243.5</v>
      </c>
      <c r="DN177" s="142">
        <f t="shared" ca="1" si="209"/>
        <v>0.26930066547256398</v>
      </c>
      <c r="DO177" s="142">
        <f t="shared" ca="1" si="210"/>
        <v>0.31043183809013297</v>
      </c>
      <c r="DP177" s="142">
        <f t="shared" ca="1" si="211"/>
        <v>0.15207813092420935</v>
      </c>
      <c r="DQ177" s="142">
        <f t="shared" ca="1" si="212"/>
        <v>0.26818936551309375</v>
      </c>
      <c r="DS177" s="128">
        <f t="shared" ca="1" si="213"/>
        <v>248053.5</v>
      </c>
      <c r="DT177" s="90">
        <f t="shared" ca="1" si="214"/>
        <v>135237</v>
      </c>
      <c r="DU177" s="90">
        <f t="shared" ca="1" si="215"/>
        <v>38243.5</v>
      </c>
      <c r="DV177" s="90">
        <f t="shared" si="216"/>
        <v>154</v>
      </c>
      <c r="DW177" s="90">
        <f ca="1">_xlfn.IFNA(INDEX(武器升级消耗!$H:$H,MATCH(玩家节奏1!DS177/玩家节奏1!DS$5,武器升级消耗!M:M,1)),0)</f>
        <v>44</v>
      </c>
      <c r="DX177" s="90">
        <f ca="1">_xlfn.IFNA(INDEX(武器升级消耗!$H:$H,MATCH(玩家节奏1!DT177/玩家节奏1!DT$5,武器升级消耗!N:N,1)),0)</f>
        <v>39</v>
      </c>
      <c r="DY177" s="90">
        <f ca="1">_xlfn.IFNA(INDEX(武器升级消耗!$H:$H,MATCH(玩家节奏1!DU177/玩家节奏1!DU$5,武器升级消耗!O:O,1)),0)</f>
        <v>27</v>
      </c>
      <c r="DZ177" s="90">
        <f>_xlfn.IFNA(INDEX(武器升级消耗!$H:$H,MATCH(玩家节奏1!DV177/玩家节奏1!DV$5,武器升级消耗!P:P,1)),0)</f>
        <v>13</v>
      </c>
      <c r="EA177" s="90">
        <f ca="1">_xlfn.IFNA(INDEX(武器升级消耗!$Q:$Q,MATCH(玩家节奏1!DW177,武器升级消耗!$H:$H,0))*2*EA$4,0)</f>
        <v>5.76</v>
      </c>
      <c r="EB177" s="90">
        <f ca="1">_xlfn.IFNA(INDEX(武器升级消耗!$Q:$Q,MATCH(玩家节奏1!DX177,武器升级消耗!$H:$H,0))*2*EB$4,0)</f>
        <v>6.4499999999999993</v>
      </c>
      <c r="EC177" s="90">
        <f ca="1">_xlfn.IFNA(INDEX(武器升级消耗!$Q:$Q,MATCH(玩家节奏1!DY177,武器升级消耗!$H:$H,0))*2*EC$4,1)</f>
        <v>6.8200000000000012</v>
      </c>
      <c r="ED177" s="90">
        <f>_xlfn.IFNA(INDEX(武器升级消耗!$Q:$Q,MATCH(玩家节奏1!DZ177,武器升级消耗!$H:$H,0))*2*ED$4,0)</f>
        <v>5.0999999999999996</v>
      </c>
    </row>
    <row r="178" spans="1:134" x14ac:dyDescent="0.25">
      <c r="A178" s="123">
        <v>172</v>
      </c>
      <c r="B178" s="123">
        <f>INDEX(关卡对比!$Y:$Y,MATCH(关卡对比!Z178,关卡对比!$AA:$AA,1))</f>
        <v>99</v>
      </c>
      <c r="C178" s="124">
        <f>INDEX(关卡对比!$Y:$Y,MATCH(关卡对比!Z178,关卡对比!$AB:$AB,1))</f>
        <v>75</v>
      </c>
      <c r="D178" s="125">
        <f t="shared" si="230"/>
        <v>1007.5</v>
      </c>
      <c r="E178" s="125">
        <v>3</v>
      </c>
      <c r="F178" s="128">
        <v>5</v>
      </c>
      <c r="G178" s="90">
        <v>1</v>
      </c>
      <c r="H178" s="90">
        <v>1</v>
      </c>
      <c r="J178" s="128">
        <v>172</v>
      </c>
      <c r="K178" s="90">
        <f t="shared" si="225"/>
        <v>5</v>
      </c>
      <c r="L178" s="90">
        <f t="shared" si="226"/>
        <v>1</v>
      </c>
      <c r="M178" s="90">
        <f t="shared" si="227"/>
        <v>1</v>
      </c>
      <c r="N178" s="140">
        <f>INDEX($A:$A,MATCH(SUM($K$7:K178),$D:$D,1))</f>
        <v>148</v>
      </c>
      <c r="O178" s="140">
        <v>0</v>
      </c>
      <c r="P178" s="141">
        <v>0</v>
      </c>
      <c r="Q178" s="126">
        <f>_xlfn.MAXIFS(关卡产出!X:X,关卡产出!$A:$A,玩家节奏1!$N$6,关卡产出!$B:$B,玩家节奏1!$N178)+_xlfn.MAXIFS(关卡产出!X:X,关卡产出!$A:$A,玩家节奏1!$O$6,关卡产出!$B:$B,玩家节奏1!$O178)+_xlfn.MAXIFS(关卡产出!X:X,关卡产出!$A:$A,玩家节奏1!$P$6,关卡产出!$B:$B,玩家节奏1!$P178)</f>
        <v>28100</v>
      </c>
      <c r="R178" s="90">
        <f>_xlfn.MAXIFS(关卡产出!Y:Y,关卡产出!$A:$A,玩家节奏1!$N$6,关卡产出!$B:$B,玩家节奏1!$N178)+_xlfn.MAXIFS(关卡产出!Y:Y,关卡产出!$A:$A,玩家节奏1!$O$6,关卡产出!$B:$B,玩家节奏1!$O178)+_xlfn.MAXIFS(关卡产出!Y:Y,关卡产出!$A:$A,玩家节奏1!$P$6,关卡产出!$B:$B,玩家节奏1!$P178)</f>
        <v>6285200</v>
      </c>
      <c r="S178" s="90">
        <f>_xlfn.MAXIFS(关卡产出!Z:Z,关卡产出!$A:$A,玩家节奏1!$N$6,关卡产出!$B:$B,玩家节奏1!$N178)+_xlfn.MAXIFS(关卡产出!Z:Z,关卡产出!$A:$A,玩家节奏1!$O$6,关卡产出!$B:$B,玩家节奏1!$O178)+_xlfn.MAXIFS(关卡产出!Z:Z,关卡产出!$A:$A,玩家节奏1!$P$6,关卡产出!$B:$B,玩家节奏1!$P178)</f>
        <v>42986</v>
      </c>
      <c r="T178" s="90">
        <f>_xlfn.MAXIFS(关卡产出!AA:AA,关卡产出!$A:$A,玩家节奏1!$N$6,关卡产出!$B:$B,玩家节奏1!$N178)+_xlfn.MAXIFS(关卡产出!AA:AA,关卡产出!$A:$A,玩家节奏1!$O$6,关卡产出!$B:$B,玩家节奏1!$O178)+_xlfn.MAXIFS(关卡产出!AA:AA,关卡产出!$A:$A,玩家节奏1!$P$6,关卡产出!$B:$B,玩家节奏1!$P178)</f>
        <v>21494</v>
      </c>
      <c r="U178" s="90">
        <f>_xlfn.MAXIFS(关卡产出!AB:AB,关卡产出!$A:$A,玩家节奏1!$N$6,关卡产出!$B:$B,玩家节奏1!$N178)+_xlfn.MAXIFS(关卡产出!AB:AB,关卡产出!$A:$A,玩家节奏1!$O$6,关卡产出!$B:$B,玩家节奏1!$O178)+_xlfn.MAXIFS(关卡产出!AB:AB,关卡产出!$A:$A,玩家节奏1!$P$6,关卡产出!$B:$B,玩家节奏1!$P178)</f>
        <v>10299</v>
      </c>
      <c r="V178" s="130">
        <f>_xlfn.MAXIFS(关卡产出!AC:AC,关卡产出!$A:$A,玩家节奏1!$N$6,关卡产出!$B:$B,玩家节奏1!$N178)+_xlfn.MAXIFS(关卡产出!AC:AC,关卡产出!$A:$A,玩家节奏1!$O$6,关卡产出!$B:$B,玩家节奏1!$O178)+_xlfn.MAXIFS(关卡产出!AC:AC,关卡产出!$A:$A,玩家节奏1!$P$6,关卡产出!$B:$B,玩家节奏1!$P178)</f>
        <v>888</v>
      </c>
      <c r="W178" s="126">
        <f>INDEX(关卡产出!C$8:C$207,MATCH(玩家节奏1!$N178,关卡产出!$B$8:$B$207,0))*$K178</f>
        <v>585</v>
      </c>
      <c r="X178" s="126">
        <f>INDEX(关卡产出!D$8:D$207,MATCH(玩家节奏1!$N178,关卡产出!$B$8:$B$207,0))*$K178</f>
        <v>290</v>
      </c>
      <c r="Y178" s="126">
        <f>INDEX(关卡产出!E$8:E$207,MATCH(玩家节奏1!$N178,关卡产出!$B$8:$B$207,0))*$K178</f>
        <v>145</v>
      </c>
      <c r="Z178" s="144">
        <f>INDEX(关卡产出!F$8:F$207,MATCH(玩家节奏1!$N178,关卡产出!$B$8:$B$207,0))*$K178</f>
        <v>7650</v>
      </c>
      <c r="AA178" s="126">
        <f>SUM(W$7:W178)</f>
        <v>50366</v>
      </c>
      <c r="AB178" s="126">
        <f>SUM(X$7:X178)</f>
        <v>25006</v>
      </c>
      <c r="AC178" s="126">
        <f>SUM(Y$7:Y178)</f>
        <v>12017</v>
      </c>
      <c r="AD178" s="126">
        <f>SUM(Z$7:Z178)</f>
        <v>694360</v>
      </c>
      <c r="AE178" s="126">
        <f>INDEX(图鉴!AQ:AQ,MATCH($N178,图鉴!$S:$S,0))*8</f>
        <v>168</v>
      </c>
      <c r="AF178" s="90">
        <f>INDEX(图鉴!AR:AR,MATCH($N178,图鉴!$S:$S,0))*8</f>
        <v>120</v>
      </c>
      <c r="AG178" s="90">
        <f>INDEX(图鉴!AS:AS,MATCH($N178,图鉴!$S:$S,0))*8</f>
        <v>48</v>
      </c>
      <c r="AH178" s="129">
        <f ca="1">INDEX(图鉴!AT:AT,MATCH($N178,图鉴!$S:$S,0))*8</f>
        <v>11760</v>
      </c>
      <c r="AI178" s="128">
        <f>SUM($AE$7:AE178)</f>
        <v>26472</v>
      </c>
      <c r="AJ178" s="90">
        <f>SUM(AF$7:AF178)</f>
        <v>16360</v>
      </c>
      <c r="AK178" s="90">
        <f>SUM(AG$7:AG178)</f>
        <v>5864</v>
      </c>
      <c r="AL178" s="130">
        <f ca="1">SUM(AH$7:AH178)</f>
        <v>1324200</v>
      </c>
      <c r="AM178" s="133">
        <f>IF(M178=0,0,INDEX(关卡产出!$AU$11:$AU$15,MATCH(玩家节奏1!N178,关卡产出!$AW$11:$AW$15,1))*M178)</f>
        <v>12200</v>
      </c>
      <c r="AN178" s="126">
        <f>IF(L178=0,0,$L178*关卡产出!AU$21)</f>
        <v>1000</v>
      </c>
      <c r="AO178" s="90">
        <f>IF(M178=0,0,$L178*关卡产出!AV$21)</f>
        <v>50</v>
      </c>
      <c r="AP178" s="129">
        <f>IF(N178=0,0,$L178*关卡产出!AW$21)</f>
        <v>1</v>
      </c>
      <c r="AQ178" s="138">
        <f>SUM(AN$7:AN178)</f>
        <v>155000</v>
      </c>
      <c r="AR178" s="126">
        <f>SUM(AO$7:AO178)</f>
        <v>7750</v>
      </c>
      <c r="AS178" s="129">
        <f>SUM(AP$7:AP178)</f>
        <v>155</v>
      </c>
      <c r="AT178" s="128">
        <v>500</v>
      </c>
      <c r="AU178" s="129">
        <v>100</v>
      </c>
      <c r="AV178" s="128">
        <f>SUM(AT$7:AT178)</f>
        <v>86000</v>
      </c>
      <c r="AW178" s="90">
        <f>SUM(AU$7:AU178)</f>
        <v>17200</v>
      </c>
      <c r="AY178" s="128">
        <f t="shared" si="167"/>
        <v>28100</v>
      </c>
      <c r="AZ178" s="90">
        <f t="shared" si="168"/>
        <v>7750</v>
      </c>
      <c r="BA178" s="90">
        <f t="shared" si="169"/>
        <v>17200</v>
      </c>
      <c r="BB178" s="90">
        <f t="shared" ca="1" si="217"/>
        <v>14300</v>
      </c>
      <c r="BC178" s="90">
        <f t="shared" ca="1" si="218"/>
        <v>67350</v>
      </c>
      <c r="BD178" s="90"/>
      <c r="BE178" s="90">
        <f t="shared" ca="1" si="170"/>
        <v>67350</v>
      </c>
      <c r="BF178" s="142">
        <f t="shared" ca="1" si="171"/>
        <v>0.4172234595397179</v>
      </c>
      <c r="BG178" s="142">
        <f t="shared" ca="1" si="172"/>
        <v>0.11507052709725316</v>
      </c>
      <c r="BH178" s="142">
        <f t="shared" ca="1" si="228"/>
        <v>0.25538233110616182</v>
      </c>
      <c r="BI178" s="142">
        <f t="shared" ca="1" si="229"/>
        <v>0.21232368225686712</v>
      </c>
      <c r="BJ178" s="143"/>
      <c r="BK178" s="128">
        <f ca="1">INDEX(商城宝箱!$L:$L,MATCH(BC178,商城宝箱!$N:$N,1))</f>
        <v>10</v>
      </c>
      <c r="BL178" s="90">
        <f ca="1">_xlfn.IFNA(INDEX(商城宝箱!T:T,MATCH(玩家节奏1!$BK178,商城宝箱!$L:$L,0)),0)+($BC178-INDEX(商城宝箱!$N:$N,MATCH(玩家节奏1!$BK178,商城宝箱!$L:$L,0)))/$BK$5*INDEX(商城宝箱!E$23:E$42,MATCH(玩家节奏1!$BK178+1,商城宝箱!$C$23:$C$42,0))</f>
        <v>168375</v>
      </c>
      <c r="BM178" s="90">
        <f ca="1">_xlfn.IFNA(INDEX(商城宝箱!U:U,MATCH(玩家节奏1!$BK178,商城宝箱!$L:$L,0)),0)+($BC178-INDEX(商城宝箱!$N:$N,MATCH(玩家节奏1!$BK178,商城宝箱!$L:$L,0)))/$BK$5*INDEX(商城宝箱!F$23:F$42,MATCH(玩家节奏1!$BK178+1,商城宝箱!$C$23:$C$42,0))</f>
        <v>129462.5</v>
      </c>
      <c r="BN178" s="90">
        <f ca="1">_xlfn.IFNA(INDEX(商城宝箱!V:V,MATCH(玩家节奏1!$BK178,商城宝箱!$L:$L,0)),0)+($BC178-INDEX(商城宝箱!$N:$N,MATCH(玩家节奏1!$BK178,商城宝箱!$L:$L,0)))/$BK$5*INDEX(商城宝箱!G$23:G$42,MATCH(玩家节奏1!$BK178+1,商城宝箱!$C$23:$C$42,0))</f>
        <v>73012</v>
      </c>
      <c r="BO178" s="90">
        <f ca="1">_xlfn.IFNA(INDEX(商城宝箱!W:W,MATCH(玩家节奏1!$BK178,商城宝箱!$L:$L,0)),0)+($BC178-INDEX(商城宝箱!$N:$N,MATCH(玩家节奏1!$BK178,商城宝箱!$L:$L,0)))/$BK$5*INDEX(商城宝箱!H$23:H$42,MATCH(玩家节奏1!$BK178+1,商城宝箱!$C$23:$C$42,0))</f>
        <v>10294</v>
      </c>
      <c r="BQ178" s="128">
        <f t="shared" si="219"/>
        <v>6285200</v>
      </c>
      <c r="BR178" s="90">
        <f t="shared" si="220"/>
        <v>694360</v>
      </c>
      <c r="BS178" s="90">
        <f t="shared" ca="1" si="221"/>
        <v>1324200</v>
      </c>
      <c r="BT178" s="90">
        <f t="shared" si="222"/>
        <v>12200</v>
      </c>
      <c r="BU178" s="90">
        <f t="shared" si="223"/>
        <v>155000</v>
      </c>
      <c r="BV178" s="90">
        <f t="shared" si="224"/>
        <v>86000</v>
      </c>
      <c r="BW178" s="90">
        <f t="shared" ca="1" si="175"/>
        <v>168375</v>
      </c>
      <c r="BX178" s="90">
        <f t="shared" ca="1" si="176"/>
        <v>8725335</v>
      </c>
      <c r="BY178" s="142">
        <f t="shared" ca="1" si="177"/>
        <v>0.72033910445845351</v>
      </c>
      <c r="BZ178" s="142">
        <f t="shared" ca="1" si="178"/>
        <v>7.9579752525261213E-2</v>
      </c>
      <c r="CA178" s="142">
        <f t="shared" ca="1" si="179"/>
        <v>0.15176494656079106</v>
      </c>
      <c r="CB178" s="142">
        <f t="shared" ca="1" si="180"/>
        <v>1.3982271167811895E-3</v>
      </c>
      <c r="CC178" s="142">
        <f t="shared" ca="1" si="181"/>
        <v>1.7764360909924948E-2</v>
      </c>
      <c r="CD178" s="142">
        <f t="shared" ca="1" si="182"/>
        <v>9.8563550855067465E-3</v>
      </c>
      <c r="CE178" s="142">
        <f t="shared" ca="1" si="183"/>
        <v>1.9297253343281376E-2</v>
      </c>
      <c r="CG178" s="128">
        <f t="shared" si="184"/>
        <v>148</v>
      </c>
      <c r="CH178" s="90">
        <f ca="1">INDEX(角色升级!$A:$A,MATCH(玩家节奏1!$BX178,角色升级!$J:$J,1))</f>
        <v>691</v>
      </c>
      <c r="CI178" s="90">
        <f ca="1">INDEX(角色升级!$O:$O,MATCH(玩家节奏1!$BX178,角色升级!$J:$J,1))</f>
        <v>37941.257850000002</v>
      </c>
      <c r="CJ178" s="90">
        <f>INDEX(关卡对比!$J:$J,MATCH(玩家节奏1!N178,关卡对比!$A:$A,0))</f>
        <v>60200</v>
      </c>
      <c r="CK178" s="147">
        <f t="shared" ca="1" si="185"/>
        <v>1.5866632634584621</v>
      </c>
      <c r="CL178" s="128">
        <f ca="1">INDEX(角色升级!$P:$P,MATCH(玩家节奏1!$CH178,角色升级!$A:$A,0))</f>
        <v>14300</v>
      </c>
      <c r="CM178" s="90">
        <f ca="1">INDEX(角色升级!Q:Q,MATCH(玩家节奏1!$CH178,角色升级!$A:$A,0))</f>
        <v>1.2</v>
      </c>
      <c r="CO178" s="128">
        <f t="shared" si="186"/>
        <v>42986</v>
      </c>
      <c r="CP178" s="90">
        <f t="shared" si="187"/>
        <v>50366</v>
      </c>
      <c r="CQ178" s="90">
        <f t="shared" si="188"/>
        <v>26472</v>
      </c>
      <c r="CR178" s="90">
        <f t="shared" ca="1" si="189"/>
        <v>129462.5</v>
      </c>
      <c r="CS178" s="90">
        <f t="shared" ca="1" si="190"/>
        <v>249286.5</v>
      </c>
      <c r="CT178" s="142">
        <f t="shared" ca="1" si="191"/>
        <v>0.17243613272279085</v>
      </c>
      <c r="CU178" s="142">
        <f t="shared" ca="1" si="192"/>
        <v>0.20204062394072683</v>
      </c>
      <c r="CV178" s="142">
        <f t="shared" ca="1" si="193"/>
        <v>0.10619106931181592</v>
      </c>
      <c r="CW178" s="142">
        <f t="shared" ca="1" si="194"/>
        <v>0.51933217402466636</v>
      </c>
      <c r="CY178" s="128">
        <f t="shared" si="195"/>
        <v>21494</v>
      </c>
      <c r="CZ178" s="90">
        <f t="shared" si="196"/>
        <v>25006</v>
      </c>
      <c r="DA178" s="90">
        <f t="shared" si="197"/>
        <v>16360</v>
      </c>
      <c r="DB178" s="90">
        <f t="shared" ca="1" si="198"/>
        <v>73012</v>
      </c>
      <c r="DC178" s="90">
        <f t="shared" ca="1" si="199"/>
        <v>135872</v>
      </c>
      <c r="DD178" s="142">
        <f t="shared" ca="1" si="200"/>
        <v>0.15819300518134716</v>
      </c>
      <c r="DE178" s="142">
        <f t="shared" ca="1" si="201"/>
        <v>0.18404086198775318</v>
      </c>
      <c r="DF178" s="142">
        <f t="shared" ca="1" si="202"/>
        <v>0.12040744229863401</v>
      </c>
      <c r="DG178" s="142">
        <f t="shared" ca="1" si="203"/>
        <v>0.5373586905322657</v>
      </c>
      <c r="DI178" s="128">
        <f t="shared" si="204"/>
        <v>10299</v>
      </c>
      <c r="DJ178" s="90">
        <f t="shared" si="205"/>
        <v>12017</v>
      </c>
      <c r="DK178" s="90">
        <f t="shared" si="206"/>
        <v>5864</v>
      </c>
      <c r="DL178" s="90">
        <f t="shared" ca="1" si="207"/>
        <v>10294</v>
      </c>
      <c r="DM178" s="90">
        <f t="shared" ca="1" si="208"/>
        <v>38474</v>
      </c>
      <c r="DN178" s="142">
        <f t="shared" ca="1" si="209"/>
        <v>0.2676872693247388</v>
      </c>
      <c r="DO178" s="142">
        <f t="shared" ca="1" si="210"/>
        <v>0.31234080158028799</v>
      </c>
      <c r="DP178" s="142">
        <f t="shared" ca="1" si="211"/>
        <v>0.1524146176638769</v>
      </c>
      <c r="DQ178" s="142">
        <f t="shared" ca="1" si="212"/>
        <v>0.26755731143109635</v>
      </c>
      <c r="DS178" s="128">
        <f t="shared" ca="1" si="213"/>
        <v>249286.5</v>
      </c>
      <c r="DT178" s="90">
        <f t="shared" ca="1" si="214"/>
        <v>135872</v>
      </c>
      <c r="DU178" s="90">
        <f t="shared" ca="1" si="215"/>
        <v>38474</v>
      </c>
      <c r="DV178" s="90">
        <f t="shared" si="216"/>
        <v>155</v>
      </c>
      <c r="DW178" s="90">
        <f ca="1">_xlfn.IFNA(INDEX(武器升级消耗!$H:$H,MATCH(玩家节奏1!DS178/玩家节奏1!DS$5,武器升级消耗!M:M,1)),0)</f>
        <v>44</v>
      </c>
      <c r="DX178" s="90">
        <f ca="1">_xlfn.IFNA(INDEX(武器升级消耗!$H:$H,MATCH(玩家节奏1!DT178/玩家节奏1!DT$5,武器升级消耗!N:N,1)),0)</f>
        <v>39</v>
      </c>
      <c r="DY178" s="90">
        <f ca="1">_xlfn.IFNA(INDEX(武器升级消耗!$H:$H,MATCH(玩家节奏1!DU178/玩家节奏1!DU$5,武器升级消耗!O:O,1)),0)</f>
        <v>27</v>
      </c>
      <c r="DZ178" s="90">
        <f>_xlfn.IFNA(INDEX(武器升级消耗!$H:$H,MATCH(玩家节奏1!DV178/玩家节奏1!DV$5,武器升级消耗!P:P,1)),0)</f>
        <v>13</v>
      </c>
      <c r="EA178" s="90">
        <f ca="1">_xlfn.IFNA(INDEX(武器升级消耗!$Q:$Q,MATCH(玩家节奏1!DW178,武器升级消耗!$H:$H,0))*2*EA$4,0)</f>
        <v>5.76</v>
      </c>
      <c r="EB178" s="90">
        <f ca="1">_xlfn.IFNA(INDEX(武器升级消耗!$Q:$Q,MATCH(玩家节奏1!DX178,武器升级消耗!$H:$H,0))*2*EB$4,0)</f>
        <v>6.4499999999999993</v>
      </c>
      <c r="EC178" s="90">
        <f ca="1">_xlfn.IFNA(INDEX(武器升级消耗!$Q:$Q,MATCH(玩家节奏1!DY178,武器升级消耗!$H:$H,0))*2*EC$4,1)</f>
        <v>6.8200000000000012</v>
      </c>
      <c r="ED178" s="90">
        <f>_xlfn.IFNA(INDEX(武器升级消耗!$Q:$Q,MATCH(玩家节奏1!DZ178,武器升级消耗!$H:$H,0))*2*ED$4,0)</f>
        <v>5.0999999999999996</v>
      </c>
    </row>
    <row r="179" spans="1:134" x14ac:dyDescent="0.25">
      <c r="A179" s="123">
        <v>173</v>
      </c>
      <c r="B179" s="123">
        <f>INDEX(关卡对比!$Y:$Y,MATCH(关卡对比!Z179,关卡对比!$AA:$AA,1))</f>
        <v>100</v>
      </c>
      <c r="C179" s="124">
        <f>INDEX(关卡对比!$Y:$Y,MATCH(关卡对比!Z179,关卡对比!$AB:$AB,1))</f>
        <v>76</v>
      </c>
      <c r="D179" s="125">
        <f t="shared" si="230"/>
        <v>1016.5</v>
      </c>
      <c r="E179" s="125">
        <v>3</v>
      </c>
      <c r="F179" s="128">
        <v>5</v>
      </c>
      <c r="G179" s="90">
        <v>1</v>
      </c>
      <c r="H179" s="90">
        <v>1</v>
      </c>
      <c r="J179" s="128">
        <v>173</v>
      </c>
      <c r="K179" s="90">
        <f t="shared" si="225"/>
        <v>5</v>
      </c>
      <c r="L179" s="90">
        <f t="shared" si="226"/>
        <v>1</v>
      </c>
      <c r="M179" s="90">
        <f t="shared" si="227"/>
        <v>1</v>
      </c>
      <c r="N179" s="140">
        <f>INDEX($A:$A,MATCH(SUM($K$7:K179),$D:$D,1))</f>
        <v>150</v>
      </c>
      <c r="O179" s="140">
        <v>0</v>
      </c>
      <c r="P179" s="141">
        <v>0</v>
      </c>
      <c r="Q179" s="126">
        <f>_xlfn.MAXIFS(关卡产出!X:X,关卡产出!$A:$A,玩家节奏1!$N$6,关卡产出!$B:$B,玩家节奏1!$N179)+_xlfn.MAXIFS(关卡产出!X:X,关卡产出!$A:$A,玩家节奏1!$O$6,关卡产出!$B:$B,玩家节奏1!$O179)+_xlfn.MAXIFS(关卡产出!X:X,关卡产出!$A:$A,玩家节奏1!$P$6,关卡产出!$B:$B,玩家节奏1!$P179)</f>
        <v>28500</v>
      </c>
      <c r="R179" s="90">
        <f>_xlfn.MAXIFS(关卡产出!Y:Y,关卡产出!$A:$A,玩家节奏1!$N$6,关卡产出!$B:$B,玩家节奏1!$N179)+_xlfn.MAXIFS(关卡产出!Y:Y,关卡产出!$A:$A,玩家节奏1!$O$6,关卡产出!$B:$B,玩家节奏1!$O179)+_xlfn.MAXIFS(关卡产出!Y:Y,关卡产出!$A:$A,玩家节奏1!$P$6,关卡产出!$B:$B,玩家节奏1!$P179)</f>
        <v>6460000</v>
      </c>
      <c r="S179" s="90">
        <f>_xlfn.MAXIFS(关卡产出!Z:Z,关卡产出!$A:$A,玩家节奏1!$N$6,关卡产出!$B:$B,玩家节奏1!$N179)+_xlfn.MAXIFS(关卡产出!Z:Z,关卡产出!$A:$A,玩家节奏1!$O$6,关卡产出!$B:$B,玩家节奏1!$O179)+_xlfn.MAXIFS(关卡产出!Z:Z,关卡产出!$A:$A,玩家节奏1!$P$6,关卡产出!$B:$B,玩家节奏1!$P179)</f>
        <v>44166</v>
      </c>
      <c r="T179" s="90">
        <f>_xlfn.MAXIFS(关卡产出!AA:AA,关卡产出!$A:$A,玩家节奏1!$N$6,关卡产出!$B:$B,玩家节奏1!$N179)+_xlfn.MAXIFS(关卡产出!AA:AA,关卡产出!$A:$A,玩家节奏1!$O$6,关卡产出!$B:$B,玩家节奏1!$O179)+_xlfn.MAXIFS(关卡产出!AA:AA,关卡产出!$A:$A,玩家节奏1!$P$6,关卡产出!$B:$B,玩家节奏1!$P179)</f>
        <v>22084</v>
      </c>
      <c r="U179" s="90">
        <f>_xlfn.MAXIFS(关卡产出!AB:AB,关卡产出!$A:$A,玩家节奏1!$N$6,关卡产出!$B:$B,玩家节奏1!$N179)+_xlfn.MAXIFS(关卡产出!AB:AB,关卡产出!$A:$A,玩家节奏1!$O$6,关卡产出!$B:$B,玩家节奏1!$O179)+_xlfn.MAXIFS(关卡产出!AB:AB,关卡产出!$A:$A,玩家节奏1!$P$6,关卡产出!$B:$B,玩家节奏1!$P179)</f>
        <v>10588</v>
      </c>
      <c r="V179" s="130">
        <f>_xlfn.MAXIFS(关卡产出!AC:AC,关卡产出!$A:$A,玩家节奏1!$N$6,关卡产出!$B:$B,玩家节奏1!$N179)+_xlfn.MAXIFS(关卡产出!AC:AC,关卡产出!$A:$A,玩家节奏1!$O$6,关卡产出!$B:$B,玩家节奏1!$O179)+_xlfn.MAXIFS(关卡产出!AC:AC,关卡产出!$A:$A,玩家节奏1!$P$6,关卡产出!$B:$B,玩家节奏1!$P179)</f>
        <v>900</v>
      </c>
      <c r="W179" s="126">
        <f>INDEX(关卡产出!C$8:C$207,MATCH(玩家节奏1!$N179,关卡产出!$B$8:$B$207,0))*$K179</f>
        <v>590</v>
      </c>
      <c r="X179" s="126">
        <f>INDEX(关卡产出!D$8:D$207,MATCH(玩家节奏1!$N179,关卡产出!$B$8:$B$207,0))*$K179</f>
        <v>295</v>
      </c>
      <c r="Y179" s="126">
        <f>INDEX(关卡产出!E$8:E$207,MATCH(玩家节奏1!$N179,关卡产出!$B$8:$B$207,0))*$K179</f>
        <v>145</v>
      </c>
      <c r="Z179" s="144">
        <f>INDEX(关卡产出!F$8:F$207,MATCH(玩家节奏1!$N179,关卡产出!$B$8:$B$207,0))*$K179</f>
        <v>7750</v>
      </c>
      <c r="AA179" s="126">
        <f>SUM(W$7:W179)</f>
        <v>50956</v>
      </c>
      <c r="AB179" s="126">
        <f>SUM(X$7:X179)</f>
        <v>25301</v>
      </c>
      <c r="AC179" s="126">
        <f>SUM(Y$7:Y179)</f>
        <v>12162</v>
      </c>
      <c r="AD179" s="126">
        <f>SUM(Z$7:Z179)</f>
        <v>702110</v>
      </c>
      <c r="AE179" s="126">
        <f>INDEX(图鉴!AQ:AQ,MATCH($N179,图鉴!$S:$S,0))*8</f>
        <v>168</v>
      </c>
      <c r="AF179" s="90">
        <f>INDEX(图鉴!AR:AR,MATCH($N179,图鉴!$S:$S,0))*8</f>
        <v>120</v>
      </c>
      <c r="AG179" s="90">
        <f>INDEX(图鉴!AS:AS,MATCH($N179,图鉴!$S:$S,0))*8</f>
        <v>48</v>
      </c>
      <c r="AH179" s="129">
        <f ca="1">INDEX(图鉴!AT:AT,MATCH($N179,图鉴!$S:$S,0))*8</f>
        <v>11760</v>
      </c>
      <c r="AI179" s="128">
        <f>SUM($AE$7:AE179)</f>
        <v>26640</v>
      </c>
      <c r="AJ179" s="90">
        <f>SUM(AF$7:AF179)</f>
        <v>16480</v>
      </c>
      <c r="AK179" s="90">
        <f>SUM(AG$7:AG179)</f>
        <v>5912</v>
      </c>
      <c r="AL179" s="130">
        <f ca="1">SUM(AH$7:AH179)</f>
        <v>1335960</v>
      </c>
      <c r="AM179" s="133">
        <f>IF(M179=0,0,INDEX(关卡产出!$AU$11:$AU$15,MATCH(玩家节奏1!N179,关卡产出!$AW$11:$AW$15,1))*M179)</f>
        <v>12200</v>
      </c>
      <c r="AN179" s="126">
        <f>IF(L179=0,0,$L179*关卡产出!AU$21)</f>
        <v>1000</v>
      </c>
      <c r="AO179" s="90">
        <f>IF(M179=0,0,$L179*关卡产出!AV$21)</f>
        <v>50</v>
      </c>
      <c r="AP179" s="129">
        <f>IF(N179=0,0,$L179*关卡产出!AW$21)</f>
        <v>1</v>
      </c>
      <c r="AQ179" s="138">
        <f>SUM(AN$7:AN179)</f>
        <v>156000</v>
      </c>
      <c r="AR179" s="126">
        <f>SUM(AO$7:AO179)</f>
        <v>7800</v>
      </c>
      <c r="AS179" s="129">
        <f>SUM(AP$7:AP179)</f>
        <v>156</v>
      </c>
      <c r="AT179" s="128">
        <v>500</v>
      </c>
      <c r="AU179" s="129">
        <v>100</v>
      </c>
      <c r="AV179" s="128">
        <f>SUM(AT$7:AT179)</f>
        <v>86500</v>
      </c>
      <c r="AW179" s="90">
        <f>SUM(AU$7:AU179)</f>
        <v>17300</v>
      </c>
      <c r="AY179" s="128">
        <f t="shared" si="167"/>
        <v>28500</v>
      </c>
      <c r="AZ179" s="90">
        <f t="shared" si="168"/>
        <v>7800</v>
      </c>
      <c r="BA179" s="90">
        <f t="shared" si="169"/>
        <v>17300</v>
      </c>
      <c r="BB179" s="90">
        <f t="shared" ca="1" si="217"/>
        <v>14300</v>
      </c>
      <c r="BC179" s="90">
        <f t="shared" ca="1" si="218"/>
        <v>67900</v>
      </c>
      <c r="BD179" s="90"/>
      <c r="BE179" s="90">
        <f t="shared" ca="1" si="170"/>
        <v>67900</v>
      </c>
      <c r="BF179" s="142">
        <f t="shared" ca="1" si="171"/>
        <v>0.41973490427098675</v>
      </c>
      <c r="BG179" s="142">
        <f t="shared" ca="1" si="172"/>
        <v>0.11487481590574374</v>
      </c>
      <c r="BH179" s="142">
        <f t="shared" ca="1" si="228"/>
        <v>0.25478645066273931</v>
      </c>
      <c r="BI179" s="142">
        <f t="shared" ca="1" si="229"/>
        <v>0.21060382916053019</v>
      </c>
      <c r="BJ179" s="143"/>
      <c r="BK179" s="128">
        <f ca="1">INDEX(商城宝箱!$L:$L,MATCH(BC179,商城宝箱!$N:$N,1))</f>
        <v>10</v>
      </c>
      <c r="BL179" s="90">
        <f ca="1">_xlfn.IFNA(INDEX(商城宝箱!T:T,MATCH(玩家节奏1!$BK179,商城宝箱!$L:$L,0)),0)+($BC179-INDEX(商城宝箱!$N:$N,MATCH(玩家节奏1!$BK179,商城宝箱!$L:$L,0)))/$BK$5*INDEX(商城宝箱!E$23:E$42,MATCH(玩家节奏1!$BK179+1,商城宝箱!$C$23:$C$42,0))</f>
        <v>169750</v>
      </c>
      <c r="BM179" s="90">
        <f ca="1">_xlfn.IFNA(INDEX(商城宝箱!U:U,MATCH(玩家节奏1!$BK179,商城宝箱!$L:$L,0)),0)+($BC179-INDEX(商城宝箱!$N:$N,MATCH(玩家节奏1!$BK179,商城宝箱!$L:$L,0)))/$BK$5*INDEX(商城宝箱!F$23:F$42,MATCH(玩家节奏1!$BK179+1,商城宝箱!$C$23:$C$42,0))</f>
        <v>131222.5</v>
      </c>
      <c r="BN179" s="90">
        <f ca="1">_xlfn.IFNA(INDEX(商城宝箱!V:V,MATCH(玩家节奏1!$BK179,商城宝箱!$L:$L,0)),0)+($BC179-INDEX(商城宝箱!$N:$N,MATCH(玩家节奏1!$BK179,商城宝箱!$L:$L,0)))/$BK$5*INDEX(商城宝箱!G$23:G$42,MATCH(玩家节奏1!$BK179+1,商城宝箱!$C$23:$C$42,0))</f>
        <v>73837</v>
      </c>
      <c r="BO179" s="90">
        <f ca="1">_xlfn.IFNA(INDEX(商城宝箱!W:W,MATCH(玩家节奏1!$BK179,商城宝箱!$L:$L,0)),0)+($BC179-INDEX(商城宝箱!$N:$N,MATCH(玩家节奏1!$BK179,商城宝箱!$L:$L,0)))/$BK$5*INDEX(商城宝箱!H$23:H$42,MATCH(玩家节奏1!$BK179+1,商城宝箱!$C$23:$C$42,0))</f>
        <v>10431.5</v>
      </c>
      <c r="BQ179" s="128">
        <f t="shared" si="219"/>
        <v>6460000</v>
      </c>
      <c r="BR179" s="90">
        <f t="shared" si="220"/>
        <v>702110</v>
      </c>
      <c r="BS179" s="90">
        <f t="shared" ca="1" si="221"/>
        <v>1335960</v>
      </c>
      <c r="BT179" s="90">
        <f t="shared" si="222"/>
        <v>12200</v>
      </c>
      <c r="BU179" s="90">
        <f t="shared" si="223"/>
        <v>156000</v>
      </c>
      <c r="BV179" s="90">
        <f t="shared" si="224"/>
        <v>86500</v>
      </c>
      <c r="BW179" s="90">
        <f t="shared" ca="1" si="175"/>
        <v>169750</v>
      </c>
      <c r="BX179" s="90">
        <f t="shared" ca="1" si="176"/>
        <v>8922520</v>
      </c>
      <c r="BY179" s="142">
        <f t="shared" ca="1" si="177"/>
        <v>0.72401070549575686</v>
      </c>
      <c r="BZ179" s="142">
        <f t="shared" ca="1" si="178"/>
        <v>7.8689652699013277E-2</v>
      </c>
      <c r="CA179" s="142">
        <f t="shared" ca="1" si="179"/>
        <v>0.1497290003272618</v>
      </c>
      <c r="CB179" s="142">
        <f t="shared" ca="1" si="180"/>
        <v>1.3673267193573117E-3</v>
      </c>
      <c r="CC179" s="142">
        <f t="shared" ca="1" si="181"/>
        <v>1.74838498540771E-2</v>
      </c>
      <c r="CD179" s="142">
        <f t="shared" ca="1" si="182"/>
        <v>9.6945705921645461E-3</v>
      </c>
      <c r="CE179" s="142">
        <f t="shared" ca="1" si="183"/>
        <v>1.9024894312369152E-2</v>
      </c>
      <c r="CG179" s="128">
        <f t="shared" si="184"/>
        <v>150</v>
      </c>
      <c r="CH179" s="90">
        <f ca="1">INDEX(角色升级!$A:$A,MATCH(玩家节奏1!$BX179,角色升级!$J:$J,1))</f>
        <v>695</v>
      </c>
      <c r="CI179" s="90">
        <f ca="1">INDEX(角色升级!$O:$O,MATCH(玩家节奏1!$BX179,角色升级!$J:$J,1))</f>
        <v>39256.189530000011</v>
      </c>
      <c r="CJ179" s="90">
        <f>INDEX(关卡对比!$J:$J,MATCH(玩家节奏1!N179,关卡对比!$A:$A,0))</f>
        <v>61200</v>
      </c>
      <c r="CK179" s="147">
        <f t="shared" ca="1" si="185"/>
        <v>1.5589898238398887</v>
      </c>
      <c r="CL179" s="128">
        <f ca="1">INDEX(角色升级!$P:$P,MATCH(玩家节奏1!$CH179,角色升级!$A:$A,0))</f>
        <v>14300</v>
      </c>
      <c r="CM179" s="90">
        <f ca="1">INDEX(角色升级!Q:Q,MATCH(玩家节奏1!$CH179,角色升级!$A:$A,0))</f>
        <v>1.2</v>
      </c>
      <c r="CO179" s="128">
        <f t="shared" si="186"/>
        <v>44166</v>
      </c>
      <c r="CP179" s="90">
        <f t="shared" si="187"/>
        <v>50956</v>
      </c>
      <c r="CQ179" s="90">
        <f t="shared" si="188"/>
        <v>26640</v>
      </c>
      <c r="CR179" s="90">
        <f t="shared" ca="1" si="189"/>
        <v>131222.5</v>
      </c>
      <c r="CS179" s="90">
        <f t="shared" ca="1" si="190"/>
        <v>252984.5</v>
      </c>
      <c r="CT179" s="142">
        <f t="shared" ca="1" si="191"/>
        <v>0.17457986556488639</v>
      </c>
      <c r="CU179" s="142">
        <f t="shared" ca="1" si="192"/>
        <v>0.20141945455156343</v>
      </c>
      <c r="CV179" s="142">
        <f t="shared" ca="1" si="193"/>
        <v>0.1053028940508213</v>
      </c>
      <c r="CW179" s="142">
        <f t="shared" ca="1" si="194"/>
        <v>0.51869778583272885</v>
      </c>
      <c r="CY179" s="128">
        <f t="shared" si="195"/>
        <v>22084</v>
      </c>
      <c r="CZ179" s="90">
        <f t="shared" si="196"/>
        <v>25301</v>
      </c>
      <c r="DA179" s="90">
        <f t="shared" si="197"/>
        <v>16480</v>
      </c>
      <c r="DB179" s="90">
        <f t="shared" ca="1" si="198"/>
        <v>73837</v>
      </c>
      <c r="DC179" s="90">
        <f t="shared" ca="1" si="199"/>
        <v>137702</v>
      </c>
      <c r="DD179" s="142">
        <f t="shared" ca="1" si="200"/>
        <v>0.16037530319094856</v>
      </c>
      <c r="DE179" s="142">
        <f t="shared" ca="1" si="201"/>
        <v>0.18373734586280518</v>
      </c>
      <c r="DF179" s="142">
        <f t="shared" ca="1" si="202"/>
        <v>0.11967872652539542</v>
      </c>
      <c r="DG179" s="142">
        <f t="shared" ca="1" si="203"/>
        <v>0.53620862442085082</v>
      </c>
      <c r="DI179" s="128">
        <f t="shared" si="204"/>
        <v>10588</v>
      </c>
      <c r="DJ179" s="90">
        <f t="shared" si="205"/>
        <v>12162</v>
      </c>
      <c r="DK179" s="90">
        <f t="shared" si="206"/>
        <v>5912</v>
      </c>
      <c r="DL179" s="90">
        <f t="shared" ca="1" si="207"/>
        <v>10431.5</v>
      </c>
      <c r="DM179" s="90">
        <f t="shared" ca="1" si="208"/>
        <v>39093.5</v>
      </c>
      <c r="DN179" s="142">
        <f t="shared" ca="1" si="209"/>
        <v>0.27083786307186619</v>
      </c>
      <c r="DO179" s="142">
        <f t="shared" ca="1" si="210"/>
        <v>0.31110031079335437</v>
      </c>
      <c r="DP179" s="142">
        <f t="shared" ca="1" si="211"/>
        <v>0.15122718610510699</v>
      </c>
      <c r="DQ179" s="142">
        <f t="shared" ca="1" si="212"/>
        <v>0.26683464002967244</v>
      </c>
      <c r="DS179" s="128">
        <f t="shared" ca="1" si="213"/>
        <v>252984.5</v>
      </c>
      <c r="DT179" s="90">
        <f t="shared" ca="1" si="214"/>
        <v>137702</v>
      </c>
      <c r="DU179" s="90">
        <f t="shared" ca="1" si="215"/>
        <v>39093.5</v>
      </c>
      <c r="DV179" s="90">
        <f t="shared" si="216"/>
        <v>156</v>
      </c>
      <c r="DW179" s="90">
        <f ca="1">_xlfn.IFNA(INDEX(武器升级消耗!$H:$H,MATCH(玩家节奏1!DS179/玩家节奏1!DS$5,武器升级消耗!M:M,1)),0)</f>
        <v>45</v>
      </c>
      <c r="DX179" s="90">
        <f ca="1">_xlfn.IFNA(INDEX(武器升级消耗!$H:$H,MATCH(玩家节奏1!DT179/玩家节奏1!DT$5,武器升级消耗!N:N,1)),0)</f>
        <v>40</v>
      </c>
      <c r="DY179" s="90">
        <f ca="1">_xlfn.IFNA(INDEX(武器升级消耗!$H:$H,MATCH(玩家节奏1!DU179/玩家节奏1!DU$5,武器升级消耗!O:O,1)),0)</f>
        <v>27</v>
      </c>
      <c r="DZ179" s="90">
        <f>_xlfn.IFNA(INDEX(武器升级消耗!$H:$H,MATCH(玩家节奏1!DV179/玩家节奏1!DV$5,武器升级消耗!P:P,1)),0)</f>
        <v>13</v>
      </c>
      <c r="EA179" s="90">
        <f ca="1">_xlfn.IFNA(INDEX(武器升级消耗!$Q:$Q,MATCH(玩家节奏1!DW179,武器升级消耗!$H:$H,0))*2*EA$4,0)</f>
        <v>5.88</v>
      </c>
      <c r="EB179" s="90">
        <f ca="1">_xlfn.IFNA(INDEX(武器升级消耗!$Q:$Q,MATCH(玩家节奏1!DX179,武器升级消耗!$H:$H,0))*2*EB$4,0)</f>
        <v>6.6000000000000005</v>
      </c>
      <c r="EC179" s="90">
        <f ca="1">_xlfn.IFNA(INDEX(武器升级消耗!$Q:$Q,MATCH(玩家节奏1!DY179,武器升级消耗!$H:$H,0))*2*EC$4,1)</f>
        <v>6.8200000000000012</v>
      </c>
      <c r="ED179" s="90">
        <f>_xlfn.IFNA(INDEX(武器升级消耗!$Q:$Q,MATCH(玩家节奏1!DZ179,武器升级消耗!$H:$H,0))*2*ED$4,0)</f>
        <v>5.0999999999999996</v>
      </c>
    </row>
    <row r="180" spans="1:134" x14ac:dyDescent="0.25">
      <c r="A180" s="123">
        <v>174</v>
      </c>
      <c r="B180" s="123">
        <f>INDEX(关卡对比!$Y:$Y,MATCH(关卡对比!Z180,关卡对比!$AA:$AA,1))</f>
        <v>100</v>
      </c>
      <c r="C180" s="124">
        <f>INDEX(关卡对比!$Y:$Y,MATCH(关卡对比!Z180,关卡对比!$AB:$AB,1))</f>
        <v>76</v>
      </c>
      <c r="D180" s="125">
        <f t="shared" si="230"/>
        <v>1019.5</v>
      </c>
      <c r="E180" s="125">
        <v>3</v>
      </c>
      <c r="F180" s="128">
        <v>5</v>
      </c>
      <c r="G180" s="90">
        <v>1</v>
      </c>
      <c r="H180" s="90">
        <v>1</v>
      </c>
      <c r="J180" s="128">
        <v>174</v>
      </c>
      <c r="K180" s="90">
        <f t="shared" si="225"/>
        <v>5</v>
      </c>
      <c r="L180" s="90">
        <f t="shared" si="226"/>
        <v>1</v>
      </c>
      <c r="M180" s="90">
        <f t="shared" si="227"/>
        <v>1</v>
      </c>
      <c r="N180" s="140">
        <f>INDEX($A:$A,MATCH(SUM($K$7:K180),$D:$D,1))</f>
        <v>151</v>
      </c>
      <c r="O180" s="140">
        <v>0</v>
      </c>
      <c r="P180" s="141">
        <v>0</v>
      </c>
      <c r="Q180" s="126">
        <f>_xlfn.MAXIFS(关卡产出!X:X,关卡产出!$A:$A,玩家节奏1!$N$6,关卡产出!$B:$B,玩家节奏1!$N180)+_xlfn.MAXIFS(关卡产出!X:X,关卡产出!$A:$A,玩家节奏1!$O$6,关卡产出!$B:$B,玩家节奏1!$O180)+_xlfn.MAXIFS(关卡产出!X:X,关卡产出!$A:$A,玩家节奏1!$P$6,关卡产出!$B:$B,玩家节奏1!$P180)</f>
        <v>28700</v>
      </c>
      <c r="R180" s="90">
        <f>_xlfn.MAXIFS(关卡产出!Y:Y,关卡产出!$A:$A,玩家节奏1!$N$6,关卡产出!$B:$B,玩家节奏1!$N180)+_xlfn.MAXIFS(关卡产出!Y:Y,关卡产出!$A:$A,玩家节奏1!$O$6,关卡产出!$B:$B,玩家节奏1!$O180)+_xlfn.MAXIFS(关卡产出!Y:Y,关卡产出!$A:$A,玩家节奏1!$P$6,关卡产出!$B:$B,玩家节奏1!$P180)</f>
        <v>6548300</v>
      </c>
      <c r="S180" s="90">
        <f>_xlfn.MAXIFS(关卡产出!Z:Z,关卡产出!$A:$A,玩家节奏1!$N$6,关卡产出!$B:$B,玩家节奏1!$N180)+_xlfn.MAXIFS(关卡产出!Z:Z,关卡产出!$A:$A,玩家节奏1!$O$6,关卡产出!$B:$B,玩家节奏1!$O180)+_xlfn.MAXIFS(关卡产出!Z:Z,关卡产出!$A:$A,玩家节奏1!$P$6,关卡产出!$B:$B,玩家节奏1!$P180)</f>
        <v>44762</v>
      </c>
      <c r="T180" s="90">
        <f>_xlfn.MAXIFS(关卡产出!AA:AA,关卡产出!$A:$A,玩家节奏1!$N$6,关卡产出!$B:$B,玩家节奏1!$N180)+_xlfn.MAXIFS(关卡产出!AA:AA,关卡产出!$A:$A,玩家节奏1!$O$6,关卡产出!$B:$B,玩家节奏1!$O180)+_xlfn.MAXIFS(关卡产出!AA:AA,关卡产出!$A:$A,玩家节奏1!$P$6,关卡产出!$B:$B,玩家节奏1!$P180)</f>
        <v>22382</v>
      </c>
      <c r="U180" s="90">
        <f>_xlfn.MAXIFS(关卡产出!AB:AB,关卡产出!$A:$A,玩家节奏1!$N$6,关卡产出!$B:$B,玩家节奏1!$N180)+_xlfn.MAXIFS(关卡产出!AB:AB,关卡产出!$A:$A,玩家节奏1!$O$6,关卡产出!$B:$B,玩家节奏1!$O180)+_xlfn.MAXIFS(关卡产出!AB:AB,关卡产出!$A:$A,玩家节奏1!$P$6,关卡产出!$B:$B,玩家节奏1!$P180)</f>
        <v>10734</v>
      </c>
      <c r="V180" s="130">
        <f>_xlfn.MAXIFS(关卡产出!AC:AC,关卡产出!$A:$A,玩家节奏1!$N$6,关卡产出!$B:$B,玩家节奏1!$N180)+_xlfn.MAXIFS(关卡产出!AC:AC,关卡产出!$A:$A,玩家节奏1!$O$6,关卡产出!$B:$B,玩家节奏1!$O180)+_xlfn.MAXIFS(关卡产出!AC:AC,关卡产出!$A:$A,玩家节奏1!$P$6,关卡产出!$B:$B,玩家节奏1!$P180)</f>
        <v>906</v>
      </c>
      <c r="W180" s="126">
        <f>INDEX(关卡产出!C$8:C$207,MATCH(玩家节奏1!$N180,关卡产出!$B$8:$B$207,0))*$K180</f>
        <v>595</v>
      </c>
      <c r="X180" s="126">
        <f>INDEX(关卡产出!D$8:D$207,MATCH(玩家节奏1!$N180,关卡产出!$B$8:$B$207,0))*$K180</f>
        <v>295</v>
      </c>
      <c r="Y180" s="126">
        <f>INDEX(关卡产出!E$8:E$207,MATCH(玩家节奏1!$N180,关卡产出!$B$8:$B$207,0))*$K180</f>
        <v>145</v>
      </c>
      <c r="Z180" s="144">
        <f>INDEX(关卡产出!F$8:F$207,MATCH(玩家节奏1!$N180,关卡产出!$B$8:$B$207,0))*$K180</f>
        <v>7850</v>
      </c>
      <c r="AA180" s="126">
        <f>SUM(W$7:W180)</f>
        <v>51551</v>
      </c>
      <c r="AB180" s="126">
        <f>SUM(X$7:X180)</f>
        <v>25596</v>
      </c>
      <c r="AC180" s="126">
        <f>SUM(Y$7:Y180)</f>
        <v>12307</v>
      </c>
      <c r="AD180" s="126">
        <f>SUM(Z$7:Z180)</f>
        <v>709960</v>
      </c>
      <c r="AE180" s="126">
        <f>INDEX(图鉴!AQ:AQ,MATCH($N180,图鉴!$S:$S,0))*8</f>
        <v>168</v>
      </c>
      <c r="AF180" s="90">
        <f>INDEX(图鉴!AR:AR,MATCH($N180,图鉴!$S:$S,0))*8</f>
        <v>120</v>
      </c>
      <c r="AG180" s="90">
        <f>INDEX(图鉴!AS:AS,MATCH($N180,图鉴!$S:$S,0))*8</f>
        <v>48</v>
      </c>
      <c r="AH180" s="129">
        <f ca="1">INDEX(图鉴!AT:AT,MATCH($N180,图鉴!$S:$S,0))*8</f>
        <v>11760</v>
      </c>
      <c r="AI180" s="128">
        <f>SUM($AE$7:AE180)</f>
        <v>26808</v>
      </c>
      <c r="AJ180" s="90">
        <f>SUM(AF$7:AF180)</f>
        <v>16600</v>
      </c>
      <c r="AK180" s="90">
        <f>SUM(AG$7:AG180)</f>
        <v>5960</v>
      </c>
      <c r="AL180" s="130">
        <f ca="1">SUM(AH$7:AH180)</f>
        <v>1347720</v>
      </c>
      <c r="AM180" s="133">
        <f>IF(M180=0,0,INDEX(关卡产出!$AU$11:$AU$15,MATCH(玩家节奏1!N180,关卡产出!$AW$11:$AW$15,1))*M180)</f>
        <v>12200</v>
      </c>
      <c r="AN180" s="126">
        <f>IF(L180=0,0,$L180*关卡产出!AU$21)</f>
        <v>1000</v>
      </c>
      <c r="AO180" s="90">
        <f>IF(M180=0,0,$L180*关卡产出!AV$21)</f>
        <v>50</v>
      </c>
      <c r="AP180" s="129">
        <f>IF(N180=0,0,$L180*关卡产出!AW$21)</f>
        <v>1</v>
      </c>
      <c r="AQ180" s="138">
        <f>SUM(AN$7:AN180)</f>
        <v>157000</v>
      </c>
      <c r="AR180" s="126">
        <f>SUM(AO$7:AO180)</f>
        <v>7850</v>
      </c>
      <c r="AS180" s="129">
        <f>SUM(AP$7:AP180)</f>
        <v>157</v>
      </c>
      <c r="AT180" s="128">
        <v>500</v>
      </c>
      <c r="AU180" s="129">
        <v>100</v>
      </c>
      <c r="AV180" s="128">
        <f>SUM(AT$7:AT180)</f>
        <v>87000</v>
      </c>
      <c r="AW180" s="90">
        <f>SUM(AU$7:AU180)</f>
        <v>17400</v>
      </c>
      <c r="AY180" s="128">
        <f t="shared" si="167"/>
        <v>28700</v>
      </c>
      <c r="AZ180" s="90">
        <f t="shared" si="168"/>
        <v>7850</v>
      </c>
      <c r="BA180" s="90">
        <f t="shared" si="169"/>
        <v>17400</v>
      </c>
      <c r="BB180" s="90">
        <f t="shared" ca="1" si="217"/>
        <v>14300</v>
      </c>
      <c r="BC180" s="90">
        <f t="shared" ca="1" si="218"/>
        <v>68250</v>
      </c>
      <c r="BD180" s="90"/>
      <c r="BE180" s="90">
        <f t="shared" ca="1" si="170"/>
        <v>68250</v>
      </c>
      <c r="BF180" s="142">
        <f t="shared" ca="1" si="171"/>
        <v>0.42051282051282052</v>
      </c>
      <c r="BG180" s="142">
        <f t="shared" ca="1" si="172"/>
        <v>0.11501831501831501</v>
      </c>
      <c r="BH180" s="142">
        <f t="shared" ca="1" si="228"/>
        <v>0.25494505494505493</v>
      </c>
      <c r="BI180" s="142">
        <f t="shared" ca="1" si="229"/>
        <v>0.20952380952380953</v>
      </c>
      <c r="BJ180" s="143"/>
      <c r="BK180" s="128">
        <f ca="1">INDEX(商城宝箱!$L:$L,MATCH(BC180,商城宝箱!$N:$N,1))</f>
        <v>10</v>
      </c>
      <c r="BL180" s="90">
        <f ca="1">_xlfn.IFNA(INDEX(商城宝箱!T:T,MATCH(玩家节奏1!$BK180,商城宝箱!$L:$L,0)),0)+($BC180-INDEX(商城宝箱!$N:$N,MATCH(玩家节奏1!$BK180,商城宝箱!$L:$L,0)))/$BK$5*INDEX(商城宝箱!E$23:E$42,MATCH(玩家节奏1!$BK180+1,商城宝箱!$C$23:$C$42,0))</f>
        <v>170625</v>
      </c>
      <c r="BM180" s="90">
        <f ca="1">_xlfn.IFNA(INDEX(商城宝箱!U:U,MATCH(玩家节奏1!$BK180,商城宝箱!$L:$L,0)),0)+($BC180-INDEX(商城宝箱!$N:$N,MATCH(玩家节奏1!$BK180,商城宝箱!$L:$L,0)))/$BK$5*INDEX(商城宝箱!F$23:F$42,MATCH(玩家节奏1!$BK180+1,商城宝箱!$C$23:$C$42,0))</f>
        <v>132342.5</v>
      </c>
      <c r="BN180" s="90">
        <f ca="1">_xlfn.IFNA(INDEX(商城宝箱!V:V,MATCH(玩家节奏1!$BK180,商城宝箱!$L:$L,0)),0)+($BC180-INDEX(商城宝箱!$N:$N,MATCH(玩家节奏1!$BK180,商城宝箱!$L:$L,0)))/$BK$5*INDEX(商城宝箱!G$23:G$42,MATCH(玩家节奏1!$BK180+1,商城宝箱!$C$23:$C$42,0))</f>
        <v>74362</v>
      </c>
      <c r="BO180" s="90">
        <f ca="1">_xlfn.IFNA(INDEX(商城宝箱!W:W,MATCH(玩家节奏1!$BK180,商城宝箱!$L:$L,0)),0)+($BC180-INDEX(商城宝箱!$N:$N,MATCH(玩家节奏1!$BK180,商城宝箱!$L:$L,0)))/$BK$5*INDEX(商城宝箱!H$23:H$42,MATCH(玩家节奏1!$BK180+1,商城宝箱!$C$23:$C$42,0))</f>
        <v>10519</v>
      </c>
      <c r="BQ180" s="128">
        <f t="shared" si="219"/>
        <v>6548300</v>
      </c>
      <c r="BR180" s="90">
        <f t="shared" si="220"/>
        <v>709960</v>
      </c>
      <c r="BS180" s="90">
        <f t="shared" ca="1" si="221"/>
        <v>1347720</v>
      </c>
      <c r="BT180" s="90">
        <f t="shared" si="222"/>
        <v>12200</v>
      </c>
      <c r="BU180" s="90">
        <f t="shared" si="223"/>
        <v>157000</v>
      </c>
      <c r="BV180" s="90">
        <f t="shared" si="224"/>
        <v>87000</v>
      </c>
      <c r="BW180" s="90">
        <f t="shared" ca="1" si="175"/>
        <v>170625</v>
      </c>
      <c r="BX180" s="90">
        <f t="shared" ca="1" si="176"/>
        <v>9032805</v>
      </c>
      <c r="BY180" s="142">
        <f t="shared" ca="1" si="177"/>
        <v>0.72494645904566746</v>
      </c>
      <c r="BZ180" s="142">
        <f t="shared" ca="1" si="178"/>
        <v>7.8597954898838182E-2</v>
      </c>
      <c r="CA180" s="142">
        <f t="shared" ca="1" si="179"/>
        <v>0.14920282237909488</v>
      </c>
      <c r="CB180" s="142">
        <f t="shared" ca="1" si="180"/>
        <v>1.3506325000927175E-3</v>
      </c>
      <c r="CC180" s="142">
        <f t="shared" ca="1" si="181"/>
        <v>1.7381090370045628E-2</v>
      </c>
      <c r="CD180" s="142">
        <f t="shared" ca="1" si="182"/>
        <v>9.631559631808723E-3</v>
      </c>
      <c r="CE180" s="142">
        <f t="shared" ca="1" si="183"/>
        <v>1.8889481174452456E-2</v>
      </c>
      <c r="CG180" s="128">
        <f t="shared" si="184"/>
        <v>151</v>
      </c>
      <c r="CH180" s="90">
        <f ca="1">INDEX(角色升级!$A:$A,MATCH(玩家节奏1!$BX180,角色升级!$J:$J,1))</f>
        <v>698</v>
      </c>
      <c r="CI180" s="90">
        <f ca="1">INDEX(角色升级!$O:$O,MATCH(玩家节奏1!$BX180,角色升级!$J:$J,1))</f>
        <v>40242.388290000003</v>
      </c>
      <c r="CJ180" s="90">
        <f>INDEX(关卡对比!$J:$J,MATCH(玩家节奏1!N180,关卡对比!$A:$A,0))</f>
        <v>61700</v>
      </c>
      <c r="CK180" s="147">
        <f t="shared" ca="1" si="185"/>
        <v>1.5332092010883978</v>
      </c>
      <c r="CL180" s="128">
        <f ca="1">INDEX(角色升级!$P:$P,MATCH(玩家节奏1!$CH180,角色升级!$A:$A,0))</f>
        <v>14300</v>
      </c>
      <c r="CM180" s="90">
        <f ca="1">INDEX(角色升级!Q:Q,MATCH(玩家节奏1!$CH180,角色升级!$A:$A,0))</f>
        <v>1.2</v>
      </c>
      <c r="CO180" s="128">
        <f t="shared" si="186"/>
        <v>44762</v>
      </c>
      <c r="CP180" s="90">
        <f t="shared" si="187"/>
        <v>51551</v>
      </c>
      <c r="CQ180" s="90">
        <f t="shared" si="188"/>
        <v>26808</v>
      </c>
      <c r="CR180" s="90">
        <f t="shared" ca="1" si="189"/>
        <v>132342.5</v>
      </c>
      <c r="CS180" s="90">
        <f t="shared" ca="1" si="190"/>
        <v>255463.5</v>
      </c>
      <c r="CT180" s="142">
        <f t="shared" ca="1" si="191"/>
        <v>0.17521876902179764</v>
      </c>
      <c r="CU180" s="142">
        <f t="shared" ca="1" si="192"/>
        <v>0.20179399405394507</v>
      </c>
      <c r="CV180" s="142">
        <f t="shared" ca="1" si="193"/>
        <v>0.10493867029927954</v>
      </c>
      <c r="CW180" s="142">
        <f t="shared" ca="1" si="194"/>
        <v>0.51804856662497778</v>
      </c>
      <c r="CY180" s="128">
        <f t="shared" si="195"/>
        <v>22382</v>
      </c>
      <c r="CZ180" s="90">
        <f t="shared" si="196"/>
        <v>25596</v>
      </c>
      <c r="DA180" s="90">
        <f t="shared" si="197"/>
        <v>16600</v>
      </c>
      <c r="DB180" s="90">
        <f t="shared" ca="1" si="198"/>
        <v>74362</v>
      </c>
      <c r="DC180" s="90">
        <f t="shared" ca="1" si="199"/>
        <v>138940</v>
      </c>
      <c r="DD180" s="142">
        <f t="shared" ca="1" si="200"/>
        <v>0.16109111846840363</v>
      </c>
      <c r="DE180" s="142">
        <f t="shared" ca="1" si="201"/>
        <v>0.18422340578667051</v>
      </c>
      <c r="DF180" s="142">
        <f t="shared" ca="1" si="202"/>
        <v>0.11947603281992226</v>
      </c>
      <c r="DG180" s="142">
        <f t="shared" ca="1" si="203"/>
        <v>0.53520944292500361</v>
      </c>
      <c r="DI180" s="128">
        <f t="shared" si="204"/>
        <v>10734</v>
      </c>
      <c r="DJ180" s="90">
        <f t="shared" si="205"/>
        <v>12307</v>
      </c>
      <c r="DK180" s="90">
        <f t="shared" si="206"/>
        <v>5960</v>
      </c>
      <c r="DL180" s="90">
        <f t="shared" ca="1" si="207"/>
        <v>10519</v>
      </c>
      <c r="DM180" s="90">
        <f t="shared" ca="1" si="208"/>
        <v>39520</v>
      </c>
      <c r="DN180" s="142">
        <f t="shared" ca="1" si="209"/>
        <v>0.2716093117408907</v>
      </c>
      <c r="DO180" s="142">
        <f t="shared" ca="1" si="210"/>
        <v>0.31141194331983807</v>
      </c>
      <c r="DP180" s="142">
        <f t="shared" ca="1" si="211"/>
        <v>0.15080971659919029</v>
      </c>
      <c r="DQ180" s="142">
        <f t="shared" ca="1" si="212"/>
        <v>0.26616902834008099</v>
      </c>
      <c r="DS180" s="128">
        <f t="shared" ca="1" si="213"/>
        <v>255463.5</v>
      </c>
      <c r="DT180" s="90">
        <f t="shared" ca="1" si="214"/>
        <v>138940</v>
      </c>
      <c r="DU180" s="90">
        <f t="shared" ca="1" si="215"/>
        <v>39520</v>
      </c>
      <c r="DV180" s="90">
        <f t="shared" si="216"/>
        <v>157</v>
      </c>
      <c r="DW180" s="90">
        <f ca="1">_xlfn.IFNA(INDEX(武器升级消耗!$H:$H,MATCH(玩家节奏1!DS180/玩家节奏1!DS$5,武器升级消耗!M:M,1)),0)</f>
        <v>45</v>
      </c>
      <c r="DX180" s="90">
        <f ca="1">_xlfn.IFNA(INDEX(武器升级消耗!$H:$H,MATCH(玩家节奏1!DT180/玩家节奏1!DT$5,武器升级消耗!N:N,1)),0)</f>
        <v>40</v>
      </c>
      <c r="DY180" s="90">
        <f ca="1">_xlfn.IFNA(INDEX(武器升级消耗!$H:$H,MATCH(玩家节奏1!DU180/玩家节奏1!DU$5,武器升级消耗!O:O,1)),0)</f>
        <v>28</v>
      </c>
      <c r="DZ180" s="90">
        <f>_xlfn.IFNA(INDEX(武器升级消耗!$H:$H,MATCH(玩家节奏1!DV180/玩家节奏1!DV$5,武器升级消耗!P:P,1)),0)</f>
        <v>13</v>
      </c>
      <c r="EA180" s="90">
        <f ca="1">_xlfn.IFNA(INDEX(武器升级消耗!$Q:$Q,MATCH(玩家节奏1!DW180,武器升级消耗!$H:$H,0))*2*EA$4,0)</f>
        <v>5.88</v>
      </c>
      <c r="EB180" s="90">
        <f ca="1">_xlfn.IFNA(INDEX(武器升级消耗!$Q:$Q,MATCH(玩家节奏1!DX180,武器升级消耗!$H:$H,0))*2*EB$4,0)</f>
        <v>6.6000000000000005</v>
      </c>
      <c r="EC180" s="90">
        <f ca="1">_xlfn.IFNA(INDEX(武器升级消耗!$Q:$Q,MATCH(玩家节奏1!DY180,武器升级消耗!$H:$H,0))*2*EC$4,1)</f>
        <v>7.0400000000000009</v>
      </c>
      <c r="ED180" s="90">
        <f>_xlfn.IFNA(INDEX(武器升级消耗!$Q:$Q,MATCH(玩家节奏1!DZ180,武器升级消耗!$H:$H,0))*2*ED$4,0)</f>
        <v>5.0999999999999996</v>
      </c>
    </row>
    <row r="181" spans="1:134" x14ac:dyDescent="0.25">
      <c r="A181" s="123">
        <v>175</v>
      </c>
      <c r="B181" s="123">
        <f>INDEX(关卡对比!$Y:$Y,MATCH(关卡对比!Z181,关卡对比!$AA:$AA,1))</f>
        <v>101</v>
      </c>
      <c r="C181" s="124">
        <f>INDEX(关卡对比!$Y:$Y,MATCH(关卡对比!Z181,关卡对比!$AB:$AB,1))</f>
        <v>76</v>
      </c>
      <c r="D181" s="125">
        <f t="shared" si="230"/>
        <v>1025.5</v>
      </c>
      <c r="E181" s="125">
        <v>3</v>
      </c>
      <c r="F181" s="128">
        <v>5</v>
      </c>
      <c r="G181" s="90">
        <v>1</v>
      </c>
      <c r="H181" s="90">
        <v>1</v>
      </c>
      <c r="J181" s="128">
        <v>175</v>
      </c>
      <c r="K181" s="90">
        <f t="shared" si="225"/>
        <v>5</v>
      </c>
      <c r="L181" s="90">
        <f t="shared" si="226"/>
        <v>1</v>
      </c>
      <c r="M181" s="90">
        <f t="shared" si="227"/>
        <v>1</v>
      </c>
      <c r="N181" s="140">
        <f>INDEX($A:$A,MATCH(SUM($K$7:K181),$D:$D,1))</f>
        <v>151</v>
      </c>
      <c r="O181" s="140">
        <v>0</v>
      </c>
      <c r="P181" s="141">
        <v>0</v>
      </c>
      <c r="Q181" s="126">
        <f>_xlfn.MAXIFS(关卡产出!X:X,关卡产出!$A:$A,玩家节奏1!$N$6,关卡产出!$B:$B,玩家节奏1!$N181)+_xlfn.MAXIFS(关卡产出!X:X,关卡产出!$A:$A,玩家节奏1!$O$6,关卡产出!$B:$B,玩家节奏1!$O181)+_xlfn.MAXIFS(关卡产出!X:X,关卡产出!$A:$A,玩家节奏1!$P$6,关卡产出!$B:$B,玩家节奏1!$P181)</f>
        <v>28700</v>
      </c>
      <c r="R181" s="90">
        <f>_xlfn.MAXIFS(关卡产出!Y:Y,关卡产出!$A:$A,玩家节奏1!$N$6,关卡产出!$B:$B,玩家节奏1!$N181)+_xlfn.MAXIFS(关卡产出!Y:Y,关卡产出!$A:$A,玩家节奏1!$O$6,关卡产出!$B:$B,玩家节奏1!$O181)+_xlfn.MAXIFS(关卡产出!Y:Y,关卡产出!$A:$A,玩家节奏1!$P$6,关卡产出!$B:$B,玩家节奏1!$P181)</f>
        <v>6548300</v>
      </c>
      <c r="S181" s="90">
        <f>_xlfn.MAXIFS(关卡产出!Z:Z,关卡产出!$A:$A,玩家节奏1!$N$6,关卡产出!$B:$B,玩家节奏1!$N181)+_xlfn.MAXIFS(关卡产出!Z:Z,关卡产出!$A:$A,玩家节奏1!$O$6,关卡产出!$B:$B,玩家节奏1!$O181)+_xlfn.MAXIFS(关卡产出!Z:Z,关卡产出!$A:$A,玩家节奏1!$P$6,关卡产出!$B:$B,玩家节奏1!$P181)</f>
        <v>44762</v>
      </c>
      <c r="T181" s="90">
        <f>_xlfn.MAXIFS(关卡产出!AA:AA,关卡产出!$A:$A,玩家节奏1!$N$6,关卡产出!$B:$B,玩家节奏1!$N181)+_xlfn.MAXIFS(关卡产出!AA:AA,关卡产出!$A:$A,玩家节奏1!$O$6,关卡产出!$B:$B,玩家节奏1!$O181)+_xlfn.MAXIFS(关卡产出!AA:AA,关卡产出!$A:$A,玩家节奏1!$P$6,关卡产出!$B:$B,玩家节奏1!$P181)</f>
        <v>22382</v>
      </c>
      <c r="U181" s="90">
        <f>_xlfn.MAXIFS(关卡产出!AB:AB,关卡产出!$A:$A,玩家节奏1!$N$6,关卡产出!$B:$B,玩家节奏1!$N181)+_xlfn.MAXIFS(关卡产出!AB:AB,关卡产出!$A:$A,玩家节奏1!$O$6,关卡产出!$B:$B,玩家节奏1!$O181)+_xlfn.MAXIFS(关卡产出!AB:AB,关卡产出!$A:$A,玩家节奏1!$P$6,关卡产出!$B:$B,玩家节奏1!$P181)</f>
        <v>10734</v>
      </c>
      <c r="V181" s="130">
        <f>_xlfn.MAXIFS(关卡产出!AC:AC,关卡产出!$A:$A,玩家节奏1!$N$6,关卡产出!$B:$B,玩家节奏1!$N181)+_xlfn.MAXIFS(关卡产出!AC:AC,关卡产出!$A:$A,玩家节奏1!$O$6,关卡产出!$B:$B,玩家节奏1!$O181)+_xlfn.MAXIFS(关卡产出!AC:AC,关卡产出!$A:$A,玩家节奏1!$P$6,关卡产出!$B:$B,玩家节奏1!$P181)</f>
        <v>906</v>
      </c>
      <c r="W181" s="126">
        <f>INDEX(关卡产出!C$8:C$207,MATCH(玩家节奏1!$N181,关卡产出!$B$8:$B$207,0))*$K181</f>
        <v>595</v>
      </c>
      <c r="X181" s="126">
        <f>INDEX(关卡产出!D$8:D$207,MATCH(玩家节奏1!$N181,关卡产出!$B$8:$B$207,0))*$K181</f>
        <v>295</v>
      </c>
      <c r="Y181" s="126">
        <f>INDEX(关卡产出!E$8:E$207,MATCH(玩家节奏1!$N181,关卡产出!$B$8:$B$207,0))*$K181</f>
        <v>145</v>
      </c>
      <c r="Z181" s="144">
        <f>INDEX(关卡产出!F$8:F$207,MATCH(玩家节奏1!$N181,关卡产出!$B$8:$B$207,0))*$K181</f>
        <v>7850</v>
      </c>
      <c r="AA181" s="126">
        <f>SUM(W$7:W181)</f>
        <v>52146</v>
      </c>
      <c r="AB181" s="126">
        <f>SUM(X$7:X181)</f>
        <v>25891</v>
      </c>
      <c r="AC181" s="126">
        <f>SUM(Y$7:Y181)</f>
        <v>12452</v>
      </c>
      <c r="AD181" s="126">
        <f>SUM(Z$7:Z181)</f>
        <v>717810</v>
      </c>
      <c r="AE181" s="126">
        <f>INDEX(图鉴!AQ:AQ,MATCH($N181,图鉴!$S:$S,0))*8</f>
        <v>168</v>
      </c>
      <c r="AF181" s="90">
        <f>INDEX(图鉴!AR:AR,MATCH($N181,图鉴!$S:$S,0))*8</f>
        <v>120</v>
      </c>
      <c r="AG181" s="90">
        <f>INDEX(图鉴!AS:AS,MATCH($N181,图鉴!$S:$S,0))*8</f>
        <v>48</v>
      </c>
      <c r="AH181" s="129">
        <f ca="1">INDEX(图鉴!AT:AT,MATCH($N181,图鉴!$S:$S,0))*8</f>
        <v>11760</v>
      </c>
      <c r="AI181" s="128">
        <f>SUM($AE$7:AE181)</f>
        <v>26976</v>
      </c>
      <c r="AJ181" s="90">
        <f>SUM(AF$7:AF181)</f>
        <v>16720</v>
      </c>
      <c r="AK181" s="90">
        <f>SUM(AG$7:AG181)</f>
        <v>6008</v>
      </c>
      <c r="AL181" s="130">
        <f ca="1">SUM(AH$7:AH181)</f>
        <v>1359480</v>
      </c>
      <c r="AM181" s="133">
        <f>IF(M181=0,0,INDEX(关卡产出!$AU$11:$AU$15,MATCH(玩家节奏1!N181,关卡产出!$AW$11:$AW$15,1))*M181)</f>
        <v>12200</v>
      </c>
      <c r="AN181" s="126">
        <f>IF(L181=0,0,$L181*关卡产出!AU$21)</f>
        <v>1000</v>
      </c>
      <c r="AO181" s="90">
        <f>IF(M181=0,0,$L181*关卡产出!AV$21)</f>
        <v>50</v>
      </c>
      <c r="AP181" s="129">
        <f>IF(N181=0,0,$L181*关卡产出!AW$21)</f>
        <v>1</v>
      </c>
      <c r="AQ181" s="138">
        <f>SUM(AN$7:AN181)</f>
        <v>158000</v>
      </c>
      <c r="AR181" s="126">
        <f>SUM(AO$7:AO181)</f>
        <v>7900</v>
      </c>
      <c r="AS181" s="129">
        <f>SUM(AP$7:AP181)</f>
        <v>158</v>
      </c>
      <c r="AT181" s="128">
        <v>500</v>
      </c>
      <c r="AU181" s="129">
        <v>100</v>
      </c>
      <c r="AV181" s="128">
        <f>SUM(AT$7:AT181)</f>
        <v>87500</v>
      </c>
      <c r="AW181" s="90">
        <f>SUM(AU$7:AU181)</f>
        <v>17500</v>
      </c>
      <c r="AY181" s="128">
        <f t="shared" si="167"/>
        <v>28700</v>
      </c>
      <c r="AZ181" s="90">
        <f t="shared" si="168"/>
        <v>7900</v>
      </c>
      <c r="BA181" s="90">
        <f t="shared" si="169"/>
        <v>17500</v>
      </c>
      <c r="BB181" s="90">
        <f t="shared" ca="1" si="217"/>
        <v>14300</v>
      </c>
      <c r="BC181" s="90">
        <f t="shared" ca="1" si="218"/>
        <v>68400</v>
      </c>
      <c r="BD181" s="90"/>
      <c r="BE181" s="90">
        <f t="shared" ca="1" si="170"/>
        <v>68400</v>
      </c>
      <c r="BF181" s="142">
        <f t="shared" ca="1" si="171"/>
        <v>0.41959064327485379</v>
      </c>
      <c r="BG181" s="142">
        <f t="shared" ca="1" si="172"/>
        <v>0.11549707602339181</v>
      </c>
      <c r="BH181" s="142">
        <f t="shared" ca="1" si="228"/>
        <v>0.25584795321637427</v>
      </c>
      <c r="BI181" s="142">
        <f t="shared" ca="1" si="229"/>
        <v>0.20906432748538012</v>
      </c>
      <c r="BJ181" s="143"/>
      <c r="BK181" s="128">
        <f ca="1">INDEX(商城宝箱!$L:$L,MATCH(BC181,商城宝箱!$N:$N,1))</f>
        <v>10</v>
      </c>
      <c r="BL181" s="90">
        <f ca="1">_xlfn.IFNA(INDEX(商城宝箱!T:T,MATCH(玩家节奏1!$BK181,商城宝箱!$L:$L,0)),0)+($BC181-INDEX(商城宝箱!$N:$N,MATCH(玩家节奏1!$BK181,商城宝箱!$L:$L,0)))/$BK$5*INDEX(商城宝箱!E$23:E$42,MATCH(玩家节奏1!$BK181+1,商城宝箱!$C$23:$C$42,0))</f>
        <v>171000</v>
      </c>
      <c r="BM181" s="90">
        <f ca="1">_xlfn.IFNA(INDEX(商城宝箱!U:U,MATCH(玩家节奏1!$BK181,商城宝箱!$L:$L,0)),0)+($BC181-INDEX(商城宝箱!$N:$N,MATCH(玩家节奏1!$BK181,商城宝箱!$L:$L,0)))/$BK$5*INDEX(商城宝箱!F$23:F$42,MATCH(玩家节奏1!$BK181+1,商城宝箱!$C$23:$C$42,0))</f>
        <v>132822.5</v>
      </c>
      <c r="BN181" s="90">
        <f ca="1">_xlfn.IFNA(INDEX(商城宝箱!V:V,MATCH(玩家节奏1!$BK181,商城宝箱!$L:$L,0)),0)+($BC181-INDEX(商城宝箱!$N:$N,MATCH(玩家节奏1!$BK181,商城宝箱!$L:$L,0)))/$BK$5*INDEX(商城宝箱!G$23:G$42,MATCH(玩家节奏1!$BK181+1,商城宝箱!$C$23:$C$42,0))</f>
        <v>74587</v>
      </c>
      <c r="BO181" s="90">
        <f ca="1">_xlfn.IFNA(INDEX(商城宝箱!W:W,MATCH(玩家节奏1!$BK181,商城宝箱!$L:$L,0)),0)+($BC181-INDEX(商城宝箱!$N:$N,MATCH(玩家节奏1!$BK181,商城宝箱!$L:$L,0)))/$BK$5*INDEX(商城宝箱!H$23:H$42,MATCH(玩家节奏1!$BK181+1,商城宝箱!$C$23:$C$42,0))</f>
        <v>10556.5</v>
      </c>
      <c r="BQ181" s="128">
        <f t="shared" si="219"/>
        <v>6548300</v>
      </c>
      <c r="BR181" s="90">
        <f t="shared" si="220"/>
        <v>717810</v>
      </c>
      <c r="BS181" s="90">
        <f t="shared" ca="1" si="221"/>
        <v>1359480</v>
      </c>
      <c r="BT181" s="90">
        <f t="shared" si="222"/>
        <v>12200</v>
      </c>
      <c r="BU181" s="90">
        <f t="shared" si="223"/>
        <v>158000</v>
      </c>
      <c r="BV181" s="90">
        <f t="shared" si="224"/>
        <v>87500</v>
      </c>
      <c r="BW181" s="90">
        <f t="shared" ca="1" si="175"/>
        <v>171000</v>
      </c>
      <c r="BX181" s="90">
        <f t="shared" ca="1" si="176"/>
        <v>9054290</v>
      </c>
      <c r="BY181" s="142">
        <f t="shared" ca="1" si="177"/>
        <v>0.72322622756726374</v>
      </c>
      <c r="BZ181" s="142">
        <f t="shared" ca="1" si="178"/>
        <v>7.9278441490166537E-2</v>
      </c>
      <c r="CA181" s="142">
        <f t="shared" ca="1" si="179"/>
        <v>0.15014760958617407</v>
      </c>
      <c r="CB181" s="142">
        <f t="shared" ca="1" si="180"/>
        <v>1.3474275730068288E-3</v>
      </c>
      <c r="CC181" s="142">
        <f t="shared" ca="1" si="181"/>
        <v>1.7450291519268767E-2</v>
      </c>
      <c r="CD181" s="142">
        <f t="shared" ca="1" si="182"/>
        <v>9.6639272654178293E-3</v>
      </c>
      <c r="CE181" s="142">
        <f t="shared" ca="1" si="183"/>
        <v>1.8886074998702273E-2</v>
      </c>
      <c r="CG181" s="128">
        <f t="shared" si="184"/>
        <v>151</v>
      </c>
      <c r="CH181" s="90">
        <f ca="1">INDEX(角色升级!$A:$A,MATCH(玩家节奏1!$BX181,角色升级!$J:$J,1))</f>
        <v>698</v>
      </c>
      <c r="CI181" s="90">
        <f ca="1">INDEX(角色升级!$O:$O,MATCH(玩家节奏1!$BX181,角色升级!$J:$J,1))</f>
        <v>40242.388290000003</v>
      </c>
      <c r="CJ181" s="90">
        <f>INDEX(关卡对比!$J:$J,MATCH(玩家节奏1!N181,关卡对比!$A:$A,0))</f>
        <v>61700</v>
      </c>
      <c r="CK181" s="147">
        <f t="shared" ca="1" si="185"/>
        <v>1.5332092010883978</v>
      </c>
      <c r="CL181" s="128">
        <f ca="1">INDEX(角色升级!$P:$P,MATCH(玩家节奏1!$CH181,角色升级!$A:$A,0))</f>
        <v>14300</v>
      </c>
      <c r="CM181" s="90">
        <f ca="1">INDEX(角色升级!Q:Q,MATCH(玩家节奏1!$CH181,角色升级!$A:$A,0))</f>
        <v>1.2</v>
      </c>
      <c r="CO181" s="128">
        <f t="shared" si="186"/>
        <v>44762</v>
      </c>
      <c r="CP181" s="90">
        <f t="shared" si="187"/>
        <v>52146</v>
      </c>
      <c r="CQ181" s="90">
        <f t="shared" si="188"/>
        <v>26976</v>
      </c>
      <c r="CR181" s="90">
        <f t="shared" ca="1" si="189"/>
        <v>132822.5</v>
      </c>
      <c r="CS181" s="90">
        <f t="shared" ca="1" si="190"/>
        <v>256706.5</v>
      </c>
      <c r="CT181" s="142">
        <f t="shared" ca="1" si="191"/>
        <v>0.17437034122626424</v>
      </c>
      <c r="CU181" s="142">
        <f t="shared" ca="1" si="192"/>
        <v>0.20313470831474856</v>
      </c>
      <c r="CV181" s="142">
        <f t="shared" ca="1" si="193"/>
        <v>0.10508499005673795</v>
      </c>
      <c r="CW181" s="142">
        <f t="shared" ca="1" si="194"/>
        <v>0.51740996040224929</v>
      </c>
      <c r="CY181" s="128">
        <f t="shared" si="195"/>
        <v>22382</v>
      </c>
      <c r="CZ181" s="90">
        <f t="shared" si="196"/>
        <v>25891</v>
      </c>
      <c r="DA181" s="90">
        <f t="shared" si="197"/>
        <v>16720</v>
      </c>
      <c r="DB181" s="90">
        <f t="shared" ca="1" si="198"/>
        <v>74587</v>
      </c>
      <c r="DC181" s="90">
        <f t="shared" ca="1" si="199"/>
        <v>139580</v>
      </c>
      <c r="DD181" s="142">
        <f t="shared" ca="1" si="200"/>
        <v>0.16035248602951713</v>
      </c>
      <c r="DE181" s="142">
        <f t="shared" ca="1" si="201"/>
        <v>0.18549219085828916</v>
      </c>
      <c r="DF181" s="142">
        <f t="shared" ca="1" si="202"/>
        <v>0.11978793523427425</v>
      </c>
      <c r="DG181" s="142">
        <f t="shared" ca="1" si="203"/>
        <v>0.53436738787791949</v>
      </c>
      <c r="DI181" s="128">
        <f t="shared" si="204"/>
        <v>10734</v>
      </c>
      <c r="DJ181" s="90">
        <f t="shared" si="205"/>
        <v>12452</v>
      </c>
      <c r="DK181" s="90">
        <f t="shared" si="206"/>
        <v>6008</v>
      </c>
      <c r="DL181" s="90">
        <f t="shared" ca="1" si="207"/>
        <v>10556.5</v>
      </c>
      <c r="DM181" s="90">
        <f t="shared" ca="1" si="208"/>
        <v>39750.5</v>
      </c>
      <c r="DN181" s="142">
        <f t="shared" ca="1" si="209"/>
        <v>0.27003433919070202</v>
      </c>
      <c r="DO181" s="142">
        <f t="shared" ca="1" si="210"/>
        <v>0.31325392133432284</v>
      </c>
      <c r="DP181" s="142">
        <f t="shared" ca="1" si="211"/>
        <v>0.15114275292134691</v>
      </c>
      <c r="DQ181" s="142">
        <f t="shared" ca="1" si="212"/>
        <v>0.26556898655362826</v>
      </c>
      <c r="DS181" s="128">
        <f t="shared" ca="1" si="213"/>
        <v>256706.5</v>
      </c>
      <c r="DT181" s="90">
        <f t="shared" ca="1" si="214"/>
        <v>139580</v>
      </c>
      <c r="DU181" s="90">
        <f t="shared" ca="1" si="215"/>
        <v>39750.5</v>
      </c>
      <c r="DV181" s="90">
        <f t="shared" si="216"/>
        <v>158</v>
      </c>
      <c r="DW181" s="90">
        <f ca="1">_xlfn.IFNA(INDEX(武器升级消耗!$H:$H,MATCH(玩家节奏1!DS181/玩家节奏1!DS$5,武器升级消耗!M:M,1)),0)</f>
        <v>45</v>
      </c>
      <c r="DX181" s="90">
        <f ca="1">_xlfn.IFNA(INDEX(武器升级消耗!$H:$H,MATCH(玩家节奏1!DT181/玩家节奏1!DT$5,武器升级消耗!N:N,1)),0)</f>
        <v>40</v>
      </c>
      <c r="DY181" s="90">
        <f ca="1">_xlfn.IFNA(INDEX(武器升级消耗!$H:$H,MATCH(玩家节奏1!DU181/玩家节奏1!DU$5,武器升级消耗!O:O,1)),0)</f>
        <v>28</v>
      </c>
      <c r="DZ181" s="90">
        <f>_xlfn.IFNA(INDEX(武器升级消耗!$H:$H,MATCH(玩家节奏1!DV181/玩家节奏1!DV$5,武器升级消耗!P:P,1)),0)</f>
        <v>13</v>
      </c>
      <c r="EA181" s="90">
        <f ca="1">_xlfn.IFNA(INDEX(武器升级消耗!$Q:$Q,MATCH(玩家节奏1!DW181,武器升级消耗!$H:$H,0))*2*EA$4,0)</f>
        <v>5.88</v>
      </c>
      <c r="EB181" s="90">
        <f ca="1">_xlfn.IFNA(INDEX(武器升级消耗!$Q:$Q,MATCH(玩家节奏1!DX181,武器升级消耗!$H:$H,0))*2*EB$4,0)</f>
        <v>6.6000000000000005</v>
      </c>
      <c r="EC181" s="90">
        <f ca="1">_xlfn.IFNA(INDEX(武器升级消耗!$Q:$Q,MATCH(玩家节奏1!DY181,武器升级消耗!$H:$H,0))*2*EC$4,1)</f>
        <v>7.0400000000000009</v>
      </c>
      <c r="ED181" s="90">
        <f>_xlfn.IFNA(INDEX(武器升级消耗!$Q:$Q,MATCH(玩家节奏1!DZ181,武器升级消耗!$H:$H,0))*2*ED$4,0)</f>
        <v>5.0999999999999996</v>
      </c>
    </row>
    <row r="182" spans="1:134" x14ac:dyDescent="0.25">
      <c r="A182" s="123">
        <v>176</v>
      </c>
      <c r="B182" s="123">
        <f>INDEX(关卡对比!$Y:$Y,MATCH(关卡对比!Z182,关卡对比!$AA:$AA,1))</f>
        <v>101</v>
      </c>
      <c r="C182" s="124">
        <f>INDEX(关卡对比!$Y:$Y,MATCH(关卡对比!Z182,关卡对比!$AB:$AB,1))</f>
        <v>77</v>
      </c>
      <c r="D182" s="125">
        <f t="shared" si="230"/>
        <v>1031.5</v>
      </c>
      <c r="E182" s="125">
        <v>3</v>
      </c>
      <c r="F182" s="128">
        <v>5</v>
      </c>
      <c r="G182" s="90">
        <v>1</v>
      </c>
      <c r="H182" s="90">
        <v>1</v>
      </c>
      <c r="J182" s="128">
        <v>176</v>
      </c>
      <c r="K182" s="90">
        <f t="shared" si="225"/>
        <v>5</v>
      </c>
      <c r="L182" s="90">
        <f t="shared" si="226"/>
        <v>1</v>
      </c>
      <c r="M182" s="90">
        <f t="shared" si="227"/>
        <v>1</v>
      </c>
      <c r="N182" s="140">
        <f>INDEX($A:$A,MATCH(SUM($K$7:K182),$D:$D,1))</f>
        <v>152</v>
      </c>
      <c r="O182" s="140">
        <v>0</v>
      </c>
      <c r="P182" s="141">
        <v>0</v>
      </c>
      <c r="Q182" s="126">
        <f>_xlfn.MAXIFS(关卡产出!X:X,关卡产出!$A:$A,玩家节奏1!$N$6,关卡产出!$B:$B,玩家节奏1!$N182)+_xlfn.MAXIFS(关卡产出!X:X,关卡产出!$A:$A,玩家节奏1!$O$6,关卡产出!$B:$B,玩家节奏1!$O182)+_xlfn.MAXIFS(关卡产出!X:X,关卡产出!$A:$A,玩家节奏1!$P$6,关卡产出!$B:$B,玩家节奏1!$P182)</f>
        <v>28900</v>
      </c>
      <c r="R182" s="90">
        <f>_xlfn.MAXIFS(关卡产出!Y:Y,关卡产出!$A:$A,玩家节奏1!$N$6,关卡产出!$B:$B,玩家节奏1!$N182)+_xlfn.MAXIFS(关卡产出!Y:Y,关卡产出!$A:$A,玩家节奏1!$O$6,关卡产出!$B:$B,玩家节奏1!$O182)+_xlfn.MAXIFS(关卡产出!Y:Y,关卡产出!$A:$A,玩家节奏1!$P$6,关卡产出!$B:$B,玩家节奏1!$P182)</f>
        <v>6637200</v>
      </c>
      <c r="S182" s="90">
        <f>_xlfn.MAXIFS(关卡产出!Z:Z,关卡产出!$A:$A,玩家节奏1!$N$6,关卡产出!$B:$B,玩家节奏1!$N182)+_xlfn.MAXIFS(关卡产出!Z:Z,关卡产出!$A:$A,玩家节奏1!$O$6,关卡产出!$B:$B,玩家节奏1!$O182)+_xlfn.MAXIFS(关卡产出!Z:Z,关卡产出!$A:$A,玩家节奏1!$P$6,关卡产出!$B:$B,玩家节奏1!$P182)</f>
        <v>45362</v>
      </c>
      <c r="T182" s="90">
        <f>_xlfn.MAXIFS(关卡产出!AA:AA,关卡产出!$A:$A,玩家节奏1!$N$6,关卡产出!$B:$B,玩家节奏1!$N182)+_xlfn.MAXIFS(关卡产出!AA:AA,关卡产出!$A:$A,玩家节奏1!$O$6,关卡产出!$B:$B,玩家节奏1!$O182)+_xlfn.MAXIFS(关卡产出!AA:AA,关卡产出!$A:$A,玩家节奏1!$P$6,关卡产出!$B:$B,玩家节奏1!$P182)</f>
        <v>22682</v>
      </c>
      <c r="U182" s="90">
        <f>_xlfn.MAXIFS(关卡产出!AB:AB,关卡产出!$A:$A,玩家节奏1!$N$6,关卡产出!$B:$B,玩家节奏1!$N182)+_xlfn.MAXIFS(关卡产出!AB:AB,关卡产出!$A:$A,玩家节奏1!$O$6,关卡产出!$B:$B,玩家节奏1!$O182)+_xlfn.MAXIFS(关卡产出!AB:AB,关卡产出!$A:$A,玩家节奏1!$P$6,关卡产出!$B:$B,玩家节奏1!$P182)</f>
        <v>10881</v>
      </c>
      <c r="V182" s="130">
        <f>_xlfn.MAXIFS(关卡产出!AC:AC,关卡产出!$A:$A,玩家节奏1!$N$6,关卡产出!$B:$B,玩家节奏1!$N182)+_xlfn.MAXIFS(关卡产出!AC:AC,关卡产出!$A:$A,玩家节奏1!$O$6,关卡产出!$B:$B,玩家节奏1!$O182)+_xlfn.MAXIFS(关卡产出!AC:AC,关卡产出!$A:$A,玩家节奏1!$P$6,关卡产出!$B:$B,玩家节奏1!$P182)</f>
        <v>912</v>
      </c>
      <c r="W182" s="126">
        <f>INDEX(关卡产出!C$8:C$207,MATCH(玩家节奏1!$N182,关卡产出!$B$8:$B$207,0))*$K182</f>
        <v>600</v>
      </c>
      <c r="X182" s="126">
        <f>INDEX(关卡产出!D$8:D$207,MATCH(玩家节奏1!$N182,关卡产出!$B$8:$B$207,0))*$K182</f>
        <v>300</v>
      </c>
      <c r="Y182" s="126">
        <f>INDEX(关卡产出!E$8:E$207,MATCH(玩家节奏1!$N182,关卡产出!$B$8:$B$207,0))*$K182</f>
        <v>145</v>
      </c>
      <c r="Z182" s="144">
        <f>INDEX(关卡产出!F$8:F$207,MATCH(玩家节奏1!$N182,关卡产出!$B$8:$B$207,0))*$K182</f>
        <v>7850</v>
      </c>
      <c r="AA182" s="126">
        <f>SUM(W$7:W182)</f>
        <v>52746</v>
      </c>
      <c r="AB182" s="126">
        <f>SUM(X$7:X182)</f>
        <v>26191</v>
      </c>
      <c r="AC182" s="126">
        <f>SUM(Y$7:Y182)</f>
        <v>12597</v>
      </c>
      <c r="AD182" s="126">
        <f>SUM(Z$7:Z182)</f>
        <v>725660</v>
      </c>
      <c r="AE182" s="126">
        <f>INDEX(图鉴!AQ:AQ,MATCH($N182,图鉴!$S:$S,0))*8</f>
        <v>168</v>
      </c>
      <c r="AF182" s="90">
        <f>INDEX(图鉴!AR:AR,MATCH($N182,图鉴!$S:$S,0))*8</f>
        <v>120</v>
      </c>
      <c r="AG182" s="90">
        <f>INDEX(图鉴!AS:AS,MATCH($N182,图鉴!$S:$S,0))*8</f>
        <v>48</v>
      </c>
      <c r="AH182" s="129">
        <f ca="1">INDEX(图鉴!AT:AT,MATCH($N182,图鉴!$S:$S,0))*8</f>
        <v>11760</v>
      </c>
      <c r="AI182" s="128">
        <f>SUM($AE$7:AE182)</f>
        <v>27144</v>
      </c>
      <c r="AJ182" s="90">
        <f>SUM(AF$7:AF182)</f>
        <v>16840</v>
      </c>
      <c r="AK182" s="90">
        <f>SUM(AG$7:AG182)</f>
        <v>6056</v>
      </c>
      <c r="AL182" s="130">
        <f ca="1">SUM(AH$7:AH182)</f>
        <v>1371240</v>
      </c>
      <c r="AM182" s="133">
        <f>IF(M182=0,0,INDEX(关卡产出!$AU$11:$AU$15,MATCH(玩家节奏1!N182,关卡产出!$AW$11:$AW$15,1))*M182)</f>
        <v>12200</v>
      </c>
      <c r="AN182" s="126">
        <f>IF(L182=0,0,$L182*关卡产出!AU$21)</f>
        <v>1000</v>
      </c>
      <c r="AO182" s="90">
        <f>IF(M182=0,0,$L182*关卡产出!AV$21)</f>
        <v>50</v>
      </c>
      <c r="AP182" s="129">
        <f>IF(N182=0,0,$L182*关卡产出!AW$21)</f>
        <v>1</v>
      </c>
      <c r="AQ182" s="138">
        <f>SUM(AN$7:AN182)</f>
        <v>159000</v>
      </c>
      <c r="AR182" s="126">
        <f>SUM(AO$7:AO182)</f>
        <v>7950</v>
      </c>
      <c r="AS182" s="129">
        <f>SUM(AP$7:AP182)</f>
        <v>159</v>
      </c>
      <c r="AT182" s="128">
        <v>500</v>
      </c>
      <c r="AU182" s="129">
        <v>100</v>
      </c>
      <c r="AV182" s="128">
        <f>SUM(AT$7:AT182)</f>
        <v>88000</v>
      </c>
      <c r="AW182" s="90">
        <f>SUM(AU$7:AU182)</f>
        <v>17600</v>
      </c>
      <c r="AY182" s="128">
        <f t="shared" si="167"/>
        <v>28900</v>
      </c>
      <c r="AZ182" s="90">
        <f t="shared" si="168"/>
        <v>7950</v>
      </c>
      <c r="BA182" s="90">
        <f t="shared" si="169"/>
        <v>17600</v>
      </c>
      <c r="BB182" s="90">
        <f t="shared" ca="1" si="217"/>
        <v>14300</v>
      </c>
      <c r="BC182" s="90">
        <f t="shared" ca="1" si="218"/>
        <v>68750</v>
      </c>
      <c r="BD182" s="90"/>
      <c r="BE182" s="90">
        <f t="shared" ca="1" si="170"/>
        <v>68750</v>
      </c>
      <c r="BF182" s="142">
        <f t="shared" ca="1" si="171"/>
        <v>0.42036363636363638</v>
      </c>
      <c r="BG182" s="142">
        <f t="shared" ca="1" si="172"/>
        <v>0.11563636363636363</v>
      </c>
      <c r="BH182" s="142">
        <f t="shared" ca="1" si="228"/>
        <v>0.25600000000000001</v>
      </c>
      <c r="BI182" s="142">
        <f t="shared" ca="1" si="229"/>
        <v>0.20799999999999999</v>
      </c>
      <c r="BJ182" s="143"/>
      <c r="BK182" s="128">
        <f ca="1">INDEX(商城宝箱!$L:$L,MATCH(BC182,商城宝箱!$N:$N,1))</f>
        <v>10</v>
      </c>
      <c r="BL182" s="90">
        <f ca="1">_xlfn.IFNA(INDEX(商城宝箱!T:T,MATCH(玩家节奏1!$BK182,商城宝箱!$L:$L,0)),0)+($BC182-INDEX(商城宝箱!$N:$N,MATCH(玩家节奏1!$BK182,商城宝箱!$L:$L,0)))/$BK$5*INDEX(商城宝箱!E$23:E$42,MATCH(玩家节奏1!$BK182+1,商城宝箱!$C$23:$C$42,0))</f>
        <v>171875</v>
      </c>
      <c r="BM182" s="90">
        <f ca="1">_xlfn.IFNA(INDEX(商城宝箱!U:U,MATCH(玩家节奏1!$BK182,商城宝箱!$L:$L,0)),0)+($BC182-INDEX(商城宝箱!$N:$N,MATCH(玩家节奏1!$BK182,商城宝箱!$L:$L,0)))/$BK$5*INDEX(商城宝箱!F$23:F$42,MATCH(玩家节奏1!$BK182+1,商城宝箱!$C$23:$C$42,0))</f>
        <v>133942.5</v>
      </c>
      <c r="BN182" s="90">
        <f ca="1">_xlfn.IFNA(INDEX(商城宝箱!V:V,MATCH(玩家节奏1!$BK182,商城宝箱!$L:$L,0)),0)+($BC182-INDEX(商城宝箱!$N:$N,MATCH(玩家节奏1!$BK182,商城宝箱!$L:$L,0)))/$BK$5*INDEX(商城宝箱!G$23:G$42,MATCH(玩家节奏1!$BK182+1,商城宝箱!$C$23:$C$42,0))</f>
        <v>75112</v>
      </c>
      <c r="BO182" s="90">
        <f ca="1">_xlfn.IFNA(INDEX(商城宝箱!W:W,MATCH(玩家节奏1!$BK182,商城宝箱!$L:$L,0)),0)+($BC182-INDEX(商城宝箱!$N:$N,MATCH(玩家节奏1!$BK182,商城宝箱!$L:$L,0)))/$BK$5*INDEX(商城宝箱!H$23:H$42,MATCH(玩家节奏1!$BK182+1,商城宝箱!$C$23:$C$42,0))</f>
        <v>10644</v>
      </c>
      <c r="BQ182" s="128">
        <f t="shared" si="219"/>
        <v>6637200</v>
      </c>
      <c r="BR182" s="90">
        <f t="shared" si="220"/>
        <v>725660</v>
      </c>
      <c r="BS182" s="90">
        <f t="shared" ca="1" si="221"/>
        <v>1371240</v>
      </c>
      <c r="BT182" s="90">
        <f t="shared" si="222"/>
        <v>12200</v>
      </c>
      <c r="BU182" s="90">
        <f t="shared" si="223"/>
        <v>159000</v>
      </c>
      <c r="BV182" s="90">
        <f t="shared" si="224"/>
        <v>88000</v>
      </c>
      <c r="BW182" s="90">
        <f t="shared" ca="1" si="175"/>
        <v>171875</v>
      </c>
      <c r="BX182" s="90">
        <f t="shared" ca="1" si="176"/>
        <v>9165175</v>
      </c>
      <c r="BY182" s="142">
        <f t="shared" ca="1" si="177"/>
        <v>0.72417602500770584</v>
      </c>
      <c r="BZ182" s="142">
        <f t="shared" ca="1" si="178"/>
        <v>7.9175793151794696E-2</v>
      </c>
      <c r="CA182" s="142">
        <f t="shared" ca="1" si="179"/>
        <v>0.14961416448676648</v>
      </c>
      <c r="CB182" s="142">
        <f t="shared" ca="1" si="180"/>
        <v>1.3311257013641311E-3</v>
      </c>
      <c r="CC182" s="142">
        <f t="shared" ca="1" si="181"/>
        <v>1.7348277583352199E-2</v>
      </c>
      <c r="CD182" s="142">
        <f t="shared" ca="1" si="182"/>
        <v>9.6015624360691419E-3</v>
      </c>
      <c r="CE182" s="142">
        <f t="shared" ca="1" si="183"/>
        <v>1.8753051632947545E-2</v>
      </c>
      <c r="CG182" s="128">
        <f t="shared" si="184"/>
        <v>152</v>
      </c>
      <c r="CH182" s="90">
        <f ca="1">INDEX(角色升级!$A:$A,MATCH(玩家节奏1!$BX182,角色升级!$J:$J,1))</f>
        <v>700</v>
      </c>
      <c r="CI182" s="90">
        <f ca="1">INDEX(角色升级!$O:$O,MATCH(玩家节奏1!$BX182,角色升级!$J:$J,1))</f>
        <v>40899.854130000014</v>
      </c>
      <c r="CJ182" s="90">
        <f>INDEX(关卡对比!$J:$J,MATCH(玩家节奏1!N182,关卡对比!$A:$A,0))</f>
        <v>62200</v>
      </c>
      <c r="CK182" s="147">
        <f t="shared" ca="1" si="185"/>
        <v>1.5207878199833564</v>
      </c>
      <c r="CL182" s="128">
        <f ca="1">INDEX(角色升级!$P:$P,MATCH(玩家节奏1!$CH182,角色升级!$A:$A,0))</f>
        <v>16200</v>
      </c>
      <c r="CM182" s="90">
        <f ca="1">INDEX(角色升级!Q:Q,MATCH(玩家节奏1!$CH182,角色升级!$A:$A,0))</f>
        <v>1.2</v>
      </c>
      <c r="CO182" s="128">
        <f t="shared" si="186"/>
        <v>45362</v>
      </c>
      <c r="CP182" s="90">
        <f t="shared" si="187"/>
        <v>52746</v>
      </c>
      <c r="CQ182" s="90">
        <f t="shared" si="188"/>
        <v>27144</v>
      </c>
      <c r="CR182" s="90">
        <f t="shared" ca="1" si="189"/>
        <v>133942.5</v>
      </c>
      <c r="CS182" s="90">
        <f t="shared" ca="1" si="190"/>
        <v>259194.5</v>
      </c>
      <c r="CT182" s="142">
        <f t="shared" ca="1" si="191"/>
        <v>0.17501142964067526</v>
      </c>
      <c r="CU182" s="142">
        <f t="shared" ca="1" si="192"/>
        <v>0.20349968845789551</v>
      </c>
      <c r="CV182" s="142">
        <f t="shared" ca="1" si="193"/>
        <v>0.10472444438442946</v>
      </c>
      <c r="CW182" s="142">
        <f t="shared" ca="1" si="194"/>
        <v>0.51676443751699974</v>
      </c>
      <c r="CY182" s="128">
        <f t="shared" si="195"/>
        <v>22682</v>
      </c>
      <c r="CZ182" s="90">
        <f t="shared" si="196"/>
        <v>26191</v>
      </c>
      <c r="DA182" s="90">
        <f t="shared" si="197"/>
        <v>16840</v>
      </c>
      <c r="DB182" s="90">
        <f t="shared" ca="1" si="198"/>
        <v>75112</v>
      </c>
      <c r="DC182" s="90">
        <f t="shared" ca="1" si="199"/>
        <v>140825</v>
      </c>
      <c r="DD182" s="142">
        <f t="shared" ca="1" si="200"/>
        <v>0.16106515178412925</v>
      </c>
      <c r="DE182" s="142">
        <f t="shared" ca="1" si="201"/>
        <v>0.18598260252085921</v>
      </c>
      <c r="DF182" s="142">
        <f t="shared" ca="1" si="202"/>
        <v>0.1195810402982425</v>
      </c>
      <c r="DG182" s="142">
        <f t="shared" ca="1" si="203"/>
        <v>0.53337120539676908</v>
      </c>
      <c r="DI182" s="128">
        <f t="shared" si="204"/>
        <v>10881</v>
      </c>
      <c r="DJ182" s="90">
        <f t="shared" si="205"/>
        <v>12597</v>
      </c>
      <c r="DK182" s="90">
        <f t="shared" si="206"/>
        <v>6056</v>
      </c>
      <c r="DL182" s="90">
        <f t="shared" ca="1" si="207"/>
        <v>10644</v>
      </c>
      <c r="DM182" s="90">
        <f t="shared" ca="1" si="208"/>
        <v>40178</v>
      </c>
      <c r="DN182" s="142">
        <f t="shared" ca="1" si="209"/>
        <v>0.27081985166011252</v>
      </c>
      <c r="DO182" s="142">
        <f t="shared" ca="1" si="210"/>
        <v>0.31352979242371448</v>
      </c>
      <c r="DP182" s="142">
        <f t="shared" ca="1" si="211"/>
        <v>0.1507292548160685</v>
      </c>
      <c r="DQ182" s="142">
        <f t="shared" ca="1" si="212"/>
        <v>0.26492110110010453</v>
      </c>
      <c r="DS182" s="128">
        <f t="shared" ca="1" si="213"/>
        <v>259194.5</v>
      </c>
      <c r="DT182" s="90">
        <f t="shared" ca="1" si="214"/>
        <v>140825</v>
      </c>
      <c r="DU182" s="90">
        <f t="shared" ca="1" si="215"/>
        <v>40178</v>
      </c>
      <c r="DV182" s="90">
        <f t="shared" si="216"/>
        <v>159</v>
      </c>
      <c r="DW182" s="90">
        <f ca="1">_xlfn.IFNA(INDEX(武器升级消耗!$H:$H,MATCH(玩家节奏1!DS182/玩家节奏1!DS$5,武器升级消耗!M:M,1)),0)</f>
        <v>45</v>
      </c>
      <c r="DX182" s="90">
        <f ca="1">_xlfn.IFNA(INDEX(武器升级消耗!$H:$H,MATCH(玩家节奏1!DT182/玩家节奏1!DT$5,武器升级消耗!N:N,1)),0)</f>
        <v>40</v>
      </c>
      <c r="DY182" s="90">
        <f ca="1">_xlfn.IFNA(INDEX(武器升级消耗!$H:$H,MATCH(玩家节奏1!DU182/玩家节奏1!DU$5,武器升级消耗!O:O,1)),0)</f>
        <v>28</v>
      </c>
      <c r="DZ182" s="90">
        <f>_xlfn.IFNA(INDEX(武器升级消耗!$H:$H,MATCH(玩家节奏1!DV182/玩家节奏1!DV$5,武器升级消耗!P:P,1)),0)</f>
        <v>13</v>
      </c>
      <c r="EA182" s="90">
        <f ca="1">_xlfn.IFNA(INDEX(武器升级消耗!$Q:$Q,MATCH(玩家节奏1!DW182,武器升级消耗!$H:$H,0))*2*EA$4,0)</f>
        <v>5.88</v>
      </c>
      <c r="EB182" s="90">
        <f ca="1">_xlfn.IFNA(INDEX(武器升级消耗!$Q:$Q,MATCH(玩家节奏1!DX182,武器升级消耗!$H:$H,0))*2*EB$4,0)</f>
        <v>6.6000000000000005</v>
      </c>
      <c r="EC182" s="90">
        <f ca="1">_xlfn.IFNA(INDEX(武器升级消耗!$Q:$Q,MATCH(玩家节奏1!DY182,武器升级消耗!$H:$H,0))*2*EC$4,1)</f>
        <v>7.0400000000000009</v>
      </c>
      <c r="ED182" s="90">
        <f>_xlfn.IFNA(INDEX(武器升级消耗!$Q:$Q,MATCH(玩家节奏1!DZ182,武器升级消耗!$H:$H,0))*2*ED$4,0)</f>
        <v>5.0999999999999996</v>
      </c>
    </row>
    <row r="183" spans="1:134" x14ac:dyDescent="0.25">
      <c r="A183" s="123">
        <v>177</v>
      </c>
      <c r="B183" s="123">
        <f>INDEX(关卡对比!$Y:$Y,MATCH(关卡对比!Z183,关卡对比!$AA:$AA,1))</f>
        <v>102</v>
      </c>
      <c r="C183" s="124">
        <f>INDEX(关卡对比!$Y:$Y,MATCH(关卡对比!Z183,关卡对比!$AB:$AB,1))</f>
        <v>77</v>
      </c>
      <c r="D183" s="125">
        <f t="shared" si="230"/>
        <v>1037.5</v>
      </c>
      <c r="E183" s="125">
        <v>3</v>
      </c>
      <c r="F183" s="128">
        <v>5</v>
      </c>
      <c r="G183" s="90">
        <v>1</v>
      </c>
      <c r="H183" s="90">
        <v>1</v>
      </c>
      <c r="J183" s="128">
        <v>177</v>
      </c>
      <c r="K183" s="90">
        <f t="shared" si="225"/>
        <v>5</v>
      </c>
      <c r="L183" s="90">
        <f t="shared" si="226"/>
        <v>1</v>
      </c>
      <c r="M183" s="90">
        <f t="shared" si="227"/>
        <v>1</v>
      </c>
      <c r="N183" s="140">
        <f>INDEX($A:$A,MATCH(SUM($K$7:K183),$D:$D,1))</f>
        <v>154</v>
      </c>
      <c r="O183" s="140">
        <v>0</v>
      </c>
      <c r="P183" s="141">
        <v>0</v>
      </c>
      <c r="Q183" s="126">
        <f>_xlfn.MAXIFS(关卡产出!X:X,关卡产出!$A:$A,玩家节奏1!$N$6,关卡产出!$B:$B,玩家节奏1!$N183)+_xlfn.MAXIFS(关卡产出!X:X,关卡产出!$A:$A,玩家节奏1!$O$6,关卡产出!$B:$B,玩家节奏1!$O183)+_xlfn.MAXIFS(关卡产出!X:X,关卡产出!$A:$A,玩家节奏1!$P$6,关卡产出!$B:$B,玩家节奏1!$P183)</f>
        <v>29300</v>
      </c>
      <c r="R183" s="90">
        <f>_xlfn.MAXIFS(关卡产出!Y:Y,关卡产出!$A:$A,玩家节奏1!$N$6,关卡产出!$B:$B,玩家节奏1!$N183)+_xlfn.MAXIFS(关卡产出!Y:Y,关卡产出!$A:$A,玩家节奏1!$O$6,关卡产出!$B:$B,玩家节奏1!$O183)+_xlfn.MAXIFS(关卡产出!Y:Y,关卡产出!$A:$A,玩家节奏1!$P$6,关卡产出!$B:$B,玩家节奏1!$P183)</f>
        <v>6816800</v>
      </c>
      <c r="S183" s="90">
        <f>_xlfn.MAXIFS(关卡产出!Z:Z,关卡产出!$A:$A,玩家节奏1!$N$6,关卡产出!$B:$B,玩家节奏1!$N183)+_xlfn.MAXIFS(关卡产出!Z:Z,关卡产出!$A:$A,玩家节奏1!$O$6,关卡产出!$B:$B,玩家节奏1!$O183)+_xlfn.MAXIFS(关卡产出!Z:Z,关卡产出!$A:$A,玩家节奏1!$P$6,关卡产出!$B:$B,玩家节奏1!$P183)</f>
        <v>46574</v>
      </c>
      <c r="T183" s="90">
        <f>_xlfn.MAXIFS(关卡产出!AA:AA,关卡产出!$A:$A,玩家节奏1!$N$6,关卡产出!$B:$B,玩家节奏1!$N183)+_xlfn.MAXIFS(关卡产出!AA:AA,关卡产出!$A:$A,玩家节奏1!$O$6,关卡产出!$B:$B,玩家节奏1!$O183)+_xlfn.MAXIFS(关卡产出!AA:AA,关卡产出!$A:$A,玩家节奏1!$P$6,关卡产出!$B:$B,玩家节奏1!$P183)</f>
        <v>23288</v>
      </c>
      <c r="U183" s="90">
        <f>_xlfn.MAXIFS(关卡产出!AB:AB,关卡产出!$A:$A,玩家节奏1!$N$6,关卡产出!$B:$B,玩家节奏1!$N183)+_xlfn.MAXIFS(关卡产出!AB:AB,关卡产出!$A:$A,玩家节奏1!$O$6,关卡产出!$B:$B,玩家节奏1!$O183)+_xlfn.MAXIFS(关卡产出!AB:AB,关卡产出!$A:$A,玩家节奏1!$P$6,关卡产出!$B:$B,玩家节奏1!$P183)</f>
        <v>11178</v>
      </c>
      <c r="V183" s="130">
        <f>_xlfn.MAXIFS(关卡产出!AC:AC,关卡产出!$A:$A,玩家节奏1!$N$6,关卡产出!$B:$B,玩家节奏1!$N183)+_xlfn.MAXIFS(关卡产出!AC:AC,关卡产出!$A:$A,玩家节奏1!$O$6,关卡产出!$B:$B,玩家节奏1!$O183)+_xlfn.MAXIFS(关卡产出!AC:AC,关卡产出!$A:$A,玩家节奏1!$P$6,关卡产出!$B:$B,玩家节奏1!$P183)</f>
        <v>924</v>
      </c>
      <c r="W183" s="126">
        <f>INDEX(关卡产出!C$8:C$207,MATCH(玩家节奏1!$N183,关卡产出!$B$8:$B$207,0))*$K183</f>
        <v>610</v>
      </c>
      <c r="X183" s="126">
        <f>INDEX(关卡产出!D$8:D$207,MATCH(玩家节奏1!$N183,关卡产出!$B$8:$B$207,0))*$K183</f>
        <v>305</v>
      </c>
      <c r="Y183" s="126">
        <f>INDEX(关卡产出!E$8:E$207,MATCH(玩家节奏1!$N183,关卡产出!$B$8:$B$207,0))*$K183</f>
        <v>150</v>
      </c>
      <c r="Z183" s="144">
        <f>INDEX(关卡产出!F$8:F$207,MATCH(玩家节奏1!$N183,关卡产出!$B$8:$B$207,0))*$K183</f>
        <v>7950</v>
      </c>
      <c r="AA183" s="126">
        <f>SUM(W$7:W183)</f>
        <v>53356</v>
      </c>
      <c r="AB183" s="126">
        <f>SUM(X$7:X183)</f>
        <v>26496</v>
      </c>
      <c r="AC183" s="126">
        <f>SUM(Y$7:Y183)</f>
        <v>12747</v>
      </c>
      <c r="AD183" s="126">
        <f>SUM(Z$7:Z183)</f>
        <v>733610</v>
      </c>
      <c r="AE183" s="126">
        <f>INDEX(图鉴!AQ:AQ,MATCH($N183,图鉴!$S:$S,0))*8</f>
        <v>168</v>
      </c>
      <c r="AF183" s="90">
        <f>INDEX(图鉴!AR:AR,MATCH($N183,图鉴!$S:$S,0))*8</f>
        <v>120</v>
      </c>
      <c r="AG183" s="90">
        <f>INDEX(图鉴!AS:AS,MATCH($N183,图鉴!$S:$S,0))*8</f>
        <v>48</v>
      </c>
      <c r="AH183" s="129">
        <f ca="1">INDEX(图鉴!AT:AT,MATCH($N183,图鉴!$S:$S,0))*8</f>
        <v>11760</v>
      </c>
      <c r="AI183" s="128">
        <f>SUM($AE$7:AE183)</f>
        <v>27312</v>
      </c>
      <c r="AJ183" s="90">
        <f>SUM(AF$7:AF183)</f>
        <v>16960</v>
      </c>
      <c r="AK183" s="90">
        <f>SUM(AG$7:AG183)</f>
        <v>6104</v>
      </c>
      <c r="AL183" s="130">
        <f ca="1">SUM(AH$7:AH183)</f>
        <v>1383000</v>
      </c>
      <c r="AM183" s="133">
        <f>IF(M183=0,0,INDEX(关卡产出!$AU$11:$AU$15,MATCH(玩家节奏1!N183,关卡产出!$AW$11:$AW$15,1))*M183)</f>
        <v>12200</v>
      </c>
      <c r="AN183" s="126">
        <f>IF(L183=0,0,$L183*关卡产出!AU$21)</f>
        <v>1000</v>
      </c>
      <c r="AO183" s="90">
        <f>IF(M183=0,0,$L183*关卡产出!AV$21)</f>
        <v>50</v>
      </c>
      <c r="AP183" s="129">
        <f>IF(N183=0,0,$L183*关卡产出!AW$21)</f>
        <v>1</v>
      </c>
      <c r="AQ183" s="138">
        <f>SUM(AN$7:AN183)</f>
        <v>160000</v>
      </c>
      <c r="AR183" s="126">
        <f>SUM(AO$7:AO183)</f>
        <v>8000</v>
      </c>
      <c r="AS183" s="129">
        <f>SUM(AP$7:AP183)</f>
        <v>160</v>
      </c>
      <c r="AT183" s="128">
        <v>500</v>
      </c>
      <c r="AU183" s="129">
        <v>100</v>
      </c>
      <c r="AV183" s="128">
        <f>SUM(AT$7:AT183)</f>
        <v>88500</v>
      </c>
      <c r="AW183" s="90">
        <f>SUM(AU$7:AU183)</f>
        <v>17700</v>
      </c>
      <c r="AY183" s="128">
        <f t="shared" si="167"/>
        <v>29300</v>
      </c>
      <c r="AZ183" s="90">
        <f t="shared" si="168"/>
        <v>8000</v>
      </c>
      <c r="BA183" s="90">
        <f t="shared" si="169"/>
        <v>17700</v>
      </c>
      <c r="BB183" s="90">
        <f t="shared" ca="1" si="217"/>
        <v>16200</v>
      </c>
      <c r="BC183" s="90">
        <f t="shared" ca="1" si="218"/>
        <v>71200</v>
      </c>
      <c r="BD183" s="90"/>
      <c r="BE183" s="90">
        <f t="shared" ca="1" si="170"/>
        <v>71200</v>
      </c>
      <c r="BF183" s="142">
        <f t="shared" ca="1" si="171"/>
        <v>0.41151685393258425</v>
      </c>
      <c r="BG183" s="142">
        <f t="shared" ca="1" si="172"/>
        <v>0.11235955056179775</v>
      </c>
      <c r="BH183" s="142">
        <f t="shared" ca="1" si="228"/>
        <v>0.24859550561797752</v>
      </c>
      <c r="BI183" s="142">
        <f t="shared" ca="1" si="229"/>
        <v>0.22752808988764045</v>
      </c>
      <c r="BJ183" s="143"/>
      <c r="BK183" s="128">
        <f ca="1">INDEX(商城宝箱!$L:$L,MATCH(BC183,商城宝箱!$N:$N,1))</f>
        <v>10</v>
      </c>
      <c r="BL183" s="90">
        <f ca="1">_xlfn.IFNA(INDEX(商城宝箱!T:T,MATCH(玩家节奏1!$BK183,商城宝箱!$L:$L,0)),0)+($BC183-INDEX(商城宝箱!$N:$N,MATCH(玩家节奏1!$BK183,商城宝箱!$L:$L,0)))/$BK$5*INDEX(商城宝箱!E$23:E$42,MATCH(玩家节奏1!$BK183+1,商城宝箱!$C$23:$C$42,0))</f>
        <v>178000</v>
      </c>
      <c r="BM183" s="90">
        <f ca="1">_xlfn.IFNA(INDEX(商城宝箱!U:U,MATCH(玩家节奏1!$BK183,商城宝箱!$L:$L,0)),0)+($BC183-INDEX(商城宝箱!$N:$N,MATCH(玩家节奏1!$BK183,商城宝箱!$L:$L,0)))/$BK$5*INDEX(商城宝箱!F$23:F$42,MATCH(玩家节奏1!$BK183+1,商城宝箱!$C$23:$C$42,0))</f>
        <v>141782.5</v>
      </c>
      <c r="BN183" s="90">
        <f ca="1">_xlfn.IFNA(INDEX(商城宝箱!V:V,MATCH(玩家节奏1!$BK183,商城宝箱!$L:$L,0)),0)+($BC183-INDEX(商城宝箱!$N:$N,MATCH(玩家节奏1!$BK183,商城宝箱!$L:$L,0)))/$BK$5*INDEX(商城宝箱!G$23:G$42,MATCH(玩家节奏1!$BK183+1,商城宝箱!$C$23:$C$42,0))</f>
        <v>78787</v>
      </c>
      <c r="BO183" s="90">
        <f ca="1">_xlfn.IFNA(INDEX(商城宝箱!W:W,MATCH(玩家节奏1!$BK183,商城宝箱!$L:$L,0)),0)+($BC183-INDEX(商城宝箱!$N:$N,MATCH(玩家节奏1!$BK183,商城宝箱!$L:$L,0)))/$BK$5*INDEX(商城宝箱!H$23:H$42,MATCH(玩家节奏1!$BK183+1,商城宝箱!$C$23:$C$42,0))</f>
        <v>11256.5</v>
      </c>
      <c r="BQ183" s="128">
        <f t="shared" si="219"/>
        <v>6816800</v>
      </c>
      <c r="BR183" s="90">
        <f t="shared" si="220"/>
        <v>733610</v>
      </c>
      <c r="BS183" s="90">
        <f t="shared" ca="1" si="221"/>
        <v>1383000</v>
      </c>
      <c r="BT183" s="90">
        <f t="shared" si="222"/>
        <v>12200</v>
      </c>
      <c r="BU183" s="90">
        <f t="shared" si="223"/>
        <v>160000</v>
      </c>
      <c r="BV183" s="90">
        <f t="shared" si="224"/>
        <v>88500</v>
      </c>
      <c r="BW183" s="90">
        <f t="shared" ca="1" si="175"/>
        <v>178000</v>
      </c>
      <c r="BX183" s="90">
        <f t="shared" ca="1" si="176"/>
        <v>9372110</v>
      </c>
      <c r="BY183" s="142">
        <f t="shared" ca="1" si="177"/>
        <v>0.72734955095490772</v>
      </c>
      <c r="BZ183" s="142">
        <f t="shared" ca="1" si="178"/>
        <v>7.8275863172754048E-2</v>
      </c>
      <c r="CA183" s="142">
        <f t="shared" ca="1" si="179"/>
        <v>0.14756548952156984</v>
      </c>
      <c r="CB183" s="142">
        <f t="shared" ca="1" si="180"/>
        <v>1.3017346147238989E-3</v>
      </c>
      <c r="CC183" s="142">
        <f t="shared" ca="1" si="181"/>
        <v>1.7071929373428184E-2</v>
      </c>
      <c r="CD183" s="142">
        <f t="shared" ca="1" si="182"/>
        <v>9.4429109346774627E-3</v>
      </c>
      <c r="CE183" s="142">
        <f t="shared" ca="1" si="183"/>
        <v>1.8992521427938853E-2</v>
      </c>
      <c r="CG183" s="128">
        <f t="shared" si="184"/>
        <v>154</v>
      </c>
      <c r="CH183" s="90">
        <f ca="1">INDEX(角色升级!$A:$A,MATCH(玩家节奏1!$BX183,角色升级!$J:$J,1))</f>
        <v>707</v>
      </c>
      <c r="CI183" s="90">
        <f ca="1">INDEX(角色升级!$O:$O,MATCH(玩家节奏1!$BX183,角色升级!$J:$J,1))</f>
        <v>41132.80692000001</v>
      </c>
      <c r="CJ183" s="90">
        <f>INDEX(关卡对比!$J:$J,MATCH(玩家节奏1!N183,关卡对比!$A:$A,0))</f>
        <v>63200</v>
      </c>
      <c r="CK183" s="147">
        <f t="shared" ca="1" si="185"/>
        <v>1.5364864382564238</v>
      </c>
      <c r="CL183" s="128">
        <f ca="1">INDEX(角色升级!$P:$P,MATCH(玩家节奏1!$CH183,角色升级!$A:$A,0))</f>
        <v>16200</v>
      </c>
      <c r="CM183" s="90">
        <f ca="1">INDEX(角色升级!Q:Q,MATCH(玩家节奏1!$CH183,角色升级!$A:$A,0))</f>
        <v>1.2</v>
      </c>
      <c r="CO183" s="128">
        <f t="shared" si="186"/>
        <v>46574</v>
      </c>
      <c r="CP183" s="90">
        <f t="shared" si="187"/>
        <v>53356</v>
      </c>
      <c r="CQ183" s="90">
        <f t="shared" si="188"/>
        <v>27312</v>
      </c>
      <c r="CR183" s="90">
        <f t="shared" ca="1" si="189"/>
        <v>141782.5</v>
      </c>
      <c r="CS183" s="90">
        <f t="shared" ca="1" si="190"/>
        <v>269024.5</v>
      </c>
      <c r="CT183" s="142">
        <f t="shared" ca="1" si="191"/>
        <v>0.17312177887144109</v>
      </c>
      <c r="CU183" s="142">
        <f t="shared" ca="1" si="192"/>
        <v>0.19833137874059797</v>
      </c>
      <c r="CV183" s="142">
        <f t="shared" ca="1" si="193"/>
        <v>0.10152235205343751</v>
      </c>
      <c r="CW183" s="142">
        <f t="shared" ca="1" si="194"/>
        <v>0.52702449033452348</v>
      </c>
      <c r="CY183" s="128">
        <f t="shared" si="195"/>
        <v>23288</v>
      </c>
      <c r="CZ183" s="90">
        <f t="shared" si="196"/>
        <v>26496</v>
      </c>
      <c r="DA183" s="90">
        <f t="shared" si="197"/>
        <v>16960</v>
      </c>
      <c r="DB183" s="90">
        <f t="shared" ca="1" si="198"/>
        <v>78787</v>
      </c>
      <c r="DC183" s="90">
        <f t="shared" ca="1" si="199"/>
        <v>145531</v>
      </c>
      <c r="DD183" s="142">
        <f t="shared" ca="1" si="200"/>
        <v>0.16002088902020875</v>
      </c>
      <c r="DE183" s="142">
        <f t="shared" ca="1" si="201"/>
        <v>0.18206430245102417</v>
      </c>
      <c r="DF183" s="142">
        <f t="shared" ca="1" si="202"/>
        <v>0.11653874432251547</v>
      </c>
      <c r="DG183" s="142">
        <f t="shared" ca="1" si="203"/>
        <v>0.54137606420625162</v>
      </c>
      <c r="DI183" s="128">
        <f t="shared" si="204"/>
        <v>11178</v>
      </c>
      <c r="DJ183" s="90">
        <f t="shared" si="205"/>
        <v>12747</v>
      </c>
      <c r="DK183" s="90">
        <f t="shared" si="206"/>
        <v>6104</v>
      </c>
      <c r="DL183" s="90">
        <f t="shared" ca="1" si="207"/>
        <v>11256.5</v>
      </c>
      <c r="DM183" s="90">
        <f t="shared" ca="1" si="208"/>
        <v>41285.5</v>
      </c>
      <c r="DN183" s="142">
        <f t="shared" ca="1" si="209"/>
        <v>0.2707488101149314</v>
      </c>
      <c r="DO183" s="142">
        <f t="shared" ca="1" si="210"/>
        <v>0.30875246757336111</v>
      </c>
      <c r="DP183" s="142">
        <f t="shared" ca="1" si="211"/>
        <v>0.14784851824490439</v>
      </c>
      <c r="DQ183" s="142">
        <f t="shared" ca="1" si="212"/>
        <v>0.27265020406680313</v>
      </c>
      <c r="DS183" s="128">
        <f t="shared" ca="1" si="213"/>
        <v>269024.5</v>
      </c>
      <c r="DT183" s="90">
        <f t="shared" ca="1" si="214"/>
        <v>145531</v>
      </c>
      <c r="DU183" s="90">
        <f t="shared" ca="1" si="215"/>
        <v>41285.5</v>
      </c>
      <c r="DV183" s="90">
        <f t="shared" si="216"/>
        <v>160</v>
      </c>
      <c r="DW183" s="90">
        <f ca="1">_xlfn.IFNA(INDEX(武器升级消耗!$H:$H,MATCH(玩家节奏1!DS183/玩家节奏1!DS$5,武器升级消耗!M:M,1)),0)</f>
        <v>46</v>
      </c>
      <c r="DX183" s="90">
        <f ca="1">_xlfn.IFNA(INDEX(武器升级消耗!$H:$H,MATCH(玩家节奏1!DT183/玩家节奏1!DT$5,武器升级消耗!N:N,1)),0)</f>
        <v>41</v>
      </c>
      <c r="DY183" s="90">
        <f ca="1">_xlfn.IFNA(INDEX(武器升级消耗!$H:$H,MATCH(玩家节奏1!DU183/玩家节奏1!DU$5,武器升级消耗!O:O,1)),0)</f>
        <v>28</v>
      </c>
      <c r="DZ183" s="90">
        <f>_xlfn.IFNA(INDEX(武器升级消耗!$H:$H,MATCH(玩家节奏1!DV183/玩家节奏1!DV$5,武器升级消耗!P:P,1)),0)</f>
        <v>13</v>
      </c>
      <c r="EA183" s="90">
        <f ca="1">_xlfn.IFNA(INDEX(武器升级消耗!$Q:$Q,MATCH(玩家节奏1!DW183,武器升级消耗!$H:$H,0))*2*EA$4,0)</f>
        <v>6</v>
      </c>
      <c r="EB183" s="90">
        <f ca="1">_xlfn.IFNA(INDEX(武器升级消耗!$Q:$Q,MATCH(玩家节奏1!DX183,武器升级消耗!$H:$H,0))*2*EB$4,0)</f>
        <v>6.75</v>
      </c>
      <c r="EC183" s="90">
        <f ca="1">_xlfn.IFNA(INDEX(武器升级消耗!$Q:$Q,MATCH(玩家节奏1!DY183,武器升级消耗!$H:$H,0))*2*EC$4,1)</f>
        <v>7.0400000000000009</v>
      </c>
      <c r="ED183" s="90">
        <f>_xlfn.IFNA(INDEX(武器升级消耗!$Q:$Q,MATCH(玩家节奏1!DZ183,武器升级消耗!$H:$H,0))*2*ED$4,0)</f>
        <v>5.0999999999999996</v>
      </c>
    </row>
    <row r="184" spans="1:134" x14ac:dyDescent="0.25">
      <c r="A184" s="123">
        <v>178</v>
      </c>
      <c r="B184" s="123">
        <f>INDEX(关卡对比!$Y:$Y,MATCH(关卡对比!Z184,关卡对比!$AA:$AA,1))</f>
        <v>102</v>
      </c>
      <c r="C184" s="124">
        <f>INDEX(关卡对比!$Y:$Y,MATCH(关卡对比!Z184,关卡对比!$AB:$AB,1))</f>
        <v>77</v>
      </c>
      <c r="D184" s="125">
        <f t="shared" si="230"/>
        <v>1040.5</v>
      </c>
      <c r="E184" s="125">
        <v>3</v>
      </c>
      <c r="F184" s="128">
        <v>5</v>
      </c>
      <c r="G184" s="90">
        <v>1</v>
      </c>
      <c r="H184" s="90">
        <v>1</v>
      </c>
      <c r="J184" s="128">
        <v>178</v>
      </c>
      <c r="K184" s="90">
        <f t="shared" si="225"/>
        <v>5</v>
      </c>
      <c r="L184" s="90">
        <f t="shared" si="226"/>
        <v>1</v>
      </c>
      <c r="M184" s="90">
        <f t="shared" si="227"/>
        <v>1</v>
      </c>
      <c r="N184" s="140">
        <f>INDEX($A:$A,MATCH(SUM($K$7:K184),$D:$D,1))</f>
        <v>154</v>
      </c>
      <c r="O184" s="140">
        <v>0</v>
      </c>
      <c r="P184" s="141">
        <v>0</v>
      </c>
      <c r="Q184" s="126">
        <f>_xlfn.MAXIFS(关卡产出!X:X,关卡产出!$A:$A,玩家节奏1!$N$6,关卡产出!$B:$B,玩家节奏1!$N184)+_xlfn.MAXIFS(关卡产出!X:X,关卡产出!$A:$A,玩家节奏1!$O$6,关卡产出!$B:$B,玩家节奏1!$O184)+_xlfn.MAXIFS(关卡产出!X:X,关卡产出!$A:$A,玩家节奏1!$P$6,关卡产出!$B:$B,玩家节奏1!$P184)</f>
        <v>29300</v>
      </c>
      <c r="R184" s="90">
        <f>_xlfn.MAXIFS(关卡产出!Y:Y,关卡产出!$A:$A,玩家节奏1!$N$6,关卡产出!$B:$B,玩家节奏1!$N184)+_xlfn.MAXIFS(关卡产出!Y:Y,关卡产出!$A:$A,玩家节奏1!$O$6,关卡产出!$B:$B,玩家节奏1!$O184)+_xlfn.MAXIFS(关卡产出!Y:Y,关卡产出!$A:$A,玩家节奏1!$P$6,关卡产出!$B:$B,玩家节奏1!$P184)</f>
        <v>6816800</v>
      </c>
      <c r="S184" s="90">
        <f>_xlfn.MAXIFS(关卡产出!Z:Z,关卡产出!$A:$A,玩家节奏1!$N$6,关卡产出!$B:$B,玩家节奏1!$N184)+_xlfn.MAXIFS(关卡产出!Z:Z,关卡产出!$A:$A,玩家节奏1!$O$6,关卡产出!$B:$B,玩家节奏1!$O184)+_xlfn.MAXIFS(关卡产出!Z:Z,关卡产出!$A:$A,玩家节奏1!$P$6,关卡产出!$B:$B,玩家节奏1!$P184)</f>
        <v>46574</v>
      </c>
      <c r="T184" s="90">
        <f>_xlfn.MAXIFS(关卡产出!AA:AA,关卡产出!$A:$A,玩家节奏1!$N$6,关卡产出!$B:$B,玩家节奏1!$N184)+_xlfn.MAXIFS(关卡产出!AA:AA,关卡产出!$A:$A,玩家节奏1!$O$6,关卡产出!$B:$B,玩家节奏1!$O184)+_xlfn.MAXIFS(关卡产出!AA:AA,关卡产出!$A:$A,玩家节奏1!$P$6,关卡产出!$B:$B,玩家节奏1!$P184)</f>
        <v>23288</v>
      </c>
      <c r="U184" s="90">
        <f>_xlfn.MAXIFS(关卡产出!AB:AB,关卡产出!$A:$A,玩家节奏1!$N$6,关卡产出!$B:$B,玩家节奏1!$N184)+_xlfn.MAXIFS(关卡产出!AB:AB,关卡产出!$A:$A,玩家节奏1!$O$6,关卡产出!$B:$B,玩家节奏1!$O184)+_xlfn.MAXIFS(关卡产出!AB:AB,关卡产出!$A:$A,玩家节奏1!$P$6,关卡产出!$B:$B,玩家节奏1!$P184)</f>
        <v>11178</v>
      </c>
      <c r="V184" s="130">
        <f>_xlfn.MAXIFS(关卡产出!AC:AC,关卡产出!$A:$A,玩家节奏1!$N$6,关卡产出!$B:$B,玩家节奏1!$N184)+_xlfn.MAXIFS(关卡产出!AC:AC,关卡产出!$A:$A,玩家节奏1!$O$6,关卡产出!$B:$B,玩家节奏1!$O184)+_xlfn.MAXIFS(关卡产出!AC:AC,关卡产出!$A:$A,玩家节奏1!$P$6,关卡产出!$B:$B,玩家节奏1!$P184)</f>
        <v>924</v>
      </c>
      <c r="W184" s="126">
        <f>INDEX(关卡产出!C$8:C$207,MATCH(玩家节奏1!$N184,关卡产出!$B$8:$B$207,0))*$K184</f>
        <v>610</v>
      </c>
      <c r="X184" s="126">
        <f>INDEX(关卡产出!D$8:D$207,MATCH(玩家节奏1!$N184,关卡产出!$B$8:$B$207,0))*$K184</f>
        <v>305</v>
      </c>
      <c r="Y184" s="126">
        <f>INDEX(关卡产出!E$8:E$207,MATCH(玩家节奏1!$N184,关卡产出!$B$8:$B$207,0))*$K184</f>
        <v>150</v>
      </c>
      <c r="Z184" s="144">
        <f>INDEX(关卡产出!F$8:F$207,MATCH(玩家节奏1!$N184,关卡产出!$B$8:$B$207,0))*$K184</f>
        <v>7950</v>
      </c>
      <c r="AA184" s="126">
        <f>SUM(W$7:W184)</f>
        <v>53966</v>
      </c>
      <c r="AB184" s="126">
        <f>SUM(X$7:X184)</f>
        <v>26801</v>
      </c>
      <c r="AC184" s="126">
        <f>SUM(Y$7:Y184)</f>
        <v>12897</v>
      </c>
      <c r="AD184" s="126">
        <f>SUM(Z$7:Z184)</f>
        <v>741560</v>
      </c>
      <c r="AE184" s="126">
        <f>INDEX(图鉴!AQ:AQ,MATCH($N184,图鉴!$S:$S,0))*8</f>
        <v>168</v>
      </c>
      <c r="AF184" s="90">
        <f>INDEX(图鉴!AR:AR,MATCH($N184,图鉴!$S:$S,0))*8</f>
        <v>120</v>
      </c>
      <c r="AG184" s="90">
        <f>INDEX(图鉴!AS:AS,MATCH($N184,图鉴!$S:$S,0))*8</f>
        <v>48</v>
      </c>
      <c r="AH184" s="129">
        <f ca="1">INDEX(图鉴!AT:AT,MATCH($N184,图鉴!$S:$S,0))*8</f>
        <v>11760</v>
      </c>
      <c r="AI184" s="128">
        <f>SUM($AE$7:AE184)</f>
        <v>27480</v>
      </c>
      <c r="AJ184" s="90">
        <f>SUM(AF$7:AF184)</f>
        <v>17080</v>
      </c>
      <c r="AK184" s="90">
        <f>SUM(AG$7:AG184)</f>
        <v>6152</v>
      </c>
      <c r="AL184" s="130">
        <f ca="1">SUM(AH$7:AH184)</f>
        <v>1394760</v>
      </c>
      <c r="AM184" s="133">
        <f>IF(M184=0,0,INDEX(关卡产出!$AU$11:$AU$15,MATCH(玩家节奏1!N184,关卡产出!$AW$11:$AW$15,1))*M184)</f>
        <v>12200</v>
      </c>
      <c r="AN184" s="126">
        <f>IF(L184=0,0,$L184*关卡产出!AU$21)</f>
        <v>1000</v>
      </c>
      <c r="AO184" s="90">
        <f>IF(M184=0,0,$L184*关卡产出!AV$21)</f>
        <v>50</v>
      </c>
      <c r="AP184" s="129">
        <f>IF(N184=0,0,$L184*关卡产出!AW$21)</f>
        <v>1</v>
      </c>
      <c r="AQ184" s="138">
        <f>SUM(AN$7:AN184)</f>
        <v>161000</v>
      </c>
      <c r="AR184" s="126">
        <f>SUM(AO$7:AO184)</f>
        <v>8050</v>
      </c>
      <c r="AS184" s="129">
        <f>SUM(AP$7:AP184)</f>
        <v>161</v>
      </c>
      <c r="AT184" s="128">
        <v>500</v>
      </c>
      <c r="AU184" s="129">
        <v>100</v>
      </c>
      <c r="AV184" s="128">
        <f>SUM(AT$7:AT184)</f>
        <v>89000</v>
      </c>
      <c r="AW184" s="90">
        <f>SUM(AU$7:AU184)</f>
        <v>17800</v>
      </c>
      <c r="AY184" s="128">
        <f t="shared" si="167"/>
        <v>29300</v>
      </c>
      <c r="AZ184" s="90">
        <f t="shared" si="168"/>
        <v>8050</v>
      </c>
      <c r="BA184" s="90">
        <f t="shared" si="169"/>
        <v>17800</v>
      </c>
      <c r="BB184" s="90">
        <f t="shared" ca="1" si="217"/>
        <v>16200</v>
      </c>
      <c r="BC184" s="90">
        <f t="shared" ca="1" si="218"/>
        <v>71350</v>
      </c>
      <c r="BD184" s="90"/>
      <c r="BE184" s="90">
        <f t="shared" ca="1" si="170"/>
        <v>71350</v>
      </c>
      <c r="BF184" s="142">
        <f t="shared" ca="1" si="171"/>
        <v>0.41065171688857743</v>
      </c>
      <c r="BG184" s="142">
        <f t="shared" ca="1" si="172"/>
        <v>0.11282410651716888</v>
      </c>
      <c r="BH184" s="142">
        <f t="shared" ca="1" si="228"/>
        <v>0.24947442186405044</v>
      </c>
      <c r="BI184" s="142">
        <f t="shared" ca="1" si="229"/>
        <v>0.22704975473020322</v>
      </c>
      <c r="BJ184" s="143"/>
      <c r="BK184" s="128">
        <f ca="1">INDEX(商城宝箱!$L:$L,MATCH(BC184,商城宝箱!$N:$N,1))</f>
        <v>10</v>
      </c>
      <c r="BL184" s="90">
        <f ca="1">_xlfn.IFNA(INDEX(商城宝箱!T:T,MATCH(玩家节奏1!$BK184,商城宝箱!$L:$L,0)),0)+($BC184-INDEX(商城宝箱!$N:$N,MATCH(玩家节奏1!$BK184,商城宝箱!$L:$L,0)))/$BK$5*INDEX(商城宝箱!E$23:E$42,MATCH(玩家节奏1!$BK184+1,商城宝箱!$C$23:$C$42,0))</f>
        <v>178375</v>
      </c>
      <c r="BM184" s="90">
        <f ca="1">_xlfn.IFNA(INDEX(商城宝箱!U:U,MATCH(玩家节奏1!$BK184,商城宝箱!$L:$L,0)),0)+($BC184-INDEX(商城宝箱!$N:$N,MATCH(玩家节奏1!$BK184,商城宝箱!$L:$L,0)))/$BK$5*INDEX(商城宝箱!F$23:F$42,MATCH(玩家节奏1!$BK184+1,商城宝箱!$C$23:$C$42,0))</f>
        <v>142262.5</v>
      </c>
      <c r="BN184" s="90">
        <f ca="1">_xlfn.IFNA(INDEX(商城宝箱!V:V,MATCH(玩家节奏1!$BK184,商城宝箱!$L:$L,0)),0)+($BC184-INDEX(商城宝箱!$N:$N,MATCH(玩家节奏1!$BK184,商城宝箱!$L:$L,0)))/$BK$5*INDEX(商城宝箱!G$23:G$42,MATCH(玩家节奏1!$BK184+1,商城宝箱!$C$23:$C$42,0))</f>
        <v>79012</v>
      </c>
      <c r="BO184" s="90">
        <f ca="1">_xlfn.IFNA(INDEX(商城宝箱!W:W,MATCH(玩家节奏1!$BK184,商城宝箱!$L:$L,0)),0)+($BC184-INDEX(商城宝箱!$N:$N,MATCH(玩家节奏1!$BK184,商城宝箱!$L:$L,0)))/$BK$5*INDEX(商城宝箱!H$23:H$42,MATCH(玩家节奏1!$BK184+1,商城宝箱!$C$23:$C$42,0))</f>
        <v>11294</v>
      </c>
      <c r="BQ184" s="128">
        <f t="shared" si="219"/>
        <v>6816800</v>
      </c>
      <c r="BR184" s="90">
        <f t="shared" si="220"/>
        <v>741560</v>
      </c>
      <c r="BS184" s="90">
        <f t="shared" ca="1" si="221"/>
        <v>1394760</v>
      </c>
      <c r="BT184" s="90">
        <f t="shared" si="222"/>
        <v>12200</v>
      </c>
      <c r="BU184" s="90">
        <f t="shared" si="223"/>
        <v>161000</v>
      </c>
      <c r="BV184" s="90">
        <f t="shared" si="224"/>
        <v>89000</v>
      </c>
      <c r="BW184" s="90">
        <f t="shared" ca="1" si="175"/>
        <v>178375</v>
      </c>
      <c r="BX184" s="90">
        <f t="shared" ca="1" si="176"/>
        <v>9393695</v>
      </c>
      <c r="BY184" s="142">
        <f t="shared" ca="1" si="177"/>
        <v>0.72567823417728594</v>
      </c>
      <c r="BZ184" s="142">
        <f t="shared" ca="1" si="178"/>
        <v>7.8942311837887011E-2</v>
      </c>
      <c r="CA184" s="142">
        <f t="shared" ca="1" si="179"/>
        <v>0.14847831444389029</v>
      </c>
      <c r="CB184" s="142">
        <f t="shared" ca="1" si="180"/>
        <v>1.2987434656969382E-3</v>
      </c>
      <c r="CC184" s="142">
        <f t="shared" ca="1" si="181"/>
        <v>1.7139155571902216E-2</v>
      </c>
      <c r="CD184" s="142">
        <f t="shared" ca="1" si="182"/>
        <v>9.4744400366415984E-3</v>
      </c>
      <c r="CE184" s="142">
        <f t="shared" ca="1" si="183"/>
        <v>1.8988800466696012E-2</v>
      </c>
      <c r="CG184" s="128">
        <f t="shared" si="184"/>
        <v>154</v>
      </c>
      <c r="CH184" s="90">
        <f ca="1">INDEX(角色升级!$A:$A,MATCH(玩家节奏1!$BX184,角色升级!$J:$J,1))</f>
        <v>707</v>
      </c>
      <c r="CI184" s="90">
        <f ca="1">INDEX(角色升级!$O:$O,MATCH(玩家节奏1!$BX184,角色升级!$J:$J,1))</f>
        <v>41132.80692000001</v>
      </c>
      <c r="CJ184" s="90">
        <f>INDEX(关卡对比!$J:$J,MATCH(玩家节奏1!N184,关卡对比!$A:$A,0))</f>
        <v>63200</v>
      </c>
      <c r="CK184" s="147">
        <f t="shared" ca="1" si="185"/>
        <v>1.5364864382564238</v>
      </c>
      <c r="CL184" s="128">
        <f ca="1">INDEX(角色升级!$P:$P,MATCH(玩家节奏1!$CH184,角色升级!$A:$A,0))</f>
        <v>16200</v>
      </c>
      <c r="CM184" s="90">
        <f ca="1">INDEX(角色升级!Q:Q,MATCH(玩家节奏1!$CH184,角色升级!$A:$A,0))</f>
        <v>1.2</v>
      </c>
      <c r="CO184" s="128">
        <f t="shared" si="186"/>
        <v>46574</v>
      </c>
      <c r="CP184" s="90">
        <f t="shared" si="187"/>
        <v>53966</v>
      </c>
      <c r="CQ184" s="90">
        <f t="shared" si="188"/>
        <v>27480</v>
      </c>
      <c r="CR184" s="90">
        <f t="shared" ca="1" si="189"/>
        <v>142262.5</v>
      </c>
      <c r="CS184" s="90">
        <f t="shared" ca="1" si="190"/>
        <v>270282.5</v>
      </c>
      <c r="CT184" s="142">
        <f t="shared" ca="1" si="191"/>
        <v>0.1723160027008778</v>
      </c>
      <c r="CU184" s="142">
        <f t="shared" ca="1" si="192"/>
        <v>0.19966516515127691</v>
      </c>
      <c r="CV184" s="142">
        <f t="shared" ca="1" si="193"/>
        <v>0.10167139936917854</v>
      </c>
      <c r="CW184" s="142">
        <f t="shared" ca="1" si="194"/>
        <v>0.5263474327786668</v>
      </c>
      <c r="CY184" s="128">
        <f t="shared" si="195"/>
        <v>23288</v>
      </c>
      <c r="CZ184" s="90">
        <f t="shared" si="196"/>
        <v>26801</v>
      </c>
      <c r="DA184" s="90">
        <f t="shared" si="197"/>
        <v>17080</v>
      </c>
      <c r="DB184" s="90">
        <f t="shared" ca="1" si="198"/>
        <v>79012</v>
      </c>
      <c r="DC184" s="90">
        <f t="shared" ca="1" si="199"/>
        <v>146181</v>
      </c>
      <c r="DD184" s="142">
        <f t="shared" ca="1" si="200"/>
        <v>0.15930934936824895</v>
      </c>
      <c r="DE184" s="142">
        <f t="shared" ca="1" si="201"/>
        <v>0.18334120029278772</v>
      </c>
      <c r="DF184" s="142">
        <f t="shared" ca="1" si="202"/>
        <v>0.11684144998323996</v>
      </c>
      <c r="DG184" s="142">
        <f t="shared" ca="1" si="203"/>
        <v>0.54050800035572344</v>
      </c>
      <c r="DI184" s="128">
        <f t="shared" si="204"/>
        <v>11178</v>
      </c>
      <c r="DJ184" s="90">
        <f t="shared" si="205"/>
        <v>12897</v>
      </c>
      <c r="DK184" s="90">
        <f t="shared" si="206"/>
        <v>6152</v>
      </c>
      <c r="DL184" s="90">
        <f t="shared" ca="1" si="207"/>
        <v>11294</v>
      </c>
      <c r="DM184" s="90">
        <f t="shared" ca="1" si="208"/>
        <v>41521</v>
      </c>
      <c r="DN184" s="142">
        <f t="shared" ca="1" si="209"/>
        <v>0.26921316923966188</v>
      </c>
      <c r="DO184" s="142">
        <f t="shared" ca="1" si="210"/>
        <v>0.31061390621613161</v>
      </c>
      <c r="DP184" s="142">
        <f t="shared" ca="1" si="211"/>
        <v>0.1481659882950796</v>
      </c>
      <c r="DQ184" s="142">
        <f t="shared" ca="1" si="212"/>
        <v>0.27200693624912697</v>
      </c>
      <c r="DS184" s="128">
        <f t="shared" ca="1" si="213"/>
        <v>270282.5</v>
      </c>
      <c r="DT184" s="90">
        <f t="shared" ca="1" si="214"/>
        <v>146181</v>
      </c>
      <c r="DU184" s="90">
        <f t="shared" ca="1" si="215"/>
        <v>41521</v>
      </c>
      <c r="DV184" s="90">
        <f t="shared" si="216"/>
        <v>161</v>
      </c>
      <c r="DW184" s="90">
        <f ca="1">_xlfn.IFNA(INDEX(武器升级消耗!$H:$H,MATCH(玩家节奏1!DS184/玩家节奏1!DS$5,武器升级消耗!M:M,1)),0)</f>
        <v>46</v>
      </c>
      <c r="DX184" s="90">
        <f ca="1">_xlfn.IFNA(INDEX(武器升级消耗!$H:$H,MATCH(玩家节奏1!DT184/玩家节奏1!DT$5,武器升级消耗!N:N,1)),0)</f>
        <v>41</v>
      </c>
      <c r="DY184" s="90">
        <f ca="1">_xlfn.IFNA(INDEX(武器升级消耗!$H:$H,MATCH(玩家节奏1!DU184/玩家节奏1!DU$5,武器升级消耗!O:O,1)),0)</f>
        <v>28</v>
      </c>
      <c r="DZ184" s="90">
        <f>_xlfn.IFNA(INDEX(武器升级消耗!$H:$H,MATCH(玩家节奏1!DV184/玩家节奏1!DV$5,武器升级消耗!P:P,1)),0)</f>
        <v>13</v>
      </c>
      <c r="EA184" s="90">
        <f ca="1">_xlfn.IFNA(INDEX(武器升级消耗!$Q:$Q,MATCH(玩家节奏1!DW184,武器升级消耗!$H:$H,0))*2*EA$4,0)</f>
        <v>6</v>
      </c>
      <c r="EB184" s="90">
        <f ca="1">_xlfn.IFNA(INDEX(武器升级消耗!$Q:$Q,MATCH(玩家节奏1!DX184,武器升级消耗!$H:$H,0))*2*EB$4,0)</f>
        <v>6.75</v>
      </c>
      <c r="EC184" s="90">
        <f ca="1">_xlfn.IFNA(INDEX(武器升级消耗!$Q:$Q,MATCH(玩家节奏1!DY184,武器升级消耗!$H:$H,0))*2*EC$4,1)</f>
        <v>7.0400000000000009</v>
      </c>
      <c r="ED184" s="90">
        <f>_xlfn.IFNA(INDEX(武器升级消耗!$Q:$Q,MATCH(玩家节奏1!DZ184,武器升级消耗!$H:$H,0))*2*ED$4,0)</f>
        <v>5.0999999999999996</v>
      </c>
    </row>
    <row r="185" spans="1:134" x14ac:dyDescent="0.25">
      <c r="A185" s="123">
        <v>179</v>
      </c>
      <c r="B185" s="123">
        <f>INDEX(关卡对比!$Y:$Y,MATCH(关卡对比!Z185,关卡对比!$AA:$AA,1))</f>
        <v>103</v>
      </c>
      <c r="C185" s="124">
        <f>INDEX(关卡对比!$Y:$Y,MATCH(关卡对比!Z185,关卡对比!$AB:$AB,1))</f>
        <v>78</v>
      </c>
      <c r="D185" s="125">
        <f t="shared" si="230"/>
        <v>1049.5</v>
      </c>
      <c r="E185" s="125">
        <v>3</v>
      </c>
      <c r="F185" s="128">
        <v>5</v>
      </c>
      <c r="G185" s="90">
        <v>1</v>
      </c>
      <c r="H185" s="90">
        <v>1</v>
      </c>
      <c r="J185" s="128">
        <v>179</v>
      </c>
      <c r="K185" s="90">
        <f t="shared" si="225"/>
        <v>5</v>
      </c>
      <c r="L185" s="90">
        <f t="shared" si="226"/>
        <v>1</v>
      </c>
      <c r="M185" s="90">
        <f t="shared" si="227"/>
        <v>1</v>
      </c>
      <c r="N185" s="140">
        <f>INDEX($A:$A,MATCH(SUM($K$7:K185),$D:$D,1))</f>
        <v>155</v>
      </c>
      <c r="O185" s="140">
        <v>0</v>
      </c>
      <c r="P185" s="141">
        <v>0</v>
      </c>
      <c r="Q185" s="126">
        <f>_xlfn.MAXIFS(关卡产出!X:X,关卡产出!$A:$A,玩家节奏1!$N$6,关卡产出!$B:$B,玩家节奏1!$N185)+_xlfn.MAXIFS(关卡产出!X:X,关卡产出!$A:$A,玩家节奏1!$O$6,关卡产出!$B:$B,玩家节奏1!$O185)+_xlfn.MAXIFS(关卡产出!X:X,关卡产出!$A:$A,玩家节奏1!$P$6,关卡产出!$B:$B,玩家节奏1!$P185)</f>
        <v>29500</v>
      </c>
      <c r="R185" s="90">
        <f>_xlfn.MAXIFS(关卡产出!Y:Y,关卡产出!$A:$A,玩家节奏1!$N$6,关卡产出!$B:$B,玩家节奏1!$N185)+_xlfn.MAXIFS(关卡产出!Y:Y,关卡产出!$A:$A,玩家节奏1!$O$6,关卡产出!$B:$B,玩家节奏1!$O185)+_xlfn.MAXIFS(关卡产出!Y:Y,关卡产出!$A:$A,玩家节奏1!$P$6,关卡产出!$B:$B,玩家节奏1!$P185)</f>
        <v>6907500</v>
      </c>
      <c r="S185" s="90">
        <f>_xlfn.MAXIFS(关卡产出!Z:Z,关卡产出!$A:$A,玩家节奏1!$N$6,关卡产出!$B:$B,玩家节奏1!$N185)+_xlfn.MAXIFS(关卡产出!Z:Z,关卡产出!$A:$A,玩家节奏1!$O$6,关卡产出!$B:$B,玩家节奏1!$O185)+_xlfn.MAXIFS(关卡产出!Z:Z,关卡产出!$A:$A,玩家节奏1!$P$6,关卡产出!$B:$B,玩家节奏1!$P185)</f>
        <v>47186</v>
      </c>
      <c r="T185" s="90">
        <f>_xlfn.MAXIFS(关卡产出!AA:AA,关卡产出!$A:$A,玩家节奏1!$N$6,关卡产出!$B:$B,玩家节奏1!$N185)+_xlfn.MAXIFS(关卡产出!AA:AA,关卡产出!$A:$A,玩家节奏1!$O$6,关卡产出!$B:$B,玩家节奏1!$O185)+_xlfn.MAXIFS(关卡产出!AA:AA,关卡产出!$A:$A,玩家节奏1!$P$6,关卡产出!$B:$B,玩家节奏1!$P185)</f>
        <v>23594</v>
      </c>
      <c r="U185" s="90">
        <f>_xlfn.MAXIFS(关卡产出!AB:AB,关卡产出!$A:$A,玩家节奏1!$N$6,关卡产出!$B:$B,玩家节奏1!$N185)+_xlfn.MAXIFS(关卡产出!AB:AB,关卡产出!$A:$A,玩家节奏1!$O$6,关卡产出!$B:$B,玩家节奏1!$O185)+_xlfn.MAXIFS(关卡产出!AB:AB,关卡产出!$A:$A,玩家节奏1!$P$6,关卡产出!$B:$B,玩家节奏1!$P185)</f>
        <v>11328</v>
      </c>
      <c r="V185" s="130">
        <f>_xlfn.MAXIFS(关卡产出!AC:AC,关卡产出!$A:$A,玩家节奏1!$N$6,关卡产出!$B:$B,玩家节奏1!$N185)+_xlfn.MAXIFS(关卡产出!AC:AC,关卡产出!$A:$A,玩家节奏1!$O$6,关卡产出!$B:$B,玩家节奏1!$O185)+_xlfn.MAXIFS(关卡产出!AC:AC,关卡产出!$A:$A,玩家节奏1!$P$6,关卡产出!$B:$B,玩家节奏1!$P185)</f>
        <v>930</v>
      </c>
      <c r="W185" s="126">
        <f>INDEX(关卡产出!C$8:C$207,MATCH(玩家节奏1!$N185,关卡产出!$B$8:$B$207,0))*$K185</f>
        <v>610</v>
      </c>
      <c r="X185" s="126">
        <f>INDEX(关卡产出!D$8:D$207,MATCH(玩家节奏1!$N185,关卡产出!$B$8:$B$207,0))*$K185</f>
        <v>305</v>
      </c>
      <c r="Y185" s="126">
        <f>INDEX(关卡产出!E$8:E$207,MATCH(玩家节奏1!$N185,关卡产出!$B$8:$B$207,0))*$K185</f>
        <v>150</v>
      </c>
      <c r="Z185" s="144">
        <f>INDEX(关卡产出!F$8:F$207,MATCH(玩家节奏1!$N185,关卡产出!$B$8:$B$207,0))*$K185</f>
        <v>8050</v>
      </c>
      <c r="AA185" s="126">
        <f>SUM(W$7:W185)</f>
        <v>54576</v>
      </c>
      <c r="AB185" s="126">
        <f>SUM(X$7:X185)</f>
        <v>27106</v>
      </c>
      <c r="AC185" s="126">
        <f>SUM(Y$7:Y185)</f>
        <v>13047</v>
      </c>
      <c r="AD185" s="126">
        <f>SUM(Z$7:Z185)</f>
        <v>749610</v>
      </c>
      <c r="AE185" s="126">
        <f>INDEX(图鉴!AQ:AQ,MATCH($N185,图鉴!$S:$S,0))*8</f>
        <v>168</v>
      </c>
      <c r="AF185" s="90">
        <f>INDEX(图鉴!AR:AR,MATCH($N185,图鉴!$S:$S,0))*8</f>
        <v>120</v>
      </c>
      <c r="AG185" s="90">
        <f>INDEX(图鉴!AS:AS,MATCH($N185,图鉴!$S:$S,0))*8</f>
        <v>48</v>
      </c>
      <c r="AH185" s="129">
        <f ca="1">INDEX(图鉴!AT:AT,MATCH($N185,图鉴!$S:$S,0))*8</f>
        <v>11760</v>
      </c>
      <c r="AI185" s="128">
        <f>SUM($AE$7:AE185)</f>
        <v>27648</v>
      </c>
      <c r="AJ185" s="90">
        <f>SUM(AF$7:AF185)</f>
        <v>17200</v>
      </c>
      <c r="AK185" s="90">
        <f>SUM(AG$7:AG185)</f>
        <v>6200</v>
      </c>
      <c r="AL185" s="130">
        <f ca="1">SUM(AH$7:AH185)</f>
        <v>1406520</v>
      </c>
      <c r="AM185" s="133">
        <f>IF(M185=0,0,INDEX(关卡产出!$AU$11:$AU$15,MATCH(玩家节奏1!N185,关卡产出!$AW$11:$AW$15,1))*M185)</f>
        <v>12200</v>
      </c>
      <c r="AN185" s="126">
        <f>IF(L185=0,0,$L185*关卡产出!AU$21)</f>
        <v>1000</v>
      </c>
      <c r="AO185" s="90">
        <f>IF(M185=0,0,$L185*关卡产出!AV$21)</f>
        <v>50</v>
      </c>
      <c r="AP185" s="129">
        <f>IF(N185=0,0,$L185*关卡产出!AW$21)</f>
        <v>1</v>
      </c>
      <c r="AQ185" s="138">
        <f>SUM(AN$7:AN185)</f>
        <v>162000</v>
      </c>
      <c r="AR185" s="126">
        <f>SUM(AO$7:AO185)</f>
        <v>8100</v>
      </c>
      <c r="AS185" s="129">
        <f>SUM(AP$7:AP185)</f>
        <v>162</v>
      </c>
      <c r="AT185" s="128">
        <v>500</v>
      </c>
      <c r="AU185" s="129">
        <v>100</v>
      </c>
      <c r="AV185" s="128">
        <f>SUM(AT$7:AT185)</f>
        <v>89500</v>
      </c>
      <c r="AW185" s="90">
        <f>SUM(AU$7:AU185)</f>
        <v>17900</v>
      </c>
      <c r="AY185" s="128">
        <f t="shared" si="167"/>
        <v>29500</v>
      </c>
      <c r="AZ185" s="90">
        <f t="shared" si="168"/>
        <v>8100</v>
      </c>
      <c r="BA185" s="90">
        <f t="shared" si="169"/>
        <v>17900</v>
      </c>
      <c r="BB185" s="90">
        <f t="shared" ca="1" si="217"/>
        <v>16200</v>
      </c>
      <c r="BC185" s="90">
        <f t="shared" ca="1" si="218"/>
        <v>71700</v>
      </c>
      <c r="BD185" s="90"/>
      <c r="BE185" s="90">
        <f t="shared" ca="1" si="170"/>
        <v>71700</v>
      </c>
      <c r="BF185" s="142">
        <f t="shared" ca="1" si="171"/>
        <v>0.41143654114365413</v>
      </c>
      <c r="BG185" s="142">
        <f t="shared" ca="1" si="172"/>
        <v>0.11297071129707113</v>
      </c>
      <c r="BH185" s="142">
        <f t="shared" ca="1" si="228"/>
        <v>0.24965132496513251</v>
      </c>
      <c r="BI185" s="142">
        <f t="shared" ca="1" si="229"/>
        <v>0.22594142259414227</v>
      </c>
      <c r="BJ185" s="143"/>
      <c r="BK185" s="128">
        <f ca="1">INDEX(商城宝箱!$L:$L,MATCH(BC185,商城宝箱!$N:$N,1))</f>
        <v>10</v>
      </c>
      <c r="BL185" s="90">
        <f ca="1">_xlfn.IFNA(INDEX(商城宝箱!T:T,MATCH(玩家节奏1!$BK185,商城宝箱!$L:$L,0)),0)+($BC185-INDEX(商城宝箱!$N:$N,MATCH(玩家节奏1!$BK185,商城宝箱!$L:$L,0)))/$BK$5*INDEX(商城宝箱!E$23:E$42,MATCH(玩家节奏1!$BK185+1,商城宝箱!$C$23:$C$42,0))</f>
        <v>179250</v>
      </c>
      <c r="BM185" s="90">
        <f ca="1">_xlfn.IFNA(INDEX(商城宝箱!U:U,MATCH(玩家节奏1!$BK185,商城宝箱!$L:$L,0)),0)+($BC185-INDEX(商城宝箱!$N:$N,MATCH(玩家节奏1!$BK185,商城宝箱!$L:$L,0)))/$BK$5*INDEX(商城宝箱!F$23:F$42,MATCH(玩家节奏1!$BK185+1,商城宝箱!$C$23:$C$42,0))</f>
        <v>143382.5</v>
      </c>
      <c r="BN185" s="90">
        <f ca="1">_xlfn.IFNA(INDEX(商城宝箱!V:V,MATCH(玩家节奏1!$BK185,商城宝箱!$L:$L,0)),0)+($BC185-INDEX(商城宝箱!$N:$N,MATCH(玩家节奏1!$BK185,商城宝箱!$L:$L,0)))/$BK$5*INDEX(商城宝箱!G$23:G$42,MATCH(玩家节奏1!$BK185+1,商城宝箱!$C$23:$C$42,0))</f>
        <v>79537</v>
      </c>
      <c r="BO185" s="90">
        <f ca="1">_xlfn.IFNA(INDEX(商城宝箱!W:W,MATCH(玩家节奏1!$BK185,商城宝箱!$L:$L,0)),0)+($BC185-INDEX(商城宝箱!$N:$N,MATCH(玩家节奏1!$BK185,商城宝箱!$L:$L,0)))/$BK$5*INDEX(商城宝箱!H$23:H$42,MATCH(玩家节奏1!$BK185+1,商城宝箱!$C$23:$C$42,0))</f>
        <v>11381.5</v>
      </c>
      <c r="BQ185" s="128">
        <f t="shared" si="219"/>
        <v>6907500</v>
      </c>
      <c r="BR185" s="90">
        <f t="shared" si="220"/>
        <v>749610</v>
      </c>
      <c r="BS185" s="90">
        <f t="shared" ca="1" si="221"/>
        <v>1406520</v>
      </c>
      <c r="BT185" s="90">
        <f t="shared" si="222"/>
        <v>12200</v>
      </c>
      <c r="BU185" s="90">
        <f t="shared" si="223"/>
        <v>162000</v>
      </c>
      <c r="BV185" s="90">
        <f t="shared" si="224"/>
        <v>89500</v>
      </c>
      <c r="BW185" s="90">
        <f t="shared" ca="1" si="175"/>
        <v>179250</v>
      </c>
      <c r="BX185" s="90">
        <f t="shared" ca="1" si="176"/>
        <v>9506580</v>
      </c>
      <c r="BY185" s="142">
        <f t="shared" ca="1" si="177"/>
        <v>0.72660199567036721</v>
      </c>
      <c r="BZ185" s="142">
        <f t="shared" ca="1" si="178"/>
        <v>7.8851700611576397E-2</v>
      </c>
      <c r="CA185" s="142">
        <f t="shared" ca="1" si="179"/>
        <v>0.14795226043435178</v>
      </c>
      <c r="CB185" s="142">
        <f t="shared" ca="1" si="180"/>
        <v>1.2833216572100588E-3</v>
      </c>
      <c r="CC185" s="142">
        <f t="shared" ca="1" si="181"/>
        <v>1.7040828562953237E-2</v>
      </c>
      <c r="CD185" s="142">
        <f t="shared" ca="1" si="182"/>
        <v>9.4145318295328073E-3</v>
      </c>
      <c r="CE185" s="142">
        <f t="shared" ca="1" si="183"/>
        <v>1.8855361234008446E-2</v>
      </c>
      <c r="CG185" s="128">
        <f t="shared" si="184"/>
        <v>155</v>
      </c>
      <c r="CH185" s="90">
        <f ca="1">INDEX(角色升级!$A:$A,MATCH(玩家节奏1!$BX185,角色升级!$J:$J,1))</f>
        <v>711</v>
      </c>
      <c r="CI185" s="90">
        <f ca="1">INDEX(角色升级!$O:$O,MATCH(玩家节奏1!$BX185,角色升级!$J:$J,1))</f>
        <v>41251.142099999997</v>
      </c>
      <c r="CJ185" s="90">
        <f>INDEX(关卡对比!$J:$J,MATCH(玩家节奏1!N185,关卡对比!$A:$A,0))</f>
        <v>63700</v>
      </c>
      <c r="CK185" s="147">
        <f t="shared" ca="1" si="185"/>
        <v>1.5441996695650277</v>
      </c>
      <c r="CL185" s="128">
        <f ca="1">INDEX(角色升级!$P:$P,MATCH(玩家节奏1!$CH185,角色升级!$A:$A,0))</f>
        <v>16200</v>
      </c>
      <c r="CM185" s="90">
        <f ca="1">INDEX(角色升级!Q:Q,MATCH(玩家节奏1!$CH185,角色升级!$A:$A,0))</f>
        <v>1.3</v>
      </c>
      <c r="CO185" s="128">
        <f t="shared" si="186"/>
        <v>47186</v>
      </c>
      <c r="CP185" s="90">
        <f t="shared" si="187"/>
        <v>54576</v>
      </c>
      <c r="CQ185" s="90">
        <f t="shared" si="188"/>
        <v>27648</v>
      </c>
      <c r="CR185" s="90">
        <f t="shared" ca="1" si="189"/>
        <v>143382.5</v>
      </c>
      <c r="CS185" s="90">
        <f t="shared" ca="1" si="190"/>
        <v>272792.5</v>
      </c>
      <c r="CT185" s="142">
        <f t="shared" ca="1" si="191"/>
        <v>0.17297396372700863</v>
      </c>
      <c r="CU185" s="142">
        <f t="shared" ca="1" si="192"/>
        <v>0.20006415132380839</v>
      </c>
      <c r="CV185" s="142">
        <f t="shared" ca="1" si="193"/>
        <v>0.10135176003739106</v>
      </c>
      <c r="CW185" s="142">
        <f t="shared" ca="1" si="194"/>
        <v>0.52561012491179193</v>
      </c>
      <c r="CY185" s="128">
        <f t="shared" si="195"/>
        <v>23594</v>
      </c>
      <c r="CZ185" s="90">
        <f t="shared" si="196"/>
        <v>27106</v>
      </c>
      <c r="DA185" s="90">
        <f t="shared" si="197"/>
        <v>17200</v>
      </c>
      <c r="DB185" s="90">
        <f t="shared" ca="1" si="198"/>
        <v>79537</v>
      </c>
      <c r="DC185" s="90">
        <f t="shared" ca="1" si="199"/>
        <v>147437</v>
      </c>
      <c r="DD185" s="142">
        <f t="shared" ca="1" si="200"/>
        <v>0.16002767283653357</v>
      </c>
      <c r="DE185" s="142">
        <f t="shared" ca="1" si="201"/>
        <v>0.18384801644092053</v>
      </c>
      <c r="DF185" s="142">
        <f t="shared" ca="1" si="202"/>
        <v>0.11665999715132565</v>
      </c>
      <c r="DG185" s="142">
        <f t="shared" ca="1" si="203"/>
        <v>0.53946431357122027</v>
      </c>
      <c r="DI185" s="128">
        <f t="shared" si="204"/>
        <v>11328</v>
      </c>
      <c r="DJ185" s="90">
        <f t="shared" si="205"/>
        <v>13047</v>
      </c>
      <c r="DK185" s="90">
        <f t="shared" si="206"/>
        <v>6200</v>
      </c>
      <c r="DL185" s="90">
        <f t="shared" ca="1" si="207"/>
        <v>11381.5</v>
      </c>
      <c r="DM185" s="90">
        <f t="shared" ca="1" si="208"/>
        <v>41956.5</v>
      </c>
      <c r="DN185" s="142">
        <f t="shared" ca="1" si="209"/>
        <v>0.26999392227664365</v>
      </c>
      <c r="DO185" s="142">
        <f t="shared" ca="1" si="210"/>
        <v>0.31096492796110259</v>
      </c>
      <c r="DP185" s="142">
        <f t="shared" ca="1" si="211"/>
        <v>0.14777209729124213</v>
      </c>
      <c r="DQ185" s="142">
        <f t="shared" ca="1" si="212"/>
        <v>0.27126905247101163</v>
      </c>
      <c r="DS185" s="128">
        <f t="shared" ca="1" si="213"/>
        <v>272792.5</v>
      </c>
      <c r="DT185" s="90">
        <f t="shared" ca="1" si="214"/>
        <v>147437</v>
      </c>
      <c r="DU185" s="90">
        <f t="shared" ca="1" si="215"/>
        <v>41956.5</v>
      </c>
      <c r="DV185" s="90">
        <f t="shared" si="216"/>
        <v>162</v>
      </c>
      <c r="DW185" s="90">
        <f ca="1">_xlfn.IFNA(INDEX(武器升级消耗!$H:$H,MATCH(玩家节奏1!DS185/玩家节奏1!DS$5,武器升级消耗!M:M,1)),0)</f>
        <v>46</v>
      </c>
      <c r="DX185" s="90">
        <f ca="1">_xlfn.IFNA(INDEX(武器升级消耗!$H:$H,MATCH(玩家节奏1!DT185/玩家节奏1!DT$5,武器升级消耗!N:N,1)),0)</f>
        <v>41</v>
      </c>
      <c r="DY185" s="90">
        <f ca="1">_xlfn.IFNA(INDEX(武器升级消耗!$H:$H,MATCH(玩家节奏1!DU185/玩家节奏1!DU$5,武器升级消耗!O:O,1)),0)</f>
        <v>28</v>
      </c>
      <c r="DZ185" s="90">
        <f>_xlfn.IFNA(INDEX(武器升级消耗!$H:$H,MATCH(玩家节奏1!DV185/玩家节奏1!DV$5,武器升级消耗!P:P,1)),0)</f>
        <v>13</v>
      </c>
      <c r="EA185" s="90">
        <f ca="1">_xlfn.IFNA(INDEX(武器升级消耗!$Q:$Q,MATCH(玩家节奏1!DW185,武器升级消耗!$H:$H,0))*2*EA$4,0)</f>
        <v>6</v>
      </c>
      <c r="EB185" s="90">
        <f ca="1">_xlfn.IFNA(INDEX(武器升级消耗!$Q:$Q,MATCH(玩家节奏1!DX185,武器升级消耗!$H:$H,0))*2*EB$4,0)</f>
        <v>6.75</v>
      </c>
      <c r="EC185" s="90">
        <f ca="1">_xlfn.IFNA(INDEX(武器升级消耗!$Q:$Q,MATCH(玩家节奏1!DY185,武器升级消耗!$H:$H,0))*2*EC$4,1)</f>
        <v>7.0400000000000009</v>
      </c>
      <c r="ED185" s="90">
        <f>_xlfn.IFNA(INDEX(武器升级消耗!$Q:$Q,MATCH(玩家节奏1!DZ185,武器升级消耗!$H:$H,0))*2*ED$4,0)</f>
        <v>5.0999999999999996</v>
      </c>
    </row>
    <row r="186" spans="1:134" x14ac:dyDescent="0.25">
      <c r="A186" s="123">
        <v>180</v>
      </c>
      <c r="B186" s="123">
        <f>INDEX(关卡对比!$Y:$Y,MATCH(关卡对比!Z186,关卡对比!$AA:$AA,1))</f>
        <v>103</v>
      </c>
      <c r="C186" s="124">
        <f>INDEX(关卡对比!$Y:$Y,MATCH(关卡对比!Z186,关卡对比!$AB:$AB,1))</f>
        <v>78</v>
      </c>
      <c r="D186" s="125">
        <f t="shared" si="230"/>
        <v>1052.5</v>
      </c>
      <c r="E186" s="125">
        <v>3</v>
      </c>
      <c r="F186" s="128">
        <v>5</v>
      </c>
      <c r="G186" s="90">
        <v>1</v>
      </c>
      <c r="H186" s="90">
        <v>1</v>
      </c>
      <c r="J186" s="128">
        <v>180</v>
      </c>
      <c r="K186" s="90">
        <f t="shared" si="225"/>
        <v>5</v>
      </c>
      <c r="L186" s="90">
        <f t="shared" si="226"/>
        <v>1</v>
      </c>
      <c r="M186" s="90">
        <f t="shared" si="227"/>
        <v>1</v>
      </c>
      <c r="N186" s="140">
        <f>INDEX($A:$A,MATCH(SUM($K$7:K186),$D:$D,1))</f>
        <v>156</v>
      </c>
      <c r="O186" s="140">
        <v>0</v>
      </c>
      <c r="P186" s="141">
        <v>0</v>
      </c>
      <c r="Q186" s="126">
        <f>_xlfn.MAXIFS(关卡产出!X:X,关卡产出!$A:$A,玩家节奏1!$N$6,关卡产出!$B:$B,玩家节奏1!$N186)+_xlfn.MAXIFS(关卡产出!X:X,关卡产出!$A:$A,玩家节奏1!$O$6,关卡产出!$B:$B,玩家节奏1!$O186)+_xlfn.MAXIFS(关卡产出!X:X,关卡产出!$A:$A,玩家节奏1!$P$6,关卡产出!$B:$B,玩家节奏1!$P186)</f>
        <v>29700</v>
      </c>
      <c r="R186" s="90">
        <f>_xlfn.MAXIFS(关卡产出!Y:Y,关卡产出!$A:$A,玩家节奏1!$N$6,关卡产出!$B:$B,玩家节奏1!$N186)+_xlfn.MAXIFS(关卡产出!Y:Y,关卡产出!$A:$A,玩家节奏1!$O$6,关卡产出!$B:$B,玩家节奏1!$O186)+_xlfn.MAXIFS(关卡产出!Y:Y,关卡产出!$A:$A,玩家节奏1!$P$6,关卡产出!$B:$B,玩家节奏1!$P186)</f>
        <v>6998800</v>
      </c>
      <c r="S186" s="90">
        <f>_xlfn.MAXIFS(关卡产出!Z:Z,关卡产出!$A:$A,玩家节奏1!$N$6,关卡产出!$B:$B,玩家节奏1!$N186)+_xlfn.MAXIFS(关卡产出!Z:Z,关卡产出!$A:$A,玩家节奏1!$O$6,关卡产出!$B:$B,玩家节奏1!$O186)+_xlfn.MAXIFS(关卡产出!Z:Z,关卡产出!$A:$A,玩家节奏1!$P$6,关卡产出!$B:$B,玩家节奏1!$P186)</f>
        <v>47802</v>
      </c>
      <c r="T186" s="90">
        <f>_xlfn.MAXIFS(关卡产出!AA:AA,关卡产出!$A:$A,玩家节奏1!$N$6,关卡产出!$B:$B,玩家节奏1!$N186)+_xlfn.MAXIFS(关卡产出!AA:AA,关卡产出!$A:$A,玩家节奏1!$O$6,关卡产出!$B:$B,玩家节奏1!$O186)+_xlfn.MAXIFS(关卡产出!AA:AA,关卡产出!$A:$A,玩家节奏1!$P$6,关卡产出!$B:$B,玩家节奏1!$P186)</f>
        <v>23902</v>
      </c>
      <c r="U186" s="90">
        <f>_xlfn.MAXIFS(关卡产出!AB:AB,关卡产出!$A:$A,玩家节奏1!$N$6,关卡产出!$B:$B,玩家节奏1!$N186)+_xlfn.MAXIFS(关卡产出!AB:AB,关卡产出!$A:$A,玩家节奏1!$O$6,关卡产出!$B:$B,玩家节奏1!$O186)+_xlfn.MAXIFS(关卡产出!AB:AB,关卡产出!$A:$A,玩家节奏1!$P$6,关卡产出!$B:$B,玩家节奏1!$P186)</f>
        <v>11479</v>
      </c>
      <c r="V186" s="130">
        <f>_xlfn.MAXIFS(关卡产出!AC:AC,关卡产出!$A:$A,玩家节奏1!$N$6,关卡产出!$B:$B,玩家节奏1!$N186)+_xlfn.MAXIFS(关卡产出!AC:AC,关卡产出!$A:$A,玩家节奏1!$O$6,关卡产出!$B:$B,玩家节奏1!$O186)+_xlfn.MAXIFS(关卡产出!AC:AC,关卡产出!$A:$A,玩家节奏1!$P$6,关卡产出!$B:$B,玩家节奏1!$P186)</f>
        <v>936</v>
      </c>
      <c r="W186" s="126">
        <f>INDEX(关卡产出!C$8:C$207,MATCH(玩家节奏1!$N186,关卡产出!$B$8:$B$207,0))*$K186</f>
        <v>615</v>
      </c>
      <c r="X186" s="126">
        <f>INDEX(关卡产出!D$8:D$207,MATCH(玩家节奏1!$N186,关卡产出!$B$8:$B$207,0))*$K186</f>
        <v>305</v>
      </c>
      <c r="Y186" s="126">
        <f>INDEX(关卡产出!E$8:E$207,MATCH(玩家节奏1!$N186,关卡产出!$B$8:$B$207,0))*$K186</f>
        <v>150</v>
      </c>
      <c r="Z186" s="144">
        <f>INDEX(关卡产出!F$8:F$207,MATCH(玩家节奏1!$N186,关卡产出!$B$8:$B$207,0))*$K186</f>
        <v>8050</v>
      </c>
      <c r="AA186" s="126">
        <f>SUM(W$7:W186)</f>
        <v>55191</v>
      </c>
      <c r="AB186" s="126">
        <f>SUM(X$7:X186)</f>
        <v>27411</v>
      </c>
      <c r="AC186" s="126">
        <f>SUM(Y$7:Y186)</f>
        <v>13197</v>
      </c>
      <c r="AD186" s="126">
        <f>SUM(Z$7:Z186)</f>
        <v>757660</v>
      </c>
      <c r="AE186" s="126">
        <f>INDEX(图鉴!AQ:AQ,MATCH($N186,图鉴!$S:$S,0))*8</f>
        <v>168</v>
      </c>
      <c r="AF186" s="90">
        <f>INDEX(图鉴!AR:AR,MATCH($N186,图鉴!$S:$S,0))*8</f>
        <v>120</v>
      </c>
      <c r="AG186" s="90">
        <f>INDEX(图鉴!AS:AS,MATCH($N186,图鉴!$S:$S,0))*8</f>
        <v>48</v>
      </c>
      <c r="AH186" s="129">
        <f ca="1">INDEX(图鉴!AT:AT,MATCH($N186,图鉴!$S:$S,0))*8</f>
        <v>11760</v>
      </c>
      <c r="AI186" s="128">
        <f>SUM($AE$7:AE186)</f>
        <v>27816</v>
      </c>
      <c r="AJ186" s="90">
        <f>SUM(AF$7:AF186)</f>
        <v>17320</v>
      </c>
      <c r="AK186" s="90">
        <f>SUM(AG$7:AG186)</f>
        <v>6248</v>
      </c>
      <c r="AL186" s="130">
        <f ca="1">SUM(AH$7:AH186)</f>
        <v>1418280</v>
      </c>
      <c r="AM186" s="133">
        <f>IF(M186=0,0,INDEX(关卡产出!$AU$11:$AU$15,MATCH(玩家节奏1!N186,关卡产出!$AW$11:$AW$15,1))*M186)</f>
        <v>12200</v>
      </c>
      <c r="AN186" s="126">
        <f>IF(L186=0,0,$L186*关卡产出!AU$21)</f>
        <v>1000</v>
      </c>
      <c r="AO186" s="90">
        <f>IF(M186=0,0,$L186*关卡产出!AV$21)</f>
        <v>50</v>
      </c>
      <c r="AP186" s="129">
        <f>IF(N186=0,0,$L186*关卡产出!AW$21)</f>
        <v>1</v>
      </c>
      <c r="AQ186" s="138">
        <f>SUM(AN$7:AN186)</f>
        <v>163000</v>
      </c>
      <c r="AR186" s="126">
        <f>SUM(AO$7:AO186)</f>
        <v>8150</v>
      </c>
      <c r="AS186" s="129">
        <f>SUM(AP$7:AP186)</f>
        <v>163</v>
      </c>
      <c r="AT186" s="128">
        <v>500</v>
      </c>
      <c r="AU186" s="129">
        <v>100</v>
      </c>
      <c r="AV186" s="128">
        <f>SUM(AT$7:AT186)</f>
        <v>90000</v>
      </c>
      <c r="AW186" s="90">
        <f>SUM(AU$7:AU186)</f>
        <v>18000</v>
      </c>
      <c r="AY186" s="128">
        <f t="shared" si="167"/>
        <v>29700</v>
      </c>
      <c r="AZ186" s="90">
        <f t="shared" si="168"/>
        <v>8150</v>
      </c>
      <c r="BA186" s="90">
        <f t="shared" si="169"/>
        <v>18000</v>
      </c>
      <c r="BB186" s="90">
        <f t="shared" ca="1" si="217"/>
        <v>16200</v>
      </c>
      <c r="BC186" s="90">
        <f t="shared" ca="1" si="218"/>
        <v>72050</v>
      </c>
      <c r="BD186" s="90"/>
      <c r="BE186" s="90">
        <f t="shared" ca="1" si="170"/>
        <v>72050</v>
      </c>
      <c r="BF186" s="142">
        <f t="shared" ca="1" si="171"/>
        <v>0.41221374045801529</v>
      </c>
      <c r="BG186" s="142">
        <f t="shared" ca="1" si="172"/>
        <v>0.11311589174184594</v>
      </c>
      <c r="BH186" s="142">
        <f t="shared" ca="1" si="228"/>
        <v>0.2498265093684941</v>
      </c>
      <c r="BI186" s="142">
        <f t="shared" ca="1" si="229"/>
        <v>0.2248438584316447</v>
      </c>
      <c r="BJ186" s="143"/>
      <c r="BK186" s="128">
        <f ca="1">INDEX(商城宝箱!$L:$L,MATCH(BC186,商城宝箱!$N:$N,1))</f>
        <v>10</v>
      </c>
      <c r="BL186" s="90">
        <f ca="1">_xlfn.IFNA(INDEX(商城宝箱!T:T,MATCH(玩家节奏1!$BK186,商城宝箱!$L:$L,0)),0)+($BC186-INDEX(商城宝箱!$N:$N,MATCH(玩家节奏1!$BK186,商城宝箱!$L:$L,0)))/$BK$5*INDEX(商城宝箱!E$23:E$42,MATCH(玩家节奏1!$BK186+1,商城宝箱!$C$23:$C$42,0))</f>
        <v>180125</v>
      </c>
      <c r="BM186" s="90">
        <f ca="1">_xlfn.IFNA(INDEX(商城宝箱!U:U,MATCH(玩家节奏1!$BK186,商城宝箱!$L:$L,0)),0)+($BC186-INDEX(商城宝箱!$N:$N,MATCH(玩家节奏1!$BK186,商城宝箱!$L:$L,0)))/$BK$5*INDEX(商城宝箱!F$23:F$42,MATCH(玩家节奏1!$BK186+1,商城宝箱!$C$23:$C$42,0))</f>
        <v>144502.5</v>
      </c>
      <c r="BN186" s="90">
        <f ca="1">_xlfn.IFNA(INDEX(商城宝箱!V:V,MATCH(玩家节奏1!$BK186,商城宝箱!$L:$L,0)),0)+($BC186-INDEX(商城宝箱!$N:$N,MATCH(玩家节奏1!$BK186,商城宝箱!$L:$L,0)))/$BK$5*INDEX(商城宝箱!G$23:G$42,MATCH(玩家节奏1!$BK186+1,商城宝箱!$C$23:$C$42,0))</f>
        <v>80062</v>
      </c>
      <c r="BO186" s="90">
        <f ca="1">_xlfn.IFNA(INDEX(商城宝箱!W:W,MATCH(玩家节奏1!$BK186,商城宝箱!$L:$L,0)),0)+($BC186-INDEX(商城宝箱!$N:$N,MATCH(玩家节奏1!$BK186,商城宝箱!$L:$L,0)))/$BK$5*INDEX(商城宝箱!H$23:H$42,MATCH(玩家节奏1!$BK186+1,商城宝箱!$C$23:$C$42,0))</f>
        <v>11469</v>
      </c>
      <c r="BQ186" s="128">
        <f t="shared" si="219"/>
        <v>6998800</v>
      </c>
      <c r="BR186" s="90">
        <f t="shared" si="220"/>
        <v>757660</v>
      </c>
      <c r="BS186" s="90">
        <f t="shared" ca="1" si="221"/>
        <v>1418280</v>
      </c>
      <c r="BT186" s="90">
        <f t="shared" si="222"/>
        <v>12200</v>
      </c>
      <c r="BU186" s="90">
        <f t="shared" si="223"/>
        <v>163000</v>
      </c>
      <c r="BV186" s="90">
        <f t="shared" si="224"/>
        <v>90000</v>
      </c>
      <c r="BW186" s="90">
        <f t="shared" ca="1" si="175"/>
        <v>180125</v>
      </c>
      <c r="BX186" s="90">
        <f t="shared" ca="1" si="176"/>
        <v>9620065</v>
      </c>
      <c r="BY186" s="142">
        <f t="shared" ca="1" si="177"/>
        <v>0.72752107184306969</v>
      </c>
      <c r="BZ186" s="142">
        <f t="shared" ca="1" si="178"/>
        <v>7.875830360813571E-2</v>
      </c>
      <c r="CA186" s="142">
        <f t="shared" ca="1" si="179"/>
        <v>0.14742935728604745</v>
      </c>
      <c r="CB186" s="142">
        <f t="shared" ca="1" si="180"/>
        <v>1.2681826993892454E-3</v>
      </c>
      <c r="CC186" s="142">
        <f t="shared" ca="1" si="181"/>
        <v>1.6943752459053031E-2</v>
      </c>
      <c r="CD186" s="142">
        <f t="shared" ca="1" si="182"/>
        <v>9.3554461430354167E-3</v>
      </c>
      <c r="CE186" s="142">
        <f t="shared" ca="1" si="183"/>
        <v>1.8723885961269494E-2</v>
      </c>
      <c r="CG186" s="128">
        <f t="shared" si="184"/>
        <v>156</v>
      </c>
      <c r="CH186" s="90">
        <f ca="1">INDEX(角色升级!$A:$A,MATCH(玩家节奏1!$BX186,角色升级!$J:$J,1))</f>
        <v>716</v>
      </c>
      <c r="CI186" s="90">
        <f ca="1">INDEX(角色升级!$O:$O,MATCH(玩家节奏1!$BX186,角色升级!$J:$J,1))</f>
        <v>41343.633450000001</v>
      </c>
      <c r="CJ186" s="90">
        <f>INDEX(关卡对比!$J:$J,MATCH(玩家节奏1!N186,关卡对比!$A:$A,0))</f>
        <v>64200</v>
      </c>
      <c r="CK186" s="147">
        <f t="shared" ca="1" si="185"/>
        <v>1.5528388446468291</v>
      </c>
      <c r="CL186" s="128">
        <f ca="1">INDEX(角色升级!$P:$P,MATCH(玩家节奏1!$CH186,角色升级!$A:$A,0))</f>
        <v>16200</v>
      </c>
      <c r="CM186" s="90">
        <f ca="1">INDEX(角色升级!Q:Q,MATCH(玩家节奏1!$CH186,角色升级!$A:$A,0))</f>
        <v>1.3</v>
      </c>
      <c r="CO186" s="128">
        <f t="shared" si="186"/>
        <v>47802</v>
      </c>
      <c r="CP186" s="90">
        <f t="shared" si="187"/>
        <v>55191</v>
      </c>
      <c r="CQ186" s="90">
        <f t="shared" si="188"/>
        <v>27816</v>
      </c>
      <c r="CR186" s="90">
        <f t="shared" ca="1" si="189"/>
        <v>144502.5</v>
      </c>
      <c r="CS186" s="90">
        <f t="shared" ca="1" si="190"/>
        <v>275311.5</v>
      </c>
      <c r="CT186" s="142">
        <f t="shared" ca="1" si="191"/>
        <v>0.17362878049046263</v>
      </c>
      <c r="CU186" s="142">
        <f t="shared" ca="1" si="192"/>
        <v>0.20046747048343422</v>
      </c>
      <c r="CV186" s="142">
        <f t="shared" ca="1" si="193"/>
        <v>0.10103464620983868</v>
      </c>
      <c r="CW186" s="142">
        <f t="shared" ca="1" si="194"/>
        <v>0.52486910281626453</v>
      </c>
      <c r="CY186" s="128">
        <f t="shared" si="195"/>
        <v>23902</v>
      </c>
      <c r="CZ186" s="90">
        <f t="shared" si="196"/>
        <v>27411</v>
      </c>
      <c r="DA186" s="90">
        <f t="shared" si="197"/>
        <v>17320</v>
      </c>
      <c r="DB186" s="90">
        <f t="shared" ca="1" si="198"/>
        <v>80062</v>
      </c>
      <c r="DC186" s="90">
        <f t="shared" ca="1" si="199"/>
        <v>148695</v>
      </c>
      <c r="DD186" s="142">
        <f t="shared" ca="1" si="200"/>
        <v>0.16074514946702984</v>
      </c>
      <c r="DE186" s="142">
        <f t="shared" ca="1" si="201"/>
        <v>0.18434379098153938</v>
      </c>
      <c r="DF186" s="142">
        <f t="shared" ca="1" si="202"/>
        <v>0.11648004304112444</v>
      </c>
      <c r="DG186" s="142">
        <f t="shared" ca="1" si="203"/>
        <v>0.53843101651030634</v>
      </c>
      <c r="DI186" s="128">
        <f t="shared" si="204"/>
        <v>11479</v>
      </c>
      <c r="DJ186" s="90">
        <f t="shared" si="205"/>
        <v>13197</v>
      </c>
      <c r="DK186" s="90">
        <f t="shared" si="206"/>
        <v>6248</v>
      </c>
      <c r="DL186" s="90">
        <f t="shared" ca="1" si="207"/>
        <v>11469</v>
      </c>
      <c r="DM186" s="90">
        <f t="shared" ca="1" si="208"/>
        <v>42393</v>
      </c>
      <c r="DN186" s="142">
        <f t="shared" ca="1" si="209"/>
        <v>0.27077583563324131</v>
      </c>
      <c r="DO186" s="142">
        <f t="shared" ca="1" si="210"/>
        <v>0.31130139409808222</v>
      </c>
      <c r="DP186" s="142">
        <f t="shared" ca="1" si="211"/>
        <v>0.14738282263581251</v>
      </c>
      <c r="DQ186" s="142">
        <f t="shared" ca="1" si="212"/>
        <v>0.27053994763286393</v>
      </c>
      <c r="DS186" s="128">
        <f t="shared" ca="1" si="213"/>
        <v>275311.5</v>
      </c>
      <c r="DT186" s="90">
        <f t="shared" ca="1" si="214"/>
        <v>148695</v>
      </c>
      <c r="DU186" s="90">
        <f t="shared" ca="1" si="215"/>
        <v>42393</v>
      </c>
      <c r="DV186" s="90">
        <f t="shared" si="216"/>
        <v>163</v>
      </c>
      <c r="DW186" s="90">
        <f ca="1">_xlfn.IFNA(INDEX(武器升级消耗!$H:$H,MATCH(玩家节奏1!DS186/玩家节奏1!DS$5,武器升级消耗!M:M,1)),0)</f>
        <v>46</v>
      </c>
      <c r="DX186" s="90">
        <f ca="1">_xlfn.IFNA(INDEX(武器升级消耗!$H:$H,MATCH(玩家节奏1!DT186/玩家节奏1!DT$5,武器升级消耗!N:N,1)),0)</f>
        <v>41</v>
      </c>
      <c r="DY186" s="90">
        <f ca="1">_xlfn.IFNA(INDEX(武器升级消耗!$H:$H,MATCH(玩家节奏1!DU186/玩家节奏1!DU$5,武器升级消耗!O:O,1)),0)</f>
        <v>29</v>
      </c>
      <c r="DZ186" s="90">
        <f>_xlfn.IFNA(INDEX(武器升级消耗!$H:$H,MATCH(玩家节奏1!DV186/玩家节奏1!DV$5,武器升级消耗!P:P,1)),0)</f>
        <v>13</v>
      </c>
      <c r="EA186" s="90">
        <f ca="1">_xlfn.IFNA(INDEX(武器升级消耗!$Q:$Q,MATCH(玩家节奏1!DW186,武器升级消耗!$H:$H,0))*2*EA$4,0)</f>
        <v>6</v>
      </c>
      <c r="EB186" s="90">
        <f ca="1">_xlfn.IFNA(INDEX(武器升级消耗!$Q:$Q,MATCH(玩家节奏1!DX186,武器升级消耗!$H:$H,0))*2*EB$4,0)</f>
        <v>6.75</v>
      </c>
      <c r="EC186" s="90">
        <f ca="1">_xlfn.IFNA(INDEX(武器升级消耗!$Q:$Q,MATCH(玩家节奏1!DY186,武器升级消耗!$H:$H,0))*2*EC$4,1)</f>
        <v>7.26</v>
      </c>
      <c r="ED186" s="90">
        <f>_xlfn.IFNA(INDEX(武器升级消耗!$Q:$Q,MATCH(玩家节奏1!DZ186,武器升级消耗!$H:$H,0))*2*ED$4,0)</f>
        <v>5.0999999999999996</v>
      </c>
    </row>
    <row r="187" spans="1:134" x14ac:dyDescent="0.25">
      <c r="A187" s="123">
        <v>181</v>
      </c>
      <c r="B187" s="123">
        <f>INDEX(关卡对比!$Y:$Y,MATCH(关卡对比!Z187,关卡对比!$AA:$AA,1))</f>
        <v>104</v>
      </c>
      <c r="C187" s="124">
        <f>INDEX(关卡对比!$Y:$Y,MATCH(关卡对比!Z187,关卡对比!$AB:$AB,1))</f>
        <v>78</v>
      </c>
      <c r="D187" s="125">
        <f t="shared" si="230"/>
        <v>1058.5</v>
      </c>
      <c r="E187" s="125">
        <v>3</v>
      </c>
      <c r="F187" s="128">
        <v>5</v>
      </c>
      <c r="G187" s="90">
        <v>1</v>
      </c>
      <c r="H187" s="90">
        <v>1</v>
      </c>
      <c r="J187" s="128">
        <v>181</v>
      </c>
      <c r="K187" s="90">
        <f t="shared" si="225"/>
        <v>5</v>
      </c>
      <c r="L187" s="90">
        <f t="shared" si="226"/>
        <v>1</v>
      </c>
      <c r="M187" s="90">
        <f t="shared" si="227"/>
        <v>1</v>
      </c>
      <c r="N187" s="140">
        <f>INDEX($A:$A,MATCH(SUM($K$7:K187),$D:$D,1))</f>
        <v>157</v>
      </c>
      <c r="O187" s="140">
        <v>0</v>
      </c>
      <c r="P187" s="141">
        <v>0</v>
      </c>
      <c r="Q187" s="126">
        <f>_xlfn.MAXIFS(关卡产出!X:X,关卡产出!$A:$A,玩家节奏1!$N$6,关卡产出!$B:$B,玩家节奏1!$N187)+_xlfn.MAXIFS(关卡产出!X:X,关卡产出!$A:$A,玩家节奏1!$O$6,关卡产出!$B:$B,玩家节奏1!$O187)+_xlfn.MAXIFS(关卡产出!X:X,关卡产出!$A:$A,玩家节奏1!$P$6,关卡产出!$B:$B,玩家节奏1!$P187)</f>
        <v>29900</v>
      </c>
      <c r="R187" s="90">
        <f>_xlfn.MAXIFS(关卡产出!Y:Y,关卡产出!$A:$A,玩家节奏1!$N$6,关卡产出!$B:$B,玩家节奏1!$N187)+_xlfn.MAXIFS(关卡产出!Y:Y,关卡产出!$A:$A,玩家节奏1!$O$6,关卡产出!$B:$B,玩家节奏1!$O187)+_xlfn.MAXIFS(关卡产出!Y:Y,关卡产出!$A:$A,玩家节奏1!$P$6,关卡产出!$B:$B,玩家节奏1!$P187)</f>
        <v>7090700</v>
      </c>
      <c r="S187" s="90">
        <f>_xlfn.MAXIFS(关卡产出!Z:Z,关卡产出!$A:$A,玩家节奏1!$N$6,关卡产出!$B:$B,玩家节奏1!$N187)+_xlfn.MAXIFS(关卡产出!Z:Z,关卡产出!$A:$A,玩家节奏1!$O$6,关卡产出!$B:$B,玩家节奏1!$O187)+_xlfn.MAXIFS(关卡产出!Z:Z,关卡产出!$A:$A,玩家节奏1!$P$6,关卡产出!$B:$B,玩家节奏1!$P187)</f>
        <v>48422</v>
      </c>
      <c r="T187" s="90">
        <f>_xlfn.MAXIFS(关卡产出!AA:AA,关卡产出!$A:$A,玩家节奏1!$N$6,关卡产出!$B:$B,玩家节奏1!$N187)+_xlfn.MAXIFS(关卡产出!AA:AA,关卡产出!$A:$A,玩家节奏1!$O$6,关卡产出!$B:$B,玩家节奏1!$O187)+_xlfn.MAXIFS(关卡产出!AA:AA,关卡产出!$A:$A,玩家节奏1!$P$6,关卡产出!$B:$B,玩家节奏1!$P187)</f>
        <v>24212</v>
      </c>
      <c r="U187" s="90">
        <f>_xlfn.MAXIFS(关卡产出!AB:AB,关卡产出!$A:$A,玩家节奏1!$N$6,关卡产出!$B:$B,玩家节奏1!$N187)+_xlfn.MAXIFS(关卡产出!AB:AB,关卡产出!$A:$A,玩家节奏1!$O$6,关卡产出!$B:$B,玩家节奏1!$O187)+_xlfn.MAXIFS(关卡产出!AB:AB,关卡产出!$A:$A,玩家节奏1!$P$6,关卡产出!$B:$B,玩家节奏1!$P187)</f>
        <v>11631</v>
      </c>
      <c r="V187" s="130">
        <f>_xlfn.MAXIFS(关卡产出!AC:AC,关卡产出!$A:$A,玩家节奏1!$N$6,关卡产出!$B:$B,玩家节奏1!$N187)+_xlfn.MAXIFS(关卡产出!AC:AC,关卡产出!$A:$A,玩家节奏1!$O$6,关卡产出!$B:$B,玩家节奏1!$O187)+_xlfn.MAXIFS(关卡产出!AC:AC,关卡产出!$A:$A,玩家节奏1!$P$6,关卡产出!$B:$B,玩家节奏1!$P187)</f>
        <v>942</v>
      </c>
      <c r="W187" s="126">
        <f>INDEX(关卡产出!C$8:C$207,MATCH(玩家节奏1!$N187,关卡产出!$B$8:$B$207,0))*$K187</f>
        <v>620</v>
      </c>
      <c r="X187" s="126">
        <f>INDEX(关卡产出!D$8:D$207,MATCH(玩家节奏1!$N187,关卡产出!$B$8:$B$207,0))*$K187</f>
        <v>310</v>
      </c>
      <c r="Y187" s="126">
        <f>INDEX(关卡产出!E$8:E$207,MATCH(玩家节奏1!$N187,关卡产出!$B$8:$B$207,0))*$K187</f>
        <v>150</v>
      </c>
      <c r="Z187" s="144">
        <f>INDEX(关卡产出!F$8:F$207,MATCH(玩家节奏1!$N187,关卡产出!$B$8:$B$207,0))*$K187</f>
        <v>8150</v>
      </c>
      <c r="AA187" s="126">
        <f>SUM(W$7:W187)</f>
        <v>55811</v>
      </c>
      <c r="AB187" s="126">
        <f>SUM(X$7:X187)</f>
        <v>27721</v>
      </c>
      <c r="AC187" s="126">
        <f>SUM(Y$7:Y187)</f>
        <v>13347</v>
      </c>
      <c r="AD187" s="126">
        <f>SUM(Z$7:Z187)</f>
        <v>765810</v>
      </c>
      <c r="AE187" s="126">
        <f>INDEX(图鉴!AQ:AQ,MATCH($N187,图鉴!$S:$S,0))*8</f>
        <v>168</v>
      </c>
      <c r="AF187" s="90">
        <f>INDEX(图鉴!AR:AR,MATCH($N187,图鉴!$S:$S,0))*8</f>
        <v>120</v>
      </c>
      <c r="AG187" s="90">
        <f>INDEX(图鉴!AS:AS,MATCH($N187,图鉴!$S:$S,0))*8</f>
        <v>48</v>
      </c>
      <c r="AH187" s="129">
        <f ca="1">INDEX(图鉴!AT:AT,MATCH($N187,图鉴!$S:$S,0))*8</f>
        <v>11760</v>
      </c>
      <c r="AI187" s="128">
        <f>SUM($AE$7:AE187)</f>
        <v>27984</v>
      </c>
      <c r="AJ187" s="90">
        <f>SUM(AF$7:AF187)</f>
        <v>17440</v>
      </c>
      <c r="AK187" s="90">
        <f>SUM(AG$7:AG187)</f>
        <v>6296</v>
      </c>
      <c r="AL187" s="130">
        <f ca="1">SUM(AH$7:AH187)</f>
        <v>1430040</v>
      </c>
      <c r="AM187" s="133">
        <f>IF(M187=0,0,INDEX(关卡产出!$AU$11:$AU$15,MATCH(玩家节奏1!N187,关卡产出!$AW$11:$AW$15,1))*M187)</f>
        <v>12200</v>
      </c>
      <c r="AN187" s="126">
        <f>IF(L187=0,0,$L187*关卡产出!AU$21)</f>
        <v>1000</v>
      </c>
      <c r="AO187" s="90">
        <f>IF(M187=0,0,$L187*关卡产出!AV$21)</f>
        <v>50</v>
      </c>
      <c r="AP187" s="129">
        <f>IF(N187=0,0,$L187*关卡产出!AW$21)</f>
        <v>1</v>
      </c>
      <c r="AQ187" s="138">
        <f>SUM(AN$7:AN187)</f>
        <v>164000</v>
      </c>
      <c r="AR187" s="126">
        <f>SUM(AO$7:AO187)</f>
        <v>8200</v>
      </c>
      <c r="AS187" s="129">
        <f>SUM(AP$7:AP187)</f>
        <v>164</v>
      </c>
      <c r="AT187" s="128">
        <v>500</v>
      </c>
      <c r="AU187" s="129">
        <v>100</v>
      </c>
      <c r="AV187" s="128">
        <f>SUM(AT$7:AT187)</f>
        <v>90500</v>
      </c>
      <c r="AW187" s="90">
        <f>SUM(AU$7:AU187)</f>
        <v>18100</v>
      </c>
      <c r="AY187" s="128">
        <f t="shared" si="167"/>
        <v>29900</v>
      </c>
      <c r="AZ187" s="90">
        <f t="shared" si="168"/>
        <v>8200</v>
      </c>
      <c r="BA187" s="90">
        <f t="shared" si="169"/>
        <v>18100</v>
      </c>
      <c r="BB187" s="90">
        <f t="shared" ca="1" si="217"/>
        <v>16200</v>
      </c>
      <c r="BC187" s="90">
        <f t="shared" ca="1" si="218"/>
        <v>72400</v>
      </c>
      <c r="BD187" s="90"/>
      <c r="BE187" s="90">
        <f t="shared" ca="1" si="170"/>
        <v>72400</v>
      </c>
      <c r="BF187" s="142">
        <f t="shared" ca="1" si="171"/>
        <v>0.41298342541436461</v>
      </c>
      <c r="BG187" s="142">
        <f t="shared" ca="1" si="172"/>
        <v>0.1132596685082873</v>
      </c>
      <c r="BH187" s="142">
        <f t="shared" ca="1" si="228"/>
        <v>0.25</v>
      </c>
      <c r="BI187" s="142">
        <f t="shared" ca="1" si="229"/>
        <v>0.22375690607734808</v>
      </c>
      <c r="BJ187" s="143"/>
      <c r="BK187" s="128">
        <f ca="1">INDEX(商城宝箱!$L:$L,MATCH(BC187,商城宝箱!$N:$N,1))</f>
        <v>10</v>
      </c>
      <c r="BL187" s="90">
        <f ca="1">_xlfn.IFNA(INDEX(商城宝箱!T:T,MATCH(玩家节奏1!$BK187,商城宝箱!$L:$L,0)),0)+($BC187-INDEX(商城宝箱!$N:$N,MATCH(玩家节奏1!$BK187,商城宝箱!$L:$L,0)))/$BK$5*INDEX(商城宝箱!E$23:E$42,MATCH(玩家节奏1!$BK187+1,商城宝箱!$C$23:$C$42,0))</f>
        <v>181000</v>
      </c>
      <c r="BM187" s="90">
        <f ca="1">_xlfn.IFNA(INDEX(商城宝箱!U:U,MATCH(玩家节奏1!$BK187,商城宝箱!$L:$L,0)),0)+($BC187-INDEX(商城宝箱!$N:$N,MATCH(玩家节奏1!$BK187,商城宝箱!$L:$L,0)))/$BK$5*INDEX(商城宝箱!F$23:F$42,MATCH(玩家节奏1!$BK187+1,商城宝箱!$C$23:$C$42,0))</f>
        <v>145622.5</v>
      </c>
      <c r="BN187" s="90">
        <f ca="1">_xlfn.IFNA(INDEX(商城宝箱!V:V,MATCH(玩家节奏1!$BK187,商城宝箱!$L:$L,0)),0)+($BC187-INDEX(商城宝箱!$N:$N,MATCH(玩家节奏1!$BK187,商城宝箱!$L:$L,0)))/$BK$5*INDEX(商城宝箱!G$23:G$42,MATCH(玩家节奏1!$BK187+1,商城宝箱!$C$23:$C$42,0))</f>
        <v>80587</v>
      </c>
      <c r="BO187" s="90">
        <f ca="1">_xlfn.IFNA(INDEX(商城宝箱!W:W,MATCH(玩家节奏1!$BK187,商城宝箱!$L:$L,0)),0)+($BC187-INDEX(商城宝箱!$N:$N,MATCH(玩家节奏1!$BK187,商城宝箱!$L:$L,0)))/$BK$5*INDEX(商城宝箱!H$23:H$42,MATCH(玩家节奏1!$BK187+1,商城宝箱!$C$23:$C$42,0))</f>
        <v>11556.5</v>
      </c>
      <c r="BQ187" s="128">
        <f t="shared" si="219"/>
        <v>7090700</v>
      </c>
      <c r="BR187" s="90">
        <f t="shared" si="220"/>
        <v>765810</v>
      </c>
      <c r="BS187" s="90">
        <f t="shared" ca="1" si="221"/>
        <v>1430040</v>
      </c>
      <c r="BT187" s="90">
        <f t="shared" si="222"/>
        <v>12200</v>
      </c>
      <c r="BU187" s="90">
        <f t="shared" si="223"/>
        <v>164000</v>
      </c>
      <c r="BV187" s="90">
        <f t="shared" si="224"/>
        <v>90500</v>
      </c>
      <c r="BW187" s="90">
        <f t="shared" ca="1" si="175"/>
        <v>181000</v>
      </c>
      <c r="BX187" s="90">
        <f t="shared" ca="1" si="176"/>
        <v>9734250</v>
      </c>
      <c r="BY187" s="142">
        <f t="shared" ca="1" si="177"/>
        <v>0.72842797339291676</v>
      </c>
      <c r="BZ187" s="142">
        <f t="shared" ca="1" si="178"/>
        <v>7.8671700439170975E-2</v>
      </c>
      <c r="CA187" s="142">
        <f t="shared" ca="1" si="179"/>
        <v>0.14690808228677094</v>
      </c>
      <c r="CB187" s="142">
        <f t="shared" ca="1" si="180"/>
        <v>1.2533066235200451E-3</v>
      </c>
      <c r="CC187" s="142">
        <f t="shared" ca="1" si="181"/>
        <v>1.6847728381744871E-2</v>
      </c>
      <c r="CD187" s="142">
        <f t="shared" ca="1" si="182"/>
        <v>9.2970696252921391E-3</v>
      </c>
      <c r="CE187" s="142">
        <f t="shared" ca="1" si="183"/>
        <v>1.8594139250584278E-2</v>
      </c>
      <c r="CG187" s="128">
        <f t="shared" si="184"/>
        <v>157</v>
      </c>
      <c r="CH187" s="90">
        <f ca="1">INDEX(角色升级!$A:$A,MATCH(玩家节奏1!$BX187,角色升级!$J:$J,1))</f>
        <v>720</v>
      </c>
      <c r="CI187" s="90">
        <f ca="1">INDEX(角色升级!$O:$O,MATCH(玩家节奏1!$BX187,角色升级!$J:$J,1))</f>
        <v>41417.626530000001</v>
      </c>
      <c r="CJ187" s="90">
        <f>INDEX(关卡对比!$J:$J,MATCH(玩家节奏1!N187,关卡对比!$A:$A,0))</f>
        <v>64700</v>
      </c>
      <c r="CK187" s="147">
        <f t="shared" ca="1" si="185"/>
        <v>1.5621368344981308</v>
      </c>
      <c r="CL187" s="128">
        <f ca="1">INDEX(角色升级!$P:$P,MATCH(玩家节奏1!$CH187,角色升级!$A:$A,0))</f>
        <v>16200</v>
      </c>
      <c r="CM187" s="90">
        <f ca="1">INDEX(角色升级!Q:Q,MATCH(玩家节奏1!$CH187,角色升级!$A:$A,0))</f>
        <v>1.3</v>
      </c>
      <c r="CO187" s="128">
        <f t="shared" si="186"/>
        <v>48422</v>
      </c>
      <c r="CP187" s="90">
        <f t="shared" si="187"/>
        <v>55811</v>
      </c>
      <c r="CQ187" s="90">
        <f t="shared" si="188"/>
        <v>27984</v>
      </c>
      <c r="CR187" s="90">
        <f t="shared" ca="1" si="189"/>
        <v>145622.5</v>
      </c>
      <c r="CS187" s="90">
        <f t="shared" ca="1" si="190"/>
        <v>277839.5</v>
      </c>
      <c r="CT187" s="142">
        <f t="shared" ca="1" si="191"/>
        <v>0.174280474878482</v>
      </c>
      <c r="CU187" s="142">
        <f t="shared" ca="1" si="192"/>
        <v>0.20087496558264753</v>
      </c>
      <c r="CV187" s="142">
        <f t="shared" ca="1" si="193"/>
        <v>0.10072002001155343</v>
      </c>
      <c r="CW187" s="142">
        <f t="shared" ca="1" si="194"/>
        <v>0.52412453952731708</v>
      </c>
      <c r="CY187" s="128">
        <f t="shared" si="195"/>
        <v>24212</v>
      </c>
      <c r="CZ187" s="90">
        <f t="shared" si="196"/>
        <v>27721</v>
      </c>
      <c r="DA187" s="90">
        <f t="shared" si="197"/>
        <v>17440</v>
      </c>
      <c r="DB187" s="90">
        <f t="shared" ca="1" si="198"/>
        <v>80587</v>
      </c>
      <c r="DC187" s="90">
        <f t="shared" ca="1" si="199"/>
        <v>149960</v>
      </c>
      <c r="DD187" s="142">
        <f t="shared" ca="1" si="200"/>
        <v>0.16145638837023207</v>
      </c>
      <c r="DE187" s="142">
        <f t="shared" ca="1" si="201"/>
        <v>0.18485596158975726</v>
      </c>
      <c r="DF187" s="142">
        <f t="shared" ca="1" si="202"/>
        <v>0.11629767938116831</v>
      </c>
      <c r="DG187" s="142">
        <f t="shared" ca="1" si="203"/>
        <v>0.53738997065884231</v>
      </c>
      <c r="DI187" s="128">
        <f t="shared" si="204"/>
        <v>11631</v>
      </c>
      <c r="DJ187" s="90">
        <f t="shared" si="205"/>
        <v>13347</v>
      </c>
      <c r="DK187" s="90">
        <f t="shared" si="206"/>
        <v>6296</v>
      </c>
      <c r="DL187" s="90">
        <f t="shared" ca="1" si="207"/>
        <v>11556.5</v>
      </c>
      <c r="DM187" s="90">
        <f t="shared" ca="1" si="208"/>
        <v>42830.5</v>
      </c>
      <c r="DN187" s="142">
        <f t="shared" ca="1" si="209"/>
        <v>0.27155881906585261</v>
      </c>
      <c r="DO187" s="142">
        <f t="shared" ca="1" si="210"/>
        <v>0.31162372608304828</v>
      </c>
      <c r="DP187" s="142">
        <f t="shared" ca="1" si="211"/>
        <v>0.14699805045469932</v>
      </c>
      <c r="DQ187" s="142">
        <f t="shared" ca="1" si="212"/>
        <v>0.26981940439639979</v>
      </c>
      <c r="DS187" s="128">
        <f t="shared" ca="1" si="213"/>
        <v>277839.5</v>
      </c>
      <c r="DT187" s="90">
        <f t="shared" ca="1" si="214"/>
        <v>149960</v>
      </c>
      <c r="DU187" s="90">
        <f t="shared" ca="1" si="215"/>
        <v>42830.5</v>
      </c>
      <c r="DV187" s="90">
        <f t="shared" si="216"/>
        <v>164</v>
      </c>
      <c r="DW187" s="90">
        <f ca="1">_xlfn.IFNA(INDEX(武器升级消耗!$H:$H,MATCH(玩家节奏1!DS187/玩家节奏1!DS$5,武器升级消耗!M:M,1)),0)</f>
        <v>47</v>
      </c>
      <c r="DX187" s="90">
        <f ca="1">_xlfn.IFNA(INDEX(武器升级消耗!$H:$H,MATCH(玩家节奏1!DT187/玩家节奏1!DT$5,武器升级消耗!N:N,1)),0)</f>
        <v>41</v>
      </c>
      <c r="DY187" s="90">
        <f ca="1">_xlfn.IFNA(INDEX(武器升级消耗!$H:$H,MATCH(玩家节奏1!DU187/玩家节奏1!DU$5,武器升级消耗!O:O,1)),0)</f>
        <v>29</v>
      </c>
      <c r="DZ187" s="90">
        <f>_xlfn.IFNA(INDEX(武器升级消耗!$H:$H,MATCH(玩家节奏1!DV187/玩家节奏1!DV$5,武器升级消耗!P:P,1)),0)</f>
        <v>13</v>
      </c>
      <c r="EA187" s="90">
        <f ca="1">_xlfn.IFNA(INDEX(武器升级消耗!$Q:$Q,MATCH(玩家节奏1!DW187,武器升级消耗!$H:$H,0))*2*EA$4,0)</f>
        <v>6.1199999999999992</v>
      </c>
      <c r="EB187" s="90">
        <f ca="1">_xlfn.IFNA(INDEX(武器升级消耗!$Q:$Q,MATCH(玩家节奏1!DX187,武器升级消耗!$H:$H,0))*2*EB$4,0)</f>
        <v>6.75</v>
      </c>
      <c r="EC187" s="90">
        <f ca="1">_xlfn.IFNA(INDEX(武器升级消耗!$Q:$Q,MATCH(玩家节奏1!DY187,武器升级消耗!$H:$H,0))*2*EC$4,1)</f>
        <v>7.26</v>
      </c>
      <c r="ED187" s="90">
        <f>_xlfn.IFNA(INDEX(武器升级消耗!$Q:$Q,MATCH(玩家节奏1!DZ187,武器升级消耗!$H:$H,0))*2*ED$4,0)</f>
        <v>5.0999999999999996</v>
      </c>
    </row>
    <row r="188" spans="1:134" x14ac:dyDescent="0.25">
      <c r="A188" s="123">
        <v>182</v>
      </c>
      <c r="B188" s="123">
        <f>INDEX(关卡对比!$Y:$Y,MATCH(关卡对比!Z188,关卡对比!$AA:$AA,1))</f>
        <v>104</v>
      </c>
      <c r="C188" s="124">
        <f>INDEX(关卡对比!$Y:$Y,MATCH(关卡对比!Z188,关卡对比!$AB:$AB,1))</f>
        <v>79</v>
      </c>
      <c r="D188" s="125">
        <f t="shared" si="230"/>
        <v>1064.5</v>
      </c>
      <c r="E188" s="125">
        <v>3</v>
      </c>
      <c r="F188" s="128">
        <v>5</v>
      </c>
      <c r="G188" s="90">
        <v>1</v>
      </c>
      <c r="H188" s="90">
        <v>1</v>
      </c>
      <c r="J188" s="128">
        <v>182</v>
      </c>
      <c r="K188" s="90">
        <f t="shared" si="225"/>
        <v>5</v>
      </c>
      <c r="L188" s="90">
        <f t="shared" si="226"/>
        <v>1</v>
      </c>
      <c r="M188" s="90">
        <f t="shared" si="227"/>
        <v>1</v>
      </c>
      <c r="N188" s="140">
        <f>INDEX($A:$A,MATCH(SUM($K$7:K188),$D:$D,1))</f>
        <v>158</v>
      </c>
      <c r="O188" s="140">
        <v>0</v>
      </c>
      <c r="P188" s="141">
        <v>0</v>
      </c>
      <c r="Q188" s="126">
        <f>_xlfn.MAXIFS(关卡产出!X:X,关卡产出!$A:$A,玩家节奏1!$N$6,关卡产出!$B:$B,玩家节奏1!$N188)+_xlfn.MAXIFS(关卡产出!X:X,关卡产出!$A:$A,玩家节奏1!$O$6,关卡产出!$B:$B,玩家节奏1!$O188)+_xlfn.MAXIFS(关卡产出!X:X,关卡产出!$A:$A,玩家节奏1!$P$6,关卡产出!$B:$B,玩家节奏1!$P188)</f>
        <v>30100</v>
      </c>
      <c r="R188" s="90">
        <f>_xlfn.MAXIFS(关卡产出!Y:Y,关卡产出!$A:$A,玩家节奏1!$N$6,关卡产出!$B:$B,玩家节奏1!$N188)+_xlfn.MAXIFS(关卡产出!Y:Y,关卡产出!$A:$A,玩家节奏1!$O$6,关卡产出!$B:$B,玩家节奏1!$O188)+_xlfn.MAXIFS(关卡产出!Y:Y,关卡产出!$A:$A,玩家节奏1!$P$6,关卡产出!$B:$B,玩家节奏1!$P188)</f>
        <v>7183200</v>
      </c>
      <c r="S188" s="90">
        <f>_xlfn.MAXIFS(关卡产出!Z:Z,关卡产出!$A:$A,玩家节奏1!$N$6,关卡产出!$B:$B,玩家节奏1!$N188)+_xlfn.MAXIFS(关卡产出!Z:Z,关卡产出!$A:$A,玩家节奏1!$O$6,关卡产出!$B:$B,玩家节奏1!$O188)+_xlfn.MAXIFS(关卡产出!Z:Z,关卡产出!$A:$A,玩家节奏1!$P$6,关卡产出!$B:$B,玩家节奏1!$P188)</f>
        <v>49046</v>
      </c>
      <c r="T188" s="90">
        <f>_xlfn.MAXIFS(关卡产出!AA:AA,关卡产出!$A:$A,玩家节奏1!$N$6,关卡产出!$B:$B,玩家节奏1!$N188)+_xlfn.MAXIFS(关卡产出!AA:AA,关卡产出!$A:$A,玩家节奏1!$O$6,关卡产出!$B:$B,玩家节奏1!$O188)+_xlfn.MAXIFS(关卡产出!AA:AA,关卡产出!$A:$A,玩家节奏1!$P$6,关卡产出!$B:$B,玩家节奏1!$P188)</f>
        <v>24524</v>
      </c>
      <c r="U188" s="90">
        <f>_xlfn.MAXIFS(关卡产出!AB:AB,关卡产出!$A:$A,玩家节奏1!$N$6,关卡产出!$B:$B,玩家节奏1!$N188)+_xlfn.MAXIFS(关卡产出!AB:AB,关卡产出!$A:$A,玩家节奏1!$O$6,关卡产出!$B:$B,玩家节奏1!$O188)+_xlfn.MAXIFS(关卡产出!AB:AB,关卡产出!$A:$A,玩家节奏1!$P$6,关卡产出!$B:$B,玩家节奏1!$P188)</f>
        <v>11784</v>
      </c>
      <c r="V188" s="130">
        <f>_xlfn.MAXIFS(关卡产出!AC:AC,关卡产出!$A:$A,玩家节奏1!$N$6,关卡产出!$B:$B,玩家节奏1!$N188)+_xlfn.MAXIFS(关卡产出!AC:AC,关卡产出!$A:$A,玩家节奏1!$O$6,关卡产出!$B:$B,玩家节奏1!$O188)+_xlfn.MAXIFS(关卡产出!AC:AC,关卡产出!$A:$A,玩家节奏1!$P$6,关卡产出!$B:$B,玩家节奏1!$P188)</f>
        <v>948</v>
      </c>
      <c r="W188" s="126">
        <f>INDEX(关卡产出!C$8:C$207,MATCH(玩家节奏1!$N188,关卡产出!$B$8:$B$207,0))*$K188</f>
        <v>625</v>
      </c>
      <c r="X188" s="126">
        <f>INDEX(关卡产出!D$8:D$207,MATCH(玩家节奏1!$N188,关卡产出!$B$8:$B$207,0))*$K188</f>
        <v>310</v>
      </c>
      <c r="Y188" s="126">
        <f>INDEX(关卡产出!E$8:E$207,MATCH(玩家节奏1!$N188,关卡产出!$B$8:$B$207,0))*$K188</f>
        <v>155</v>
      </c>
      <c r="Z188" s="144">
        <f>INDEX(关卡产出!F$8:F$207,MATCH(玩家节奏1!$N188,关卡产出!$B$8:$B$207,0))*$K188</f>
        <v>8150</v>
      </c>
      <c r="AA188" s="126">
        <f>SUM(W$7:W188)</f>
        <v>56436</v>
      </c>
      <c r="AB188" s="126">
        <f>SUM(X$7:X188)</f>
        <v>28031</v>
      </c>
      <c r="AC188" s="126">
        <f>SUM(Y$7:Y188)</f>
        <v>13502</v>
      </c>
      <c r="AD188" s="126">
        <f>SUM(Z$7:Z188)</f>
        <v>773960</v>
      </c>
      <c r="AE188" s="126">
        <f>INDEX(图鉴!AQ:AQ,MATCH($N188,图鉴!$S:$S,0))*8</f>
        <v>168</v>
      </c>
      <c r="AF188" s="90">
        <f>INDEX(图鉴!AR:AR,MATCH($N188,图鉴!$S:$S,0))*8</f>
        <v>120</v>
      </c>
      <c r="AG188" s="90">
        <f>INDEX(图鉴!AS:AS,MATCH($N188,图鉴!$S:$S,0))*8</f>
        <v>48</v>
      </c>
      <c r="AH188" s="129">
        <f ca="1">INDEX(图鉴!AT:AT,MATCH($N188,图鉴!$S:$S,0))*8</f>
        <v>11760</v>
      </c>
      <c r="AI188" s="128">
        <f>SUM($AE$7:AE188)</f>
        <v>28152</v>
      </c>
      <c r="AJ188" s="90">
        <f>SUM(AF$7:AF188)</f>
        <v>17560</v>
      </c>
      <c r="AK188" s="90">
        <f>SUM(AG$7:AG188)</f>
        <v>6344</v>
      </c>
      <c r="AL188" s="130">
        <f ca="1">SUM(AH$7:AH188)</f>
        <v>1441800</v>
      </c>
      <c r="AM188" s="133">
        <f>IF(M188=0,0,INDEX(关卡产出!$AU$11:$AU$15,MATCH(玩家节奏1!N188,关卡产出!$AW$11:$AW$15,1))*M188)</f>
        <v>12200</v>
      </c>
      <c r="AN188" s="126">
        <f>IF(L188=0,0,$L188*关卡产出!AU$21)</f>
        <v>1000</v>
      </c>
      <c r="AO188" s="90">
        <f>IF(M188=0,0,$L188*关卡产出!AV$21)</f>
        <v>50</v>
      </c>
      <c r="AP188" s="129">
        <f>IF(N188=0,0,$L188*关卡产出!AW$21)</f>
        <v>1</v>
      </c>
      <c r="AQ188" s="138">
        <f>SUM(AN$7:AN188)</f>
        <v>165000</v>
      </c>
      <c r="AR188" s="126">
        <f>SUM(AO$7:AO188)</f>
        <v>8250</v>
      </c>
      <c r="AS188" s="129">
        <f>SUM(AP$7:AP188)</f>
        <v>165</v>
      </c>
      <c r="AT188" s="128">
        <v>500</v>
      </c>
      <c r="AU188" s="129">
        <v>100</v>
      </c>
      <c r="AV188" s="128">
        <f>SUM(AT$7:AT188)</f>
        <v>91000</v>
      </c>
      <c r="AW188" s="90">
        <f>SUM(AU$7:AU188)</f>
        <v>18200</v>
      </c>
      <c r="AY188" s="128">
        <f t="shared" si="167"/>
        <v>30100</v>
      </c>
      <c r="AZ188" s="90">
        <f t="shared" si="168"/>
        <v>8250</v>
      </c>
      <c r="BA188" s="90">
        <f t="shared" si="169"/>
        <v>18200</v>
      </c>
      <c r="BB188" s="90">
        <f t="shared" ca="1" si="217"/>
        <v>16200</v>
      </c>
      <c r="BC188" s="90">
        <f t="shared" ca="1" si="218"/>
        <v>72750</v>
      </c>
      <c r="BD188" s="90"/>
      <c r="BE188" s="90">
        <f t="shared" ca="1" si="170"/>
        <v>72750</v>
      </c>
      <c r="BF188" s="142">
        <f t="shared" ca="1" si="171"/>
        <v>0.41374570446735393</v>
      </c>
      <c r="BG188" s="142">
        <f t="shared" ca="1" si="172"/>
        <v>0.1134020618556701</v>
      </c>
      <c r="BH188" s="142">
        <f t="shared" ca="1" si="228"/>
        <v>0.25017182130584192</v>
      </c>
      <c r="BI188" s="142">
        <f t="shared" ca="1" si="229"/>
        <v>0.22268041237113403</v>
      </c>
      <c r="BJ188" s="143"/>
      <c r="BK188" s="128">
        <f ca="1">INDEX(商城宝箱!$L:$L,MATCH(BC188,商城宝箱!$N:$N,1))</f>
        <v>10</v>
      </c>
      <c r="BL188" s="90">
        <f ca="1">_xlfn.IFNA(INDEX(商城宝箱!T:T,MATCH(玩家节奏1!$BK188,商城宝箱!$L:$L,0)),0)+($BC188-INDEX(商城宝箱!$N:$N,MATCH(玩家节奏1!$BK188,商城宝箱!$L:$L,0)))/$BK$5*INDEX(商城宝箱!E$23:E$42,MATCH(玩家节奏1!$BK188+1,商城宝箱!$C$23:$C$42,0))</f>
        <v>181875</v>
      </c>
      <c r="BM188" s="90">
        <f ca="1">_xlfn.IFNA(INDEX(商城宝箱!U:U,MATCH(玩家节奏1!$BK188,商城宝箱!$L:$L,0)),0)+($BC188-INDEX(商城宝箱!$N:$N,MATCH(玩家节奏1!$BK188,商城宝箱!$L:$L,0)))/$BK$5*INDEX(商城宝箱!F$23:F$42,MATCH(玩家节奏1!$BK188+1,商城宝箱!$C$23:$C$42,0))</f>
        <v>146742.5</v>
      </c>
      <c r="BN188" s="90">
        <f ca="1">_xlfn.IFNA(INDEX(商城宝箱!V:V,MATCH(玩家节奏1!$BK188,商城宝箱!$L:$L,0)),0)+($BC188-INDEX(商城宝箱!$N:$N,MATCH(玩家节奏1!$BK188,商城宝箱!$L:$L,0)))/$BK$5*INDEX(商城宝箱!G$23:G$42,MATCH(玩家节奏1!$BK188+1,商城宝箱!$C$23:$C$42,0))</f>
        <v>81112</v>
      </c>
      <c r="BO188" s="90">
        <f ca="1">_xlfn.IFNA(INDEX(商城宝箱!W:W,MATCH(玩家节奏1!$BK188,商城宝箱!$L:$L,0)),0)+($BC188-INDEX(商城宝箱!$N:$N,MATCH(玩家节奏1!$BK188,商城宝箱!$L:$L,0)))/$BK$5*INDEX(商城宝箱!H$23:H$42,MATCH(玩家节奏1!$BK188+1,商城宝箱!$C$23:$C$42,0))</f>
        <v>11644</v>
      </c>
      <c r="BQ188" s="128">
        <f t="shared" si="219"/>
        <v>7183200</v>
      </c>
      <c r="BR188" s="90">
        <f t="shared" si="220"/>
        <v>773960</v>
      </c>
      <c r="BS188" s="90">
        <f t="shared" ca="1" si="221"/>
        <v>1441800</v>
      </c>
      <c r="BT188" s="90">
        <f t="shared" si="222"/>
        <v>12200</v>
      </c>
      <c r="BU188" s="90">
        <f t="shared" si="223"/>
        <v>165000</v>
      </c>
      <c r="BV188" s="90">
        <f t="shared" si="224"/>
        <v>91000</v>
      </c>
      <c r="BW188" s="90">
        <f t="shared" ca="1" si="175"/>
        <v>181875</v>
      </c>
      <c r="BX188" s="90">
        <f t="shared" ca="1" si="176"/>
        <v>9849035</v>
      </c>
      <c r="BY188" s="142">
        <f t="shared" ca="1" si="177"/>
        <v>0.72933033540849435</v>
      </c>
      <c r="BZ188" s="142">
        <f t="shared" ca="1" si="178"/>
        <v>7.8582317963130394E-2</v>
      </c>
      <c r="CA188" s="142">
        <f t="shared" ca="1" si="179"/>
        <v>0.14638997627686368</v>
      </c>
      <c r="CB188" s="142">
        <f t="shared" ca="1" si="180"/>
        <v>1.2387000350795789E-3</v>
      </c>
      <c r="CC188" s="142">
        <f t="shared" ca="1" si="181"/>
        <v>1.6752910310502502E-2</v>
      </c>
      <c r="CD188" s="142">
        <f t="shared" ca="1" si="182"/>
        <v>9.2394838682165314E-3</v>
      </c>
      <c r="CE188" s="142">
        <f t="shared" ca="1" si="183"/>
        <v>1.8466276137712984E-2</v>
      </c>
      <c r="CG188" s="128">
        <f t="shared" si="184"/>
        <v>158</v>
      </c>
      <c r="CH188" s="90">
        <f ca="1">INDEX(角色升级!$A:$A,MATCH(玩家节奏1!$BX188,角色升级!$J:$J,1))</f>
        <v>722</v>
      </c>
      <c r="CI188" s="90">
        <f ca="1">INDEX(角色升级!$O:$O,MATCH(玩家节奏1!$BX188,角色升级!$J:$J,1))</f>
        <v>42097.286174999994</v>
      </c>
      <c r="CJ188" s="90">
        <f>INDEX(关卡对比!$J:$J,MATCH(玩家节奏1!N188,关卡对比!$A:$A,0))</f>
        <v>65200</v>
      </c>
      <c r="CK188" s="147">
        <f t="shared" ca="1" si="185"/>
        <v>1.5487934240929726</v>
      </c>
      <c r="CL188" s="128">
        <f ca="1">INDEX(角色升级!$P:$P,MATCH(玩家节奏1!$CH188,角色升级!$A:$A,0))</f>
        <v>16200</v>
      </c>
      <c r="CM188" s="90">
        <f ca="1">INDEX(角色升级!Q:Q,MATCH(玩家节奏1!$CH188,角色升级!$A:$A,0))</f>
        <v>1.3</v>
      </c>
      <c r="CO188" s="128">
        <f t="shared" si="186"/>
        <v>49046</v>
      </c>
      <c r="CP188" s="90">
        <f t="shared" si="187"/>
        <v>56436</v>
      </c>
      <c r="CQ188" s="90">
        <f t="shared" si="188"/>
        <v>28152</v>
      </c>
      <c r="CR188" s="90">
        <f t="shared" ca="1" si="189"/>
        <v>146742.5</v>
      </c>
      <c r="CS188" s="90">
        <f t="shared" ca="1" si="190"/>
        <v>280376.5</v>
      </c>
      <c r="CT188" s="142">
        <f t="shared" ca="1" si="191"/>
        <v>0.17492906859169724</v>
      </c>
      <c r="CU188" s="142">
        <f t="shared" ca="1" si="192"/>
        <v>0.20128648442362324</v>
      </c>
      <c r="CV188" s="142">
        <f t="shared" ca="1" si="193"/>
        <v>0.10040784445201363</v>
      </c>
      <c r="CW188" s="142">
        <f t="shared" ca="1" si="194"/>
        <v>0.52337660253266594</v>
      </c>
      <c r="CY188" s="128">
        <f t="shared" si="195"/>
        <v>24524</v>
      </c>
      <c r="CZ188" s="90">
        <f t="shared" si="196"/>
        <v>28031</v>
      </c>
      <c r="DA188" s="90">
        <f t="shared" si="197"/>
        <v>17560</v>
      </c>
      <c r="DB188" s="90">
        <f t="shared" ca="1" si="198"/>
        <v>81112</v>
      </c>
      <c r="DC188" s="90">
        <f t="shared" ca="1" si="199"/>
        <v>151227</v>
      </c>
      <c r="DD188" s="142">
        <f t="shared" ca="1" si="200"/>
        <v>0.16216680883704629</v>
      </c>
      <c r="DE188" s="142">
        <f t="shared" ca="1" si="201"/>
        <v>0.18535711215589809</v>
      </c>
      <c r="DF188" s="142">
        <f t="shared" ca="1" si="202"/>
        <v>0.11611683098917522</v>
      </c>
      <c r="DG188" s="142">
        <f t="shared" ca="1" si="203"/>
        <v>0.53635924801788037</v>
      </c>
      <c r="DI188" s="128">
        <f t="shared" si="204"/>
        <v>11784</v>
      </c>
      <c r="DJ188" s="90">
        <f t="shared" si="205"/>
        <v>13502</v>
      </c>
      <c r="DK188" s="90">
        <f t="shared" si="206"/>
        <v>6344</v>
      </c>
      <c r="DL188" s="90">
        <f t="shared" ca="1" si="207"/>
        <v>11644</v>
      </c>
      <c r="DM188" s="90">
        <f t="shared" ca="1" si="208"/>
        <v>43274</v>
      </c>
      <c r="DN188" s="142">
        <f t="shared" ca="1" si="209"/>
        <v>0.27231131857466379</v>
      </c>
      <c r="DO188" s="142">
        <f t="shared" ca="1" si="210"/>
        <v>0.31201183158478535</v>
      </c>
      <c r="DP188" s="142">
        <f t="shared" ca="1" si="211"/>
        <v>0.14660073023062348</v>
      </c>
      <c r="DQ188" s="142">
        <f t="shared" ca="1" si="212"/>
        <v>0.26907611960992744</v>
      </c>
      <c r="DS188" s="128">
        <f t="shared" ca="1" si="213"/>
        <v>280376.5</v>
      </c>
      <c r="DT188" s="90">
        <f t="shared" ca="1" si="214"/>
        <v>151227</v>
      </c>
      <c r="DU188" s="90">
        <f t="shared" ca="1" si="215"/>
        <v>43274</v>
      </c>
      <c r="DV188" s="90">
        <f t="shared" si="216"/>
        <v>165</v>
      </c>
      <c r="DW188" s="90">
        <f ca="1">_xlfn.IFNA(INDEX(武器升级消耗!$H:$H,MATCH(玩家节奏1!DS188/玩家节奏1!DS$5,武器升级消耗!M:M,1)),0)</f>
        <v>47</v>
      </c>
      <c r="DX188" s="90">
        <f ca="1">_xlfn.IFNA(INDEX(武器升级消耗!$H:$H,MATCH(玩家节奏1!DT188/玩家节奏1!DT$5,武器升级消耗!N:N,1)),0)</f>
        <v>41</v>
      </c>
      <c r="DY188" s="90">
        <f ca="1">_xlfn.IFNA(INDEX(武器升级消耗!$H:$H,MATCH(玩家节奏1!DU188/玩家节奏1!DU$5,武器升级消耗!O:O,1)),0)</f>
        <v>29</v>
      </c>
      <c r="DZ188" s="90">
        <f>_xlfn.IFNA(INDEX(武器升级消耗!$H:$H,MATCH(玩家节奏1!DV188/玩家节奏1!DV$5,武器升级消耗!P:P,1)),0)</f>
        <v>13</v>
      </c>
      <c r="EA188" s="90">
        <f ca="1">_xlfn.IFNA(INDEX(武器升级消耗!$Q:$Q,MATCH(玩家节奏1!DW188,武器升级消耗!$H:$H,0))*2*EA$4,0)</f>
        <v>6.1199999999999992</v>
      </c>
      <c r="EB188" s="90">
        <f ca="1">_xlfn.IFNA(INDEX(武器升级消耗!$Q:$Q,MATCH(玩家节奏1!DX188,武器升级消耗!$H:$H,0))*2*EB$4,0)</f>
        <v>6.75</v>
      </c>
      <c r="EC188" s="90">
        <f ca="1">_xlfn.IFNA(INDEX(武器升级消耗!$Q:$Q,MATCH(玩家节奏1!DY188,武器升级消耗!$H:$H,0))*2*EC$4,1)</f>
        <v>7.26</v>
      </c>
      <c r="ED188" s="90">
        <f>_xlfn.IFNA(INDEX(武器升级消耗!$Q:$Q,MATCH(玩家节奏1!DZ188,武器升级消耗!$H:$H,0))*2*ED$4,0)</f>
        <v>5.0999999999999996</v>
      </c>
    </row>
    <row r="189" spans="1:134" x14ac:dyDescent="0.25">
      <c r="A189" s="123">
        <v>183</v>
      </c>
      <c r="B189" s="123">
        <f>INDEX(关卡对比!$Y:$Y,MATCH(关卡对比!Z189,关卡对比!$AA:$AA,1))</f>
        <v>105</v>
      </c>
      <c r="C189" s="124">
        <f>INDEX(关卡对比!$Y:$Y,MATCH(关卡对比!Z189,关卡对比!$AB:$AB,1))</f>
        <v>79</v>
      </c>
      <c r="D189" s="125">
        <f t="shared" si="230"/>
        <v>1070.5</v>
      </c>
      <c r="E189" s="125">
        <v>3</v>
      </c>
      <c r="F189" s="128">
        <v>5</v>
      </c>
      <c r="G189" s="90">
        <v>1</v>
      </c>
      <c r="H189" s="90">
        <v>1</v>
      </c>
      <c r="J189" s="128">
        <v>183</v>
      </c>
      <c r="K189" s="90">
        <f t="shared" si="225"/>
        <v>5</v>
      </c>
      <c r="L189" s="90">
        <f t="shared" si="226"/>
        <v>1</v>
      </c>
      <c r="M189" s="90">
        <f t="shared" si="227"/>
        <v>1</v>
      </c>
      <c r="N189" s="140">
        <f>INDEX($A:$A,MATCH(SUM($K$7:K189),$D:$D,1))</f>
        <v>159</v>
      </c>
      <c r="O189" s="140">
        <v>0</v>
      </c>
      <c r="P189" s="141">
        <v>0</v>
      </c>
      <c r="Q189" s="126">
        <f>_xlfn.MAXIFS(关卡产出!X:X,关卡产出!$A:$A,玩家节奏1!$N$6,关卡产出!$B:$B,玩家节奏1!$N189)+_xlfn.MAXIFS(关卡产出!X:X,关卡产出!$A:$A,玩家节奏1!$O$6,关卡产出!$B:$B,玩家节奏1!$O189)+_xlfn.MAXIFS(关卡产出!X:X,关卡产出!$A:$A,玩家节奏1!$P$6,关卡产出!$B:$B,玩家节奏1!$P189)</f>
        <v>30300</v>
      </c>
      <c r="R189" s="90">
        <f>_xlfn.MAXIFS(关卡产出!Y:Y,关卡产出!$A:$A,玩家节奏1!$N$6,关卡产出!$B:$B,玩家节奏1!$N189)+_xlfn.MAXIFS(关卡产出!Y:Y,关卡产出!$A:$A,玩家节奏1!$O$6,关卡产出!$B:$B,玩家节奏1!$O189)+_xlfn.MAXIFS(关卡产出!Y:Y,关卡产出!$A:$A,玩家节奏1!$P$6,关卡产出!$B:$B,玩家节奏1!$P189)</f>
        <v>7276300</v>
      </c>
      <c r="S189" s="90">
        <f>_xlfn.MAXIFS(关卡产出!Z:Z,关卡产出!$A:$A,玩家节奏1!$N$6,关卡产出!$B:$B,玩家节奏1!$N189)+_xlfn.MAXIFS(关卡产出!Z:Z,关卡产出!$A:$A,玩家节奏1!$O$6,关卡产出!$B:$B,玩家节奏1!$O189)+_xlfn.MAXIFS(关卡产出!Z:Z,关卡产出!$A:$A,玩家节奏1!$P$6,关卡产出!$B:$B,玩家节奏1!$P189)</f>
        <v>49674</v>
      </c>
      <c r="T189" s="90">
        <f>_xlfn.MAXIFS(关卡产出!AA:AA,关卡产出!$A:$A,玩家节奏1!$N$6,关卡产出!$B:$B,玩家节奏1!$N189)+_xlfn.MAXIFS(关卡产出!AA:AA,关卡产出!$A:$A,玩家节奏1!$O$6,关卡产出!$B:$B,玩家节奏1!$O189)+_xlfn.MAXIFS(关卡产出!AA:AA,关卡产出!$A:$A,玩家节奏1!$P$6,关卡产出!$B:$B,玩家节奏1!$P189)</f>
        <v>24838</v>
      </c>
      <c r="U189" s="90">
        <f>_xlfn.MAXIFS(关卡产出!AB:AB,关卡产出!$A:$A,玩家节奏1!$N$6,关卡产出!$B:$B,玩家节奏1!$N189)+_xlfn.MAXIFS(关卡产出!AB:AB,关卡产出!$A:$A,玩家节奏1!$O$6,关卡产出!$B:$B,玩家节奏1!$O189)+_xlfn.MAXIFS(关卡产出!AB:AB,关卡产出!$A:$A,玩家节奏1!$P$6,关卡产出!$B:$B,玩家节奏1!$P189)</f>
        <v>11938</v>
      </c>
      <c r="V189" s="130">
        <f>_xlfn.MAXIFS(关卡产出!AC:AC,关卡产出!$A:$A,玩家节奏1!$N$6,关卡产出!$B:$B,玩家节奏1!$N189)+_xlfn.MAXIFS(关卡产出!AC:AC,关卡产出!$A:$A,玩家节奏1!$O$6,关卡产出!$B:$B,玩家节奏1!$O189)+_xlfn.MAXIFS(关卡产出!AC:AC,关卡产出!$A:$A,玩家节奏1!$P$6,关卡产出!$B:$B,玩家节奏1!$P189)</f>
        <v>954</v>
      </c>
      <c r="W189" s="126">
        <f>INDEX(关卡产出!C$8:C$207,MATCH(玩家节奏1!$N189,关卡产出!$B$8:$B$207,0))*$K189</f>
        <v>630</v>
      </c>
      <c r="X189" s="126">
        <f>INDEX(关卡产出!D$8:D$207,MATCH(玩家节奏1!$N189,关卡产出!$B$8:$B$207,0))*$K189</f>
        <v>315</v>
      </c>
      <c r="Y189" s="126">
        <f>INDEX(关卡产出!E$8:E$207,MATCH(玩家节奏1!$N189,关卡产出!$B$8:$B$207,0))*$K189</f>
        <v>155</v>
      </c>
      <c r="Z189" s="144">
        <f>INDEX(关卡产出!F$8:F$207,MATCH(玩家节奏1!$N189,关卡产出!$B$8:$B$207,0))*$K189</f>
        <v>8250</v>
      </c>
      <c r="AA189" s="126">
        <f>SUM(W$7:W189)</f>
        <v>57066</v>
      </c>
      <c r="AB189" s="126">
        <f>SUM(X$7:X189)</f>
        <v>28346</v>
      </c>
      <c r="AC189" s="126">
        <f>SUM(Y$7:Y189)</f>
        <v>13657</v>
      </c>
      <c r="AD189" s="126">
        <f>SUM(Z$7:Z189)</f>
        <v>782210</v>
      </c>
      <c r="AE189" s="126">
        <f>INDEX(图鉴!AQ:AQ,MATCH($N189,图鉴!$S:$S,0))*8</f>
        <v>168</v>
      </c>
      <c r="AF189" s="90">
        <f>INDEX(图鉴!AR:AR,MATCH($N189,图鉴!$S:$S,0))*8</f>
        <v>120</v>
      </c>
      <c r="AG189" s="90">
        <f>INDEX(图鉴!AS:AS,MATCH($N189,图鉴!$S:$S,0))*8</f>
        <v>48</v>
      </c>
      <c r="AH189" s="129">
        <f ca="1">INDEX(图鉴!AT:AT,MATCH($N189,图鉴!$S:$S,0))*8</f>
        <v>11760</v>
      </c>
      <c r="AI189" s="128">
        <f>SUM($AE$7:AE189)</f>
        <v>28320</v>
      </c>
      <c r="AJ189" s="90">
        <f>SUM(AF$7:AF189)</f>
        <v>17680</v>
      </c>
      <c r="AK189" s="90">
        <f>SUM(AG$7:AG189)</f>
        <v>6392</v>
      </c>
      <c r="AL189" s="130">
        <f ca="1">SUM(AH$7:AH189)</f>
        <v>1453560</v>
      </c>
      <c r="AM189" s="133">
        <f>IF(M189=0,0,INDEX(关卡产出!$AU$11:$AU$15,MATCH(玩家节奏1!N189,关卡产出!$AW$11:$AW$15,1))*M189)</f>
        <v>12200</v>
      </c>
      <c r="AN189" s="126">
        <f>IF(L189=0,0,$L189*关卡产出!AU$21)</f>
        <v>1000</v>
      </c>
      <c r="AO189" s="90">
        <f>IF(M189=0,0,$L189*关卡产出!AV$21)</f>
        <v>50</v>
      </c>
      <c r="AP189" s="129">
        <f>IF(N189=0,0,$L189*关卡产出!AW$21)</f>
        <v>1</v>
      </c>
      <c r="AQ189" s="138">
        <f>SUM(AN$7:AN189)</f>
        <v>166000</v>
      </c>
      <c r="AR189" s="126">
        <f>SUM(AO$7:AO189)</f>
        <v>8300</v>
      </c>
      <c r="AS189" s="129">
        <f>SUM(AP$7:AP189)</f>
        <v>166</v>
      </c>
      <c r="AT189" s="128">
        <v>500</v>
      </c>
      <c r="AU189" s="129">
        <v>100</v>
      </c>
      <c r="AV189" s="128">
        <f>SUM(AT$7:AT189)</f>
        <v>91500</v>
      </c>
      <c r="AW189" s="90">
        <f>SUM(AU$7:AU189)</f>
        <v>18300</v>
      </c>
      <c r="AY189" s="128">
        <f t="shared" si="167"/>
        <v>30300</v>
      </c>
      <c r="AZ189" s="90">
        <f t="shared" si="168"/>
        <v>8300</v>
      </c>
      <c r="BA189" s="90">
        <f t="shared" si="169"/>
        <v>18300</v>
      </c>
      <c r="BB189" s="90">
        <f t="shared" ca="1" si="217"/>
        <v>16200</v>
      </c>
      <c r="BC189" s="90">
        <f t="shared" ca="1" si="218"/>
        <v>73100</v>
      </c>
      <c r="BD189" s="90"/>
      <c r="BE189" s="90">
        <f t="shared" ca="1" si="170"/>
        <v>73100</v>
      </c>
      <c r="BF189" s="142">
        <f t="shared" ca="1" si="171"/>
        <v>0.41450068399452805</v>
      </c>
      <c r="BG189" s="142">
        <f t="shared" ca="1" si="172"/>
        <v>0.11354309165526676</v>
      </c>
      <c r="BH189" s="142">
        <f t="shared" ca="1" si="228"/>
        <v>0.2503419972640219</v>
      </c>
      <c r="BI189" s="142">
        <f t="shared" ca="1" si="229"/>
        <v>0.22161422708618331</v>
      </c>
      <c r="BJ189" s="143"/>
      <c r="BK189" s="128">
        <f ca="1">INDEX(商城宝箱!$L:$L,MATCH(BC189,商城宝箱!$N:$N,1))</f>
        <v>10</v>
      </c>
      <c r="BL189" s="90">
        <f ca="1">_xlfn.IFNA(INDEX(商城宝箱!T:T,MATCH(玩家节奏1!$BK189,商城宝箱!$L:$L,0)),0)+($BC189-INDEX(商城宝箱!$N:$N,MATCH(玩家节奏1!$BK189,商城宝箱!$L:$L,0)))/$BK$5*INDEX(商城宝箱!E$23:E$42,MATCH(玩家节奏1!$BK189+1,商城宝箱!$C$23:$C$42,0))</f>
        <v>182750</v>
      </c>
      <c r="BM189" s="90">
        <f ca="1">_xlfn.IFNA(INDEX(商城宝箱!U:U,MATCH(玩家节奏1!$BK189,商城宝箱!$L:$L,0)),0)+($BC189-INDEX(商城宝箱!$N:$N,MATCH(玩家节奏1!$BK189,商城宝箱!$L:$L,0)))/$BK$5*INDEX(商城宝箱!F$23:F$42,MATCH(玩家节奏1!$BK189+1,商城宝箱!$C$23:$C$42,0))</f>
        <v>147862.5</v>
      </c>
      <c r="BN189" s="90">
        <f ca="1">_xlfn.IFNA(INDEX(商城宝箱!V:V,MATCH(玩家节奏1!$BK189,商城宝箱!$L:$L,0)),0)+($BC189-INDEX(商城宝箱!$N:$N,MATCH(玩家节奏1!$BK189,商城宝箱!$L:$L,0)))/$BK$5*INDEX(商城宝箱!G$23:G$42,MATCH(玩家节奏1!$BK189+1,商城宝箱!$C$23:$C$42,0))</f>
        <v>81637</v>
      </c>
      <c r="BO189" s="90">
        <f ca="1">_xlfn.IFNA(INDEX(商城宝箱!W:W,MATCH(玩家节奏1!$BK189,商城宝箱!$L:$L,0)),0)+($BC189-INDEX(商城宝箱!$N:$N,MATCH(玩家节奏1!$BK189,商城宝箱!$L:$L,0)))/$BK$5*INDEX(商城宝箱!H$23:H$42,MATCH(玩家节奏1!$BK189+1,商城宝箱!$C$23:$C$42,0))</f>
        <v>11731.5</v>
      </c>
      <c r="BQ189" s="128">
        <f t="shared" si="219"/>
        <v>7276300</v>
      </c>
      <c r="BR189" s="90">
        <f t="shared" si="220"/>
        <v>782210</v>
      </c>
      <c r="BS189" s="90">
        <f t="shared" ca="1" si="221"/>
        <v>1453560</v>
      </c>
      <c r="BT189" s="90">
        <f t="shared" si="222"/>
        <v>12200</v>
      </c>
      <c r="BU189" s="90">
        <f t="shared" si="223"/>
        <v>166000</v>
      </c>
      <c r="BV189" s="90">
        <f t="shared" si="224"/>
        <v>91500</v>
      </c>
      <c r="BW189" s="90">
        <f t="shared" ca="1" si="175"/>
        <v>182750</v>
      </c>
      <c r="BX189" s="90">
        <f t="shared" ca="1" si="176"/>
        <v>9964520</v>
      </c>
      <c r="BY189" s="142">
        <f t="shared" ca="1" si="177"/>
        <v>0.73022082348171313</v>
      </c>
      <c r="BZ189" s="142">
        <f t="shared" ca="1" si="178"/>
        <v>7.8499516283774828E-2</v>
      </c>
      <c r="CA189" s="142">
        <f t="shared" ca="1" si="179"/>
        <v>0.14587355938871116</v>
      </c>
      <c r="CB189" s="142">
        <f t="shared" ca="1" si="180"/>
        <v>1.2243439724141253E-3</v>
      </c>
      <c r="CC189" s="142">
        <f t="shared" ca="1" si="181"/>
        <v>1.6659106509897114E-2</v>
      </c>
      <c r="CD189" s="142">
        <f t="shared" ca="1" si="182"/>
        <v>9.18257979310594E-3</v>
      </c>
      <c r="CE189" s="142">
        <f t="shared" ca="1" si="183"/>
        <v>1.8340070570383723E-2</v>
      </c>
      <c r="CG189" s="128">
        <f t="shared" si="184"/>
        <v>159</v>
      </c>
      <c r="CH189" s="90">
        <f ca="1">INDEX(角色升级!$A:$A,MATCH(玩家节奏1!$BX189,角色升级!$J:$J,1))</f>
        <v>724</v>
      </c>
      <c r="CI189" s="90">
        <f ca="1">INDEX(角色升级!$O:$O,MATCH(玩家节奏1!$BX189,角色升级!$J:$J,1))</f>
        <v>42790.81642499999</v>
      </c>
      <c r="CJ189" s="90">
        <f>INDEX(关卡对比!$J:$J,MATCH(玩家节奏1!N189,关卡对比!$A:$A,0))</f>
        <v>65700</v>
      </c>
      <c r="CK189" s="147">
        <f t="shared" ca="1" si="185"/>
        <v>1.5353761738842546</v>
      </c>
      <c r="CL189" s="128">
        <f ca="1">INDEX(角色升级!$P:$P,MATCH(玩家节奏1!$CH189,角色升级!$A:$A,0))</f>
        <v>16200</v>
      </c>
      <c r="CM189" s="90">
        <f ca="1">INDEX(角色升级!Q:Q,MATCH(玩家节奏1!$CH189,角色升级!$A:$A,0))</f>
        <v>1.3</v>
      </c>
      <c r="CO189" s="128">
        <f t="shared" si="186"/>
        <v>49674</v>
      </c>
      <c r="CP189" s="90">
        <f t="shared" si="187"/>
        <v>57066</v>
      </c>
      <c r="CQ189" s="90">
        <f t="shared" si="188"/>
        <v>28320</v>
      </c>
      <c r="CR189" s="90">
        <f t="shared" ca="1" si="189"/>
        <v>147862.5</v>
      </c>
      <c r="CS189" s="90">
        <f t="shared" ca="1" si="190"/>
        <v>282922.5</v>
      </c>
      <c r="CT189" s="142">
        <f t="shared" ca="1" si="191"/>
        <v>0.17557458314556107</v>
      </c>
      <c r="CU189" s="142">
        <f t="shared" ca="1" si="192"/>
        <v>0.20170187948996635</v>
      </c>
      <c r="CV189" s="142">
        <f t="shared" ca="1" si="193"/>
        <v>0.10009808339739681</v>
      </c>
      <c r="CW189" s="142">
        <f t="shared" ca="1" si="194"/>
        <v>0.52262545396707583</v>
      </c>
      <c r="CY189" s="128">
        <f t="shared" si="195"/>
        <v>24838</v>
      </c>
      <c r="CZ189" s="90">
        <f t="shared" si="196"/>
        <v>28346</v>
      </c>
      <c r="DA189" s="90">
        <f t="shared" si="197"/>
        <v>17680</v>
      </c>
      <c r="DB189" s="90">
        <f t="shared" ca="1" si="198"/>
        <v>81637</v>
      </c>
      <c r="DC189" s="90">
        <f t="shared" ca="1" si="199"/>
        <v>152501</v>
      </c>
      <c r="DD189" s="142">
        <f t="shared" ca="1" si="200"/>
        <v>0.16287106314056957</v>
      </c>
      <c r="DE189" s="142">
        <f t="shared" ca="1" si="201"/>
        <v>0.18587419098891156</v>
      </c>
      <c r="DF189" s="142">
        <f t="shared" ca="1" si="202"/>
        <v>0.11593366600874748</v>
      </c>
      <c r="DG189" s="142">
        <f t="shared" ca="1" si="203"/>
        <v>0.53532107986177135</v>
      </c>
      <c r="DI189" s="128">
        <f t="shared" si="204"/>
        <v>11938</v>
      </c>
      <c r="DJ189" s="90">
        <f t="shared" si="205"/>
        <v>13657</v>
      </c>
      <c r="DK189" s="90">
        <f t="shared" si="206"/>
        <v>6392</v>
      </c>
      <c r="DL189" s="90">
        <f t="shared" ca="1" si="207"/>
        <v>11731.5</v>
      </c>
      <c r="DM189" s="90">
        <f t="shared" ca="1" si="208"/>
        <v>43718.5</v>
      </c>
      <c r="DN189" s="142">
        <f t="shared" ca="1" si="209"/>
        <v>0.27306517835698846</v>
      </c>
      <c r="DO189" s="142">
        <f t="shared" ca="1" si="210"/>
        <v>0.31238491714034106</v>
      </c>
      <c r="DP189" s="142">
        <f t="shared" ca="1" si="211"/>
        <v>0.14620812699429303</v>
      </c>
      <c r="DQ189" s="142">
        <f t="shared" ca="1" si="212"/>
        <v>0.26834177750837745</v>
      </c>
      <c r="DS189" s="128">
        <f t="shared" ca="1" si="213"/>
        <v>282922.5</v>
      </c>
      <c r="DT189" s="90">
        <f t="shared" ca="1" si="214"/>
        <v>152501</v>
      </c>
      <c r="DU189" s="90">
        <f t="shared" ca="1" si="215"/>
        <v>43718.5</v>
      </c>
      <c r="DV189" s="90">
        <f t="shared" si="216"/>
        <v>166</v>
      </c>
      <c r="DW189" s="90">
        <f ca="1">_xlfn.IFNA(INDEX(武器升级消耗!$H:$H,MATCH(玩家节奏1!DS189/玩家节奏1!DS$5,武器升级消耗!M:M,1)),0)</f>
        <v>47</v>
      </c>
      <c r="DX189" s="90">
        <f ca="1">_xlfn.IFNA(INDEX(武器升级消耗!$H:$H,MATCH(玩家节奏1!DT189/玩家节奏1!DT$5,武器升级消耗!N:N,1)),0)</f>
        <v>42</v>
      </c>
      <c r="DY189" s="90">
        <f ca="1">_xlfn.IFNA(INDEX(武器升级消耗!$H:$H,MATCH(玩家节奏1!DU189/玩家节奏1!DU$5,武器升级消耗!O:O,1)),0)</f>
        <v>29</v>
      </c>
      <c r="DZ189" s="90">
        <f>_xlfn.IFNA(INDEX(武器升级消耗!$H:$H,MATCH(玩家节奏1!DV189/玩家节奏1!DV$5,武器升级消耗!P:P,1)),0)</f>
        <v>13</v>
      </c>
      <c r="EA189" s="90">
        <f ca="1">_xlfn.IFNA(INDEX(武器升级消耗!$Q:$Q,MATCH(玩家节奏1!DW189,武器升级消耗!$H:$H,0))*2*EA$4,0)</f>
        <v>6.1199999999999992</v>
      </c>
      <c r="EB189" s="90">
        <f ca="1">_xlfn.IFNA(INDEX(武器升级消耗!$Q:$Q,MATCH(玩家节奏1!DX189,武器升级消耗!$H:$H,0))*2*EB$4,0)</f>
        <v>6.8999999999999995</v>
      </c>
      <c r="EC189" s="90">
        <f ca="1">_xlfn.IFNA(INDEX(武器升级消耗!$Q:$Q,MATCH(玩家节奏1!DY189,武器升级消耗!$H:$H,0))*2*EC$4,1)</f>
        <v>7.26</v>
      </c>
      <c r="ED189" s="90">
        <f>_xlfn.IFNA(INDEX(武器升级消耗!$Q:$Q,MATCH(玩家节奏1!DZ189,武器升级消耗!$H:$H,0))*2*ED$4,0)</f>
        <v>5.0999999999999996</v>
      </c>
    </row>
    <row r="190" spans="1:134" x14ac:dyDescent="0.25">
      <c r="A190" s="123">
        <v>184</v>
      </c>
      <c r="B190" s="123">
        <f>INDEX(关卡对比!$Y:$Y,MATCH(关卡对比!Z190,关卡对比!$AA:$AA,1))</f>
        <v>105</v>
      </c>
      <c r="C190" s="124">
        <f>INDEX(关卡对比!$Y:$Y,MATCH(关卡对比!Z190,关卡对比!$AB:$AB,1))</f>
        <v>79</v>
      </c>
      <c r="D190" s="125">
        <f t="shared" si="230"/>
        <v>1073.5</v>
      </c>
      <c r="E190" s="125">
        <v>3</v>
      </c>
      <c r="F190" s="128">
        <v>5</v>
      </c>
      <c r="G190" s="90">
        <v>1</v>
      </c>
      <c r="H190" s="90">
        <v>1</v>
      </c>
      <c r="J190" s="128">
        <v>184</v>
      </c>
      <c r="K190" s="90">
        <f t="shared" si="225"/>
        <v>5</v>
      </c>
      <c r="L190" s="90">
        <f t="shared" si="226"/>
        <v>1</v>
      </c>
      <c r="M190" s="90">
        <f t="shared" si="227"/>
        <v>1</v>
      </c>
      <c r="N190" s="140">
        <f>INDEX($A:$A,MATCH(SUM($K$7:K190),$D:$D,1))</f>
        <v>160</v>
      </c>
      <c r="O190" s="140">
        <v>0</v>
      </c>
      <c r="P190" s="141">
        <v>0</v>
      </c>
      <c r="Q190" s="126">
        <f>_xlfn.MAXIFS(关卡产出!X:X,关卡产出!$A:$A,玩家节奏1!$N$6,关卡产出!$B:$B,玩家节奏1!$N190)+_xlfn.MAXIFS(关卡产出!X:X,关卡产出!$A:$A,玩家节奏1!$O$6,关卡产出!$B:$B,玩家节奏1!$O190)+_xlfn.MAXIFS(关卡产出!X:X,关卡产出!$A:$A,玩家节奏1!$P$6,关卡产出!$B:$B,玩家节奏1!$P190)</f>
        <v>30500</v>
      </c>
      <c r="R190" s="90">
        <f>_xlfn.MAXIFS(关卡产出!Y:Y,关卡产出!$A:$A,玩家节奏1!$N$6,关卡产出!$B:$B,玩家节奏1!$N190)+_xlfn.MAXIFS(关卡产出!Y:Y,关卡产出!$A:$A,玩家节奏1!$O$6,关卡产出!$B:$B,玩家节奏1!$O190)+_xlfn.MAXIFS(关卡产出!Y:Y,关卡产出!$A:$A,玩家节奏1!$P$6,关卡产出!$B:$B,玩家节奏1!$P190)</f>
        <v>7370000</v>
      </c>
      <c r="S190" s="90">
        <f>_xlfn.MAXIFS(关卡产出!Z:Z,关卡产出!$A:$A,玩家节奏1!$N$6,关卡产出!$B:$B,玩家节奏1!$N190)+_xlfn.MAXIFS(关卡产出!Z:Z,关卡产出!$A:$A,玩家节奏1!$O$6,关卡产出!$B:$B,玩家节奏1!$O190)+_xlfn.MAXIFS(关卡产出!Z:Z,关卡产出!$A:$A,玩家节奏1!$P$6,关卡产出!$B:$B,玩家节奏1!$P190)</f>
        <v>50306</v>
      </c>
      <c r="T190" s="90">
        <f>_xlfn.MAXIFS(关卡产出!AA:AA,关卡产出!$A:$A,玩家节奏1!$N$6,关卡产出!$B:$B,玩家节奏1!$N190)+_xlfn.MAXIFS(关卡产出!AA:AA,关卡产出!$A:$A,玩家节奏1!$O$6,关卡产出!$B:$B,玩家节奏1!$O190)+_xlfn.MAXIFS(关卡产出!AA:AA,关卡产出!$A:$A,玩家节奏1!$P$6,关卡产出!$B:$B,玩家节奏1!$P190)</f>
        <v>25154</v>
      </c>
      <c r="U190" s="90">
        <f>_xlfn.MAXIFS(关卡产出!AB:AB,关卡产出!$A:$A,玩家节奏1!$N$6,关卡产出!$B:$B,玩家节奏1!$N190)+_xlfn.MAXIFS(关卡产出!AB:AB,关卡产出!$A:$A,玩家节奏1!$O$6,关卡产出!$B:$B,玩家节奏1!$O190)+_xlfn.MAXIFS(关卡产出!AB:AB,关卡产出!$A:$A,玩家节奏1!$P$6,关卡产出!$B:$B,玩家节奏1!$P190)</f>
        <v>12093</v>
      </c>
      <c r="V190" s="130">
        <f>_xlfn.MAXIFS(关卡产出!AC:AC,关卡产出!$A:$A,玩家节奏1!$N$6,关卡产出!$B:$B,玩家节奏1!$N190)+_xlfn.MAXIFS(关卡产出!AC:AC,关卡产出!$A:$A,玩家节奏1!$O$6,关卡产出!$B:$B,玩家节奏1!$O190)+_xlfn.MAXIFS(关卡产出!AC:AC,关卡产出!$A:$A,玩家节奏1!$P$6,关卡产出!$B:$B,玩家节奏1!$P190)</f>
        <v>960</v>
      </c>
      <c r="W190" s="126">
        <f>INDEX(关卡产出!C$8:C$207,MATCH(玩家节奏1!$N190,关卡产出!$B$8:$B$207,0))*$K190</f>
        <v>630</v>
      </c>
      <c r="X190" s="126">
        <f>INDEX(关卡产出!D$8:D$207,MATCH(玩家节奏1!$N190,关卡产出!$B$8:$B$207,0))*$K190</f>
        <v>315</v>
      </c>
      <c r="Y190" s="126">
        <f>INDEX(关卡产出!E$8:E$207,MATCH(玩家节奏1!$N190,关卡产出!$B$8:$B$207,0))*$K190</f>
        <v>155</v>
      </c>
      <c r="Z190" s="144">
        <f>INDEX(关卡产出!F$8:F$207,MATCH(玩家节奏1!$N190,关卡产出!$B$8:$B$207,0))*$K190</f>
        <v>8250</v>
      </c>
      <c r="AA190" s="126">
        <f>SUM(W$7:W190)</f>
        <v>57696</v>
      </c>
      <c r="AB190" s="126">
        <f>SUM(X$7:X190)</f>
        <v>28661</v>
      </c>
      <c r="AC190" s="126">
        <f>SUM(Y$7:Y190)</f>
        <v>13812</v>
      </c>
      <c r="AD190" s="126">
        <f>SUM(Z$7:Z190)</f>
        <v>790460</v>
      </c>
      <c r="AE190" s="126">
        <f>INDEX(图鉴!AQ:AQ,MATCH($N190,图鉴!$S:$S,0))*8</f>
        <v>168</v>
      </c>
      <c r="AF190" s="90">
        <f>INDEX(图鉴!AR:AR,MATCH($N190,图鉴!$S:$S,0))*8</f>
        <v>120</v>
      </c>
      <c r="AG190" s="90">
        <f>INDEX(图鉴!AS:AS,MATCH($N190,图鉴!$S:$S,0))*8</f>
        <v>48</v>
      </c>
      <c r="AH190" s="129">
        <f ca="1">INDEX(图鉴!AT:AT,MATCH($N190,图鉴!$S:$S,0))*8</f>
        <v>11760</v>
      </c>
      <c r="AI190" s="128">
        <f>SUM($AE$7:AE190)</f>
        <v>28488</v>
      </c>
      <c r="AJ190" s="90">
        <f>SUM(AF$7:AF190)</f>
        <v>17800</v>
      </c>
      <c r="AK190" s="90">
        <f>SUM(AG$7:AG190)</f>
        <v>6440</v>
      </c>
      <c r="AL190" s="130">
        <f ca="1">SUM(AH$7:AH190)</f>
        <v>1465320</v>
      </c>
      <c r="AM190" s="133">
        <f>IF(M190=0,0,INDEX(关卡产出!$AU$11:$AU$15,MATCH(玩家节奏1!N190,关卡产出!$AW$11:$AW$15,1))*M190)</f>
        <v>12200</v>
      </c>
      <c r="AN190" s="126">
        <f>IF(L190=0,0,$L190*关卡产出!AU$21)</f>
        <v>1000</v>
      </c>
      <c r="AO190" s="90">
        <f>IF(M190=0,0,$L190*关卡产出!AV$21)</f>
        <v>50</v>
      </c>
      <c r="AP190" s="129">
        <f>IF(N190=0,0,$L190*关卡产出!AW$21)</f>
        <v>1</v>
      </c>
      <c r="AQ190" s="138">
        <f>SUM(AN$7:AN190)</f>
        <v>167000</v>
      </c>
      <c r="AR190" s="126">
        <f>SUM(AO$7:AO190)</f>
        <v>8350</v>
      </c>
      <c r="AS190" s="129">
        <f>SUM(AP$7:AP190)</f>
        <v>167</v>
      </c>
      <c r="AT190" s="128">
        <v>500</v>
      </c>
      <c r="AU190" s="129">
        <v>100</v>
      </c>
      <c r="AV190" s="128">
        <f>SUM(AT$7:AT190)</f>
        <v>92000</v>
      </c>
      <c r="AW190" s="90">
        <f>SUM(AU$7:AU190)</f>
        <v>18400</v>
      </c>
      <c r="AY190" s="128">
        <f t="shared" si="167"/>
        <v>30500</v>
      </c>
      <c r="AZ190" s="90">
        <f t="shared" si="168"/>
        <v>8350</v>
      </c>
      <c r="BA190" s="90">
        <f t="shared" si="169"/>
        <v>18400</v>
      </c>
      <c r="BB190" s="90">
        <f t="shared" ca="1" si="217"/>
        <v>16200</v>
      </c>
      <c r="BC190" s="90">
        <f t="shared" ca="1" si="218"/>
        <v>73450</v>
      </c>
      <c r="BD190" s="90"/>
      <c r="BE190" s="90">
        <f t="shared" ca="1" si="170"/>
        <v>73450</v>
      </c>
      <c r="BF190" s="142">
        <f t="shared" ca="1" si="171"/>
        <v>0.41524846834581347</v>
      </c>
      <c r="BG190" s="142">
        <f t="shared" ca="1" si="172"/>
        <v>0.11368277739959155</v>
      </c>
      <c r="BH190" s="142">
        <f t="shared" ca="1" si="228"/>
        <v>0.25051055139550715</v>
      </c>
      <c r="BI190" s="142">
        <f t="shared" ca="1" si="229"/>
        <v>0.22055820285908781</v>
      </c>
      <c r="BJ190" s="143"/>
      <c r="BK190" s="128">
        <f ca="1">INDEX(商城宝箱!$L:$L,MATCH(BC190,商城宝箱!$N:$N,1))</f>
        <v>10</v>
      </c>
      <c r="BL190" s="90">
        <f ca="1">_xlfn.IFNA(INDEX(商城宝箱!T:T,MATCH(玩家节奏1!$BK190,商城宝箱!$L:$L,0)),0)+($BC190-INDEX(商城宝箱!$N:$N,MATCH(玩家节奏1!$BK190,商城宝箱!$L:$L,0)))/$BK$5*INDEX(商城宝箱!E$23:E$42,MATCH(玩家节奏1!$BK190+1,商城宝箱!$C$23:$C$42,0))</f>
        <v>183625</v>
      </c>
      <c r="BM190" s="90">
        <f ca="1">_xlfn.IFNA(INDEX(商城宝箱!U:U,MATCH(玩家节奏1!$BK190,商城宝箱!$L:$L,0)),0)+($BC190-INDEX(商城宝箱!$N:$N,MATCH(玩家节奏1!$BK190,商城宝箱!$L:$L,0)))/$BK$5*INDEX(商城宝箱!F$23:F$42,MATCH(玩家节奏1!$BK190+1,商城宝箱!$C$23:$C$42,0))</f>
        <v>148982.5</v>
      </c>
      <c r="BN190" s="90">
        <f ca="1">_xlfn.IFNA(INDEX(商城宝箱!V:V,MATCH(玩家节奏1!$BK190,商城宝箱!$L:$L,0)),0)+($BC190-INDEX(商城宝箱!$N:$N,MATCH(玩家节奏1!$BK190,商城宝箱!$L:$L,0)))/$BK$5*INDEX(商城宝箱!G$23:G$42,MATCH(玩家节奏1!$BK190+1,商城宝箱!$C$23:$C$42,0))</f>
        <v>82162</v>
      </c>
      <c r="BO190" s="90">
        <f ca="1">_xlfn.IFNA(INDEX(商城宝箱!W:W,MATCH(玩家节奏1!$BK190,商城宝箱!$L:$L,0)),0)+($BC190-INDEX(商城宝箱!$N:$N,MATCH(玩家节奏1!$BK190,商城宝箱!$L:$L,0)))/$BK$5*INDEX(商城宝箱!H$23:H$42,MATCH(玩家节奏1!$BK190+1,商城宝箱!$C$23:$C$42,0))</f>
        <v>11819</v>
      </c>
      <c r="BQ190" s="128">
        <f t="shared" si="219"/>
        <v>7370000</v>
      </c>
      <c r="BR190" s="90">
        <f t="shared" si="220"/>
        <v>790460</v>
      </c>
      <c r="BS190" s="90">
        <f t="shared" ca="1" si="221"/>
        <v>1465320</v>
      </c>
      <c r="BT190" s="90">
        <f t="shared" si="222"/>
        <v>12200</v>
      </c>
      <c r="BU190" s="90">
        <f t="shared" si="223"/>
        <v>167000</v>
      </c>
      <c r="BV190" s="90">
        <f t="shared" si="224"/>
        <v>92000</v>
      </c>
      <c r="BW190" s="90">
        <f t="shared" ca="1" si="175"/>
        <v>183625</v>
      </c>
      <c r="BX190" s="90">
        <f t="shared" ca="1" si="176"/>
        <v>10080605</v>
      </c>
      <c r="BY190" s="142">
        <f t="shared" ca="1" si="177"/>
        <v>0.73110691272994033</v>
      </c>
      <c r="BZ190" s="142">
        <f t="shared" ca="1" si="178"/>
        <v>7.8413944401154498E-2</v>
      </c>
      <c r="CA190" s="142">
        <f t="shared" ca="1" si="179"/>
        <v>0.1453603231155273</v>
      </c>
      <c r="CB190" s="142">
        <f t="shared" ca="1" si="180"/>
        <v>1.2102448216153693E-3</v>
      </c>
      <c r="CC190" s="142">
        <f t="shared" ca="1" si="181"/>
        <v>1.6566466000800546E-2</v>
      </c>
      <c r="CD190" s="142">
        <f t="shared" ca="1" si="182"/>
        <v>9.1264363597224566E-3</v>
      </c>
      <c r="CE190" s="142">
        <f t="shared" ca="1" si="183"/>
        <v>1.8215672571239523E-2</v>
      </c>
      <c r="CG190" s="128">
        <f t="shared" si="184"/>
        <v>160</v>
      </c>
      <c r="CH190" s="90">
        <f ca="1">INDEX(角色升级!$A:$A,MATCH(玩家节奏1!$BX190,角色升级!$J:$J,1))</f>
        <v>727</v>
      </c>
      <c r="CI190" s="90">
        <f ca="1">INDEX(角色升级!$O:$O,MATCH(玩家节奏1!$BX190,角色升级!$J:$J,1))</f>
        <v>43831.111799999991</v>
      </c>
      <c r="CJ190" s="90">
        <f>INDEX(关卡对比!$J:$J,MATCH(玩家节奏1!N190,关卡对比!$A:$A,0))</f>
        <v>66200</v>
      </c>
      <c r="CK190" s="147">
        <f t="shared" ca="1" si="185"/>
        <v>1.5103427059315437</v>
      </c>
      <c r="CL190" s="128">
        <f ca="1">INDEX(角色升级!$P:$P,MATCH(玩家节奏1!$CH190,角色升级!$A:$A,0))</f>
        <v>16200</v>
      </c>
      <c r="CM190" s="90">
        <f ca="1">INDEX(角色升级!Q:Q,MATCH(玩家节奏1!$CH190,角色升级!$A:$A,0))</f>
        <v>1.3</v>
      </c>
      <c r="CO190" s="128">
        <f t="shared" si="186"/>
        <v>50306</v>
      </c>
      <c r="CP190" s="90">
        <f t="shared" si="187"/>
        <v>57696</v>
      </c>
      <c r="CQ190" s="90">
        <f t="shared" si="188"/>
        <v>28488</v>
      </c>
      <c r="CR190" s="90">
        <f t="shared" ca="1" si="189"/>
        <v>148982.5</v>
      </c>
      <c r="CS190" s="90">
        <f t="shared" ca="1" si="190"/>
        <v>285472.5</v>
      </c>
      <c r="CT190" s="142">
        <f t="shared" ca="1" si="191"/>
        <v>0.17622012628186604</v>
      </c>
      <c r="CU190" s="142">
        <f t="shared" ca="1" si="192"/>
        <v>0.20210703307674119</v>
      </c>
      <c r="CV190" s="142">
        <f t="shared" ca="1" si="193"/>
        <v>9.9792449360271124E-2</v>
      </c>
      <c r="CW190" s="142">
        <f t="shared" ca="1" si="194"/>
        <v>0.52188039128112163</v>
      </c>
      <c r="CY190" s="128">
        <f t="shared" si="195"/>
        <v>25154</v>
      </c>
      <c r="CZ190" s="90">
        <f t="shared" si="196"/>
        <v>28661</v>
      </c>
      <c r="DA190" s="90">
        <f t="shared" si="197"/>
        <v>17800</v>
      </c>
      <c r="DB190" s="90">
        <f t="shared" ca="1" si="198"/>
        <v>82162</v>
      </c>
      <c r="DC190" s="90">
        <f t="shared" ca="1" si="199"/>
        <v>153777</v>
      </c>
      <c r="DD190" s="142">
        <f t="shared" ca="1" si="200"/>
        <v>0.16357452674977402</v>
      </c>
      <c r="DE190" s="142">
        <f t="shared" ca="1" si="201"/>
        <v>0.18638027793493175</v>
      </c>
      <c r="DF190" s="142">
        <f t="shared" ca="1" si="202"/>
        <v>0.1157520305377267</v>
      </c>
      <c r="DG190" s="142">
        <f t="shared" ca="1" si="203"/>
        <v>0.5342931647775675</v>
      </c>
      <c r="DI190" s="128">
        <f t="shared" si="204"/>
        <v>12093</v>
      </c>
      <c r="DJ190" s="90">
        <f t="shared" si="205"/>
        <v>13812</v>
      </c>
      <c r="DK190" s="90">
        <f t="shared" si="206"/>
        <v>6440</v>
      </c>
      <c r="DL190" s="90">
        <f t="shared" ca="1" si="207"/>
        <v>11819</v>
      </c>
      <c r="DM190" s="90">
        <f t="shared" ca="1" si="208"/>
        <v>44164</v>
      </c>
      <c r="DN190" s="142">
        <f t="shared" ca="1" si="209"/>
        <v>0.27382030613169095</v>
      </c>
      <c r="DO190" s="142">
        <f t="shared" ca="1" si="210"/>
        <v>0.31274341092292363</v>
      </c>
      <c r="DP190" s="142">
        <f t="shared" ca="1" si="211"/>
        <v>0.14582012498867855</v>
      </c>
      <c r="DQ190" s="142">
        <f t="shared" ca="1" si="212"/>
        <v>0.26761615795670685</v>
      </c>
      <c r="DS190" s="128">
        <f t="shared" ca="1" si="213"/>
        <v>285472.5</v>
      </c>
      <c r="DT190" s="90">
        <f t="shared" ca="1" si="214"/>
        <v>153777</v>
      </c>
      <c r="DU190" s="90">
        <f t="shared" ca="1" si="215"/>
        <v>44164</v>
      </c>
      <c r="DV190" s="90">
        <f t="shared" si="216"/>
        <v>167</v>
      </c>
      <c r="DW190" s="90">
        <f ca="1">_xlfn.IFNA(INDEX(武器升级消耗!$H:$H,MATCH(玩家节奏1!DS190/玩家节奏1!DS$5,武器升级消耗!M:M,1)),0)</f>
        <v>47</v>
      </c>
      <c r="DX190" s="90">
        <f ca="1">_xlfn.IFNA(INDEX(武器升级消耗!$H:$H,MATCH(玩家节奏1!DT190/玩家节奏1!DT$5,武器升级消耗!N:N,1)),0)</f>
        <v>42</v>
      </c>
      <c r="DY190" s="90">
        <f ca="1">_xlfn.IFNA(INDEX(武器升级消耗!$H:$H,MATCH(玩家节奏1!DU190/玩家节奏1!DU$5,武器升级消耗!O:O,1)),0)</f>
        <v>29</v>
      </c>
      <c r="DZ190" s="90">
        <f>_xlfn.IFNA(INDEX(武器升级消耗!$H:$H,MATCH(玩家节奏1!DV190/玩家节奏1!DV$5,武器升级消耗!P:P,1)),0)</f>
        <v>13</v>
      </c>
      <c r="EA190" s="90">
        <f ca="1">_xlfn.IFNA(INDEX(武器升级消耗!$Q:$Q,MATCH(玩家节奏1!DW190,武器升级消耗!$H:$H,0))*2*EA$4,0)</f>
        <v>6.1199999999999992</v>
      </c>
      <c r="EB190" s="90">
        <f ca="1">_xlfn.IFNA(INDEX(武器升级消耗!$Q:$Q,MATCH(玩家节奏1!DX190,武器升级消耗!$H:$H,0))*2*EB$4,0)</f>
        <v>6.8999999999999995</v>
      </c>
      <c r="EC190" s="90">
        <f ca="1">_xlfn.IFNA(INDEX(武器升级消耗!$Q:$Q,MATCH(玩家节奏1!DY190,武器升级消耗!$H:$H,0))*2*EC$4,1)</f>
        <v>7.26</v>
      </c>
      <c r="ED190" s="90">
        <f>_xlfn.IFNA(INDEX(武器升级消耗!$Q:$Q,MATCH(玩家节奏1!DZ190,武器升级消耗!$H:$H,0))*2*ED$4,0)</f>
        <v>5.0999999999999996</v>
      </c>
    </row>
    <row r="191" spans="1:134" x14ac:dyDescent="0.25">
      <c r="A191" s="123">
        <v>185</v>
      </c>
      <c r="B191" s="123">
        <f>INDEX(关卡对比!$Y:$Y,MATCH(关卡对比!Z191,关卡对比!$AA:$AA,1))</f>
        <v>106</v>
      </c>
      <c r="C191" s="124">
        <f>INDEX(关卡对比!$Y:$Y,MATCH(关卡对比!Z191,关卡对比!$AB:$AB,1))</f>
        <v>80</v>
      </c>
      <c r="D191" s="125">
        <f t="shared" si="230"/>
        <v>1082.5</v>
      </c>
      <c r="E191" s="125">
        <v>3</v>
      </c>
      <c r="F191" s="128">
        <v>5</v>
      </c>
      <c r="G191" s="90">
        <v>1</v>
      </c>
      <c r="H191" s="90">
        <v>1</v>
      </c>
      <c r="J191" s="128">
        <v>185</v>
      </c>
      <c r="K191" s="90">
        <f t="shared" si="225"/>
        <v>5</v>
      </c>
      <c r="L191" s="90">
        <f t="shared" si="226"/>
        <v>1</v>
      </c>
      <c r="M191" s="90">
        <f t="shared" si="227"/>
        <v>1</v>
      </c>
      <c r="N191" s="140">
        <f>INDEX($A:$A,MATCH(SUM($K$7:K191),$D:$D,1))</f>
        <v>160</v>
      </c>
      <c r="O191" s="140">
        <v>0</v>
      </c>
      <c r="P191" s="141">
        <v>0</v>
      </c>
      <c r="Q191" s="126">
        <f>_xlfn.MAXIFS(关卡产出!X:X,关卡产出!$A:$A,玩家节奏1!$N$6,关卡产出!$B:$B,玩家节奏1!$N191)+_xlfn.MAXIFS(关卡产出!X:X,关卡产出!$A:$A,玩家节奏1!$O$6,关卡产出!$B:$B,玩家节奏1!$O191)+_xlfn.MAXIFS(关卡产出!X:X,关卡产出!$A:$A,玩家节奏1!$P$6,关卡产出!$B:$B,玩家节奏1!$P191)</f>
        <v>30500</v>
      </c>
      <c r="R191" s="90">
        <f>_xlfn.MAXIFS(关卡产出!Y:Y,关卡产出!$A:$A,玩家节奏1!$N$6,关卡产出!$B:$B,玩家节奏1!$N191)+_xlfn.MAXIFS(关卡产出!Y:Y,关卡产出!$A:$A,玩家节奏1!$O$6,关卡产出!$B:$B,玩家节奏1!$O191)+_xlfn.MAXIFS(关卡产出!Y:Y,关卡产出!$A:$A,玩家节奏1!$P$6,关卡产出!$B:$B,玩家节奏1!$P191)</f>
        <v>7370000</v>
      </c>
      <c r="S191" s="90">
        <f>_xlfn.MAXIFS(关卡产出!Z:Z,关卡产出!$A:$A,玩家节奏1!$N$6,关卡产出!$B:$B,玩家节奏1!$N191)+_xlfn.MAXIFS(关卡产出!Z:Z,关卡产出!$A:$A,玩家节奏1!$O$6,关卡产出!$B:$B,玩家节奏1!$O191)+_xlfn.MAXIFS(关卡产出!Z:Z,关卡产出!$A:$A,玩家节奏1!$P$6,关卡产出!$B:$B,玩家节奏1!$P191)</f>
        <v>50306</v>
      </c>
      <c r="T191" s="90">
        <f>_xlfn.MAXIFS(关卡产出!AA:AA,关卡产出!$A:$A,玩家节奏1!$N$6,关卡产出!$B:$B,玩家节奏1!$N191)+_xlfn.MAXIFS(关卡产出!AA:AA,关卡产出!$A:$A,玩家节奏1!$O$6,关卡产出!$B:$B,玩家节奏1!$O191)+_xlfn.MAXIFS(关卡产出!AA:AA,关卡产出!$A:$A,玩家节奏1!$P$6,关卡产出!$B:$B,玩家节奏1!$P191)</f>
        <v>25154</v>
      </c>
      <c r="U191" s="90">
        <f>_xlfn.MAXIFS(关卡产出!AB:AB,关卡产出!$A:$A,玩家节奏1!$N$6,关卡产出!$B:$B,玩家节奏1!$N191)+_xlfn.MAXIFS(关卡产出!AB:AB,关卡产出!$A:$A,玩家节奏1!$O$6,关卡产出!$B:$B,玩家节奏1!$O191)+_xlfn.MAXIFS(关卡产出!AB:AB,关卡产出!$A:$A,玩家节奏1!$P$6,关卡产出!$B:$B,玩家节奏1!$P191)</f>
        <v>12093</v>
      </c>
      <c r="V191" s="130">
        <f>_xlfn.MAXIFS(关卡产出!AC:AC,关卡产出!$A:$A,玩家节奏1!$N$6,关卡产出!$B:$B,玩家节奏1!$N191)+_xlfn.MAXIFS(关卡产出!AC:AC,关卡产出!$A:$A,玩家节奏1!$O$6,关卡产出!$B:$B,玩家节奏1!$O191)+_xlfn.MAXIFS(关卡产出!AC:AC,关卡产出!$A:$A,玩家节奏1!$P$6,关卡产出!$B:$B,玩家节奏1!$P191)</f>
        <v>960</v>
      </c>
      <c r="W191" s="126">
        <f>INDEX(关卡产出!C$8:C$207,MATCH(玩家节奏1!$N191,关卡产出!$B$8:$B$207,0))*$K191</f>
        <v>630</v>
      </c>
      <c r="X191" s="126">
        <f>INDEX(关卡产出!D$8:D$207,MATCH(玩家节奏1!$N191,关卡产出!$B$8:$B$207,0))*$K191</f>
        <v>315</v>
      </c>
      <c r="Y191" s="126">
        <f>INDEX(关卡产出!E$8:E$207,MATCH(玩家节奏1!$N191,关卡产出!$B$8:$B$207,0))*$K191</f>
        <v>155</v>
      </c>
      <c r="Z191" s="144">
        <f>INDEX(关卡产出!F$8:F$207,MATCH(玩家节奏1!$N191,关卡产出!$B$8:$B$207,0))*$K191</f>
        <v>8250</v>
      </c>
      <c r="AA191" s="126">
        <f>SUM(W$7:W191)</f>
        <v>58326</v>
      </c>
      <c r="AB191" s="126">
        <f>SUM(X$7:X191)</f>
        <v>28976</v>
      </c>
      <c r="AC191" s="126">
        <f>SUM(Y$7:Y191)</f>
        <v>13967</v>
      </c>
      <c r="AD191" s="126">
        <f>SUM(Z$7:Z191)</f>
        <v>798710</v>
      </c>
      <c r="AE191" s="126">
        <f>INDEX(图鉴!AQ:AQ,MATCH($N191,图鉴!$S:$S,0))*8</f>
        <v>168</v>
      </c>
      <c r="AF191" s="90">
        <f>INDEX(图鉴!AR:AR,MATCH($N191,图鉴!$S:$S,0))*8</f>
        <v>120</v>
      </c>
      <c r="AG191" s="90">
        <f>INDEX(图鉴!AS:AS,MATCH($N191,图鉴!$S:$S,0))*8</f>
        <v>48</v>
      </c>
      <c r="AH191" s="129">
        <f ca="1">INDEX(图鉴!AT:AT,MATCH($N191,图鉴!$S:$S,0))*8</f>
        <v>11760</v>
      </c>
      <c r="AI191" s="128">
        <f>SUM($AE$7:AE191)</f>
        <v>28656</v>
      </c>
      <c r="AJ191" s="90">
        <f>SUM(AF$7:AF191)</f>
        <v>17920</v>
      </c>
      <c r="AK191" s="90">
        <f>SUM(AG$7:AG191)</f>
        <v>6488</v>
      </c>
      <c r="AL191" s="130">
        <f ca="1">SUM(AH$7:AH191)</f>
        <v>1477080</v>
      </c>
      <c r="AM191" s="133">
        <f>IF(M191=0,0,INDEX(关卡产出!$AU$11:$AU$15,MATCH(玩家节奏1!N191,关卡产出!$AW$11:$AW$15,1))*M191)</f>
        <v>12200</v>
      </c>
      <c r="AN191" s="126">
        <f>IF(L191=0,0,$L191*关卡产出!AU$21)</f>
        <v>1000</v>
      </c>
      <c r="AO191" s="90">
        <f>IF(M191=0,0,$L191*关卡产出!AV$21)</f>
        <v>50</v>
      </c>
      <c r="AP191" s="129">
        <f>IF(N191=0,0,$L191*关卡产出!AW$21)</f>
        <v>1</v>
      </c>
      <c r="AQ191" s="138">
        <f>SUM(AN$7:AN191)</f>
        <v>168000</v>
      </c>
      <c r="AR191" s="126">
        <f>SUM(AO$7:AO191)</f>
        <v>8400</v>
      </c>
      <c r="AS191" s="129">
        <f>SUM(AP$7:AP191)</f>
        <v>168</v>
      </c>
      <c r="AT191" s="128">
        <v>500</v>
      </c>
      <c r="AU191" s="129">
        <v>100</v>
      </c>
      <c r="AV191" s="128">
        <f>SUM(AT$7:AT191)</f>
        <v>92500</v>
      </c>
      <c r="AW191" s="90">
        <f>SUM(AU$7:AU191)</f>
        <v>18500</v>
      </c>
      <c r="AY191" s="128">
        <f t="shared" si="167"/>
        <v>30500</v>
      </c>
      <c r="AZ191" s="90">
        <f t="shared" si="168"/>
        <v>8400</v>
      </c>
      <c r="BA191" s="90">
        <f t="shared" si="169"/>
        <v>18500</v>
      </c>
      <c r="BB191" s="90">
        <f t="shared" ca="1" si="217"/>
        <v>16200</v>
      </c>
      <c r="BC191" s="90">
        <f t="shared" ca="1" si="218"/>
        <v>73600</v>
      </c>
      <c r="BD191" s="90"/>
      <c r="BE191" s="90">
        <f t="shared" ca="1" si="170"/>
        <v>73600</v>
      </c>
      <c r="BF191" s="142">
        <f t="shared" ca="1" si="171"/>
        <v>0.41440217391304346</v>
      </c>
      <c r="BG191" s="142">
        <f t="shared" ca="1" si="172"/>
        <v>0.11413043478260869</v>
      </c>
      <c r="BH191" s="142">
        <f t="shared" ca="1" si="228"/>
        <v>0.25135869565217389</v>
      </c>
      <c r="BI191" s="142">
        <f t="shared" ca="1" si="229"/>
        <v>0.22010869565217392</v>
      </c>
      <c r="BJ191" s="143"/>
      <c r="BK191" s="128">
        <f ca="1">INDEX(商城宝箱!$L:$L,MATCH(BC191,商城宝箱!$N:$N,1))</f>
        <v>10</v>
      </c>
      <c r="BL191" s="90">
        <f ca="1">_xlfn.IFNA(INDEX(商城宝箱!T:T,MATCH(玩家节奏1!$BK191,商城宝箱!$L:$L,0)),0)+($BC191-INDEX(商城宝箱!$N:$N,MATCH(玩家节奏1!$BK191,商城宝箱!$L:$L,0)))/$BK$5*INDEX(商城宝箱!E$23:E$42,MATCH(玩家节奏1!$BK191+1,商城宝箱!$C$23:$C$42,0))</f>
        <v>184000</v>
      </c>
      <c r="BM191" s="90">
        <f ca="1">_xlfn.IFNA(INDEX(商城宝箱!U:U,MATCH(玩家节奏1!$BK191,商城宝箱!$L:$L,0)),0)+($BC191-INDEX(商城宝箱!$N:$N,MATCH(玩家节奏1!$BK191,商城宝箱!$L:$L,0)))/$BK$5*INDEX(商城宝箱!F$23:F$42,MATCH(玩家节奏1!$BK191+1,商城宝箱!$C$23:$C$42,0))</f>
        <v>149462.5</v>
      </c>
      <c r="BN191" s="90">
        <f ca="1">_xlfn.IFNA(INDEX(商城宝箱!V:V,MATCH(玩家节奏1!$BK191,商城宝箱!$L:$L,0)),0)+($BC191-INDEX(商城宝箱!$N:$N,MATCH(玩家节奏1!$BK191,商城宝箱!$L:$L,0)))/$BK$5*INDEX(商城宝箱!G$23:G$42,MATCH(玩家节奏1!$BK191+1,商城宝箱!$C$23:$C$42,0))</f>
        <v>82387</v>
      </c>
      <c r="BO191" s="90">
        <f ca="1">_xlfn.IFNA(INDEX(商城宝箱!W:W,MATCH(玩家节奏1!$BK191,商城宝箱!$L:$L,0)),0)+($BC191-INDEX(商城宝箱!$N:$N,MATCH(玩家节奏1!$BK191,商城宝箱!$L:$L,0)))/$BK$5*INDEX(商城宝箱!H$23:H$42,MATCH(玩家节奏1!$BK191+1,商城宝箱!$C$23:$C$42,0))</f>
        <v>11856.5</v>
      </c>
      <c r="BQ191" s="128">
        <f t="shared" si="219"/>
        <v>7370000</v>
      </c>
      <c r="BR191" s="90">
        <f t="shared" si="220"/>
        <v>798710</v>
      </c>
      <c r="BS191" s="90">
        <f t="shared" ca="1" si="221"/>
        <v>1477080</v>
      </c>
      <c r="BT191" s="90">
        <f t="shared" si="222"/>
        <v>12200</v>
      </c>
      <c r="BU191" s="90">
        <f t="shared" si="223"/>
        <v>168000</v>
      </c>
      <c r="BV191" s="90">
        <f t="shared" si="224"/>
        <v>92500</v>
      </c>
      <c r="BW191" s="90">
        <f t="shared" ca="1" si="175"/>
        <v>184000</v>
      </c>
      <c r="BX191" s="90">
        <f t="shared" ca="1" si="176"/>
        <v>10102490</v>
      </c>
      <c r="BY191" s="142">
        <f t="shared" ca="1" si="177"/>
        <v>0.72952311756804511</v>
      </c>
      <c r="BZ191" s="142">
        <f t="shared" ca="1" si="178"/>
        <v>7.9060706815844414E-2</v>
      </c>
      <c r="CA191" s="142">
        <f t="shared" ca="1" si="179"/>
        <v>0.14620949884632403</v>
      </c>
      <c r="CB191" s="142">
        <f t="shared" ca="1" si="180"/>
        <v>1.2076230711438468E-3</v>
      </c>
      <c r="CC191" s="142">
        <f t="shared" ca="1" si="181"/>
        <v>1.6629563602636576E-2</v>
      </c>
      <c r="CD191" s="142">
        <f t="shared" ca="1" si="182"/>
        <v>9.1561585312135915E-3</v>
      </c>
      <c r="CE191" s="142">
        <f t="shared" ca="1" si="183"/>
        <v>1.8213331564792441E-2</v>
      </c>
      <c r="CG191" s="128">
        <f t="shared" si="184"/>
        <v>160</v>
      </c>
      <c r="CH191" s="90">
        <f ca="1">INDEX(角色升级!$A:$A,MATCH(玩家节奏1!$BX191,角色升级!$J:$J,1))</f>
        <v>727</v>
      </c>
      <c r="CI191" s="90">
        <f ca="1">INDEX(角色升级!$O:$O,MATCH(玩家节奏1!$BX191,角色升级!$J:$J,1))</f>
        <v>43831.111799999991</v>
      </c>
      <c r="CJ191" s="90">
        <f>INDEX(关卡对比!$J:$J,MATCH(玩家节奏1!N191,关卡对比!$A:$A,0))</f>
        <v>66200</v>
      </c>
      <c r="CK191" s="147">
        <f t="shared" ca="1" si="185"/>
        <v>1.5103427059315437</v>
      </c>
      <c r="CL191" s="128">
        <f ca="1">INDEX(角色升级!$P:$P,MATCH(玩家节奏1!$CH191,角色升级!$A:$A,0))</f>
        <v>16200</v>
      </c>
      <c r="CM191" s="90">
        <f ca="1">INDEX(角色升级!Q:Q,MATCH(玩家节奏1!$CH191,角色升级!$A:$A,0))</f>
        <v>1.3</v>
      </c>
      <c r="CO191" s="128">
        <f t="shared" si="186"/>
        <v>50306</v>
      </c>
      <c r="CP191" s="90">
        <f t="shared" si="187"/>
        <v>58326</v>
      </c>
      <c r="CQ191" s="90">
        <f t="shared" si="188"/>
        <v>28656</v>
      </c>
      <c r="CR191" s="90">
        <f t="shared" ca="1" si="189"/>
        <v>149462.5</v>
      </c>
      <c r="CS191" s="90">
        <f t="shared" ca="1" si="190"/>
        <v>286750.5</v>
      </c>
      <c r="CT191" s="142">
        <f t="shared" ca="1" si="191"/>
        <v>0.17543474204927281</v>
      </c>
      <c r="CU191" s="142">
        <f t="shared" ca="1" si="192"/>
        <v>0.20340330705613416</v>
      </c>
      <c r="CV191" s="142">
        <f t="shared" ca="1" si="193"/>
        <v>9.9933565939728089E-2</v>
      </c>
      <c r="CW191" s="142">
        <f t="shared" ca="1" si="194"/>
        <v>0.5212283849548649</v>
      </c>
      <c r="CY191" s="128">
        <f t="shared" si="195"/>
        <v>25154</v>
      </c>
      <c r="CZ191" s="90">
        <f t="shared" si="196"/>
        <v>28976</v>
      </c>
      <c r="DA191" s="90">
        <f t="shared" si="197"/>
        <v>17920</v>
      </c>
      <c r="DB191" s="90">
        <f t="shared" ca="1" si="198"/>
        <v>82387</v>
      </c>
      <c r="DC191" s="90">
        <f t="shared" ca="1" si="199"/>
        <v>154437</v>
      </c>
      <c r="DD191" s="142">
        <f t="shared" ca="1" si="200"/>
        <v>0.16287547673161223</v>
      </c>
      <c r="DE191" s="142">
        <f t="shared" ca="1" si="201"/>
        <v>0.18762343220860286</v>
      </c>
      <c r="DF191" s="142">
        <f t="shared" ca="1" si="202"/>
        <v>0.11603437000200729</v>
      </c>
      <c r="DG191" s="142">
        <f t="shared" ca="1" si="203"/>
        <v>0.53346672105777759</v>
      </c>
      <c r="DI191" s="128">
        <f t="shared" si="204"/>
        <v>12093</v>
      </c>
      <c r="DJ191" s="90">
        <f t="shared" si="205"/>
        <v>13967</v>
      </c>
      <c r="DK191" s="90">
        <f t="shared" si="206"/>
        <v>6488</v>
      </c>
      <c r="DL191" s="90">
        <f t="shared" ca="1" si="207"/>
        <v>11856.5</v>
      </c>
      <c r="DM191" s="90">
        <f t="shared" ca="1" si="208"/>
        <v>44404.5</v>
      </c>
      <c r="DN191" s="142">
        <f t="shared" ca="1" si="209"/>
        <v>0.27233726311522483</v>
      </c>
      <c r="DO191" s="142">
        <f t="shared" ca="1" si="210"/>
        <v>0.31454019299845737</v>
      </c>
      <c r="DP191" s="142">
        <f t="shared" ca="1" si="211"/>
        <v>0.14611131754664505</v>
      </c>
      <c r="DQ191" s="142">
        <f t="shared" ca="1" si="212"/>
        <v>0.26701122633967278</v>
      </c>
      <c r="DS191" s="128">
        <f t="shared" ca="1" si="213"/>
        <v>286750.5</v>
      </c>
      <c r="DT191" s="90">
        <f t="shared" ca="1" si="214"/>
        <v>154437</v>
      </c>
      <c r="DU191" s="90">
        <f t="shared" ca="1" si="215"/>
        <v>44404.5</v>
      </c>
      <c r="DV191" s="90">
        <f t="shared" si="216"/>
        <v>168</v>
      </c>
      <c r="DW191" s="90">
        <f ca="1">_xlfn.IFNA(INDEX(武器升级消耗!$H:$H,MATCH(玩家节奏1!DS191/玩家节奏1!DS$5,武器升级消耗!M:M,1)),0)</f>
        <v>47</v>
      </c>
      <c r="DX191" s="90">
        <f ca="1">_xlfn.IFNA(INDEX(武器升级消耗!$H:$H,MATCH(玩家节奏1!DT191/玩家节奏1!DT$5,武器升级消耗!N:N,1)),0)</f>
        <v>42</v>
      </c>
      <c r="DY191" s="90">
        <f ca="1">_xlfn.IFNA(INDEX(武器升级消耗!$H:$H,MATCH(玩家节奏1!DU191/玩家节奏1!DU$5,武器升级消耗!O:O,1)),0)</f>
        <v>29</v>
      </c>
      <c r="DZ191" s="90">
        <f>_xlfn.IFNA(INDEX(武器升级消耗!$H:$H,MATCH(玩家节奏1!DV191/玩家节奏1!DV$5,武器升级消耗!P:P,1)),0)</f>
        <v>13</v>
      </c>
      <c r="EA191" s="90">
        <f ca="1">_xlfn.IFNA(INDEX(武器升级消耗!$Q:$Q,MATCH(玩家节奏1!DW191,武器升级消耗!$H:$H,0))*2*EA$4,0)</f>
        <v>6.1199999999999992</v>
      </c>
      <c r="EB191" s="90">
        <f ca="1">_xlfn.IFNA(INDEX(武器升级消耗!$Q:$Q,MATCH(玩家节奏1!DX191,武器升级消耗!$H:$H,0))*2*EB$4,0)</f>
        <v>6.8999999999999995</v>
      </c>
      <c r="EC191" s="90">
        <f ca="1">_xlfn.IFNA(INDEX(武器升级消耗!$Q:$Q,MATCH(玩家节奏1!DY191,武器升级消耗!$H:$H,0))*2*EC$4,1)</f>
        <v>7.26</v>
      </c>
      <c r="ED191" s="90">
        <f>_xlfn.IFNA(INDEX(武器升级消耗!$Q:$Q,MATCH(玩家节奏1!DZ191,武器升级消耗!$H:$H,0))*2*ED$4,0)</f>
        <v>5.0999999999999996</v>
      </c>
    </row>
    <row r="192" spans="1:134" x14ac:dyDescent="0.25">
      <c r="A192" s="123">
        <v>186</v>
      </c>
      <c r="B192" s="123">
        <f>INDEX(关卡对比!$Y:$Y,MATCH(关卡对比!Z192,关卡对比!$AA:$AA,1))</f>
        <v>106</v>
      </c>
      <c r="C192" s="124">
        <f>INDEX(关卡对比!$Y:$Y,MATCH(关卡对比!Z192,关卡对比!$AB:$AB,1))</f>
        <v>80</v>
      </c>
      <c r="D192" s="125">
        <f t="shared" si="230"/>
        <v>1085.5</v>
      </c>
      <c r="E192" s="125">
        <v>3</v>
      </c>
      <c r="F192" s="128">
        <v>5</v>
      </c>
      <c r="G192" s="90">
        <v>1</v>
      </c>
      <c r="H192" s="90">
        <v>1</v>
      </c>
      <c r="J192" s="128">
        <v>186</v>
      </c>
      <c r="K192" s="90">
        <f t="shared" si="225"/>
        <v>5</v>
      </c>
      <c r="L192" s="90">
        <f t="shared" si="226"/>
        <v>1</v>
      </c>
      <c r="M192" s="90">
        <f t="shared" si="227"/>
        <v>1</v>
      </c>
      <c r="N192" s="140">
        <f>INDEX($A:$A,MATCH(SUM($K$7:K192),$D:$D,1))</f>
        <v>162</v>
      </c>
      <c r="O192" s="140">
        <v>0</v>
      </c>
      <c r="P192" s="141">
        <v>0</v>
      </c>
      <c r="Q192" s="126">
        <f>_xlfn.MAXIFS(关卡产出!X:X,关卡产出!$A:$A,玩家节奏1!$N$6,关卡产出!$B:$B,玩家节奏1!$N192)+_xlfn.MAXIFS(关卡产出!X:X,关卡产出!$A:$A,玩家节奏1!$O$6,关卡产出!$B:$B,玩家节奏1!$O192)+_xlfn.MAXIFS(关卡产出!X:X,关卡产出!$A:$A,玩家节奏1!$P$6,关卡产出!$B:$B,玩家节奏1!$P192)</f>
        <v>30900</v>
      </c>
      <c r="R192" s="90">
        <f>_xlfn.MAXIFS(关卡产出!Y:Y,关卡产出!$A:$A,玩家节奏1!$N$6,关卡产出!$B:$B,玩家节奏1!$N192)+_xlfn.MAXIFS(关卡产出!Y:Y,关卡产出!$A:$A,玩家节奏1!$O$6,关卡产出!$B:$B,玩家节奏1!$O192)+_xlfn.MAXIFS(关卡产出!Y:Y,关卡产出!$A:$A,玩家节奏1!$P$6,关卡产出!$B:$B,玩家节奏1!$P192)</f>
        <v>7559200</v>
      </c>
      <c r="S192" s="90">
        <f>_xlfn.MAXIFS(关卡产出!Z:Z,关卡产出!$A:$A,玩家节奏1!$N$6,关卡产出!$B:$B,玩家节奏1!$N192)+_xlfn.MAXIFS(关卡产出!Z:Z,关卡产出!$A:$A,玩家节奏1!$O$6,关卡产出!$B:$B,玩家节奏1!$O192)+_xlfn.MAXIFS(关卡产出!Z:Z,关卡产出!$A:$A,玩家节奏1!$P$6,关卡产出!$B:$B,玩家节奏1!$P192)</f>
        <v>51582</v>
      </c>
      <c r="T192" s="90">
        <f>_xlfn.MAXIFS(关卡产出!AA:AA,关卡产出!$A:$A,玩家节奏1!$N$6,关卡产出!$B:$B,玩家节奏1!$N192)+_xlfn.MAXIFS(关卡产出!AA:AA,关卡产出!$A:$A,玩家节奏1!$O$6,关卡产出!$B:$B,玩家节奏1!$O192)+_xlfn.MAXIFS(关卡产出!AA:AA,关卡产出!$A:$A,玩家节奏1!$P$6,关卡产出!$B:$B,玩家节奏1!$P192)</f>
        <v>25792</v>
      </c>
      <c r="U192" s="90">
        <f>_xlfn.MAXIFS(关卡产出!AB:AB,关卡产出!$A:$A,玩家节奏1!$N$6,关卡产出!$B:$B,玩家节奏1!$N192)+_xlfn.MAXIFS(关卡产出!AB:AB,关卡产出!$A:$A,玩家节奏1!$O$6,关卡产出!$B:$B,玩家节奏1!$O192)+_xlfn.MAXIFS(关卡产出!AB:AB,关卡产出!$A:$A,玩家节奏1!$P$6,关卡产出!$B:$B,玩家节奏1!$P192)</f>
        <v>12406</v>
      </c>
      <c r="V192" s="130">
        <f>_xlfn.MAXIFS(关卡产出!AC:AC,关卡产出!$A:$A,玩家节奏1!$N$6,关卡产出!$B:$B,玩家节奏1!$N192)+_xlfn.MAXIFS(关卡产出!AC:AC,关卡产出!$A:$A,玩家节奏1!$O$6,关卡产出!$B:$B,玩家节奏1!$O192)+_xlfn.MAXIFS(关卡产出!AC:AC,关卡产出!$A:$A,玩家节奏1!$P$6,关卡产出!$B:$B,玩家节奏1!$P192)</f>
        <v>972</v>
      </c>
      <c r="W192" s="126">
        <f>INDEX(关卡产出!C$8:C$207,MATCH(玩家节奏1!$N192,关卡产出!$B$8:$B$207,0))*$K192</f>
        <v>640</v>
      </c>
      <c r="X192" s="126">
        <f>INDEX(关卡产出!D$8:D$207,MATCH(玩家节奏1!$N192,关卡产出!$B$8:$B$207,0))*$K192</f>
        <v>320</v>
      </c>
      <c r="Y192" s="126">
        <f>INDEX(关卡产出!E$8:E$207,MATCH(玩家节奏1!$N192,关卡产出!$B$8:$B$207,0))*$K192</f>
        <v>155</v>
      </c>
      <c r="Z192" s="144">
        <f>INDEX(关卡产出!F$8:F$207,MATCH(玩家节奏1!$N192,关卡产出!$B$8:$B$207,0))*$K192</f>
        <v>8350</v>
      </c>
      <c r="AA192" s="126">
        <f>SUM(W$7:W192)</f>
        <v>58966</v>
      </c>
      <c r="AB192" s="126">
        <f>SUM(X$7:X192)</f>
        <v>29296</v>
      </c>
      <c r="AC192" s="126">
        <f>SUM(Y$7:Y192)</f>
        <v>14122</v>
      </c>
      <c r="AD192" s="126">
        <f>SUM(Z$7:Z192)</f>
        <v>807060</v>
      </c>
      <c r="AE192" s="126">
        <f>INDEX(图鉴!AQ:AQ,MATCH($N192,图鉴!$S:$S,0))*8</f>
        <v>168</v>
      </c>
      <c r="AF192" s="90">
        <f>INDEX(图鉴!AR:AR,MATCH($N192,图鉴!$S:$S,0))*8</f>
        <v>120</v>
      </c>
      <c r="AG192" s="90">
        <f>INDEX(图鉴!AS:AS,MATCH($N192,图鉴!$S:$S,0))*8</f>
        <v>48</v>
      </c>
      <c r="AH192" s="129">
        <f ca="1">INDEX(图鉴!AT:AT,MATCH($N192,图鉴!$S:$S,0))*8</f>
        <v>11760</v>
      </c>
      <c r="AI192" s="128">
        <f>SUM($AE$7:AE192)</f>
        <v>28824</v>
      </c>
      <c r="AJ192" s="90">
        <f>SUM(AF$7:AF192)</f>
        <v>18040</v>
      </c>
      <c r="AK192" s="90">
        <f>SUM(AG$7:AG192)</f>
        <v>6536</v>
      </c>
      <c r="AL192" s="130">
        <f ca="1">SUM(AH$7:AH192)</f>
        <v>1488840</v>
      </c>
      <c r="AM192" s="133">
        <f>IF(M192=0,0,INDEX(关卡产出!$AU$11:$AU$15,MATCH(玩家节奏1!N192,关卡产出!$AW$11:$AW$15,1))*M192)</f>
        <v>12200</v>
      </c>
      <c r="AN192" s="126">
        <f>IF(L192=0,0,$L192*关卡产出!AU$21)</f>
        <v>1000</v>
      </c>
      <c r="AO192" s="90">
        <f>IF(M192=0,0,$L192*关卡产出!AV$21)</f>
        <v>50</v>
      </c>
      <c r="AP192" s="129">
        <f>IF(N192=0,0,$L192*关卡产出!AW$21)</f>
        <v>1</v>
      </c>
      <c r="AQ192" s="138">
        <f>SUM(AN$7:AN192)</f>
        <v>169000</v>
      </c>
      <c r="AR192" s="126">
        <f>SUM(AO$7:AO192)</f>
        <v>8450</v>
      </c>
      <c r="AS192" s="129">
        <f>SUM(AP$7:AP192)</f>
        <v>169</v>
      </c>
      <c r="AT192" s="128">
        <v>500</v>
      </c>
      <c r="AU192" s="129">
        <v>100</v>
      </c>
      <c r="AV192" s="128">
        <f>SUM(AT$7:AT192)</f>
        <v>93000</v>
      </c>
      <c r="AW192" s="90">
        <f>SUM(AU$7:AU192)</f>
        <v>18600</v>
      </c>
      <c r="AY192" s="128">
        <f t="shared" si="167"/>
        <v>30900</v>
      </c>
      <c r="AZ192" s="90">
        <f t="shared" si="168"/>
        <v>8450</v>
      </c>
      <c r="BA192" s="90">
        <f t="shared" si="169"/>
        <v>18600</v>
      </c>
      <c r="BB192" s="90">
        <f t="shared" ca="1" si="217"/>
        <v>16200</v>
      </c>
      <c r="BC192" s="90">
        <f t="shared" ca="1" si="218"/>
        <v>74150</v>
      </c>
      <c r="BD192" s="90"/>
      <c r="BE192" s="90">
        <f t="shared" ca="1" si="170"/>
        <v>74150</v>
      </c>
      <c r="BF192" s="142">
        <f t="shared" ca="1" si="171"/>
        <v>0.41672285906945383</v>
      </c>
      <c r="BG192" s="142">
        <f t="shared" ca="1" si="172"/>
        <v>0.11395819285232636</v>
      </c>
      <c r="BH192" s="142">
        <f t="shared" ca="1" si="228"/>
        <v>0.25084288604180716</v>
      </c>
      <c r="BI192" s="142">
        <f t="shared" ca="1" si="229"/>
        <v>0.21847606203641268</v>
      </c>
      <c r="BJ192" s="143"/>
      <c r="BK192" s="128">
        <f ca="1">INDEX(商城宝箱!$L:$L,MATCH(BC192,商城宝箱!$N:$N,1))</f>
        <v>10</v>
      </c>
      <c r="BL192" s="90">
        <f ca="1">_xlfn.IFNA(INDEX(商城宝箱!T:T,MATCH(玩家节奏1!$BK192,商城宝箱!$L:$L,0)),0)+($BC192-INDEX(商城宝箱!$N:$N,MATCH(玩家节奏1!$BK192,商城宝箱!$L:$L,0)))/$BK$5*INDEX(商城宝箱!E$23:E$42,MATCH(玩家节奏1!$BK192+1,商城宝箱!$C$23:$C$42,0))</f>
        <v>185375</v>
      </c>
      <c r="BM192" s="90">
        <f ca="1">_xlfn.IFNA(INDEX(商城宝箱!U:U,MATCH(玩家节奏1!$BK192,商城宝箱!$L:$L,0)),0)+($BC192-INDEX(商城宝箱!$N:$N,MATCH(玩家节奏1!$BK192,商城宝箱!$L:$L,0)))/$BK$5*INDEX(商城宝箱!F$23:F$42,MATCH(玩家节奏1!$BK192+1,商城宝箱!$C$23:$C$42,0))</f>
        <v>151222.5</v>
      </c>
      <c r="BN192" s="90">
        <f ca="1">_xlfn.IFNA(INDEX(商城宝箱!V:V,MATCH(玩家节奏1!$BK192,商城宝箱!$L:$L,0)),0)+($BC192-INDEX(商城宝箱!$N:$N,MATCH(玩家节奏1!$BK192,商城宝箱!$L:$L,0)))/$BK$5*INDEX(商城宝箱!G$23:G$42,MATCH(玩家节奏1!$BK192+1,商城宝箱!$C$23:$C$42,0))</f>
        <v>83212</v>
      </c>
      <c r="BO192" s="90">
        <f ca="1">_xlfn.IFNA(INDEX(商城宝箱!W:W,MATCH(玩家节奏1!$BK192,商城宝箱!$L:$L,0)),0)+($BC192-INDEX(商城宝箱!$N:$N,MATCH(玩家节奏1!$BK192,商城宝箱!$L:$L,0)))/$BK$5*INDEX(商城宝箱!H$23:H$42,MATCH(玩家节奏1!$BK192+1,商城宝箱!$C$23:$C$42,0))</f>
        <v>11994</v>
      </c>
      <c r="BQ192" s="128">
        <f t="shared" si="219"/>
        <v>7559200</v>
      </c>
      <c r="BR192" s="90">
        <f t="shared" si="220"/>
        <v>807060</v>
      </c>
      <c r="BS192" s="90">
        <f t="shared" ca="1" si="221"/>
        <v>1488840</v>
      </c>
      <c r="BT192" s="90">
        <f t="shared" si="222"/>
        <v>12200</v>
      </c>
      <c r="BU192" s="90">
        <f t="shared" si="223"/>
        <v>169000</v>
      </c>
      <c r="BV192" s="90">
        <f t="shared" si="224"/>
        <v>93000</v>
      </c>
      <c r="BW192" s="90">
        <f t="shared" ca="1" si="175"/>
        <v>185375</v>
      </c>
      <c r="BX192" s="90">
        <f t="shared" ca="1" si="176"/>
        <v>10314675</v>
      </c>
      <c r="BY192" s="142">
        <f t="shared" ca="1" si="177"/>
        <v>0.73285876675707184</v>
      </c>
      <c r="BZ192" s="142">
        <f t="shared" ca="1" si="178"/>
        <v>7.8243861294708755E-2</v>
      </c>
      <c r="CA192" s="142">
        <f t="shared" ca="1" si="179"/>
        <v>0.14434192061310705</v>
      </c>
      <c r="CB192" s="142">
        <f t="shared" ca="1" si="180"/>
        <v>1.182780843797793E-3</v>
      </c>
      <c r="CC192" s="142">
        <f t="shared" ca="1" si="181"/>
        <v>1.6384423164084182E-2</v>
      </c>
      <c r="CD192" s="142">
        <f t="shared" ca="1" si="182"/>
        <v>9.0162802027208815E-3</v>
      </c>
      <c r="CE192" s="142">
        <f t="shared" ca="1" si="183"/>
        <v>1.7971967124509498E-2</v>
      </c>
      <c r="CG192" s="128">
        <f t="shared" si="184"/>
        <v>162</v>
      </c>
      <c r="CH192" s="90">
        <f ca="1">INDEX(角色升级!$A:$A,MATCH(玩家节奏1!$BX192,角色升级!$J:$J,1))</f>
        <v>732</v>
      </c>
      <c r="CI192" s="90">
        <f ca="1">INDEX(角色升级!$O:$O,MATCH(玩家节奏1!$BX192,角色升级!$J:$J,1))</f>
        <v>44943.838825000006</v>
      </c>
      <c r="CJ192" s="90">
        <f>INDEX(关卡对比!$J:$J,MATCH(玩家节奏1!N192,关卡对比!$A:$A,0))</f>
        <v>67200</v>
      </c>
      <c r="CK192" s="147">
        <f t="shared" ca="1" si="185"/>
        <v>1.4951993812023909</v>
      </c>
      <c r="CL192" s="128">
        <f ca="1">INDEX(角色升级!$P:$P,MATCH(玩家节奏1!$CH192,角色升级!$A:$A,0))</f>
        <v>18200</v>
      </c>
      <c r="CM192" s="90">
        <f ca="1">INDEX(角色升级!Q:Q,MATCH(玩家节奏1!$CH192,角色升级!$A:$A,0))</f>
        <v>1.3</v>
      </c>
      <c r="CO192" s="128">
        <f t="shared" si="186"/>
        <v>51582</v>
      </c>
      <c r="CP192" s="90">
        <f t="shared" si="187"/>
        <v>58966</v>
      </c>
      <c r="CQ192" s="90">
        <f t="shared" si="188"/>
        <v>28824</v>
      </c>
      <c r="CR192" s="90">
        <f t="shared" ca="1" si="189"/>
        <v>151222.5</v>
      </c>
      <c r="CS192" s="90">
        <f t="shared" ca="1" si="190"/>
        <v>290594.5</v>
      </c>
      <c r="CT192" s="142">
        <f t="shared" ca="1" si="191"/>
        <v>0.17750508010303018</v>
      </c>
      <c r="CU192" s="142">
        <f t="shared" ca="1" si="192"/>
        <v>0.20291505861260278</v>
      </c>
      <c r="CV192" s="142">
        <f t="shared" ca="1" si="193"/>
        <v>9.9189764431191915E-2</v>
      </c>
      <c r="CW192" s="142">
        <f t="shared" ca="1" si="194"/>
        <v>0.52039009685317517</v>
      </c>
      <c r="CY192" s="128">
        <f t="shared" si="195"/>
        <v>25792</v>
      </c>
      <c r="CZ192" s="90">
        <f t="shared" si="196"/>
        <v>29296</v>
      </c>
      <c r="DA192" s="90">
        <f t="shared" si="197"/>
        <v>18040</v>
      </c>
      <c r="DB192" s="90">
        <f t="shared" ca="1" si="198"/>
        <v>83212</v>
      </c>
      <c r="DC192" s="90">
        <f t="shared" ca="1" si="199"/>
        <v>156340</v>
      </c>
      <c r="DD192" s="142">
        <f t="shared" ca="1" si="200"/>
        <v>0.16497377510553921</v>
      </c>
      <c r="DE192" s="142">
        <f t="shared" ca="1" si="201"/>
        <v>0.18738646539593196</v>
      </c>
      <c r="DF192" s="142">
        <f t="shared" ca="1" si="202"/>
        <v>0.11538953562747857</v>
      </c>
      <c r="DG192" s="142">
        <f t="shared" ca="1" si="203"/>
        <v>0.53225022387105025</v>
      </c>
      <c r="DI192" s="128">
        <f t="shared" si="204"/>
        <v>12406</v>
      </c>
      <c r="DJ192" s="90">
        <f t="shared" si="205"/>
        <v>14122</v>
      </c>
      <c r="DK192" s="90">
        <f t="shared" si="206"/>
        <v>6536</v>
      </c>
      <c r="DL192" s="90">
        <f t="shared" ca="1" si="207"/>
        <v>11994</v>
      </c>
      <c r="DM192" s="90">
        <f t="shared" ca="1" si="208"/>
        <v>45058</v>
      </c>
      <c r="DN192" s="142">
        <f t="shared" ca="1" si="209"/>
        <v>0.27533401393759155</v>
      </c>
      <c r="DO192" s="142">
        <f t="shared" ca="1" si="210"/>
        <v>0.31341826090816283</v>
      </c>
      <c r="DP192" s="142">
        <f t="shared" ca="1" si="211"/>
        <v>0.1450574814683297</v>
      </c>
      <c r="DQ192" s="142">
        <f t="shared" ca="1" si="212"/>
        <v>0.26619024368591593</v>
      </c>
      <c r="DS192" s="128">
        <f t="shared" ca="1" si="213"/>
        <v>290594.5</v>
      </c>
      <c r="DT192" s="90">
        <f t="shared" ca="1" si="214"/>
        <v>156340</v>
      </c>
      <c r="DU192" s="90">
        <f t="shared" ca="1" si="215"/>
        <v>45058</v>
      </c>
      <c r="DV192" s="90">
        <f t="shared" si="216"/>
        <v>169</v>
      </c>
      <c r="DW192" s="90">
        <f ca="1">_xlfn.IFNA(INDEX(武器升级消耗!$H:$H,MATCH(玩家节奏1!DS192/玩家节奏1!DS$5,武器升级消耗!M:M,1)),0)</f>
        <v>48</v>
      </c>
      <c r="DX192" s="90">
        <f ca="1">_xlfn.IFNA(INDEX(武器升级消耗!$H:$H,MATCH(玩家节奏1!DT192/玩家节奏1!DT$5,武器升级消耗!N:N,1)),0)</f>
        <v>42</v>
      </c>
      <c r="DY192" s="90">
        <f ca="1">_xlfn.IFNA(INDEX(武器升级消耗!$H:$H,MATCH(玩家节奏1!DU192/玩家节奏1!DU$5,武器升级消耗!O:O,1)),0)</f>
        <v>29</v>
      </c>
      <c r="DZ192" s="90">
        <f>_xlfn.IFNA(INDEX(武器升级消耗!$H:$H,MATCH(玩家节奏1!DV192/玩家节奏1!DV$5,武器升级消耗!P:P,1)),0)</f>
        <v>13</v>
      </c>
      <c r="EA192" s="90">
        <f ca="1">_xlfn.IFNA(INDEX(武器升级消耗!$Q:$Q,MATCH(玩家节奏1!DW192,武器升级消耗!$H:$H,0))*2*EA$4,0)</f>
        <v>6.24</v>
      </c>
      <c r="EB192" s="90">
        <f ca="1">_xlfn.IFNA(INDEX(武器升级消耗!$Q:$Q,MATCH(玩家节奏1!DX192,武器升级消耗!$H:$H,0))*2*EB$4,0)</f>
        <v>6.8999999999999995</v>
      </c>
      <c r="EC192" s="90">
        <f ca="1">_xlfn.IFNA(INDEX(武器升级消耗!$Q:$Q,MATCH(玩家节奏1!DY192,武器升级消耗!$H:$H,0))*2*EC$4,1)</f>
        <v>7.26</v>
      </c>
      <c r="ED192" s="90">
        <f>_xlfn.IFNA(INDEX(武器升级消耗!$Q:$Q,MATCH(玩家节奏1!DZ192,武器升级消耗!$H:$H,0))*2*ED$4,0)</f>
        <v>5.0999999999999996</v>
      </c>
    </row>
    <row r="193" spans="1:134" x14ac:dyDescent="0.25">
      <c r="A193" s="123">
        <v>187</v>
      </c>
      <c r="B193" s="123">
        <f>INDEX(关卡对比!$Y:$Y,MATCH(关卡对比!Z193,关卡对比!$AA:$AA,1))</f>
        <v>107</v>
      </c>
      <c r="C193" s="124">
        <f>INDEX(关卡对比!$Y:$Y,MATCH(关卡对比!Z193,关卡对比!$AB:$AB,1))</f>
        <v>80</v>
      </c>
      <c r="D193" s="125">
        <f t="shared" si="230"/>
        <v>1091.5</v>
      </c>
      <c r="E193" s="125">
        <v>3</v>
      </c>
      <c r="F193" s="128">
        <v>5</v>
      </c>
      <c r="G193" s="90">
        <v>1</v>
      </c>
      <c r="H193" s="90">
        <v>1</v>
      </c>
      <c r="J193" s="128">
        <v>187</v>
      </c>
      <c r="K193" s="90">
        <f t="shared" si="225"/>
        <v>5</v>
      </c>
      <c r="L193" s="90">
        <f t="shared" si="226"/>
        <v>1</v>
      </c>
      <c r="M193" s="90">
        <f t="shared" si="227"/>
        <v>1</v>
      </c>
      <c r="N193" s="140">
        <f>INDEX($A:$A,MATCH(SUM($K$7:K193),$D:$D,1))</f>
        <v>162</v>
      </c>
      <c r="O193" s="140">
        <v>0</v>
      </c>
      <c r="P193" s="141">
        <v>0</v>
      </c>
      <c r="Q193" s="126">
        <f>_xlfn.MAXIFS(关卡产出!X:X,关卡产出!$A:$A,玩家节奏1!$N$6,关卡产出!$B:$B,玩家节奏1!$N193)+_xlfn.MAXIFS(关卡产出!X:X,关卡产出!$A:$A,玩家节奏1!$O$6,关卡产出!$B:$B,玩家节奏1!$O193)+_xlfn.MAXIFS(关卡产出!X:X,关卡产出!$A:$A,玩家节奏1!$P$6,关卡产出!$B:$B,玩家节奏1!$P193)</f>
        <v>30900</v>
      </c>
      <c r="R193" s="90">
        <f>_xlfn.MAXIFS(关卡产出!Y:Y,关卡产出!$A:$A,玩家节奏1!$N$6,关卡产出!$B:$B,玩家节奏1!$N193)+_xlfn.MAXIFS(关卡产出!Y:Y,关卡产出!$A:$A,玩家节奏1!$O$6,关卡产出!$B:$B,玩家节奏1!$O193)+_xlfn.MAXIFS(关卡产出!Y:Y,关卡产出!$A:$A,玩家节奏1!$P$6,关卡产出!$B:$B,玩家节奏1!$P193)</f>
        <v>7559200</v>
      </c>
      <c r="S193" s="90">
        <f>_xlfn.MAXIFS(关卡产出!Z:Z,关卡产出!$A:$A,玩家节奏1!$N$6,关卡产出!$B:$B,玩家节奏1!$N193)+_xlfn.MAXIFS(关卡产出!Z:Z,关卡产出!$A:$A,玩家节奏1!$O$6,关卡产出!$B:$B,玩家节奏1!$O193)+_xlfn.MAXIFS(关卡产出!Z:Z,关卡产出!$A:$A,玩家节奏1!$P$6,关卡产出!$B:$B,玩家节奏1!$P193)</f>
        <v>51582</v>
      </c>
      <c r="T193" s="90">
        <f>_xlfn.MAXIFS(关卡产出!AA:AA,关卡产出!$A:$A,玩家节奏1!$N$6,关卡产出!$B:$B,玩家节奏1!$N193)+_xlfn.MAXIFS(关卡产出!AA:AA,关卡产出!$A:$A,玩家节奏1!$O$6,关卡产出!$B:$B,玩家节奏1!$O193)+_xlfn.MAXIFS(关卡产出!AA:AA,关卡产出!$A:$A,玩家节奏1!$P$6,关卡产出!$B:$B,玩家节奏1!$P193)</f>
        <v>25792</v>
      </c>
      <c r="U193" s="90">
        <f>_xlfn.MAXIFS(关卡产出!AB:AB,关卡产出!$A:$A,玩家节奏1!$N$6,关卡产出!$B:$B,玩家节奏1!$N193)+_xlfn.MAXIFS(关卡产出!AB:AB,关卡产出!$A:$A,玩家节奏1!$O$6,关卡产出!$B:$B,玩家节奏1!$O193)+_xlfn.MAXIFS(关卡产出!AB:AB,关卡产出!$A:$A,玩家节奏1!$P$6,关卡产出!$B:$B,玩家节奏1!$P193)</f>
        <v>12406</v>
      </c>
      <c r="V193" s="130">
        <f>_xlfn.MAXIFS(关卡产出!AC:AC,关卡产出!$A:$A,玩家节奏1!$N$6,关卡产出!$B:$B,玩家节奏1!$N193)+_xlfn.MAXIFS(关卡产出!AC:AC,关卡产出!$A:$A,玩家节奏1!$O$6,关卡产出!$B:$B,玩家节奏1!$O193)+_xlfn.MAXIFS(关卡产出!AC:AC,关卡产出!$A:$A,玩家节奏1!$P$6,关卡产出!$B:$B,玩家节奏1!$P193)</f>
        <v>972</v>
      </c>
      <c r="W193" s="126">
        <f>INDEX(关卡产出!C$8:C$207,MATCH(玩家节奏1!$N193,关卡产出!$B$8:$B$207,0))*$K193</f>
        <v>640</v>
      </c>
      <c r="X193" s="126">
        <f>INDEX(关卡产出!D$8:D$207,MATCH(玩家节奏1!$N193,关卡产出!$B$8:$B$207,0))*$K193</f>
        <v>320</v>
      </c>
      <c r="Y193" s="126">
        <f>INDEX(关卡产出!E$8:E$207,MATCH(玩家节奏1!$N193,关卡产出!$B$8:$B$207,0))*$K193</f>
        <v>155</v>
      </c>
      <c r="Z193" s="144">
        <f>INDEX(关卡产出!F$8:F$207,MATCH(玩家节奏1!$N193,关卡产出!$B$8:$B$207,0))*$K193</f>
        <v>8350</v>
      </c>
      <c r="AA193" s="126">
        <f>SUM(W$7:W193)</f>
        <v>59606</v>
      </c>
      <c r="AB193" s="126">
        <f>SUM(X$7:X193)</f>
        <v>29616</v>
      </c>
      <c r="AC193" s="126">
        <f>SUM(Y$7:Y193)</f>
        <v>14277</v>
      </c>
      <c r="AD193" s="126">
        <f>SUM(Z$7:Z193)</f>
        <v>815410</v>
      </c>
      <c r="AE193" s="126">
        <f>INDEX(图鉴!AQ:AQ,MATCH($N193,图鉴!$S:$S,0))*8</f>
        <v>168</v>
      </c>
      <c r="AF193" s="90">
        <f>INDEX(图鉴!AR:AR,MATCH($N193,图鉴!$S:$S,0))*8</f>
        <v>120</v>
      </c>
      <c r="AG193" s="90">
        <f>INDEX(图鉴!AS:AS,MATCH($N193,图鉴!$S:$S,0))*8</f>
        <v>48</v>
      </c>
      <c r="AH193" s="129">
        <f ca="1">INDEX(图鉴!AT:AT,MATCH($N193,图鉴!$S:$S,0))*8</f>
        <v>11760</v>
      </c>
      <c r="AI193" s="128">
        <f>SUM($AE$7:AE193)</f>
        <v>28992</v>
      </c>
      <c r="AJ193" s="90">
        <f>SUM(AF$7:AF193)</f>
        <v>18160</v>
      </c>
      <c r="AK193" s="90">
        <f>SUM(AG$7:AG193)</f>
        <v>6584</v>
      </c>
      <c r="AL193" s="130">
        <f ca="1">SUM(AH$7:AH193)</f>
        <v>1500600</v>
      </c>
      <c r="AM193" s="133">
        <f>IF(M193=0,0,INDEX(关卡产出!$AU$11:$AU$15,MATCH(玩家节奏1!N193,关卡产出!$AW$11:$AW$15,1))*M193)</f>
        <v>12200</v>
      </c>
      <c r="AN193" s="126">
        <f>IF(L193=0,0,$L193*关卡产出!AU$21)</f>
        <v>1000</v>
      </c>
      <c r="AO193" s="90">
        <f>IF(M193=0,0,$L193*关卡产出!AV$21)</f>
        <v>50</v>
      </c>
      <c r="AP193" s="129">
        <f>IF(N193=0,0,$L193*关卡产出!AW$21)</f>
        <v>1</v>
      </c>
      <c r="AQ193" s="138">
        <f>SUM(AN$7:AN193)</f>
        <v>170000</v>
      </c>
      <c r="AR193" s="126">
        <f>SUM(AO$7:AO193)</f>
        <v>8500</v>
      </c>
      <c r="AS193" s="129">
        <f>SUM(AP$7:AP193)</f>
        <v>170</v>
      </c>
      <c r="AT193" s="128">
        <v>500</v>
      </c>
      <c r="AU193" s="129">
        <v>100</v>
      </c>
      <c r="AV193" s="128">
        <f>SUM(AT$7:AT193)</f>
        <v>93500</v>
      </c>
      <c r="AW193" s="90">
        <f>SUM(AU$7:AU193)</f>
        <v>18700</v>
      </c>
      <c r="AY193" s="128">
        <f t="shared" si="167"/>
        <v>30900</v>
      </c>
      <c r="AZ193" s="90">
        <f t="shared" si="168"/>
        <v>8500</v>
      </c>
      <c r="BA193" s="90">
        <f t="shared" si="169"/>
        <v>18700</v>
      </c>
      <c r="BB193" s="90">
        <f t="shared" ca="1" si="217"/>
        <v>18200</v>
      </c>
      <c r="BC193" s="90">
        <f t="shared" ca="1" si="218"/>
        <v>76300</v>
      </c>
      <c r="BD193" s="90"/>
      <c r="BE193" s="90">
        <f t="shared" ca="1" si="170"/>
        <v>76300</v>
      </c>
      <c r="BF193" s="142">
        <f t="shared" ca="1" si="171"/>
        <v>0.40498034076015726</v>
      </c>
      <c r="BG193" s="142">
        <f t="shared" ca="1" si="172"/>
        <v>0.11140235910878113</v>
      </c>
      <c r="BH193" s="142">
        <f t="shared" ca="1" si="228"/>
        <v>0.24508519003931847</v>
      </c>
      <c r="BI193" s="142">
        <f t="shared" ca="1" si="229"/>
        <v>0.23853211009174313</v>
      </c>
      <c r="BJ193" s="143"/>
      <c r="BK193" s="128">
        <f ca="1">INDEX(商城宝箱!$L:$L,MATCH(BC193,商城宝箱!$N:$N,1))</f>
        <v>10</v>
      </c>
      <c r="BL193" s="90">
        <f ca="1">_xlfn.IFNA(INDEX(商城宝箱!T:T,MATCH(玩家节奏1!$BK193,商城宝箱!$L:$L,0)),0)+($BC193-INDEX(商城宝箱!$N:$N,MATCH(玩家节奏1!$BK193,商城宝箱!$L:$L,0)))/$BK$5*INDEX(商城宝箱!E$23:E$42,MATCH(玩家节奏1!$BK193+1,商城宝箱!$C$23:$C$42,0))</f>
        <v>190750</v>
      </c>
      <c r="BM193" s="90">
        <f ca="1">_xlfn.IFNA(INDEX(商城宝箱!U:U,MATCH(玩家节奏1!$BK193,商城宝箱!$L:$L,0)),0)+($BC193-INDEX(商城宝箱!$N:$N,MATCH(玩家节奏1!$BK193,商城宝箱!$L:$L,0)))/$BK$5*INDEX(商城宝箱!F$23:F$42,MATCH(玩家节奏1!$BK193+1,商城宝箱!$C$23:$C$42,0))</f>
        <v>158102.5</v>
      </c>
      <c r="BN193" s="90">
        <f ca="1">_xlfn.IFNA(INDEX(商城宝箱!V:V,MATCH(玩家节奏1!$BK193,商城宝箱!$L:$L,0)),0)+($BC193-INDEX(商城宝箱!$N:$N,MATCH(玩家节奏1!$BK193,商城宝箱!$L:$L,0)))/$BK$5*INDEX(商城宝箱!G$23:G$42,MATCH(玩家节奏1!$BK193+1,商城宝箱!$C$23:$C$42,0))</f>
        <v>86437</v>
      </c>
      <c r="BO193" s="90">
        <f ca="1">_xlfn.IFNA(INDEX(商城宝箱!W:W,MATCH(玩家节奏1!$BK193,商城宝箱!$L:$L,0)),0)+($BC193-INDEX(商城宝箱!$N:$N,MATCH(玩家节奏1!$BK193,商城宝箱!$L:$L,0)))/$BK$5*INDEX(商城宝箱!H$23:H$42,MATCH(玩家节奏1!$BK193+1,商城宝箱!$C$23:$C$42,0))</f>
        <v>12531.5</v>
      </c>
      <c r="BQ193" s="128">
        <f t="shared" si="219"/>
        <v>7559200</v>
      </c>
      <c r="BR193" s="90">
        <f t="shared" si="220"/>
        <v>815410</v>
      </c>
      <c r="BS193" s="90">
        <f t="shared" ca="1" si="221"/>
        <v>1500600</v>
      </c>
      <c r="BT193" s="90">
        <f t="shared" si="222"/>
        <v>12200</v>
      </c>
      <c r="BU193" s="90">
        <f t="shared" si="223"/>
        <v>170000</v>
      </c>
      <c r="BV193" s="90">
        <f t="shared" si="224"/>
        <v>93500</v>
      </c>
      <c r="BW193" s="90">
        <f t="shared" ca="1" si="175"/>
        <v>190750</v>
      </c>
      <c r="BX193" s="90">
        <f t="shared" ca="1" si="176"/>
        <v>10341660</v>
      </c>
      <c r="BY193" s="142">
        <f t="shared" ca="1" si="177"/>
        <v>0.73094648247960192</v>
      </c>
      <c r="BZ193" s="142">
        <f t="shared" ca="1" si="178"/>
        <v>7.8847109651642003E-2</v>
      </c>
      <c r="CA193" s="142">
        <f t="shared" ca="1" si="179"/>
        <v>0.1451024303641775</v>
      </c>
      <c r="CB193" s="142">
        <f t="shared" ca="1" si="180"/>
        <v>1.1796945558063213E-3</v>
      </c>
      <c r="CC193" s="142">
        <f t="shared" ca="1" si="181"/>
        <v>1.6438366761235623E-2</v>
      </c>
      <c r="CD193" s="142">
        <f t="shared" ca="1" si="182"/>
        <v>9.0411017186795926E-3</v>
      </c>
      <c r="CE193" s="142">
        <f t="shared" ca="1" si="183"/>
        <v>1.844481446885703E-2</v>
      </c>
      <c r="CG193" s="128">
        <f t="shared" si="184"/>
        <v>162</v>
      </c>
      <c r="CH193" s="90">
        <f ca="1">INDEX(角色升级!$A:$A,MATCH(玩家节奏1!$BX193,角色升级!$J:$J,1))</f>
        <v>733</v>
      </c>
      <c r="CI193" s="90">
        <f ca="1">INDEX(角色升级!$O:$O,MATCH(玩家节奏1!$BX193,角色升级!$J:$J,1))</f>
        <v>44980.054649999991</v>
      </c>
      <c r="CJ193" s="90">
        <f>INDEX(关卡对比!$J:$J,MATCH(玩家节奏1!N193,关卡对比!$A:$A,0))</f>
        <v>67200</v>
      </c>
      <c r="CK193" s="147">
        <f t="shared" ca="1" si="185"/>
        <v>1.4939955169663186</v>
      </c>
      <c r="CL193" s="128">
        <f ca="1">INDEX(角色升级!$P:$P,MATCH(玩家节奏1!$CH193,角色升级!$A:$A,0))</f>
        <v>18200</v>
      </c>
      <c r="CM193" s="90">
        <f ca="1">INDEX(角色升级!Q:Q,MATCH(玩家节奏1!$CH193,角色升级!$A:$A,0))</f>
        <v>1.3</v>
      </c>
      <c r="CO193" s="128">
        <f t="shared" si="186"/>
        <v>51582</v>
      </c>
      <c r="CP193" s="90">
        <f t="shared" si="187"/>
        <v>59606</v>
      </c>
      <c r="CQ193" s="90">
        <f t="shared" si="188"/>
        <v>28992</v>
      </c>
      <c r="CR193" s="90">
        <f t="shared" ca="1" si="189"/>
        <v>158102.5</v>
      </c>
      <c r="CS193" s="90">
        <f t="shared" ca="1" si="190"/>
        <v>298282.5</v>
      </c>
      <c r="CT193" s="142">
        <f t="shared" ca="1" si="191"/>
        <v>0.17293002438963065</v>
      </c>
      <c r="CU193" s="142">
        <f t="shared" ca="1" si="192"/>
        <v>0.19983069740933512</v>
      </c>
      <c r="CV193" s="142">
        <f t="shared" ca="1" si="193"/>
        <v>9.7196449674385857E-2</v>
      </c>
      <c r="CW193" s="142">
        <f t="shared" ca="1" si="194"/>
        <v>0.53004282852664841</v>
      </c>
      <c r="CY193" s="128">
        <f t="shared" si="195"/>
        <v>25792</v>
      </c>
      <c r="CZ193" s="90">
        <f t="shared" si="196"/>
        <v>29616</v>
      </c>
      <c r="DA193" s="90">
        <f t="shared" si="197"/>
        <v>18160</v>
      </c>
      <c r="DB193" s="90">
        <f t="shared" ca="1" si="198"/>
        <v>86437</v>
      </c>
      <c r="DC193" s="90">
        <f t="shared" ca="1" si="199"/>
        <v>160005</v>
      </c>
      <c r="DD193" s="142">
        <f t="shared" ca="1" si="200"/>
        <v>0.16119496265741695</v>
      </c>
      <c r="DE193" s="142">
        <f t="shared" ca="1" si="201"/>
        <v>0.18509421580575608</v>
      </c>
      <c r="DF193" s="142">
        <f t="shared" ca="1" si="202"/>
        <v>0.11349645323583638</v>
      </c>
      <c r="DG193" s="142">
        <f t="shared" ca="1" si="203"/>
        <v>0.54021436830099057</v>
      </c>
      <c r="DI193" s="128">
        <f t="shared" si="204"/>
        <v>12406</v>
      </c>
      <c r="DJ193" s="90">
        <f t="shared" si="205"/>
        <v>14277</v>
      </c>
      <c r="DK193" s="90">
        <f t="shared" si="206"/>
        <v>6584</v>
      </c>
      <c r="DL193" s="90">
        <f t="shared" ca="1" si="207"/>
        <v>12531.5</v>
      </c>
      <c r="DM193" s="90">
        <f t="shared" ca="1" si="208"/>
        <v>45798.5</v>
      </c>
      <c r="DN193" s="142">
        <f t="shared" ca="1" si="209"/>
        <v>0.27088223413430573</v>
      </c>
      <c r="DO193" s="142">
        <f t="shared" ca="1" si="210"/>
        <v>0.31173510049455766</v>
      </c>
      <c r="DP193" s="142">
        <f t="shared" ca="1" si="211"/>
        <v>0.14376016681769055</v>
      </c>
      <c r="DQ193" s="142">
        <f t="shared" ca="1" si="212"/>
        <v>0.27362249855344606</v>
      </c>
      <c r="DS193" s="128">
        <f t="shared" ca="1" si="213"/>
        <v>298282.5</v>
      </c>
      <c r="DT193" s="90">
        <f t="shared" ca="1" si="214"/>
        <v>160005</v>
      </c>
      <c r="DU193" s="90">
        <f t="shared" ca="1" si="215"/>
        <v>45798.5</v>
      </c>
      <c r="DV193" s="90">
        <f t="shared" si="216"/>
        <v>170</v>
      </c>
      <c r="DW193" s="90">
        <f ca="1">_xlfn.IFNA(INDEX(武器升级消耗!$H:$H,MATCH(玩家节奏1!DS193/玩家节奏1!DS$5,武器升级消耗!M:M,1)),0)</f>
        <v>48</v>
      </c>
      <c r="DX193" s="90">
        <f ca="1">_xlfn.IFNA(INDEX(武器升级消耗!$H:$H,MATCH(玩家节奏1!DT193/玩家节奏1!DT$5,武器升级消耗!N:N,1)),0)</f>
        <v>43</v>
      </c>
      <c r="DY193" s="90">
        <f ca="1">_xlfn.IFNA(INDEX(武器升级消耗!$H:$H,MATCH(玩家节奏1!DU193/玩家节奏1!DU$5,武器升级消耗!O:O,1)),0)</f>
        <v>30</v>
      </c>
      <c r="DZ193" s="90">
        <f>_xlfn.IFNA(INDEX(武器升级消耗!$H:$H,MATCH(玩家节奏1!DV193/玩家节奏1!DV$5,武器升级消耗!P:P,1)),0)</f>
        <v>13</v>
      </c>
      <c r="EA193" s="90">
        <f ca="1">_xlfn.IFNA(INDEX(武器升级消耗!$Q:$Q,MATCH(玩家节奏1!DW193,武器升级消耗!$H:$H,0))*2*EA$4,0)</f>
        <v>6.24</v>
      </c>
      <c r="EB193" s="90">
        <f ca="1">_xlfn.IFNA(INDEX(武器升级消耗!$Q:$Q,MATCH(玩家节奏1!DX193,武器升级消耗!$H:$H,0))*2*EB$4,0)</f>
        <v>7.0500000000000007</v>
      </c>
      <c r="EC193" s="90">
        <f ca="1">_xlfn.IFNA(INDEX(武器升级消耗!$Q:$Q,MATCH(玩家节奏1!DY193,武器升级消耗!$H:$H,0))*2*EC$4,1)</f>
        <v>7.48</v>
      </c>
      <c r="ED193" s="90">
        <f>_xlfn.IFNA(INDEX(武器升级消耗!$Q:$Q,MATCH(玩家节奏1!DZ193,武器升级消耗!$H:$H,0))*2*ED$4,0)</f>
        <v>5.0999999999999996</v>
      </c>
    </row>
    <row r="194" spans="1:134" x14ac:dyDescent="0.25">
      <c r="A194" s="123">
        <v>188</v>
      </c>
      <c r="B194" s="123">
        <f>INDEX(关卡对比!$Y:$Y,MATCH(关卡对比!Z194,关卡对比!$AA:$AA,1))</f>
        <v>107</v>
      </c>
      <c r="C194" s="124">
        <f>INDEX(关卡对比!$Y:$Y,MATCH(关卡对比!Z194,关卡对比!$AB:$AB,1))</f>
        <v>81</v>
      </c>
      <c r="D194" s="125">
        <f t="shared" si="230"/>
        <v>1097.5</v>
      </c>
      <c r="E194" s="125">
        <v>3</v>
      </c>
      <c r="F194" s="128">
        <v>5</v>
      </c>
      <c r="G194" s="90">
        <v>1</v>
      </c>
      <c r="H194" s="90">
        <v>1</v>
      </c>
      <c r="J194" s="128">
        <v>188</v>
      </c>
      <c r="K194" s="90">
        <f t="shared" si="225"/>
        <v>5</v>
      </c>
      <c r="L194" s="90">
        <f t="shared" si="226"/>
        <v>1</v>
      </c>
      <c r="M194" s="90">
        <f t="shared" si="227"/>
        <v>1</v>
      </c>
      <c r="N194" s="140">
        <f>INDEX($A:$A,MATCH(SUM($K$7:K194),$D:$D,1))</f>
        <v>163</v>
      </c>
      <c r="O194" s="140">
        <v>0</v>
      </c>
      <c r="P194" s="141">
        <v>0</v>
      </c>
      <c r="Q194" s="126">
        <f>_xlfn.MAXIFS(关卡产出!X:X,关卡产出!$A:$A,玩家节奏1!$N$6,关卡产出!$B:$B,玩家节奏1!$N194)+_xlfn.MAXIFS(关卡产出!X:X,关卡产出!$A:$A,玩家节奏1!$O$6,关卡产出!$B:$B,玩家节奏1!$O194)+_xlfn.MAXIFS(关卡产出!X:X,关卡产出!$A:$A,玩家节奏1!$P$6,关卡产出!$B:$B,玩家节奏1!$P194)</f>
        <v>31100</v>
      </c>
      <c r="R194" s="90">
        <f>_xlfn.MAXIFS(关卡产出!Y:Y,关卡产出!$A:$A,玩家节奏1!$N$6,关卡产出!$B:$B,玩家节奏1!$N194)+_xlfn.MAXIFS(关卡产出!Y:Y,关卡产出!$A:$A,玩家节奏1!$O$6,关卡产出!$B:$B,玩家节奏1!$O194)+_xlfn.MAXIFS(关卡产出!Y:Y,关卡产出!$A:$A,玩家节奏1!$P$6,关卡产出!$B:$B,玩家节奏1!$P194)</f>
        <v>7654700</v>
      </c>
      <c r="S194" s="90">
        <f>_xlfn.MAXIFS(关卡产出!Z:Z,关卡产出!$A:$A,玩家节奏1!$N$6,关卡产出!$B:$B,玩家节奏1!$N194)+_xlfn.MAXIFS(关卡产出!Z:Z,关卡产出!$A:$A,玩家节奏1!$O$6,关卡产出!$B:$B,玩家节奏1!$O194)+_xlfn.MAXIFS(关卡产出!Z:Z,关卡产出!$A:$A,玩家节奏1!$P$6,关卡产出!$B:$B,玩家节奏1!$P194)</f>
        <v>52226</v>
      </c>
      <c r="T194" s="90">
        <f>_xlfn.MAXIFS(关卡产出!AA:AA,关卡产出!$A:$A,玩家节奏1!$N$6,关卡产出!$B:$B,玩家节奏1!$N194)+_xlfn.MAXIFS(关卡产出!AA:AA,关卡产出!$A:$A,玩家节奏1!$O$6,关卡产出!$B:$B,玩家节奏1!$O194)+_xlfn.MAXIFS(关卡产出!AA:AA,关卡产出!$A:$A,玩家节奏1!$P$6,关卡产出!$B:$B,玩家节奏1!$P194)</f>
        <v>26114</v>
      </c>
      <c r="U194" s="90">
        <f>_xlfn.MAXIFS(关卡产出!AB:AB,关卡产出!$A:$A,玩家节奏1!$N$6,关卡产出!$B:$B,玩家节奏1!$N194)+_xlfn.MAXIFS(关卡产出!AB:AB,关卡产出!$A:$A,玩家节奏1!$O$6,关卡产出!$B:$B,玩家节奏1!$O194)+_xlfn.MAXIFS(关卡产出!AB:AB,关卡产出!$A:$A,玩家节奏1!$P$6,关卡产出!$B:$B,玩家节奏1!$P194)</f>
        <v>12564</v>
      </c>
      <c r="V194" s="130">
        <f>_xlfn.MAXIFS(关卡产出!AC:AC,关卡产出!$A:$A,玩家节奏1!$N$6,关卡产出!$B:$B,玩家节奏1!$N194)+_xlfn.MAXIFS(关卡产出!AC:AC,关卡产出!$A:$A,玩家节奏1!$O$6,关卡产出!$B:$B,玩家节奏1!$O194)+_xlfn.MAXIFS(关卡产出!AC:AC,关卡产出!$A:$A,玩家节奏1!$P$6,关卡产出!$B:$B,玩家节奏1!$P194)</f>
        <v>978</v>
      </c>
      <c r="W194" s="126">
        <f>INDEX(关卡产出!C$8:C$207,MATCH(玩家节奏1!$N194,关卡产出!$B$8:$B$207,0))*$K194</f>
        <v>645</v>
      </c>
      <c r="X194" s="126">
        <f>INDEX(关卡产出!D$8:D$207,MATCH(玩家节奏1!$N194,关卡产出!$B$8:$B$207,0))*$K194</f>
        <v>320</v>
      </c>
      <c r="Y194" s="126">
        <f>INDEX(关卡产出!E$8:E$207,MATCH(玩家节奏1!$N194,关卡产出!$B$8:$B$207,0))*$K194</f>
        <v>160</v>
      </c>
      <c r="Z194" s="144">
        <f>INDEX(关卡产出!F$8:F$207,MATCH(玩家节奏1!$N194,关卡产出!$B$8:$B$207,0))*$K194</f>
        <v>8450</v>
      </c>
      <c r="AA194" s="126">
        <f>SUM(W$7:W194)</f>
        <v>60251</v>
      </c>
      <c r="AB194" s="126">
        <f>SUM(X$7:X194)</f>
        <v>29936</v>
      </c>
      <c r="AC194" s="126">
        <f>SUM(Y$7:Y194)</f>
        <v>14437</v>
      </c>
      <c r="AD194" s="126">
        <f>SUM(Z$7:Z194)</f>
        <v>823860</v>
      </c>
      <c r="AE194" s="126">
        <f>INDEX(图鉴!AQ:AQ,MATCH($N194,图鉴!$S:$S,0))*8</f>
        <v>168</v>
      </c>
      <c r="AF194" s="90">
        <f>INDEX(图鉴!AR:AR,MATCH($N194,图鉴!$S:$S,0))*8</f>
        <v>120</v>
      </c>
      <c r="AG194" s="90">
        <f>INDEX(图鉴!AS:AS,MATCH($N194,图鉴!$S:$S,0))*8</f>
        <v>48</v>
      </c>
      <c r="AH194" s="129">
        <f ca="1">INDEX(图鉴!AT:AT,MATCH($N194,图鉴!$S:$S,0))*8</f>
        <v>12120</v>
      </c>
      <c r="AI194" s="128">
        <f>SUM($AE$7:AE194)</f>
        <v>29160</v>
      </c>
      <c r="AJ194" s="90">
        <f>SUM(AF$7:AF194)</f>
        <v>18280</v>
      </c>
      <c r="AK194" s="90">
        <f>SUM(AG$7:AG194)</f>
        <v>6632</v>
      </c>
      <c r="AL194" s="130">
        <f ca="1">SUM(AH$7:AH194)</f>
        <v>1512720</v>
      </c>
      <c r="AM194" s="133">
        <f>IF(M194=0,0,INDEX(关卡产出!$AU$11:$AU$15,MATCH(玩家节奏1!N194,关卡产出!$AW$11:$AW$15,1))*M194)</f>
        <v>12200</v>
      </c>
      <c r="AN194" s="126">
        <f>IF(L194=0,0,$L194*关卡产出!AU$21)</f>
        <v>1000</v>
      </c>
      <c r="AO194" s="90">
        <f>IF(M194=0,0,$L194*关卡产出!AV$21)</f>
        <v>50</v>
      </c>
      <c r="AP194" s="129">
        <f>IF(N194=0,0,$L194*关卡产出!AW$21)</f>
        <v>1</v>
      </c>
      <c r="AQ194" s="138">
        <f>SUM(AN$7:AN194)</f>
        <v>171000</v>
      </c>
      <c r="AR194" s="126">
        <f>SUM(AO$7:AO194)</f>
        <v>8550</v>
      </c>
      <c r="AS194" s="129">
        <f>SUM(AP$7:AP194)</f>
        <v>171</v>
      </c>
      <c r="AT194" s="128">
        <v>500</v>
      </c>
      <c r="AU194" s="129">
        <v>100</v>
      </c>
      <c r="AV194" s="128">
        <f>SUM(AT$7:AT194)</f>
        <v>94000</v>
      </c>
      <c r="AW194" s="90">
        <f>SUM(AU$7:AU194)</f>
        <v>18800</v>
      </c>
      <c r="AY194" s="128">
        <f t="shared" si="167"/>
        <v>31100</v>
      </c>
      <c r="AZ194" s="90">
        <f t="shared" si="168"/>
        <v>8550</v>
      </c>
      <c r="BA194" s="90">
        <f t="shared" si="169"/>
        <v>18800</v>
      </c>
      <c r="BB194" s="90">
        <f t="shared" ca="1" si="217"/>
        <v>18200</v>
      </c>
      <c r="BC194" s="90">
        <f t="shared" ca="1" si="218"/>
        <v>76650</v>
      </c>
      <c r="BD194" s="90"/>
      <c r="BE194" s="90">
        <f t="shared" ca="1" si="170"/>
        <v>76650</v>
      </c>
      <c r="BF194" s="142">
        <f t="shared" ca="1" si="171"/>
        <v>0.40574037834311805</v>
      </c>
      <c r="BG194" s="142">
        <f t="shared" ca="1" si="172"/>
        <v>0.11154598825831702</v>
      </c>
      <c r="BH194" s="142">
        <f t="shared" ca="1" si="228"/>
        <v>0.24527071102413567</v>
      </c>
      <c r="BI194" s="142">
        <f t="shared" ca="1" si="229"/>
        <v>0.23744292237442921</v>
      </c>
      <c r="BJ194" s="143"/>
      <c r="BK194" s="128">
        <f ca="1">INDEX(商城宝箱!$L:$L,MATCH(BC194,商城宝箱!$N:$N,1))</f>
        <v>10</v>
      </c>
      <c r="BL194" s="90">
        <f ca="1">_xlfn.IFNA(INDEX(商城宝箱!T:T,MATCH(玩家节奏1!$BK194,商城宝箱!$L:$L,0)),0)+($BC194-INDEX(商城宝箱!$N:$N,MATCH(玩家节奏1!$BK194,商城宝箱!$L:$L,0)))/$BK$5*INDEX(商城宝箱!E$23:E$42,MATCH(玩家节奏1!$BK194+1,商城宝箱!$C$23:$C$42,0))</f>
        <v>191625</v>
      </c>
      <c r="BM194" s="90">
        <f ca="1">_xlfn.IFNA(INDEX(商城宝箱!U:U,MATCH(玩家节奏1!$BK194,商城宝箱!$L:$L,0)),0)+($BC194-INDEX(商城宝箱!$N:$N,MATCH(玩家节奏1!$BK194,商城宝箱!$L:$L,0)))/$BK$5*INDEX(商城宝箱!F$23:F$42,MATCH(玩家节奏1!$BK194+1,商城宝箱!$C$23:$C$42,0))</f>
        <v>159222.5</v>
      </c>
      <c r="BN194" s="90">
        <f ca="1">_xlfn.IFNA(INDEX(商城宝箱!V:V,MATCH(玩家节奏1!$BK194,商城宝箱!$L:$L,0)),0)+($BC194-INDEX(商城宝箱!$N:$N,MATCH(玩家节奏1!$BK194,商城宝箱!$L:$L,0)))/$BK$5*INDEX(商城宝箱!G$23:G$42,MATCH(玩家节奏1!$BK194+1,商城宝箱!$C$23:$C$42,0))</f>
        <v>86962</v>
      </c>
      <c r="BO194" s="90">
        <f ca="1">_xlfn.IFNA(INDEX(商城宝箱!W:W,MATCH(玩家节奏1!$BK194,商城宝箱!$L:$L,0)),0)+($BC194-INDEX(商城宝箱!$N:$N,MATCH(玩家节奏1!$BK194,商城宝箱!$L:$L,0)))/$BK$5*INDEX(商城宝箱!H$23:H$42,MATCH(玩家节奏1!$BK194+1,商城宝箱!$C$23:$C$42,0))</f>
        <v>12619</v>
      </c>
      <c r="BQ194" s="128">
        <f t="shared" si="219"/>
        <v>7654700</v>
      </c>
      <c r="BR194" s="90">
        <f t="shared" si="220"/>
        <v>823860</v>
      </c>
      <c r="BS194" s="90">
        <f t="shared" ca="1" si="221"/>
        <v>1512720</v>
      </c>
      <c r="BT194" s="90">
        <f t="shared" si="222"/>
        <v>12200</v>
      </c>
      <c r="BU194" s="90">
        <f t="shared" si="223"/>
        <v>171000</v>
      </c>
      <c r="BV194" s="90">
        <f t="shared" si="224"/>
        <v>94000</v>
      </c>
      <c r="BW194" s="90">
        <f t="shared" ca="1" si="175"/>
        <v>191625</v>
      </c>
      <c r="BX194" s="90">
        <f t="shared" ca="1" si="176"/>
        <v>10460105</v>
      </c>
      <c r="BY194" s="142">
        <f t="shared" ca="1" si="177"/>
        <v>0.73179953738514092</v>
      </c>
      <c r="BZ194" s="142">
        <f t="shared" ca="1" si="178"/>
        <v>7.8762115676659084E-2</v>
      </c>
      <c r="CA194" s="142">
        <f t="shared" ca="1" si="179"/>
        <v>0.14461805115723025</v>
      </c>
      <c r="CB194" s="142">
        <f t="shared" ca="1" si="180"/>
        <v>1.1663362843872026E-3</v>
      </c>
      <c r="CC194" s="142">
        <f t="shared" ca="1" si="181"/>
        <v>1.6347828248378004E-2</v>
      </c>
      <c r="CD194" s="142">
        <f t="shared" ca="1" si="182"/>
        <v>8.9865254698686097E-3</v>
      </c>
      <c r="CE194" s="142">
        <f t="shared" ca="1" si="183"/>
        <v>1.8319605778335878E-2</v>
      </c>
      <c r="CG194" s="128">
        <f t="shared" si="184"/>
        <v>163</v>
      </c>
      <c r="CH194" s="90">
        <f ca="1">INDEX(角色升级!$A:$A,MATCH(玩家节奏1!$BX194,角色升级!$J:$J,1))</f>
        <v>736</v>
      </c>
      <c r="CI194" s="90">
        <f ca="1">INDEX(角色升级!$O:$O,MATCH(玩家节奏1!$BX194,角色升级!$J:$J,1))</f>
        <v>45088.702124999996</v>
      </c>
      <c r="CJ194" s="90">
        <f>INDEX(关卡对比!$J:$J,MATCH(玩家节奏1!N194,关卡对比!$A:$A,0))</f>
        <v>67700</v>
      </c>
      <c r="CK194" s="147">
        <f t="shared" ca="1" si="185"/>
        <v>1.5014847802075653</v>
      </c>
      <c r="CL194" s="128">
        <f ca="1">INDEX(角色升级!$P:$P,MATCH(玩家节奏1!$CH194,角色升级!$A:$A,0))</f>
        <v>18200</v>
      </c>
      <c r="CM194" s="90">
        <f ca="1">INDEX(角色升级!Q:Q,MATCH(玩家节奏1!$CH194,角色升级!$A:$A,0))</f>
        <v>1.3</v>
      </c>
      <c r="CO194" s="128">
        <f t="shared" si="186"/>
        <v>52226</v>
      </c>
      <c r="CP194" s="90">
        <f t="shared" si="187"/>
        <v>60251</v>
      </c>
      <c r="CQ194" s="90">
        <f t="shared" si="188"/>
        <v>29160</v>
      </c>
      <c r="CR194" s="90">
        <f t="shared" ca="1" si="189"/>
        <v>159222.5</v>
      </c>
      <c r="CS194" s="90">
        <f t="shared" ca="1" si="190"/>
        <v>300859.5</v>
      </c>
      <c r="CT194" s="142">
        <f t="shared" ca="1" si="191"/>
        <v>0.1735893332269714</v>
      </c>
      <c r="CU194" s="142">
        <f t="shared" ca="1" si="192"/>
        <v>0.20026291341971916</v>
      </c>
      <c r="CV194" s="142">
        <f t="shared" ca="1" si="193"/>
        <v>9.6922317560190055E-2</v>
      </c>
      <c r="CW194" s="142">
        <f t="shared" ca="1" si="194"/>
        <v>0.52922543579311943</v>
      </c>
      <c r="CY194" s="128">
        <f t="shared" si="195"/>
        <v>26114</v>
      </c>
      <c r="CZ194" s="90">
        <f t="shared" si="196"/>
        <v>29936</v>
      </c>
      <c r="DA194" s="90">
        <f t="shared" si="197"/>
        <v>18280</v>
      </c>
      <c r="DB194" s="90">
        <f t="shared" ca="1" si="198"/>
        <v>86962</v>
      </c>
      <c r="DC194" s="90">
        <f t="shared" ca="1" si="199"/>
        <v>161292</v>
      </c>
      <c r="DD194" s="142">
        <f t="shared" ca="1" si="200"/>
        <v>0.16190511618679165</v>
      </c>
      <c r="DE194" s="142">
        <f t="shared" ca="1" si="201"/>
        <v>0.18560126974679464</v>
      </c>
      <c r="DF194" s="142">
        <f t="shared" ca="1" si="202"/>
        <v>0.1133348213178583</v>
      </c>
      <c r="DG194" s="142">
        <f t="shared" ca="1" si="203"/>
        <v>0.53915879274855538</v>
      </c>
      <c r="DI194" s="128">
        <f t="shared" si="204"/>
        <v>12564</v>
      </c>
      <c r="DJ194" s="90">
        <f t="shared" si="205"/>
        <v>14437</v>
      </c>
      <c r="DK194" s="90">
        <f t="shared" si="206"/>
        <v>6632</v>
      </c>
      <c r="DL194" s="90">
        <f t="shared" ca="1" si="207"/>
        <v>12619</v>
      </c>
      <c r="DM194" s="90">
        <f t="shared" ca="1" si="208"/>
        <v>46252</v>
      </c>
      <c r="DN194" s="142">
        <f t="shared" ca="1" si="209"/>
        <v>0.27164230735968176</v>
      </c>
      <c r="DO194" s="142">
        <f t="shared" ca="1" si="210"/>
        <v>0.31213785349822709</v>
      </c>
      <c r="DP194" s="142">
        <f t="shared" ca="1" si="211"/>
        <v>0.14338839401539394</v>
      </c>
      <c r="DQ194" s="142">
        <f t="shared" ca="1" si="212"/>
        <v>0.27283144512669721</v>
      </c>
      <c r="DS194" s="128">
        <f t="shared" ca="1" si="213"/>
        <v>300859.5</v>
      </c>
      <c r="DT194" s="90">
        <f t="shared" ca="1" si="214"/>
        <v>161292</v>
      </c>
      <c r="DU194" s="90">
        <f t="shared" ca="1" si="215"/>
        <v>46252</v>
      </c>
      <c r="DV194" s="90">
        <f t="shared" si="216"/>
        <v>171</v>
      </c>
      <c r="DW194" s="90">
        <f ca="1">_xlfn.IFNA(INDEX(武器升级消耗!$H:$H,MATCH(玩家节奏1!DS194/玩家节奏1!DS$5,武器升级消耗!M:M,1)),0)</f>
        <v>48</v>
      </c>
      <c r="DX194" s="90">
        <f ca="1">_xlfn.IFNA(INDEX(武器升级消耗!$H:$H,MATCH(玩家节奏1!DT194/玩家节奏1!DT$5,武器升级消耗!N:N,1)),0)</f>
        <v>43</v>
      </c>
      <c r="DY194" s="90">
        <f ca="1">_xlfn.IFNA(INDEX(武器升级消耗!$H:$H,MATCH(玩家节奏1!DU194/玩家节奏1!DU$5,武器升级消耗!O:O,1)),0)</f>
        <v>30</v>
      </c>
      <c r="DZ194" s="90">
        <f>_xlfn.IFNA(INDEX(武器升级消耗!$H:$H,MATCH(玩家节奏1!DV194/玩家节奏1!DV$5,武器升级消耗!P:P,1)),0)</f>
        <v>14</v>
      </c>
      <c r="EA194" s="90">
        <f ca="1">_xlfn.IFNA(INDEX(武器升级消耗!$Q:$Q,MATCH(玩家节奏1!DW194,武器升级消耗!$H:$H,0))*2*EA$4,0)</f>
        <v>6.24</v>
      </c>
      <c r="EB194" s="90">
        <f ca="1">_xlfn.IFNA(INDEX(武器升级消耗!$Q:$Q,MATCH(玩家节奏1!DX194,武器升级消耗!$H:$H,0))*2*EB$4,0)</f>
        <v>7.0500000000000007</v>
      </c>
      <c r="EC194" s="90">
        <f ca="1">_xlfn.IFNA(INDEX(武器升级消耗!$Q:$Q,MATCH(玩家节奏1!DY194,武器升级消耗!$H:$H,0))*2*EC$4,1)</f>
        <v>7.48</v>
      </c>
      <c r="ED194" s="90">
        <f>_xlfn.IFNA(INDEX(武器升级消耗!$Q:$Q,MATCH(玩家节奏1!DZ194,武器升级消耗!$H:$H,0))*2*ED$4,0)</f>
        <v>5.4</v>
      </c>
    </row>
    <row r="195" spans="1:134" x14ac:dyDescent="0.25">
      <c r="A195" s="123">
        <v>189</v>
      </c>
      <c r="B195" s="123">
        <f>INDEX(关卡对比!$Y:$Y,MATCH(关卡对比!Z195,关卡对比!$AA:$AA,1))</f>
        <v>108</v>
      </c>
      <c r="C195" s="124">
        <f>INDEX(关卡对比!$Y:$Y,MATCH(关卡对比!Z195,关卡对比!$AB:$AB,1))</f>
        <v>81</v>
      </c>
      <c r="D195" s="125">
        <f t="shared" si="230"/>
        <v>1103.5</v>
      </c>
      <c r="E195" s="125">
        <v>3</v>
      </c>
      <c r="F195" s="128">
        <v>5</v>
      </c>
      <c r="G195" s="90">
        <v>1</v>
      </c>
      <c r="H195" s="90">
        <v>1</v>
      </c>
      <c r="J195" s="128">
        <v>189</v>
      </c>
      <c r="K195" s="90">
        <f t="shared" si="225"/>
        <v>5</v>
      </c>
      <c r="L195" s="90">
        <f t="shared" si="226"/>
        <v>1</v>
      </c>
      <c r="M195" s="90">
        <f t="shared" si="227"/>
        <v>1</v>
      </c>
      <c r="N195" s="140">
        <f>INDEX($A:$A,MATCH(SUM($K$7:K195),$D:$D,1))</f>
        <v>164</v>
      </c>
      <c r="O195" s="140">
        <v>0</v>
      </c>
      <c r="P195" s="141">
        <v>0</v>
      </c>
      <c r="Q195" s="126">
        <f>_xlfn.MAXIFS(关卡产出!X:X,关卡产出!$A:$A,玩家节奏1!$N$6,关卡产出!$B:$B,玩家节奏1!$N195)+_xlfn.MAXIFS(关卡产出!X:X,关卡产出!$A:$A,玩家节奏1!$O$6,关卡产出!$B:$B,玩家节奏1!$O195)+_xlfn.MAXIFS(关卡产出!X:X,关卡产出!$A:$A,玩家节奏1!$P$6,关卡产出!$B:$B,玩家节奏1!$P195)</f>
        <v>31300</v>
      </c>
      <c r="R195" s="90">
        <f>_xlfn.MAXIFS(关卡产出!Y:Y,关卡产出!$A:$A,玩家节奏1!$N$6,关卡产出!$B:$B,玩家节奏1!$N195)+_xlfn.MAXIFS(关卡产出!Y:Y,关卡产出!$A:$A,玩家节奏1!$O$6,关卡产出!$B:$B,玩家节奏1!$O195)+_xlfn.MAXIFS(关卡产出!Y:Y,关卡产出!$A:$A,玩家节奏1!$P$6,关卡产出!$B:$B,玩家节奏1!$P195)</f>
        <v>7750800</v>
      </c>
      <c r="S195" s="90">
        <f>_xlfn.MAXIFS(关卡产出!Z:Z,关卡产出!$A:$A,玩家节奏1!$N$6,关卡产出!$B:$B,玩家节奏1!$N195)+_xlfn.MAXIFS(关卡产出!Z:Z,关卡产出!$A:$A,玩家节奏1!$O$6,关卡产出!$B:$B,玩家节奏1!$O195)+_xlfn.MAXIFS(关卡产出!Z:Z,关卡产出!$A:$A,玩家节奏1!$P$6,关卡产出!$B:$B,玩家节奏1!$P195)</f>
        <v>52874</v>
      </c>
      <c r="T195" s="90">
        <f>_xlfn.MAXIFS(关卡产出!AA:AA,关卡产出!$A:$A,玩家节奏1!$N$6,关卡产出!$B:$B,玩家节奏1!$N195)+_xlfn.MAXIFS(关卡产出!AA:AA,关卡产出!$A:$A,玩家节奏1!$O$6,关卡产出!$B:$B,玩家节奏1!$O195)+_xlfn.MAXIFS(关卡产出!AA:AA,关卡产出!$A:$A,玩家节奏1!$P$6,关卡产出!$B:$B,玩家节奏1!$P195)</f>
        <v>26438</v>
      </c>
      <c r="U195" s="90">
        <f>_xlfn.MAXIFS(关卡产出!AB:AB,关卡产出!$A:$A,玩家节奏1!$N$6,关卡产出!$B:$B,玩家节奏1!$N195)+_xlfn.MAXIFS(关卡产出!AB:AB,关卡产出!$A:$A,玩家节奏1!$O$6,关卡产出!$B:$B,玩家节奏1!$O195)+_xlfn.MAXIFS(关卡产出!AB:AB,关卡产出!$A:$A,玩家节奏1!$P$6,关卡产出!$B:$B,玩家节奏1!$P195)</f>
        <v>12723</v>
      </c>
      <c r="V195" s="130">
        <f>_xlfn.MAXIFS(关卡产出!AC:AC,关卡产出!$A:$A,玩家节奏1!$N$6,关卡产出!$B:$B,玩家节奏1!$N195)+_xlfn.MAXIFS(关卡产出!AC:AC,关卡产出!$A:$A,玩家节奏1!$O$6,关卡产出!$B:$B,玩家节奏1!$O195)+_xlfn.MAXIFS(关卡产出!AC:AC,关卡产出!$A:$A,玩家节奏1!$P$6,关卡产出!$B:$B,玩家节奏1!$P195)</f>
        <v>984</v>
      </c>
      <c r="W195" s="126">
        <f>INDEX(关卡产出!C$8:C$207,MATCH(玩家节奏1!$N195,关卡产出!$B$8:$B$207,0))*$K195</f>
        <v>650</v>
      </c>
      <c r="X195" s="126">
        <f>INDEX(关卡产出!D$8:D$207,MATCH(玩家节奏1!$N195,关卡产出!$B$8:$B$207,0))*$K195</f>
        <v>325</v>
      </c>
      <c r="Y195" s="126">
        <f>INDEX(关卡产出!E$8:E$207,MATCH(玩家节奏1!$N195,关卡产出!$B$8:$B$207,0))*$K195</f>
        <v>160</v>
      </c>
      <c r="Z195" s="144">
        <f>INDEX(关卡产出!F$8:F$207,MATCH(玩家节奏1!$N195,关卡产出!$B$8:$B$207,0))*$K195</f>
        <v>8450</v>
      </c>
      <c r="AA195" s="126">
        <f>SUM(W$7:W195)</f>
        <v>60901</v>
      </c>
      <c r="AB195" s="126">
        <f>SUM(X$7:X195)</f>
        <v>30261</v>
      </c>
      <c r="AC195" s="126">
        <f>SUM(Y$7:Y195)</f>
        <v>14597</v>
      </c>
      <c r="AD195" s="126">
        <f>SUM(Z$7:Z195)</f>
        <v>832310</v>
      </c>
      <c r="AE195" s="126">
        <f>INDEX(图鉴!AQ:AQ,MATCH($N195,图鉴!$S:$S,0))*8</f>
        <v>168</v>
      </c>
      <c r="AF195" s="90">
        <f>INDEX(图鉴!AR:AR,MATCH($N195,图鉴!$S:$S,0))*8</f>
        <v>120</v>
      </c>
      <c r="AG195" s="90">
        <f>INDEX(图鉴!AS:AS,MATCH($N195,图鉴!$S:$S,0))*8</f>
        <v>48</v>
      </c>
      <c r="AH195" s="129">
        <f ca="1">INDEX(图鉴!AT:AT,MATCH($N195,图鉴!$S:$S,0))*8</f>
        <v>12120</v>
      </c>
      <c r="AI195" s="128">
        <f>SUM($AE$7:AE195)</f>
        <v>29328</v>
      </c>
      <c r="AJ195" s="90">
        <f>SUM(AF$7:AF195)</f>
        <v>18400</v>
      </c>
      <c r="AK195" s="90">
        <f>SUM(AG$7:AG195)</f>
        <v>6680</v>
      </c>
      <c r="AL195" s="130">
        <f ca="1">SUM(AH$7:AH195)</f>
        <v>1524840</v>
      </c>
      <c r="AM195" s="133">
        <f>IF(M195=0,0,INDEX(关卡产出!$AU$11:$AU$15,MATCH(玩家节奏1!N195,关卡产出!$AW$11:$AW$15,1))*M195)</f>
        <v>12200</v>
      </c>
      <c r="AN195" s="126">
        <f>IF(L195=0,0,$L195*关卡产出!AU$21)</f>
        <v>1000</v>
      </c>
      <c r="AO195" s="90">
        <f>IF(M195=0,0,$L195*关卡产出!AV$21)</f>
        <v>50</v>
      </c>
      <c r="AP195" s="129">
        <f>IF(N195=0,0,$L195*关卡产出!AW$21)</f>
        <v>1</v>
      </c>
      <c r="AQ195" s="138">
        <f>SUM(AN$7:AN195)</f>
        <v>172000</v>
      </c>
      <c r="AR195" s="126">
        <f>SUM(AO$7:AO195)</f>
        <v>8600</v>
      </c>
      <c r="AS195" s="129">
        <f>SUM(AP$7:AP195)</f>
        <v>172</v>
      </c>
      <c r="AT195" s="128">
        <v>500</v>
      </c>
      <c r="AU195" s="129">
        <v>100</v>
      </c>
      <c r="AV195" s="128">
        <f>SUM(AT$7:AT195)</f>
        <v>94500</v>
      </c>
      <c r="AW195" s="90">
        <f>SUM(AU$7:AU195)</f>
        <v>18900</v>
      </c>
      <c r="AY195" s="128">
        <f t="shared" si="167"/>
        <v>31300</v>
      </c>
      <c r="AZ195" s="90">
        <f t="shared" si="168"/>
        <v>8600</v>
      </c>
      <c r="BA195" s="90">
        <f t="shared" si="169"/>
        <v>18900</v>
      </c>
      <c r="BB195" s="90">
        <f t="shared" ca="1" si="217"/>
        <v>18200</v>
      </c>
      <c r="BC195" s="90">
        <f t="shared" ca="1" si="218"/>
        <v>77000</v>
      </c>
      <c r="BD195" s="90"/>
      <c r="BE195" s="90">
        <f t="shared" ca="1" si="170"/>
        <v>77000</v>
      </c>
      <c r="BF195" s="142">
        <f t="shared" ca="1" si="171"/>
        <v>0.40649350649350652</v>
      </c>
      <c r="BG195" s="142">
        <f t="shared" ca="1" si="172"/>
        <v>0.11168831168831168</v>
      </c>
      <c r="BH195" s="142">
        <f t="shared" ca="1" si="228"/>
        <v>0.24545454545454545</v>
      </c>
      <c r="BI195" s="142">
        <f t="shared" ca="1" si="229"/>
        <v>0.23636363636363636</v>
      </c>
      <c r="BJ195" s="143"/>
      <c r="BK195" s="128">
        <f ca="1">INDEX(商城宝箱!$L:$L,MATCH(BC195,商城宝箱!$N:$N,1))</f>
        <v>10</v>
      </c>
      <c r="BL195" s="90">
        <f ca="1">_xlfn.IFNA(INDEX(商城宝箱!T:T,MATCH(玩家节奏1!$BK195,商城宝箱!$L:$L,0)),0)+($BC195-INDEX(商城宝箱!$N:$N,MATCH(玩家节奏1!$BK195,商城宝箱!$L:$L,0)))/$BK$5*INDEX(商城宝箱!E$23:E$42,MATCH(玩家节奏1!$BK195+1,商城宝箱!$C$23:$C$42,0))</f>
        <v>192500</v>
      </c>
      <c r="BM195" s="90">
        <f ca="1">_xlfn.IFNA(INDEX(商城宝箱!U:U,MATCH(玩家节奏1!$BK195,商城宝箱!$L:$L,0)),0)+($BC195-INDEX(商城宝箱!$N:$N,MATCH(玩家节奏1!$BK195,商城宝箱!$L:$L,0)))/$BK$5*INDEX(商城宝箱!F$23:F$42,MATCH(玩家节奏1!$BK195+1,商城宝箱!$C$23:$C$42,0))</f>
        <v>160342.5</v>
      </c>
      <c r="BN195" s="90">
        <f ca="1">_xlfn.IFNA(INDEX(商城宝箱!V:V,MATCH(玩家节奏1!$BK195,商城宝箱!$L:$L,0)),0)+($BC195-INDEX(商城宝箱!$N:$N,MATCH(玩家节奏1!$BK195,商城宝箱!$L:$L,0)))/$BK$5*INDEX(商城宝箱!G$23:G$42,MATCH(玩家节奏1!$BK195+1,商城宝箱!$C$23:$C$42,0))</f>
        <v>87487</v>
      </c>
      <c r="BO195" s="90">
        <f ca="1">_xlfn.IFNA(INDEX(商城宝箱!W:W,MATCH(玩家节奏1!$BK195,商城宝箱!$L:$L,0)),0)+($BC195-INDEX(商城宝箱!$N:$N,MATCH(玩家节奏1!$BK195,商城宝箱!$L:$L,0)))/$BK$5*INDEX(商城宝箱!H$23:H$42,MATCH(玩家节奏1!$BK195+1,商城宝箱!$C$23:$C$42,0))</f>
        <v>12706.5</v>
      </c>
      <c r="BQ195" s="128">
        <f t="shared" si="219"/>
        <v>7750800</v>
      </c>
      <c r="BR195" s="90">
        <f t="shared" si="220"/>
        <v>832310</v>
      </c>
      <c r="BS195" s="90">
        <f t="shared" ca="1" si="221"/>
        <v>1524840</v>
      </c>
      <c r="BT195" s="90">
        <f t="shared" si="222"/>
        <v>12200</v>
      </c>
      <c r="BU195" s="90">
        <f t="shared" si="223"/>
        <v>172000</v>
      </c>
      <c r="BV195" s="90">
        <f t="shared" si="224"/>
        <v>94500</v>
      </c>
      <c r="BW195" s="90">
        <f t="shared" ca="1" si="175"/>
        <v>192500</v>
      </c>
      <c r="BX195" s="90">
        <f t="shared" ca="1" si="176"/>
        <v>10579150</v>
      </c>
      <c r="BY195" s="142">
        <f t="shared" ca="1" si="177"/>
        <v>0.73264865324718909</v>
      </c>
      <c r="BZ195" s="142">
        <f t="shared" ca="1" si="178"/>
        <v>7.8674562701162187E-2</v>
      </c>
      <c r="CA195" s="142">
        <f t="shared" ca="1" si="179"/>
        <v>0.1441363436570991</v>
      </c>
      <c r="CB195" s="142">
        <f t="shared" ca="1" si="180"/>
        <v>1.1532117419641465E-3</v>
      </c>
      <c r="CC195" s="142">
        <f t="shared" ca="1" si="181"/>
        <v>1.6258395050642065E-2</v>
      </c>
      <c r="CD195" s="142">
        <f t="shared" ca="1" si="182"/>
        <v>8.9326647225911344E-3</v>
      </c>
      <c r="CE195" s="142">
        <f t="shared" ca="1" si="183"/>
        <v>1.8196168879352312E-2</v>
      </c>
      <c r="CG195" s="128">
        <f t="shared" si="184"/>
        <v>164</v>
      </c>
      <c r="CH195" s="90">
        <f ca="1">INDEX(角色升级!$A:$A,MATCH(玩家节奏1!$BX195,角色升级!$J:$J,1))</f>
        <v>739</v>
      </c>
      <c r="CI195" s="90">
        <f ca="1">INDEX(角色升级!$O:$O,MATCH(玩家节奏1!$BX195,角色升级!$J:$J,1))</f>
        <v>45197.349600000001</v>
      </c>
      <c r="CJ195" s="90">
        <f>INDEX(关卡对比!$J:$J,MATCH(玩家节奏1!N195,关卡对比!$A:$A,0))</f>
        <v>68200</v>
      </c>
      <c r="CK195" s="147">
        <f t="shared" ca="1" si="185"/>
        <v>1.5089380373755368</v>
      </c>
      <c r="CL195" s="128">
        <f ca="1">INDEX(角色升级!$P:$P,MATCH(玩家节奏1!$CH195,角色升级!$A:$A,0))</f>
        <v>18200</v>
      </c>
      <c r="CM195" s="90">
        <f ca="1">INDEX(角色升级!Q:Q,MATCH(玩家节奏1!$CH195,角色升级!$A:$A,0))</f>
        <v>1.3</v>
      </c>
      <c r="CO195" s="128">
        <f t="shared" si="186"/>
        <v>52874</v>
      </c>
      <c r="CP195" s="90">
        <f t="shared" si="187"/>
        <v>60901</v>
      </c>
      <c r="CQ195" s="90">
        <f t="shared" si="188"/>
        <v>29328</v>
      </c>
      <c r="CR195" s="90">
        <f t="shared" ca="1" si="189"/>
        <v>160342.5</v>
      </c>
      <c r="CS195" s="90">
        <f t="shared" ca="1" si="190"/>
        <v>303445.5</v>
      </c>
      <c r="CT195" s="142">
        <f t="shared" ca="1" si="191"/>
        <v>0.17424545758628815</v>
      </c>
      <c r="CU195" s="142">
        <f t="shared" ca="1" si="192"/>
        <v>0.20069831320616058</v>
      </c>
      <c r="CV195" s="142">
        <f t="shared" ca="1" si="193"/>
        <v>9.6649975036703459E-2</v>
      </c>
      <c r="CW195" s="142">
        <f t="shared" ca="1" si="194"/>
        <v>0.52840625417084786</v>
      </c>
      <c r="CY195" s="128">
        <f t="shared" si="195"/>
        <v>26438</v>
      </c>
      <c r="CZ195" s="90">
        <f t="shared" si="196"/>
        <v>30261</v>
      </c>
      <c r="DA195" s="90">
        <f t="shared" si="197"/>
        <v>18400</v>
      </c>
      <c r="DB195" s="90">
        <f t="shared" ca="1" si="198"/>
        <v>87487</v>
      </c>
      <c r="DC195" s="90">
        <f t="shared" ca="1" si="199"/>
        <v>162586</v>
      </c>
      <c r="DD195" s="142">
        <f t="shared" ca="1" si="200"/>
        <v>0.16260932675630127</v>
      </c>
      <c r="DE195" s="142">
        <f t="shared" ca="1" si="201"/>
        <v>0.18612303642380032</v>
      </c>
      <c r="DF195" s="142">
        <f t="shared" ca="1" si="202"/>
        <v>0.11317087572115681</v>
      </c>
      <c r="DG195" s="142">
        <f t="shared" ca="1" si="203"/>
        <v>0.5380967610987416</v>
      </c>
      <c r="DI195" s="128">
        <f t="shared" si="204"/>
        <v>12723</v>
      </c>
      <c r="DJ195" s="90">
        <f t="shared" si="205"/>
        <v>14597</v>
      </c>
      <c r="DK195" s="90">
        <f t="shared" si="206"/>
        <v>6680</v>
      </c>
      <c r="DL195" s="90">
        <f t="shared" ca="1" si="207"/>
        <v>12706.5</v>
      </c>
      <c r="DM195" s="90">
        <f t="shared" ca="1" si="208"/>
        <v>46706.5</v>
      </c>
      <c r="DN195" s="142">
        <f t="shared" ca="1" si="209"/>
        <v>0.27240319869825397</v>
      </c>
      <c r="DO195" s="142">
        <f t="shared" ca="1" si="210"/>
        <v>0.31252609379850771</v>
      </c>
      <c r="DP195" s="142">
        <f t="shared" ca="1" si="211"/>
        <v>0.1430207786924732</v>
      </c>
      <c r="DQ195" s="142">
        <f t="shared" ca="1" si="212"/>
        <v>0.27204992881076512</v>
      </c>
      <c r="DS195" s="128">
        <f t="shared" ca="1" si="213"/>
        <v>303445.5</v>
      </c>
      <c r="DT195" s="90">
        <f t="shared" ca="1" si="214"/>
        <v>162586</v>
      </c>
      <c r="DU195" s="90">
        <f t="shared" ca="1" si="215"/>
        <v>46706.5</v>
      </c>
      <c r="DV195" s="90">
        <f t="shared" si="216"/>
        <v>172</v>
      </c>
      <c r="DW195" s="90">
        <f ca="1">_xlfn.IFNA(INDEX(武器升级消耗!$H:$H,MATCH(玩家节奏1!DS195/玩家节奏1!DS$5,武器升级消耗!M:M,1)),0)</f>
        <v>49</v>
      </c>
      <c r="DX195" s="90">
        <f ca="1">_xlfn.IFNA(INDEX(武器升级消耗!$H:$H,MATCH(玩家节奏1!DT195/玩家节奏1!DT$5,武器升级消耗!N:N,1)),0)</f>
        <v>43</v>
      </c>
      <c r="DY195" s="90">
        <f ca="1">_xlfn.IFNA(INDEX(武器升级消耗!$H:$H,MATCH(玩家节奏1!DU195/玩家节奏1!DU$5,武器升级消耗!O:O,1)),0)</f>
        <v>30</v>
      </c>
      <c r="DZ195" s="90">
        <f>_xlfn.IFNA(INDEX(武器升级消耗!$H:$H,MATCH(玩家节奏1!DV195/玩家节奏1!DV$5,武器升级消耗!P:P,1)),0)</f>
        <v>14</v>
      </c>
      <c r="EA195" s="90">
        <f ca="1">_xlfn.IFNA(INDEX(武器升级消耗!$Q:$Q,MATCH(玩家节奏1!DW195,武器升级消耗!$H:$H,0))*2*EA$4,0)</f>
        <v>6.3599999999999994</v>
      </c>
      <c r="EB195" s="90">
        <f ca="1">_xlfn.IFNA(INDEX(武器升级消耗!$Q:$Q,MATCH(玩家节奏1!DX195,武器升级消耗!$H:$H,0))*2*EB$4,0)</f>
        <v>7.0500000000000007</v>
      </c>
      <c r="EC195" s="90">
        <f ca="1">_xlfn.IFNA(INDEX(武器升级消耗!$Q:$Q,MATCH(玩家节奏1!DY195,武器升级消耗!$H:$H,0))*2*EC$4,1)</f>
        <v>7.48</v>
      </c>
      <c r="ED195" s="90">
        <f>_xlfn.IFNA(INDEX(武器升级消耗!$Q:$Q,MATCH(玩家节奏1!DZ195,武器升级消耗!$H:$H,0))*2*ED$4,0)</f>
        <v>5.4</v>
      </c>
    </row>
    <row r="196" spans="1:134" x14ac:dyDescent="0.25">
      <c r="A196" s="123">
        <v>190</v>
      </c>
      <c r="B196" s="123">
        <f>INDEX(关卡对比!$Y:$Y,MATCH(关卡对比!Z196,关卡对比!$AA:$AA,1))</f>
        <v>108</v>
      </c>
      <c r="C196" s="124">
        <f>INDEX(关卡对比!$Y:$Y,MATCH(关卡对比!Z196,关卡对比!$AB:$AB,1))</f>
        <v>81</v>
      </c>
      <c r="D196" s="125">
        <f t="shared" si="230"/>
        <v>1106.5</v>
      </c>
      <c r="E196" s="125">
        <v>3</v>
      </c>
      <c r="F196" s="128">
        <v>5</v>
      </c>
      <c r="G196" s="90">
        <v>1</v>
      </c>
      <c r="H196" s="90">
        <v>1</v>
      </c>
      <c r="J196" s="128">
        <v>190</v>
      </c>
      <c r="K196" s="90">
        <f t="shared" si="225"/>
        <v>5</v>
      </c>
      <c r="L196" s="90">
        <f t="shared" si="226"/>
        <v>1</v>
      </c>
      <c r="M196" s="90">
        <f t="shared" si="227"/>
        <v>1</v>
      </c>
      <c r="N196" s="140">
        <f>INDEX($A:$A,MATCH(SUM($K$7:K196),$D:$D,1))</f>
        <v>165</v>
      </c>
      <c r="O196" s="140">
        <v>0</v>
      </c>
      <c r="P196" s="141">
        <v>0</v>
      </c>
      <c r="Q196" s="126">
        <f>_xlfn.MAXIFS(关卡产出!X:X,关卡产出!$A:$A,玩家节奏1!$N$6,关卡产出!$B:$B,玩家节奏1!$N196)+_xlfn.MAXIFS(关卡产出!X:X,关卡产出!$A:$A,玩家节奏1!$O$6,关卡产出!$B:$B,玩家节奏1!$O196)+_xlfn.MAXIFS(关卡产出!X:X,关卡产出!$A:$A,玩家节奏1!$P$6,关卡产出!$B:$B,玩家节奏1!$P196)</f>
        <v>31500</v>
      </c>
      <c r="R196" s="90">
        <f>_xlfn.MAXIFS(关卡产出!Y:Y,关卡产出!$A:$A,玩家节奏1!$N$6,关卡产出!$B:$B,玩家节奏1!$N196)+_xlfn.MAXIFS(关卡产出!Y:Y,关卡产出!$A:$A,玩家节奏1!$O$6,关卡产出!$B:$B,玩家节奏1!$O196)+_xlfn.MAXIFS(关卡产出!Y:Y,关卡产出!$A:$A,玩家节奏1!$P$6,关卡产出!$B:$B,玩家节奏1!$P196)</f>
        <v>7847500</v>
      </c>
      <c r="S196" s="90">
        <f>_xlfn.MAXIFS(关卡产出!Z:Z,关卡产出!$A:$A,玩家节奏1!$N$6,关卡产出!$B:$B,玩家节奏1!$N196)+_xlfn.MAXIFS(关卡产出!Z:Z,关卡产出!$A:$A,玩家节奏1!$O$6,关卡产出!$B:$B,玩家节奏1!$O196)+_xlfn.MAXIFS(关卡产出!Z:Z,关卡产出!$A:$A,玩家节奏1!$P$6,关卡产出!$B:$B,玩家节奏1!$P196)</f>
        <v>53526</v>
      </c>
      <c r="T196" s="90">
        <f>_xlfn.MAXIFS(关卡产出!AA:AA,关卡产出!$A:$A,玩家节奏1!$N$6,关卡产出!$B:$B,玩家节奏1!$N196)+_xlfn.MAXIFS(关卡产出!AA:AA,关卡产出!$A:$A,玩家节奏1!$O$6,关卡产出!$B:$B,玩家节奏1!$O196)+_xlfn.MAXIFS(关卡产出!AA:AA,关卡产出!$A:$A,玩家节奏1!$P$6,关卡产出!$B:$B,玩家节奏1!$P196)</f>
        <v>26764</v>
      </c>
      <c r="U196" s="90">
        <f>_xlfn.MAXIFS(关卡产出!AB:AB,关卡产出!$A:$A,玩家节奏1!$N$6,关卡产出!$B:$B,玩家节奏1!$N196)+_xlfn.MAXIFS(关卡产出!AB:AB,关卡产出!$A:$A,玩家节奏1!$O$6,关卡产出!$B:$B,玩家节奏1!$O196)+_xlfn.MAXIFS(关卡产出!AB:AB,关卡产出!$A:$A,玩家节奏1!$P$6,关卡产出!$B:$B,玩家节奏1!$P196)</f>
        <v>12883</v>
      </c>
      <c r="V196" s="130">
        <f>_xlfn.MAXIFS(关卡产出!AC:AC,关卡产出!$A:$A,玩家节奏1!$N$6,关卡产出!$B:$B,玩家节奏1!$N196)+_xlfn.MAXIFS(关卡产出!AC:AC,关卡产出!$A:$A,玩家节奏1!$O$6,关卡产出!$B:$B,玩家节奏1!$O196)+_xlfn.MAXIFS(关卡产出!AC:AC,关卡产出!$A:$A,玩家节奏1!$P$6,关卡产出!$B:$B,玩家节奏1!$P196)</f>
        <v>990</v>
      </c>
      <c r="W196" s="126">
        <f>INDEX(关卡产出!C$8:C$207,MATCH(玩家节奏1!$N196,关卡产出!$B$8:$B$207,0))*$K196</f>
        <v>650</v>
      </c>
      <c r="X196" s="126">
        <f>INDEX(关卡产出!D$8:D$207,MATCH(玩家节奏1!$N196,关卡产出!$B$8:$B$207,0))*$K196</f>
        <v>325</v>
      </c>
      <c r="Y196" s="126">
        <f>INDEX(关卡产出!E$8:E$207,MATCH(玩家节奏1!$N196,关卡产出!$B$8:$B$207,0))*$K196</f>
        <v>160</v>
      </c>
      <c r="Z196" s="144">
        <f>INDEX(关卡产出!F$8:F$207,MATCH(玩家节奏1!$N196,关卡产出!$B$8:$B$207,0))*$K196</f>
        <v>8550</v>
      </c>
      <c r="AA196" s="126">
        <f>SUM(W$7:W196)</f>
        <v>61551</v>
      </c>
      <c r="AB196" s="126">
        <f>SUM(X$7:X196)</f>
        <v>30586</v>
      </c>
      <c r="AC196" s="126">
        <f>SUM(Y$7:Y196)</f>
        <v>14757</v>
      </c>
      <c r="AD196" s="126">
        <f>SUM(Z$7:Z196)</f>
        <v>840860</v>
      </c>
      <c r="AE196" s="126">
        <f>INDEX(图鉴!AQ:AQ,MATCH($N196,图鉴!$S:$S,0))*8</f>
        <v>168</v>
      </c>
      <c r="AF196" s="90">
        <f>INDEX(图鉴!AR:AR,MATCH($N196,图鉴!$S:$S,0))*8</f>
        <v>120</v>
      </c>
      <c r="AG196" s="90">
        <f>INDEX(图鉴!AS:AS,MATCH($N196,图鉴!$S:$S,0))*8</f>
        <v>48</v>
      </c>
      <c r="AH196" s="129">
        <f ca="1">INDEX(图鉴!AT:AT,MATCH($N196,图鉴!$S:$S,0))*8</f>
        <v>12120</v>
      </c>
      <c r="AI196" s="128">
        <f>SUM($AE$7:AE196)</f>
        <v>29496</v>
      </c>
      <c r="AJ196" s="90">
        <f>SUM(AF$7:AF196)</f>
        <v>18520</v>
      </c>
      <c r="AK196" s="90">
        <f>SUM(AG$7:AG196)</f>
        <v>6728</v>
      </c>
      <c r="AL196" s="130">
        <f ca="1">SUM(AH$7:AH196)</f>
        <v>1536960</v>
      </c>
      <c r="AM196" s="133">
        <f>IF(M196=0,0,INDEX(关卡产出!$AU$11:$AU$15,MATCH(玩家节奏1!N196,关卡产出!$AW$11:$AW$15,1))*M196)</f>
        <v>12200</v>
      </c>
      <c r="AN196" s="126">
        <f>IF(L196=0,0,$L196*关卡产出!AU$21)</f>
        <v>1000</v>
      </c>
      <c r="AO196" s="90">
        <f>IF(M196=0,0,$L196*关卡产出!AV$21)</f>
        <v>50</v>
      </c>
      <c r="AP196" s="129">
        <f>IF(N196=0,0,$L196*关卡产出!AW$21)</f>
        <v>1</v>
      </c>
      <c r="AQ196" s="138">
        <f>SUM(AN$7:AN196)</f>
        <v>173000</v>
      </c>
      <c r="AR196" s="126">
        <f>SUM(AO$7:AO196)</f>
        <v>8650</v>
      </c>
      <c r="AS196" s="129">
        <f>SUM(AP$7:AP196)</f>
        <v>173</v>
      </c>
      <c r="AT196" s="128">
        <v>500</v>
      </c>
      <c r="AU196" s="129">
        <v>100</v>
      </c>
      <c r="AV196" s="128">
        <f>SUM(AT$7:AT196)</f>
        <v>95000</v>
      </c>
      <c r="AW196" s="90">
        <f>SUM(AU$7:AU196)</f>
        <v>19000</v>
      </c>
      <c r="AY196" s="128">
        <f t="shared" si="167"/>
        <v>31500</v>
      </c>
      <c r="AZ196" s="90">
        <f t="shared" si="168"/>
        <v>8650</v>
      </c>
      <c r="BA196" s="90">
        <f t="shared" si="169"/>
        <v>19000</v>
      </c>
      <c r="BB196" s="90">
        <f t="shared" ca="1" si="217"/>
        <v>18200</v>
      </c>
      <c r="BC196" s="90">
        <f t="shared" ca="1" si="218"/>
        <v>77350</v>
      </c>
      <c r="BD196" s="90"/>
      <c r="BE196" s="90">
        <f t="shared" ca="1" si="170"/>
        <v>77350</v>
      </c>
      <c r="BF196" s="142">
        <f t="shared" ca="1" si="171"/>
        <v>0.40723981900452488</v>
      </c>
      <c r="BG196" s="142">
        <f t="shared" ca="1" si="172"/>
        <v>0.11182934712346478</v>
      </c>
      <c r="BH196" s="142">
        <f t="shared" ca="1" si="228"/>
        <v>0.24563671622495151</v>
      </c>
      <c r="BI196" s="142">
        <f t="shared" ca="1" si="229"/>
        <v>0.23529411764705882</v>
      </c>
      <c r="BJ196" s="143"/>
      <c r="BK196" s="128">
        <f ca="1">INDEX(商城宝箱!$L:$L,MATCH(BC196,商城宝箱!$N:$N,1))</f>
        <v>10</v>
      </c>
      <c r="BL196" s="90">
        <f ca="1">_xlfn.IFNA(INDEX(商城宝箱!T:T,MATCH(玩家节奏1!$BK196,商城宝箱!$L:$L,0)),0)+($BC196-INDEX(商城宝箱!$N:$N,MATCH(玩家节奏1!$BK196,商城宝箱!$L:$L,0)))/$BK$5*INDEX(商城宝箱!E$23:E$42,MATCH(玩家节奏1!$BK196+1,商城宝箱!$C$23:$C$42,0))</f>
        <v>193375</v>
      </c>
      <c r="BM196" s="90">
        <f ca="1">_xlfn.IFNA(INDEX(商城宝箱!U:U,MATCH(玩家节奏1!$BK196,商城宝箱!$L:$L,0)),0)+($BC196-INDEX(商城宝箱!$N:$N,MATCH(玩家节奏1!$BK196,商城宝箱!$L:$L,0)))/$BK$5*INDEX(商城宝箱!F$23:F$42,MATCH(玩家节奏1!$BK196+1,商城宝箱!$C$23:$C$42,0))</f>
        <v>161462.5</v>
      </c>
      <c r="BN196" s="90">
        <f ca="1">_xlfn.IFNA(INDEX(商城宝箱!V:V,MATCH(玩家节奏1!$BK196,商城宝箱!$L:$L,0)),0)+($BC196-INDEX(商城宝箱!$N:$N,MATCH(玩家节奏1!$BK196,商城宝箱!$L:$L,0)))/$BK$5*INDEX(商城宝箱!G$23:G$42,MATCH(玩家节奏1!$BK196+1,商城宝箱!$C$23:$C$42,0))</f>
        <v>88012</v>
      </c>
      <c r="BO196" s="90">
        <f ca="1">_xlfn.IFNA(INDEX(商城宝箱!W:W,MATCH(玩家节奏1!$BK196,商城宝箱!$L:$L,0)),0)+($BC196-INDEX(商城宝箱!$N:$N,MATCH(玩家节奏1!$BK196,商城宝箱!$L:$L,0)))/$BK$5*INDEX(商城宝箱!H$23:H$42,MATCH(玩家节奏1!$BK196+1,商城宝箱!$C$23:$C$42,0))</f>
        <v>12794</v>
      </c>
      <c r="BQ196" s="128">
        <f t="shared" si="219"/>
        <v>7847500</v>
      </c>
      <c r="BR196" s="90">
        <f t="shared" si="220"/>
        <v>840860</v>
      </c>
      <c r="BS196" s="90">
        <f t="shared" ca="1" si="221"/>
        <v>1536960</v>
      </c>
      <c r="BT196" s="90">
        <f t="shared" si="222"/>
        <v>12200</v>
      </c>
      <c r="BU196" s="90">
        <f t="shared" si="223"/>
        <v>173000</v>
      </c>
      <c r="BV196" s="90">
        <f t="shared" si="224"/>
        <v>95000</v>
      </c>
      <c r="BW196" s="90">
        <f t="shared" ca="1" si="175"/>
        <v>193375</v>
      </c>
      <c r="BX196" s="90">
        <f t="shared" ca="1" si="176"/>
        <v>10698895</v>
      </c>
      <c r="BY196" s="142">
        <f t="shared" ca="1" si="177"/>
        <v>0.73348696290598236</v>
      </c>
      <c r="BZ196" s="142">
        <f t="shared" ca="1" si="178"/>
        <v>7.859316312572466E-2</v>
      </c>
      <c r="CA196" s="142">
        <f t="shared" ca="1" si="179"/>
        <v>0.14365595699368955</v>
      </c>
      <c r="CB196" s="142">
        <f t="shared" ca="1" si="180"/>
        <v>1.1403046763240503E-3</v>
      </c>
      <c r="CC196" s="142">
        <f t="shared" ca="1" si="181"/>
        <v>1.6169894180660713E-2</v>
      </c>
      <c r="CD196" s="142">
        <f t="shared" ca="1" si="182"/>
        <v>8.8794216599003915E-3</v>
      </c>
      <c r="CE196" s="142">
        <f t="shared" ca="1" si="183"/>
        <v>1.8074296457718297E-2</v>
      </c>
      <c r="CG196" s="128">
        <f t="shared" si="184"/>
        <v>165</v>
      </c>
      <c r="CH196" s="90">
        <f ca="1">INDEX(角色升级!$A:$A,MATCH(玩家节奏1!$BX196,角色升级!$J:$J,1))</f>
        <v>744</v>
      </c>
      <c r="CI196" s="90">
        <f ca="1">INDEX(角色升级!$O:$O,MATCH(玩家节奏1!$BX196,角色升级!$J:$J,1))</f>
        <v>45314.375724999998</v>
      </c>
      <c r="CJ196" s="90">
        <f>INDEX(关卡对比!$J:$J,MATCH(玩家节奏1!N196,关卡对比!$A:$A,0))</f>
        <v>68700</v>
      </c>
      <c r="CK196" s="147">
        <f t="shared" ca="1" si="185"/>
        <v>1.5160751726322057</v>
      </c>
      <c r="CL196" s="128">
        <f ca="1">INDEX(角色升级!$P:$P,MATCH(玩家节奏1!$CH196,角色升级!$A:$A,0))</f>
        <v>18200</v>
      </c>
      <c r="CM196" s="90">
        <f ca="1">INDEX(角色升级!Q:Q,MATCH(玩家节奏1!$CH196,角色升级!$A:$A,0))</f>
        <v>1.4</v>
      </c>
      <c r="CO196" s="128">
        <f t="shared" si="186"/>
        <v>53526</v>
      </c>
      <c r="CP196" s="90">
        <f t="shared" si="187"/>
        <v>61551</v>
      </c>
      <c r="CQ196" s="90">
        <f t="shared" si="188"/>
        <v>29496</v>
      </c>
      <c r="CR196" s="90">
        <f t="shared" ca="1" si="189"/>
        <v>161462.5</v>
      </c>
      <c r="CS196" s="90">
        <f t="shared" ca="1" si="190"/>
        <v>306035.5</v>
      </c>
      <c r="CT196" s="142">
        <f t="shared" ca="1" si="191"/>
        <v>0.17490127779293579</v>
      </c>
      <c r="CU196" s="142">
        <f t="shared" ca="1" si="192"/>
        <v>0.2011237258422634</v>
      </c>
      <c r="CV196" s="142">
        <f t="shared" ca="1" si="193"/>
        <v>9.6380975409715533E-2</v>
      </c>
      <c r="CW196" s="142">
        <f t="shared" ca="1" si="194"/>
        <v>0.52759402095508523</v>
      </c>
      <c r="CY196" s="128">
        <f t="shared" si="195"/>
        <v>26764</v>
      </c>
      <c r="CZ196" s="90">
        <f t="shared" si="196"/>
        <v>30586</v>
      </c>
      <c r="DA196" s="90">
        <f t="shared" si="197"/>
        <v>18520</v>
      </c>
      <c r="DB196" s="90">
        <f t="shared" ca="1" si="198"/>
        <v>88012</v>
      </c>
      <c r="DC196" s="90">
        <f t="shared" ca="1" si="199"/>
        <v>163882</v>
      </c>
      <c r="DD196" s="142">
        <f t="shared" ca="1" si="200"/>
        <v>0.16331262737823557</v>
      </c>
      <c r="DE196" s="142">
        <f t="shared" ca="1" si="201"/>
        <v>0.18663428564454912</v>
      </c>
      <c r="DF196" s="142">
        <f t="shared" ca="1" si="202"/>
        <v>0.11300814000317301</v>
      </c>
      <c r="DG196" s="142">
        <f t="shared" ca="1" si="203"/>
        <v>0.53704494697404226</v>
      </c>
      <c r="DI196" s="128">
        <f t="shared" si="204"/>
        <v>12883</v>
      </c>
      <c r="DJ196" s="90">
        <f t="shared" si="205"/>
        <v>14757</v>
      </c>
      <c r="DK196" s="90">
        <f t="shared" si="206"/>
        <v>6728</v>
      </c>
      <c r="DL196" s="90">
        <f t="shared" ca="1" si="207"/>
        <v>12794</v>
      </c>
      <c r="DM196" s="90">
        <f t="shared" ca="1" si="208"/>
        <v>47162</v>
      </c>
      <c r="DN196" s="142">
        <f t="shared" ca="1" si="209"/>
        <v>0.27316483609685765</v>
      </c>
      <c r="DO196" s="142">
        <f t="shared" ca="1" si="210"/>
        <v>0.31290021627581527</v>
      </c>
      <c r="DP196" s="142">
        <f t="shared" ca="1" si="211"/>
        <v>0.14265722403630041</v>
      </c>
      <c r="DQ196" s="142">
        <f t="shared" ca="1" si="212"/>
        <v>0.2712777235910267</v>
      </c>
      <c r="DS196" s="128">
        <f t="shared" ca="1" si="213"/>
        <v>306035.5</v>
      </c>
      <c r="DT196" s="90">
        <f t="shared" ca="1" si="214"/>
        <v>163882</v>
      </c>
      <c r="DU196" s="90">
        <f t="shared" ca="1" si="215"/>
        <v>47162</v>
      </c>
      <c r="DV196" s="90">
        <f t="shared" si="216"/>
        <v>173</v>
      </c>
      <c r="DW196" s="90">
        <f ca="1">_xlfn.IFNA(INDEX(武器升级消耗!$H:$H,MATCH(玩家节奏1!DS196/玩家节奏1!DS$5,武器升级消耗!M:M,1)),0)</f>
        <v>49</v>
      </c>
      <c r="DX196" s="90">
        <f ca="1">_xlfn.IFNA(INDEX(武器升级消耗!$H:$H,MATCH(玩家节奏1!DT196/玩家节奏1!DT$5,武器升级消耗!N:N,1)),0)</f>
        <v>43</v>
      </c>
      <c r="DY196" s="90">
        <f ca="1">_xlfn.IFNA(INDEX(武器升级消耗!$H:$H,MATCH(玩家节奏1!DU196/玩家节奏1!DU$5,武器升级消耗!O:O,1)),0)</f>
        <v>30</v>
      </c>
      <c r="DZ196" s="90">
        <f>_xlfn.IFNA(INDEX(武器升级消耗!$H:$H,MATCH(玩家节奏1!DV196/玩家节奏1!DV$5,武器升级消耗!P:P,1)),0)</f>
        <v>14</v>
      </c>
      <c r="EA196" s="90">
        <f ca="1">_xlfn.IFNA(INDEX(武器升级消耗!$Q:$Q,MATCH(玩家节奏1!DW196,武器升级消耗!$H:$H,0))*2*EA$4,0)</f>
        <v>6.3599999999999994</v>
      </c>
      <c r="EB196" s="90">
        <f ca="1">_xlfn.IFNA(INDEX(武器升级消耗!$Q:$Q,MATCH(玩家节奏1!DX196,武器升级消耗!$H:$H,0))*2*EB$4,0)</f>
        <v>7.0500000000000007</v>
      </c>
      <c r="EC196" s="90">
        <f ca="1">_xlfn.IFNA(INDEX(武器升级消耗!$Q:$Q,MATCH(玩家节奏1!DY196,武器升级消耗!$H:$H,0))*2*EC$4,1)</f>
        <v>7.48</v>
      </c>
      <c r="ED196" s="90">
        <f>_xlfn.IFNA(INDEX(武器升级消耗!$Q:$Q,MATCH(玩家节奏1!DZ196,武器升级消耗!$H:$H,0))*2*ED$4,0)</f>
        <v>5.4</v>
      </c>
    </row>
    <row r="197" spans="1:134" x14ac:dyDescent="0.25">
      <c r="A197" s="123">
        <v>191</v>
      </c>
      <c r="B197" s="123">
        <f>INDEX(关卡对比!$Y:$Y,MATCH(关卡对比!Z197,关卡对比!$AA:$AA,1))</f>
        <v>109</v>
      </c>
      <c r="C197" s="124">
        <f>INDEX(关卡对比!$Y:$Y,MATCH(关卡对比!Z197,关卡对比!$AB:$AB,1))</f>
        <v>82</v>
      </c>
      <c r="D197" s="125">
        <f t="shared" si="230"/>
        <v>1115.5</v>
      </c>
      <c r="E197" s="125">
        <v>3</v>
      </c>
      <c r="F197" s="128">
        <v>5</v>
      </c>
      <c r="G197" s="90">
        <v>1</v>
      </c>
      <c r="H197" s="90">
        <v>1</v>
      </c>
      <c r="J197" s="128">
        <v>191</v>
      </c>
      <c r="K197" s="90">
        <f t="shared" si="225"/>
        <v>5</v>
      </c>
      <c r="L197" s="90">
        <f t="shared" si="226"/>
        <v>1</v>
      </c>
      <c r="M197" s="90">
        <f t="shared" si="227"/>
        <v>1</v>
      </c>
      <c r="N197" s="140">
        <f>INDEX($A:$A,MATCH(SUM($K$7:K197),$D:$D,1))</f>
        <v>166</v>
      </c>
      <c r="O197" s="140">
        <v>0</v>
      </c>
      <c r="P197" s="141">
        <v>0</v>
      </c>
      <c r="Q197" s="126">
        <f>_xlfn.MAXIFS(关卡产出!X:X,关卡产出!$A:$A,玩家节奏1!$N$6,关卡产出!$B:$B,玩家节奏1!$N197)+_xlfn.MAXIFS(关卡产出!X:X,关卡产出!$A:$A,玩家节奏1!$O$6,关卡产出!$B:$B,玩家节奏1!$O197)+_xlfn.MAXIFS(关卡产出!X:X,关卡产出!$A:$A,玩家节奏1!$P$6,关卡产出!$B:$B,玩家节奏1!$P197)</f>
        <v>31700</v>
      </c>
      <c r="R197" s="90">
        <f>_xlfn.MAXIFS(关卡产出!Y:Y,关卡产出!$A:$A,玩家节奏1!$N$6,关卡产出!$B:$B,玩家节奏1!$N197)+_xlfn.MAXIFS(关卡产出!Y:Y,关卡产出!$A:$A,玩家节奏1!$O$6,关卡产出!$B:$B,玩家节奏1!$O197)+_xlfn.MAXIFS(关卡产出!Y:Y,关卡产出!$A:$A,玩家节奏1!$P$6,关卡产出!$B:$B,玩家节奏1!$P197)</f>
        <v>7944800</v>
      </c>
      <c r="S197" s="90">
        <f>_xlfn.MAXIFS(关卡产出!Z:Z,关卡产出!$A:$A,玩家节奏1!$N$6,关卡产出!$B:$B,玩家节奏1!$N197)+_xlfn.MAXIFS(关卡产出!Z:Z,关卡产出!$A:$A,玩家节奏1!$O$6,关卡产出!$B:$B,玩家节奏1!$O197)+_xlfn.MAXIFS(关卡产出!Z:Z,关卡产出!$A:$A,玩家节奏1!$P$6,关卡产出!$B:$B,玩家节奏1!$P197)</f>
        <v>54182</v>
      </c>
      <c r="T197" s="90">
        <f>_xlfn.MAXIFS(关卡产出!AA:AA,关卡产出!$A:$A,玩家节奏1!$N$6,关卡产出!$B:$B,玩家节奏1!$N197)+_xlfn.MAXIFS(关卡产出!AA:AA,关卡产出!$A:$A,玩家节奏1!$O$6,关卡产出!$B:$B,玩家节奏1!$O197)+_xlfn.MAXIFS(关卡产出!AA:AA,关卡产出!$A:$A,玩家节奏1!$P$6,关卡产出!$B:$B,玩家节奏1!$P197)</f>
        <v>27092</v>
      </c>
      <c r="U197" s="90">
        <f>_xlfn.MAXIFS(关卡产出!AB:AB,关卡产出!$A:$A,玩家节奏1!$N$6,关卡产出!$B:$B,玩家节奏1!$N197)+_xlfn.MAXIFS(关卡产出!AB:AB,关卡产出!$A:$A,玩家节奏1!$O$6,关卡产出!$B:$B,玩家节奏1!$O197)+_xlfn.MAXIFS(关卡产出!AB:AB,关卡产出!$A:$A,玩家节奏1!$P$6,关卡产出!$B:$B,玩家节奏1!$P197)</f>
        <v>13044</v>
      </c>
      <c r="V197" s="130">
        <f>_xlfn.MAXIFS(关卡产出!AC:AC,关卡产出!$A:$A,玩家节奏1!$N$6,关卡产出!$B:$B,玩家节奏1!$N197)+_xlfn.MAXIFS(关卡产出!AC:AC,关卡产出!$A:$A,玩家节奏1!$O$6,关卡产出!$B:$B,玩家节奏1!$O197)+_xlfn.MAXIFS(关卡产出!AC:AC,关卡产出!$A:$A,玩家节奏1!$P$6,关卡产出!$B:$B,玩家节奏1!$P197)</f>
        <v>996</v>
      </c>
      <c r="W197" s="126">
        <f>INDEX(关卡产出!C$8:C$207,MATCH(玩家节奏1!$N197,关卡产出!$B$8:$B$207,0))*$K197</f>
        <v>655</v>
      </c>
      <c r="X197" s="126">
        <f>INDEX(关卡产出!D$8:D$207,MATCH(玩家节奏1!$N197,关卡产出!$B$8:$B$207,0))*$K197</f>
        <v>325</v>
      </c>
      <c r="Y197" s="126">
        <f>INDEX(关卡产出!E$8:E$207,MATCH(玩家节奏1!$N197,关卡产出!$B$8:$B$207,0))*$K197</f>
        <v>160</v>
      </c>
      <c r="Z197" s="144">
        <f>INDEX(关卡产出!F$8:F$207,MATCH(玩家节奏1!$N197,关卡产出!$B$8:$B$207,0))*$K197</f>
        <v>8550</v>
      </c>
      <c r="AA197" s="126">
        <f>SUM(W$7:W197)</f>
        <v>62206</v>
      </c>
      <c r="AB197" s="126">
        <f>SUM(X$7:X197)</f>
        <v>30911</v>
      </c>
      <c r="AC197" s="126">
        <f>SUM(Y$7:Y197)</f>
        <v>14917</v>
      </c>
      <c r="AD197" s="126">
        <f>SUM(Z$7:Z197)</f>
        <v>849410</v>
      </c>
      <c r="AE197" s="126">
        <f>INDEX(图鉴!AQ:AQ,MATCH($N197,图鉴!$S:$S,0))*8</f>
        <v>168</v>
      </c>
      <c r="AF197" s="90">
        <f>INDEX(图鉴!AR:AR,MATCH($N197,图鉴!$S:$S,0))*8</f>
        <v>120</v>
      </c>
      <c r="AG197" s="90">
        <f>INDEX(图鉴!AS:AS,MATCH($N197,图鉴!$S:$S,0))*8</f>
        <v>48</v>
      </c>
      <c r="AH197" s="129">
        <f ca="1">INDEX(图鉴!AT:AT,MATCH($N197,图鉴!$S:$S,0))*8</f>
        <v>12120</v>
      </c>
      <c r="AI197" s="128">
        <f>SUM($AE$7:AE197)</f>
        <v>29664</v>
      </c>
      <c r="AJ197" s="90">
        <f>SUM(AF$7:AF197)</f>
        <v>18640</v>
      </c>
      <c r="AK197" s="90">
        <f>SUM(AG$7:AG197)</f>
        <v>6776</v>
      </c>
      <c r="AL197" s="130">
        <f ca="1">SUM(AH$7:AH197)</f>
        <v>1549080</v>
      </c>
      <c r="AM197" s="133">
        <f>IF(M197=0,0,INDEX(关卡产出!$AU$11:$AU$15,MATCH(玩家节奏1!N197,关卡产出!$AW$11:$AW$15,1))*M197)</f>
        <v>12200</v>
      </c>
      <c r="AN197" s="126">
        <f>IF(L197=0,0,$L197*关卡产出!AU$21)</f>
        <v>1000</v>
      </c>
      <c r="AO197" s="90">
        <f>IF(M197=0,0,$L197*关卡产出!AV$21)</f>
        <v>50</v>
      </c>
      <c r="AP197" s="129">
        <f>IF(N197=0,0,$L197*关卡产出!AW$21)</f>
        <v>1</v>
      </c>
      <c r="AQ197" s="138">
        <f>SUM(AN$7:AN197)</f>
        <v>174000</v>
      </c>
      <c r="AR197" s="126">
        <f>SUM(AO$7:AO197)</f>
        <v>8700</v>
      </c>
      <c r="AS197" s="129">
        <f>SUM(AP$7:AP197)</f>
        <v>174</v>
      </c>
      <c r="AT197" s="128">
        <v>500</v>
      </c>
      <c r="AU197" s="129">
        <v>100</v>
      </c>
      <c r="AV197" s="128">
        <f>SUM(AT$7:AT197)</f>
        <v>95500</v>
      </c>
      <c r="AW197" s="90">
        <f>SUM(AU$7:AU197)</f>
        <v>19100</v>
      </c>
      <c r="AY197" s="128">
        <f t="shared" si="167"/>
        <v>31700</v>
      </c>
      <c r="AZ197" s="90">
        <f t="shared" si="168"/>
        <v>8700</v>
      </c>
      <c r="BA197" s="90">
        <f t="shared" si="169"/>
        <v>19100</v>
      </c>
      <c r="BB197" s="90">
        <f t="shared" ca="1" si="217"/>
        <v>18200</v>
      </c>
      <c r="BC197" s="90">
        <f t="shared" ca="1" si="218"/>
        <v>77700</v>
      </c>
      <c r="BD197" s="90"/>
      <c r="BE197" s="90">
        <f t="shared" ca="1" si="170"/>
        <v>77700</v>
      </c>
      <c r="BF197" s="142">
        <f t="shared" ca="1" si="171"/>
        <v>0.40797940797940796</v>
      </c>
      <c r="BG197" s="142">
        <f t="shared" ca="1" si="172"/>
        <v>0.11196911196911197</v>
      </c>
      <c r="BH197" s="142">
        <f t="shared" ca="1" si="228"/>
        <v>0.24581724581724582</v>
      </c>
      <c r="BI197" s="142">
        <f t="shared" ca="1" si="229"/>
        <v>0.23423423423423423</v>
      </c>
      <c r="BJ197" s="143"/>
      <c r="BK197" s="128">
        <f ca="1">INDEX(商城宝箱!$L:$L,MATCH(BC197,商城宝箱!$N:$N,1))</f>
        <v>10</v>
      </c>
      <c r="BL197" s="90">
        <f ca="1">_xlfn.IFNA(INDEX(商城宝箱!T:T,MATCH(玩家节奏1!$BK197,商城宝箱!$L:$L,0)),0)+($BC197-INDEX(商城宝箱!$N:$N,MATCH(玩家节奏1!$BK197,商城宝箱!$L:$L,0)))/$BK$5*INDEX(商城宝箱!E$23:E$42,MATCH(玩家节奏1!$BK197+1,商城宝箱!$C$23:$C$42,0))</f>
        <v>194250</v>
      </c>
      <c r="BM197" s="90">
        <f ca="1">_xlfn.IFNA(INDEX(商城宝箱!U:U,MATCH(玩家节奏1!$BK197,商城宝箱!$L:$L,0)),0)+($BC197-INDEX(商城宝箱!$N:$N,MATCH(玩家节奏1!$BK197,商城宝箱!$L:$L,0)))/$BK$5*INDEX(商城宝箱!F$23:F$42,MATCH(玩家节奏1!$BK197+1,商城宝箱!$C$23:$C$42,0))</f>
        <v>162582.5</v>
      </c>
      <c r="BN197" s="90">
        <f ca="1">_xlfn.IFNA(INDEX(商城宝箱!V:V,MATCH(玩家节奏1!$BK197,商城宝箱!$L:$L,0)),0)+($BC197-INDEX(商城宝箱!$N:$N,MATCH(玩家节奏1!$BK197,商城宝箱!$L:$L,0)))/$BK$5*INDEX(商城宝箱!G$23:G$42,MATCH(玩家节奏1!$BK197+1,商城宝箱!$C$23:$C$42,0))</f>
        <v>88537</v>
      </c>
      <c r="BO197" s="90">
        <f ca="1">_xlfn.IFNA(INDEX(商城宝箱!W:W,MATCH(玩家节奏1!$BK197,商城宝箱!$L:$L,0)),0)+($BC197-INDEX(商城宝箱!$N:$N,MATCH(玩家节奏1!$BK197,商城宝箱!$L:$L,0)))/$BK$5*INDEX(商城宝箱!H$23:H$42,MATCH(玩家节奏1!$BK197+1,商城宝箱!$C$23:$C$42,0))</f>
        <v>12881.5</v>
      </c>
      <c r="BQ197" s="128">
        <f t="shared" si="219"/>
        <v>7944800</v>
      </c>
      <c r="BR197" s="90">
        <f t="shared" si="220"/>
        <v>849410</v>
      </c>
      <c r="BS197" s="90">
        <f t="shared" ca="1" si="221"/>
        <v>1549080</v>
      </c>
      <c r="BT197" s="90">
        <f t="shared" si="222"/>
        <v>12200</v>
      </c>
      <c r="BU197" s="90">
        <f t="shared" si="223"/>
        <v>174000</v>
      </c>
      <c r="BV197" s="90">
        <f t="shared" si="224"/>
        <v>95500</v>
      </c>
      <c r="BW197" s="90">
        <f t="shared" ca="1" si="175"/>
        <v>194250</v>
      </c>
      <c r="BX197" s="90">
        <f t="shared" ca="1" si="176"/>
        <v>10819240</v>
      </c>
      <c r="BY197" s="142">
        <f t="shared" ca="1" si="177"/>
        <v>0.73432144956577361</v>
      </c>
      <c r="BZ197" s="142">
        <f t="shared" ca="1" si="178"/>
        <v>7.8509211367896445E-2</v>
      </c>
      <c r="CA197" s="142">
        <f t="shared" ca="1" si="179"/>
        <v>0.14317826390763122</v>
      </c>
      <c r="CB197" s="142">
        <f t="shared" ca="1" si="180"/>
        <v>1.127620794066866E-3</v>
      </c>
      <c r="CC197" s="142">
        <f t="shared" ca="1" si="181"/>
        <v>1.6082460505543829E-2</v>
      </c>
      <c r="CD197" s="142">
        <f t="shared" ca="1" si="182"/>
        <v>8.8268676912611234E-3</v>
      </c>
      <c r="CE197" s="142">
        <f t="shared" ca="1" si="183"/>
        <v>1.7954126167826944E-2</v>
      </c>
      <c r="CG197" s="128">
        <f t="shared" si="184"/>
        <v>166</v>
      </c>
      <c r="CH197" s="90">
        <f ca="1">INDEX(角色升级!$A:$A,MATCH(玩家节奏1!$BX197,角色升级!$J:$J,1))</f>
        <v>749</v>
      </c>
      <c r="CI197" s="90">
        <f ca="1">INDEX(角色升级!$O:$O,MATCH(玩家节奏1!$BX197,角色升级!$J:$J,1))</f>
        <v>45415.388600000006</v>
      </c>
      <c r="CJ197" s="90">
        <f>INDEX(关卡对比!$J:$J,MATCH(玩家节奏1!N197,关卡对比!$A:$A,0))</f>
        <v>69200</v>
      </c>
      <c r="CK197" s="147">
        <f t="shared" ca="1" si="185"/>
        <v>1.5237126034412043</v>
      </c>
      <c r="CL197" s="128">
        <f ca="1">INDEX(角色升级!$P:$P,MATCH(玩家节奏1!$CH197,角色升级!$A:$A,0))</f>
        <v>18200</v>
      </c>
      <c r="CM197" s="90">
        <f ca="1">INDEX(角色升级!Q:Q,MATCH(玩家节奏1!$CH197,角色升级!$A:$A,0))</f>
        <v>1.4</v>
      </c>
      <c r="CO197" s="128">
        <f t="shared" si="186"/>
        <v>54182</v>
      </c>
      <c r="CP197" s="90">
        <f t="shared" si="187"/>
        <v>62206</v>
      </c>
      <c r="CQ197" s="90">
        <f t="shared" si="188"/>
        <v>29664</v>
      </c>
      <c r="CR197" s="90">
        <f t="shared" ca="1" si="189"/>
        <v>162582.5</v>
      </c>
      <c r="CS197" s="90">
        <f t="shared" ca="1" si="190"/>
        <v>308634.5</v>
      </c>
      <c r="CT197" s="142">
        <f t="shared" ca="1" si="191"/>
        <v>0.175553931916231</v>
      </c>
      <c r="CU197" s="142">
        <f t="shared" ca="1" si="192"/>
        <v>0.20155232159722908</v>
      </c>
      <c r="CV197" s="142">
        <f t="shared" ca="1" si="193"/>
        <v>9.6113687873520301E-2</v>
      </c>
      <c r="CW197" s="142">
        <f t="shared" ca="1" si="194"/>
        <v>0.52678005861301958</v>
      </c>
      <c r="CY197" s="128">
        <f t="shared" si="195"/>
        <v>27092</v>
      </c>
      <c r="CZ197" s="90">
        <f t="shared" si="196"/>
        <v>30911</v>
      </c>
      <c r="DA197" s="90">
        <f t="shared" si="197"/>
        <v>18640</v>
      </c>
      <c r="DB197" s="90">
        <f t="shared" ca="1" si="198"/>
        <v>88537</v>
      </c>
      <c r="DC197" s="90">
        <f t="shared" ca="1" si="199"/>
        <v>165180</v>
      </c>
      <c r="DD197" s="142">
        <f t="shared" ca="1" si="200"/>
        <v>0.1640150139242039</v>
      </c>
      <c r="DE197" s="142">
        <f t="shared" ca="1" si="201"/>
        <v>0.18713524639786899</v>
      </c>
      <c r="DF197" s="142">
        <f t="shared" ca="1" si="202"/>
        <v>0.11284659159704565</v>
      </c>
      <c r="DG197" s="142">
        <f t="shared" ca="1" si="203"/>
        <v>0.53600314808088145</v>
      </c>
      <c r="DI197" s="128">
        <f t="shared" si="204"/>
        <v>13044</v>
      </c>
      <c r="DJ197" s="90">
        <f t="shared" si="205"/>
        <v>14917</v>
      </c>
      <c r="DK197" s="90">
        <f t="shared" si="206"/>
        <v>6776</v>
      </c>
      <c r="DL197" s="90">
        <f t="shared" ca="1" si="207"/>
        <v>12881.5</v>
      </c>
      <c r="DM197" s="90">
        <f t="shared" ca="1" si="208"/>
        <v>47618.5</v>
      </c>
      <c r="DN197" s="142">
        <f t="shared" ca="1" si="209"/>
        <v>0.27392715016222685</v>
      </c>
      <c r="DO197" s="142">
        <f t="shared" ca="1" si="210"/>
        <v>0.31326060249692872</v>
      </c>
      <c r="DP197" s="142">
        <f t="shared" ca="1" si="211"/>
        <v>0.14229763642281887</v>
      </c>
      <c r="DQ197" s="142">
        <f t="shared" ca="1" si="212"/>
        <v>0.27051461091802553</v>
      </c>
      <c r="DS197" s="128">
        <f t="shared" ca="1" si="213"/>
        <v>308634.5</v>
      </c>
      <c r="DT197" s="90">
        <f t="shared" ca="1" si="214"/>
        <v>165180</v>
      </c>
      <c r="DU197" s="90">
        <f t="shared" ca="1" si="215"/>
        <v>47618.5</v>
      </c>
      <c r="DV197" s="90">
        <f t="shared" si="216"/>
        <v>174</v>
      </c>
      <c r="DW197" s="90">
        <f ca="1">_xlfn.IFNA(INDEX(武器升级消耗!$H:$H,MATCH(玩家节奏1!DS197/玩家节奏1!DS$5,武器升级消耗!M:M,1)),0)</f>
        <v>49</v>
      </c>
      <c r="DX197" s="90">
        <f ca="1">_xlfn.IFNA(INDEX(武器升级消耗!$H:$H,MATCH(玩家节奏1!DT197/玩家节奏1!DT$5,武器升级消耗!N:N,1)),0)</f>
        <v>43</v>
      </c>
      <c r="DY197" s="90">
        <f ca="1">_xlfn.IFNA(INDEX(武器升级消耗!$H:$H,MATCH(玩家节奏1!DU197/玩家节奏1!DU$5,武器升级消耗!O:O,1)),0)</f>
        <v>30</v>
      </c>
      <c r="DZ197" s="90">
        <f>_xlfn.IFNA(INDEX(武器升级消耗!$H:$H,MATCH(玩家节奏1!DV197/玩家节奏1!DV$5,武器升级消耗!P:P,1)),0)</f>
        <v>14</v>
      </c>
      <c r="EA197" s="90">
        <f ca="1">_xlfn.IFNA(INDEX(武器升级消耗!$Q:$Q,MATCH(玩家节奏1!DW197,武器升级消耗!$H:$H,0))*2*EA$4,0)</f>
        <v>6.3599999999999994</v>
      </c>
      <c r="EB197" s="90">
        <f ca="1">_xlfn.IFNA(INDEX(武器升级消耗!$Q:$Q,MATCH(玩家节奏1!DX197,武器升级消耗!$H:$H,0))*2*EB$4,0)</f>
        <v>7.0500000000000007</v>
      </c>
      <c r="EC197" s="90">
        <f ca="1">_xlfn.IFNA(INDEX(武器升级消耗!$Q:$Q,MATCH(玩家节奏1!DY197,武器升级消耗!$H:$H,0))*2*EC$4,1)</f>
        <v>7.48</v>
      </c>
      <c r="ED197" s="90">
        <f>_xlfn.IFNA(INDEX(武器升级消耗!$Q:$Q,MATCH(玩家节奏1!DZ197,武器升级消耗!$H:$H,0))*2*ED$4,0)</f>
        <v>5.4</v>
      </c>
    </row>
    <row r="198" spans="1:134" x14ac:dyDescent="0.25">
      <c r="A198" s="123">
        <v>192</v>
      </c>
      <c r="B198" s="123">
        <f>INDEX(关卡对比!$Y:$Y,MATCH(关卡对比!Z198,关卡对比!$AA:$AA,1))</f>
        <v>109</v>
      </c>
      <c r="C198" s="124">
        <f>INDEX(关卡对比!$Y:$Y,MATCH(关卡对比!Z198,关卡对比!$AB:$AB,1))</f>
        <v>82</v>
      </c>
      <c r="D198" s="125">
        <f t="shared" si="230"/>
        <v>1118.5</v>
      </c>
      <c r="E198" s="125">
        <v>3</v>
      </c>
      <c r="F198" s="128">
        <v>5</v>
      </c>
      <c r="G198" s="90">
        <v>1</v>
      </c>
      <c r="H198" s="90">
        <v>1</v>
      </c>
      <c r="J198" s="128">
        <v>192</v>
      </c>
      <c r="K198" s="90">
        <f t="shared" si="225"/>
        <v>5</v>
      </c>
      <c r="L198" s="90">
        <f t="shared" si="226"/>
        <v>1</v>
      </c>
      <c r="M198" s="90">
        <f t="shared" si="227"/>
        <v>1</v>
      </c>
      <c r="N198" s="140">
        <f>INDEX($A:$A,MATCH(SUM($K$7:K198),$D:$D,1))</f>
        <v>167</v>
      </c>
      <c r="O198" s="140">
        <v>0</v>
      </c>
      <c r="P198" s="141">
        <v>0</v>
      </c>
      <c r="Q198" s="126">
        <f>_xlfn.MAXIFS(关卡产出!X:X,关卡产出!$A:$A,玩家节奏1!$N$6,关卡产出!$B:$B,玩家节奏1!$N198)+_xlfn.MAXIFS(关卡产出!X:X,关卡产出!$A:$A,玩家节奏1!$O$6,关卡产出!$B:$B,玩家节奏1!$O198)+_xlfn.MAXIFS(关卡产出!X:X,关卡产出!$A:$A,玩家节奏1!$P$6,关卡产出!$B:$B,玩家节奏1!$P198)</f>
        <v>31900</v>
      </c>
      <c r="R198" s="90">
        <f>_xlfn.MAXIFS(关卡产出!Y:Y,关卡产出!$A:$A,玩家节奏1!$N$6,关卡产出!$B:$B,玩家节奏1!$N198)+_xlfn.MAXIFS(关卡产出!Y:Y,关卡产出!$A:$A,玩家节奏1!$O$6,关卡产出!$B:$B,玩家节奏1!$O198)+_xlfn.MAXIFS(关卡产出!Y:Y,关卡产出!$A:$A,玩家节奏1!$P$6,关卡产出!$B:$B,玩家节奏1!$P198)</f>
        <v>8042700</v>
      </c>
      <c r="S198" s="90">
        <f>_xlfn.MAXIFS(关卡产出!Z:Z,关卡产出!$A:$A,玩家节奏1!$N$6,关卡产出!$B:$B,玩家节奏1!$N198)+_xlfn.MAXIFS(关卡产出!Z:Z,关卡产出!$A:$A,玩家节奏1!$O$6,关卡产出!$B:$B,玩家节奏1!$O198)+_xlfn.MAXIFS(关卡产出!Z:Z,关卡产出!$A:$A,玩家节奏1!$P$6,关卡产出!$B:$B,玩家节奏1!$P198)</f>
        <v>54842</v>
      </c>
      <c r="T198" s="90">
        <f>_xlfn.MAXIFS(关卡产出!AA:AA,关卡产出!$A:$A,玩家节奏1!$N$6,关卡产出!$B:$B,玩家节奏1!$N198)+_xlfn.MAXIFS(关卡产出!AA:AA,关卡产出!$A:$A,玩家节奏1!$O$6,关卡产出!$B:$B,玩家节奏1!$O198)+_xlfn.MAXIFS(关卡产出!AA:AA,关卡产出!$A:$A,玩家节奏1!$P$6,关卡产出!$B:$B,玩家节奏1!$P198)</f>
        <v>27422</v>
      </c>
      <c r="U198" s="90">
        <f>_xlfn.MAXIFS(关卡产出!AB:AB,关卡产出!$A:$A,玩家节奏1!$N$6,关卡产出!$B:$B,玩家节奏1!$N198)+_xlfn.MAXIFS(关卡产出!AB:AB,关卡产出!$A:$A,玩家节奏1!$O$6,关卡产出!$B:$B,玩家节奏1!$O198)+_xlfn.MAXIFS(关卡产出!AB:AB,关卡产出!$A:$A,玩家节奏1!$P$6,关卡产出!$B:$B,玩家节奏1!$P198)</f>
        <v>13206</v>
      </c>
      <c r="V198" s="130">
        <f>_xlfn.MAXIFS(关卡产出!AC:AC,关卡产出!$A:$A,玩家节奏1!$N$6,关卡产出!$B:$B,玩家节奏1!$N198)+_xlfn.MAXIFS(关卡产出!AC:AC,关卡产出!$A:$A,玩家节奏1!$O$6,关卡产出!$B:$B,玩家节奏1!$O198)+_xlfn.MAXIFS(关卡产出!AC:AC,关卡产出!$A:$A,玩家节奏1!$P$6,关卡产出!$B:$B,玩家节奏1!$P198)</f>
        <v>1002</v>
      </c>
      <c r="W198" s="126">
        <f>INDEX(关卡产出!C$8:C$207,MATCH(玩家节奏1!$N198,关卡产出!$B$8:$B$207,0))*$K198</f>
        <v>660</v>
      </c>
      <c r="X198" s="126">
        <f>INDEX(关卡产出!D$8:D$207,MATCH(玩家节奏1!$N198,关卡产出!$B$8:$B$207,0))*$K198</f>
        <v>330</v>
      </c>
      <c r="Y198" s="126">
        <f>INDEX(关卡产出!E$8:E$207,MATCH(玩家节奏1!$N198,关卡产出!$B$8:$B$207,0))*$K198</f>
        <v>160</v>
      </c>
      <c r="Z198" s="144">
        <f>INDEX(关卡产出!F$8:F$207,MATCH(玩家节奏1!$N198,关卡产出!$B$8:$B$207,0))*$K198</f>
        <v>8650</v>
      </c>
      <c r="AA198" s="126">
        <f>SUM(W$7:W198)</f>
        <v>62866</v>
      </c>
      <c r="AB198" s="126">
        <f>SUM(X$7:X198)</f>
        <v>31241</v>
      </c>
      <c r="AC198" s="126">
        <f>SUM(Y$7:Y198)</f>
        <v>15077</v>
      </c>
      <c r="AD198" s="126">
        <f>SUM(Z$7:Z198)</f>
        <v>858060</v>
      </c>
      <c r="AE198" s="126">
        <f>INDEX(图鉴!AQ:AQ,MATCH($N198,图鉴!$S:$S,0))*8</f>
        <v>168</v>
      </c>
      <c r="AF198" s="90">
        <f>INDEX(图鉴!AR:AR,MATCH($N198,图鉴!$S:$S,0))*8</f>
        <v>120</v>
      </c>
      <c r="AG198" s="90">
        <f>INDEX(图鉴!AS:AS,MATCH($N198,图鉴!$S:$S,0))*8</f>
        <v>48</v>
      </c>
      <c r="AH198" s="129">
        <f ca="1">INDEX(图鉴!AT:AT,MATCH($N198,图鉴!$S:$S,0))*8</f>
        <v>12120</v>
      </c>
      <c r="AI198" s="128">
        <f>SUM($AE$7:AE198)</f>
        <v>29832</v>
      </c>
      <c r="AJ198" s="90">
        <f>SUM(AF$7:AF198)</f>
        <v>18760</v>
      </c>
      <c r="AK198" s="90">
        <f>SUM(AG$7:AG198)</f>
        <v>6824</v>
      </c>
      <c r="AL198" s="130">
        <f ca="1">SUM(AH$7:AH198)</f>
        <v>1561200</v>
      </c>
      <c r="AM198" s="133">
        <f>IF(M198=0,0,INDEX(关卡产出!$AU$11:$AU$15,MATCH(玩家节奏1!N198,关卡产出!$AW$11:$AW$15,1))*M198)</f>
        <v>12200</v>
      </c>
      <c r="AN198" s="126">
        <f>IF(L198=0,0,$L198*关卡产出!AU$21)</f>
        <v>1000</v>
      </c>
      <c r="AO198" s="90">
        <f>IF(M198=0,0,$L198*关卡产出!AV$21)</f>
        <v>50</v>
      </c>
      <c r="AP198" s="129">
        <f>IF(N198=0,0,$L198*关卡产出!AW$21)</f>
        <v>1</v>
      </c>
      <c r="AQ198" s="138">
        <f>SUM(AN$7:AN198)</f>
        <v>175000</v>
      </c>
      <c r="AR198" s="126">
        <f>SUM(AO$7:AO198)</f>
        <v>8750</v>
      </c>
      <c r="AS198" s="129">
        <f>SUM(AP$7:AP198)</f>
        <v>175</v>
      </c>
      <c r="AT198" s="128">
        <v>500</v>
      </c>
      <c r="AU198" s="129">
        <v>100</v>
      </c>
      <c r="AV198" s="128">
        <f>SUM(AT$7:AT198)</f>
        <v>96000</v>
      </c>
      <c r="AW198" s="90">
        <f>SUM(AU$7:AU198)</f>
        <v>19200</v>
      </c>
      <c r="AY198" s="128">
        <f t="shared" si="167"/>
        <v>31900</v>
      </c>
      <c r="AZ198" s="90">
        <f t="shared" si="168"/>
        <v>8750</v>
      </c>
      <c r="BA198" s="90">
        <f t="shared" si="169"/>
        <v>19200</v>
      </c>
      <c r="BB198" s="90">
        <f t="shared" ca="1" si="217"/>
        <v>18200</v>
      </c>
      <c r="BC198" s="90">
        <f t="shared" ca="1" si="218"/>
        <v>78050</v>
      </c>
      <c r="BD198" s="90"/>
      <c r="BE198" s="90">
        <f t="shared" ca="1" si="170"/>
        <v>78050</v>
      </c>
      <c r="BF198" s="142">
        <f t="shared" ca="1" si="171"/>
        <v>0.40871236386931453</v>
      </c>
      <c r="BG198" s="142">
        <f t="shared" ca="1" si="172"/>
        <v>0.11210762331838565</v>
      </c>
      <c r="BH198" s="142">
        <f t="shared" ca="1" si="228"/>
        <v>0.24599615631005767</v>
      </c>
      <c r="BI198" s="142">
        <f t="shared" ca="1" si="229"/>
        <v>0.23318385650224216</v>
      </c>
      <c r="BJ198" s="143"/>
      <c r="BK198" s="128">
        <f ca="1">INDEX(商城宝箱!$L:$L,MATCH(BC198,商城宝箱!$N:$N,1))</f>
        <v>10</v>
      </c>
      <c r="BL198" s="90">
        <f ca="1">_xlfn.IFNA(INDEX(商城宝箱!T:T,MATCH(玩家节奏1!$BK198,商城宝箱!$L:$L,0)),0)+($BC198-INDEX(商城宝箱!$N:$N,MATCH(玩家节奏1!$BK198,商城宝箱!$L:$L,0)))/$BK$5*INDEX(商城宝箱!E$23:E$42,MATCH(玩家节奏1!$BK198+1,商城宝箱!$C$23:$C$42,0))</f>
        <v>195125</v>
      </c>
      <c r="BM198" s="90">
        <f ca="1">_xlfn.IFNA(INDEX(商城宝箱!U:U,MATCH(玩家节奏1!$BK198,商城宝箱!$L:$L,0)),0)+($BC198-INDEX(商城宝箱!$N:$N,MATCH(玩家节奏1!$BK198,商城宝箱!$L:$L,0)))/$BK$5*INDEX(商城宝箱!F$23:F$42,MATCH(玩家节奏1!$BK198+1,商城宝箱!$C$23:$C$42,0))</f>
        <v>163702.5</v>
      </c>
      <c r="BN198" s="90">
        <f ca="1">_xlfn.IFNA(INDEX(商城宝箱!V:V,MATCH(玩家节奏1!$BK198,商城宝箱!$L:$L,0)),0)+($BC198-INDEX(商城宝箱!$N:$N,MATCH(玩家节奏1!$BK198,商城宝箱!$L:$L,0)))/$BK$5*INDEX(商城宝箱!G$23:G$42,MATCH(玩家节奏1!$BK198+1,商城宝箱!$C$23:$C$42,0))</f>
        <v>89062</v>
      </c>
      <c r="BO198" s="90">
        <f ca="1">_xlfn.IFNA(INDEX(商城宝箱!W:W,MATCH(玩家节奏1!$BK198,商城宝箱!$L:$L,0)),0)+($BC198-INDEX(商城宝箱!$N:$N,MATCH(玩家节奏1!$BK198,商城宝箱!$L:$L,0)))/$BK$5*INDEX(商城宝箱!H$23:H$42,MATCH(玩家节奏1!$BK198+1,商城宝箱!$C$23:$C$42,0))</f>
        <v>12969</v>
      </c>
      <c r="BQ198" s="128">
        <f t="shared" si="219"/>
        <v>8042700</v>
      </c>
      <c r="BR198" s="90">
        <f t="shared" si="220"/>
        <v>858060</v>
      </c>
      <c r="BS198" s="90">
        <f t="shared" ca="1" si="221"/>
        <v>1561200</v>
      </c>
      <c r="BT198" s="90">
        <f t="shared" si="222"/>
        <v>12200</v>
      </c>
      <c r="BU198" s="90">
        <f t="shared" si="223"/>
        <v>175000</v>
      </c>
      <c r="BV198" s="90">
        <f t="shared" si="224"/>
        <v>96000</v>
      </c>
      <c r="BW198" s="90">
        <f t="shared" ca="1" si="175"/>
        <v>195125</v>
      </c>
      <c r="BX198" s="90">
        <f t="shared" ca="1" si="176"/>
        <v>10940285</v>
      </c>
      <c r="BY198" s="142">
        <f t="shared" ca="1" si="177"/>
        <v>0.735145382410056</v>
      </c>
      <c r="BZ198" s="142">
        <f t="shared" ca="1" si="178"/>
        <v>7.8431229168161518E-2</v>
      </c>
      <c r="CA198" s="142">
        <f t="shared" ca="1" si="179"/>
        <v>0.14270194972068825</v>
      </c>
      <c r="CB198" s="142">
        <f t="shared" ca="1" si="180"/>
        <v>1.1151446237460908E-3</v>
      </c>
      <c r="CC198" s="142">
        <f t="shared" ca="1" si="181"/>
        <v>1.5995926979964416E-2</v>
      </c>
      <c r="CD198" s="142">
        <f t="shared" ca="1" si="182"/>
        <v>8.7749085147233365E-3</v>
      </c>
      <c r="CE198" s="142">
        <f t="shared" ca="1" si="183"/>
        <v>1.7835458582660325E-2</v>
      </c>
      <c r="CG198" s="128">
        <f t="shared" si="184"/>
        <v>167</v>
      </c>
      <c r="CH198" s="90">
        <f ca="1">INDEX(角色升级!$A:$A,MATCH(玩家节奏1!$BX198,角色升级!$J:$J,1))</f>
        <v>751</v>
      </c>
      <c r="CI198" s="90">
        <f ca="1">INDEX(角色升级!$O:$O,MATCH(玩家节奏1!$BX198,角色升级!$J:$J,1))</f>
        <v>45786.716300000007</v>
      </c>
      <c r="CJ198" s="90">
        <f>INDEX(关卡对比!$J:$J,MATCH(玩家节奏1!N198,关卡对比!$A:$A,0))</f>
        <v>69700</v>
      </c>
      <c r="CK198" s="147">
        <f t="shared" ca="1" si="185"/>
        <v>1.5222755775565411</v>
      </c>
      <c r="CL198" s="128">
        <f ca="1">INDEX(角色升级!$P:$P,MATCH(玩家节奏1!$CH198,角色升级!$A:$A,0))</f>
        <v>18200</v>
      </c>
      <c r="CM198" s="90">
        <f ca="1">INDEX(角色升级!Q:Q,MATCH(玩家节奏1!$CH198,角色升级!$A:$A,0))</f>
        <v>1.4</v>
      </c>
      <c r="CO198" s="128">
        <f t="shared" si="186"/>
        <v>54842</v>
      </c>
      <c r="CP198" s="90">
        <f t="shared" si="187"/>
        <v>62866</v>
      </c>
      <c r="CQ198" s="90">
        <f t="shared" si="188"/>
        <v>29832</v>
      </c>
      <c r="CR198" s="90">
        <f t="shared" ca="1" si="189"/>
        <v>163702.5</v>
      </c>
      <c r="CS198" s="90">
        <f t="shared" ca="1" si="190"/>
        <v>311242.5</v>
      </c>
      <c r="CT198" s="142">
        <f t="shared" ca="1" si="191"/>
        <v>0.17620344265323662</v>
      </c>
      <c r="CU198" s="142">
        <f t="shared" ca="1" si="192"/>
        <v>0.2019839835498044</v>
      </c>
      <c r="CV198" s="142">
        <f t="shared" ca="1" si="193"/>
        <v>9.5848092725125913E-2</v>
      </c>
      <c r="CW198" s="142">
        <f t="shared" ca="1" si="194"/>
        <v>0.52596448107183302</v>
      </c>
      <c r="CY198" s="128">
        <f t="shared" si="195"/>
        <v>27422</v>
      </c>
      <c r="CZ198" s="90">
        <f t="shared" si="196"/>
        <v>31241</v>
      </c>
      <c r="DA198" s="90">
        <f t="shared" si="197"/>
        <v>18760</v>
      </c>
      <c r="DB198" s="90">
        <f t="shared" ca="1" si="198"/>
        <v>89062</v>
      </c>
      <c r="DC198" s="90">
        <f t="shared" ca="1" si="199"/>
        <v>166485</v>
      </c>
      <c r="DD198" s="142">
        <f t="shared" ca="1" si="200"/>
        <v>0.16471153557377541</v>
      </c>
      <c r="DE198" s="142">
        <f t="shared" ca="1" si="201"/>
        <v>0.18765053908760548</v>
      </c>
      <c r="DF198" s="142">
        <f t="shared" ca="1" si="202"/>
        <v>0.11268282427846353</v>
      </c>
      <c r="DG198" s="142">
        <f t="shared" ca="1" si="203"/>
        <v>0.53495510106015554</v>
      </c>
      <c r="DI198" s="128">
        <f t="shared" si="204"/>
        <v>13206</v>
      </c>
      <c r="DJ198" s="90">
        <f t="shared" si="205"/>
        <v>15077</v>
      </c>
      <c r="DK198" s="90">
        <f t="shared" si="206"/>
        <v>6824</v>
      </c>
      <c r="DL198" s="90">
        <f t="shared" ca="1" si="207"/>
        <v>12969</v>
      </c>
      <c r="DM198" s="90">
        <f t="shared" ca="1" si="208"/>
        <v>48076</v>
      </c>
      <c r="DN198" s="142">
        <f t="shared" ca="1" si="209"/>
        <v>0.27469007404942175</v>
      </c>
      <c r="DO198" s="142">
        <f t="shared" ca="1" si="210"/>
        <v>0.3136076212663283</v>
      </c>
      <c r="DP198" s="142">
        <f t="shared" ca="1" si="211"/>
        <v>0.14194192528496546</v>
      </c>
      <c r="DQ198" s="142">
        <f t="shared" ca="1" si="212"/>
        <v>0.26976037939928449</v>
      </c>
      <c r="DS198" s="128">
        <f t="shared" ca="1" si="213"/>
        <v>311242.5</v>
      </c>
      <c r="DT198" s="90">
        <f t="shared" ca="1" si="214"/>
        <v>166485</v>
      </c>
      <c r="DU198" s="90">
        <f t="shared" ca="1" si="215"/>
        <v>48076</v>
      </c>
      <c r="DV198" s="90">
        <f t="shared" si="216"/>
        <v>175</v>
      </c>
      <c r="DW198" s="90">
        <f ca="1">_xlfn.IFNA(INDEX(武器升级消耗!$H:$H,MATCH(玩家节奏1!DS198/玩家节奏1!DS$5,武器升级消耗!M:M,1)),0)</f>
        <v>49</v>
      </c>
      <c r="DX198" s="90">
        <f ca="1">_xlfn.IFNA(INDEX(武器升级消耗!$H:$H,MATCH(玩家节奏1!DT198/玩家节奏1!DT$5,武器升级消耗!N:N,1)),0)</f>
        <v>43</v>
      </c>
      <c r="DY198" s="90">
        <f ca="1">_xlfn.IFNA(INDEX(武器升级消耗!$H:$H,MATCH(玩家节奏1!DU198/玩家节奏1!DU$5,武器升级消耗!O:O,1)),0)</f>
        <v>30</v>
      </c>
      <c r="DZ198" s="90">
        <f>_xlfn.IFNA(INDEX(武器升级消耗!$H:$H,MATCH(玩家节奏1!DV198/玩家节奏1!DV$5,武器升级消耗!P:P,1)),0)</f>
        <v>14</v>
      </c>
      <c r="EA198" s="90">
        <f ca="1">_xlfn.IFNA(INDEX(武器升级消耗!$Q:$Q,MATCH(玩家节奏1!DW198,武器升级消耗!$H:$H,0))*2*EA$4,0)</f>
        <v>6.3599999999999994</v>
      </c>
      <c r="EB198" s="90">
        <f ca="1">_xlfn.IFNA(INDEX(武器升级消耗!$Q:$Q,MATCH(玩家节奏1!DX198,武器升级消耗!$H:$H,0))*2*EB$4,0)</f>
        <v>7.0500000000000007</v>
      </c>
      <c r="EC198" s="90">
        <f ca="1">_xlfn.IFNA(INDEX(武器升级消耗!$Q:$Q,MATCH(玩家节奏1!DY198,武器升级消耗!$H:$H,0))*2*EC$4,1)</f>
        <v>7.48</v>
      </c>
      <c r="ED198" s="90">
        <f>_xlfn.IFNA(INDEX(武器升级消耗!$Q:$Q,MATCH(玩家节奏1!DZ198,武器升级消耗!$H:$H,0))*2*ED$4,0)</f>
        <v>5.4</v>
      </c>
    </row>
    <row r="199" spans="1:134" x14ac:dyDescent="0.25">
      <c r="A199" s="123">
        <v>193</v>
      </c>
      <c r="B199" s="123">
        <f>INDEX(关卡对比!$Y:$Y,MATCH(关卡对比!Z199,关卡对比!$AA:$AA,1))</f>
        <v>110</v>
      </c>
      <c r="C199" s="124">
        <f>INDEX(关卡对比!$Y:$Y,MATCH(关卡对比!Z199,关卡对比!$AB:$AB,1))</f>
        <v>82</v>
      </c>
      <c r="D199" s="125">
        <f t="shared" si="230"/>
        <v>1124.5</v>
      </c>
      <c r="E199" s="125">
        <v>3</v>
      </c>
      <c r="F199" s="128">
        <v>5</v>
      </c>
      <c r="G199" s="90">
        <v>1</v>
      </c>
      <c r="H199" s="90">
        <v>1</v>
      </c>
      <c r="J199" s="128">
        <v>193</v>
      </c>
      <c r="K199" s="90">
        <f t="shared" si="225"/>
        <v>5</v>
      </c>
      <c r="L199" s="90">
        <f t="shared" si="226"/>
        <v>1</v>
      </c>
      <c r="M199" s="90">
        <f t="shared" si="227"/>
        <v>1</v>
      </c>
      <c r="N199" s="140">
        <f>INDEX($A:$A,MATCH(SUM($K$7:K199),$D:$D,1))</f>
        <v>168</v>
      </c>
      <c r="O199" s="140">
        <v>0</v>
      </c>
      <c r="P199" s="141">
        <v>0</v>
      </c>
      <c r="Q199" s="126">
        <f>_xlfn.MAXIFS(关卡产出!X:X,关卡产出!$A:$A,玩家节奏1!$N$6,关卡产出!$B:$B,玩家节奏1!$N199)+_xlfn.MAXIFS(关卡产出!X:X,关卡产出!$A:$A,玩家节奏1!$O$6,关卡产出!$B:$B,玩家节奏1!$O199)+_xlfn.MAXIFS(关卡产出!X:X,关卡产出!$A:$A,玩家节奏1!$P$6,关卡产出!$B:$B,玩家节奏1!$P199)</f>
        <v>32100</v>
      </c>
      <c r="R199" s="90">
        <f>_xlfn.MAXIFS(关卡产出!Y:Y,关卡产出!$A:$A,玩家节奏1!$N$6,关卡产出!$B:$B,玩家节奏1!$N199)+_xlfn.MAXIFS(关卡产出!Y:Y,关卡产出!$A:$A,玩家节奏1!$O$6,关卡产出!$B:$B,玩家节奏1!$O199)+_xlfn.MAXIFS(关卡产出!Y:Y,关卡产出!$A:$A,玩家节奏1!$P$6,关卡产出!$B:$B,玩家节奏1!$P199)</f>
        <v>8141200</v>
      </c>
      <c r="S199" s="90">
        <f>_xlfn.MAXIFS(关卡产出!Z:Z,关卡产出!$A:$A,玩家节奏1!$N$6,关卡产出!$B:$B,玩家节奏1!$N199)+_xlfn.MAXIFS(关卡产出!Z:Z,关卡产出!$A:$A,玩家节奏1!$O$6,关卡产出!$B:$B,玩家节奏1!$O199)+_xlfn.MAXIFS(关卡产出!Z:Z,关卡产出!$A:$A,玩家节奏1!$P$6,关卡产出!$B:$B,玩家节奏1!$P199)</f>
        <v>55506</v>
      </c>
      <c r="T199" s="90">
        <f>_xlfn.MAXIFS(关卡产出!AA:AA,关卡产出!$A:$A,玩家节奏1!$N$6,关卡产出!$B:$B,玩家节奏1!$N199)+_xlfn.MAXIFS(关卡产出!AA:AA,关卡产出!$A:$A,玩家节奏1!$O$6,关卡产出!$B:$B,玩家节奏1!$O199)+_xlfn.MAXIFS(关卡产出!AA:AA,关卡产出!$A:$A,玩家节奏1!$P$6,关卡产出!$B:$B,玩家节奏1!$P199)</f>
        <v>27754</v>
      </c>
      <c r="U199" s="90">
        <f>_xlfn.MAXIFS(关卡产出!AB:AB,关卡产出!$A:$A,玩家节奏1!$N$6,关卡产出!$B:$B,玩家节奏1!$N199)+_xlfn.MAXIFS(关卡产出!AB:AB,关卡产出!$A:$A,玩家节奏1!$O$6,关卡产出!$B:$B,玩家节奏1!$O199)+_xlfn.MAXIFS(关卡产出!AB:AB,关卡产出!$A:$A,玩家节奏1!$P$6,关卡产出!$B:$B,玩家节奏1!$P199)</f>
        <v>13369</v>
      </c>
      <c r="V199" s="130">
        <f>_xlfn.MAXIFS(关卡产出!AC:AC,关卡产出!$A:$A,玩家节奏1!$N$6,关卡产出!$B:$B,玩家节奏1!$N199)+_xlfn.MAXIFS(关卡产出!AC:AC,关卡产出!$A:$A,玩家节奏1!$O$6,关卡产出!$B:$B,玩家节奏1!$O199)+_xlfn.MAXIFS(关卡产出!AC:AC,关卡产出!$A:$A,玩家节奏1!$P$6,关卡产出!$B:$B,玩家节奏1!$P199)</f>
        <v>1008</v>
      </c>
      <c r="W199" s="126">
        <f>INDEX(关卡产出!C$8:C$207,MATCH(玩家节奏1!$N199,关卡产出!$B$8:$B$207,0))*$K199</f>
        <v>665</v>
      </c>
      <c r="X199" s="126">
        <f>INDEX(关卡产出!D$8:D$207,MATCH(玩家节奏1!$N199,关卡产出!$B$8:$B$207,0))*$K199</f>
        <v>330</v>
      </c>
      <c r="Y199" s="126">
        <f>INDEX(关卡产出!E$8:E$207,MATCH(玩家节奏1!$N199,关卡产出!$B$8:$B$207,0))*$K199</f>
        <v>165</v>
      </c>
      <c r="Z199" s="144">
        <f>INDEX(关卡产出!F$8:F$207,MATCH(玩家节奏1!$N199,关卡产出!$B$8:$B$207,0))*$K199</f>
        <v>8650</v>
      </c>
      <c r="AA199" s="126">
        <f>SUM(W$7:W199)</f>
        <v>63531</v>
      </c>
      <c r="AB199" s="126">
        <f>SUM(X$7:X199)</f>
        <v>31571</v>
      </c>
      <c r="AC199" s="126">
        <f>SUM(Y$7:Y199)</f>
        <v>15242</v>
      </c>
      <c r="AD199" s="126">
        <f>SUM(Z$7:Z199)</f>
        <v>866710</v>
      </c>
      <c r="AE199" s="126">
        <f>INDEX(图鉴!AQ:AQ,MATCH($N199,图鉴!$S:$S,0))*8</f>
        <v>168</v>
      </c>
      <c r="AF199" s="90">
        <f>INDEX(图鉴!AR:AR,MATCH($N199,图鉴!$S:$S,0))*8</f>
        <v>120</v>
      </c>
      <c r="AG199" s="90">
        <f>INDEX(图鉴!AS:AS,MATCH($N199,图鉴!$S:$S,0))*8</f>
        <v>48</v>
      </c>
      <c r="AH199" s="129">
        <f ca="1">INDEX(图鉴!AT:AT,MATCH($N199,图鉴!$S:$S,0))*8</f>
        <v>12120</v>
      </c>
      <c r="AI199" s="128">
        <f>SUM($AE$7:AE199)</f>
        <v>30000</v>
      </c>
      <c r="AJ199" s="90">
        <f>SUM(AF$7:AF199)</f>
        <v>18880</v>
      </c>
      <c r="AK199" s="90">
        <f>SUM(AG$7:AG199)</f>
        <v>6872</v>
      </c>
      <c r="AL199" s="130">
        <f ca="1">SUM(AH$7:AH199)</f>
        <v>1573320</v>
      </c>
      <c r="AM199" s="133">
        <f>IF(M199=0,0,INDEX(关卡产出!$AU$11:$AU$15,MATCH(玩家节奏1!N199,关卡产出!$AW$11:$AW$15,1))*M199)</f>
        <v>12200</v>
      </c>
      <c r="AN199" s="126">
        <f>IF(L199=0,0,$L199*关卡产出!AU$21)</f>
        <v>1000</v>
      </c>
      <c r="AO199" s="90">
        <f>IF(M199=0,0,$L199*关卡产出!AV$21)</f>
        <v>50</v>
      </c>
      <c r="AP199" s="129">
        <f>IF(N199=0,0,$L199*关卡产出!AW$21)</f>
        <v>1</v>
      </c>
      <c r="AQ199" s="138">
        <f>SUM(AN$7:AN199)</f>
        <v>176000</v>
      </c>
      <c r="AR199" s="126">
        <f>SUM(AO$7:AO199)</f>
        <v>8800</v>
      </c>
      <c r="AS199" s="129">
        <f>SUM(AP$7:AP199)</f>
        <v>176</v>
      </c>
      <c r="AT199" s="128">
        <v>500</v>
      </c>
      <c r="AU199" s="129">
        <v>100</v>
      </c>
      <c r="AV199" s="128">
        <f>SUM(AT$7:AT199)</f>
        <v>96500</v>
      </c>
      <c r="AW199" s="90">
        <f>SUM(AU$7:AU199)</f>
        <v>19300</v>
      </c>
      <c r="AY199" s="128">
        <f t="shared" si="167"/>
        <v>32100</v>
      </c>
      <c r="AZ199" s="90">
        <f t="shared" si="168"/>
        <v>8800</v>
      </c>
      <c r="BA199" s="90">
        <f t="shared" si="169"/>
        <v>19300</v>
      </c>
      <c r="BB199" s="90">
        <f t="shared" ca="1" si="217"/>
        <v>18200</v>
      </c>
      <c r="BC199" s="90">
        <f t="shared" ca="1" si="218"/>
        <v>78400</v>
      </c>
      <c r="BD199" s="90"/>
      <c r="BE199" s="90">
        <f t="shared" ca="1" si="170"/>
        <v>78400</v>
      </c>
      <c r="BF199" s="142">
        <f t="shared" ca="1" si="171"/>
        <v>0.40943877551020408</v>
      </c>
      <c r="BG199" s="142">
        <f t="shared" ca="1" si="172"/>
        <v>0.11224489795918367</v>
      </c>
      <c r="BH199" s="142">
        <f t="shared" ca="1" si="228"/>
        <v>0.24617346938775511</v>
      </c>
      <c r="BI199" s="142">
        <f t="shared" ca="1" si="229"/>
        <v>0.23214285714285715</v>
      </c>
      <c r="BJ199" s="143"/>
      <c r="BK199" s="128">
        <f ca="1">INDEX(商城宝箱!$L:$L,MATCH(BC199,商城宝箱!$N:$N,1))</f>
        <v>10</v>
      </c>
      <c r="BL199" s="90">
        <f ca="1">_xlfn.IFNA(INDEX(商城宝箱!T:T,MATCH(玩家节奏1!$BK199,商城宝箱!$L:$L,0)),0)+($BC199-INDEX(商城宝箱!$N:$N,MATCH(玩家节奏1!$BK199,商城宝箱!$L:$L,0)))/$BK$5*INDEX(商城宝箱!E$23:E$42,MATCH(玩家节奏1!$BK199+1,商城宝箱!$C$23:$C$42,0))</f>
        <v>196000</v>
      </c>
      <c r="BM199" s="90">
        <f ca="1">_xlfn.IFNA(INDEX(商城宝箱!U:U,MATCH(玩家节奏1!$BK199,商城宝箱!$L:$L,0)),0)+($BC199-INDEX(商城宝箱!$N:$N,MATCH(玩家节奏1!$BK199,商城宝箱!$L:$L,0)))/$BK$5*INDEX(商城宝箱!F$23:F$42,MATCH(玩家节奏1!$BK199+1,商城宝箱!$C$23:$C$42,0))</f>
        <v>164822.5</v>
      </c>
      <c r="BN199" s="90">
        <f ca="1">_xlfn.IFNA(INDEX(商城宝箱!V:V,MATCH(玩家节奏1!$BK199,商城宝箱!$L:$L,0)),0)+($BC199-INDEX(商城宝箱!$N:$N,MATCH(玩家节奏1!$BK199,商城宝箱!$L:$L,0)))/$BK$5*INDEX(商城宝箱!G$23:G$42,MATCH(玩家节奏1!$BK199+1,商城宝箱!$C$23:$C$42,0))</f>
        <v>89587</v>
      </c>
      <c r="BO199" s="90">
        <f ca="1">_xlfn.IFNA(INDEX(商城宝箱!W:W,MATCH(玩家节奏1!$BK199,商城宝箱!$L:$L,0)),0)+($BC199-INDEX(商城宝箱!$N:$N,MATCH(玩家节奏1!$BK199,商城宝箱!$L:$L,0)))/$BK$5*INDEX(商城宝箱!H$23:H$42,MATCH(玩家节奏1!$BK199+1,商城宝箱!$C$23:$C$42,0))</f>
        <v>13056.5</v>
      </c>
      <c r="BQ199" s="128">
        <f t="shared" ref="BQ199:BQ206" si="231">R199</f>
        <v>8141200</v>
      </c>
      <c r="BR199" s="90">
        <f t="shared" ref="BR199:BR206" si="232">AD199</f>
        <v>866710</v>
      </c>
      <c r="BS199" s="90">
        <f t="shared" ref="BS199:BS206" ca="1" si="233">AL199</f>
        <v>1573320</v>
      </c>
      <c r="BT199" s="90">
        <f t="shared" ref="BT199:BT206" si="234">AM199</f>
        <v>12200</v>
      </c>
      <c r="BU199" s="90">
        <f t="shared" ref="BU199:BU206" si="235">AQ199</f>
        <v>176000</v>
      </c>
      <c r="BV199" s="90">
        <f t="shared" ref="BV199:BV206" si="236">AV199</f>
        <v>96500</v>
      </c>
      <c r="BW199" s="90">
        <f t="shared" ca="1" si="175"/>
        <v>196000</v>
      </c>
      <c r="BX199" s="90">
        <f t="shared" ca="1" si="176"/>
        <v>11061930</v>
      </c>
      <c r="BY199" s="142">
        <f t="shared" ca="1" si="177"/>
        <v>0.7359656045554438</v>
      </c>
      <c r="BZ199" s="142">
        <f t="shared" ca="1" si="178"/>
        <v>7.8350703719875278E-2</v>
      </c>
      <c r="CA199" s="142">
        <f t="shared" ca="1" si="179"/>
        <v>0.14222834532491166</v>
      </c>
      <c r="CB199" s="142">
        <f t="shared" ca="1" si="180"/>
        <v>1.1028816852032149E-3</v>
      </c>
      <c r="CC199" s="142">
        <f t="shared" ca="1" si="181"/>
        <v>1.5910424311128348E-2</v>
      </c>
      <c r="CD199" s="142">
        <f t="shared" ca="1" si="182"/>
        <v>8.7236133296811676E-3</v>
      </c>
      <c r="CE199" s="142">
        <f t="shared" ca="1" si="183"/>
        <v>1.7718427073756569E-2</v>
      </c>
      <c r="CG199" s="128">
        <f t="shared" si="184"/>
        <v>168</v>
      </c>
      <c r="CH199" s="90">
        <f ca="1">INDEX(角色升级!$A:$A,MATCH(玩家节奏1!$BX199,角色升级!$J:$J,1))</f>
        <v>754</v>
      </c>
      <c r="CI199" s="90">
        <f ca="1">INDEX(角色升级!$O:$O,MATCH(玩家节奏1!$BX199,角色升级!$J:$J,1))</f>
        <v>46882.226690000003</v>
      </c>
      <c r="CJ199" s="90">
        <f>INDEX(关卡对比!$J:$J,MATCH(玩家节奏1!N199,关卡对比!$A:$A,0))</f>
        <v>70200</v>
      </c>
      <c r="CK199" s="147">
        <f t="shared" ca="1" si="185"/>
        <v>1.497369151516297</v>
      </c>
      <c r="CL199" s="128">
        <f ca="1">INDEX(角色升级!$P:$P,MATCH(玩家节奏1!$CH199,角色升级!$A:$A,0))</f>
        <v>18200</v>
      </c>
      <c r="CM199" s="90">
        <f ca="1">INDEX(角色升级!Q:Q,MATCH(玩家节奏1!$CH199,角色升级!$A:$A,0))</f>
        <v>1.4</v>
      </c>
      <c r="CO199" s="128">
        <f t="shared" si="186"/>
        <v>55506</v>
      </c>
      <c r="CP199" s="90">
        <f t="shared" si="187"/>
        <v>63531</v>
      </c>
      <c r="CQ199" s="90">
        <f t="shared" si="188"/>
        <v>30000</v>
      </c>
      <c r="CR199" s="90">
        <f t="shared" ca="1" si="189"/>
        <v>164822.5</v>
      </c>
      <c r="CS199" s="90">
        <f t="shared" ca="1" si="190"/>
        <v>313859.5</v>
      </c>
      <c r="CT199" s="142">
        <f t="shared" ca="1" si="191"/>
        <v>0.17684983248874098</v>
      </c>
      <c r="CU199" s="142">
        <f t="shared" ca="1" si="192"/>
        <v>0.20241859813069224</v>
      </c>
      <c r="CV199" s="142">
        <f t="shared" ca="1" si="193"/>
        <v>9.5584170624116838E-2</v>
      </c>
      <c r="CW199" s="142">
        <f t="shared" ca="1" si="194"/>
        <v>0.52514739875644989</v>
      </c>
      <c r="CY199" s="128">
        <f t="shared" si="195"/>
        <v>27754</v>
      </c>
      <c r="CZ199" s="90">
        <f t="shared" si="196"/>
        <v>31571</v>
      </c>
      <c r="DA199" s="90">
        <f t="shared" si="197"/>
        <v>18880</v>
      </c>
      <c r="DB199" s="90">
        <f t="shared" ca="1" si="198"/>
        <v>89587</v>
      </c>
      <c r="DC199" s="90">
        <f t="shared" ca="1" si="199"/>
        <v>167792</v>
      </c>
      <c r="DD199" s="142">
        <f t="shared" ca="1" si="200"/>
        <v>0.16540717078287404</v>
      </c>
      <c r="DE199" s="142">
        <f t="shared" ca="1" si="201"/>
        <v>0.18815557356727378</v>
      </c>
      <c r="DF199" s="142">
        <f t="shared" ca="1" si="202"/>
        <v>0.11252026318298847</v>
      </c>
      <c r="DG199" s="142">
        <f t="shared" ca="1" si="203"/>
        <v>0.53391699246686375</v>
      </c>
      <c r="DI199" s="128">
        <f t="shared" si="204"/>
        <v>13369</v>
      </c>
      <c r="DJ199" s="90">
        <f t="shared" si="205"/>
        <v>15242</v>
      </c>
      <c r="DK199" s="90">
        <f t="shared" si="206"/>
        <v>6872</v>
      </c>
      <c r="DL199" s="90">
        <f t="shared" ca="1" si="207"/>
        <v>13056.5</v>
      </c>
      <c r="DM199" s="90">
        <f t="shared" ca="1" si="208"/>
        <v>48539.5</v>
      </c>
      <c r="DN199" s="142">
        <f t="shared" ca="1" si="209"/>
        <v>0.2754251691921013</v>
      </c>
      <c r="DO199" s="142">
        <f t="shared" ca="1" si="210"/>
        <v>0.31401229926142626</v>
      </c>
      <c r="DP199" s="142">
        <f t="shared" ca="1" si="211"/>
        <v>0.14157541795856982</v>
      </c>
      <c r="DQ199" s="142">
        <f t="shared" ca="1" si="212"/>
        <v>0.26898711358790262</v>
      </c>
      <c r="DS199" s="128">
        <f t="shared" ca="1" si="213"/>
        <v>313859.5</v>
      </c>
      <c r="DT199" s="90">
        <f t="shared" ca="1" si="214"/>
        <v>167792</v>
      </c>
      <c r="DU199" s="90">
        <f t="shared" ca="1" si="215"/>
        <v>48539.5</v>
      </c>
      <c r="DV199" s="90">
        <f t="shared" si="216"/>
        <v>176</v>
      </c>
      <c r="DW199" s="90">
        <f ca="1">_xlfn.IFNA(INDEX(武器升级消耗!$H:$H,MATCH(玩家节奏1!DS199/玩家节奏1!DS$5,武器升级消耗!M:M,1)),0)</f>
        <v>49</v>
      </c>
      <c r="DX199" s="90">
        <f ca="1">_xlfn.IFNA(INDEX(武器升级消耗!$H:$H,MATCH(玩家节奏1!DT199/玩家节奏1!DT$5,武器升级消耗!N:N,1)),0)</f>
        <v>44</v>
      </c>
      <c r="DY199" s="90">
        <f ca="1">_xlfn.IFNA(INDEX(武器升级消耗!$H:$H,MATCH(玩家节奏1!DU199/玩家节奏1!DU$5,武器升级消耗!O:O,1)),0)</f>
        <v>30</v>
      </c>
      <c r="DZ199" s="90">
        <f>_xlfn.IFNA(INDEX(武器升级消耗!$H:$H,MATCH(玩家节奏1!DV199/玩家节奏1!DV$5,武器升级消耗!P:P,1)),0)</f>
        <v>14</v>
      </c>
      <c r="EA199" s="90">
        <f ca="1">_xlfn.IFNA(INDEX(武器升级消耗!$Q:$Q,MATCH(玩家节奏1!DW199,武器升级消耗!$H:$H,0))*2*EA$4,0)</f>
        <v>6.3599999999999994</v>
      </c>
      <c r="EB199" s="90">
        <f ca="1">_xlfn.IFNA(INDEX(武器升级消耗!$Q:$Q,MATCH(玩家节奏1!DX199,武器升级消耗!$H:$H,0))*2*EB$4,0)</f>
        <v>7.1999999999999993</v>
      </c>
      <c r="EC199" s="90">
        <f ca="1">_xlfn.IFNA(INDEX(武器升级消耗!$Q:$Q,MATCH(玩家节奏1!DY199,武器升级消耗!$H:$H,0))*2*EC$4,1)</f>
        <v>7.48</v>
      </c>
      <c r="ED199" s="90">
        <f>_xlfn.IFNA(INDEX(武器升级消耗!$Q:$Q,MATCH(玩家节奏1!DZ199,武器升级消耗!$H:$H,0))*2*ED$4,0)</f>
        <v>5.4</v>
      </c>
    </row>
    <row r="200" spans="1:134" x14ac:dyDescent="0.25">
      <c r="A200" s="123">
        <v>194</v>
      </c>
      <c r="B200" s="123">
        <f>INDEX(关卡对比!$Y:$Y,MATCH(关卡对比!Z200,关卡对比!$AA:$AA,1))</f>
        <v>110</v>
      </c>
      <c r="C200" s="124">
        <f>INDEX(关卡对比!$Y:$Y,MATCH(关卡对比!Z200,关卡对比!$AB:$AB,1))</f>
        <v>83</v>
      </c>
      <c r="D200" s="125">
        <f t="shared" si="230"/>
        <v>1130.5</v>
      </c>
      <c r="E200" s="125">
        <v>3</v>
      </c>
      <c r="F200" s="128">
        <v>5</v>
      </c>
      <c r="G200" s="90">
        <v>1</v>
      </c>
      <c r="H200" s="90">
        <v>1</v>
      </c>
      <c r="J200" s="128">
        <v>194</v>
      </c>
      <c r="K200" s="90">
        <f t="shared" ref="K200:K206" si="237">INDEX($F:$F,MATCH(N199,$A:$A,0))</f>
        <v>5</v>
      </c>
      <c r="L200" s="90">
        <f t="shared" ref="L200:L206" si="238">INDEX($G:$G,MATCH(N199,$A:$A,0))</f>
        <v>1</v>
      </c>
      <c r="M200" s="90">
        <f t="shared" ref="M200:M206" si="239">INDEX($H:$H,MATCH(N199,$A:$A,0))</f>
        <v>1</v>
      </c>
      <c r="N200" s="140">
        <f>INDEX($A:$A,MATCH(SUM($K$7:K200),$D:$D,1))</f>
        <v>169</v>
      </c>
      <c r="O200" s="140">
        <v>0</v>
      </c>
      <c r="P200" s="141">
        <v>0</v>
      </c>
      <c r="Q200" s="126">
        <f>_xlfn.MAXIFS(关卡产出!X:X,关卡产出!$A:$A,玩家节奏1!$N$6,关卡产出!$B:$B,玩家节奏1!$N200)+_xlfn.MAXIFS(关卡产出!X:X,关卡产出!$A:$A,玩家节奏1!$O$6,关卡产出!$B:$B,玩家节奏1!$O200)+_xlfn.MAXIFS(关卡产出!X:X,关卡产出!$A:$A,玩家节奏1!$P$6,关卡产出!$B:$B,玩家节奏1!$P200)</f>
        <v>32300</v>
      </c>
      <c r="R200" s="90">
        <f>_xlfn.MAXIFS(关卡产出!Y:Y,关卡产出!$A:$A,玩家节奏1!$N$6,关卡产出!$B:$B,玩家节奏1!$N200)+_xlfn.MAXIFS(关卡产出!Y:Y,关卡产出!$A:$A,玩家节奏1!$O$6,关卡产出!$B:$B,玩家节奏1!$O200)+_xlfn.MAXIFS(关卡产出!Y:Y,关卡产出!$A:$A,玩家节奏1!$P$6,关卡产出!$B:$B,玩家节奏1!$P200)</f>
        <v>8240300</v>
      </c>
      <c r="S200" s="90">
        <f>_xlfn.MAXIFS(关卡产出!Z:Z,关卡产出!$A:$A,玩家节奏1!$N$6,关卡产出!$B:$B,玩家节奏1!$N200)+_xlfn.MAXIFS(关卡产出!Z:Z,关卡产出!$A:$A,玩家节奏1!$O$6,关卡产出!$B:$B,玩家节奏1!$O200)+_xlfn.MAXIFS(关卡产出!Z:Z,关卡产出!$A:$A,玩家节奏1!$P$6,关卡产出!$B:$B,玩家节奏1!$P200)</f>
        <v>56174</v>
      </c>
      <c r="T200" s="90">
        <f>_xlfn.MAXIFS(关卡产出!AA:AA,关卡产出!$A:$A,玩家节奏1!$N$6,关卡产出!$B:$B,玩家节奏1!$N200)+_xlfn.MAXIFS(关卡产出!AA:AA,关卡产出!$A:$A,玩家节奏1!$O$6,关卡产出!$B:$B,玩家节奏1!$O200)+_xlfn.MAXIFS(关卡产出!AA:AA,关卡产出!$A:$A,玩家节奏1!$P$6,关卡产出!$B:$B,玩家节奏1!$P200)</f>
        <v>28088</v>
      </c>
      <c r="U200" s="90">
        <f>_xlfn.MAXIFS(关卡产出!AB:AB,关卡产出!$A:$A,玩家节奏1!$N$6,关卡产出!$B:$B,玩家节奏1!$N200)+_xlfn.MAXIFS(关卡产出!AB:AB,关卡产出!$A:$A,玩家节奏1!$O$6,关卡产出!$B:$B,玩家节奏1!$O200)+_xlfn.MAXIFS(关卡产出!AB:AB,关卡产出!$A:$A,玩家节奏1!$P$6,关卡产出!$B:$B,玩家节奏1!$P200)</f>
        <v>13533</v>
      </c>
      <c r="V200" s="130">
        <f>_xlfn.MAXIFS(关卡产出!AC:AC,关卡产出!$A:$A,玩家节奏1!$N$6,关卡产出!$B:$B,玩家节奏1!$N200)+_xlfn.MAXIFS(关卡产出!AC:AC,关卡产出!$A:$A,玩家节奏1!$O$6,关卡产出!$B:$B,玩家节奏1!$O200)+_xlfn.MAXIFS(关卡产出!AC:AC,关卡产出!$A:$A,玩家节奏1!$P$6,关卡产出!$B:$B,玩家节奏1!$P200)</f>
        <v>1014</v>
      </c>
      <c r="W200" s="126">
        <f>INDEX(关卡产出!C$8:C$207,MATCH(玩家节奏1!$N200,关卡产出!$B$8:$B$207,0))*$K200</f>
        <v>670</v>
      </c>
      <c r="X200" s="126">
        <f>INDEX(关卡产出!D$8:D$207,MATCH(玩家节奏1!$N200,关卡产出!$B$8:$B$207,0))*$K200</f>
        <v>335</v>
      </c>
      <c r="Y200" s="126">
        <f>INDEX(关卡产出!E$8:E$207,MATCH(玩家节奏1!$N200,关卡产出!$B$8:$B$207,0))*$K200</f>
        <v>165</v>
      </c>
      <c r="Z200" s="144">
        <f>INDEX(关卡产出!F$8:F$207,MATCH(玩家节奏1!$N200,关卡产出!$B$8:$B$207,0))*$K200</f>
        <v>8750</v>
      </c>
      <c r="AA200" s="126">
        <f>SUM(W$7:W200)</f>
        <v>64201</v>
      </c>
      <c r="AB200" s="126">
        <f>SUM(X$7:X200)</f>
        <v>31906</v>
      </c>
      <c r="AC200" s="126">
        <f>SUM(Y$7:Y200)</f>
        <v>15407</v>
      </c>
      <c r="AD200" s="126">
        <f>SUM(Z$7:Z200)</f>
        <v>875460</v>
      </c>
      <c r="AE200" s="126">
        <f>INDEX(图鉴!AQ:AQ,MATCH($N200,图鉴!$S:$S,0))*8</f>
        <v>168</v>
      </c>
      <c r="AF200" s="90">
        <f>INDEX(图鉴!AR:AR,MATCH($N200,图鉴!$S:$S,0))*8</f>
        <v>120</v>
      </c>
      <c r="AG200" s="90">
        <f>INDEX(图鉴!AS:AS,MATCH($N200,图鉴!$S:$S,0))*8</f>
        <v>48</v>
      </c>
      <c r="AH200" s="129">
        <f ca="1">INDEX(图鉴!AT:AT,MATCH($N200,图鉴!$S:$S,0))*8</f>
        <v>12120</v>
      </c>
      <c r="AI200" s="128">
        <f>SUM($AE$7:AE200)</f>
        <v>30168</v>
      </c>
      <c r="AJ200" s="90">
        <f>SUM(AF$7:AF200)</f>
        <v>19000</v>
      </c>
      <c r="AK200" s="90">
        <f>SUM(AG$7:AG200)</f>
        <v>6920</v>
      </c>
      <c r="AL200" s="130">
        <f ca="1">SUM(AH$7:AH200)</f>
        <v>1585440</v>
      </c>
      <c r="AM200" s="133">
        <f>IF(M200=0,0,INDEX(关卡产出!$AU$11:$AU$15,MATCH(玩家节奏1!N200,关卡产出!$AW$11:$AW$15,1))*M200)</f>
        <v>12200</v>
      </c>
      <c r="AN200" s="126">
        <f>IF(L200=0,0,$L200*关卡产出!AU$21)</f>
        <v>1000</v>
      </c>
      <c r="AO200" s="90">
        <f>IF(M200=0,0,$L200*关卡产出!AV$21)</f>
        <v>50</v>
      </c>
      <c r="AP200" s="129">
        <f>IF(N200=0,0,$L200*关卡产出!AW$21)</f>
        <v>1</v>
      </c>
      <c r="AQ200" s="138">
        <f>SUM(AN$7:AN200)</f>
        <v>177000</v>
      </c>
      <c r="AR200" s="126">
        <f>SUM(AO$7:AO200)</f>
        <v>8850</v>
      </c>
      <c r="AS200" s="129">
        <f>SUM(AP$7:AP200)</f>
        <v>177</v>
      </c>
      <c r="AT200" s="128">
        <v>500</v>
      </c>
      <c r="AU200" s="129">
        <v>100</v>
      </c>
      <c r="AV200" s="128">
        <f>SUM(AT$7:AT200)</f>
        <v>97000</v>
      </c>
      <c r="AW200" s="90">
        <f>SUM(AU$7:AU200)</f>
        <v>19400</v>
      </c>
      <c r="AY200" s="128">
        <f t="shared" ref="AY200:AY206" si="240">Q200</f>
        <v>32300</v>
      </c>
      <c r="AZ200" s="90">
        <f t="shared" ref="AZ200:AZ206" si="241">AR200</f>
        <v>8850</v>
      </c>
      <c r="BA200" s="90">
        <f t="shared" ref="BA200:BA206" si="242">AW200</f>
        <v>19400</v>
      </c>
      <c r="BB200" s="90">
        <f t="shared" ca="1" si="217"/>
        <v>18200</v>
      </c>
      <c r="BC200" s="90">
        <f t="shared" ca="1" si="218"/>
        <v>78750</v>
      </c>
      <c r="BD200" s="90"/>
      <c r="BE200" s="90">
        <f t="shared" ref="BE200:BE206" ca="1" si="243">SUM(AY200:BB200)</f>
        <v>78750</v>
      </c>
      <c r="BF200" s="142">
        <f t="shared" ref="BF200:BF206" ca="1" si="244">AY200/$BC200</f>
        <v>0.41015873015873017</v>
      </c>
      <c r="BG200" s="142">
        <f t="shared" ref="BG200:BG206" ca="1" si="245">AZ200/$BC200</f>
        <v>0.11238095238095239</v>
      </c>
      <c r="BH200" s="142">
        <f t="shared" ref="BH200:BH206" ca="1" si="246">BA200/$BC200</f>
        <v>0.24634920634920635</v>
      </c>
      <c r="BI200" s="142">
        <f t="shared" ref="BI200:BI206" ca="1" si="247">BB200/$BC200</f>
        <v>0.2311111111111111</v>
      </c>
      <c r="BJ200" s="143"/>
      <c r="BK200" s="128">
        <f ca="1">INDEX(商城宝箱!$L:$L,MATCH(BC200,商城宝箱!$N:$N,1))</f>
        <v>10</v>
      </c>
      <c r="BL200" s="90">
        <f ca="1">_xlfn.IFNA(INDEX(商城宝箱!T:T,MATCH(玩家节奏1!$BK200,商城宝箱!$L:$L,0)),0)+($BC200-INDEX(商城宝箱!$N:$N,MATCH(玩家节奏1!$BK200,商城宝箱!$L:$L,0)))/$BK$5*INDEX(商城宝箱!E$23:E$42,MATCH(玩家节奏1!$BK200+1,商城宝箱!$C$23:$C$42,0))</f>
        <v>196875</v>
      </c>
      <c r="BM200" s="90">
        <f ca="1">_xlfn.IFNA(INDEX(商城宝箱!U:U,MATCH(玩家节奏1!$BK200,商城宝箱!$L:$L,0)),0)+($BC200-INDEX(商城宝箱!$N:$N,MATCH(玩家节奏1!$BK200,商城宝箱!$L:$L,0)))/$BK$5*INDEX(商城宝箱!F$23:F$42,MATCH(玩家节奏1!$BK200+1,商城宝箱!$C$23:$C$42,0))</f>
        <v>165942.5</v>
      </c>
      <c r="BN200" s="90">
        <f ca="1">_xlfn.IFNA(INDEX(商城宝箱!V:V,MATCH(玩家节奏1!$BK200,商城宝箱!$L:$L,0)),0)+($BC200-INDEX(商城宝箱!$N:$N,MATCH(玩家节奏1!$BK200,商城宝箱!$L:$L,0)))/$BK$5*INDEX(商城宝箱!G$23:G$42,MATCH(玩家节奏1!$BK200+1,商城宝箱!$C$23:$C$42,0))</f>
        <v>90112</v>
      </c>
      <c r="BO200" s="90">
        <f ca="1">_xlfn.IFNA(INDEX(商城宝箱!W:W,MATCH(玩家节奏1!$BK200,商城宝箱!$L:$L,0)),0)+($BC200-INDEX(商城宝箱!$N:$N,MATCH(玩家节奏1!$BK200,商城宝箱!$L:$L,0)))/$BK$5*INDEX(商城宝箱!H$23:H$42,MATCH(玩家节奏1!$BK200+1,商城宝箱!$C$23:$C$42,0))</f>
        <v>13144</v>
      </c>
      <c r="BQ200" s="128">
        <f t="shared" si="231"/>
        <v>8240300</v>
      </c>
      <c r="BR200" s="90">
        <f t="shared" si="232"/>
        <v>875460</v>
      </c>
      <c r="BS200" s="90">
        <f t="shared" ca="1" si="233"/>
        <v>1585440</v>
      </c>
      <c r="BT200" s="90">
        <f t="shared" si="234"/>
        <v>12200</v>
      </c>
      <c r="BU200" s="90">
        <f t="shared" si="235"/>
        <v>177000</v>
      </c>
      <c r="BV200" s="90">
        <f t="shared" si="236"/>
        <v>97000</v>
      </c>
      <c r="BW200" s="90">
        <f t="shared" ref="BW200:BW206" ca="1" si="248">BL200</f>
        <v>196875</v>
      </c>
      <c r="BX200" s="90">
        <f t="shared" ref="BX200:BX206" ca="1" si="249">SUM(BQ200:BW200)</f>
        <v>11184275</v>
      </c>
      <c r="BY200" s="142">
        <f t="shared" ref="BY200:BY206" ca="1" si="250">BQ200/$BX200</f>
        <v>0.7367755174117232</v>
      </c>
      <c r="BZ200" s="142">
        <f t="shared" ref="BZ200:BZ206" ca="1" si="251">BR200/$BX200</f>
        <v>7.8275972291453846E-2</v>
      </c>
      <c r="CA200" s="142">
        <f t="shared" ref="CA200:CA206" ca="1" si="252">BS200/$BX200</f>
        <v>0.141756171052661</v>
      </c>
      <c r="CB200" s="142">
        <f t="shared" ref="CB200:CB206" ca="1" si="253">BT200/$BX200</f>
        <v>1.090817241171198E-3</v>
      </c>
      <c r="CC200" s="142">
        <f t="shared" ref="CC200:CC206" ca="1" si="254">BU200/$BX200</f>
        <v>1.5825791121910002E-2</v>
      </c>
      <c r="CD200" s="142">
        <f t="shared" ref="CD200:CD206" ca="1" si="255">BV200/$BX200</f>
        <v>8.6728911798037867E-3</v>
      </c>
      <c r="CE200" s="142">
        <f t="shared" ref="CE200:CE206" ca="1" si="256">BW200/$BX200</f>
        <v>1.7602839701277018E-2</v>
      </c>
      <c r="CG200" s="128">
        <f t="shared" ref="CG200:CG206" si="257">N200</f>
        <v>169</v>
      </c>
      <c r="CH200" s="90">
        <f ca="1">INDEX(角色升级!$A:$A,MATCH(玩家节奏1!$BX200,角色升级!$J:$J,1))</f>
        <v>756</v>
      </c>
      <c r="CI200" s="90">
        <f ca="1">INDEX(角色升级!$O:$O,MATCH(玩家节奏1!$BX200,角色升级!$J:$J,1))</f>
        <v>47612.566950000008</v>
      </c>
      <c r="CJ200" s="90">
        <f>INDEX(关卡对比!$J:$J,MATCH(玩家节奏1!N200,关卡对比!$A:$A,0))</f>
        <v>70700</v>
      </c>
      <c r="CK200" s="147">
        <f t="shared" ref="CK200:CK206" ca="1" si="258">CJ200/CI200</f>
        <v>1.484902086338783</v>
      </c>
      <c r="CL200" s="128">
        <f ca="1">INDEX(角色升级!$P:$P,MATCH(玩家节奏1!$CH200,角色升级!$A:$A,0))</f>
        <v>18200</v>
      </c>
      <c r="CM200" s="90">
        <f ca="1">INDEX(角色升级!Q:Q,MATCH(玩家节奏1!$CH200,角色升级!$A:$A,0))</f>
        <v>1.4</v>
      </c>
      <c r="CO200" s="128">
        <f t="shared" ref="CO200:CO206" si="259">S200</f>
        <v>56174</v>
      </c>
      <c r="CP200" s="90">
        <f t="shared" ref="CP200:CP206" si="260">AA200</f>
        <v>64201</v>
      </c>
      <c r="CQ200" s="90">
        <f t="shared" ref="CQ200:CQ206" si="261">AI200</f>
        <v>30168</v>
      </c>
      <c r="CR200" s="90">
        <f t="shared" ref="CR200:CR206" ca="1" si="262">BM200</f>
        <v>165942.5</v>
      </c>
      <c r="CS200" s="90">
        <f t="shared" ref="CS200:CS206" ca="1" si="263">SUM(CO200:CR200)</f>
        <v>316485.5</v>
      </c>
      <c r="CT200" s="142">
        <f t="shared" ref="CT200:CT206" ca="1" si="264">CO200/$CS200</f>
        <v>0.17749312369761017</v>
      </c>
      <c r="CU200" s="142">
        <f t="shared" ref="CU200:CU206" ca="1" si="265">CP200/$CS200</f>
        <v>0.20285605501673853</v>
      </c>
      <c r="CV200" s="142">
        <f t="shared" ref="CV200:CV206" ca="1" si="266">CQ200/$CS200</f>
        <v>9.5321902583214713E-2</v>
      </c>
      <c r="CW200" s="142">
        <f t="shared" ref="CW200:CW206" ca="1" si="267">CR200/$CS200</f>
        <v>0.52432891870243659</v>
      </c>
      <c r="CY200" s="128">
        <f t="shared" ref="CY200:CY206" si="268">T200</f>
        <v>28088</v>
      </c>
      <c r="CZ200" s="90">
        <f t="shared" ref="CZ200:CZ206" si="269">AB200</f>
        <v>31906</v>
      </c>
      <c r="DA200" s="90">
        <f t="shared" ref="DA200:DA206" si="270">AJ200</f>
        <v>19000</v>
      </c>
      <c r="DB200" s="90">
        <f t="shared" ref="DB200:DB206" ca="1" si="271">BN200</f>
        <v>90112</v>
      </c>
      <c r="DC200" s="90">
        <f t="shared" ref="DC200:DC206" ca="1" si="272">SUM(CY200:DB200)</f>
        <v>169106</v>
      </c>
      <c r="DD200" s="142">
        <f t="shared" ref="DD200:DD206" ca="1" si="273">CY200/$DC200</f>
        <v>0.16609700424585763</v>
      </c>
      <c r="DE200" s="142">
        <f t="shared" ref="DE200:DE206" ca="1" si="274">CZ200/$DC200</f>
        <v>0.18867455915224771</v>
      </c>
      <c r="DF200" s="142">
        <f t="shared" ref="DF200:DF206" ca="1" si="275">DA200/$DC200</f>
        <v>0.1123555639657966</v>
      </c>
      <c r="DG200" s="142">
        <f t="shared" ref="DG200:DG206" ca="1" si="276">DB200/$DC200</f>
        <v>0.53287287263609806</v>
      </c>
      <c r="DI200" s="128">
        <f t="shared" ref="DI200:DI206" si="277">U200</f>
        <v>13533</v>
      </c>
      <c r="DJ200" s="90">
        <f t="shared" ref="DJ200:DJ206" si="278">AC200</f>
        <v>15407</v>
      </c>
      <c r="DK200" s="90">
        <f t="shared" ref="DK200:DK206" si="279">AK200</f>
        <v>6920</v>
      </c>
      <c r="DL200" s="90">
        <f t="shared" ref="DL200:DL206" ca="1" si="280">BO200</f>
        <v>13144</v>
      </c>
      <c r="DM200" s="90">
        <f t="shared" ref="DM200:DM206" ca="1" si="281">SUM(DI200:DL200)</f>
        <v>49004</v>
      </c>
      <c r="DN200" s="142">
        <f t="shared" ref="DN200:DN206" ca="1" si="282">DI200/$DM200</f>
        <v>0.27616112970369766</v>
      </c>
      <c r="DO200" s="142">
        <f t="shared" ref="DO200:DO206" ca="1" si="283">DJ200/$DM200</f>
        <v>0.31440290588523384</v>
      </c>
      <c r="DP200" s="142">
        <f t="shared" ref="DP200:DP206" ca="1" si="284">DK200/$DM200</f>
        <v>0.14121296220716675</v>
      </c>
      <c r="DQ200" s="142">
        <f t="shared" ref="DQ200:DQ206" ca="1" si="285">DL200/$DM200</f>
        <v>0.26822300220390172</v>
      </c>
      <c r="DS200" s="128">
        <f t="shared" ref="DS200:DS206" ca="1" si="286">CS200</f>
        <v>316485.5</v>
      </c>
      <c r="DT200" s="90">
        <f t="shared" ref="DT200:DT206" ca="1" si="287">DC200</f>
        <v>169106</v>
      </c>
      <c r="DU200" s="90">
        <f t="shared" ref="DU200:DU206" ca="1" si="288">DM200</f>
        <v>49004</v>
      </c>
      <c r="DV200" s="90">
        <f t="shared" ref="DV200:DV206" si="289">AS200</f>
        <v>177</v>
      </c>
      <c r="DW200" s="90">
        <f ca="1">_xlfn.IFNA(INDEX(武器升级消耗!$H:$H,MATCH(玩家节奏1!DS200/玩家节奏1!DS$5,武器升级消耗!M:M,1)),0)</f>
        <v>50</v>
      </c>
      <c r="DX200" s="90">
        <f ca="1">_xlfn.IFNA(INDEX(武器升级消耗!$H:$H,MATCH(玩家节奏1!DT200/玩家节奏1!DT$5,武器升级消耗!N:N,1)),0)</f>
        <v>44</v>
      </c>
      <c r="DY200" s="90">
        <f ca="1">_xlfn.IFNA(INDEX(武器升级消耗!$H:$H,MATCH(玩家节奏1!DU200/玩家节奏1!DU$5,武器升级消耗!O:O,1)),0)</f>
        <v>31</v>
      </c>
      <c r="DZ200" s="90">
        <f>_xlfn.IFNA(INDEX(武器升级消耗!$H:$H,MATCH(玩家节奏1!DV200/玩家节奏1!DV$5,武器升级消耗!P:P,1)),0)</f>
        <v>14</v>
      </c>
      <c r="EA200" s="90">
        <f ca="1">_xlfn.IFNA(INDEX(武器升级消耗!$Q:$Q,MATCH(玩家节奏1!DW200,武器升级消耗!$H:$H,0))*2*EA$4,0)</f>
        <v>6.48</v>
      </c>
      <c r="EB200" s="90">
        <f ca="1">_xlfn.IFNA(INDEX(武器升级消耗!$Q:$Q,MATCH(玩家节奏1!DX200,武器升级消耗!$H:$H,0))*2*EB$4,0)</f>
        <v>7.1999999999999993</v>
      </c>
      <c r="EC200" s="90">
        <f ca="1">_xlfn.IFNA(INDEX(武器升级消耗!$Q:$Q,MATCH(玩家节奏1!DY200,武器升级消耗!$H:$H,0))*2*EC$4,1)</f>
        <v>7.7000000000000011</v>
      </c>
      <c r="ED200" s="90">
        <f>_xlfn.IFNA(INDEX(武器升级消耗!$Q:$Q,MATCH(玩家节奏1!DZ200,武器升级消耗!$H:$H,0))*2*ED$4,0)</f>
        <v>5.4</v>
      </c>
    </row>
    <row r="201" spans="1:134" x14ac:dyDescent="0.25">
      <c r="A201" s="123">
        <v>195</v>
      </c>
      <c r="B201" s="123">
        <f>INDEX(关卡对比!$Y:$Y,MATCH(关卡对比!Z201,关卡对比!$AA:$AA,1))</f>
        <v>111</v>
      </c>
      <c r="C201" s="124">
        <f>INDEX(关卡对比!$Y:$Y,MATCH(关卡对比!Z201,关卡对比!$AB:$AB,1))</f>
        <v>83</v>
      </c>
      <c r="D201" s="125">
        <f t="shared" si="230"/>
        <v>1136.5</v>
      </c>
      <c r="E201" s="125">
        <v>3</v>
      </c>
      <c r="F201" s="128">
        <v>5</v>
      </c>
      <c r="G201" s="90">
        <v>1</v>
      </c>
      <c r="H201" s="90">
        <v>1</v>
      </c>
      <c r="J201" s="128">
        <v>195</v>
      </c>
      <c r="K201" s="90">
        <f t="shared" si="237"/>
        <v>5</v>
      </c>
      <c r="L201" s="90">
        <f t="shared" si="238"/>
        <v>1</v>
      </c>
      <c r="M201" s="90">
        <f t="shared" si="239"/>
        <v>1</v>
      </c>
      <c r="N201" s="140">
        <f>INDEX($A:$A,MATCH(SUM($K$7:K201),$D:$D,1))</f>
        <v>170</v>
      </c>
      <c r="O201" s="140">
        <v>0</v>
      </c>
      <c r="P201" s="141">
        <v>0</v>
      </c>
      <c r="Q201" s="126">
        <f>_xlfn.MAXIFS(关卡产出!X:X,关卡产出!$A:$A,玩家节奏1!$N$6,关卡产出!$B:$B,玩家节奏1!$N201)+_xlfn.MAXIFS(关卡产出!X:X,关卡产出!$A:$A,玩家节奏1!$O$6,关卡产出!$B:$B,玩家节奏1!$O201)+_xlfn.MAXIFS(关卡产出!X:X,关卡产出!$A:$A,玩家节奏1!$P$6,关卡产出!$B:$B,玩家节奏1!$P201)</f>
        <v>32500</v>
      </c>
      <c r="R201" s="90">
        <f>_xlfn.MAXIFS(关卡产出!Y:Y,关卡产出!$A:$A,玩家节奏1!$N$6,关卡产出!$B:$B,玩家节奏1!$N201)+_xlfn.MAXIFS(关卡产出!Y:Y,关卡产出!$A:$A,玩家节奏1!$O$6,关卡产出!$B:$B,玩家节奏1!$O201)+_xlfn.MAXIFS(关卡产出!Y:Y,关卡产出!$A:$A,玩家节奏1!$P$6,关卡产出!$B:$B,玩家节奏1!$P201)</f>
        <v>8340000</v>
      </c>
      <c r="S201" s="90">
        <f>_xlfn.MAXIFS(关卡产出!Z:Z,关卡产出!$A:$A,玩家节奏1!$N$6,关卡产出!$B:$B,玩家节奏1!$N201)+_xlfn.MAXIFS(关卡产出!Z:Z,关卡产出!$A:$A,玩家节奏1!$O$6,关卡产出!$B:$B,玩家节奏1!$O201)+_xlfn.MAXIFS(关卡产出!Z:Z,关卡产出!$A:$A,玩家节奏1!$P$6,关卡产出!$B:$B,玩家节奏1!$P201)</f>
        <v>56846</v>
      </c>
      <c r="T201" s="90">
        <f>_xlfn.MAXIFS(关卡产出!AA:AA,关卡产出!$A:$A,玩家节奏1!$N$6,关卡产出!$B:$B,玩家节奏1!$N201)+_xlfn.MAXIFS(关卡产出!AA:AA,关卡产出!$A:$A,玩家节奏1!$O$6,关卡产出!$B:$B,玩家节奏1!$O201)+_xlfn.MAXIFS(关卡产出!AA:AA,关卡产出!$A:$A,玩家节奏1!$P$6,关卡产出!$B:$B,玩家节奏1!$P201)</f>
        <v>28424</v>
      </c>
      <c r="U201" s="90">
        <f>_xlfn.MAXIFS(关卡产出!AB:AB,关卡产出!$A:$A,玩家节奏1!$N$6,关卡产出!$B:$B,玩家节奏1!$N201)+_xlfn.MAXIFS(关卡产出!AB:AB,关卡产出!$A:$A,玩家节奏1!$O$6,关卡产出!$B:$B,玩家节奏1!$O201)+_xlfn.MAXIFS(关卡产出!AB:AB,关卡产出!$A:$A,玩家节奏1!$P$6,关卡产出!$B:$B,玩家节奏1!$P201)</f>
        <v>13698</v>
      </c>
      <c r="V201" s="130">
        <f>_xlfn.MAXIFS(关卡产出!AC:AC,关卡产出!$A:$A,玩家节奏1!$N$6,关卡产出!$B:$B,玩家节奏1!$N201)+_xlfn.MAXIFS(关卡产出!AC:AC,关卡产出!$A:$A,玩家节奏1!$O$6,关卡产出!$B:$B,玩家节奏1!$O201)+_xlfn.MAXIFS(关卡产出!AC:AC,关卡产出!$A:$A,玩家节奏1!$P$6,关卡产出!$B:$B,玩家节奏1!$P201)</f>
        <v>1020</v>
      </c>
      <c r="W201" s="126">
        <f>INDEX(关卡产出!C$8:C$207,MATCH(玩家节奏1!$N201,关卡产出!$B$8:$B$207,0))*$K201</f>
        <v>670</v>
      </c>
      <c r="X201" s="126">
        <f>INDEX(关卡产出!D$8:D$207,MATCH(玩家节奏1!$N201,关卡产出!$B$8:$B$207,0))*$K201</f>
        <v>335</v>
      </c>
      <c r="Y201" s="126">
        <f>INDEX(关卡产出!E$8:E$207,MATCH(玩家节奏1!$N201,关卡产出!$B$8:$B$207,0))*$K201</f>
        <v>165</v>
      </c>
      <c r="Z201" s="144">
        <f>INDEX(关卡产出!F$8:F$207,MATCH(玩家节奏1!$N201,关卡产出!$B$8:$B$207,0))*$K201</f>
        <v>8750</v>
      </c>
      <c r="AA201" s="126">
        <f>SUM(W$7:W201)</f>
        <v>64871</v>
      </c>
      <c r="AB201" s="126">
        <f>SUM(X$7:X201)</f>
        <v>32241</v>
      </c>
      <c r="AC201" s="126">
        <f>SUM(Y$7:Y201)</f>
        <v>15572</v>
      </c>
      <c r="AD201" s="126">
        <f>SUM(Z$7:Z201)</f>
        <v>884210</v>
      </c>
      <c r="AE201" s="126">
        <f>INDEX(图鉴!AQ:AQ,MATCH($N201,图鉴!$S:$S,0))*8</f>
        <v>168</v>
      </c>
      <c r="AF201" s="90">
        <f>INDEX(图鉴!AR:AR,MATCH($N201,图鉴!$S:$S,0))*8</f>
        <v>120</v>
      </c>
      <c r="AG201" s="90">
        <f>INDEX(图鉴!AS:AS,MATCH($N201,图鉴!$S:$S,0))*8</f>
        <v>48</v>
      </c>
      <c r="AH201" s="129">
        <f ca="1">INDEX(图鉴!AT:AT,MATCH($N201,图鉴!$S:$S,0))*8</f>
        <v>12640</v>
      </c>
      <c r="AI201" s="128">
        <f>SUM($AE$7:AE201)</f>
        <v>30336</v>
      </c>
      <c r="AJ201" s="90">
        <f>SUM(AF$7:AF201)</f>
        <v>19120</v>
      </c>
      <c r="AK201" s="90">
        <f>SUM(AG$7:AG201)</f>
        <v>6968</v>
      </c>
      <c r="AL201" s="130">
        <f ca="1">SUM(AH$7:AH201)</f>
        <v>1598080</v>
      </c>
      <c r="AM201" s="133">
        <f>IF(M201=0,0,INDEX(关卡产出!$AU$11:$AU$15,MATCH(玩家节奏1!N201,关卡产出!$AW$11:$AW$15,1))*M201)</f>
        <v>12200</v>
      </c>
      <c r="AN201" s="126">
        <f>IF(L201=0,0,$L201*关卡产出!AU$21)</f>
        <v>1000</v>
      </c>
      <c r="AO201" s="90">
        <f>IF(M201=0,0,$L201*关卡产出!AV$21)</f>
        <v>50</v>
      </c>
      <c r="AP201" s="129">
        <f>IF(N201=0,0,$L201*关卡产出!AW$21)</f>
        <v>1</v>
      </c>
      <c r="AQ201" s="138">
        <f>SUM(AN$7:AN201)</f>
        <v>178000</v>
      </c>
      <c r="AR201" s="126">
        <f>SUM(AO$7:AO201)</f>
        <v>8900</v>
      </c>
      <c r="AS201" s="129">
        <f>SUM(AP$7:AP201)</f>
        <v>178</v>
      </c>
      <c r="AT201" s="128">
        <v>500</v>
      </c>
      <c r="AU201" s="129">
        <v>100</v>
      </c>
      <c r="AV201" s="128">
        <f>SUM(AT$7:AT201)</f>
        <v>97500</v>
      </c>
      <c r="AW201" s="90">
        <f>SUM(AU$7:AU201)</f>
        <v>19500</v>
      </c>
      <c r="AY201" s="128">
        <f t="shared" si="240"/>
        <v>32500</v>
      </c>
      <c r="AZ201" s="90">
        <f t="shared" si="241"/>
        <v>8900</v>
      </c>
      <c r="BA201" s="90">
        <f t="shared" si="242"/>
        <v>19500</v>
      </c>
      <c r="BB201" s="90">
        <f t="shared" ref="BB201:BB206" ca="1" si="290">CL200</f>
        <v>18200</v>
      </c>
      <c r="BC201" s="90">
        <f t="shared" ca="1" si="218"/>
        <v>79100</v>
      </c>
      <c r="BD201" s="90"/>
      <c r="BE201" s="90">
        <f t="shared" ca="1" si="243"/>
        <v>79100</v>
      </c>
      <c r="BF201" s="142">
        <f t="shared" ca="1" si="244"/>
        <v>0.41087231352718079</v>
      </c>
      <c r="BG201" s="142">
        <f t="shared" ca="1" si="245"/>
        <v>0.1125158027812895</v>
      </c>
      <c r="BH201" s="142">
        <f t="shared" ca="1" si="246"/>
        <v>0.24652338811630847</v>
      </c>
      <c r="BI201" s="142">
        <f t="shared" ca="1" si="247"/>
        <v>0.23008849557522124</v>
      </c>
      <c r="BJ201" s="143"/>
      <c r="BK201" s="128">
        <f ca="1">INDEX(商城宝箱!$L:$L,MATCH(BC201,商城宝箱!$N:$N,1))</f>
        <v>11</v>
      </c>
      <c r="BL201" s="90">
        <f ca="1">_xlfn.IFNA(INDEX(商城宝箱!T:T,MATCH(玩家节奏1!$BK201,商城宝箱!$L:$L,0)),0)+($BC201-INDEX(商城宝箱!$N:$N,MATCH(玩家节奏1!$BK201,商城宝箱!$L:$L,0)))/$BK$5*INDEX(商城宝箱!E$23:E$42,MATCH(玩家节奏1!$BK201+1,商城宝箱!$C$23:$C$42,0))</f>
        <v>197750</v>
      </c>
      <c r="BM201" s="90">
        <f ca="1">_xlfn.IFNA(INDEX(商城宝箱!U:U,MATCH(玩家节奏1!$BK201,商城宝箱!$L:$L,0)),0)+($BC201-INDEX(商城宝箱!$N:$N,MATCH(玩家节奏1!$BK201,商城宝箱!$L:$L,0)))/$BK$5*INDEX(商城宝箱!F$23:F$42,MATCH(玩家节奏1!$BK201+1,商城宝箱!$C$23:$C$42,0))</f>
        <v>167062.5</v>
      </c>
      <c r="BN201" s="90">
        <f ca="1">_xlfn.IFNA(INDEX(商城宝箱!V:V,MATCH(玩家节奏1!$BK201,商城宝箱!$L:$L,0)),0)+($BC201-INDEX(商城宝箱!$N:$N,MATCH(玩家节奏1!$BK201,商城宝箱!$L:$L,0)))/$BK$5*INDEX(商城宝箱!G$23:G$42,MATCH(玩家节奏1!$BK201+1,商城宝箱!$C$23:$C$42,0))</f>
        <v>90637</v>
      </c>
      <c r="BO201" s="90">
        <f ca="1">_xlfn.IFNA(INDEX(商城宝箱!W:W,MATCH(玩家节奏1!$BK201,商城宝箱!$L:$L,0)),0)+($BC201-INDEX(商城宝箱!$N:$N,MATCH(玩家节奏1!$BK201,商城宝箱!$L:$L,0)))/$BK$5*INDEX(商城宝箱!H$23:H$42,MATCH(玩家节奏1!$BK201+1,商城宝箱!$C$23:$C$42,0))</f>
        <v>13231.5</v>
      </c>
      <c r="BQ201" s="128">
        <f t="shared" si="231"/>
        <v>8340000</v>
      </c>
      <c r="BR201" s="90">
        <f t="shared" si="232"/>
        <v>884210</v>
      </c>
      <c r="BS201" s="90">
        <f t="shared" ca="1" si="233"/>
        <v>1598080</v>
      </c>
      <c r="BT201" s="90">
        <f t="shared" si="234"/>
        <v>12200</v>
      </c>
      <c r="BU201" s="90">
        <f t="shared" si="235"/>
        <v>178000</v>
      </c>
      <c r="BV201" s="90">
        <f t="shared" si="236"/>
        <v>97500</v>
      </c>
      <c r="BW201" s="90">
        <f t="shared" ca="1" si="248"/>
        <v>197750</v>
      </c>
      <c r="BX201" s="90">
        <f t="shared" ca="1" si="249"/>
        <v>11307740</v>
      </c>
      <c r="BY201" s="142">
        <f t="shared" ca="1" si="250"/>
        <v>0.73754790966187767</v>
      </c>
      <c r="BZ201" s="142">
        <f t="shared" ca="1" si="251"/>
        <v>7.8195112374355974E-2</v>
      </c>
      <c r="CA201" s="142">
        <f t="shared" ca="1" si="252"/>
        <v>0.1413262066513733</v>
      </c>
      <c r="CB201" s="142">
        <f t="shared" ca="1" si="253"/>
        <v>1.0789070141336819E-3</v>
      </c>
      <c r="CC201" s="142">
        <f t="shared" ca="1" si="254"/>
        <v>1.5741430206212735E-2</v>
      </c>
      <c r="CD201" s="142">
        <f t="shared" ca="1" si="255"/>
        <v>8.6224126129536057E-3</v>
      </c>
      <c r="CE201" s="142">
        <f t="shared" ca="1" si="256"/>
        <v>1.7488021479093081E-2</v>
      </c>
      <c r="CG201" s="128">
        <f t="shared" si="257"/>
        <v>170</v>
      </c>
      <c r="CH201" s="90">
        <f ca="1">INDEX(角色升级!$A:$A,MATCH(玩家节奏1!$BX201,角色升级!$J:$J,1))</f>
        <v>758</v>
      </c>
      <c r="CI201" s="90">
        <f ca="1">INDEX(角色升级!$O:$O,MATCH(玩家节奏1!$BX201,角色升级!$J:$J,1))</f>
        <v>48342.907210000005</v>
      </c>
      <c r="CJ201" s="90">
        <f>INDEX(关卡对比!$J:$J,MATCH(玩家节奏1!N201,关卡对比!$A:$A,0))</f>
        <v>71200</v>
      </c>
      <c r="CK201" s="147">
        <f t="shared" ca="1" si="258"/>
        <v>1.4728117134269467</v>
      </c>
      <c r="CL201" s="128">
        <f ca="1">INDEX(角色升级!$P:$P,MATCH(玩家节奏1!$CH201,角色升级!$A:$A,0))</f>
        <v>18200</v>
      </c>
      <c r="CM201" s="90">
        <f ca="1">INDEX(角色升级!Q:Q,MATCH(玩家节奏1!$CH201,角色升级!$A:$A,0))</f>
        <v>1.4</v>
      </c>
      <c r="CO201" s="128">
        <f t="shared" si="259"/>
        <v>56846</v>
      </c>
      <c r="CP201" s="90">
        <f t="shared" si="260"/>
        <v>64871</v>
      </c>
      <c r="CQ201" s="90">
        <f t="shared" si="261"/>
        <v>30336</v>
      </c>
      <c r="CR201" s="90">
        <f t="shared" ca="1" si="262"/>
        <v>167062.5</v>
      </c>
      <c r="CS201" s="90">
        <f t="shared" ca="1" si="263"/>
        <v>319115.5</v>
      </c>
      <c r="CT201" s="142">
        <f t="shared" ca="1" si="264"/>
        <v>0.1781361293951563</v>
      </c>
      <c r="CU201" s="142">
        <f t="shared" ca="1" si="265"/>
        <v>0.20328376402901144</v>
      </c>
      <c r="CV201" s="142">
        <f t="shared" ca="1" si="266"/>
        <v>9.5062759408427358E-2</v>
      </c>
      <c r="CW201" s="142">
        <f t="shared" ca="1" si="267"/>
        <v>0.52351734716740495</v>
      </c>
      <c r="CY201" s="128">
        <f t="shared" si="268"/>
        <v>28424</v>
      </c>
      <c r="CZ201" s="90">
        <f t="shared" si="269"/>
        <v>32241</v>
      </c>
      <c r="DA201" s="90">
        <f t="shared" si="270"/>
        <v>19120</v>
      </c>
      <c r="DB201" s="90">
        <f t="shared" ca="1" si="271"/>
        <v>90637</v>
      </c>
      <c r="DC201" s="90">
        <f t="shared" ca="1" si="272"/>
        <v>170422</v>
      </c>
      <c r="DD201" s="142">
        <f t="shared" ca="1" si="273"/>
        <v>0.16678597833613032</v>
      </c>
      <c r="DE201" s="142">
        <f t="shared" ca="1" si="274"/>
        <v>0.1891833214021664</v>
      </c>
      <c r="DF201" s="142">
        <f t="shared" ca="1" si="275"/>
        <v>0.11219208787597845</v>
      </c>
      <c r="DG201" s="142">
        <f t="shared" ca="1" si="276"/>
        <v>0.53183861238572483</v>
      </c>
      <c r="DI201" s="128">
        <f t="shared" si="277"/>
        <v>13698</v>
      </c>
      <c r="DJ201" s="90">
        <f t="shared" si="278"/>
        <v>15572</v>
      </c>
      <c r="DK201" s="90">
        <f t="shared" si="279"/>
        <v>6968</v>
      </c>
      <c r="DL201" s="90">
        <f t="shared" ca="1" si="280"/>
        <v>13231.5</v>
      </c>
      <c r="DM201" s="90">
        <f t="shared" ca="1" si="281"/>
        <v>49469.5</v>
      </c>
      <c r="DN201" s="142">
        <f t="shared" ca="1" si="282"/>
        <v>0.27689788657657749</v>
      </c>
      <c r="DO201" s="142">
        <f t="shared" ca="1" si="283"/>
        <v>0.31477981382467984</v>
      </c>
      <c r="DP201" s="142">
        <f t="shared" ca="1" si="284"/>
        <v>0.14085446588301884</v>
      </c>
      <c r="DQ201" s="142">
        <f t="shared" ca="1" si="285"/>
        <v>0.26746783371572386</v>
      </c>
      <c r="DS201" s="128">
        <f t="shared" ca="1" si="286"/>
        <v>319115.5</v>
      </c>
      <c r="DT201" s="90">
        <f t="shared" ca="1" si="287"/>
        <v>170422</v>
      </c>
      <c r="DU201" s="90">
        <f t="shared" ca="1" si="288"/>
        <v>49469.5</v>
      </c>
      <c r="DV201" s="90">
        <f t="shared" si="289"/>
        <v>178</v>
      </c>
      <c r="DW201" s="90">
        <f ca="1">_xlfn.IFNA(INDEX(武器升级消耗!$H:$H,MATCH(玩家节奏1!DS201/玩家节奏1!DS$5,武器升级消耗!M:M,1)),0)</f>
        <v>50</v>
      </c>
      <c r="DX201" s="90">
        <f ca="1">_xlfn.IFNA(INDEX(武器升级消耗!$H:$H,MATCH(玩家节奏1!DT201/玩家节奏1!DT$5,武器升级消耗!N:N,1)),0)</f>
        <v>44</v>
      </c>
      <c r="DY201" s="90">
        <f ca="1">_xlfn.IFNA(INDEX(武器升级消耗!$H:$H,MATCH(玩家节奏1!DU201/玩家节奏1!DU$5,武器升级消耗!O:O,1)),0)</f>
        <v>31</v>
      </c>
      <c r="DZ201" s="90">
        <f>_xlfn.IFNA(INDEX(武器升级消耗!$H:$H,MATCH(玩家节奏1!DV201/玩家节奏1!DV$5,武器升级消耗!P:P,1)),0)</f>
        <v>14</v>
      </c>
      <c r="EA201" s="90">
        <f ca="1">_xlfn.IFNA(INDEX(武器升级消耗!$Q:$Q,MATCH(玩家节奏1!DW201,武器升级消耗!$H:$H,0))*2*EA$4,0)</f>
        <v>6.48</v>
      </c>
      <c r="EB201" s="90">
        <f ca="1">_xlfn.IFNA(INDEX(武器升级消耗!$Q:$Q,MATCH(玩家节奏1!DX201,武器升级消耗!$H:$H,0))*2*EB$4,0)</f>
        <v>7.1999999999999993</v>
      </c>
      <c r="EC201" s="90">
        <f ca="1">_xlfn.IFNA(INDEX(武器升级消耗!$Q:$Q,MATCH(玩家节奏1!DY201,武器升级消耗!$H:$H,0))*2*EC$4,1)</f>
        <v>7.7000000000000011</v>
      </c>
      <c r="ED201" s="90">
        <f>_xlfn.IFNA(INDEX(武器升级消耗!$Q:$Q,MATCH(玩家节奏1!DZ201,武器升级消耗!$H:$H,0))*2*ED$4,0)</f>
        <v>5.4</v>
      </c>
    </row>
    <row r="202" spans="1:134" x14ac:dyDescent="0.25">
      <c r="A202" s="123">
        <v>196</v>
      </c>
      <c r="B202" s="123">
        <f>INDEX(关卡对比!$Y:$Y,MATCH(关卡对比!Z202,关卡对比!$AA:$AA,1))</f>
        <v>111</v>
      </c>
      <c r="C202" s="124">
        <f>INDEX(关卡对比!$Y:$Y,MATCH(关卡对比!Z202,关卡对比!$AB:$AB,1))</f>
        <v>83</v>
      </c>
      <c r="D202" s="125">
        <f t="shared" si="230"/>
        <v>1139.5</v>
      </c>
      <c r="E202" s="125">
        <v>3</v>
      </c>
      <c r="F202" s="128">
        <v>5</v>
      </c>
      <c r="G202" s="90">
        <v>1</v>
      </c>
      <c r="H202" s="90">
        <v>1</v>
      </c>
      <c r="J202" s="128">
        <v>196</v>
      </c>
      <c r="K202" s="90">
        <f t="shared" si="237"/>
        <v>5</v>
      </c>
      <c r="L202" s="90">
        <f t="shared" si="238"/>
        <v>1</v>
      </c>
      <c r="M202" s="90">
        <f t="shared" si="239"/>
        <v>1</v>
      </c>
      <c r="N202" s="140">
        <f>INDEX($A:$A,MATCH(SUM($K$7:K202),$D:$D,1))</f>
        <v>170</v>
      </c>
      <c r="O202" s="140">
        <v>0</v>
      </c>
      <c r="P202" s="141">
        <v>0</v>
      </c>
      <c r="Q202" s="126">
        <f>_xlfn.MAXIFS(关卡产出!X:X,关卡产出!$A:$A,玩家节奏1!$N$6,关卡产出!$B:$B,玩家节奏1!$N202)+_xlfn.MAXIFS(关卡产出!X:X,关卡产出!$A:$A,玩家节奏1!$O$6,关卡产出!$B:$B,玩家节奏1!$O202)+_xlfn.MAXIFS(关卡产出!X:X,关卡产出!$A:$A,玩家节奏1!$P$6,关卡产出!$B:$B,玩家节奏1!$P202)</f>
        <v>32500</v>
      </c>
      <c r="R202" s="90">
        <f>_xlfn.MAXIFS(关卡产出!Y:Y,关卡产出!$A:$A,玩家节奏1!$N$6,关卡产出!$B:$B,玩家节奏1!$N202)+_xlfn.MAXIFS(关卡产出!Y:Y,关卡产出!$A:$A,玩家节奏1!$O$6,关卡产出!$B:$B,玩家节奏1!$O202)+_xlfn.MAXIFS(关卡产出!Y:Y,关卡产出!$A:$A,玩家节奏1!$P$6,关卡产出!$B:$B,玩家节奏1!$P202)</f>
        <v>8340000</v>
      </c>
      <c r="S202" s="90">
        <f>_xlfn.MAXIFS(关卡产出!Z:Z,关卡产出!$A:$A,玩家节奏1!$N$6,关卡产出!$B:$B,玩家节奏1!$N202)+_xlfn.MAXIFS(关卡产出!Z:Z,关卡产出!$A:$A,玩家节奏1!$O$6,关卡产出!$B:$B,玩家节奏1!$O202)+_xlfn.MAXIFS(关卡产出!Z:Z,关卡产出!$A:$A,玩家节奏1!$P$6,关卡产出!$B:$B,玩家节奏1!$P202)</f>
        <v>56846</v>
      </c>
      <c r="T202" s="90">
        <f>_xlfn.MAXIFS(关卡产出!AA:AA,关卡产出!$A:$A,玩家节奏1!$N$6,关卡产出!$B:$B,玩家节奏1!$N202)+_xlfn.MAXIFS(关卡产出!AA:AA,关卡产出!$A:$A,玩家节奏1!$O$6,关卡产出!$B:$B,玩家节奏1!$O202)+_xlfn.MAXIFS(关卡产出!AA:AA,关卡产出!$A:$A,玩家节奏1!$P$6,关卡产出!$B:$B,玩家节奏1!$P202)</f>
        <v>28424</v>
      </c>
      <c r="U202" s="90">
        <f>_xlfn.MAXIFS(关卡产出!AB:AB,关卡产出!$A:$A,玩家节奏1!$N$6,关卡产出!$B:$B,玩家节奏1!$N202)+_xlfn.MAXIFS(关卡产出!AB:AB,关卡产出!$A:$A,玩家节奏1!$O$6,关卡产出!$B:$B,玩家节奏1!$O202)+_xlfn.MAXIFS(关卡产出!AB:AB,关卡产出!$A:$A,玩家节奏1!$P$6,关卡产出!$B:$B,玩家节奏1!$P202)</f>
        <v>13698</v>
      </c>
      <c r="V202" s="130">
        <f>_xlfn.MAXIFS(关卡产出!AC:AC,关卡产出!$A:$A,玩家节奏1!$N$6,关卡产出!$B:$B,玩家节奏1!$N202)+_xlfn.MAXIFS(关卡产出!AC:AC,关卡产出!$A:$A,玩家节奏1!$O$6,关卡产出!$B:$B,玩家节奏1!$O202)+_xlfn.MAXIFS(关卡产出!AC:AC,关卡产出!$A:$A,玩家节奏1!$P$6,关卡产出!$B:$B,玩家节奏1!$P202)</f>
        <v>1020</v>
      </c>
      <c r="W202" s="126">
        <f>INDEX(关卡产出!C$8:C$207,MATCH(玩家节奏1!$N202,关卡产出!$B$8:$B$207,0))*$K202</f>
        <v>670</v>
      </c>
      <c r="X202" s="126">
        <f>INDEX(关卡产出!D$8:D$207,MATCH(玩家节奏1!$N202,关卡产出!$B$8:$B$207,0))*$K202</f>
        <v>335</v>
      </c>
      <c r="Y202" s="126">
        <f>INDEX(关卡产出!E$8:E$207,MATCH(玩家节奏1!$N202,关卡产出!$B$8:$B$207,0))*$K202</f>
        <v>165</v>
      </c>
      <c r="Z202" s="144">
        <f>INDEX(关卡产出!F$8:F$207,MATCH(玩家节奏1!$N202,关卡产出!$B$8:$B$207,0))*$K202</f>
        <v>8750</v>
      </c>
      <c r="AA202" s="126">
        <f>SUM(W$7:W202)</f>
        <v>65541</v>
      </c>
      <c r="AB202" s="126">
        <f>SUM(X$7:X202)</f>
        <v>32576</v>
      </c>
      <c r="AC202" s="126">
        <f>SUM(Y$7:Y202)</f>
        <v>15737</v>
      </c>
      <c r="AD202" s="126">
        <f>SUM(Z$7:Z202)</f>
        <v>892960</v>
      </c>
      <c r="AE202" s="126">
        <f>INDEX(图鉴!AQ:AQ,MATCH($N202,图鉴!$S:$S,0))*8</f>
        <v>168</v>
      </c>
      <c r="AF202" s="90">
        <f>INDEX(图鉴!AR:AR,MATCH($N202,图鉴!$S:$S,0))*8</f>
        <v>120</v>
      </c>
      <c r="AG202" s="90">
        <f>INDEX(图鉴!AS:AS,MATCH($N202,图鉴!$S:$S,0))*8</f>
        <v>48</v>
      </c>
      <c r="AH202" s="129">
        <f ca="1">INDEX(图鉴!AT:AT,MATCH($N202,图鉴!$S:$S,0))*8</f>
        <v>12640</v>
      </c>
      <c r="AI202" s="128">
        <f>SUM($AE$7:AE202)</f>
        <v>30504</v>
      </c>
      <c r="AJ202" s="90">
        <f>SUM(AF$7:AF202)</f>
        <v>19240</v>
      </c>
      <c r="AK202" s="90">
        <f>SUM(AG$7:AG202)</f>
        <v>7016</v>
      </c>
      <c r="AL202" s="130">
        <f ca="1">SUM(AH$7:AH202)</f>
        <v>1610720</v>
      </c>
      <c r="AM202" s="133">
        <f>IF(M202=0,0,INDEX(关卡产出!$AU$11:$AU$15,MATCH(玩家节奏1!N202,关卡产出!$AW$11:$AW$15,1))*M202)</f>
        <v>12200</v>
      </c>
      <c r="AN202" s="126">
        <f>IF(L202=0,0,$L202*关卡产出!AU$21)</f>
        <v>1000</v>
      </c>
      <c r="AO202" s="90">
        <f>IF(M202=0,0,$L202*关卡产出!AV$21)</f>
        <v>50</v>
      </c>
      <c r="AP202" s="129">
        <f>IF(N202=0,0,$L202*关卡产出!AW$21)</f>
        <v>1</v>
      </c>
      <c r="AQ202" s="138">
        <f>SUM(AN$7:AN202)</f>
        <v>179000</v>
      </c>
      <c r="AR202" s="126">
        <f>SUM(AO$7:AO202)</f>
        <v>8950</v>
      </c>
      <c r="AS202" s="129">
        <f>SUM(AP$7:AP202)</f>
        <v>179</v>
      </c>
      <c r="AT202" s="128">
        <v>500</v>
      </c>
      <c r="AU202" s="129">
        <v>100</v>
      </c>
      <c r="AV202" s="128">
        <f>SUM(AT$7:AT202)</f>
        <v>98000</v>
      </c>
      <c r="AW202" s="90">
        <f>SUM(AU$7:AU202)</f>
        <v>19600</v>
      </c>
      <c r="AY202" s="128">
        <f t="shared" si="240"/>
        <v>32500</v>
      </c>
      <c r="AZ202" s="90">
        <f t="shared" si="241"/>
        <v>8950</v>
      </c>
      <c r="BA202" s="90">
        <f t="shared" si="242"/>
        <v>19600</v>
      </c>
      <c r="BB202" s="90">
        <f t="shared" ca="1" si="290"/>
        <v>18200</v>
      </c>
      <c r="BC202" s="90">
        <f t="shared" ca="1" si="218"/>
        <v>79250</v>
      </c>
      <c r="BD202" s="90"/>
      <c r="BE202" s="90">
        <f t="shared" ca="1" si="243"/>
        <v>79250</v>
      </c>
      <c r="BF202" s="142">
        <f t="shared" ca="1" si="244"/>
        <v>0.41009463722397477</v>
      </c>
      <c r="BG202" s="142">
        <f t="shared" ca="1" si="245"/>
        <v>0.11293375394321767</v>
      </c>
      <c r="BH202" s="142">
        <f t="shared" ca="1" si="246"/>
        <v>0.2473186119873817</v>
      </c>
      <c r="BI202" s="142">
        <f t="shared" ca="1" si="247"/>
        <v>0.22965299684542587</v>
      </c>
      <c r="BJ202" s="143"/>
      <c r="BK202" s="128">
        <f ca="1">INDEX(商城宝箱!$L:$L,MATCH(BC202,商城宝箱!$N:$N,1))</f>
        <v>11</v>
      </c>
      <c r="BL202" s="90">
        <f ca="1">_xlfn.IFNA(INDEX(商城宝箱!T:T,MATCH(玩家节奏1!$BK202,商城宝箱!$L:$L,0)),0)+($BC202-INDEX(商城宝箱!$N:$N,MATCH(玩家节奏1!$BK202,商城宝箱!$L:$L,0)))/$BK$5*INDEX(商城宝箱!E$23:E$42,MATCH(玩家节奏1!$BK202+1,商城宝箱!$C$23:$C$42,0))</f>
        <v>198125</v>
      </c>
      <c r="BM202" s="90">
        <f ca="1">_xlfn.IFNA(INDEX(商城宝箱!U:U,MATCH(玩家节奏1!$BK202,商城宝箱!$L:$L,0)),0)+($BC202-INDEX(商城宝箱!$N:$N,MATCH(玩家节奏1!$BK202,商城宝箱!$L:$L,0)))/$BK$5*INDEX(商城宝箱!F$23:F$42,MATCH(玩家节奏1!$BK202+1,商城宝箱!$C$23:$C$42,0))</f>
        <v>167617.5</v>
      </c>
      <c r="BN202" s="90">
        <f ca="1">_xlfn.IFNA(INDEX(商城宝箱!V:V,MATCH(玩家节奏1!$BK202,商城宝箱!$L:$L,0)),0)+($BC202-INDEX(商城宝箱!$N:$N,MATCH(玩家节奏1!$BK202,商城宝箱!$L:$L,0)))/$BK$5*INDEX(商城宝箱!G$23:G$42,MATCH(玩家节奏1!$BK202+1,商城宝箱!$C$23:$C$42,0))</f>
        <v>90899.5</v>
      </c>
      <c r="BO202" s="90">
        <f ca="1">_xlfn.IFNA(INDEX(商城宝箱!W:W,MATCH(玩家节奏1!$BK202,商城宝箱!$L:$L,0)),0)+($BC202-INDEX(商城宝箱!$N:$N,MATCH(玩家节奏1!$BK202,商城宝箱!$L:$L,0)))/$BK$5*INDEX(商城宝箱!H$23:H$42,MATCH(玩家节奏1!$BK202+1,商城宝箱!$C$23:$C$42,0))</f>
        <v>13276.5</v>
      </c>
      <c r="BQ202" s="128">
        <f t="shared" si="231"/>
        <v>8340000</v>
      </c>
      <c r="BR202" s="90">
        <f t="shared" si="232"/>
        <v>892960</v>
      </c>
      <c r="BS202" s="90">
        <f t="shared" ca="1" si="233"/>
        <v>1610720</v>
      </c>
      <c r="BT202" s="90">
        <f t="shared" si="234"/>
        <v>12200</v>
      </c>
      <c r="BU202" s="90">
        <f t="shared" si="235"/>
        <v>179000</v>
      </c>
      <c r="BV202" s="90">
        <f t="shared" si="236"/>
        <v>98000</v>
      </c>
      <c r="BW202" s="90">
        <f t="shared" ca="1" si="248"/>
        <v>198125</v>
      </c>
      <c r="BX202" s="90">
        <f t="shared" ca="1" si="249"/>
        <v>11331005</v>
      </c>
      <c r="BY202" s="142">
        <f t="shared" ca="1" si="250"/>
        <v>0.73603356454259794</v>
      </c>
      <c r="BZ202" s="142">
        <f t="shared" ca="1" si="251"/>
        <v>7.8806778392560936E-2</v>
      </c>
      <c r="CA202" s="142">
        <f t="shared" ca="1" si="252"/>
        <v>0.14215155672422702</v>
      </c>
      <c r="CB202" s="142">
        <f t="shared" ca="1" si="253"/>
        <v>1.0766917850623136E-3</v>
      </c>
      <c r="CC202" s="142">
        <f t="shared" ca="1" si="254"/>
        <v>1.5797363075914273E-2</v>
      </c>
      <c r="CD202" s="142">
        <f t="shared" ca="1" si="255"/>
        <v>8.6488356505005515E-3</v>
      </c>
      <c r="CE202" s="142">
        <f t="shared" ca="1" si="256"/>
        <v>1.7485209829136955E-2</v>
      </c>
      <c r="CG202" s="128">
        <f t="shared" si="257"/>
        <v>170</v>
      </c>
      <c r="CH202" s="90">
        <f ca="1">INDEX(角色升级!$A:$A,MATCH(玩家节奏1!$BX202,角色升级!$J:$J,1))</f>
        <v>759</v>
      </c>
      <c r="CI202" s="90">
        <f ca="1">INDEX(角色升级!$O:$O,MATCH(玩家节奏1!$BX202,角色升级!$J:$J,1))</f>
        <v>48708.077340000011</v>
      </c>
      <c r="CJ202" s="90">
        <f>INDEX(关卡对比!$J:$J,MATCH(玩家节奏1!N202,关卡对比!$A:$A,0))</f>
        <v>71200</v>
      </c>
      <c r="CK202" s="147">
        <f t="shared" ca="1" si="258"/>
        <v>1.4617698724381631</v>
      </c>
      <c r="CL202" s="128">
        <f ca="1">INDEX(角色升级!$P:$P,MATCH(玩家节奏1!$CH202,角色升级!$A:$A,0))</f>
        <v>18200</v>
      </c>
      <c r="CM202" s="90">
        <f ca="1">INDEX(角色升级!Q:Q,MATCH(玩家节奏1!$CH202,角色升级!$A:$A,0))</f>
        <v>1.4</v>
      </c>
      <c r="CO202" s="128">
        <f t="shared" si="259"/>
        <v>56846</v>
      </c>
      <c r="CP202" s="90">
        <f t="shared" si="260"/>
        <v>65541</v>
      </c>
      <c r="CQ202" s="90">
        <f t="shared" si="261"/>
        <v>30504</v>
      </c>
      <c r="CR202" s="90">
        <f t="shared" ca="1" si="262"/>
        <v>167617.5</v>
      </c>
      <c r="CS202" s="90">
        <f t="shared" ca="1" si="263"/>
        <v>320508.5</v>
      </c>
      <c r="CT202" s="142">
        <f t="shared" ca="1" si="264"/>
        <v>0.1773619108385581</v>
      </c>
      <c r="CU202" s="142">
        <f t="shared" ca="1" si="265"/>
        <v>0.20449067653431968</v>
      </c>
      <c r="CV202" s="142">
        <f t="shared" ca="1" si="266"/>
        <v>9.5173762942324464E-2</v>
      </c>
      <c r="CW202" s="142">
        <f t="shared" ca="1" si="267"/>
        <v>0.52297364968479776</v>
      </c>
      <c r="CY202" s="128">
        <f t="shared" si="268"/>
        <v>28424</v>
      </c>
      <c r="CZ202" s="90">
        <f t="shared" si="269"/>
        <v>32576</v>
      </c>
      <c r="DA202" s="90">
        <f t="shared" si="270"/>
        <v>19240</v>
      </c>
      <c r="DB202" s="90">
        <f t="shared" ca="1" si="271"/>
        <v>90899.5</v>
      </c>
      <c r="DC202" s="90">
        <f t="shared" ca="1" si="272"/>
        <v>171139.5</v>
      </c>
      <c r="DD202" s="142">
        <f t="shared" ca="1" si="273"/>
        <v>0.16608673041583036</v>
      </c>
      <c r="DE202" s="142">
        <f t="shared" ca="1" si="274"/>
        <v>0.19034764037524943</v>
      </c>
      <c r="DF202" s="142">
        <f t="shared" ca="1" si="275"/>
        <v>0.11242290645935041</v>
      </c>
      <c r="DG202" s="142">
        <f t="shared" ca="1" si="276"/>
        <v>0.53114272274956975</v>
      </c>
      <c r="DI202" s="128">
        <f t="shared" si="277"/>
        <v>13698</v>
      </c>
      <c r="DJ202" s="90">
        <f t="shared" si="278"/>
        <v>15737</v>
      </c>
      <c r="DK202" s="90">
        <f t="shared" si="279"/>
        <v>7016</v>
      </c>
      <c r="DL202" s="90">
        <f t="shared" ca="1" si="280"/>
        <v>13276.5</v>
      </c>
      <c r="DM202" s="90">
        <f t="shared" ca="1" si="281"/>
        <v>49727.5</v>
      </c>
      <c r="DN202" s="142">
        <f t="shared" ca="1" si="282"/>
        <v>0.27546126388819064</v>
      </c>
      <c r="DO202" s="142">
        <f t="shared" ca="1" si="283"/>
        <v>0.31646473279372578</v>
      </c>
      <c r="DP202" s="142">
        <f t="shared" ca="1" si="284"/>
        <v>0.14108893469408276</v>
      </c>
      <c r="DQ202" s="142">
        <f t="shared" ca="1" si="285"/>
        <v>0.26698506862400079</v>
      </c>
      <c r="DS202" s="128">
        <f t="shared" ca="1" si="286"/>
        <v>320508.5</v>
      </c>
      <c r="DT202" s="90">
        <f t="shared" ca="1" si="287"/>
        <v>171139.5</v>
      </c>
      <c r="DU202" s="90">
        <f t="shared" ca="1" si="288"/>
        <v>49727.5</v>
      </c>
      <c r="DV202" s="90">
        <f t="shared" si="289"/>
        <v>179</v>
      </c>
      <c r="DW202" s="90">
        <f ca="1">_xlfn.IFNA(INDEX(武器升级消耗!$H:$H,MATCH(玩家节奏1!DS202/玩家节奏1!DS$5,武器升级消耗!M:M,1)),0)</f>
        <v>50</v>
      </c>
      <c r="DX202" s="90">
        <f ca="1">_xlfn.IFNA(INDEX(武器升级消耗!$H:$H,MATCH(玩家节奏1!DT202/玩家节奏1!DT$5,武器升级消耗!N:N,1)),0)</f>
        <v>44</v>
      </c>
      <c r="DY202" s="90">
        <f ca="1">_xlfn.IFNA(INDEX(武器升级消耗!$H:$H,MATCH(玩家节奏1!DU202/玩家节奏1!DU$5,武器升级消耗!O:O,1)),0)</f>
        <v>31</v>
      </c>
      <c r="DZ202" s="90">
        <f>_xlfn.IFNA(INDEX(武器升级消耗!$H:$H,MATCH(玩家节奏1!DV202/玩家节奏1!DV$5,武器升级消耗!P:P,1)),0)</f>
        <v>14</v>
      </c>
      <c r="EA202" s="90">
        <f ca="1">_xlfn.IFNA(INDEX(武器升级消耗!$Q:$Q,MATCH(玩家节奏1!DW202,武器升级消耗!$H:$H,0))*2*EA$4,0)</f>
        <v>6.48</v>
      </c>
      <c r="EB202" s="90">
        <f ca="1">_xlfn.IFNA(INDEX(武器升级消耗!$Q:$Q,MATCH(玩家节奏1!DX202,武器升级消耗!$H:$H,0))*2*EB$4,0)</f>
        <v>7.1999999999999993</v>
      </c>
      <c r="EC202" s="90">
        <f ca="1">_xlfn.IFNA(INDEX(武器升级消耗!$Q:$Q,MATCH(玩家节奏1!DY202,武器升级消耗!$H:$H,0))*2*EC$4,1)</f>
        <v>7.7000000000000011</v>
      </c>
      <c r="ED202" s="90">
        <f>_xlfn.IFNA(INDEX(武器升级消耗!$Q:$Q,MATCH(玩家节奏1!DZ202,武器升级消耗!$H:$H,0))*2*ED$4,0)</f>
        <v>5.4</v>
      </c>
    </row>
    <row r="203" spans="1:134" x14ac:dyDescent="0.25">
      <c r="A203" s="123">
        <v>197</v>
      </c>
      <c r="B203" s="123">
        <f>INDEX(关卡对比!$Y:$Y,MATCH(关卡对比!Z203,关卡对比!$AA:$AA,1))</f>
        <v>112</v>
      </c>
      <c r="C203" s="124">
        <f>INDEX(关卡对比!$Y:$Y,MATCH(关卡对比!Z203,关卡对比!$AB:$AB,1))</f>
        <v>84</v>
      </c>
      <c r="D203" s="125">
        <f t="shared" si="230"/>
        <v>1148.5</v>
      </c>
      <c r="E203" s="125">
        <v>3</v>
      </c>
      <c r="F203" s="128">
        <v>5</v>
      </c>
      <c r="G203" s="90">
        <v>1</v>
      </c>
      <c r="H203" s="90">
        <v>1</v>
      </c>
      <c r="J203" s="128">
        <v>197</v>
      </c>
      <c r="K203" s="90">
        <f t="shared" si="237"/>
        <v>5</v>
      </c>
      <c r="L203" s="90">
        <f t="shared" si="238"/>
        <v>1</v>
      </c>
      <c r="M203" s="90">
        <f t="shared" si="239"/>
        <v>1</v>
      </c>
      <c r="N203" s="140">
        <f>INDEX($A:$A,MATCH(SUM($K$7:K203),$D:$D,1))</f>
        <v>172</v>
      </c>
      <c r="O203" s="140">
        <v>0</v>
      </c>
      <c r="P203" s="141">
        <v>0</v>
      </c>
      <c r="Q203" s="126">
        <f>_xlfn.MAXIFS(关卡产出!X:X,关卡产出!$A:$A,玩家节奏1!$N$6,关卡产出!$B:$B,玩家节奏1!$N203)+_xlfn.MAXIFS(关卡产出!X:X,关卡产出!$A:$A,玩家节奏1!$O$6,关卡产出!$B:$B,玩家节奏1!$O203)+_xlfn.MAXIFS(关卡产出!X:X,关卡产出!$A:$A,玩家节奏1!$P$6,关卡产出!$B:$B,玩家节奏1!$P203)</f>
        <v>32900</v>
      </c>
      <c r="R203" s="90">
        <f>_xlfn.MAXIFS(关卡产出!Y:Y,关卡产出!$A:$A,玩家节奏1!$N$6,关卡产出!$B:$B,玩家节奏1!$N203)+_xlfn.MAXIFS(关卡产出!Y:Y,关卡产出!$A:$A,玩家节奏1!$O$6,关卡产出!$B:$B,玩家节奏1!$O203)+_xlfn.MAXIFS(关卡产出!Y:Y,关卡产出!$A:$A,玩家节奏1!$P$6,关卡产出!$B:$B,玩家节奏1!$P203)</f>
        <v>8541200</v>
      </c>
      <c r="S203" s="90">
        <f>_xlfn.MAXIFS(关卡产出!Z:Z,关卡产出!$A:$A,玩家节奏1!$N$6,关卡产出!$B:$B,玩家节奏1!$N203)+_xlfn.MAXIFS(关卡产出!Z:Z,关卡产出!$A:$A,玩家节奏1!$O$6,关卡产出!$B:$B,玩家节奏1!$O203)+_xlfn.MAXIFS(关卡产出!Z:Z,关卡产出!$A:$A,玩家节奏1!$P$6,关卡产出!$B:$B,玩家节奏1!$P203)</f>
        <v>58202</v>
      </c>
      <c r="T203" s="90">
        <f>_xlfn.MAXIFS(关卡产出!AA:AA,关卡产出!$A:$A,玩家节奏1!$N$6,关卡产出!$B:$B,玩家节奏1!$N203)+_xlfn.MAXIFS(关卡产出!AA:AA,关卡产出!$A:$A,玩家节奏1!$O$6,关卡产出!$B:$B,玩家节奏1!$O203)+_xlfn.MAXIFS(关卡产出!AA:AA,关卡产出!$A:$A,玩家节奏1!$P$6,关卡产出!$B:$B,玩家节奏1!$P203)</f>
        <v>29102</v>
      </c>
      <c r="U203" s="90">
        <f>_xlfn.MAXIFS(关卡产出!AB:AB,关卡产出!$A:$A,玩家节奏1!$N$6,关卡产出!$B:$B,玩家节奏1!$N203)+_xlfn.MAXIFS(关卡产出!AB:AB,关卡产出!$A:$A,玩家节奏1!$O$6,关卡产出!$B:$B,玩家节奏1!$O203)+_xlfn.MAXIFS(关卡产出!AB:AB,关卡产出!$A:$A,玩家节奏1!$P$6,关卡产出!$B:$B,玩家节奏1!$P203)</f>
        <v>14031</v>
      </c>
      <c r="V203" s="130">
        <f>_xlfn.MAXIFS(关卡产出!AC:AC,关卡产出!$A:$A,玩家节奏1!$N$6,关卡产出!$B:$B,玩家节奏1!$N203)+_xlfn.MAXIFS(关卡产出!AC:AC,关卡产出!$A:$A,玩家节奏1!$O$6,关卡产出!$B:$B,玩家节奏1!$O203)+_xlfn.MAXIFS(关卡产出!AC:AC,关卡产出!$A:$A,玩家节奏1!$P$6,关卡产出!$B:$B,玩家节奏1!$P203)</f>
        <v>1032</v>
      </c>
      <c r="W203" s="126">
        <f>INDEX(关卡产出!C$8:C$207,MATCH(玩家节奏1!$N203,关卡产出!$B$8:$B$207,0))*$K203</f>
        <v>680</v>
      </c>
      <c r="X203" s="126">
        <f>INDEX(关卡产出!D$8:D$207,MATCH(玩家节奏1!$N203,关卡产出!$B$8:$B$207,0))*$K203</f>
        <v>340</v>
      </c>
      <c r="Y203" s="126">
        <f>INDEX(关卡产出!E$8:E$207,MATCH(玩家节奏1!$N203,关卡产出!$B$8:$B$207,0))*$K203</f>
        <v>165</v>
      </c>
      <c r="Z203" s="144">
        <f>INDEX(关卡产出!F$8:F$207,MATCH(玩家节奏1!$N203,关卡产出!$B$8:$B$207,0))*$K203</f>
        <v>8850</v>
      </c>
      <c r="AA203" s="126">
        <f>SUM(W$7:W203)</f>
        <v>66221</v>
      </c>
      <c r="AB203" s="126">
        <f>SUM(X$7:X203)</f>
        <v>32916</v>
      </c>
      <c r="AC203" s="126">
        <f>SUM(Y$7:Y203)</f>
        <v>15902</v>
      </c>
      <c r="AD203" s="126">
        <f>SUM(Z$7:Z203)</f>
        <v>901810</v>
      </c>
      <c r="AE203" s="126">
        <f>INDEX(图鉴!AQ:AQ,MATCH($N203,图鉴!$S:$S,0))*8</f>
        <v>168</v>
      </c>
      <c r="AF203" s="90">
        <f>INDEX(图鉴!AR:AR,MATCH($N203,图鉴!$S:$S,0))*8</f>
        <v>120</v>
      </c>
      <c r="AG203" s="90">
        <f>INDEX(图鉴!AS:AS,MATCH($N203,图鉴!$S:$S,0))*8</f>
        <v>48</v>
      </c>
      <c r="AH203" s="129">
        <f ca="1">INDEX(图鉴!AT:AT,MATCH($N203,图鉴!$S:$S,0))*8</f>
        <v>12640</v>
      </c>
      <c r="AI203" s="128">
        <f>SUM($AE$7:AE203)</f>
        <v>30672</v>
      </c>
      <c r="AJ203" s="90">
        <f>SUM(AF$7:AF203)</f>
        <v>19360</v>
      </c>
      <c r="AK203" s="90">
        <f>SUM(AG$7:AG203)</f>
        <v>7064</v>
      </c>
      <c r="AL203" s="130">
        <f ca="1">SUM(AH$7:AH203)</f>
        <v>1623360</v>
      </c>
      <c r="AM203" s="133">
        <f>IF(M203=0,0,INDEX(关卡产出!$AU$11:$AU$15,MATCH(玩家节奏1!N203,关卡产出!$AW$11:$AW$15,1))*M203)</f>
        <v>12200</v>
      </c>
      <c r="AN203" s="126">
        <f>IF(L203=0,0,$L203*关卡产出!AU$21)</f>
        <v>1000</v>
      </c>
      <c r="AO203" s="90">
        <f>IF(M203=0,0,$L203*关卡产出!AV$21)</f>
        <v>50</v>
      </c>
      <c r="AP203" s="129">
        <f>IF(N203=0,0,$L203*关卡产出!AW$21)</f>
        <v>1</v>
      </c>
      <c r="AQ203" s="138">
        <f>SUM(AN$7:AN203)</f>
        <v>180000</v>
      </c>
      <c r="AR203" s="126">
        <f>SUM(AO$7:AO203)</f>
        <v>9000</v>
      </c>
      <c r="AS203" s="129">
        <f>SUM(AP$7:AP203)</f>
        <v>180</v>
      </c>
      <c r="AT203" s="128">
        <v>500</v>
      </c>
      <c r="AU203" s="129">
        <v>100</v>
      </c>
      <c r="AV203" s="128">
        <f>SUM(AT$7:AT203)</f>
        <v>98500</v>
      </c>
      <c r="AW203" s="90">
        <f>SUM(AU$7:AU203)</f>
        <v>19700</v>
      </c>
      <c r="AY203" s="128">
        <f t="shared" si="240"/>
        <v>32900</v>
      </c>
      <c r="AZ203" s="90">
        <f t="shared" si="241"/>
        <v>9000</v>
      </c>
      <c r="BA203" s="90">
        <f t="shared" si="242"/>
        <v>19700</v>
      </c>
      <c r="BB203" s="90">
        <f t="shared" ca="1" si="290"/>
        <v>18200</v>
      </c>
      <c r="BC203" s="90">
        <f t="shared" ref="BC203:BC206" ca="1" si="291">BE203-BD203</f>
        <v>79800</v>
      </c>
      <c r="BD203" s="90"/>
      <c r="BE203" s="90">
        <f t="shared" ca="1" si="243"/>
        <v>79800</v>
      </c>
      <c r="BF203" s="142">
        <f t="shared" ca="1" si="244"/>
        <v>0.41228070175438597</v>
      </c>
      <c r="BG203" s="142">
        <f t="shared" ca="1" si="245"/>
        <v>0.11278195488721804</v>
      </c>
      <c r="BH203" s="142">
        <f t="shared" ca="1" si="246"/>
        <v>0.24686716791979949</v>
      </c>
      <c r="BI203" s="142">
        <f t="shared" ca="1" si="247"/>
        <v>0.22807017543859648</v>
      </c>
      <c r="BJ203" s="143"/>
      <c r="BK203" s="128">
        <f ca="1">INDEX(商城宝箱!$L:$L,MATCH(BC203,商城宝箱!$N:$N,1))</f>
        <v>11</v>
      </c>
      <c r="BL203" s="90">
        <f ca="1">_xlfn.IFNA(INDEX(商城宝箱!T:T,MATCH(玩家节奏1!$BK203,商城宝箱!$L:$L,0)),0)+($BC203-INDEX(商城宝箱!$N:$N,MATCH(玩家节奏1!$BK203,商城宝箱!$L:$L,0)))/$BK$5*INDEX(商城宝箱!E$23:E$42,MATCH(玩家节奏1!$BK203+1,商城宝箱!$C$23:$C$42,0))</f>
        <v>199500</v>
      </c>
      <c r="BM203" s="90">
        <f ca="1">_xlfn.IFNA(INDEX(商城宝箱!U:U,MATCH(玩家节奏1!$BK203,商城宝箱!$L:$L,0)),0)+($BC203-INDEX(商城宝箱!$N:$N,MATCH(玩家节奏1!$BK203,商城宝箱!$L:$L,0)))/$BK$5*INDEX(商城宝箱!F$23:F$42,MATCH(玩家节奏1!$BK203+1,商城宝箱!$C$23:$C$42,0))</f>
        <v>169652.5</v>
      </c>
      <c r="BN203" s="90">
        <f ca="1">_xlfn.IFNA(INDEX(商城宝箱!V:V,MATCH(玩家节奏1!$BK203,商城宝箱!$L:$L,0)),0)+($BC203-INDEX(商城宝箱!$N:$N,MATCH(玩家节奏1!$BK203,商城宝箱!$L:$L,0)))/$BK$5*INDEX(商城宝箱!G$23:G$42,MATCH(玩家节奏1!$BK203+1,商城宝箱!$C$23:$C$42,0))</f>
        <v>91862</v>
      </c>
      <c r="BO203" s="90">
        <f ca="1">_xlfn.IFNA(INDEX(商城宝箱!W:W,MATCH(玩家节奏1!$BK203,商城宝箱!$L:$L,0)),0)+($BC203-INDEX(商城宝箱!$N:$N,MATCH(玩家节奏1!$BK203,商城宝箱!$L:$L,0)))/$BK$5*INDEX(商城宝箱!H$23:H$42,MATCH(玩家节奏1!$BK203+1,商城宝箱!$C$23:$C$42,0))</f>
        <v>13441.5</v>
      </c>
      <c r="BQ203" s="128">
        <f t="shared" si="231"/>
        <v>8541200</v>
      </c>
      <c r="BR203" s="90">
        <f t="shared" si="232"/>
        <v>901810</v>
      </c>
      <c r="BS203" s="90">
        <f t="shared" ca="1" si="233"/>
        <v>1623360</v>
      </c>
      <c r="BT203" s="90">
        <f t="shared" si="234"/>
        <v>12200</v>
      </c>
      <c r="BU203" s="90">
        <f t="shared" si="235"/>
        <v>180000</v>
      </c>
      <c r="BV203" s="90">
        <f t="shared" si="236"/>
        <v>98500</v>
      </c>
      <c r="BW203" s="90">
        <f t="shared" ca="1" si="248"/>
        <v>199500</v>
      </c>
      <c r="BX203" s="90">
        <f t="shared" ca="1" si="249"/>
        <v>11556570</v>
      </c>
      <c r="BY203" s="142">
        <f t="shared" ca="1" si="250"/>
        <v>0.73907742522218967</v>
      </c>
      <c r="BZ203" s="142">
        <f t="shared" ca="1" si="251"/>
        <v>7.8034399480122557E-2</v>
      </c>
      <c r="CA203" s="142">
        <f t="shared" ca="1" si="252"/>
        <v>0.14047074521246355</v>
      </c>
      <c r="CB203" s="142">
        <f t="shared" ca="1" si="253"/>
        <v>1.0556765545486247E-3</v>
      </c>
      <c r="CC203" s="142">
        <f t="shared" ca="1" si="254"/>
        <v>1.5575555722848562E-2</v>
      </c>
      <c r="CD203" s="142">
        <f t="shared" ca="1" si="255"/>
        <v>8.5232902150032402E-3</v>
      </c>
      <c r="CE203" s="142">
        <f t="shared" ca="1" si="256"/>
        <v>1.7262907592823822E-2</v>
      </c>
      <c r="CG203" s="128">
        <f t="shared" si="257"/>
        <v>172</v>
      </c>
      <c r="CH203" s="90">
        <f ca="1">INDEX(角色升级!$A:$A,MATCH(玩家节奏1!$BX203,角色升级!$J:$J,1))</f>
        <v>764</v>
      </c>
      <c r="CI203" s="90">
        <f ca="1">INDEX(角色升级!$O:$O,MATCH(玩家节奏1!$BX203,角色升级!$J:$J,1))</f>
        <v>49230.40759000001</v>
      </c>
      <c r="CJ203" s="90">
        <f>INDEX(关卡对比!$J:$J,MATCH(玩家节奏1!N203,关卡对比!$A:$A,0))</f>
        <v>72200</v>
      </c>
      <c r="CK203" s="147">
        <f t="shared" ca="1" si="258"/>
        <v>1.4665732731951973</v>
      </c>
      <c r="CL203" s="128">
        <f ca="1">INDEX(角色升级!$P:$P,MATCH(玩家节奏1!$CH203,角色升级!$A:$A,0))</f>
        <v>20300</v>
      </c>
      <c r="CM203" s="90">
        <f ca="1">INDEX(角色升级!Q:Q,MATCH(玩家节奏1!$CH203,角色升级!$A:$A,0))</f>
        <v>1.4</v>
      </c>
      <c r="CO203" s="128">
        <f t="shared" si="259"/>
        <v>58202</v>
      </c>
      <c r="CP203" s="90">
        <f t="shared" si="260"/>
        <v>66221</v>
      </c>
      <c r="CQ203" s="90">
        <f t="shared" si="261"/>
        <v>30672</v>
      </c>
      <c r="CR203" s="90">
        <f t="shared" ca="1" si="262"/>
        <v>169652.5</v>
      </c>
      <c r="CS203" s="90">
        <f t="shared" ca="1" si="263"/>
        <v>324747.5</v>
      </c>
      <c r="CT203" s="142">
        <f t="shared" ca="1" si="264"/>
        <v>0.17922231887851331</v>
      </c>
      <c r="CU203" s="142">
        <f t="shared" ca="1" si="265"/>
        <v>0.20391534961777996</v>
      </c>
      <c r="CV203" s="142">
        <f t="shared" ca="1" si="266"/>
        <v>9.4448764039753969E-2</v>
      </c>
      <c r="CW203" s="142">
        <f t="shared" ca="1" si="267"/>
        <v>0.52241356746395273</v>
      </c>
      <c r="CY203" s="128">
        <f t="shared" si="268"/>
        <v>29102</v>
      </c>
      <c r="CZ203" s="90">
        <f t="shared" si="269"/>
        <v>32916</v>
      </c>
      <c r="DA203" s="90">
        <f t="shared" si="270"/>
        <v>19360</v>
      </c>
      <c r="DB203" s="90">
        <f t="shared" ca="1" si="271"/>
        <v>91862</v>
      </c>
      <c r="DC203" s="90">
        <f t="shared" ca="1" si="272"/>
        <v>173240</v>
      </c>
      <c r="DD203" s="142">
        <f t="shared" ca="1" si="273"/>
        <v>0.16798660817363195</v>
      </c>
      <c r="DE203" s="142">
        <f t="shared" ca="1" si="274"/>
        <v>0.1900023089355807</v>
      </c>
      <c r="DF203" s="142">
        <f t="shared" ca="1" si="275"/>
        <v>0.11175248210574924</v>
      </c>
      <c r="DG203" s="142">
        <f t="shared" ca="1" si="276"/>
        <v>0.53025860078503806</v>
      </c>
      <c r="DI203" s="128">
        <f t="shared" si="277"/>
        <v>14031</v>
      </c>
      <c r="DJ203" s="90">
        <f t="shared" si="278"/>
        <v>15902</v>
      </c>
      <c r="DK203" s="90">
        <f t="shared" si="279"/>
        <v>7064</v>
      </c>
      <c r="DL203" s="90">
        <f t="shared" ca="1" si="280"/>
        <v>13441.5</v>
      </c>
      <c r="DM203" s="90">
        <f t="shared" ca="1" si="281"/>
        <v>50438.5</v>
      </c>
      <c r="DN203" s="142">
        <f t="shared" ca="1" si="282"/>
        <v>0.27818035825807669</v>
      </c>
      <c r="DO203" s="142">
        <f t="shared" ca="1" si="283"/>
        <v>0.31527503791746386</v>
      </c>
      <c r="DP203" s="142">
        <f t="shared" ca="1" si="284"/>
        <v>0.14005174618594923</v>
      </c>
      <c r="DQ203" s="142">
        <f t="shared" ca="1" si="285"/>
        <v>0.26649285763851027</v>
      </c>
      <c r="DS203" s="128">
        <f t="shared" ca="1" si="286"/>
        <v>324747.5</v>
      </c>
      <c r="DT203" s="90">
        <f t="shared" ca="1" si="287"/>
        <v>173240</v>
      </c>
      <c r="DU203" s="90">
        <f t="shared" ca="1" si="288"/>
        <v>50438.5</v>
      </c>
      <c r="DV203" s="90">
        <f t="shared" si="289"/>
        <v>180</v>
      </c>
      <c r="DW203" s="90">
        <f ca="1">_xlfn.IFNA(INDEX(武器升级消耗!$H:$H,MATCH(玩家节奏1!DS203/玩家节奏1!DS$5,武器升级消耗!M:M,1)),0)</f>
        <v>50</v>
      </c>
      <c r="DX203" s="90">
        <f ca="1">_xlfn.IFNA(INDEX(武器升级消耗!$H:$H,MATCH(玩家节奏1!DT203/玩家节奏1!DT$5,武器升级消耗!N:N,1)),0)</f>
        <v>44</v>
      </c>
      <c r="DY203" s="90">
        <f ca="1">_xlfn.IFNA(INDEX(武器升级消耗!$H:$H,MATCH(玩家节奏1!DU203/玩家节奏1!DU$5,武器升级消耗!O:O,1)),0)</f>
        <v>31</v>
      </c>
      <c r="DZ203" s="90">
        <f>_xlfn.IFNA(INDEX(武器升级消耗!$H:$H,MATCH(玩家节奏1!DV203/玩家节奏1!DV$5,武器升级消耗!P:P,1)),0)</f>
        <v>14</v>
      </c>
      <c r="EA203" s="90">
        <f ca="1">_xlfn.IFNA(INDEX(武器升级消耗!$Q:$Q,MATCH(玩家节奏1!DW203,武器升级消耗!$H:$H,0))*2*EA$4,0)</f>
        <v>6.48</v>
      </c>
      <c r="EB203" s="90">
        <f ca="1">_xlfn.IFNA(INDEX(武器升级消耗!$Q:$Q,MATCH(玩家节奏1!DX203,武器升级消耗!$H:$H,0))*2*EB$4,0)</f>
        <v>7.1999999999999993</v>
      </c>
      <c r="EC203" s="90">
        <f ca="1">_xlfn.IFNA(INDEX(武器升级消耗!$Q:$Q,MATCH(玩家节奏1!DY203,武器升级消耗!$H:$H,0))*2*EC$4,1)</f>
        <v>7.7000000000000011</v>
      </c>
      <c r="ED203" s="90">
        <f>_xlfn.IFNA(INDEX(武器升级消耗!$Q:$Q,MATCH(玩家节奏1!DZ203,武器升级消耗!$H:$H,0))*2*ED$4,0)</f>
        <v>5.4</v>
      </c>
    </row>
    <row r="204" spans="1:134" x14ac:dyDescent="0.25">
      <c r="A204" s="123">
        <v>198</v>
      </c>
      <c r="B204" s="123">
        <f>INDEX(关卡对比!$Y:$Y,MATCH(关卡对比!Z204,关卡对比!$AA:$AA,1))</f>
        <v>112</v>
      </c>
      <c r="C204" s="124">
        <f>INDEX(关卡对比!$Y:$Y,MATCH(关卡对比!Z204,关卡对比!$AB:$AB,1))</f>
        <v>84</v>
      </c>
      <c r="D204" s="125">
        <f t="shared" si="230"/>
        <v>1151.5</v>
      </c>
      <c r="E204" s="125">
        <v>3</v>
      </c>
      <c r="F204" s="128">
        <v>5</v>
      </c>
      <c r="G204" s="90">
        <v>1</v>
      </c>
      <c r="H204" s="90">
        <v>1</v>
      </c>
      <c r="J204" s="128">
        <v>198</v>
      </c>
      <c r="K204" s="90">
        <f t="shared" si="237"/>
        <v>5</v>
      </c>
      <c r="L204" s="90">
        <f t="shared" si="238"/>
        <v>1</v>
      </c>
      <c r="M204" s="90">
        <f t="shared" si="239"/>
        <v>1</v>
      </c>
      <c r="N204" s="140">
        <f>INDEX($A:$A,MATCH(SUM($K$7:K204),$D:$D,1))</f>
        <v>172</v>
      </c>
      <c r="O204" s="140">
        <v>0</v>
      </c>
      <c r="P204" s="141">
        <v>0</v>
      </c>
      <c r="Q204" s="126">
        <f>_xlfn.MAXIFS(关卡产出!X:X,关卡产出!$A:$A,玩家节奏1!$N$6,关卡产出!$B:$B,玩家节奏1!$N204)+_xlfn.MAXIFS(关卡产出!X:X,关卡产出!$A:$A,玩家节奏1!$O$6,关卡产出!$B:$B,玩家节奏1!$O204)+_xlfn.MAXIFS(关卡产出!X:X,关卡产出!$A:$A,玩家节奏1!$P$6,关卡产出!$B:$B,玩家节奏1!$P204)</f>
        <v>32900</v>
      </c>
      <c r="R204" s="90">
        <f>_xlfn.MAXIFS(关卡产出!Y:Y,关卡产出!$A:$A,玩家节奏1!$N$6,关卡产出!$B:$B,玩家节奏1!$N204)+_xlfn.MAXIFS(关卡产出!Y:Y,关卡产出!$A:$A,玩家节奏1!$O$6,关卡产出!$B:$B,玩家节奏1!$O204)+_xlfn.MAXIFS(关卡产出!Y:Y,关卡产出!$A:$A,玩家节奏1!$P$6,关卡产出!$B:$B,玩家节奏1!$P204)</f>
        <v>8541200</v>
      </c>
      <c r="S204" s="90">
        <f>_xlfn.MAXIFS(关卡产出!Z:Z,关卡产出!$A:$A,玩家节奏1!$N$6,关卡产出!$B:$B,玩家节奏1!$N204)+_xlfn.MAXIFS(关卡产出!Z:Z,关卡产出!$A:$A,玩家节奏1!$O$6,关卡产出!$B:$B,玩家节奏1!$O204)+_xlfn.MAXIFS(关卡产出!Z:Z,关卡产出!$A:$A,玩家节奏1!$P$6,关卡产出!$B:$B,玩家节奏1!$P204)</f>
        <v>58202</v>
      </c>
      <c r="T204" s="90">
        <f>_xlfn.MAXIFS(关卡产出!AA:AA,关卡产出!$A:$A,玩家节奏1!$N$6,关卡产出!$B:$B,玩家节奏1!$N204)+_xlfn.MAXIFS(关卡产出!AA:AA,关卡产出!$A:$A,玩家节奏1!$O$6,关卡产出!$B:$B,玩家节奏1!$O204)+_xlfn.MAXIFS(关卡产出!AA:AA,关卡产出!$A:$A,玩家节奏1!$P$6,关卡产出!$B:$B,玩家节奏1!$P204)</f>
        <v>29102</v>
      </c>
      <c r="U204" s="90">
        <f>_xlfn.MAXIFS(关卡产出!AB:AB,关卡产出!$A:$A,玩家节奏1!$N$6,关卡产出!$B:$B,玩家节奏1!$N204)+_xlfn.MAXIFS(关卡产出!AB:AB,关卡产出!$A:$A,玩家节奏1!$O$6,关卡产出!$B:$B,玩家节奏1!$O204)+_xlfn.MAXIFS(关卡产出!AB:AB,关卡产出!$A:$A,玩家节奏1!$P$6,关卡产出!$B:$B,玩家节奏1!$P204)</f>
        <v>14031</v>
      </c>
      <c r="V204" s="130">
        <f>_xlfn.MAXIFS(关卡产出!AC:AC,关卡产出!$A:$A,玩家节奏1!$N$6,关卡产出!$B:$B,玩家节奏1!$N204)+_xlfn.MAXIFS(关卡产出!AC:AC,关卡产出!$A:$A,玩家节奏1!$O$6,关卡产出!$B:$B,玩家节奏1!$O204)+_xlfn.MAXIFS(关卡产出!AC:AC,关卡产出!$A:$A,玩家节奏1!$P$6,关卡产出!$B:$B,玩家节奏1!$P204)</f>
        <v>1032</v>
      </c>
      <c r="W204" s="126">
        <f>INDEX(关卡产出!C$8:C$207,MATCH(玩家节奏1!$N204,关卡产出!$B$8:$B$207,0))*$K204</f>
        <v>680</v>
      </c>
      <c r="X204" s="126">
        <f>INDEX(关卡产出!D$8:D$207,MATCH(玩家节奏1!$N204,关卡产出!$B$8:$B$207,0))*$K204</f>
        <v>340</v>
      </c>
      <c r="Y204" s="126">
        <f>INDEX(关卡产出!E$8:E$207,MATCH(玩家节奏1!$N204,关卡产出!$B$8:$B$207,0))*$K204</f>
        <v>165</v>
      </c>
      <c r="Z204" s="144">
        <f>INDEX(关卡产出!F$8:F$207,MATCH(玩家节奏1!$N204,关卡产出!$B$8:$B$207,0))*$K204</f>
        <v>8850</v>
      </c>
      <c r="AA204" s="126">
        <f>SUM(W$7:W204)</f>
        <v>66901</v>
      </c>
      <c r="AB204" s="126">
        <f>SUM(X$7:X204)</f>
        <v>33256</v>
      </c>
      <c r="AC204" s="126">
        <f>SUM(Y$7:Y204)</f>
        <v>16067</v>
      </c>
      <c r="AD204" s="126">
        <f>SUM(Z$7:Z204)</f>
        <v>910660</v>
      </c>
      <c r="AE204" s="126">
        <f>INDEX(图鉴!AQ:AQ,MATCH($N204,图鉴!$S:$S,0))*8</f>
        <v>168</v>
      </c>
      <c r="AF204" s="90">
        <f>INDEX(图鉴!AR:AR,MATCH($N204,图鉴!$S:$S,0))*8</f>
        <v>120</v>
      </c>
      <c r="AG204" s="90">
        <f>INDEX(图鉴!AS:AS,MATCH($N204,图鉴!$S:$S,0))*8</f>
        <v>48</v>
      </c>
      <c r="AH204" s="129">
        <f ca="1">INDEX(图鉴!AT:AT,MATCH($N204,图鉴!$S:$S,0))*8</f>
        <v>12640</v>
      </c>
      <c r="AI204" s="128">
        <f>SUM($AE$7:AE204)</f>
        <v>30840</v>
      </c>
      <c r="AJ204" s="90">
        <f>SUM(AF$7:AF204)</f>
        <v>19480</v>
      </c>
      <c r="AK204" s="90">
        <f>SUM(AG$7:AG204)</f>
        <v>7112</v>
      </c>
      <c r="AL204" s="130">
        <f ca="1">SUM(AH$7:AH204)</f>
        <v>1636000</v>
      </c>
      <c r="AM204" s="133">
        <f>IF(M204=0,0,INDEX(关卡产出!$AU$11:$AU$15,MATCH(玩家节奏1!N204,关卡产出!$AW$11:$AW$15,1))*M204)</f>
        <v>12200</v>
      </c>
      <c r="AN204" s="126">
        <f>IF(L204=0,0,$L204*关卡产出!AU$21)</f>
        <v>1000</v>
      </c>
      <c r="AO204" s="90">
        <f>IF(M204=0,0,$L204*关卡产出!AV$21)</f>
        <v>50</v>
      </c>
      <c r="AP204" s="129">
        <f>IF(N204=0,0,$L204*关卡产出!AW$21)</f>
        <v>1</v>
      </c>
      <c r="AQ204" s="138">
        <f>SUM(AN$7:AN204)</f>
        <v>181000</v>
      </c>
      <c r="AR204" s="126">
        <f>SUM(AO$7:AO204)</f>
        <v>9050</v>
      </c>
      <c r="AS204" s="129">
        <f>SUM(AP$7:AP204)</f>
        <v>181</v>
      </c>
      <c r="AT204" s="128">
        <v>500</v>
      </c>
      <c r="AU204" s="129">
        <v>100</v>
      </c>
      <c r="AV204" s="128">
        <f>SUM(AT$7:AT204)</f>
        <v>99000</v>
      </c>
      <c r="AW204" s="90">
        <f>SUM(AU$7:AU204)</f>
        <v>19800</v>
      </c>
      <c r="AY204" s="128">
        <f t="shared" si="240"/>
        <v>32900</v>
      </c>
      <c r="AZ204" s="90">
        <f t="shared" si="241"/>
        <v>9050</v>
      </c>
      <c r="BA204" s="90">
        <f t="shared" si="242"/>
        <v>19800</v>
      </c>
      <c r="BB204" s="90">
        <f t="shared" ca="1" si="290"/>
        <v>20300</v>
      </c>
      <c r="BC204" s="90">
        <f t="shared" ca="1" si="291"/>
        <v>82050</v>
      </c>
      <c r="BD204" s="90"/>
      <c r="BE204" s="90">
        <f t="shared" ca="1" si="243"/>
        <v>82050</v>
      </c>
      <c r="BF204" s="142">
        <f t="shared" ca="1" si="244"/>
        <v>0.40097501523461304</v>
      </c>
      <c r="BG204" s="142">
        <f t="shared" ca="1" si="245"/>
        <v>0.11029859841560025</v>
      </c>
      <c r="BH204" s="142">
        <f t="shared" ca="1" si="246"/>
        <v>0.24131627056672761</v>
      </c>
      <c r="BI204" s="142">
        <f t="shared" ca="1" si="247"/>
        <v>0.2474101157830591</v>
      </c>
      <c r="BJ204" s="143"/>
      <c r="BK204" s="128">
        <f ca="1">INDEX(商城宝箱!$L:$L,MATCH(BC204,商城宝箱!$N:$N,1))</f>
        <v>11</v>
      </c>
      <c r="BL204" s="90">
        <f ca="1">_xlfn.IFNA(INDEX(商城宝箱!T:T,MATCH(玩家节奏1!$BK204,商城宝箱!$L:$L,0)),0)+($BC204-INDEX(商城宝箱!$N:$N,MATCH(玩家节奏1!$BK204,商城宝箱!$L:$L,0)))/$BK$5*INDEX(商城宝箱!E$23:E$42,MATCH(玩家节奏1!$BK204+1,商城宝箱!$C$23:$C$42,0))</f>
        <v>205125</v>
      </c>
      <c r="BM204" s="90">
        <f ca="1">_xlfn.IFNA(INDEX(商城宝箱!U:U,MATCH(玩家节奏1!$BK204,商城宝箱!$L:$L,0)),0)+($BC204-INDEX(商城宝箱!$N:$N,MATCH(玩家节奏1!$BK204,商城宝箱!$L:$L,0)))/$BK$5*INDEX(商城宝箱!F$23:F$42,MATCH(玩家节奏1!$BK204+1,商城宝箱!$C$23:$C$42,0))</f>
        <v>177977.5</v>
      </c>
      <c r="BN204" s="90">
        <f ca="1">_xlfn.IFNA(INDEX(商城宝箱!V:V,MATCH(玩家节奏1!$BK204,商城宝箱!$L:$L,0)),0)+($BC204-INDEX(商城宝箱!$N:$N,MATCH(玩家节奏1!$BK204,商城宝箱!$L:$L,0)))/$BK$5*INDEX(商城宝箱!G$23:G$42,MATCH(玩家节奏1!$BK204+1,商城宝箱!$C$23:$C$42,0))</f>
        <v>95799.5</v>
      </c>
      <c r="BO204" s="90">
        <f ca="1">_xlfn.IFNA(INDEX(商城宝箱!W:W,MATCH(玩家节奏1!$BK204,商城宝箱!$L:$L,0)),0)+($BC204-INDEX(商城宝箱!$N:$N,MATCH(玩家节奏1!$BK204,商城宝箱!$L:$L,0)))/$BK$5*INDEX(商城宝箱!H$23:H$42,MATCH(玩家节奏1!$BK204+1,商城宝箱!$C$23:$C$42,0))</f>
        <v>14116.5</v>
      </c>
      <c r="BQ204" s="128">
        <f t="shared" si="231"/>
        <v>8541200</v>
      </c>
      <c r="BR204" s="90">
        <f t="shared" si="232"/>
        <v>910660</v>
      </c>
      <c r="BS204" s="90">
        <f t="shared" ca="1" si="233"/>
        <v>1636000</v>
      </c>
      <c r="BT204" s="90">
        <f t="shared" si="234"/>
        <v>12200</v>
      </c>
      <c r="BU204" s="90">
        <f t="shared" si="235"/>
        <v>181000</v>
      </c>
      <c r="BV204" s="90">
        <f t="shared" si="236"/>
        <v>99000</v>
      </c>
      <c r="BW204" s="90">
        <f t="shared" ca="1" si="248"/>
        <v>205125</v>
      </c>
      <c r="BX204" s="90">
        <f t="shared" ca="1" si="249"/>
        <v>11585185</v>
      </c>
      <c r="BY204" s="142">
        <f t="shared" ca="1" si="250"/>
        <v>0.73725192994328537</v>
      </c>
      <c r="BZ204" s="142">
        <f t="shared" ca="1" si="251"/>
        <v>7.8605563916329349E-2</v>
      </c>
      <c r="CA204" s="142">
        <f t="shared" ca="1" si="252"/>
        <v>0.14121483601686119</v>
      </c>
      <c r="CB204" s="142">
        <f t="shared" ca="1" si="253"/>
        <v>1.0530690705413855E-3</v>
      </c>
      <c r="CC204" s="142">
        <f t="shared" ca="1" si="254"/>
        <v>1.5623401784261538E-2</v>
      </c>
      <c r="CD204" s="142">
        <f t="shared" ca="1" si="255"/>
        <v>8.5453965560325536E-3</v>
      </c>
      <c r="CE204" s="142">
        <f t="shared" ca="1" si="256"/>
        <v>1.7705802712688661E-2</v>
      </c>
      <c r="CG204" s="128">
        <f t="shared" si="257"/>
        <v>172</v>
      </c>
      <c r="CH204" s="90">
        <f ca="1">INDEX(角色升级!$A:$A,MATCH(玩家节奏1!$BX204,角色升级!$J:$J,1))</f>
        <v>765</v>
      </c>
      <c r="CI204" s="90">
        <f ca="1">INDEX(角色升级!$O:$O,MATCH(玩家节奏1!$BX204,角色升级!$J:$J,1))</f>
        <v>49269.697620000006</v>
      </c>
      <c r="CJ204" s="90">
        <f>INDEX(关卡对比!$J:$J,MATCH(玩家节奏1!N204,关卡对比!$A:$A,0))</f>
        <v>72200</v>
      </c>
      <c r="CK204" s="147">
        <f t="shared" ca="1" si="258"/>
        <v>1.4654037570283751</v>
      </c>
      <c r="CL204" s="128">
        <f ca="1">INDEX(角色升级!$P:$P,MATCH(玩家节奏1!$CH204,角色升级!$A:$A,0))</f>
        <v>20300</v>
      </c>
      <c r="CM204" s="90">
        <f ca="1">INDEX(角色升级!Q:Q,MATCH(玩家节奏1!$CH204,角色升级!$A:$A,0))</f>
        <v>1.4</v>
      </c>
      <c r="CO204" s="128">
        <f t="shared" si="259"/>
        <v>58202</v>
      </c>
      <c r="CP204" s="90">
        <f t="shared" si="260"/>
        <v>66901</v>
      </c>
      <c r="CQ204" s="90">
        <f t="shared" si="261"/>
        <v>30840</v>
      </c>
      <c r="CR204" s="90">
        <f t="shared" ca="1" si="262"/>
        <v>177977.5</v>
      </c>
      <c r="CS204" s="90">
        <f t="shared" ca="1" si="263"/>
        <v>333920.5</v>
      </c>
      <c r="CT204" s="142">
        <f t="shared" ca="1" si="264"/>
        <v>0.17429897236018754</v>
      </c>
      <c r="CU204" s="142">
        <f t="shared" ca="1" si="265"/>
        <v>0.20035008332821735</v>
      </c>
      <c r="CV204" s="142">
        <f t="shared" ca="1" si="266"/>
        <v>9.2357312593865912E-2</v>
      </c>
      <c r="CW204" s="142">
        <f t="shared" ca="1" si="267"/>
        <v>0.53299363171772918</v>
      </c>
      <c r="CY204" s="128">
        <f t="shared" si="268"/>
        <v>29102</v>
      </c>
      <c r="CZ204" s="90">
        <f t="shared" si="269"/>
        <v>33256</v>
      </c>
      <c r="DA204" s="90">
        <f t="shared" si="270"/>
        <v>19480</v>
      </c>
      <c r="DB204" s="90">
        <f t="shared" ca="1" si="271"/>
        <v>95799.5</v>
      </c>
      <c r="DC204" s="90">
        <f t="shared" ca="1" si="272"/>
        <v>177637.5</v>
      </c>
      <c r="DD204" s="142">
        <f t="shared" ca="1" si="273"/>
        <v>0.16382802054746323</v>
      </c>
      <c r="DE204" s="142">
        <f t="shared" ca="1" si="274"/>
        <v>0.18721272253887833</v>
      </c>
      <c r="DF204" s="142">
        <f t="shared" ca="1" si="275"/>
        <v>0.10966152980085848</v>
      </c>
      <c r="DG204" s="142">
        <f t="shared" ca="1" si="276"/>
        <v>0.5392977271128</v>
      </c>
      <c r="DI204" s="128">
        <f t="shared" si="277"/>
        <v>14031</v>
      </c>
      <c r="DJ204" s="90">
        <f t="shared" si="278"/>
        <v>16067</v>
      </c>
      <c r="DK204" s="90">
        <f t="shared" si="279"/>
        <v>7112</v>
      </c>
      <c r="DL204" s="90">
        <f t="shared" ca="1" si="280"/>
        <v>14116.5</v>
      </c>
      <c r="DM204" s="90">
        <f t="shared" ca="1" si="281"/>
        <v>51326.5</v>
      </c>
      <c r="DN204" s="142">
        <f t="shared" ca="1" si="282"/>
        <v>0.27336755866852408</v>
      </c>
      <c r="DO204" s="142">
        <f t="shared" ca="1" si="283"/>
        <v>0.31303517676054282</v>
      </c>
      <c r="DP204" s="142">
        <f t="shared" ca="1" si="284"/>
        <v>0.13856389973990044</v>
      </c>
      <c r="DQ204" s="142">
        <f t="shared" ca="1" si="285"/>
        <v>0.27503336483103269</v>
      </c>
      <c r="DS204" s="128">
        <f t="shared" ca="1" si="286"/>
        <v>333920.5</v>
      </c>
      <c r="DT204" s="90">
        <f t="shared" ca="1" si="287"/>
        <v>177637.5</v>
      </c>
      <c r="DU204" s="90">
        <f t="shared" ca="1" si="288"/>
        <v>51326.5</v>
      </c>
      <c r="DV204" s="90">
        <f t="shared" si="289"/>
        <v>181</v>
      </c>
      <c r="DW204" s="90">
        <f ca="1">_xlfn.IFNA(INDEX(武器升级消耗!$H:$H,MATCH(玩家节奏1!DS204/玩家节奏1!DS$5,武器升级消耗!M:M,1)),0)</f>
        <v>51</v>
      </c>
      <c r="DX204" s="90">
        <f ca="1">_xlfn.IFNA(INDEX(武器升级消耗!$H:$H,MATCH(玩家节奏1!DT204/玩家节奏1!DT$5,武器升级消耗!N:N,1)),0)</f>
        <v>45</v>
      </c>
      <c r="DY204" s="90">
        <f ca="1">_xlfn.IFNA(INDEX(武器升级消耗!$H:$H,MATCH(玩家节奏1!DU204/玩家节奏1!DU$5,武器升级消耗!O:O,1)),0)</f>
        <v>31</v>
      </c>
      <c r="DZ204" s="90">
        <f>_xlfn.IFNA(INDEX(武器升级消耗!$H:$H,MATCH(玩家节奏1!DV204/玩家节奏1!DV$5,武器升级消耗!P:P,1)),0)</f>
        <v>14</v>
      </c>
      <c r="EA204" s="90">
        <f ca="1">_xlfn.IFNA(INDEX(武器升级消耗!$Q:$Q,MATCH(玩家节奏1!DW204,武器升级消耗!$H:$H,0))*2*EA$4,0)</f>
        <v>6.6</v>
      </c>
      <c r="EB204" s="90">
        <f ca="1">_xlfn.IFNA(INDEX(武器升级消耗!$Q:$Q,MATCH(玩家节奏1!DX204,武器升级消耗!$H:$H,0))*2*EB$4,0)</f>
        <v>7.3500000000000005</v>
      </c>
      <c r="EC204" s="90">
        <f ca="1">_xlfn.IFNA(INDEX(武器升级消耗!$Q:$Q,MATCH(玩家节奏1!DY204,武器升级消耗!$H:$H,0))*2*EC$4,1)</f>
        <v>7.7000000000000011</v>
      </c>
      <c r="ED204" s="90">
        <f>_xlfn.IFNA(INDEX(武器升级消耗!$Q:$Q,MATCH(玩家节奏1!DZ204,武器升级消耗!$H:$H,0))*2*ED$4,0)</f>
        <v>5.4</v>
      </c>
    </row>
    <row r="205" spans="1:134" x14ac:dyDescent="0.25">
      <c r="A205" s="123">
        <v>199</v>
      </c>
      <c r="B205" s="123">
        <f>INDEX(关卡对比!$Y:$Y,MATCH(关卡对比!Z205,关卡对比!$AA:$AA,1))</f>
        <v>113</v>
      </c>
      <c r="C205" s="124">
        <f>INDEX(关卡对比!$Y:$Y,MATCH(关卡对比!Z205,关卡对比!$AB:$AB,1))</f>
        <v>84</v>
      </c>
      <c r="D205" s="125">
        <f t="shared" si="230"/>
        <v>1157.5</v>
      </c>
      <c r="E205" s="125">
        <v>3</v>
      </c>
      <c r="F205" s="128">
        <v>5</v>
      </c>
      <c r="G205" s="90">
        <v>1</v>
      </c>
      <c r="H205" s="90">
        <v>1</v>
      </c>
      <c r="J205" s="128">
        <v>199</v>
      </c>
      <c r="K205" s="90">
        <f t="shared" si="237"/>
        <v>5</v>
      </c>
      <c r="L205" s="90">
        <f t="shared" si="238"/>
        <v>1</v>
      </c>
      <c r="M205" s="90">
        <f t="shared" si="239"/>
        <v>1</v>
      </c>
      <c r="N205" s="140">
        <f>INDEX($A:$A,MATCH(SUM($K$7:K205),$D:$D,1))</f>
        <v>173</v>
      </c>
      <c r="O205" s="140">
        <v>0</v>
      </c>
      <c r="P205" s="141">
        <v>0</v>
      </c>
      <c r="Q205" s="126">
        <f>_xlfn.MAXIFS(关卡产出!X:X,关卡产出!$A:$A,玩家节奏1!$N$6,关卡产出!$B:$B,玩家节奏1!$N205)+_xlfn.MAXIFS(关卡产出!X:X,关卡产出!$A:$A,玩家节奏1!$O$6,关卡产出!$B:$B,玩家节奏1!$O205)+_xlfn.MAXIFS(关卡产出!X:X,关卡产出!$A:$A,玩家节奏1!$P$6,关卡产出!$B:$B,玩家节奏1!$P205)</f>
        <v>33100</v>
      </c>
      <c r="R205" s="90">
        <f>_xlfn.MAXIFS(关卡产出!Y:Y,关卡产出!$A:$A,玩家节奏1!$N$6,关卡产出!$B:$B,玩家节奏1!$N205)+_xlfn.MAXIFS(关卡产出!Y:Y,关卡产出!$A:$A,玩家节奏1!$O$6,关卡产出!$B:$B,玩家节奏1!$O205)+_xlfn.MAXIFS(关卡产出!Y:Y,关卡产出!$A:$A,玩家节奏1!$P$6,关卡产出!$B:$B,玩家节奏1!$P205)</f>
        <v>8642700</v>
      </c>
      <c r="S205" s="90">
        <f>_xlfn.MAXIFS(关卡产出!Z:Z,关卡产出!$A:$A,玩家节奏1!$N$6,关卡产出!$B:$B,玩家节奏1!$N205)+_xlfn.MAXIFS(关卡产出!Z:Z,关卡产出!$A:$A,玩家节奏1!$O$6,关卡产出!$B:$B,玩家节奏1!$O205)+_xlfn.MAXIFS(关卡产出!Z:Z,关卡产出!$A:$A,玩家节奏1!$P$6,关卡产出!$B:$B,玩家节奏1!$P205)</f>
        <v>58886</v>
      </c>
      <c r="T205" s="90">
        <f>_xlfn.MAXIFS(关卡产出!AA:AA,关卡产出!$A:$A,玩家节奏1!$N$6,关卡产出!$B:$B,玩家节奏1!$N205)+_xlfn.MAXIFS(关卡产出!AA:AA,关卡产出!$A:$A,玩家节奏1!$O$6,关卡产出!$B:$B,玩家节奏1!$O205)+_xlfn.MAXIFS(关卡产出!AA:AA,关卡产出!$A:$A,玩家节奏1!$P$6,关卡产出!$B:$B,玩家节奏1!$P205)</f>
        <v>29444</v>
      </c>
      <c r="U205" s="90">
        <f>_xlfn.MAXIFS(关卡产出!AB:AB,关卡产出!$A:$A,玩家节奏1!$N$6,关卡产出!$B:$B,玩家节奏1!$N205)+_xlfn.MAXIFS(关卡产出!AB:AB,关卡产出!$A:$A,玩家节奏1!$O$6,关卡产出!$B:$B,玩家节奏1!$O205)+_xlfn.MAXIFS(关卡产出!AB:AB,关卡产出!$A:$A,玩家节奏1!$P$6,关卡产出!$B:$B,玩家节奏1!$P205)</f>
        <v>14199</v>
      </c>
      <c r="V205" s="130">
        <f>_xlfn.MAXIFS(关卡产出!AC:AC,关卡产出!$A:$A,玩家节奏1!$N$6,关卡产出!$B:$B,玩家节奏1!$N205)+_xlfn.MAXIFS(关卡产出!AC:AC,关卡产出!$A:$A,玩家节奏1!$O$6,关卡产出!$B:$B,玩家节奏1!$O205)+_xlfn.MAXIFS(关卡产出!AC:AC,关卡产出!$A:$A,玩家节奏1!$P$6,关卡产出!$B:$B,玩家节奏1!$P205)</f>
        <v>1038</v>
      </c>
      <c r="W205" s="126">
        <f>INDEX(关卡产出!C$8:C$207,MATCH(玩家节奏1!$N205,关卡产出!$B$8:$B$207,0))*$K205</f>
        <v>685</v>
      </c>
      <c r="X205" s="126">
        <f>INDEX(关卡产出!D$8:D$207,MATCH(玩家节奏1!$N205,关卡产出!$B$8:$B$207,0))*$K205</f>
        <v>340</v>
      </c>
      <c r="Y205" s="126">
        <f>INDEX(关卡产出!E$8:E$207,MATCH(玩家节奏1!$N205,关卡产出!$B$8:$B$207,0))*$K205</f>
        <v>170</v>
      </c>
      <c r="Z205" s="144">
        <f>INDEX(关卡产出!F$8:F$207,MATCH(玩家节奏1!$N205,关卡产出!$B$8:$B$207,0))*$K205</f>
        <v>8950</v>
      </c>
      <c r="AA205" s="126">
        <f>SUM(W$7:W205)</f>
        <v>67586</v>
      </c>
      <c r="AB205" s="126">
        <f>SUM(X$7:X205)</f>
        <v>33596</v>
      </c>
      <c r="AC205" s="126">
        <f>SUM(Y$7:Y205)</f>
        <v>16237</v>
      </c>
      <c r="AD205" s="126">
        <f>SUM(Z$7:Z205)</f>
        <v>919610</v>
      </c>
      <c r="AE205" s="126">
        <f>INDEX(图鉴!AQ:AQ,MATCH($N205,图鉴!$S:$S,0))*8</f>
        <v>168</v>
      </c>
      <c r="AF205" s="90">
        <f>INDEX(图鉴!AR:AR,MATCH($N205,图鉴!$S:$S,0))*8</f>
        <v>120</v>
      </c>
      <c r="AG205" s="90">
        <f>INDEX(图鉴!AS:AS,MATCH($N205,图鉴!$S:$S,0))*8</f>
        <v>48</v>
      </c>
      <c r="AH205" s="129">
        <f ca="1">INDEX(图鉴!AT:AT,MATCH($N205,图鉴!$S:$S,0))*8</f>
        <v>12640</v>
      </c>
      <c r="AI205" s="128">
        <f>SUM($AE$7:AE205)</f>
        <v>31008</v>
      </c>
      <c r="AJ205" s="90">
        <f>SUM(AF$7:AF205)</f>
        <v>19600</v>
      </c>
      <c r="AK205" s="90">
        <f>SUM(AG$7:AG205)</f>
        <v>7160</v>
      </c>
      <c r="AL205" s="130">
        <f ca="1">SUM(AH$7:AH205)</f>
        <v>1648640</v>
      </c>
      <c r="AM205" s="133">
        <f>IF(M205=0,0,INDEX(关卡产出!$AU$11:$AU$15,MATCH(玩家节奏1!N205,关卡产出!$AW$11:$AW$15,1))*M205)</f>
        <v>12200</v>
      </c>
      <c r="AN205" s="126">
        <f>IF(L205=0,0,$L205*关卡产出!AU$21)</f>
        <v>1000</v>
      </c>
      <c r="AO205" s="90">
        <f>IF(M205=0,0,$L205*关卡产出!AV$21)</f>
        <v>50</v>
      </c>
      <c r="AP205" s="129">
        <f>IF(N205=0,0,$L205*关卡产出!AW$21)</f>
        <v>1</v>
      </c>
      <c r="AQ205" s="138">
        <f>SUM(AN$7:AN205)</f>
        <v>182000</v>
      </c>
      <c r="AR205" s="126">
        <f>SUM(AO$7:AO205)</f>
        <v>9100</v>
      </c>
      <c r="AS205" s="129">
        <f>SUM(AP$7:AP205)</f>
        <v>182</v>
      </c>
      <c r="AT205" s="128">
        <v>500</v>
      </c>
      <c r="AU205" s="129">
        <v>100</v>
      </c>
      <c r="AV205" s="128">
        <f>SUM(AT$7:AT205)</f>
        <v>99500</v>
      </c>
      <c r="AW205" s="90">
        <f>SUM(AU$7:AU205)</f>
        <v>19900</v>
      </c>
      <c r="AY205" s="128">
        <f t="shared" si="240"/>
        <v>33100</v>
      </c>
      <c r="AZ205" s="90">
        <f t="shared" si="241"/>
        <v>9100</v>
      </c>
      <c r="BA205" s="90">
        <f t="shared" si="242"/>
        <v>19900</v>
      </c>
      <c r="BB205" s="90">
        <f t="shared" ca="1" si="290"/>
        <v>20300</v>
      </c>
      <c r="BC205" s="90">
        <f t="shared" ca="1" si="291"/>
        <v>82400</v>
      </c>
      <c r="BD205" s="90"/>
      <c r="BE205" s="90">
        <f t="shared" ca="1" si="243"/>
        <v>82400</v>
      </c>
      <c r="BF205" s="142">
        <f t="shared" ca="1" si="244"/>
        <v>0.40169902912621358</v>
      </c>
      <c r="BG205" s="142">
        <f t="shared" ca="1" si="245"/>
        <v>0.1104368932038835</v>
      </c>
      <c r="BH205" s="142">
        <f t="shared" ca="1" si="246"/>
        <v>0.24150485436893204</v>
      </c>
      <c r="BI205" s="142">
        <f t="shared" ca="1" si="247"/>
        <v>0.24635922330097088</v>
      </c>
      <c r="BJ205" s="143"/>
      <c r="BK205" s="128">
        <f ca="1">INDEX(商城宝箱!$L:$L,MATCH(BC205,商城宝箱!$N:$N,1))</f>
        <v>11</v>
      </c>
      <c r="BL205" s="90">
        <f ca="1">_xlfn.IFNA(INDEX(商城宝箱!T:T,MATCH(玩家节奏1!$BK205,商城宝箱!$L:$L,0)),0)+($BC205-INDEX(商城宝箱!$N:$N,MATCH(玩家节奏1!$BK205,商城宝箱!$L:$L,0)))/$BK$5*INDEX(商城宝箱!E$23:E$42,MATCH(玩家节奏1!$BK205+1,商城宝箱!$C$23:$C$42,0))</f>
        <v>206000</v>
      </c>
      <c r="BM205" s="90">
        <f ca="1">_xlfn.IFNA(INDEX(商城宝箱!U:U,MATCH(玩家节奏1!$BK205,商城宝箱!$L:$L,0)),0)+($BC205-INDEX(商城宝箱!$N:$N,MATCH(玩家节奏1!$BK205,商城宝箱!$L:$L,0)))/$BK$5*INDEX(商城宝箱!F$23:F$42,MATCH(玩家节奏1!$BK205+1,商城宝箱!$C$23:$C$42,0))</f>
        <v>179272.5</v>
      </c>
      <c r="BN205" s="90">
        <f ca="1">_xlfn.IFNA(INDEX(商城宝箱!V:V,MATCH(玩家节奏1!$BK205,商城宝箱!$L:$L,0)),0)+($BC205-INDEX(商城宝箱!$N:$N,MATCH(玩家节奏1!$BK205,商城宝箱!$L:$L,0)))/$BK$5*INDEX(商城宝箱!G$23:G$42,MATCH(玩家节奏1!$BK205+1,商城宝箱!$C$23:$C$42,0))</f>
        <v>96412</v>
      </c>
      <c r="BO205" s="90">
        <f ca="1">_xlfn.IFNA(INDEX(商城宝箱!W:W,MATCH(玩家节奏1!$BK205,商城宝箱!$L:$L,0)),0)+($BC205-INDEX(商城宝箱!$N:$N,MATCH(玩家节奏1!$BK205,商城宝箱!$L:$L,0)))/$BK$5*INDEX(商城宝箱!H$23:H$42,MATCH(玩家节奏1!$BK205+1,商城宝箱!$C$23:$C$42,0))</f>
        <v>14221.5</v>
      </c>
      <c r="BQ205" s="128">
        <f t="shared" si="231"/>
        <v>8642700</v>
      </c>
      <c r="BR205" s="90">
        <f t="shared" si="232"/>
        <v>919610</v>
      </c>
      <c r="BS205" s="90">
        <f t="shared" ca="1" si="233"/>
        <v>1648640</v>
      </c>
      <c r="BT205" s="90">
        <f t="shared" si="234"/>
        <v>12200</v>
      </c>
      <c r="BU205" s="90">
        <f t="shared" si="235"/>
        <v>182000</v>
      </c>
      <c r="BV205" s="90">
        <f t="shared" si="236"/>
        <v>99500</v>
      </c>
      <c r="BW205" s="90">
        <f t="shared" ca="1" si="248"/>
        <v>206000</v>
      </c>
      <c r="BX205" s="90">
        <f t="shared" ca="1" si="249"/>
        <v>11710650</v>
      </c>
      <c r="BY205" s="142">
        <f t="shared" ca="1" si="250"/>
        <v>0.73802051978327421</v>
      </c>
      <c r="BZ205" s="142">
        <f t="shared" ca="1" si="251"/>
        <v>7.8527664988706863E-2</v>
      </c>
      <c r="CA205" s="142">
        <f t="shared" ca="1" si="252"/>
        <v>0.1407812546698945</v>
      </c>
      <c r="CB205" s="142">
        <f t="shared" ca="1" si="253"/>
        <v>1.0417867496680371E-3</v>
      </c>
      <c r="CC205" s="142">
        <f t="shared" ca="1" si="254"/>
        <v>1.5541408888490392E-2</v>
      </c>
      <c r="CD205" s="142">
        <f t="shared" ca="1" si="255"/>
        <v>8.4965394747516156E-3</v>
      </c>
      <c r="CE205" s="142">
        <f t="shared" ca="1" si="256"/>
        <v>1.7590825445214398E-2</v>
      </c>
      <c r="CG205" s="128">
        <f t="shared" si="257"/>
        <v>173</v>
      </c>
      <c r="CH205" s="90">
        <f ca="1">INDEX(角色升级!$A:$A,MATCH(玩家节奏1!$BX205,角色升级!$J:$J,1))</f>
        <v>769</v>
      </c>
      <c r="CI205" s="90">
        <f ca="1">INDEX(角色升级!$O:$O,MATCH(玩家节奏1!$BX205,角色升级!$J:$J,1))</f>
        <v>49426.857739999999</v>
      </c>
      <c r="CJ205" s="90">
        <f>INDEX(关卡对比!$J:$J,MATCH(玩家节奏1!N205,关卡对比!$A:$A,0))</f>
        <v>72700</v>
      </c>
      <c r="CK205" s="147">
        <f t="shared" ca="1" si="258"/>
        <v>1.4708602432795479</v>
      </c>
      <c r="CL205" s="128">
        <f ca="1">INDEX(角色升级!$P:$P,MATCH(玩家节奏1!$CH205,角色升级!$A:$A,0))</f>
        <v>20300</v>
      </c>
      <c r="CM205" s="90">
        <f ca="1">INDEX(角色升级!Q:Q,MATCH(玩家节奏1!$CH205,角色升级!$A:$A,0))</f>
        <v>1.4</v>
      </c>
      <c r="CO205" s="128">
        <f t="shared" si="259"/>
        <v>58886</v>
      </c>
      <c r="CP205" s="90">
        <f t="shared" si="260"/>
        <v>67586</v>
      </c>
      <c r="CQ205" s="90">
        <f t="shared" si="261"/>
        <v>31008</v>
      </c>
      <c r="CR205" s="90">
        <f t="shared" ca="1" si="262"/>
        <v>179272.5</v>
      </c>
      <c r="CS205" s="90">
        <f t="shared" ca="1" si="263"/>
        <v>336752.5</v>
      </c>
      <c r="CT205" s="142">
        <f t="shared" ca="1" si="264"/>
        <v>0.1748643291438074</v>
      </c>
      <c r="CU205" s="142">
        <f t="shared" ca="1" si="265"/>
        <v>0.20069932665681769</v>
      </c>
      <c r="CV205" s="142">
        <f t="shared" ca="1" si="266"/>
        <v>9.2079494584301522E-2</v>
      </c>
      <c r="CW205" s="142">
        <f t="shared" ca="1" si="267"/>
        <v>0.53235684961507335</v>
      </c>
      <c r="CY205" s="128">
        <f t="shared" si="268"/>
        <v>29444</v>
      </c>
      <c r="CZ205" s="90">
        <f t="shared" si="269"/>
        <v>33596</v>
      </c>
      <c r="DA205" s="90">
        <f t="shared" si="270"/>
        <v>19600</v>
      </c>
      <c r="DB205" s="90">
        <f t="shared" ca="1" si="271"/>
        <v>96412</v>
      </c>
      <c r="DC205" s="90">
        <f t="shared" ca="1" si="272"/>
        <v>179052</v>
      </c>
      <c r="DD205" s="142">
        <f t="shared" ca="1" si="273"/>
        <v>0.16444384871433998</v>
      </c>
      <c r="DE205" s="142">
        <f t="shared" ca="1" si="274"/>
        <v>0.18763264303107477</v>
      </c>
      <c r="DF205" s="142">
        <f t="shared" ca="1" si="275"/>
        <v>0.1094654066974957</v>
      </c>
      <c r="DG205" s="142">
        <f t="shared" ca="1" si="276"/>
        <v>0.53845810155708951</v>
      </c>
      <c r="DI205" s="128">
        <f t="shared" si="277"/>
        <v>14199</v>
      </c>
      <c r="DJ205" s="90">
        <f t="shared" si="278"/>
        <v>16237</v>
      </c>
      <c r="DK205" s="90">
        <f t="shared" si="279"/>
        <v>7160</v>
      </c>
      <c r="DL205" s="90">
        <f t="shared" ca="1" si="280"/>
        <v>14221.5</v>
      </c>
      <c r="DM205" s="90">
        <f t="shared" ca="1" si="281"/>
        <v>51817.5</v>
      </c>
      <c r="DN205" s="142">
        <f t="shared" ca="1" si="282"/>
        <v>0.27401939499203937</v>
      </c>
      <c r="DO205" s="142">
        <f t="shared" ca="1" si="283"/>
        <v>0.31334973705794372</v>
      </c>
      <c r="DP205" s="142">
        <f t="shared" ca="1" si="284"/>
        <v>0.13817725671829015</v>
      </c>
      <c r="DQ205" s="142">
        <f t="shared" ca="1" si="285"/>
        <v>0.27445361123172674</v>
      </c>
      <c r="DS205" s="128">
        <f t="shared" ca="1" si="286"/>
        <v>336752.5</v>
      </c>
      <c r="DT205" s="90">
        <f t="shared" ca="1" si="287"/>
        <v>179052</v>
      </c>
      <c r="DU205" s="90">
        <f t="shared" ca="1" si="288"/>
        <v>51817.5</v>
      </c>
      <c r="DV205" s="90">
        <f t="shared" si="289"/>
        <v>182</v>
      </c>
      <c r="DW205" s="90">
        <f ca="1">_xlfn.IFNA(INDEX(武器升级消耗!$H:$H,MATCH(玩家节奏1!DS205/玩家节奏1!DS$5,武器升级消耗!M:M,1)),0)</f>
        <v>51</v>
      </c>
      <c r="DX205" s="90">
        <f ca="1">_xlfn.IFNA(INDEX(武器升级消耗!$H:$H,MATCH(玩家节奏1!DT205/玩家节奏1!DT$5,武器升级消耗!N:N,1)),0)</f>
        <v>45</v>
      </c>
      <c r="DY205" s="90">
        <f ca="1">_xlfn.IFNA(INDEX(武器升级消耗!$H:$H,MATCH(玩家节奏1!DU205/玩家节奏1!DU$5,武器升级消耗!O:O,1)),0)</f>
        <v>31</v>
      </c>
      <c r="DZ205" s="90">
        <f>_xlfn.IFNA(INDEX(武器升级消耗!$H:$H,MATCH(玩家节奏1!DV205/玩家节奏1!DV$5,武器升级消耗!P:P,1)),0)</f>
        <v>14</v>
      </c>
      <c r="EA205" s="90">
        <f ca="1">_xlfn.IFNA(INDEX(武器升级消耗!$Q:$Q,MATCH(玩家节奏1!DW205,武器升级消耗!$H:$H,0))*2*EA$4,0)</f>
        <v>6.6</v>
      </c>
      <c r="EB205" s="90">
        <f ca="1">_xlfn.IFNA(INDEX(武器升级消耗!$Q:$Q,MATCH(玩家节奏1!DX205,武器升级消耗!$H:$H,0))*2*EB$4,0)</f>
        <v>7.3500000000000005</v>
      </c>
      <c r="EC205" s="90">
        <f ca="1">_xlfn.IFNA(INDEX(武器升级消耗!$Q:$Q,MATCH(玩家节奏1!DY205,武器升级消耗!$H:$H,0))*2*EC$4,1)</f>
        <v>7.7000000000000011</v>
      </c>
      <c r="ED205" s="90">
        <f>_xlfn.IFNA(INDEX(武器升级消耗!$Q:$Q,MATCH(玩家节奏1!DZ205,武器升级消耗!$H:$H,0))*2*ED$4,0)</f>
        <v>5.4</v>
      </c>
    </row>
    <row r="206" spans="1:134" x14ac:dyDescent="0.25">
      <c r="A206" s="123">
        <v>200</v>
      </c>
      <c r="B206" s="123">
        <f>INDEX(关卡对比!$Y:$Y,MATCH(关卡对比!Z206,关卡对比!$AA:$AA,1))</f>
        <v>113</v>
      </c>
      <c r="C206" s="124">
        <f>INDEX(关卡对比!$Y:$Y,MATCH(关卡对比!Z206,关卡对比!$AB:$AB,1))</f>
        <v>85</v>
      </c>
      <c r="D206" s="125">
        <f t="shared" si="230"/>
        <v>1163.5</v>
      </c>
      <c r="E206" s="125">
        <v>3</v>
      </c>
      <c r="F206" s="128">
        <v>5</v>
      </c>
      <c r="G206" s="90">
        <v>1</v>
      </c>
      <c r="H206" s="90">
        <v>1</v>
      </c>
      <c r="J206" s="128">
        <v>200</v>
      </c>
      <c r="K206" s="90">
        <f t="shared" si="237"/>
        <v>5</v>
      </c>
      <c r="L206" s="90">
        <f t="shared" si="238"/>
        <v>1</v>
      </c>
      <c r="M206" s="90">
        <f t="shared" si="239"/>
        <v>1</v>
      </c>
      <c r="N206" s="140">
        <f>INDEX($A:$A,MATCH(SUM($K$7:K206),$D:$D,1))</f>
        <v>174</v>
      </c>
      <c r="O206" s="140">
        <v>0</v>
      </c>
      <c r="P206" s="141">
        <v>0</v>
      </c>
      <c r="Q206" s="126">
        <f>_xlfn.MAXIFS(关卡产出!X:X,关卡产出!$A:$A,玩家节奏1!$N$6,关卡产出!$B:$B,玩家节奏1!$N206)+_xlfn.MAXIFS(关卡产出!X:X,关卡产出!$A:$A,玩家节奏1!$O$6,关卡产出!$B:$B,玩家节奏1!$O206)+_xlfn.MAXIFS(关卡产出!X:X,关卡产出!$A:$A,玩家节奏1!$P$6,关卡产出!$B:$B,玩家节奏1!$P206)</f>
        <v>33300</v>
      </c>
      <c r="R206" s="90">
        <f>_xlfn.MAXIFS(关卡产出!Y:Y,关卡产出!$A:$A,玩家节奏1!$N$6,关卡产出!$B:$B,玩家节奏1!$N206)+_xlfn.MAXIFS(关卡产出!Y:Y,关卡产出!$A:$A,玩家节奏1!$O$6,关卡产出!$B:$B,玩家节奏1!$O206)+_xlfn.MAXIFS(关卡产出!Y:Y,关卡产出!$A:$A,玩家节奏1!$P$6,关卡产出!$B:$B,玩家节奏1!$P206)</f>
        <v>8744800</v>
      </c>
      <c r="S206" s="90">
        <f>_xlfn.MAXIFS(关卡产出!Z:Z,关卡产出!$A:$A,玩家节奏1!$N$6,关卡产出!$B:$B,玩家节奏1!$N206)+_xlfn.MAXIFS(关卡产出!Z:Z,关卡产出!$A:$A,玩家节奏1!$O$6,关卡产出!$B:$B,玩家节奏1!$O206)+_xlfn.MAXIFS(关卡产出!Z:Z,关卡产出!$A:$A,玩家节奏1!$P$6,关卡产出!$B:$B,玩家节奏1!$P206)</f>
        <v>59574</v>
      </c>
      <c r="T206" s="90">
        <f>_xlfn.MAXIFS(关卡产出!AA:AA,关卡产出!$A:$A,玩家节奏1!$N$6,关卡产出!$B:$B,玩家节奏1!$N206)+_xlfn.MAXIFS(关卡产出!AA:AA,关卡产出!$A:$A,玩家节奏1!$O$6,关卡产出!$B:$B,玩家节奏1!$O206)+_xlfn.MAXIFS(关卡产出!AA:AA,关卡产出!$A:$A,玩家节奏1!$P$6,关卡产出!$B:$B,玩家节奏1!$P206)</f>
        <v>29788</v>
      </c>
      <c r="U206" s="90">
        <f>_xlfn.MAXIFS(关卡产出!AB:AB,关卡产出!$A:$A,玩家节奏1!$N$6,关卡产出!$B:$B,玩家节奏1!$N206)+_xlfn.MAXIFS(关卡产出!AB:AB,关卡产出!$A:$A,玩家节奏1!$O$6,关卡产出!$B:$B,玩家节奏1!$O206)+_xlfn.MAXIFS(关卡产出!AB:AB,关卡产出!$A:$A,玩家节奏1!$P$6,关卡产出!$B:$B,玩家节奏1!$P206)</f>
        <v>14368</v>
      </c>
      <c r="V206" s="130">
        <f>_xlfn.MAXIFS(关卡产出!AC:AC,关卡产出!$A:$A,玩家节奏1!$N$6,关卡产出!$B:$B,玩家节奏1!$N206)+_xlfn.MAXIFS(关卡产出!AC:AC,关卡产出!$A:$A,玩家节奏1!$O$6,关卡产出!$B:$B,玩家节奏1!$O206)+_xlfn.MAXIFS(关卡产出!AC:AC,关卡产出!$A:$A,玩家节奏1!$P$6,关卡产出!$B:$B,玩家节奏1!$P206)</f>
        <v>1044</v>
      </c>
      <c r="W206" s="126">
        <f>INDEX(关卡产出!C$8:C$207,MATCH(玩家节奏1!$N206,关卡产出!$B$8:$B$207,0))*$K206</f>
        <v>690</v>
      </c>
      <c r="X206" s="126">
        <f>INDEX(关卡产出!D$8:D$207,MATCH(玩家节奏1!$N206,关卡产出!$B$8:$B$207,0))*$K206</f>
        <v>345</v>
      </c>
      <c r="Y206" s="126">
        <f>INDEX(关卡产出!E$8:E$207,MATCH(玩家节奏1!$N206,关卡产出!$B$8:$B$207,0))*$K206</f>
        <v>170</v>
      </c>
      <c r="Z206" s="144">
        <f>INDEX(关卡产出!F$8:F$207,MATCH(玩家节奏1!$N206,关卡产出!$B$8:$B$207,0))*$K206</f>
        <v>8950</v>
      </c>
      <c r="AA206" s="126">
        <f>SUM(W$7:W206)</f>
        <v>68276</v>
      </c>
      <c r="AB206" s="126">
        <f>SUM(X$7:X206)</f>
        <v>33941</v>
      </c>
      <c r="AC206" s="126">
        <f>SUM(Y$7:Y206)</f>
        <v>16407</v>
      </c>
      <c r="AD206" s="126">
        <f>SUM(Z$7:Z206)</f>
        <v>928560</v>
      </c>
      <c r="AE206" s="126">
        <f>INDEX(图鉴!AQ:AQ,MATCH($N206,图鉴!$S:$S,0))*8</f>
        <v>168</v>
      </c>
      <c r="AF206" s="90">
        <f>INDEX(图鉴!AR:AR,MATCH($N206,图鉴!$S:$S,0))*8</f>
        <v>120</v>
      </c>
      <c r="AG206" s="90">
        <f>INDEX(图鉴!AS:AS,MATCH($N206,图鉴!$S:$S,0))*8</f>
        <v>48</v>
      </c>
      <c r="AH206" s="129">
        <f ca="1">INDEX(图鉴!AT:AT,MATCH($N206,图鉴!$S:$S,0))*8</f>
        <v>12640</v>
      </c>
      <c r="AI206" s="128">
        <f>SUM($AE$7:AE206)</f>
        <v>31176</v>
      </c>
      <c r="AJ206" s="90">
        <f>SUM(AF$7:AF206)</f>
        <v>19720</v>
      </c>
      <c r="AK206" s="90">
        <f>SUM(AG$7:AG206)</f>
        <v>7208</v>
      </c>
      <c r="AL206" s="130">
        <f ca="1">SUM(AH$7:AH206)</f>
        <v>1661280</v>
      </c>
      <c r="AM206" s="133">
        <f>IF(M206=0,0,INDEX(关卡产出!$AU$11:$AU$15,MATCH(玩家节奏1!N206,关卡产出!$AW$11:$AW$15,1))*M206)</f>
        <v>12200</v>
      </c>
      <c r="AN206" s="126">
        <f>IF(L206=0,0,$L206*关卡产出!AU$21)</f>
        <v>1000</v>
      </c>
      <c r="AO206" s="90">
        <f>IF(M206=0,0,$L206*关卡产出!AV$21)</f>
        <v>50</v>
      </c>
      <c r="AP206" s="129">
        <f>IF(N206=0,0,$L206*关卡产出!AW$21)</f>
        <v>1</v>
      </c>
      <c r="AQ206" s="138">
        <f>SUM(AN$7:AN206)</f>
        <v>183000</v>
      </c>
      <c r="AR206" s="126">
        <f>SUM(AO$7:AO206)</f>
        <v>9150</v>
      </c>
      <c r="AS206" s="129">
        <f>SUM(AP$7:AP206)</f>
        <v>183</v>
      </c>
      <c r="AT206" s="128">
        <v>500</v>
      </c>
      <c r="AU206" s="129">
        <v>100</v>
      </c>
      <c r="AV206" s="128">
        <f>SUM(AT$7:AT206)</f>
        <v>100000</v>
      </c>
      <c r="AW206" s="90">
        <f>SUM(AU$7:AU206)</f>
        <v>20000</v>
      </c>
      <c r="AY206" s="128">
        <f t="shared" si="240"/>
        <v>33300</v>
      </c>
      <c r="AZ206" s="90">
        <f t="shared" si="241"/>
        <v>9150</v>
      </c>
      <c r="BA206" s="90">
        <f t="shared" si="242"/>
        <v>20000</v>
      </c>
      <c r="BB206" s="90">
        <f t="shared" ca="1" si="290"/>
        <v>20300</v>
      </c>
      <c r="BC206" s="90">
        <f t="shared" ca="1" si="291"/>
        <v>82750</v>
      </c>
      <c r="BD206" s="90"/>
      <c r="BE206" s="90">
        <f t="shared" ca="1" si="243"/>
        <v>82750</v>
      </c>
      <c r="BF206" s="142">
        <f t="shared" ca="1" si="244"/>
        <v>0.40241691842900301</v>
      </c>
      <c r="BG206" s="142">
        <f t="shared" ca="1" si="245"/>
        <v>0.11057401812688822</v>
      </c>
      <c r="BH206" s="142">
        <f t="shared" ca="1" si="246"/>
        <v>0.24169184290030213</v>
      </c>
      <c r="BI206" s="142">
        <f t="shared" ca="1" si="247"/>
        <v>0.24531722054380664</v>
      </c>
      <c r="BJ206" s="143"/>
      <c r="BK206" s="128">
        <f ca="1">INDEX(商城宝箱!$L:$L,MATCH(BC206,商城宝箱!$N:$N,1))</f>
        <v>11</v>
      </c>
      <c r="BL206" s="90">
        <f ca="1">_xlfn.IFNA(INDEX(商城宝箱!T:T,MATCH(玩家节奏1!$BK206,商城宝箱!$L:$L,0)),0)+($BC206-INDEX(商城宝箱!$N:$N,MATCH(玩家节奏1!$BK206,商城宝箱!$L:$L,0)))/$BK$5*INDEX(商城宝箱!E$23:E$42,MATCH(玩家节奏1!$BK206+1,商城宝箱!$C$23:$C$42,0))</f>
        <v>206875</v>
      </c>
      <c r="BM206" s="90">
        <f ca="1">_xlfn.IFNA(INDEX(商城宝箱!U:U,MATCH(玩家节奏1!$BK206,商城宝箱!$L:$L,0)),0)+($BC206-INDEX(商城宝箱!$N:$N,MATCH(玩家节奏1!$BK206,商城宝箱!$L:$L,0)))/$BK$5*INDEX(商城宝箱!F$23:F$42,MATCH(玩家节奏1!$BK206+1,商城宝箱!$C$23:$C$42,0))</f>
        <v>180567.5</v>
      </c>
      <c r="BN206" s="90">
        <f ca="1">_xlfn.IFNA(INDEX(商城宝箱!V:V,MATCH(玩家节奏1!$BK206,商城宝箱!$L:$L,0)),0)+($BC206-INDEX(商城宝箱!$N:$N,MATCH(玩家节奏1!$BK206,商城宝箱!$L:$L,0)))/$BK$5*INDEX(商城宝箱!G$23:G$42,MATCH(玩家节奏1!$BK206+1,商城宝箱!$C$23:$C$42,0))</f>
        <v>97024.5</v>
      </c>
      <c r="BO206" s="90">
        <f ca="1">_xlfn.IFNA(INDEX(商城宝箱!W:W,MATCH(玩家节奏1!$BK206,商城宝箱!$L:$L,0)),0)+($BC206-INDEX(商城宝箱!$N:$N,MATCH(玩家节奏1!$BK206,商城宝箱!$L:$L,0)))/$BK$5*INDEX(商城宝箱!H$23:H$42,MATCH(玩家节奏1!$BK206+1,商城宝箱!$C$23:$C$42,0))</f>
        <v>14326.5</v>
      </c>
      <c r="BQ206" s="128">
        <f t="shared" si="231"/>
        <v>8744800</v>
      </c>
      <c r="BR206" s="90">
        <f t="shared" si="232"/>
        <v>928560</v>
      </c>
      <c r="BS206" s="90">
        <f t="shared" ca="1" si="233"/>
        <v>1661280</v>
      </c>
      <c r="BT206" s="90">
        <f t="shared" si="234"/>
        <v>12200</v>
      </c>
      <c r="BU206" s="90">
        <f t="shared" si="235"/>
        <v>183000</v>
      </c>
      <c r="BV206" s="90">
        <f t="shared" si="236"/>
        <v>100000</v>
      </c>
      <c r="BW206" s="90">
        <f t="shared" ca="1" si="248"/>
        <v>206875</v>
      </c>
      <c r="BX206" s="90">
        <f t="shared" ca="1" si="249"/>
        <v>11836715</v>
      </c>
      <c r="BY206" s="142">
        <f t="shared" ca="1" si="250"/>
        <v>0.73878605677335307</v>
      </c>
      <c r="BZ206" s="142">
        <f t="shared" ca="1" si="251"/>
        <v>7.8447440865138676E-2</v>
      </c>
      <c r="CA206" s="142">
        <f t="shared" ca="1" si="252"/>
        <v>0.14034975075432668</v>
      </c>
      <c r="CB206" s="142">
        <f t="shared" ca="1" si="253"/>
        <v>1.030691370029607E-3</v>
      </c>
      <c r="CC206" s="142">
        <f t="shared" ca="1" si="254"/>
        <v>1.5460370550444106E-2</v>
      </c>
      <c r="CD206" s="142">
        <f t="shared" ca="1" si="255"/>
        <v>8.4482899182754673E-3</v>
      </c>
      <c r="CE206" s="142">
        <f t="shared" ca="1" si="256"/>
        <v>1.7477399768432374E-2</v>
      </c>
      <c r="CG206" s="128">
        <f t="shared" si="257"/>
        <v>174</v>
      </c>
      <c r="CH206" s="90">
        <f ca="1">INDEX(角色升级!$A:$A,MATCH(玩家节奏1!$BX206,角色升级!$J:$J,1))</f>
        <v>773</v>
      </c>
      <c r="CI206" s="90">
        <f ca="1">INDEX(角色升级!$O:$O,MATCH(玩家节奏1!$BX206,角色升级!$J:$J,1))</f>
        <v>49532.131959999992</v>
      </c>
      <c r="CJ206" s="90">
        <f>INDEX(关卡对比!$J:$J,MATCH(玩家节奏1!N206,关卡对比!$A:$A,0))</f>
        <v>73200</v>
      </c>
      <c r="CK206" s="147">
        <f t="shared" ca="1" si="258"/>
        <v>1.4778285751784954</v>
      </c>
      <c r="CL206" s="128">
        <f ca="1">INDEX(角色升级!$P:$P,MATCH(玩家节奏1!$CH206,角色升级!$A:$A,0))</f>
        <v>20300</v>
      </c>
      <c r="CM206" s="90">
        <f ca="1">INDEX(角色升级!Q:Q,MATCH(玩家节奏1!$CH206,角色升级!$A:$A,0))</f>
        <v>1.5</v>
      </c>
      <c r="CO206" s="128">
        <f t="shared" si="259"/>
        <v>59574</v>
      </c>
      <c r="CP206" s="90">
        <f t="shared" si="260"/>
        <v>68276</v>
      </c>
      <c r="CQ206" s="90">
        <f t="shared" si="261"/>
        <v>31176</v>
      </c>
      <c r="CR206" s="90">
        <f t="shared" ca="1" si="262"/>
        <v>180567.5</v>
      </c>
      <c r="CS206" s="90">
        <f t="shared" ca="1" si="263"/>
        <v>339593.5</v>
      </c>
      <c r="CT206" s="142">
        <f t="shared" ca="1" si="264"/>
        <v>0.17542738597764682</v>
      </c>
      <c r="CU206" s="142">
        <f t="shared" ca="1" si="265"/>
        <v>0.20105214027948121</v>
      </c>
      <c r="CV206" s="142">
        <f t="shared" ca="1" si="266"/>
        <v>9.1803877282692389E-2</v>
      </c>
      <c r="CW206" s="142">
        <f t="shared" ca="1" si="267"/>
        <v>0.53171659646017955</v>
      </c>
      <c r="CY206" s="128">
        <f t="shared" si="268"/>
        <v>29788</v>
      </c>
      <c r="CZ206" s="90">
        <f t="shared" si="269"/>
        <v>33941</v>
      </c>
      <c r="DA206" s="90">
        <f t="shared" si="270"/>
        <v>19720</v>
      </c>
      <c r="DB206" s="90">
        <f t="shared" ca="1" si="271"/>
        <v>97024.5</v>
      </c>
      <c r="DC206" s="90">
        <f t="shared" ca="1" si="272"/>
        <v>180473.5</v>
      </c>
      <c r="DD206" s="142">
        <f t="shared" ca="1" si="273"/>
        <v>0.16505470332209438</v>
      </c>
      <c r="DE206" s="142">
        <f t="shared" ca="1" si="274"/>
        <v>0.18806639201877284</v>
      </c>
      <c r="DF206" s="142">
        <f t="shared" ca="1" si="275"/>
        <v>0.10926811969624349</v>
      </c>
      <c r="DG206" s="142">
        <f t="shared" ca="1" si="276"/>
        <v>0.53761078496288928</v>
      </c>
      <c r="DI206" s="128">
        <f t="shared" si="277"/>
        <v>14368</v>
      </c>
      <c r="DJ206" s="90">
        <f t="shared" si="278"/>
        <v>16407</v>
      </c>
      <c r="DK206" s="90">
        <f t="shared" si="279"/>
        <v>7208</v>
      </c>
      <c r="DL206" s="90">
        <f t="shared" ca="1" si="280"/>
        <v>14326.5</v>
      </c>
      <c r="DM206" s="90">
        <f t="shared" ca="1" si="281"/>
        <v>52309.5</v>
      </c>
      <c r="DN206" s="142">
        <f t="shared" ca="1" si="282"/>
        <v>0.27467286057025969</v>
      </c>
      <c r="DO206" s="142">
        <f t="shared" ca="1" si="283"/>
        <v>0.31365239583632037</v>
      </c>
      <c r="DP206" s="142">
        <f t="shared" ca="1" si="284"/>
        <v>0.1377952379586882</v>
      </c>
      <c r="DQ206" s="142">
        <f t="shared" ca="1" si="285"/>
        <v>0.27387950563473173</v>
      </c>
      <c r="DS206" s="128">
        <f t="shared" ca="1" si="286"/>
        <v>339593.5</v>
      </c>
      <c r="DT206" s="90">
        <f t="shared" ca="1" si="287"/>
        <v>180473.5</v>
      </c>
      <c r="DU206" s="90">
        <f t="shared" ca="1" si="288"/>
        <v>52309.5</v>
      </c>
      <c r="DV206" s="90">
        <f t="shared" si="289"/>
        <v>183</v>
      </c>
      <c r="DW206" s="90">
        <f ca="1">_xlfn.IFNA(INDEX(武器升级消耗!$H:$H,MATCH(玩家节奏1!DS206/玩家节奏1!DS$5,武器升级消耗!M:M,1)),0)</f>
        <v>51</v>
      </c>
      <c r="DX206" s="90">
        <f ca="1">_xlfn.IFNA(INDEX(武器升级消耗!$H:$H,MATCH(玩家节奏1!DT206/玩家节奏1!DT$5,武器升级消耗!N:N,1)),0)</f>
        <v>45</v>
      </c>
      <c r="DY206" s="90">
        <f ca="1">_xlfn.IFNA(INDEX(武器升级消耗!$H:$H,MATCH(玩家节奏1!DU206/玩家节奏1!DU$5,武器升级消耗!O:O,1)),0)</f>
        <v>32</v>
      </c>
      <c r="DZ206" s="90">
        <f>_xlfn.IFNA(INDEX(武器升级消耗!$H:$H,MATCH(玩家节奏1!DV206/玩家节奏1!DV$5,武器升级消耗!P:P,1)),0)</f>
        <v>14</v>
      </c>
      <c r="EA206" s="90">
        <f ca="1">_xlfn.IFNA(INDEX(武器升级消耗!$Q:$Q,MATCH(玩家节奏1!DW206,武器升级消耗!$H:$H,0))*2*EA$4,0)</f>
        <v>6.6</v>
      </c>
      <c r="EB206" s="90">
        <f ca="1">_xlfn.IFNA(INDEX(武器升级消耗!$Q:$Q,MATCH(玩家节奏1!DX206,武器升级消耗!$H:$H,0))*2*EB$4,0)</f>
        <v>7.3500000000000005</v>
      </c>
      <c r="EC206" s="90">
        <f ca="1">_xlfn.IFNA(INDEX(武器升级消耗!$Q:$Q,MATCH(玩家节奏1!DY206,武器升级消耗!$H:$H,0))*2*EC$4,1)</f>
        <v>7.9200000000000008</v>
      </c>
      <c r="ED206" s="90">
        <f>_xlfn.IFNA(INDEX(武器升级消耗!$Q:$Q,MATCH(玩家节奏1!DZ206,武器升级消耗!$H:$H,0))*2*ED$4,0)</f>
        <v>5.4</v>
      </c>
    </row>
  </sheetData>
  <mergeCells count="2">
    <mergeCell ref="DW5:DZ5"/>
    <mergeCell ref="EA5:ED5"/>
  </mergeCells>
  <phoneticPr fontId="11" type="noConversion"/>
  <conditionalFormatting sqref="BY1:CE1048576">
    <cfRule type="dataBar" priority="1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{2715B454-E19E-47A5-9531-09231ED84BCA}</x14:id>
        </ext>
      </extLst>
    </cfRule>
  </conditionalFormatting>
  <conditionalFormatting sqref="BF1:BJ5 BF7:BJ1048576 BF6:BH6 BJ6"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{88085A87-BA7B-4DEC-AD0A-6DE09CF22C3E}</x14:id>
        </ext>
      </extLst>
    </cfRule>
  </conditionalFormatting>
  <conditionalFormatting sqref="CK1:CK1048576">
    <cfRule type="colorScale" priority="9">
      <colorScale>
        <cfvo type="min"/>
        <cfvo type="max"/>
        <color rgb="FFFCFCFF"/>
        <color rgb="FF63BE7B"/>
      </colorScale>
    </cfRule>
  </conditionalFormatting>
  <conditionalFormatting sqref="CT1:CW1048576">
    <cfRule type="dataBar" priority="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{0778867E-93BA-4009-8E05-5B5BDF67F56A}</x14:id>
        </ext>
      </extLst>
    </cfRule>
  </conditionalFormatting>
  <conditionalFormatting sqref="DD1:DG1048576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{3B218BAB-EDCF-4093-98BD-CAF54254149C}</x14:id>
        </ext>
      </extLst>
    </cfRule>
  </conditionalFormatting>
  <conditionalFormatting sqref="DN1:DQ1048576">
    <cfRule type="dataBar" priority="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{EC4AC2F2-811C-4400-8208-4CAE49E8D4B2}</x14:id>
        </ext>
      </extLst>
    </cfRule>
  </conditionalFormatting>
  <conditionalFormatting sqref="DR1:DR1048576 EE1:EE1048576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{A7D61A19-5746-45D4-9076-2DE12F256B5E}</x14:id>
        </ext>
      </extLst>
    </cfRule>
  </conditionalFormatting>
  <conditionalFormatting sqref="BD6:BE6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{BA5F474E-37CF-4508-9D26-A5CE67E7BE5B}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715B454-E19E-47A5-9531-09231ED84BC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BY1:CE1048576</xm:sqref>
        </x14:conditionalFormatting>
        <x14:conditionalFormatting xmlns:xm="http://schemas.microsoft.com/office/excel/2006/main">
          <x14:cfRule type="dataBar" id="{88085A87-BA7B-4DEC-AD0A-6DE09CF22C3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BF1:BJ5 BF7:BJ1048576 BF6:BH6 BJ6</xm:sqref>
        </x14:conditionalFormatting>
        <x14:conditionalFormatting xmlns:xm="http://schemas.microsoft.com/office/excel/2006/main">
          <x14:cfRule type="dataBar" id="{0778867E-93BA-4009-8E05-5B5BDF67F5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CT1:CW1048576</xm:sqref>
        </x14:conditionalFormatting>
        <x14:conditionalFormatting xmlns:xm="http://schemas.microsoft.com/office/excel/2006/main">
          <x14:cfRule type="dataBar" id="{3B218BAB-EDCF-4093-98BD-CAF54254149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DD1:DG1048576</xm:sqref>
        </x14:conditionalFormatting>
        <x14:conditionalFormatting xmlns:xm="http://schemas.microsoft.com/office/excel/2006/main">
          <x14:cfRule type="dataBar" id="{EC4AC2F2-811C-4400-8208-4CAE49E8D4B2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DN1:DQ1048576</xm:sqref>
        </x14:conditionalFormatting>
        <x14:conditionalFormatting xmlns:xm="http://schemas.microsoft.com/office/excel/2006/main">
          <x14:cfRule type="dataBar" id="{A7D61A19-5746-45D4-9076-2DE12F256B5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DR1:DR1048576 EE1:EE1048576</xm:sqref>
        </x14:conditionalFormatting>
        <x14:conditionalFormatting xmlns:xm="http://schemas.microsoft.com/office/excel/2006/main">
          <x14:cfRule type="dataBar" id="{BA5F474E-37CF-4508-9D26-A5CE67E7BE5B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BD6:BE6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DAC39-DF5D-42B7-A61A-7F1EF70F133F}">
  <sheetPr>
    <tabColor rgb="FF0070C0"/>
  </sheetPr>
  <dimension ref="A1:FG206"/>
  <sheetViews>
    <sheetView workbookViewId="0">
      <pane xSplit="16" ySplit="6" topLeftCell="Q7" activePane="bottomRight" state="frozen"/>
      <selection pane="topRight" activeCell="Q1" sqref="Q1"/>
      <selection pane="bottomLeft" activeCell="A7" sqref="A7"/>
      <selection pane="bottomRight" activeCell="N10" sqref="N10"/>
    </sheetView>
  </sheetViews>
  <sheetFormatPr defaultColWidth="8.6640625" defaultRowHeight="13.2" x14ac:dyDescent="0.25"/>
  <cols>
    <col min="1" max="1" width="12.5546875" style="89" customWidth="1"/>
    <col min="2" max="3" width="5.109375" style="89" bestFit="1" customWidth="1"/>
    <col min="4" max="4" width="6.6640625" style="89" bestFit="1" customWidth="1"/>
    <col min="5" max="5" width="7.77734375" style="89" bestFit="1" customWidth="1"/>
    <col min="6" max="6" width="8.77734375" style="115" bestFit="1" customWidth="1"/>
    <col min="7" max="8" width="8.77734375" style="89" bestFit="1" customWidth="1"/>
    <col min="9" max="9" width="8.6640625" style="89"/>
    <col min="10" max="10" width="5.77734375" style="115" customWidth="1"/>
    <col min="11" max="11" width="4.44140625" style="89" customWidth="1"/>
    <col min="12" max="12" width="8.77734375" style="89" customWidth="1"/>
    <col min="13" max="13" width="7.77734375" style="89" bestFit="1" customWidth="1"/>
    <col min="14" max="14" width="5.109375" style="89" bestFit="1" customWidth="1"/>
    <col min="15" max="15" width="4.44140625" style="89" bestFit="1" customWidth="1"/>
    <col min="16" max="16" width="4.44140625" style="116" bestFit="1" customWidth="1"/>
    <col min="17" max="17" width="8.5546875" style="89" bestFit="1" customWidth="1"/>
    <col min="18" max="18" width="8.21875" style="89" bestFit="1" customWidth="1"/>
    <col min="19" max="21" width="8.77734375" style="89" bestFit="1" customWidth="1"/>
    <col min="22" max="22" width="5.109375" style="116" bestFit="1" customWidth="1"/>
    <col min="23" max="25" width="8.77734375" style="89" hidden="1" customWidth="1"/>
    <col min="26" max="26" width="8.77734375" style="116" hidden="1" customWidth="1"/>
    <col min="27" max="30" width="8.77734375" style="89" customWidth="1"/>
    <col min="31" max="31" width="8.77734375" style="115" hidden="1" customWidth="1"/>
    <col min="32" max="33" width="8.77734375" style="89" hidden="1" customWidth="1"/>
    <col min="34" max="34" width="5.77734375" style="89" hidden="1" customWidth="1"/>
    <col min="35" max="35" width="7.77734375" style="115" bestFit="1" customWidth="1"/>
    <col min="36" max="37" width="7.77734375" style="89" bestFit="1" customWidth="1"/>
    <col min="38" max="38" width="7.5546875" style="116" bestFit="1" customWidth="1"/>
    <col min="39" max="39" width="14.21875" style="131" customWidth="1"/>
    <col min="40" max="40" width="8.44140625" style="89" hidden="1" customWidth="1"/>
    <col min="41" max="41" width="5" style="89" hidden="1" customWidth="1"/>
    <col min="42" max="42" width="7.77734375" style="89" hidden="1" customWidth="1"/>
    <col min="43" max="43" width="8.6640625" style="115"/>
    <col min="44" max="45" width="8.6640625" style="89"/>
    <col min="46" max="46" width="8.6640625" style="115"/>
    <col min="47" max="47" width="8.6640625" style="89"/>
    <col min="48" max="48" width="8.6640625" style="115"/>
    <col min="49" max="50" width="8.6640625" style="89"/>
    <col min="51" max="51" width="8.6640625" style="115"/>
    <col min="52" max="62" width="8.6640625" style="89"/>
    <col min="63" max="63" width="8.6640625" style="115"/>
    <col min="64" max="68" width="8.6640625" style="89"/>
    <col min="69" max="69" width="8.6640625" style="115"/>
    <col min="70" max="84" width="8.6640625" style="89"/>
    <col min="85" max="85" width="8.6640625" style="115"/>
    <col min="86" max="88" width="10.6640625" style="89" bestFit="1" customWidth="1"/>
    <col min="89" max="89" width="4.6640625" style="145" bestFit="1" customWidth="1"/>
    <col min="90" max="90" width="8.6640625" style="115"/>
    <col min="91" max="91" width="10.6640625" style="89" bestFit="1" customWidth="1"/>
    <col min="92" max="92" width="8.6640625" style="89"/>
    <col min="93" max="93" width="8.6640625" style="115"/>
    <col min="94" max="96" width="10.6640625" style="89" bestFit="1" customWidth="1"/>
    <col min="97" max="102" width="8.6640625" style="89"/>
    <col min="103" max="103" width="8.6640625" style="115"/>
    <col min="104" max="106" width="10.6640625" style="89" bestFit="1" customWidth="1"/>
    <col min="107" max="112" width="8.6640625" style="89"/>
    <col min="113" max="113" width="8.6640625" style="115"/>
    <col min="114" max="116" width="10.6640625" style="89" bestFit="1" customWidth="1"/>
    <col min="117" max="122" width="8.6640625" style="89"/>
    <col min="123" max="123" width="8.33203125" style="115" customWidth="1"/>
    <col min="124" max="124" width="8.77734375" style="89" bestFit="1" customWidth="1"/>
    <col min="125" max="126" width="7.77734375" style="89" bestFit="1" customWidth="1"/>
    <col min="127" max="130" width="4.44140625" style="89" bestFit="1" customWidth="1"/>
    <col min="131" max="134" width="7.77734375" style="89" customWidth="1"/>
    <col min="135" max="135" width="8.6640625" style="89"/>
    <col min="136" max="136" width="8.77734375" style="115" bestFit="1" customWidth="1"/>
    <col min="137" max="137" width="8.77734375" style="89" customWidth="1"/>
    <col min="138" max="139" width="11.21875" style="89" bestFit="1" customWidth="1"/>
    <col min="140" max="143" width="8.77734375" style="89" customWidth="1"/>
    <col min="144" max="144" width="8.6640625" style="89"/>
    <col min="145" max="145" width="10.6640625" style="115" bestFit="1" customWidth="1"/>
    <col min="146" max="147" width="8.6640625" style="89"/>
    <col min="148" max="148" width="9.44140625" style="89" bestFit="1" customWidth="1"/>
    <col min="149" max="149" width="11.21875" style="89" bestFit="1" customWidth="1"/>
    <col min="150" max="16384" width="8.6640625" style="89"/>
  </cols>
  <sheetData>
    <row r="1" spans="1:163" ht="22.8" x14ac:dyDescent="0.4">
      <c r="A1" s="114" t="s">
        <v>340</v>
      </c>
      <c r="F1" s="119" t="s">
        <v>345</v>
      </c>
      <c r="G1" s="89">
        <v>3</v>
      </c>
      <c r="J1" s="134" t="s">
        <v>350</v>
      </c>
      <c r="K1" s="135"/>
      <c r="L1" s="135"/>
      <c r="M1" s="135"/>
      <c r="N1" s="135"/>
      <c r="O1" s="135"/>
      <c r="P1" s="136"/>
      <c r="Q1" s="127" t="s">
        <v>378</v>
      </c>
      <c r="R1" s="135"/>
      <c r="S1" s="135"/>
      <c r="T1" s="135"/>
      <c r="U1" s="135"/>
      <c r="V1" s="136"/>
      <c r="W1" s="127" t="s">
        <v>259</v>
      </c>
      <c r="X1" s="135"/>
      <c r="Y1" s="135"/>
      <c r="Z1" s="136"/>
      <c r="AA1" s="127" t="s">
        <v>380</v>
      </c>
      <c r="AB1" s="135"/>
      <c r="AC1" s="135"/>
      <c r="AD1" s="135"/>
      <c r="AE1" s="180"/>
      <c r="AF1" s="135"/>
      <c r="AG1" s="135"/>
      <c r="AH1" s="135"/>
      <c r="AI1" s="127" t="s">
        <v>419</v>
      </c>
      <c r="AJ1" s="135"/>
      <c r="AK1" s="135"/>
      <c r="AL1" s="136"/>
      <c r="AM1" s="127" t="s">
        <v>240</v>
      </c>
      <c r="AN1" s="135"/>
      <c r="AO1" s="135"/>
      <c r="AP1" s="135"/>
      <c r="AQ1" s="134" t="s">
        <v>372</v>
      </c>
      <c r="AR1" s="135"/>
      <c r="AT1" s="134" t="s">
        <v>376</v>
      </c>
      <c r="AU1" s="134"/>
      <c r="AV1" s="134" t="s">
        <v>377</v>
      </c>
      <c r="AW1" s="134"/>
      <c r="AY1" s="134" t="s">
        <v>252</v>
      </c>
      <c r="BK1" s="134" t="s">
        <v>387</v>
      </c>
      <c r="BQ1" s="134" t="s">
        <v>186</v>
      </c>
      <c r="CG1" s="134" t="s">
        <v>391</v>
      </c>
      <c r="CL1" s="134" t="s">
        <v>397</v>
      </c>
      <c r="CO1" s="134" t="s">
        <v>400</v>
      </c>
      <c r="CY1" s="134" t="s">
        <v>401</v>
      </c>
      <c r="DI1" s="134" t="s">
        <v>402</v>
      </c>
      <c r="DS1" s="134" t="s">
        <v>403</v>
      </c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F1" s="134" t="s">
        <v>472</v>
      </c>
      <c r="EO1" s="134" t="s">
        <v>473</v>
      </c>
      <c r="FD1" s="89" t="s">
        <v>484</v>
      </c>
    </row>
    <row r="2" spans="1:163" ht="15.6" x14ac:dyDescent="0.25">
      <c r="A2" s="117" t="s">
        <v>413</v>
      </c>
      <c r="F2" s="119" t="s">
        <v>344</v>
      </c>
      <c r="G2" s="89">
        <v>30</v>
      </c>
      <c r="AT2" s="115" t="s">
        <v>420</v>
      </c>
    </row>
    <row r="3" spans="1:163" ht="15.6" x14ac:dyDescent="0.25">
      <c r="A3" s="117" t="s">
        <v>414</v>
      </c>
      <c r="F3" s="119" t="s">
        <v>343</v>
      </c>
      <c r="G3" s="89">
        <f>300/8</f>
        <v>37.5</v>
      </c>
      <c r="EC3" s="89">
        <f>EC4/EB4</f>
        <v>1.4666666666666668</v>
      </c>
      <c r="ED3" s="89">
        <f>ED4/EC4</f>
        <v>1.3636363636363635</v>
      </c>
    </row>
    <row r="4" spans="1:163" x14ac:dyDescent="0.25">
      <c r="A4" s="117" t="s">
        <v>416</v>
      </c>
      <c r="G4" s="89" t="s">
        <v>418</v>
      </c>
      <c r="AE4" s="115" t="s">
        <v>421</v>
      </c>
      <c r="EA4" s="89">
        <v>0.6</v>
      </c>
      <c r="EB4" s="89">
        <v>0.75</v>
      </c>
      <c r="EC4" s="89">
        <v>1.1000000000000001</v>
      </c>
      <c r="ED4" s="89">
        <v>1.5</v>
      </c>
      <c r="ET4" s="89" t="s">
        <v>481</v>
      </c>
      <c r="EW4" s="89" t="s">
        <v>408</v>
      </c>
      <c r="EZ4" s="89" t="s">
        <v>437</v>
      </c>
    </row>
    <row r="5" spans="1:163" x14ac:dyDescent="0.25">
      <c r="A5" s="89" t="s">
        <v>415</v>
      </c>
      <c r="F5" s="115" t="s">
        <v>370</v>
      </c>
      <c r="N5" s="89" t="s">
        <v>379</v>
      </c>
      <c r="Z5" s="116" t="s">
        <v>399</v>
      </c>
      <c r="AE5" s="115" t="s">
        <v>422</v>
      </c>
      <c r="AN5" s="89" t="s">
        <v>242</v>
      </c>
      <c r="BB5" s="89" t="s">
        <v>398</v>
      </c>
      <c r="BD5" s="89">
        <v>0.5</v>
      </c>
      <c r="BK5" s="115">
        <v>200</v>
      </c>
      <c r="DS5" s="115">
        <v>3</v>
      </c>
      <c r="DT5" s="89">
        <v>6</v>
      </c>
      <c r="DU5" s="89">
        <v>9</v>
      </c>
      <c r="DV5" s="89">
        <v>2</v>
      </c>
      <c r="DW5" s="192" t="s">
        <v>408</v>
      </c>
      <c r="DX5" s="192"/>
      <c r="DY5" s="192"/>
      <c r="DZ5" s="192"/>
      <c r="EA5" s="193" t="s">
        <v>409</v>
      </c>
      <c r="EB5" s="194"/>
      <c r="EC5" s="194"/>
      <c r="ED5" s="195"/>
      <c r="EF5" s="115" t="s">
        <v>443</v>
      </c>
      <c r="EG5" s="89" t="s">
        <v>446</v>
      </c>
      <c r="EO5" s="115" t="s">
        <v>463</v>
      </c>
      <c r="EP5" s="89" t="s">
        <v>478</v>
      </c>
      <c r="EQ5" s="89" t="s">
        <v>476</v>
      </c>
      <c r="ER5" s="89" t="s">
        <v>477</v>
      </c>
      <c r="ET5" s="89">
        <v>20</v>
      </c>
      <c r="EU5" s="89">
        <v>10</v>
      </c>
      <c r="EV5" s="89">
        <v>5</v>
      </c>
      <c r="FD5" s="89" t="s">
        <v>482</v>
      </c>
      <c r="FE5" s="89" t="s">
        <v>200</v>
      </c>
      <c r="FF5" s="89" t="s">
        <v>231</v>
      </c>
    </row>
    <row r="6" spans="1:163" ht="16.2" x14ac:dyDescent="0.25">
      <c r="A6" s="91" t="s">
        <v>253</v>
      </c>
      <c r="B6" s="91" t="s">
        <v>254</v>
      </c>
      <c r="C6" s="114" t="s">
        <v>255</v>
      </c>
      <c r="D6" s="118" t="s">
        <v>349</v>
      </c>
      <c r="E6" s="118" t="s">
        <v>205</v>
      </c>
      <c r="F6" s="119" t="s">
        <v>348</v>
      </c>
      <c r="G6" s="91" t="s">
        <v>242</v>
      </c>
      <c r="H6" s="91" t="s">
        <v>240</v>
      </c>
      <c r="J6" s="119" t="s">
        <v>346</v>
      </c>
      <c r="K6" s="91" t="s">
        <v>396</v>
      </c>
      <c r="L6" s="91" t="s">
        <v>242</v>
      </c>
      <c r="M6" s="91" t="s">
        <v>240</v>
      </c>
      <c r="N6" s="122" t="s">
        <v>253</v>
      </c>
      <c r="O6" s="122" t="s">
        <v>254</v>
      </c>
      <c r="P6" s="139" t="s">
        <v>255</v>
      </c>
      <c r="Q6" s="121" t="s">
        <v>252</v>
      </c>
      <c r="R6" s="91" t="s">
        <v>186</v>
      </c>
      <c r="S6" s="91" t="s">
        <v>248</v>
      </c>
      <c r="T6" s="91" t="s">
        <v>249</v>
      </c>
      <c r="U6" s="91" t="s">
        <v>250</v>
      </c>
      <c r="V6" s="120" t="s">
        <v>251</v>
      </c>
      <c r="W6" s="110" t="s">
        <v>55</v>
      </c>
      <c r="X6" s="91" t="s">
        <v>249</v>
      </c>
      <c r="Y6" s="91" t="s">
        <v>250</v>
      </c>
      <c r="Z6" s="120" t="s">
        <v>186</v>
      </c>
      <c r="AA6" s="110" t="s">
        <v>55</v>
      </c>
      <c r="AB6" s="91" t="s">
        <v>249</v>
      </c>
      <c r="AC6" s="91" t="s">
        <v>250</v>
      </c>
      <c r="AD6" s="114" t="s">
        <v>186</v>
      </c>
      <c r="AE6" s="119" t="s">
        <v>248</v>
      </c>
      <c r="AF6" s="91" t="s">
        <v>249</v>
      </c>
      <c r="AG6" s="91" t="s">
        <v>250</v>
      </c>
      <c r="AH6" s="114" t="s">
        <v>186</v>
      </c>
      <c r="AI6" s="119" t="s">
        <v>248</v>
      </c>
      <c r="AJ6" s="91" t="s">
        <v>249</v>
      </c>
      <c r="AK6" s="91" t="s">
        <v>250</v>
      </c>
      <c r="AL6" s="120" t="s">
        <v>186</v>
      </c>
      <c r="AM6" s="132" t="s">
        <v>186</v>
      </c>
      <c r="AN6" s="121" t="s">
        <v>186</v>
      </c>
      <c r="AO6" s="91" t="s">
        <v>252</v>
      </c>
      <c r="AP6" s="114" t="s">
        <v>365</v>
      </c>
      <c r="AQ6" s="137" t="s">
        <v>186</v>
      </c>
      <c r="AR6" s="121" t="s">
        <v>252</v>
      </c>
      <c r="AS6" s="114" t="s">
        <v>365</v>
      </c>
      <c r="AT6" s="119" t="s">
        <v>373</v>
      </c>
      <c r="AU6" s="114" t="s">
        <v>374</v>
      </c>
      <c r="AV6" s="119" t="s">
        <v>373</v>
      </c>
      <c r="AW6" s="114" t="s">
        <v>374</v>
      </c>
      <c r="AY6" s="119" t="s">
        <v>381</v>
      </c>
      <c r="AZ6" s="91" t="s">
        <v>242</v>
      </c>
      <c r="BA6" s="91" t="s">
        <v>382</v>
      </c>
      <c r="BB6" s="121" t="s">
        <v>392</v>
      </c>
      <c r="BC6" s="122" t="s">
        <v>383</v>
      </c>
      <c r="BD6" s="91" t="s">
        <v>485</v>
      </c>
      <c r="BE6" s="91" t="s">
        <v>486</v>
      </c>
      <c r="BF6" s="91" t="s">
        <v>381</v>
      </c>
      <c r="BG6" s="91" t="s">
        <v>242</v>
      </c>
      <c r="BH6" s="91" t="s">
        <v>382</v>
      </c>
      <c r="BI6" s="121" t="s">
        <v>392</v>
      </c>
      <c r="BJ6" s="143"/>
      <c r="BK6" s="119" t="s">
        <v>388</v>
      </c>
      <c r="BL6" s="91" t="s">
        <v>186</v>
      </c>
      <c r="BM6" s="91" t="s">
        <v>248</v>
      </c>
      <c r="BN6" s="91" t="s">
        <v>249</v>
      </c>
      <c r="BO6" s="91" t="s">
        <v>250</v>
      </c>
      <c r="BQ6" s="119" t="s">
        <v>384</v>
      </c>
      <c r="BR6" s="91" t="s">
        <v>385</v>
      </c>
      <c r="BS6" s="91" t="s">
        <v>277</v>
      </c>
      <c r="BT6" s="91" t="s">
        <v>240</v>
      </c>
      <c r="BU6" s="91" t="s">
        <v>242</v>
      </c>
      <c r="BV6" s="91" t="s">
        <v>376</v>
      </c>
      <c r="BW6" s="91" t="s">
        <v>386</v>
      </c>
      <c r="BX6" s="92" t="s">
        <v>383</v>
      </c>
      <c r="BY6" s="91" t="s">
        <v>384</v>
      </c>
      <c r="BZ6" s="91" t="s">
        <v>385</v>
      </c>
      <c r="CA6" s="91" t="s">
        <v>277</v>
      </c>
      <c r="CB6" s="91" t="s">
        <v>240</v>
      </c>
      <c r="CC6" s="91" t="s">
        <v>242</v>
      </c>
      <c r="CD6" s="91" t="s">
        <v>376</v>
      </c>
      <c r="CE6" s="91" t="s">
        <v>386</v>
      </c>
      <c r="CG6" s="119" t="s">
        <v>396</v>
      </c>
      <c r="CH6" s="91" t="s">
        <v>392</v>
      </c>
      <c r="CI6" s="91" t="s">
        <v>393</v>
      </c>
      <c r="CJ6" s="91" t="s">
        <v>394</v>
      </c>
      <c r="CK6" s="146" t="s">
        <v>395</v>
      </c>
      <c r="CL6" s="119" t="s">
        <v>335</v>
      </c>
      <c r="CM6" s="91" t="s">
        <v>336</v>
      </c>
      <c r="CO6" s="119" t="s">
        <v>384</v>
      </c>
      <c r="CP6" s="91" t="s">
        <v>385</v>
      </c>
      <c r="CQ6" s="91" t="s">
        <v>277</v>
      </c>
      <c r="CR6" s="91" t="s">
        <v>386</v>
      </c>
      <c r="CS6" s="92" t="s">
        <v>383</v>
      </c>
      <c r="CT6" s="91" t="s">
        <v>384</v>
      </c>
      <c r="CU6" s="91" t="s">
        <v>385</v>
      </c>
      <c r="CV6" s="91" t="s">
        <v>277</v>
      </c>
      <c r="CW6" s="91" t="s">
        <v>386</v>
      </c>
      <c r="CY6" s="119" t="s">
        <v>384</v>
      </c>
      <c r="CZ6" s="91" t="s">
        <v>385</v>
      </c>
      <c r="DA6" s="91" t="s">
        <v>277</v>
      </c>
      <c r="DB6" s="91" t="s">
        <v>386</v>
      </c>
      <c r="DC6" s="92" t="s">
        <v>383</v>
      </c>
      <c r="DD6" s="91" t="s">
        <v>384</v>
      </c>
      <c r="DE6" s="91" t="s">
        <v>385</v>
      </c>
      <c r="DF6" s="91" t="s">
        <v>277</v>
      </c>
      <c r="DG6" s="91" t="s">
        <v>386</v>
      </c>
      <c r="DI6" s="119" t="s">
        <v>384</v>
      </c>
      <c r="DJ6" s="91" t="s">
        <v>385</v>
      </c>
      <c r="DK6" s="91" t="s">
        <v>277</v>
      </c>
      <c r="DL6" s="91" t="s">
        <v>386</v>
      </c>
      <c r="DM6" s="92" t="s">
        <v>383</v>
      </c>
      <c r="DN6" s="91" t="s">
        <v>384</v>
      </c>
      <c r="DO6" s="91" t="s">
        <v>385</v>
      </c>
      <c r="DP6" s="91" t="s">
        <v>277</v>
      </c>
      <c r="DQ6" s="91" t="s">
        <v>386</v>
      </c>
      <c r="DS6" s="119" t="s">
        <v>248</v>
      </c>
      <c r="DT6" s="91" t="s">
        <v>249</v>
      </c>
      <c r="DU6" s="91" t="s">
        <v>250</v>
      </c>
      <c r="DV6" s="114" t="s">
        <v>195</v>
      </c>
      <c r="DW6" s="91" t="s">
        <v>404</v>
      </c>
      <c r="DX6" s="91" t="s">
        <v>405</v>
      </c>
      <c r="DY6" s="91" t="s">
        <v>406</v>
      </c>
      <c r="DZ6" s="91" t="s">
        <v>407</v>
      </c>
      <c r="EA6" s="91" t="s">
        <v>404</v>
      </c>
      <c r="EB6" s="91" t="s">
        <v>405</v>
      </c>
      <c r="EC6" s="91" t="s">
        <v>406</v>
      </c>
      <c r="ED6" s="91" t="s">
        <v>407</v>
      </c>
      <c r="EF6" s="119" t="s">
        <v>366</v>
      </c>
      <c r="EG6" s="91" t="s">
        <v>367</v>
      </c>
      <c r="EH6" s="91" t="s">
        <v>474</v>
      </c>
      <c r="EI6" s="91" t="s">
        <v>475</v>
      </c>
      <c r="EJ6" s="91" t="s">
        <v>470</v>
      </c>
      <c r="EK6" s="91" t="s">
        <v>471</v>
      </c>
      <c r="EL6" s="91" t="s">
        <v>468</v>
      </c>
      <c r="EM6" s="91" t="s">
        <v>469</v>
      </c>
      <c r="EO6" s="119" t="s">
        <v>462</v>
      </c>
      <c r="EP6" s="91" t="s">
        <v>479</v>
      </c>
      <c r="EQ6" s="91" t="s">
        <v>252</v>
      </c>
      <c r="ER6" s="91" t="s">
        <v>262</v>
      </c>
      <c r="ES6" s="91" t="s">
        <v>480</v>
      </c>
      <c r="ET6" s="182" t="s">
        <v>233</v>
      </c>
      <c r="EU6" s="182" t="s">
        <v>234</v>
      </c>
      <c r="EV6" s="182" t="s">
        <v>235</v>
      </c>
      <c r="EW6" s="182" t="s">
        <v>233</v>
      </c>
      <c r="EX6" s="182" t="s">
        <v>234</v>
      </c>
      <c r="EY6" s="182" t="s">
        <v>235</v>
      </c>
      <c r="EZ6" s="182" t="s">
        <v>233</v>
      </c>
      <c r="FA6" s="182" t="s">
        <v>234</v>
      </c>
      <c r="FB6" s="182" t="s">
        <v>235</v>
      </c>
      <c r="FD6" s="91" t="s">
        <v>406</v>
      </c>
      <c r="FE6" s="91" t="s">
        <v>254</v>
      </c>
      <c r="FF6" s="91" t="s">
        <v>235</v>
      </c>
      <c r="FG6" s="91" t="s">
        <v>483</v>
      </c>
    </row>
    <row r="7" spans="1:163" x14ac:dyDescent="0.25">
      <c r="A7" s="123">
        <v>1</v>
      </c>
      <c r="B7" s="123"/>
      <c r="C7" s="124"/>
      <c r="D7" s="125">
        <f>A7*E7+B7*E7+C7*E7</f>
        <v>1</v>
      </c>
      <c r="E7" s="125">
        <v>1</v>
      </c>
      <c r="F7" s="128">
        <v>30</v>
      </c>
      <c r="G7" s="90">
        <v>0</v>
      </c>
      <c r="H7" s="90">
        <v>0</v>
      </c>
      <c r="J7" s="128">
        <v>1</v>
      </c>
      <c r="K7" s="90">
        <v>10</v>
      </c>
      <c r="L7" s="90">
        <v>0</v>
      </c>
      <c r="M7" s="90">
        <v>0</v>
      </c>
      <c r="N7" s="140">
        <f>INDEX($A:$A,MATCH(10,$D:$D,1))</f>
        <v>7</v>
      </c>
      <c r="O7" s="140">
        <v>0</v>
      </c>
      <c r="P7" s="141">
        <v>0</v>
      </c>
      <c r="Q7" s="126">
        <f>_xlfn.MAXIFS(关卡产出!X:X,关卡产出!$A:$A,玩家节奏2!$N$6,关卡产出!$B:$B,玩家节奏2!$N7)+_xlfn.MAXIFS(关卡产出!X:X,关卡产出!$A:$A,玩家节奏2!$O$6,关卡产出!$B:$B,玩家节奏2!$O7)+_xlfn.MAXIFS(关卡产出!X:X,关卡产出!$A:$A,玩家节奏2!$P$6,关卡产出!$B:$B,玩家节奏2!$P7)</f>
        <v>700</v>
      </c>
      <c r="R7" s="90">
        <f>_xlfn.MAXIFS(关卡产出!Y:Y,关卡产出!$A:$A,玩家节奏2!$N$6,关卡产出!$B:$B,玩家节奏2!$N7)+_xlfn.MAXIFS(关卡产出!Y:Y,关卡产出!$A:$A,玩家节奏2!$O$6,关卡产出!$B:$B,玩家节奏2!$O7)+_xlfn.MAXIFS(关卡产出!Y:Y,关卡产出!$A:$A,玩家节奏2!$P$6,关卡产出!$B:$B,玩家节奏2!$P7)</f>
        <v>10500</v>
      </c>
      <c r="S7" s="90">
        <f>_xlfn.MAXIFS(关卡产出!Z:Z,关卡产出!$A:$A,玩家节奏2!$N$6,关卡产出!$B:$B,玩家节奏2!$N7)+_xlfn.MAXIFS(关卡产出!Z:Z,关卡产出!$A:$A,玩家节奏2!$O$6,关卡产出!$B:$B,玩家节奏2!$O7)+_xlfn.MAXIFS(关卡产出!Z:Z,关卡产出!$A:$A,玩家节奏2!$P$6,关卡产出!$B:$B,玩家节奏2!$P7)</f>
        <v>122</v>
      </c>
      <c r="T7" s="90">
        <f>_xlfn.MAXIFS(关卡产出!AA:AA,关卡产出!$A:$A,玩家节奏2!$N$6,关卡产出!$B:$B,玩家节奏2!$N7)+_xlfn.MAXIFS(关卡产出!AA:AA,关卡产出!$A:$A,玩家节奏2!$O$6,关卡产出!$B:$B,玩家节奏2!$O7)+_xlfn.MAXIFS(关卡产出!AA:AA,关卡产出!$A:$A,玩家节奏2!$P$6,关卡产出!$B:$B,玩家节奏2!$P7)</f>
        <v>62</v>
      </c>
      <c r="U7" s="90">
        <f>_xlfn.MAXIFS(关卡产出!AB:AB,关卡产出!$A:$A,玩家节奏2!$N$6,关卡产出!$B:$B,玩家节奏2!$N7)+_xlfn.MAXIFS(关卡产出!AB:AB,关卡产出!$A:$A,玩家节奏2!$O$6,关卡产出!$B:$B,玩家节奏2!$O7)+_xlfn.MAXIFS(关卡产出!AB:AB,关卡产出!$A:$A,玩家节奏2!$P$6,关卡产出!$B:$B,玩家节奏2!$P7)</f>
        <v>6</v>
      </c>
      <c r="V7" s="130">
        <f>_xlfn.MAXIFS(关卡产出!AC:AC,关卡产出!$A:$A,玩家节奏2!$N$6,关卡产出!$B:$B,玩家节奏2!$N7)+_xlfn.MAXIFS(关卡产出!AC:AC,关卡产出!$A:$A,玩家节奏2!$O$6,关卡产出!$B:$B,玩家节奏2!$O7)+_xlfn.MAXIFS(关卡产出!AC:AC,关卡产出!$A:$A,玩家节奏2!$P$6,关卡产出!$B:$B,玩家节奏2!$P7)</f>
        <v>42</v>
      </c>
      <c r="W7" s="126">
        <f>INDEX(关卡产出!C$8:C$207,MATCH(玩家节奏2!$N7,关卡产出!$B$8:$B$207,0))*$K7</f>
        <v>70</v>
      </c>
      <c r="X7" s="126">
        <f>INDEX(关卡产出!D$8:D$207,MATCH(玩家节奏2!$N7,关卡产出!$B$8:$B$207,0))*$K7</f>
        <v>30</v>
      </c>
      <c r="Y7" s="126">
        <f>INDEX(关卡产出!E$8:E$207,MATCH(玩家节奏2!$N7,关卡产出!$B$8:$B$207,0))*$K7</f>
        <v>10</v>
      </c>
      <c r="Z7" s="144">
        <f>INDEX(关卡产出!F$8:F$207,MATCH(玩家节奏2!$N7,关卡产出!$B$8:$B$207,0))*$K7</f>
        <v>1300</v>
      </c>
      <c r="AA7" s="126">
        <f>SUM(W$7:W7)</f>
        <v>70</v>
      </c>
      <c r="AB7" s="126">
        <f>SUM(X$7:X7)</f>
        <v>30</v>
      </c>
      <c r="AC7" s="126">
        <f>SUM(Y$7:Y7)</f>
        <v>10</v>
      </c>
      <c r="AD7" s="177">
        <f>SUM(Z$7:Z7)</f>
        <v>1300</v>
      </c>
      <c r="AE7" s="128">
        <f>INDEX(图鉴!AQ:AQ,MATCH($N7,图鉴!$S:$S,0))*34</f>
        <v>170</v>
      </c>
      <c r="AF7" s="90">
        <f>INDEX(图鉴!AR:AR,MATCH($N7,图鉴!$S:$S,0))*34</f>
        <v>34</v>
      </c>
      <c r="AG7" s="90">
        <f>INDEX(图鉴!AS:AS,MATCH($N7,图鉴!$S:$S,0))*34</f>
        <v>0</v>
      </c>
      <c r="AH7" s="129">
        <f ca="1">INDEX(图鉴!AT:AT,MATCH($N7,图鉴!$S:$S,0))*34</f>
        <v>4352</v>
      </c>
      <c r="AI7" s="128">
        <f>SUM(AE$7:AE7)</f>
        <v>170</v>
      </c>
      <c r="AJ7" s="90">
        <f>SUM(AF$7:AF7)</f>
        <v>34</v>
      </c>
      <c r="AK7" s="90">
        <f>SUM(AG$7:AG7)</f>
        <v>0</v>
      </c>
      <c r="AL7" s="130">
        <f ca="1">SUM(AH$7:AH7)</f>
        <v>4352</v>
      </c>
      <c r="AM7" s="133">
        <f>IF(M7=0,0,INDEX(关卡产出!$AU$11:$AU$15,MATCH(玩家节奏2!N7,关卡产出!$AW$11:$AW$15,1))*M7)</f>
        <v>0</v>
      </c>
      <c r="AN7" s="126">
        <f>IF(L7=0,0,$L7*关卡产出!AU$21)</f>
        <v>0</v>
      </c>
      <c r="AO7" s="90">
        <f>IF(M7=0,0,$L7*关卡产出!AV$21)</f>
        <v>0</v>
      </c>
      <c r="AP7" s="129">
        <f>IF(N7=0,0,$L7*关卡产出!AW$21)</f>
        <v>0</v>
      </c>
      <c r="AQ7" s="138">
        <f>SUM(AN$7:AN7)</f>
        <v>0</v>
      </c>
      <c r="AR7" s="126">
        <f>SUM(AO$7:AO7)</f>
        <v>0</v>
      </c>
      <c r="AS7" s="129">
        <f>SUM(AP$7:AP7)</f>
        <v>0</v>
      </c>
      <c r="AT7" s="128">
        <v>3000</v>
      </c>
      <c r="AU7" s="129">
        <v>600</v>
      </c>
      <c r="AV7" s="128">
        <f>SUM(AT$7:AT7)</f>
        <v>3000</v>
      </c>
      <c r="AW7" s="90">
        <f>SUM(AU$7:AU7)</f>
        <v>600</v>
      </c>
      <c r="AY7" s="128">
        <f>Q7</f>
        <v>700</v>
      </c>
      <c r="AZ7" s="90">
        <f>AR7</f>
        <v>0</v>
      </c>
      <c r="BA7" s="90">
        <f>AW7</f>
        <v>600</v>
      </c>
      <c r="BB7" s="90">
        <v>0</v>
      </c>
      <c r="BC7" s="90">
        <f>SUM(AY7:BB7)</f>
        <v>1300</v>
      </c>
      <c r="BD7" s="90"/>
      <c r="BE7" s="90">
        <f>SUM(AY7:BB7)</f>
        <v>1300</v>
      </c>
      <c r="BF7" s="142">
        <f t="shared" ref="BF7:BF38" si="0">AY7/$BC7</f>
        <v>0.53846153846153844</v>
      </c>
      <c r="BG7" s="142">
        <f t="shared" ref="BG7:BG38" si="1">AZ7/$BC7</f>
        <v>0</v>
      </c>
      <c r="BH7" s="142">
        <f t="shared" ref="BH7:BH38" si="2">BA7/$BC7</f>
        <v>0.46153846153846156</v>
      </c>
      <c r="BI7" s="142">
        <f t="shared" ref="BI7:BI38" si="3">BB7/$BC7</f>
        <v>0</v>
      </c>
      <c r="BJ7" s="143"/>
      <c r="BK7" s="128">
        <f>INDEX(商城宝箱!$L:$L,MATCH(BC7,商城宝箱!$N:$N,1))</f>
        <v>1</v>
      </c>
      <c r="BL7" s="90">
        <f>_xlfn.IFNA(INDEX(商城宝箱!T:T,MATCH(玩家节奏2!$BK7,商城宝箱!$L:$L,0)),0)+($BC7-INDEX(商城宝箱!$N:$N,MATCH(玩家节奏2!$BK7,商城宝箱!$L:$L,0)))/$BK$5*INDEX(商城宝箱!E$23:E$42,MATCH(玩家节奏2!$BK7+1,商城宝箱!$C$23:$C$42,0))</f>
        <v>3250</v>
      </c>
      <c r="BM7" s="90">
        <f>_xlfn.IFNA(INDEX(商城宝箱!U:U,MATCH(玩家节奏2!$BK7,商城宝箱!$L:$L,0)),0)+($BC7-INDEX(商城宝箱!$N:$N,MATCH(玩家节奏2!$BK7,商城宝箱!$L:$L,0)))/$BK$5*INDEX(商城宝箱!F$23:F$42,MATCH(玩家节奏2!$BK7+1,商城宝箱!$C$23:$C$42,0))</f>
        <v>323</v>
      </c>
      <c r="BN7" s="90">
        <f>_xlfn.IFNA(INDEX(商城宝箱!V:V,MATCH(玩家节奏2!$BK7,商城宝箱!$L:$L,0)),0)+($BC7-INDEX(商城宝箱!$N:$N,MATCH(玩家节奏2!$BK7,商城宝箱!$L:$L,0)))/$BK$5*INDEX(商城宝箱!G$23:G$42,MATCH(玩家节奏2!$BK7+1,商城宝箱!$C$23:$C$42,0))</f>
        <v>69</v>
      </c>
      <c r="BO7" s="90">
        <f>_xlfn.IFNA(INDEX(商城宝箱!W:W,MATCH(玩家节奏2!$BK7,商城宝箱!$L:$L,0)),0)+($BC7-INDEX(商城宝箱!$N:$N,MATCH(玩家节奏2!$BK7,商城宝箱!$L:$L,0)))/$BK$5*INDEX(商城宝箱!H$23:H$42,MATCH(玩家节奏2!$BK7+1,商城宝箱!$C$23:$C$42,0))</f>
        <v>0</v>
      </c>
      <c r="BQ7" s="128">
        <f t="shared" ref="BQ7:BQ70" si="4">R7</f>
        <v>10500</v>
      </c>
      <c r="BR7" s="90">
        <f t="shared" ref="BR7:BR70" si="5">AD7</f>
        <v>1300</v>
      </c>
      <c r="BS7" s="90">
        <f t="shared" ref="BS7:BS38" ca="1" si="6">AL7</f>
        <v>4352</v>
      </c>
      <c r="BT7" s="90">
        <f t="shared" ref="BT7:BT38" si="7">AM7</f>
        <v>0</v>
      </c>
      <c r="BU7" s="90">
        <f t="shared" ref="BU7:BU70" si="8">AQ7</f>
        <v>0</v>
      </c>
      <c r="BV7" s="90">
        <f t="shared" ref="BV7:BV70" si="9">AV7</f>
        <v>3000</v>
      </c>
      <c r="BW7" s="90">
        <f>BL7</f>
        <v>3250</v>
      </c>
      <c r="BX7" s="90">
        <f ca="1">SUM(BQ7:BW7)</f>
        <v>22402</v>
      </c>
      <c r="BY7" s="142">
        <f ca="1">BQ7/$BX7</f>
        <v>0.46870815105794128</v>
      </c>
      <c r="BZ7" s="142">
        <f t="shared" ref="BZ7:CE22" ca="1" si="10">BR7/$BX7</f>
        <v>5.8030532988126063E-2</v>
      </c>
      <c r="CA7" s="142">
        <f t="shared" ca="1" si="10"/>
        <v>0.19426836889563431</v>
      </c>
      <c r="CB7" s="142">
        <f t="shared" ca="1" si="10"/>
        <v>0</v>
      </c>
      <c r="CC7" s="142">
        <f t="shared" ca="1" si="10"/>
        <v>0</v>
      </c>
      <c r="CD7" s="142">
        <f t="shared" ca="1" si="10"/>
        <v>0.13391661458798321</v>
      </c>
      <c r="CE7" s="142">
        <f t="shared" ca="1" si="10"/>
        <v>0.14507633247031515</v>
      </c>
      <c r="CG7" s="128">
        <f>N7</f>
        <v>7</v>
      </c>
      <c r="CH7" s="90">
        <f ca="1">INDEX(角色升级!$A:$A,MATCH(玩家节奏2!$BX7,角色升级!$J:$J,1))</f>
        <v>39</v>
      </c>
      <c r="CI7" s="90">
        <f ca="1">INDEX(角色升级!$O:$O,MATCH(玩家节奏2!$BX7,角色升级!$J:$J,1))</f>
        <v>364.87457999999992</v>
      </c>
      <c r="CJ7" s="90">
        <f>INDEX(关卡对比!$J:$J,MATCH(玩家节奏2!N7,关卡对比!$A:$A,0))</f>
        <v>350</v>
      </c>
      <c r="CK7" s="147">
        <f ca="1">CJ7/CI7</f>
        <v>0.95923371806279323</v>
      </c>
      <c r="CL7" s="128">
        <f ca="1">INDEX(角色升级!P:P,MATCH(玩家节奏2!$CH7,角色升级!$A:$A,0))</f>
        <v>0</v>
      </c>
      <c r="CM7" s="90">
        <f ca="1">INDEX(角色升级!Q:Q,MATCH(玩家节奏2!$CH7,角色升级!$A:$A,0))</f>
        <v>0</v>
      </c>
      <c r="CO7" s="128">
        <f>S7</f>
        <v>122</v>
      </c>
      <c r="CP7" s="90">
        <f>AA7</f>
        <v>70</v>
      </c>
      <c r="CQ7" s="90">
        <f>AI7</f>
        <v>170</v>
      </c>
      <c r="CR7" s="90">
        <f>BM7</f>
        <v>323</v>
      </c>
      <c r="CS7" s="90">
        <f>SUM(CO7:CR7)</f>
        <v>685</v>
      </c>
      <c r="CT7" s="142">
        <f>CO7/$CS7</f>
        <v>0.17810218978102191</v>
      </c>
      <c r="CU7" s="142">
        <f t="shared" ref="CU7:CW22" si="11">CP7/$CS7</f>
        <v>0.10218978102189781</v>
      </c>
      <c r="CV7" s="142">
        <f t="shared" si="11"/>
        <v>0.24817518248175183</v>
      </c>
      <c r="CW7" s="142">
        <f t="shared" si="11"/>
        <v>0.47153284671532847</v>
      </c>
      <c r="CY7" s="128">
        <f>T7</f>
        <v>62</v>
      </c>
      <c r="CZ7" s="90">
        <f>AB7</f>
        <v>30</v>
      </c>
      <c r="DA7" s="90">
        <f>AJ7</f>
        <v>34</v>
      </c>
      <c r="DB7" s="90">
        <f>BN7</f>
        <v>69</v>
      </c>
      <c r="DC7" s="90">
        <f>SUM(CY7:DB7)</f>
        <v>195</v>
      </c>
      <c r="DD7" s="142">
        <f>CY7/$DC7</f>
        <v>0.31794871794871793</v>
      </c>
      <c r="DE7" s="142">
        <f t="shared" ref="DE7:DG22" si="12">CZ7/$DC7</f>
        <v>0.15384615384615385</v>
      </c>
      <c r="DF7" s="142">
        <f t="shared" si="12"/>
        <v>0.17435897435897435</v>
      </c>
      <c r="DG7" s="142">
        <f t="shared" si="12"/>
        <v>0.35384615384615387</v>
      </c>
      <c r="DI7" s="128">
        <f>U7</f>
        <v>6</v>
      </c>
      <c r="DJ7" s="90">
        <f>AC7</f>
        <v>10</v>
      </c>
      <c r="DK7" s="90">
        <f>AK7</f>
        <v>0</v>
      </c>
      <c r="DL7" s="90">
        <f>BO7</f>
        <v>0</v>
      </c>
      <c r="DM7" s="90">
        <f>SUM(DI7:DL7)</f>
        <v>16</v>
      </c>
      <c r="DN7" s="142">
        <f>DI7/$DM7</f>
        <v>0.375</v>
      </c>
      <c r="DO7" s="142">
        <f t="shared" ref="DO7:DQ22" si="13">DJ7/$DM7</f>
        <v>0.625</v>
      </c>
      <c r="DP7" s="142">
        <f t="shared" si="13"/>
        <v>0</v>
      </c>
      <c r="DQ7" s="142">
        <f t="shared" si="13"/>
        <v>0</v>
      </c>
      <c r="DS7" s="128">
        <f>CS7</f>
        <v>685</v>
      </c>
      <c r="DT7" s="90">
        <f>DC7</f>
        <v>195</v>
      </c>
      <c r="DU7" s="90">
        <f>DM7</f>
        <v>16</v>
      </c>
      <c r="DV7" s="90">
        <f>AS7</f>
        <v>0</v>
      </c>
      <c r="DW7" s="176">
        <f>_xlfn.IFNA(INDEX(武器升级消耗!$H:$H,MATCH(玩家节奏2!DS7/玩家节奏2!DS$5,武器升级消耗!M:M,1)),0)</f>
        <v>4</v>
      </c>
      <c r="DX7" s="176">
        <f>_xlfn.IFNA(INDEX(武器升级消耗!$H:$H,MATCH(玩家节奏2!DT7/玩家节奏2!DT$5,武器升级消耗!N:N,1)),0)</f>
        <v>3</v>
      </c>
      <c r="DY7" s="176">
        <f>_xlfn.IFNA(INDEX(武器升级消耗!$H:$H,MATCH(玩家节奏2!DU7/玩家节奏2!DU$5,武器升级消耗!O:O,1)),0)</f>
        <v>0</v>
      </c>
      <c r="DZ7" s="176">
        <f>_xlfn.IFNA(INDEX(武器升级消耗!$H:$H,MATCH(玩家节奏2!DV7/玩家节奏2!DV$5,武器升级消耗!P:P,1)),0)</f>
        <v>0</v>
      </c>
      <c r="EA7" s="90">
        <f>_xlfn.IFNA(INDEX(武器升级消耗!$Q:$Q,MATCH(玩家节奏2!DW7,武器升级消耗!$H:$H,0))*2*EA$4,0)</f>
        <v>0.96</v>
      </c>
      <c r="EB7" s="90">
        <f>_xlfn.IFNA(INDEX(武器升级消耗!$Q:$Q,MATCH(玩家节奏2!DX7,武器升级消耗!$H:$H,0))*2*EB$4,0)</f>
        <v>1.0499999999999998</v>
      </c>
      <c r="EC7" s="90">
        <f>_xlfn.IFNA(INDEX(武器升级消耗!$Q:$Q,MATCH(玩家节奏2!DY7,武器升级消耗!$H:$H,0))*2*EC$4,0)</f>
        <v>0</v>
      </c>
      <c r="ED7" s="90">
        <f>_xlfn.IFNA(INDEX(武器升级消耗!$Q:$Q,MATCH(玩家节奏2!DZ7,武器升级消耗!$H:$H,0))*2*ED$4,0)</f>
        <v>0</v>
      </c>
      <c r="EF7" s="128">
        <f t="shared" ref="EF7:EF38" si="14">O7</f>
        <v>0</v>
      </c>
      <c r="EG7" s="90">
        <f t="shared" ref="EG7:EG38" si="15">P7</f>
        <v>0</v>
      </c>
      <c r="EH7" s="90">
        <v>3</v>
      </c>
      <c r="EI7" s="90">
        <v>3</v>
      </c>
      <c r="EJ7" s="90">
        <f>_xlfn.IFNA(INDEX(皮肤宠物!$J$4:$J$13,MATCH(EF7+EH7,皮肤宠物!$L$4:$L$13,1)),0)</f>
        <v>0</v>
      </c>
      <c r="EK7" s="90">
        <f>_xlfn.IFNA(INDEX(皮肤宠物!$J$4:$J$13,MATCH(EG7+EI7,皮肤宠物!$L$4:$L$13,1)),0)</f>
        <v>0</v>
      </c>
      <c r="EL7" s="90">
        <f>_xlfn.IFNA(INDEX(皮肤宠物!$N$4:$N$13,MATCH(EF7+EH7,皮肤宠物!$L$4:$L$13,1)),1)</f>
        <v>1</v>
      </c>
      <c r="EM7" s="90">
        <f>_xlfn.IFNA(INDEX(皮肤宠物!$N$4:$N$13,MATCH(EG7+EI7,皮肤宠物!$L$4:$L$13,1)),1)</f>
        <v>1</v>
      </c>
      <c r="EO7" s="128">
        <v>3</v>
      </c>
      <c r="EP7" s="90">
        <v>1</v>
      </c>
      <c r="EQ7" s="90">
        <f>BD7</f>
        <v>0</v>
      </c>
      <c r="ER7" s="90">
        <f t="shared" ref="ER7:ER38" si="16">P7</f>
        <v>0</v>
      </c>
      <c r="ES7" s="90">
        <f>ER7+EQ7/100+EP7</f>
        <v>1</v>
      </c>
      <c r="ET7" s="90">
        <f>$ES7*ET$5*皮肤宠物!$J$75/4</f>
        <v>3.3010000000000002</v>
      </c>
      <c r="EU7" s="90">
        <f>$ES7*EU$5*皮肤宠物!$J$76/4</f>
        <v>0.55100000000000005</v>
      </c>
      <c r="EV7" s="90">
        <f>$ES7*EV$5*皮肤宠物!$J$77/4</f>
        <v>0.14924999999999999</v>
      </c>
      <c r="EW7" s="90">
        <f>_xlfn.IFNA(INDEX(皮肤宠物!$H$18:$H$67,MATCH(ET7,皮肤宠物!L$18:L$67,1)),0)</f>
        <v>0</v>
      </c>
      <c r="EX7" s="90">
        <f>_xlfn.IFNA(INDEX(皮肤宠物!$H$18:$H$67,MATCH(EU7,皮肤宠物!M$18:M$67,1)),0)</f>
        <v>0</v>
      </c>
      <c r="EY7" s="90">
        <f>_xlfn.IFNA(INDEX(皮肤宠物!$H$18:$H$67,MATCH(EV7,皮肤宠物!N$18:N$67,1)),0)</f>
        <v>0</v>
      </c>
      <c r="EZ7" s="90">
        <f>_xlfn.IFNA(INDEX(皮肤宠物!C$18:C$67,MATCH(EW7,皮肤宠物!$A$18:$A$67,0))+1,1)</f>
        <v>1</v>
      </c>
      <c r="FA7" s="90">
        <f>_xlfn.IFNA(INDEX(皮肤宠物!D$18:D$67,MATCH(EX7,皮肤宠物!$A$18:$A$67,0))+1,1)</f>
        <v>1</v>
      </c>
      <c r="FB7" s="90">
        <f>_xlfn.IFNA(INDEX(皮肤宠物!E$18:E$67,MATCH(EY7,皮肤宠物!$A$18:$A$67,0))+1,1)</f>
        <v>1</v>
      </c>
      <c r="FD7" s="90">
        <f>EC7</f>
        <v>0</v>
      </c>
      <c r="FE7" s="90">
        <f>EL7</f>
        <v>1</v>
      </c>
      <c r="FF7" s="90">
        <f>FB7</f>
        <v>1</v>
      </c>
      <c r="FG7" s="90">
        <f>FF7*FE7*FD7</f>
        <v>0</v>
      </c>
    </row>
    <row r="8" spans="1:163" x14ac:dyDescent="0.25">
      <c r="A8" s="123">
        <v>2</v>
      </c>
      <c r="B8" s="123"/>
      <c r="C8" s="124"/>
      <c r="D8" s="125">
        <v>2.5</v>
      </c>
      <c r="E8" s="125">
        <v>1.5</v>
      </c>
      <c r="F8" s="128">
        <v>30</v>
      </c>
      <c r="G8" s="90">
        <v>0</v>
      </c>
      <c r="H8" s="90">
        <v>0</v>
      </c>
      <c r="J8" s="128">
        <v>2</v>
      </c>
      <c r="K8" s="90">
        <f t="shared" ref="K8:K71" si="17">INDEX($F:$F,MATCH(N7,$A:$A,0))</f>
        <v>30</v>
      </c>
      <c r="L8" s="90">
        <f t="shared" ref="L8:L71" si="18">INDEX($G:$G,MATCH(N7,$A:$A,0))</f>
        <v>0</v>
      </c>
      <c r="M8" s="90">
        <f t="shared" ref="M8:M71" si="19">INDEX($H:$H,MATCH(N7,$A:$A,0))</f>
        <v>0</v>
      </c>
      <c r="N8" s="140">
        <f>INDEX($A:$A,MATCH(SUM($K$7:K8),$D:$D,1))</f>
        <v>16</v>
      </c>
      <c r="O8" s="140">
        <v>0</v>
      </c>
      <c r="P8" s="141">
        <v>0</v>
      </c>
      <c r="Q8" s="126">
        <f>_xlfn.MAXIFS(关卡产出!X:X,关卡产出!$A:$A,玩家节奏2!$N$6,关卡产出!$B:$B,玩家节奏2!$N8)+_xlfn.MAXIFS(关卡产出!X:X,关卡产出!$A:$A,玩家节奏2!$O$6,关卡产出!$B:$B,玩家节奏2!$O8)+_xlfn.MAXIFS(关卡产出!X:X,关卡产出!$A:$A,玩家节奏2!$P$6,关卡产出!$B:$B,玩家节奏2!$P8)</f>
        <v>1900</v>
      </c>
      <c r="R8" s="90">
        <f>_xlfn.MAXIFS(关卡产出!Y:Y,关卡产出!$A:$A,玩家节奏2!$N$6,关卡产出!$B:$B,玩家节奏2!$N8)+_xlfn.MAXIFS(关卡产出!Y:Y,关卡产出!$A:$A,玩家节奏2!$O$6,关卡产出!$B:$B,玩家节奏2!$O8)+_xlfn.MAXIFS(关卡产出!Y:Y,关卡产出!$A:$A,玩家节奏2!$P$6,关卡产出!$B:$B,玩家节奏2!$P8)</f>
        <v>54800</v>
      </c>
      <c r="S8" s="90">
        <f>_xlfn.MAXIFS(关卡产出!Z:Z,关卡产出!$A:$A,玩家节奏2!$N$6,关卡产出!$B:$B,玩家节奏2!$N8)+_xlfn.MAXIFS(关卡产出!Z:Z,关卡产出!$A:$A,玩家节奏2!$O$6,关卡产出!$B:$B,玩家节奏2!$O8)+_xlfn.MAXIFS(关卡产出!Z:Z,关卡产出!$A:$A,玩家节奏2!$P$6,关卡产出!$B:$B,玩家节奏2!$P8)</f>
        <v>482</v>
      </c>
      <c r="T8" s="90">
        <f>_xlfn.MAXIFS(关卡产出!AA:AA,关卡产出!$A:$A,玩家节奏2!$N$6,关卡产出!$B:$B,玩家节奏2!$N8)+_xlfn.MAXIFS(关卡产出!AA:AA,关卡产出!$A:$A,玩家节奏2!$O$6,关卡产出!$B:$B,玩家节奏2!$O8)+_xlfn.MAXIFS(关卡产出!AA:AA,关卡产出!$A:$A,玩家节奏2!$P$6,关卡产出!$B:$B,玩家节奏2!$P8)</f>
        <v>242</v>
      </c>
      <c r="U8" s="90">
        <f>_xlfn.MAXIFS(关卡产出!AB:AB,关卡产出!$A:$A,玩家节奏2!$N$6,关卡产出!$B:$B,玩家节奏2!$N8)+_xlfn.MAXIFS(关卡产出!AB:AB,关卡产出!$A:$A,玩家节奏2!$O$6,关卡产出!$B:$B,玩家节奏2!$O8)+_xlfn.MAXIFS(关卡产出!AB:AB,关卡产出!$A:$A,玩家节奏2!$P$6,关卡产出!$B:$B,玩家节奏2!$P8)</f>
        <v>69</v>
      </c>
      <c r="V8" s="130">
        <f>_xlfn.MAXIFS(关卡产出!AC:AC,关卡产出!$A:$A,玩家节奏2!$N$6,关卡产出!$B:$B,玩家节奏2!$N8)+_xlfn.MAXIFS(关卡产出!AC:AC,关卡产出!$A:$A,玩家节奏2!$O$6,关卡产出!$B:$B,玩家节奏2!$O8)+_xlfn.MAXIFS(关卡产出!AC:AC,关卡产出!$A:$A,玩家节奏2!$P$6,关卡产出!$B:$B,玩家节奏2!$P8)</f>
        <v>96</v>
      </c>
      <c r="W8" s="126">
        <f>INDEX(关卡产出!C$8:C$207,MATCH(玩家节奏2!$N8,关卡产出!$B$8:$B$207,0))*$K8</f>
        <v>330</v>
      </c>
      <c r="X8" s="126">
        <f>INDEX(关卡产出!D$8:D$207,MATCH(玩家节奏2!$N8,关卡产出!$B$8:$B$207,0))*$K8</f>
        <v>150</v>
      </c>
      <c r="Y8" s="126">
        <f>INDEX(关卡产出!E$8:E$207,MATCH(玩家节奏2!$N8,关卡产出!$B$8:$B$207,0))*$K8</f>
        <v>30</v>
      </c>
      <c r="Z8" s="144">
        <f>INDEX(关卡产出!F$8:F$207,MATCH(玩家节奏2!$N8,关卡产出!$B$8:$B$207,0))*$K8</f>
        <v>6300</v>
      </c>
      <c r="AA8" s="126">
        <f>SUM(W$7:W8)</f>
        <v>400</v>
      </c>
      <c r="AB8" s="126">
        <f>SUM(X$7:X8)</f>
        <v>180</v>
      </c>
      <c r="AC8" s="126">
        <f>SUM(Y$7:Y8)</f>
        <v>40</v>
      </c>
      <c r="AD8" s="177">
        <f>SUM(Z$7:Z8)</f>
        <v>7600</v>
      </c>
      <c r="AE8" s="128">
        <f>INDEX(图鉴!AQ:AQ,MATCH($N8,图鉴!$S:$S,0))*34</f>
        <v>510</v>
      </c>
      <c r="AF8" s="90">
        <f>INDEX(图鉴!AR:AR,MATCH($N8,图鉴!$S:$S,0))*34</f>
        <v>136</v>
      </c>
      <c r="AG8" s="90">
        <f>INDEX(图鉴!AS:AS,MATCH($N8,图鉴!$S:$S,0))*34</f>
        <v>34</v>
      </c>
      <c r="AH8" s="129">
        <f ca="1">INDEX(图鉴!AT:AT,MATCH($N8,图鉴!$S:$S,0))*34</f>
        <v>14688</v>
      </c>
      <c r="AI8" s="128">
        <f>SUM($AE$7:AE8)</f>
        <v>680</v>
      </c>
      <c r="AJ8" s="90">
        <f>SUM(AF$7:AF8)</f>
        <v>170</v>
      </c>
      <c r="AK8" s="90">
        <f>SUM(AG$7:AG8)</f>
        <v>34</v>
      </c>
      <c r="AL8" s="130">
        <f ca="1">SUM(AH$7:AH8)</f>
        <v>19040</v>
      </c>
      <c r="AM8" s="133">
        <f>IF(M8=0,0,INDEX(关卡产出!$AU$11:$AU$15,MATCH(玩家节奏2!N8,关卡产出!$AW$11:$AW$15,1))*M8)</f>
        <v>0</v>
      </c>
      <c r="AN8" s="126">
        <f>IF(L8=0,0,$L8*关卡产出!AU$21)</f>
        <v>0</v>
      </c>
      <c r="AO8" s="90">
        <f>IF(M8=0,0,$L8*关卡产出!AV$21)</f>
        <v>0</v>
      </c>
      <c r="AP8" s="129">
        <f>IF(N8=0,0,$L8*关卡产出!AW$21)</f>
        <v>0</v>
      </c>
      <c r="AQ8" s="138">
        <f>SUM(AN$7:AN8)</f>
        <v>0</v>
      </c>
      <c r="AR8" s="126">
        <f>SUM(AO$7:AO8)</f>
        <v>0</v>
      </c>
      <c r="AS8" s="129">
        <f>SUM(AP$7:AP8)</f>
        <v>0</v>
      </c>
      <c r="AT8" s="128">
        <v>3000</v>
      </c>
      <c r="AU8" s="129">
        <v>600</v>
      </c>
      <c r="AV8" s="128">
        <f>SUM(AT$7:AT8)</f>
        <v>6000</v>
      </c>
      <c r="AW8" s="90">
        <f>SUM(AU$7:AU8)</f>
        <v>1200</v>
      </c>
      <c r="AY8" s="128">
        <f t="shared" ref="AY8:AY71" si="20">Q8</f>
        <v>1900</v>
      </c>
      <c r="AZ8" s="90">
        <f t="shared" ref="AZ8:AZ71" si="21">AR8</f>
        <v>0</v>
      </c>
      <c r="BA8" s="90">
        <f t="shared" ref="BA8:BA71" si="22">AW8</f>
        <v>1200</v>
      </c>
      <c r="BB8" s="90">
        <f ca="1">CL7</f>
        <v>0</v>
      </c>
      <c r="BC8" s="90">
        <f t="shared" ref="BC8:BC9" ca="1" si="23">SUM(AY8:BB8)</f>
        <v>3100</v>
      </c>
      <c r="BD8" s="90"/>
      <c r="BE8" s="90">
        <f t="shared" ref="BE8:BE71" ca="1" si="24">SUM(AY8:BB8)</f>
        <v>3100</v>
      </c>
      <c r="BF8" s="142">
        <f t="shared" ca="1" si="0"/>
        <v>0.61290322580645162</v>
      </c>
      <c r="BG8" s="142">
        <f t="shared" ca="1" si="1"/>
        <v>0</v>
      </c>
      <c r="BH8" s="142">
        <f t="shared" ca="1" si="2"/>
        <v>0.38709677419354838</v>
      </c>
      <c r="BI8" s="142">
        <f t="shared" ca="1" si="3"/>
        <v>0</v>
      </c>
      <c r="BJ8" s="143"/>
      <c r="BK8" s="128">
        <f ca="1">INDEX(商城宝箱!$L:$L,MATCH(BC8,商城宝箱!$N:$N,1))</f>
        <v>2</v>
      </c>
      <c r="BL8" s="90">
        <f ca="1">_xlfn.IFNA(INDEX(商城宝箱!T:T,MATCH(玩家节奏2!$BK8,商城宝箱!$L:$L,0)),0)+($BC8-INDEX(商城宝箱!$N:$N,MATCH(玩家节奏2!$BK8,商城宝箱!$L:$L,0)))/$BK$5*INDEX(商城宝箱!E$23:E$42,MATCH(玩家节奏2!$BK8+1,商城宝箱!$C$23:$C$42,0))</f>
        <v>7750</v>
      </c>
      <c r="BM8" s="90">
        <f ca="1">_xlfn.IFNA(INDEX(商城宝箱!U:U,MATCH(玩家节奏2!$BK8,商城宝箱!$L:$L,0)),0)+($BC8-INDEX(商城宝箱!$N:$N,MATCH(玩家节奏2!$BK8,商城宝箱!$L:$L,0)))/$BK$5*INDEX(商城宝箱!F$23:F$42,MATCH(玩家节奏2!$BK8+1,商城宝箱!$C$23:$C$42,0))</f>
        <v>975</v>
      </c>
      <c r="BN8" s="90">
        <f ca="1">_xlfn.IFNA(INDEX(商城宝箱!V:V,MATCH(玩家节奏2!$BK8,商城宝箱!$L:$L,0)),0)+($BC8-INDEX(商城宝箱!$N:$N,MATCH(玩家节奏2!$BK8,商城宝箱!$L:$L,0)))/$BK$5*INDEX(商城宝箱!G$23:G$42,MATCH(玩家节奏2!$BK8+1,商城宝箱!$C$23:$C$42,0))</f>
        <v>257</v>
      </c>
      <c r="BO8" s="90">
        <f ca="1">_xlfn.IFNA(INDEX(商城宝箱!W:W,MATCH(玩家节奏2!$BK8,商城宝箱!$L:$L,0)),0)+($BC8-INDEX(商城宝箱!$N:$N,MATCH(玩家节奏2!$BK8,商城宝箱!$L:$L,0)))/$BK$5*INDEX(商城宝箱!H$23:H$42,MATCH(玩家节奏2!$BK8+1,商城宝箱!$C$23:$C$42,0))</f>
        <v>24</v>
      </c>
      <c r="BQ8" s="128">
        <f t="shared" si="4"/>
        <v>54800</v>
      </c>
      <c r="BR8" s="90">
        <f t="shared" si="5"/>
        <v>7600</v>
      </c>
      <c r="BS8" s="90">
        <f t="shared" ca="1" si="6"/>
        <v>19040</v>
      </c>
      <c r="BT8" s="90">
        <f t="shared" si="7"/>
        <v>0</v>
      </c>
      <c r="BU8" s="90">
        <f t="shared" si="8"/>
        <v>0</v>
      </c>
      <c r="BV8" s="90">
        <f t="shared" si="9"/>
        <v>6000</v>
      </c>
      <c r="BW8" s="90">
        <f t="shared" ref="BW8:BW71" ca="1" si="25">BL8</f>
        <v>7750</v>
      </c>
      <c r="BX8" s="90">
        <f t="shared" ref="BX8:BX71" ca="1" si="26">SUM(BQ8:BW8)</f>
        <v>95190</v>
      </c>
      <c r="BY8" s="142">
        <f t="shared" ref="BY8:CE57" ca="1" si="27">BQ8/$BX8</f>
        <v>0.57569072381552688</v>
      </c>
      <c r="BZ8" s="142">
        <f t="shared" ca="1" si="10"/>
        <v>7.9840319361277445E-2</v>
      </c>
      <c r="CA8" s="142">
        <f t="shared" ca="1" si="10"/>
        <v>0.20002101061035824</v>
      </c>
      <c r="CB8" s="142">
        <f t="shared" ca="1" si="10"/>
        <v>0</v>
      </c>
      <c r="CC8" s="142">
        <f t="shared" ca="1" si="10"/>
        <v>0</v>
      </c>
      <c r="CD8" s="142">
        <f t="shared" ca="1" si="10"/>
        <v>6.3031831074692721E-2</v>
      </c>
      <c r="CE8" s="142">
        <f t="shared" ca="1" si="10"/>
        <v>8.1416115138144757E-2</v>
      </c>
      <c r="CG8" s="128">
        <f t="shared" ref="CG8:CG71" si="28">N8</f>
        <v>16</v>
      </c>
      <c r="CH8" s="90">
        <f ca="1">INDEX(角色升级!$A:$A,MATCH(玩家节奏2!$BX8,角色升级!$J:$J,1))</f>
        <v>96</v>
      </c>
      <c r="CI8" s="90">
        <f ca="1">INDEX(角色升级!$O:$O,MATCH(玩家节奏2!$BX8,角色升级!$J:$J,1))</f>
        <v>939.52844999999991</v>
      </c>
      <c r="CJ8" s="90">
        <f>INDEX(关卡对比!$J:$J,MATCH(玩家节奏2!N8,关卡对比!$A:$A,0))</f>
        <v>1100</v>
      </c>
      <c r="CK8" s="147">
        <f t="shared" ref="CK8:CK71" ca="1" si="29">CJ8/CI8</f>
        <v>1.1708000965803644</v>
      </c>
      <c r="CL8" s="128">
        <f ca="1">INDEX(角色升级!$P:$P,MATCH(玩家节奏2!$CH8,角色升级!$A:$A,0))</f>
        <v>50</v>
      </c>
      <c r="CM8" s="90">
        <f ca="1">INDEX(角色升级!Q:Q,MATCH(玩家节奏2!$CH8,角色升级!$A:$A,0))</f>
        <v>0</v>
      </c>
      <c r="CO8" s="128">
        <f t="shared" ref="CO8:CO71" si="30">S8</f>
        <v>482</v>
      </c>
      <c r="CP8" s="90">
        <f t="shared" ref="CP8:CP71" si="31">AA8</f>
        <v>400</v>
      </c>
      <c r="CQ8" s="90">
        <f t="shared" ref="CQ8:CQ71" si="32">AI8</f>
        <v>680</v>
      </c>
      <c r="CR8" s="90">
        <f t="shared" ref="CR8:CR71" ca="1" si="33">BM8</f>
        <v>975</v>
      </c>
      <c r="CS8" s="90">
        <f t="shared" ref="CS8:CS71" ca="1" si="34">SUM(CO8:CR8)</f>
        <v>2537</v>
      </c>
      <c r="CT8" s="142">
        <f t="shared" ref="CT8:CW71" ca="1" si="35">CO8/$CS8</f>
        <v>0.18998817500985415</v>
      </c>
      <c r="CU8" s="142">
        <f t="shared" ca="1" si="11"/>
        <v>0.15766653527788727</v>
      </c>
      <c r="CV8" s="142">
        <f t="shared" ca="1" si="11"/>
        <v>0.26803310997240837</v>
      </c>
      <c r="CW8" s="142">
        <f t="shared" ca="1" si="11"/>
        <v>0.38431217973985021</v>
      </c>
      <c r="CY8" s="128">
        <f t="shared" ref="CY8:CY71" si="36">T8</f>
        <v>242</v>
      </c>
      <c r="CZ8" s="90">
        <f t="shared" ref="CZ8:CZ71" si="37">AB8</f>
        <v>180</v>
      </c>
      <c r="DA8" s="90">
        <f t="shared" ref="DA8:DA71" si="38">AJ8</f>
        <v>170</v>
      </c>
      <c r="DB8" s="90">
        <f ca="1">BN8</f>
        <v>257</v>
      </c>
      <c r="DC8" s="90">
        <f t="shared" ref="DC8:DC71" ca="1" si="39">SUM(CY8:DB8)</f>
        <v>849</v>
      </c>
      <c r="DD8" s="142">
        <f t="shared" ref="DD8:DG71" ca="1" si="40">CY8/$DC8</f>
        <v>0.28504122497055362</v>
      </c>
      <c r="DE8" s="142">
        <f t="shared" ca="1" si="12"/>
        <v>0.21201413427561838</v>
      </c>
      <c r="DF8" s="142">
        <f t="shared" ca="1" si="12"/>
        <v>0.20023557126030625</v>
      </c>
      <c r="DG8" s="142">
        <f t="shared" ca="1" si="12"/>
        <v>0.30270906949352178</v>
      </c>
      <c r="DI8" s="128">
        <f t="shared" ref="DI8:DI71" si="41">U8</f>
        <v>69</v>
      </c>
      <c r="DJ8" s="90">
        <f t="shared" ref="DJ8:DJ71" si="42">AC8</f>
        <v>40</v>
      </c>
      <c r="DK8" s="90">
        <f t="shared" ref="DK8:DK71" si="43">AK8</f>
        <v>34</v>
      </c>
      <c r="DL8" s="90">
        <f t="shared" ref="DL8:DL71" ca="1" si="44">BO8</f>
        <v>24</v>
      </c>
      <c r="DM8" s="90">
        <f t="shared" ref="DM8:DM71" ca="1" si="45">SUM(DI8:DL8)</f>
        <v>167</v>
      </c>
      <c r="DN8" s="142">
        <f t="shared" ref="DN8:DQ71" ca="1" si="46">DI8/$DM8</f>
        <v>0.41317365269461076</v>
      </c>
      <c r="DO8" s="142">
        <f t="shared" ca="1" si="13"/>
        <v>0.23952095808383234</v>
      </c>
      <c r="DP8" s="142">
        <f t="shared" ca="1" si="13"/>
        <v>0.20359281437125748</v>
      </c>
      <c r="DQ8" s="142">
        <f t="shared" ca="1" si="13"/>
        <v>0.1437125748502994</v>
      </c>
      <c r="DS8" s="128">
        <f t="shared" ref="DS8:DS71" ca="1" si="47">CS8</f>
        <v>2537</v>
      </c>
      <c r="DT8" s="90">
        <f t="shared" ref="DT8:DT71" ca="1" si="48">DC8</f>
        <v>849</v>
      </c>
      <c r="DU8" s="90">
        <f t="shared" ref="DU8:DU71" ca="1" si="49">DM8</f>
        <v>167</v>
      </c>
      <c r="DV8" s="90">
        <f t="shared" ref="DV8:DV71" si="50">AS8</f>
        <v>0</v>
      </c>
      <c r="DW8" s="90">
        <f ca="1">_xlfn.IFNA(INDEX(武器升级消耗!$H:$H,MATCH(玩家节奏2!DS8/玩家节奏2!DS$5,武器升级消耗!M:M,1)),0)</f>
        <v>7</v>
      </c>
      <c r="DX8" s="90">
        <f ca="1">_xlfn.IFNA(INDEX(武器升级消耗!$H:$H,MATCH(玩家节奏2!DT8/玩家节奏2!DT$5,武器升级消耗!N:N,1)),0)</f>
        <v>4</v>
      </c>
      <c r="DY8" s="90">
        <f ca="1">_xlfn.IFNA(INDEX(武器升级消耗!$H:$H,MATCH(玩家节奏2!DU8/玩家节奏2!DU$5,武器升级消耗!O:O,1)),0)</f>
        <v>2</v>
      </c>
      <c r="DZ8" s="90">
        <f>_xlfn.IFNA(INDEX(武器升级消耗!$H:$H,MATCH(玩家节奏2!DV8/玩家节奏2!DV$5,武器升级消耗!P:P,1)),0)</f>
        <v>0</v>
      </c>
      <c r="EA8" s="90">
        <f ca="1">_xlfn.IFNA(INDEX(武器升级消耗!$Q:$Q,MATCH(玩家节奏2!DW8,武器升级消耗!$H:$H,0))*2*EA$4,0)</f>
        <v>1.32</v>
      </c>
      <c r="EB8" s="90">
        <f ca="1">_xlfn.IFNA(INDEX(武器升级消耗!$Q:$Q,MATCH(玩家节奏2!DX8,武器升级消耗!$H:$H,0))*2*EB$4,0)</f>
        <v>1.2000000000000002</v>
      </c>
      <c r="EC8" s="90">
        <f ca="1">_xlfn.IFNA(INDEX(武器升级消耗!$Q:$Q,MATCH(玩家节奏2!DY8,武器升级消耗!$H:$H,0))*2*EC$4,0)</f>
        <v>1.32</v>
      </c>
      <c r="ED8" s="90">
        <f>_xlfn.IFNA(INDEX(武器升级消耗!$Q:$Q,MATCH(玩家节奏2!DZ8,武器升级消耗!$H:$H,0))*2*ED$4,0)</f>
        <v>0</v>
      </c>
      <c r="EF8" s="128">
        <f t="shared" si="14"/>
        <v>0</v>
      </c>
      <c r="EG8" s="90">
        <f t="shared" si="15"/>
        <v>0</v>
      </c>
      <c r="EH8" s="90">
        <v>6</v>
      </c>
      <c r="EI8" s="90">
        <v>6</v>
      </c>
      <c r="EJ8" s="90">
        <f>_xlfn.IFNA(INDEX(皮肤宠物!$J$4:$J$13,MATCH(EF8+EH8,皮肤宠物!$L$4:$L$13,1)),0)</f>
        <v>0</v>
      </c>
      <c r="EK8" s="90">
        <f>_xlfn.IFNA(INDEX(皮肤宠物!$J$4:$J$13,MATCH(EG8+EI8,皮肤宠物!$L$4:$L$13,1)),0)</f>
        <v>0</v>
      </c>
      <c r="EL8" s="90">
        <f>_xlfn.IFNA(INDEX(皮肤宠物!$N$4:$N$13,MATCH(EF8+EH8,皮肤宠物!$L$4:$L$13,1)),1)</f>
        <v>1</v>
      </c>
      <c r="EM8" s="90">
        <f>_xlfn.IFNA(INDEX(皮肤宠物!$N$4:$N$13,MATCH(EG8+EI8,皮肤宠物!$L$4:$L$13,1)),1)</f>
        <v>1</v>
      </c>
      <c r="EO8" s="128">
        <v>6</v>
      </c>
      <c r="EP8" s="90">
        <v>2</v>
      </c>
      <c r="EQ8" s="90">
        <f t="shared" ref="EQ8:EQ71" si="51">BD8</f>
        <v>0</v>
      </c>
      <c r="ER8" s="90">
        <f t="shared" si="16"/>
        <v>0</v>
      </c>
      <c r="ES8" s="90">
        <f t="shared" ref="ES8:ES71" si="52">ER8+EQ8/100+EP8</f>
        <v>2</v>
      </c>
      <c r="ET8" s="90">
        <f>$ES8*ET$5*皮肤宠物!$J$75/4</f>
        <v>6.6020000000000003</v>
      </c>
      <c r="EU8" s="90">
        <f>$ES8*EU$5*皮肤宠物!$J$76/4</f>
        <v>1.1020000000000001</v>
      </c>
      <c r="EV8" s="90">
        <f>$ES8*EV$5*皮肤宠物!$J$77/4</f>
        <v>0.29849999999999999</v>
      </c>
      <c r="EW8" s="90">
        <f>_xlfn.IFNA(INDEX(皮肤宠物!$H$18:$H$67,MATCH(ET8,皮肤宠物!L$18:L$67,1)),0)</f>
        <v>0</v>
      </c>
      <c r="EX8" s="90">
        <f>_xlfn.IFNA(INDEX(皮肤宠物!$H$18:$H$67,MATCH(EU8,皮肤宠物!M$18:M$67,1)),0)</f>
        <v>0</v>
      </c>
      <c r="EY8" s="90">
        <f>_xlfn.IFNA(INDEX(皮肤宠物!$H$18:$H$67,MATCH(EV8,皮肤宠物!N$18:N$67,1)),0)</f>
        <v>0</v>
      </c>
      <c r="EZ8" s="90">
        <f>_xlfn.IFNA(INDEX(皮肤宠物!C$18:C$67,MATCH(EW8,皮肤宠物!$A$18:$A$67,0))+1,1)</f>
        <v>1</v>
      </c>
      <c r="FA8" s="90">
        <f>_xlfn.IFNA(INDEX(皮肤宠物!D$18:D$67,MATCH(EX8,皮肤宠物!$A$18:$A$67,0))+1,1)</f>
        <v>1</v>
      </c>
      <c r="FB8" s="90">
        <f>_xlfn.IFNA(INDEX(皮肤宠物!E$18:E$67,MATCH(EY8,皮肤宠物!$A$18:$A$67,0))+1,1)</f>
        <v>1</v>
      </c>
      <c r="FD8" s="90">
        <f t="shared" ref="FD8:FD71" ca="1" si="53">EC8</f>
        <v>1.32</v>
      </c>
      <c r="FE8" s="90">
        <f t="shared" ref="FE8:FE71" si="54">EL8</f>
        <v>1</v>
      </c>
      <c r="FF8" s="90">
        <f t="shared" ref="FF8:FF71" si="55">FB8</f>
        <v>1</v>
      </c>
      <c r="FG8" s="90">
        <f t="shared" ref="FG8:FG71" ca="1" si="56">FF8*FE8*FD8</f>
        <v>1.32</v>
      </c>
    </row>
    <row r="9" spans="1:163" x14ac:dyDescent="0.25">
      <c r="A9" s="123">
        <v>3</v>
      </c>
      <c r="B9" s="123"/>
      <c r="C9" s="124"/>
      <c r="D9" s="125">
        <v>4.5</v>
      </c>
      <c r="E9" s="125">
        <v>2</v>
      </c>
      <c r="F9" s="128">
        <v>30</v>
      </c>
      <c r="G9" s="90">
        <v>0</v>
      </c>
      <c r="H9" s="90">
        <v>0</v>
      </c>
      <c r="J9" s="128">
        <v>3</v>
      </c>
      <c r="K9" s="90">
        <f t="shared" si="17"/>
        <v>25</v>
      </c>
      <c r="L9" s="90">
        <f t="shared" si="18"/>
        <v>0</v>
      </c>
      <c r="M9" s="90">
        <f t="shared" si="19"/>
        <v>5</v>
      </c>
      <c r="N9" s="140">
        <f>INDEX($A:$A,MATCH(SUM($K$7:K9),$D:$D,1))</f>
        <v>20</v>
      </c>
      <c r="O9" s="140">
        <v>0</v>
      </c>
      <c r="P9" s="141">
        <v>0</v>
      </c>
      <c r="Q9" s="126">
        <f>_xlfn.MAXIFS(关卡产出!X:X,关卡产出!$A:$A,玩家节奏2!$N$6,关卡产出!$B:$B,玩家节奏2!$N9)+_xlfn.MAXIFS(关卡产出!X:X,关卡产出!$A:$A,玩家节奏2!$O$6,关卡产出!$B:$B,玩家节奏2!$O9)+_xlfn.MAXIFS(关卡产出!X:X,关卡产出!$A:$A,玩家节奏2!$P$6,关卡产出!$B:$B,玩家节奏2!$P9)</f>
        <v>2500</v>
      </c>
      <c r="R9" s="90">
        <f>_xlfn.MAXIFS(关卡产出!Y:Y,关卡产出!$A:$A,玩家节奏2!$N$6,关卡产出!$B:$B,玩家节奏2!$N9)+_xlfn.MAXIFS(关卡产出!Y:Y,关卡产出!$A:$A,玩家节奏2!$O$6,关卡产出!$B:$B,玩家节奏2!$O9)+_xlfn.MAXIFS(关卡产出!Y:Y,关卡产出!$A:$A,玩家节奏2!$P$6,关卡产出!$B:$B,玩家节奏2!$P9)</f>
        <v>90000</v>
      </c>
      <c r="S9" s="90">
        <f>_xlfn.MAXIFS(关卡产出!Z:Z,关卡产出!$A:$A,玩家节奏2!$N$6,关卡产出!$B:$B,玩家节奏2!$N9)+_xlfn.MAXIFS(关卡产出!Z:Z,关卡产出!$A:$A,玩家节奏2!$O$6,关卡产出!$B:$B,玩家节奏2!$O9)+_xlfn.MAXIFS(关卡产出!Z:Z,关卡产出!$A:$A,玩家节奏2!$P$6,关卡产出!$B:$B,玩家节奏2!$P9)</f>
        <v>746</v>
      </c>
      <c r="T9" s="90">
        <f>_xlfn.MAXIFS(关卡产出!AA:AA,关卡产出!$A:$A,玩家节奏2!$N$6,关卡产出!$B:$B,玩家节奏2!$N9)+_xlfn.MAXIFS(关卡产出!AA:AA,关卡产出!$A:$A,玩家节奏2!$O$6,关卡产出!$B:$B,玩家节奏2!$O9)+_xlfn.MAXIFS(关卡产出!AA:AA,关卡产出!$A:$A,玩家节奏2!$P$6,关卡产出!$B:$B,玩家节奏2!$P9)</f>
        <v>374</v>
      </c>
      <c r="U9" s="90">
        <f>_xlfn.MAXIFS(关卡产出!AB:AB,关卡产出!$A:$A,玩家节奏2!$N$6,关卡产出!$B:$B,玩家节奏2!$N9)+_xlfn.MAXIFS(关卡产出!AB:AB,关卡产出!$A:$A,玩家节奏2!$O$6,关卡产出!$B:$B,玩家节奏2!$O9)+_xlfn.MAXIFS(关卡产出!AB:AB,关卡产出!$A:$A,玩家节奏2!$P$6,关卡产出!$B:$B,玩家节奏2!$P9)</f>
        <v>123</v>
      </c>
      <c r="V9" s="130">
        <f>_xlfn.MAXIFS(关卡产出!AC:AC,关卡产出!$A:$A,玩家节奏2!$N$6,关卡产出!$B:$B,玩家节奏2!$N9)+_xlfn.MAXIFS(关卡产出!AC:AC,关卡产出!$A:$A,玩家节奏2!$O$6,关卡产出!$B:$B,玩家节奏2!$O9)+_xlfn.MAXIFS(关卡产出!AC:AC,关卡产出!$A:$A,玩家节奏2!$P$6,关卡产出!$B:$B,玩家节奏2!$P9)</f>
        <v>120</v>
      </c>
      <c r="W9" s="126">
        <f>INDEX(关卡产出!C$8:C$207,MATCH(玩家节奏2!$N9,关卡产出!$B$8:$B$207,0))*$K9</f>
        <v>350</v>
      </c>
      <c r="X9" s="126">
        <f>INDEX(关卡产出!D$8:D$207,MATCH(玩家节奏2!$N9,关卡产出!$B$8:$B$207,0))*$K9</f>
        <v>175</v>
      </c>
      <c r="Y9" s="126">
        <f>INDEX(关卡产出!E$8:E$207,MATCH(玩家节奏2!$N9,关卡产出!$B$8:$B$207,0))*$K9</f>
        <v>75</v>
      </c>
      <c r="Z9" s="144">
        <f>INDEX(关卡产出!F$8:F$207,MATCH(玩家节奏2!$N9,关卡产出!$B$8:$B$207,0))*$K9</f>
        <v>6250</v>
      </c>
      <c r="AA9" s="126">
        <f>SUM(W$7:W9)</f>
        <v>750</v>
      </c>
      <c r="AB9" s="126">
        <f>SUM(X$7:X9)</f>
        <v>355</v>
      </c>
      <c r="AC9" s="126">
        <f>SUM(Y$7:Y9)</f>
        <v>115</v>
      </c>
      <c r="AD9" s="177">
        <f>SUM(Z$7:Z9)</f>
        <v>13850</v>
      </c>
      <c r="AE9" s="128">
        <f>INDEX(图鉴!AQ:AQ,MATCH($N9,图鉴!$S:$S,0))*34</f>
        <v>544</v>
      </c>
      <c r="AF9" s="90">
        <f>INDEX(图鉴!AR:AR,MATCH($N9,图鉴!$S:$S,0))*34</f>
        <v>204</v>
      </c>
      <c r="AG9" s="90">
        <f>INDEX(图鉴!AS:AS,MATCH($N9,图鉴!$S:$S,0))*34</f>
        <v>34</v>
      </c>
      <c r="AH9" s="129">
        <f ca="1">INDEX(图鉴!AT:AT,MATCH($N9,图鉴!$S:$S,0))*34</f>
        <v>16830</v>
      </c>
      <c r="AI9" s="128">
        <f>SUM($AE$7:AE9)</f>
        <v>1224</v>
      </c>
      <c r="AJ9" s="90">
        <f>SUM(AF$7:AF9)</f>
        <v>374</v>
      </c>
      <c r="AK9" s="90">
        <f>SUM(AG$7:AG9)</f>
        <v>68</v>
      </c>
      <c r="AL9" s="130">
        <f ca="1">SUM(AH$7:AH9)</f>
        <v>35870</v>
      </c>
      <c r="AM9" s="133">
        <f>IF(M9=0,0,INDEX(关卡产出!$AU$11:$AU$15,MATCH(玩家节奏2!N9,关卡产出!$AW$11:$AW$15,1))*M9)</f>
        <v>20500</v>
      </c>
      <c r="AN9" s="126">
        <f>IF(L9=0,0,$L9*关卡产出!AU$21)</f>
        <v>0</v>
      </c>
      <c r="AO9" s="90">
        <f>IF(M9=0,0,$L9*关卡产出!AV$21)</f>
        <v>0</v>
      </c>
      <c r="AP9" s="129">
        <f>IF(N9=0,0,$L9*关卡产出!AW$21)</f>
        <v>0</v>
      </c>
      <c r="AQ9" s="138">
        <f>SUM(AN$7:AN9)</f>
        <v>0</v>
      </c>
      <c r="AR9" s="126">
        <f>SUM(AO$7:AO9)</f>
        <v>0</v>
      </c>
      <c r="AS9" s="129">
        <f>SUM(AP$7:AP9)</f>
        <v>0</v>
      </c>
      <c r="AT9" s="128">
        <v>3000</v>
      </c>
      <c r="AU9" s="129">
        <v>600</v>
      </c>
      <c r="AV9" s="128">
        <f>SUM(AT$7:AT9)</f>
        <v>9000</v>
      </c>
      <c r="AW9" s="90">
        <f>SUM(AU$7:AU9)</f>
        <v>1800</v>
      </c>
      <c r="AY9" s="128">
        <f t="shared" si="20"/>
        <v>2500</v>
      </c>
      <c r="AZ9" s="90">
        <f t="shared" si="21"/>
        <v>0</v>
      </c>
      <c r="BA9" s="90">
        <f t="shared" si="22"/>
        <v>1800</v>
      </c>
      <c r="BB9" s="90">
        <f t="shared" ref="BB9:BB72" ca="1" si="57">CL8</f>
        <v>50</v>
      </c>
      <c r="BC9" s="90">
        <f t="shared" ca="1" si="23"/>
        <v>4350</v>
      </c>
      <c r="BD9" s="90"/>
      <c r="BE9" s="90">
        <f t="shared" ca="1" si="24"/>
        <v>4350</v>
      </c>
      <c r="BF9" s="142">
        <f t="shared" ca="1" si="0"/>
        <v>0.57471264367816088</v>
      </c>
      <c r="BG9" s="142">
        <f t="shared" ca="1" si="1"/>
        <v>0</v>
      </c>
      <c r="BH9" s="142">
        <f t="shared" ca="1" si="2"/>
        <v>0.41379310344827586</v>
      </c>
      <c r="BI9" s="142">
        <f t="shared" ca="1" si="3"/>
        <v>1.1494252873563218E-2</v>
      </c>
      <c r="BJ9" s="143"/>
      <c r="BK9" s="128">
        <f ca="1">INDEX(商城宝箱!$L:$L,MATCH(BC9,商城宝箱!$N:$N,1))</f>
        <v>3</v>
      </c>
      <c r="BL9" s="90">
        <f ca="1">_xlfn.IFNA(INDEX(商城宝箱!T:T,MATCH(玩家节奏2!$BK9,商城宝箱!$L:$L,0)),0)+($BC9-INDEX(商城宝箱!$N:$N,MATCH(玩家节奏2!$BK9,商城宝箱!$L:$L,0)))/$BK$5*INDEX(商城宝箱!E$23:E$42,MATCH(玩家节奏2!$BK9+1,商城宝箱!$C$23:$C$42,0))</f>
        <v>10875</v>
      </c>
      <c r="BM9" s="90">
        <f ca="1">_xlfn.IFNA(INDEX(商城宝箱!U:U,MATCH(玩家节奏2!$BK9,商城宝箱!$L:$L,0)),0)+($BC9-INDEX(商城宝箱!$N:$N,MATCH(玩家节奏2!$BK9,商城宝箱!$L:$L,0)))/$BK$5*INDEX(商城宝箱!F$23:F$42,MATCH(玩家节奏2!$BK9+1,商城宝箱!$C$23:$C$42,0))</f>
        <v>1575</v>
      </c>
      <c r="BN9" s="90">
        <f ca="1">_xlfn.IFNA(INDEX(商城宝箱!V:V,MATCH(玩家节奏2!$BK9,商城宝箱!$L:$L,0)),0)+($BC9-INDEX(商城宝箱!$N:$N,MATCH(玩家节奏2!$BK9,商城宝箱!$L:$L,0)))/$BK$5*INDEX(商城宝箱!G$23:G$42,MATCH(玩家节奏2!$BK9+1,商城宝箱!$C$23:$C$42,0))</f>
        <v>480.75</v>
      </c>
      <c r="BO9" s="90">
        <f ca="1">_xlfn.IFNA(INDEX(商城宝箱!W:W,MATCH(玩家节奏2!$BK9,商城宝箱!$L:$L,0)),0)+($BC9-INDEX(商城宝箱!$N:$N,MATCH(玩家节奏2!$BK9,商城宝箱!$L:$L,0)))/$BK$5*INDEX(商城宝箱!H$23:H$42,MATCH(玩家节奏2!$BK9+1,商城宝箱!$C$23:$C$42,0))</f>
        <v>57.75</v>
      </c>
      <c r="BQ9" s="128">
        <f t="shared" si="4"/>
        <v>90000</v>
      </c>
      <c r="BR9" s="90">
        <f t="shared" si="5"/>
        <v>13850</v>
      </c>
      <c r="BS9" s="90">
        <f t="shared" ca="1" si="6"/>
        <v>35870</v>
      </c>
      <c r="BT9" s="90">
        <f t="shared" si="7"/>
        <v>20500</v>
      </c>
      <c r="BU9" s="90">
        <f t="shared" si="8"/>
        <v>0</v>
      </c>
      <c r="BV9" s="90">
        <f t="shared" si="9"/>
        <v>9000</v>
      </c>
      <c r="BW9" s="90">
        <f t="shared" ca="1" si="25"/>
        <v>10875</v>
      </c>
      <c r="BX9" s="90">
        <f t="shared" ca="1" si="26"/>
        <v>180095</v>
      </c>
      <c r="BY9" s="142">
        <f t="shared" ca="1" si="27"/>
        <v>0.49973625031233515</v>
      </c>
      <c r="BZ9" s="142">
        <f t="shared" ca="1" si="10"/>
        <v>7.6903856298064913E-2</v>
      </c>
      <c r="CA9" s="142">
        <f t="shared" ca="1" si="10"/>
        <v>0.19917265887448291</v>
      </c>
      <c r="CB9" s="142">
        <f t="shared" ca="1" si="10"/>
        <v>0.11382881257114301</v>
      </c>
      <c r="CC9" s="142">
        <f t="shared" ca="1" si="10"/>
        <v>0</v>
      </c>
      <c r="CD9" s="142">
        <f t="shared" ca="1" si="10"/>
        <v>4.9973625031233516E-2</v>
      </c>
      <c r="CE9" s="142">
        <f t="shared" ca="1" si="10"/>
        <v>6.0384796912740499E-2</v>
      </c>
      <c r="CG9" s="128">
        <f t="shared" si="28"/>
        <v>20</v>
      </c>
      <c r="CH9" s="90">
        <f ca="1">INDEX(角色升级!$A:$A,MATCH(玩家节奏2!$BX9,角色升级!$J:$J,1))</f>
        <v>131</v>
      </c>
      <c r="CI9" s="90">
        <f ca="1">INDEX(角色升级!$O:$O,MATCH(玩家节奏2!$BX9,角色升级!$J:$J,1))</f>
        <v>1643.4340000000002</v>
      </c>
      <c r="CJ9" s="90">
        <f>INDEX(关卡对比!$J:$J,MATCH(玩家节奏2!N9,关卡对比!$A:$A,0))</f>
        <v>1900</v>
      </c>
      <c r="CK9" s="147">
        <f t="shared" ca="1" si="29"/>
        <v>1.1561157916898395</v>
      </c>
      <c r="CL9" s="128">
        <f ca="1">INDEX(角色升级!$P:$P,MATCH(玩家节奏2!$CH9,角色升级!$A:$A,0))</f>
        <v>400</v>
      </c>
      <c r="CM9" s="90">
        <f ca="1">INDEX(角色升级!Q:Q,MATCH(玩家节奏2!$CH9,角色升级!$A:$A,0))</f>
        <v>0</v>
      </c>
      <c r="CO9" s="128">
        <f t="shared" si="30"/>
        <v>746</v>
      </c>
      <c r="CP9" s="90">
        <f t="shared" si="31"/>
        <v>750</v>
      </c>
      <c r="CQ9" s="90">
        <f t="shared" si="32"/>
        <v>1224</v>
      </c>
      <c r="CR9" s="90">
        <f t="shared" ca="1" si="33"/>
        <v>1575</v>
      </c>
      <c r="CS9" s="90">
        <f t="shared" ca="1" si="34"/>
        <v>4295</v>
      </c>
      <c r="CT9" s="142">
        <f t="shared" ca="1" si="35"/>
        <v>0.17369033760186264</v>
      </c>
      <c r="CU9" s="142">
        <f t="shared" ca="1" si="11"/>
        <v>0.17462165308498254</v>
      </c>
      <c r="CV9" s="142">
        <f t="shared" ca="1" si="11"/>
        <v>0.28498253783469152</v>
      </c>
      <c r="CW9" s="142">
        <f t="shared" ca="1" si="11"/>
        <v>0.36670547147846333</v>
      </c>
      <c r="CY9" s="128">
        <f t="shared" si="36"/>
        <v>374</v>
      </c>
      <c r="CZ9" s="90">
        <f t="shared" si="37"/>
        <v>355</v>
      </c>
      <c r="DA9" s="90">
        <f t="shared" si="38"/>
        <v>374</v>
      </c>
      <c r="DB9" s="90">
        <f t="shared" ref="DB9:DB72" ca="1" si="58">BN9</f>
        <v>480.75</v>
      </c>
      <c r="DC9" s="90">
        <f t="shared" ca="1" si="39"/>
        <v>1583.75</v>
      </c>
      <c r="DD9" s="142">
        <f t="shared" ca="1" si="40"/>
        <v>0.23614838200473559</v>
      </c>
      <c r="DE9" s="142">
        <f t="shared" ca="1" si="12"/>
        <v>0.22415153906866614</v>
      </c>
      <c r="DF9" s="142">
        <f t="shared" ca="1" si="12"/>
        <v>0.23614838200473559</v>
      </c>
      <c r="DG9" s="142">
        <f t="shared" ca="1" si="12"/>
        <v>0.30355169692186268</v>
      </c>
      <c r="DI9" s="128">
        <f t="shared" si="41"/>
        <v>123</v>
      </c>
      <c r="DJ9" s="90">
        <f t="shared" si="42"/>
        <v>115</v>
      </c>
      <c r="DK9" s="90">
        <f t="shared" si="43"/>
        <v>68</v>
      </c>
      <c r="DL9" s="90">
        <f t="shared" ca="1" si="44"/>
        <v>57.75</v>
      </c>
      <c r="DM9" s="90">
        <f t="shared" ca="1" si="45"/>
        <v>363.75</v>
      </c>
      <c r="DN9" s="142">
        <f t="shared" ca="1" si="46"/>
        <v>0.33814432989690724</v>
      </c>
      <c r="DO9" s="142">
        <f t="shared" ca="1" si="13"/>
        <v>0.31615120274914088</v>
      </c>
      <c r="DP9" s="142">
        <f t="shared" ca="1" si="13"/>
        <v>0.18694158075601375</v>
      </c>
      <c r="DQ9" s="142">
        <f t="shared" ca="1" si="13"/>
        <v>0.15876288659793814</v>
      </c>
      <c r="DS9" s="128">
        <f t="shared" ca="1" si="47"/>
        <v>4295</v>
      </c>
      <c r="DT9" s="90">
        <f t="shared" ca="1" si="48"/>
        <v>1583.75</v>
      </c>
      <c r="DU9" s="90">
        <f t="shared" ca="1" si="49"/>
        <v>363.75</v>
      </c>
      <c r="DV9" s="90">
        <f t="shared" si="50"/>
        <v>0</v>
      </c>
      <c r="DW9" s="90">
        <f ca="1">_xlfn.IFNA(INDEX(武器升级消耗!$H:$H,MATCH(玩家节奏2!DS9/玩家节奏2!DS$5,武器升级消耗!M:M,1)),0)</f>
        <v>8</v>
      </c>
      <c r="DX9" s="90">
        <f ca="1">_xlfn.IFNA(INDEX(武器升级消耗!$H:$H,MATCH(玩家节奏2!DT9/玩家节奏2!DT$5,武器升级消耗!N:N,1)),0)</f>
        <v>6</v>
      </c>
      <c r="DY9" s="90">
        <f ca="1">_xlfn.IFNA(INDEX(武器升级消耗!$H:$H,MATCH(玩家节奏2!DU9/玩家节奏2!DU$5,武器升级消耗!O:O,1)),0)</f>
        <v>3</v>
      </c>
      <c r="DZ9" s="90">
        <f>_xlfn.IFNA(INDEX(武器升级消耗!$H:$H,MATCH(玩家节奏2!DV9/玩家节奏2!DV$5,武器升级消耗!P:P,1)),0)</f>
        <v>0</v>
      </c>
      <c r="EA9" s="90">
        <f ca="1">_xlfn.IFNA(INDEX(武器升级消耗!$Q:$Q,MATCH(玩家节奏2!DW9,武器升级消耗!$H:$H,0))*2*EA$4,0)</f>
        <v>1.44</v>
      </c>
      <c r="EB9" s="90">
        <f ca="1">_xlfn.IFNA(INDEX(武器升级消耗!$Q:$Q,MATCH(玩家节奏2!DX9,武器升级消耗!$H:$H,0))*2*EB$4,0)</f>
        <v>1.5</v>
      </c>
      <c r="EC9" s="90">
        <f ca="1">_xlfn.IFNA(INDEX(武器升级消耗!$Q:$Q,MATCH(玩家节奏2!DY9,武器升级消耗!$H:$H,0))*2*EC$4,0)</f>
        <v>1.54</v>
      </c>
      <c r="ED9" s="90">
        <f>_xlfn.IFNA(INDEX(武器升级消耗!$Q:$Q,MATCH(玩家节奏2!DZ9,武器升级消耗!$H:$H,0))*2*ED$4,0)</f>
        <v>0</v>
      </c>
      <c r="EF9" s="128">
        <f t="shared" si="14"/>
        <v>0</v>
      </c>
      <c r="EG9" s="90">
        <f t="shared" si="15"/>
        <v>0</v>
      </c>
      <c r="EH9" s="90">
        <v>9</v>
      </c>
      <c r="EI9" s="90">
        <v>9</v>
      </c>
      <c r="EJ9" s="90">
        <f>_xlfn.IFNA(INDEX(皮肤宠物!$J$4:$J$13,MATCH(EF9+EH9,皮肤宠物!$L$4:$L$13,1)),0)</f>
        <v>0</v>
      </c>
      <c r="EK9" s="90">
        <f>_xlfn.IFNA(INDEX(皮肤宠物!$J$4:$J$13,MATCH(EG9+EI9,皮肤宠物!$L$4:$L$13,1)),0)</f>
        <v>0</v>
      </c>
      <c r="EL9" s="90">
        <f>_xlfn.IFNA(INDEX(皮肤宠物!$N$4:$N$13,MATCH(EF9+EH9,皮肤宠物!$L$4:$L$13,1)),1)</f>
        <v>1</v>
      </c>
      <c r="EM9" s="90">
        <f>_xlfn.IFNA(INDEX(皮肤宠物!$N$4:$N$13,MATCH(EG9+EI9,皮肤宠物!$L$4:$L$13,1)),1)</f>
        <v>1</v>
      </c>
      <c r="EO9" s="128">
        <v>9</v>
      </c>
      <c r="EP9" s="90">
        <v>3</v>
      </c>
      <c r="EQ9" s="90">
        <f t="shared" si="51"/>
        <v>0</v>
      </c>
      <c r="ER9" s="90">
        <f t="shared" si="16"/>
        <v>0</v>
      </c>
      <c r="ES9" s="90">
        <f t="shared" si="52"/>
        <v>3</v>
      </c>
      <c r="ET9" s="90">
        <f>$ES9*ET$5*皮肤宠物!$J$75/4</f>
        <v>9.9030000000000005</v>
      </c>
      <c r="EU9" s="90">
        <f>$ES9*EU$5*皮肤宠物!$J$76/4</f>
        <v>1.653</v>
      </c>
      <c r="EV9" s="90">
        <f>$ES9*EV$5*皮肤宠物!$J$77/4</f>
        <v>0.44775000000000004</v>
      </c>
      <c r="EW9" s="90">
        <f>_xlfn.IFNA(INDEX(皮肤宠物!$H$18:$H$67,MATCH(ET9,皮肤宠物!L$18:L$67,1)),0)</f>
        <v>0</v>
      </c>
      <c r="EX9" s="90">
        <f>_xlfn.IFNA(INDEX(皮肤宠物!$H$18:$H$67,MATCH(EU9,皮肤宠物!M$18:M$67,1)),0)</f>
        <v>0</v>
      </c>
      <c r="EY9" s="90">
        <f>_xlfn.IFNA(INDEX(皮肤宠物!$H$18:$H$67,MATCH(EV9,皮肤宠物!N$18:N$67,1)),0)</f>
        <v>0</v>
      </c>
      <c r="EZ9" s="90">
        <f>_xlfn.IFNA(INDEX(皮肤宠物!C$18:C$67,MATCH(EW9,皮肤宠物!$A$18:$A$67,0))+1,1)</f>
        <v>1</v>
      </c>
      <c r="FA9" s="90">
        <f>_xlfn.IFNA(INDEX(皮肤宠物!D$18:D$67,MATCH(EX9,皮肤宠物!$A$18:$A$67,0))+1,1)</f>
        <v>1</v>
      </c>
      <c r="FB9" s="90">
        <f>_xlfn.IFNA(INDEX(皮肤宠物!E$18:E$67,MATCH(EY9,皮肤宠物!$A$18:$A$67,0))+1,1)</f>
        <v>1</v>
      </c>
      <c r="FD9" s="90">
        <f t="shared" ca="1" si="53"/>
        <v>1.54</v>
      </c>
      <c r="FE9" s="90">
        <f t="shared" si="54"/>
        <v>1</v>
      </c>
      <c r="FF9" s="90">
        <f t="shared" si="55"/>
        <v>1</v>
      </c>
      <c r="FG9" s="90">
        <f t="shared" ca="1" si="56"/>
        <v>1.54</v>
      </c>
    </row>
    <row r="10" spans="1:163" x14ac:dyDescent="0.25">
      <c r="A10" s="123">
        <v>4</v>
      </c>
      <c r="B10" s="123"/>
      <c r="C10" s="124"/>
      <c r="D10" s="125">
        <f>A10*E10+B10*E10+C10*E10-4.5</f>
        <v>3.5</v>
      </c>
      <c r="E10" s="125">
        <v>2</v>
      </c>
      <c r="F10" s="128">
        <v>30</v>
      </c>
      <c r="G10" s="90">
        <v>0</v>
      </c>
      <c r="H10" s="90">
        <v>0</v>
      </c>
      <c r="J10" s="128">
        <v>4</v>
      </c>
      <c r="K10" s="90">
        <f t="shared" si="17"/>
        <v>16</v>
      </c>
      <c r="L10" s="90">
        <f t="shared" si="18"/>
        <v>16</v>
      </c>
      <c r="M10" s="90">
        <f t="shared" si="19"/>
        <v>5</v>
      </c>
      <c r="N10" s="140">
        <f>INDEX($A:$A,MATCH(SUM($K$7:K10),$D:$D,1))</f>
        <v>23</v>
      </c>
      <c r="O10" s="140">
        <v>0</v>
      </c>
      <c r="P10" s="141">
        <v>0</v>
      </c>
      <c r="Q10" s="126">
        <f>_xlfn.MAXIFS(关卡产出!X:X,关卡产出!$A:$A,玩家节奏2!$N$6,关卡产出!$B:$B,玩家节奏2!$N10)+_xlfn.MAXIFS(关卡产出!X:X,关卡产出!$A:$A,玩家节奏2!$O$6,关卡产出!$B:$B,玩家节奏2!$O10)+_xlfn.MAXIFS(关卡产出!X:X,关卡产出!$A:$A,玩家节奏2!$P$6,关卡产出!$B:$B,玩家节奏2!$P10)</f>
        <v>3100</v>
      </c>
      <c r="R10" s="90">
        <f>_xlfn.MAXIFS(关卡产出!Y:Y,关卡产出!$A:$A,玩家节奏2!$N$6,关卡产出!$B:$B,玩家节奏2!$N10)+_xlfn.MAXIFS(关卡产出!Y:Y,关卡产出!$A:$A,玩家节奏2!$O$6,关卡产出!$B:$B,玩家节奏2!$O10)+_xlfn.MAXIFS(关卡产出!Y:Y,关卡产出!$A:$A,玩家节奏2!$P$6,关卡产出!$B:$B,玩家节奏2!$P10)</f>
        <v>122700</v>
      </c>
      <c r="S10" s="90">
        <f>_xlfn.MAXIFS(关卡产出!Z:Z,关卡产出!$A:$A,玩家节奏2!$N$6,关卡产出!$B:$B,玩家节奏2!$N10)+_xlfn.MAXIFS(关卡产出!Z:Z,关卡产出!$A:$A,玩家节奏2!$O$6,关卡产出!$B:$B,玩家节奏2!$O10)+_xlfn.MAXIFS(关卡产出!Z:Z,关卡产出!$A:$A,玩家节奏2!$P$6,关卡产出!$B:$B,玩家节奏2!$P10)</f>
        <v>986</v>
      </c>
      <c r="T10" s="90">
        <f>_xlfn.MAXIFS(关卡产出!AA:AA,关卡产出!$A:$A,玩家节奏2!$N$6,关卡产出!$B:$B,玩家节奏2!$N10)+_xlfn.MAXIFS(关卡产出!AA:AA,关卡产出!$A:$A,玩家节奏2!$O$6,关卡产出!$B:$B,玩家节奏2!$O10)+_xlfn.MAXIFS(关卡产出!AA:AA,关卡产出!$A:$A,玩家节奏2!$P$6,关卡产出!$B:$B,玩家节奏2!$P10)</f>
        <v>494</v>
      </c>
      <c r="U10" s="90">
        <f>_xlfn.MAXIFS(关卡产出!AB:AB,关卡产出!$A:$A,玩家节奏2!$N$6,关卡产出!$B:$B,玩家节奏2!$N10)+_xlfn.MAXIFS(关卡产出!AB:AB,关卡产出!$A:$A,玩家节奏2!$O$6,关卡产出!$B:$B,玩家节奏2!$O10)+_xlfn.MAXIFS(关卡产出!AB:AB,关卡产出!$A:$A,玩家节奏2!$P$6,关卡产出!$B:$B,玩家节奏2!$P10)</f>
        <v>174</v>
      </c>
      <c r="V10" s="130">
        <f>_xlfn.MAXIFS(关卡产出!AC:AC,关卡产出!$A:$A,玩家节奏2!$N$6,关卡产出!$B:$B,玩家节奏2!$N10)+_xlfn.MAXIFS(关卡产出!AC:AC,关卡产出!$A:$A,玩家节奏2!$O$6,关卡产出!$B:$B,玩家节奏2!$O10)+_xlfn.MAXIFS(关卡产出!AC:AC,关卡产出!$A:$A,玩家节奏2!$P$6,关卡产出!$B:$B,玩家节奏2!$P10)</f>
        <v>138</v>
      </c>
      <c r="W10" s="126">
        <f>INDEX(关卡产出!C$8:C$207,MATCH(玩家节奏2!$N10,关卡产出!$B$8:$B$207,0))*$K10</f>
        <v>272</v>
      </c>
      <c r="X10" s="126">
        <f>INDEX(关卡产出!D$8:D$207,MATCH(玩家节奏2!$N10,关卡产出!$B$8:$B$207,0))*$K10</f>
        <v>128</v>
      </c>
      <c r="Y10" s="126">
        <f>INDEX(关卡产出!E$8:E$207,MATCH(玩家节奏2!$N10,关卡产出!$B$8:$B$207,0))*$K10</f>
        <v>64</v>
      </c>
      <c r="Z10" s="144">
        <f>INDEX(关卡产出!F$8:F$207,MATCH(玩家节奏2!$N10,关卡产出!$B$8:$B$207,0))*$K10</f>
        <v>4640</v>
      </c>
      <c r="AA10" s="126">
        <f>SUM(W$7:W10)</f>
        <v>1022</v>
      </c>
      <c r="AB10" s="126">
        <f>SUM(X$7:X10)</f>
        <v>483</v>
      </c>
      <c r="AC10" s="126">
        <f>SUM(Y$7:Y10)</f>
        <v>179</v>
      </c>
      <c r="AD10" s="177">
        <f>SUM(Z$7:Z10)</f>
        <v>18490</v>
      </c>
      <c r="AE10" s="128">
        <f>INDEX(图鉴!AQ:AQ,MATCH($N10,图鉴!$S:$S,0))*34</f>
        <v>578</v>
      </c>
      <c r="AF10" s="90">
        <f>INDEX(图鉴!AR:AR,MATCH($N10,图鉴!$S:$S,0))*34</f>
        <v>204</v>
      </c>
      <c r="AG10" s="90">
        <f>INDEX(图鉴!AS:AS,MATCH($N10,图鉴!$S:$S,0))*34</f>
        <v>34</v>
      </c>
      <c r="AH10" s="129">
        <f ca="1">INDEX(图鉴!AT:AT,MATCH($N10,图鉴!$S:$S,0))*34</f>
        <v>17544</v>
      </c>
      <c r="AI10" s="128">
        <f>SUM($AE$7:AE10)</f>
        <v>1802</v>
      </c>
      <c r="AJ10" s="90">
        <f>SUM(AF$7:AF10)</f>
        <v>578</v>
      </c>
      <c r="AK10" s="90">
        <f>SUM(AG$7:AG10)</f>
        <v>102</v>
      </c>
      <c r="AL10" s="130">
        <f ca="1">SUM(AH$7:AH10)</f>
        <v>53414</v>
      </c>
      <c r="AM10" s="133">
        <f>IF(M10=0,0,INDEX(关卡产出!$AU$11:$AU$15,MATCH(玩家节奏2!N10,关卡产出!$AW$11:$AW$15,1))*M10)</f>
        <v>20500</v>
      </c>
      <c r="AN10" s="126">
        <f>IF(L10=0,0,$L10*关卡产出!AU$21)</f>
        <v>16000</v>
      </c>
      <c r="AO10" s="90">
        <f>IF(M10=0,0,$L10*关卡产出!AV$21)</f>
        <v>800</v>
      </c>
      <c r="AP10" s="129">
        <f>IF(N10=0,0,$L10*关卡产出!AW$21)</f>
        <v>16</v>
      </c>
      <c r="AQ10" s="138">
        <f>SUM(AN$7:AN10)</f>
        <v>16000</v>
      </c>
      <c r="AR10" s="126">
        <f>SUM(AO$7:AO10)</f>
        <v>800</v>
      </c>
      <c r="AS10" s="129">
        <f>SUM(AP$7:AP10)</f>
        <v>16</v>
      </c>
      <c r="AT10" s="128">
        <v>3000</v>
      </c>
      <c r="AU10" s="129">
        <v>600</v>
      </c>
      <c r="AV10" s="128">
        <f>SUM(AT$7:AT10)</f>
        <v>12000</v>
      </c>
      <c r="AW10" s="90">
        <f>SUM(AU$7:AU10)</f>
        <v>2400</v>
      </c>
      <c r="AY10" s="128">
        <f t="shared" si="20"/>
        <v>3100</v>
      </c>
      <c r="AZ10" s="90">
        <f t="shared" si="21"/>
        <v>800</v>
      </c>
      <c r="BA10" s="90">
        <f t="shared" si="22"/>
        <v>2400</v>
      </c>
      <c r="BB10" s="90">
        <f t="shared" ca="1" si="57"/>
        <v>400</v>
      </c>
      <c r="BC10" s="90">
        <f ca="1">BE10-BD10</f>
        <v>5525</v>
      </c>
      <c r="BD10" s="90">
        <f ca="1">(SUM(AY10:BB10)-SUM($AY$9:$BB$9))*$BD$5</f>
        <v>1175</v>
      </c>
      <c r="BE10" s="90">
        <f t="shared" ca="1" si="24"/>
        <v>6700</v>
      </c>
      <c r="BF10" s="142">
        <f t="shared" ca="1" si="0"/>
        <v>0.56108597285067874</v>
      </c>
      <c r="BG10" s="142">
        <f t="shared" ca="1" si="1"/>
        <v>0.14479638009049775</v>
      </c>
      <c r="BH10" s="142">
        <f t="shared" ca="1" si="2"/>
        <v>0.43438914027149322</v>
      </c>
      <c r="BI10" s="142">
        <f t="shared" ca="1" si="3"/>
        <v>7.2398190045248875E-2</v>
      </c>
      <c r="BJ10" s="143"/>
      <c r="BK10" s="128">
        <f ca="1">INDEX(商城宝箱!$L:$L,MATCH(BC10,商城宝箱!$N:$N,1))</f>
        <v>3</v>
      </c>
      <c r="BL10" s="90">
        <f ca="1">_xlfn.IFNA(INDEX(商城宝箱!T:T,MATCH(玩家节奏2!$BK10,商城宝箱!$L:$L,0)),0)+($BC10-INDEX(商城宝箱!$N:$N,MATCH(玩家节奏2!$BK10,商城宝箱!$L:$L,0)))/$BK$5*INDEX(商城宝箱!E$23:E$42,MATCH(玩家节奏2!$BK10+1,商城宝箱!$C$23:$C$42,0))</f>
        <v>13812.5</v>
      </c>
      <c r="BM10" s="90">
        <f ca="1">_xlfn.IFNA(INDEX(商城宝箱!U:U,MATCH(玩家节奏2!$BK10,商城宝箱!$L:$L,0)),0)+($BC10-INDEX(商城宝箱!$N:$N,MATCH(玩家节奏2!$BK10,商城宝箱!$L:$L,0)))/$BK$5*INDEX(商城宝箱!F$23:F$42,MATCH(玩家节奏2!$BK10+1,商城宝箱!$C$23:$C$42,0))</f>
        <v>2221.25</v>
      </c>
      <c r="BN10" s="90">
        <f ca="1">_xlfn.IFNA(INDEX(商城宝箱!V:V,MATCH(玩家节奏2!$BK10,商城宝箱!$L:$L,0)),0)+($BC10-INDEX(商城宝箱!$N:$N,MATCH(玩家节奏2!$BK10,商城宝箱!$L:$L,0)))/$BK$5*INDEX(商城宝箱!G$23:G$42,MATCH(玩家节奏2!$BK10+1,商城宝箱!$C$23:$C$42,0))</f>
        <v>745.125</v>
      </c>
      <c r="BO10" s="90">
        <f ca="1">_xlfn.IFNA(INDEX(商城宝箱!W:W,MATCH(玩家节奏2!$BK10,商城宝箱!$L:$L,0)),0)+($BC10-INDEX(商城宝箱!$N:$N,MATCH(玩家节奏2!$BK10,商城宝箱!$L:$L,0)))/$BK$5*INDEX(商城宝箱!H$23:H$42,MATCH(玩家节奏2!$BK10+1,商城宝箱!$C$23:$C$42,0))</f>
        <v>98.875</v>
      </c>
      <c r="BQ10" s="128">
        <f t="shared" si="4"/>
        <v>122700</v>
      </c>
      <c r="BR10" s="90">
        <f t="shared" si="5"/>
        <v>18490</v>
      </c>
      <c r="BS10" s="90">
        <f t="shared" ca="1" si="6"/>
        <v>53414</v>
      </c>
      <c r="BT10" s="90">
        <f t="shared" si="7"/>
        <v>20500</v>
      </c>
      <c r="BU10" s="90">
        <f t="shared" si="8"/>
        <v>16000</v>
      </c>
      <c r="BV10" s="90">
        <f t="shared" si="9"/>
        <v>12000</v>
      </c>
      <c r="BW10" s="90">
        <f t="shared" ca="1" si="25"/>
        <v>13812.5</v>
      </c>
      <c r="BX10" s="90">
        <f t="shared" ca="1" si="26"/>
        <v>256916.5</v>
      </c>
      <c r="BY10" s="142">
        <f t="shared" ca="1" si="27"/>
        <v>0.47758707595658512</v>
      </c>
      <c r="BZ10" s="142">
        <f t="shared" ca="1" si="10"/>
        <v>7.1968908186122726E-2</v>
      </c>
      <c r="CA10" s="142">
        <f t="shared" ca="1" si="10"/>
        <v>0.20790412449180959</v>
      </c>
      <c r="CB10" s="142">
        <f t="shared" ca="1" si="10"/>
        <v>7.9792461753137686E-2</v>
      </c>
      <c r="CC10" s="142">
        <f t="shared" ca="1" si="10"/>
        <v>6.22770433195221E-2</v>
      </c>
      <c r="CD10" s="142">
        <f t="shared" ca="1" si="10"/>
        <v>4.6707782489641574E-2</v>
      </c>
      <c r="CE10" s="142">
        <f t="shared" ca="1" si="10"/>
        <v>5.3762603803181187E-2</v>
      </c>
      <c r="CG10" s="128">
        <f t="shared" si="28"/>
        <v>23</v>
      </c>
      <c r="CH10" s="90">
        <f ca="1">INDEX(角色升级!$A:$A,MATCH(玩家节奏2!$BX10,角色升级!$J:$J,1))</f>
        <v>158</v>
      </c>
      <c r="CI10" s="90">
        <f ca="1">INDEX(角色升级!$O:$O,MATCH(玩家节奏2!$BX10,角色升级!$J:$J,1))</f>
        <v>2170.8950099999997</v>
      </c>
      <c r="CJ10" s="90">
        <f>INDEX(关卡对比!$J:$J,MATCH(玩家节奏2!N10,关卡对比!$A:$A,0))</f>
        <v>2500</v>
      </c>
      <c r="CK10" s="147">
        <f t="shared" ca="1" si="29"/>
        <v>1.1515987592601267</v>
      </c>
      <c r="CL10" s="128">
        <f ca="1">INDEX(角色升级!$P:$P,MATCH(玩家节奏2!$CH10,角色升级!$A:$A,0))</f>
        <v>400</v>
      </c>
      <c r="CM10" s="90">
        <f ca="1">INDEX(角色升级!Q:Q,MATCH(玩家节奏2!$CH10,角色升级!$A:$A,0))</f>
        <v>0.1</v>
      </c>
      <c r="CO10" s="128">
        <f t="shared" si="30"/>
        <v>986</v>
      </c>
      <c r="CP10" s="90">
        <f t="shared" si="31"/>
        <v>1022</v>
      </c>
      <c r="CQ10" s="90">
        <f t="shared" si="32"/>
        <v>1802</v>
      </c>
      <c r="CR10" s="90">
        <f t="shared" ca="1" si="33"/>
        <v>2221.25</v>
      </c>
      <c r="CS10" s="90">
        <f t="shared" ca="1" si="34"/>
        <v>6031.25</v>
      </c>
      <c r="CT10" s="142">
        <f t="shared" ca="1" si="35"/>
        <v>0.1634818652849741</v>
      </c>
      <c r="CU10" s="142">
        <f t="shared" ca="1" si="11"/>
        <v>0.16945077720207255</v>
      </c>
      <c r="CV10" s="142">
        <f t="shared" ca="1" si="11"/>
        <v>0.29877720207253888</v>
      </c>
      <c r="CW10" s="142">
        <f t="shared" ca="1" si="11"/>
        <v>0.36829015544041449</v>
      </c>
      <c r="CY10" s="128">
        <f t="shared" si="36"/>
        <v>494</v>
      </c>
      <c r="CZ10" s="90">
        <f t="shared" si="37"/>
        <v>483</v>
      </c>
      <c r="DA10" s="90">
        <f t="shared" si="38"/>
        <v>578</v>
      </c>
      <c r="DB10" s="90">
        <f t="shared" ca="1" si="58"/>
        <v>745.125</v>
      </c>
      <c r="DC10" s="90">
        <f t="shared" ca="1" si="39"/>
        <v>2300.125</v>
      </c>
      <c r="DD10" s="142">
        <f t="shared" ca="1" si="40"/>
        <v>0.21477093636215422</v>
      </c>
      <c r="DE10" s="142">
        <f t="shared" ca="1" si="12"/>
        <v>0.20998858757676214</v>
      </c>
      <c r="DF10" s="142">
        <f t="shared" ca="1" si="12"/>
        <v>0.25129069072333027</v>
      </c>
      <c r="DG10" s="142">
        <f t="shared" ca="1" si="12"/>
        <v>0.32394978533775337</v>
      </c>
      <c r="DI10" s="128">
        <f t="shared" si="41"/>
        <v>174</v>
      </c>
      <c r="DJ10" s="90">
        <f t="shared" si="42"/>
        <v>179</v>
      </c>
      <c r="DK10" s="90">
        <f t="shared" si="43"/>
        <v>102</v>
      </c>
      <c r="DL10" s="90">
        <f t="shared" ca="1" si="44"/>
        <v>98.875</v>
      </c>
      <c r="DM10" s="90">
        <f t="shared" ca="1" si="45"/>
        <v>553.875</v>
      </c>
      <c r="DN10" s="142">
        <f t="shared" ca="1" si="46"/>
        <v>0.31415030467163169</v>
      </c>
      <c r="DO10" s="142">
        <f t="shared" ca="1" si="13"/>
        <v>0.32317761227713837</v>
      </c>
      <c r="DP10" s="142">
        <f t="shared" ca="1" si="13"/>
        <v>0.18415707515233581</v>
      </c>
      <c r="DQ10" s="142">
        <f t="shared" ca="1" si="13"/>
        <v>0.17851500789889416</v>
      </c>
      <c r="DS10" s="128">
        <f t="shared" ca="1" si="47"/>
        <v>6031.25</v>
      </c>
      <c r="DT10" s="90">
        <f t="shared" ca="1" si="48"/>
        <v>2300.125</v>
      </c>
      <c r="DU10" s="90">
        <f t="shared" ca="1" si="49"/>
        <v>553.875</v>
      </c>
      <c r="DV10" s="90">
        <f t="shared" si="50"/>
        <v>16</v>
      </c>
      <c r="DW10" s="90">
        <f ca="1">_xlfn.IFNA(INDEX(武器升级消耗!$H:$H,MATCH(玩家节奏2!DS10/玩家节奏2!DS$5,武器升级消耗!M:M,1)),0)</f>
        <v>9</v>
      </c>
      <c r="DX10" s="90">
        <f ca="1">_xlfn.IFNA(INDEX(武器升级消耗!$H:$H,MATCH(玩家节奏2!DT10/玩家节奏2!DT$5,武器升级消耗!N:N,1)),0)</f>
        <v>6</v>
      </c>
      <c r="DY10" s="90">
        <f ca="1">_xlfn.IFNA(INDEX(武器升级消耗!$H:$H,MATCH(玩家节奏2!DU10/玩家节奏2!DU$5,武器升级消耗!O:O,1)),0)</f>
        <v>4</v>
      </c>
      <c r="DZ10" s="90">
        <f>_xlfn.IFNA(INDEX(武器升级消耗!$H:$H,MATCH(玩家节奏2!DV10/玩家节奏2!DV$5,武器升级消耗!P:P,1)),0)</f>
        <v>3</v>
      </c>
      <c r="EA10" s="90">
        <f ca="1">_xlfn.IFNA(INDEX(武器升级消耗!$Q:$Q,MATCH(玩家节奏2!DW10,武器升级消耗!$H:$H,0))*2*EA$4,0)</f>
        <v>1.56</v>
      </c>
      <c r="EB10" s="90">
        <f ca="1">_xlfn.IFNA(INDEX(武器升级消耗!$Q:$Q,MATCH(玩家节奏2!DX10,武器升级消耗!$H:$H,0))*2*EB$4,0)</f>
        <v>1.5</v>
      </c>
      <c r="EC10" s="90">
        <f ca="1">_xlfn.IFNA(INDEX(武器升级消耗!$Q:$Q,MATCH(玩家节奏2!DY10,武器升级消耗!$H:$H,0))*2*EC$4,0)</f>
        <v>1.7600000000000002</v>
      </c>
      <c r="ED10" s="90">
        <f>_xlfn.IFNA(INDEX(武器升级消耗!$Q:$Q,MATCH(玩家节奏2!DZ10,武器升级消耗!$H:$H,0))*2*ED$4,0)</f>
        <v>2.0999999999999996</v>
      </c>
      <c r="EF10" s="128">
        <f t="shared" si="14"/>
        <v>0</v>
      </c>
      <c r="EG10" s="90">
        <f t="shared" si="15"/>
        <v>0</v>
      </c>
      <c r="EH10" s="90">
        <v>12</v>
      </c>
      <c r="EI10" s="90">
        <v>12</v>
      </c>
      <c r="EJ10" s="90">
        <f>_xlfn.IFNA(INDEX(皮肤宠物!$J$4:$J$13,MATCH(EF10+EH10,皮肤宠物!$L$4:$L$13,1)),0)</f>
        <v>0</v>
      </c>
      <c r="EK10" s="90">
        <f>_xlfn.IFNA(INDEX(皮肤宠物!$J$4:$J$13,MATCH(EG10+EI10,皮肤宠物!$L$4:$L$13,1)),0)</f>
        <v>0</v>
      </c>
      <c r="EL10" s="90">
        <f>_xlfn.IFNA(INDEX(皮肤宠物!$N$4:$N$13,MATCH(EF10+EH10,皮肤宠物!$L$4:$L$13,1)),1)</f>
        <v>1</v>
      </c>
      <c r="EM10" s="90">
        <f>_xlfn.IFNA(INDEX(皮肤宠物!$N$4:$N$13,MATCH(EG10+EI10,皮肤宠物!$L$4:$L$13,1)),1)</f>
        <v>1</v>
      </c>
      <c r="EO10" s="128">
        <v>12</v>
      </c>
      <c r="EP10" s="90">
        <v>4</v>
      </c>
      <c r="EQ10" s="90">
        <f t="shared" ca="1" si="51"/>
        <v>1175</v>
      </c>
      <c r="ER10" s="90">
        <f t="shared" si="16"/>
        <v>0</v>
      </c>
      <c r="ES10" s="90">
        <f t="shared" ca="1" si="52"/>
        <v>15.75</v>
      </c>
      <c r="ET10" s="90">
        <f ca="1">$ES10*ET$5*皮肤宠物!$J$75/4</f>
        <v>51.990749999999998</v>
      </c>
      <c r="EU10" s="90">
        <f ca="1">$ES10*EU$5*皮肤宠物!$J$76/4</f>
        <v>8.6782500000000002</v>
      </c>
      <c r="EV10" s="90">
        <f ca="1">$ES10*EV$5*皮肤宠物!$J$77/4</f>
        <v>2.3506875000000003</v>
      </c>
      <c r="EW10" s="90">
        <f ca="1">_xlfn.IFNA(INDEX(皮肤宠物!$H$18:$H$67,MATCH(ET10,皮肤宠物!L$18:L$67,1)),0)</f>
        <v>2</v>
      </c>
      <c r="EX10" s="90">
        <f ca="1">_xlfn.IFNA(INDEX(皮肤宠物!$H$18:$H$67,MATCH(EU10,皮肤宠物!M$18:M$67,1)),0)</f>
        <v>1</v>
      </c>
      <c r="EY10" s="90">
        <f ca="1">_xlfn.IFNA(INDEX(皮肤宠物!$H$18:$H$67,MATCH(EV10,皮肤宠物!N$18:N$67,1)),0)</f>
        <v>1</v>
      </c>
      <c r="EZ10" s="90">
        <f ca="1">_xlfn.IFNA(INDEX(皮肤宠物!C$18:C$67,MATCH(EW10,皮肤宠物!$A$18:$A$67,0))+1,1)</f>
        <v>1.02</v>
      </c>
      <c r="FA10" s="90">
        <f ca="1">_xlfn.IFNA(INDEX(皮肤宠物!D$18:D$67,MATCH(EX10,皮肤宠物!$A$18:$A$67,0))+1,1)</f>
        <v>1.02</v>
      </c>
      <c r="FB10" s="90">
        <f ca="1">_xlfn.IFNA(INDEX(皮肤宠物!E$18:E$67,MATCH(EY10,皮肤宠物!$A$18:$A$67,0))+1,1)</f>
        <v>1.04</v>
      </c>
      <c r="FD10" s="90">
        <f t="shared" ca="1" si="53"/>
        <v>1.7600000000000002</v>
      </c>
      <c r="FE10" s="90">
        <f t="shared" si="54"/>
        <v>1</v>
      </c>
      <c r="FF10" s="90">
        <f t="shared" ca="1" si="55"/>
        <v>1.04</v>
      </c>
      <c r="FG10" s="90">
        <f t="shared" ca="1" si="56"/>
        <v>1.8304000000000002</v>
      </c>
    </row>
    <row r="11" spans="1:163" x14ac:dyDescent="0.25">
      <c r="A11" s="123">
        <v>5</v>
      </c>
      <c r="B11" s="123"/>
      <c r="C11" s="124"/>
      <c r="D11" s="125">
        <f t="shared" ref="D11:D14" si="59">A11*E11+B11*E11+C11*E11-4.5</f>
        <v>5.5</v>
      </c>
      <c r="E11" s="125">
        <v>2</v>
      </c>
      <c r="F11" s="128">
        <v>30</v>
      </c>
      <c r="G11" s="90">
        <v>0</v>
      </c>
      <c r="H11" s="90">
        <v>0</v>
      </c>
      <c r="J11" s="128">
        <v>5</v>
      </c>
      <c r="K11" s="90">
        <f t="shared" si="17"/>
        <v>16</v>
      </c>
      <c r="L11" s="90">
        <f t="shared" si="18"/>
        <v>16</v>
      </c>
      <c r="M11" s="90">
        <f t="shared" si="19"/>
        <v>5</v>
      </c>
      <c r="N11" s="140">
        <f>INDEX($A:$A,MATCH(SUM($K$7:K11),$D:$D,1))</f>
        <v>28</v>
      </c>
      <c r="O11" s="140">
        <v>0</v>
      </c>
      <c r="P11" s="141">
        <v>0</v>
      </c>
      <c r="Q11" s="126">
        <f>_xlfn.MAXIFS(关卡产出!X:X,关卡产出!$A:$A,玩家节奏2!$N$6,关卡产出!$B:$B,玩家节奏2!$N11)+_xlfn.MAXIFS(关卡产出!X:X,关卡产出!$A:$A,玩家节奏2!$O$6,关卡产出!$B:$B,玩家节奏2!$O11)+_xlfn.MAXIFS(关卡产出!X:X,关卡产出!$A:$A,玩家节奏2!$P$6,关卡产出!$B:$B,玩家节奏2!$P11)</f>
        <v>4100</v>
      </c>
      <c r="R11" s="90">
        <f>_xlfn.MAXIFS(关卡产出!Y:Y,关卡产出!$A:$A,玩家节奏2!$N$6,关卡产出!$B:$B,玩家节奏2!$N11)+_xlfn.MAXIFS(关卡产出!Y:Y,关卡产出!$A:$A,玩家节奏2!$O$6,关卡产出!$B:$B,玩家节奏2!$O11)+_xlfn.MAXIFS(关卡产出!Y:Y,关卡产出!$A:$A,玩家节奏2!$P$6,关卡产出!$B:$B,玩家节奏2!$P11)</f>
        <v>189200</v>
      </c>
      <c r="S11" s="90">
        <f>_xlfn.MAXIFS(关卡产出!Z:Z,关卡产出!$A:$A,玩家节奏2!$N$6,关卡产出!$B:$B,玩家节奏2!$N11)+_xlfn.MAXIFS(关卡产出!Z:Z,关卡产出!$A:$A,玩家节奏2!$O$6,关卡产出!$B:$B,玩家节奏2!$O11)+_xlfn.MAXIFS(关卡产出!Z:Z,关卡产出!$A:$A,玩家节奏2!$P$6,关卡产出!$B:$B,玩家节奏2!$P11)</f>
        <v>1466</v>
      </c>
      <c r="T11" s="90">
        <f>_xlfn.MAXIFS(关卡产出!AA:AA,关卡产出!$A:$A,玩家节奏2!$N$6,关卡产出!$B:$B,玩家节奏2!$N11)+_xlfn.MAXIFS(关卡产出!AA:AA,关卡产出!$A:$A,玩家节奏2!$O$6,关卡产出!$B:$B,玩家节奏2!$O11)+_xlfn.MAXIFS(关卡产出!AA:AA,关卡产出!$A:$A,玩家节奏2!$P$6,关卡产出!$B:$B,玩家节奏2!$P11)</f>
        <v>734</v>
      </c>
      <c r="U11" s="90">
        <f>_xlfn.MAXIFS(关卡产出!AB:AB,关卡产出!$A:$A,玩家节奏2!$N$6,关卡产出!$B:$B,玩家节奏2!$N11)+_xlfn.MAXIFS(关卡产出!AB:AB,关卡产出!$A:$A,玩家节奏2!$O$6,关卡产出!$B:$B,玩家节奏2!$O11)+_xlfn.MAXIFS(关卡产出!AB:AB,关卡产出!$A:$A,玩家节奏2!$P$6,关卡产出!$B:$B,玩家节奏2!$P11)</f>
        <v>279</v>
      </c>
      <c r="V11" s="130">
        <f>_xlfn.MAXIFS(关卡产出!AC:AC,关卡产出!$A:$A,玩家节奏2!$N$6,关卡产出!$B:$B,玩家节奏2!$N11)+_xlfn.MAXIFS(关卡产出!AC:AC,关卡产出!$A:$A,玩家节奏2!$O$6,关卡产出!$B:$B,玩家节奏2!$O11)+_xlfn.MAXIFS(关卡产出!AC:AC,关卡产出!$A:$A,玩家节奏2!$P$6,关卡产出!$B:$B,玩家节奏2!$P11)</f>
        <v>168</v>
      </c>
      <c r="W11" s="126">
        <f>INDEX(关卡产出!C$8:C$207,MATCH(玩家节奏2!$N11,关卡产出!$B$8:$B$207,0))*$K11</f>
        <v>336</v>
      </c>
      <c r="X11" s="126">
        <f>INDEX(关卡产出!D$8:D$207,MATCH(玩家节奏2!$N11,关卡产出!$B$8:$B$207,0))*$K11</f>
        <v>160</v>
      </c>
      <c r="Y11" s="126">
        <f>INDEX(关卡产出!E$8:E$207,MATCH(玩家节奏2!$N11,关卡产出!$B$8:$B$207,0))*$K11</f>
        <v>80</v>
      </c>
      <c r="Z11" s="144">
        <f>INDEX(关卡产出!F$8:F$207,MATCH(玩家节奏2!$N11,关卡产出!$B$8:$B$207,0))*$K11</f>
        <v>5280</v>
      </c>
      <c r="AA11" s="126">
        <f>SUM(W$7:W11)</f>
        <v>1358</v>
      </c>
      <c r="AB11" s="126">
        <f>SUM(X$7:X11)</f>
        <v>643</v>
      </c>
      <c r="AC11" s="126">
        <f>SUM(Y$7:Y11)</f>
        <v>259</v>
      </c>
      <c r="AD11" s="177">
        <f>SUM(Z$7:Z11)</f>
        <v>23770</v>
      </c>
      <c r="AE11" s="128">
        <f>INDEX(图鉴!AQ:AQ,MATCH($N11,图鉴!$S:$S,0))*34</f>
        <v>578</v>
      </c>
      <c r="AF11" s="90">
        <f>INDEX(图鉴!AR:AR,MATCH($N11,图鉴!$S:$S,0))*34</f>
        <v>306</v>
      </c>
      <c r="AG11" s="90">
        <f>INDEX(图鉴!AS:AS,MATCH($N11,图鉴!$S:$S,0))*34</f>
        <v>34</v>
      </c>
      <c r="AH11" s="129">
        <f ca="1">INDEX(图鉴!AT:AT,MATCH($N11,图鉴!$S:$S,0))*34</f>
        <v>18972</v>
      </c>
      <c r="AI11" s="128">
        <f>SUM($AE$7:AE11)</f>
        <v>2380</v>
      </c>
      <c r="AJ11" s="90">
        <f>SUM(AF$7:AF11)</f>
        <v>884</v>
      </c>
      <c r="AK11" s="90">
        <f>SUM(AG$7:AG11)</f>
        <v>136</v>
      </c>
      <c r="AL11" s="130">
        <f ca="1">SUM(AH$7:AH11)</f>
        <v>72386</v>
      </c>
      <c r="AM11" s="133">
        <f>IF(M11=0,0,INDEX(关卡产出!$AU$11:$AU$15,MATCH(玩家节奏2!N11,关卡产出!$AW$11:$AW$15,1))*M11)</f>
        <v>20500</v>
      </c>
      <c r="AN11" s="126">
        <f>IF(L11=0,0,$L11*关卡产出!AU$21)</f>
        <v>16000</v>
      </c>
      <c r="AO11" s="90">
        <f>IF(M11=0,0,$L11*关卡产出!AV$21)</f>
        <v>800</v>
      </c>
      <c r="AP11" s="129">
        <f>IF(N11=0,0,$L11*关卡产出!AW$21)</f>
        <v>16</v>
      </c>
      <c r="AQ11" s="138">
        <f>SUM(AN$7:AN11)</f>
        <v>32000</v>
      </c>
      <c r="AR11" s="126">
        <f>SUM(AO$7:AO11)</f>
        <v>1600</v>
      </c>
      <c r="AS11" s="129">
        <f>SUM(AP$7:AP11)</f>
        <v>32</v>
      </c>
      <c r="AT11" s="128">
        <v>3000</v>
      </c>
      <c r="AU11" s="129">
        <v>600</v>
      </c>
      <c r="AV11" s="128">
        <f>SUM(AT$7:AT11)</f>
        <v>15000</v>
      </c>
      <c r="AW11" s="90">
        <f>SUM(AU$7:AU11)</f>
        <v>3000</v>
      </c>
      <c r="AY11" s="128">
        <f t="shared" si="20"/>
        <v>4100</v>
      </c>
      <c r="AZ11" s="90">
        <f t="shared" si="21"/>
        <v>1600</v>
      </c>
      <c r="BA11" s="90">
        <f t="shared" si="22"/>
        <v>3000</v>
      </c>
      <c r="BB11" s="90">
        <f t="shared" ca="1" si="57"/>
        <v>400</v>
      </c>
      <c r="BC11" s="90">
        <f t="shared" ref="BC11:BC74" ca="1" si="60">BE11-BD11</f>
        <v>6725</v>
      </c>
      <c r="BD11" s="90">
        <f t="shared" ref="BD11:BD74" ca="1" si="61">(SUM(AY11:BB11)-SUM($AY$9:$BB$9))*$BD$5</f>
        <v>2375</v>
      </c>
      <c r="BE11" s="90">
        <f ca="1">SUM(AY11:BB11)</f>
        <v>9100</v>
      </c>
      <c r="BF11" s="142">
        <f t="shared" ca="1" si="0"/>
        <v>0.60966542750929364</v>
      </c>
      <c r="BG11" s="142">
        <f t="shared" ca="1" si="1"/>
        <v>0.23791821561338289</v>
      </c>
      <c r="BH11" s="142">
        <f t="shared" ca="1" si="2"/>
        <v>0.44609665427509293</v>
      </c>
      <c r="BI11" s="142">
        <f t="shared" ca="1" si="3"/>
        <v>5.9479553903345722E-2</v>
      </c>
      <c r="BJ11" s="143"/>
      <c r="BK11" s="128">
        <f ca="1">INDEX(商城宝箱!$L:$L,MATCH(BC11,商城宝箱!$N:$N,1))</f>
        <v>4</v>
      </c>
      <c r="BL11" s="90">
        <f ca="1">_xlfn.IFNA(INDEX(商城宝箱!T:T,MATCH(玩家节奏2!$BK11,商城宝箱!$L:$L,0)),0)+($BC11-INDEX(商城宝箱!$N:$N,MATCH(玩家节奏2!$BK11,商城宝箱!$L:$L,0)))/$BK$5*INDEX(商城宝箱!E$23:E$42,MATCH(玩家节奏2!$BK11+1,商城宝箱!$C$23:$C$42,0))</f>
        <v>16812.5</v>
      </c>
      <c r="BM11" s="90">
        <f ca="1">_xlfn.IFNA(INDEX(商城宝箱!U:U,MATCH(玩家节奏2!$BK11,商城宝箱!$L:$L,0)),0)+($BC11-INDEX(商城宝箱!$N:$N,MATCH(玩家节奏2!$BK11,商城宝箱!$L:$L,0)))/$BK$5*INDEX(商城宝箱!F$23:F$42,MATCH(玩家节奏2!$BK11+1,商城宝箱!$C$23:$C$42,0))</f>
        <v>2906.25</v>
      </c>
      <c r="BN11" s="90">
        <f ca="1">_xlfn.IFNA(INDEX(商城宝箱!V:V,MATCH(玩家节奏2!$BK11,商城宝箱!$L:$L,0)),0)+($BC11-INDEX(商城宝箱!$N:$N,MATCH(玩家节奏2!$BK11,商城宝箱!$L:$L,0)))/$BK$5*INDEX(商城宝箱!G$23:G$42,MATCH(玩家节奏2!$BK11+1,商城宝箱!$C$23:$C$42,0))</f>
        <v>1033.875</v>
      </c>
      <c r="BO11" s="90">
        <f ca="1">_xlfn.IFNA(INDEX(商城宝箱!W:W,MATCH(玩家节奏2!$BK11,商城宝箱!$L:$L,0)),0)+($BC11-INDEX(商城宝箱!$N:$N,MATCH(玩家节奏2!$BK11,商城宝箱!$L:$L,0)))/$BK$5*INDEX(商城宝箱!H$23:H$42,MATCH(玩家节奏2!$BK11+1,商城宝箱!$C$23:$C$42,0))</f>
        <v>143.375</v>
      </c>
      <c r="BQ11" s="128">
        <f t="shared" si="4"/>
        <v>189200</v>
      </c>
      <c r="BR11" s="90">
        <f t="shared" si="5"/>
        <v>23770</v>
      </c>
      <c r="BS11" s="90">
        <f t="shared" ca="1" si="6"/>
        <v>72386</v>
      </c>
      <c r="BT11" s="90">
        <f t="shared" si="7"/>
        <v>20500</v>
      </c>
      <c r="BU11" s="90">
        <f t="shared" si="8"/>
        <v>32000</v>
      </c>
      <c r="BV11" s="90">
        <f t="shared" si="9"/>
        <v>15000</v>
      </c>
      <c r="BW11" s="90">
        <f t="shared" ca="1" si="25"/>
        <v>16812.5</v>
      </c>
      <c r="BX11" s="90">
        <f t="shared" ca="1" si="26"/>
        <v>369668.5</v>
      </c>
      <c r="BY11" s="142">
        <f t="shared" ca="1" si="27"/>
        <v>0.51180990536115467</v>
      </c>
      <c r="BZ11" s="142">
        <f t="shared" ca="1" si="10"/>
        <v>6.4300853332107014E-2</v>
      </c>
      <c r="CA11" s="142">
        <f t="shared" ca="1" si="10"/>
        <v>0.19581327594858636</v>
      </c>
      <c r="CB11" s="142">
        <f t="shared" ca="1" si="10"/>
        <v>5.5455090168624051E-2</v>
      </c>
      <c r="CC11" s="142">
        <f t="shared" ca="1" si="10"/>
        <v>8.6564043190047305E-2</v>
      </c>
      <c r="CD11" s="142">
        <f t="shared" ca="1" si="10"/>
        <v>4.0576895245334671E-2</v>
      </c>
      <c r="CE11" s="142">
        <f t="shared" ca="1" si="10"/>
        <v>4.5479936754145946E-2</v>
      </c>
      <c r="CG11" s="128">
        <f t="shared" si="28"/>
        <v>28</v>
      </c>
      <c r="CH11" s="90">
        <f ca="1">INDEX(角色升级!$A:$A,MATCH(玩家节奏2!$BX11,角色升级!$J:$J,1))</f>
        <v>188</v>
      </c>
      <c r="CI11" s="90">
        <f ca="1">INDEX(角色升级!$O:$O,MATCH(玩家节奏2!$BX11,角色升级!$J:$J,1))</f>
        <v>2932.7469450000003</v>
      </c>
      <c r="CJ11" s="90">
        <f>INDEX(关卡对比!$J:$J,MATCH(玩家节奏2!N11,关卡对比!$A:$A,0))</f>
        <v>3500</v>
      </c>
      <c r="CK11" s="147">
        <f t="shared" ca="1" si="29"/>
        <v>1.193420389020301</v>
      </c>
      <c r="CL11" s="128">
        <f ca="1">INDEX(角色升级!$P:$P,MATCH(玩家节奏2!$CH11,角色升级!$A:$A,0))</f>
        <v>400</v>
      </c>
      <c r="CM11" s="90">
        <f ca="1">INDEX(角色升级!Q:Q,MATCH(玩家节奏2!$CH11,角色升级!$A:$A,0))</f>
        <v>0.1</v>
      </c>
      <c r="CO11" s="128">
        <f t="shared" si="30"/>
        <v>1466</v>
      </c>
      <c r="CP11" s="90">
        <f t="shared" si="31"/>
        <v>1358</v>
      </c>
      <c r="CQ11" s="90">
        <f t="shared" si="32"/>
        <v>2380</v>
      </c>
      <c r="CR11" s="90">
        <f t="shared" ca="1" si="33"/>
        <v>2906.25</v>
      </c>
      <c r="CS11" s="90">
        <f t="shared" ca="1" si="34"/>
        <v>8110.25</v>
      </c>
      <c r="CT11" s="142">
        <f t="shared" ca="1" si="35"/>
        <v>0.18075891618630746</v>
      </c>
      <c r="CU11" s="142">
        <f t="shared" ca="1" si="11"/>
        <v>0.16744243395702968</v>
      </c>
      <c r="CV11" s="142">
        <f t="shared" ca="1" si="11"/>
        <v>0.29345581208963967</v>
      </c>
      <c r="CW11" s="142">
        <f t="shared" ca="1" si="11"/>
        <v>0.35834283776702319</v>
      </c>
      <c r="CY11" s="128">
        <f t="shared" si="36"/>
        <v>734</v>
      </c>
      <c r="CZ11" s="90">
        <f t="shared" si="37"/>
        <v>643</v>
      </c>
      <c r="DA11" s="90">
        <f t="shared" si="38"/>
        <v>884</v>
      </c>
      <c r="DB11" s="90">
        <f t="shared" ca="1" si="58"/>
        <v>1033.875</v>
      </c>
      <c r="DC11" s="90">
        <f t="shared" ca="1" si="39"/>
        <v>3294.875</v>
      </c>
      <c r="DD11" s="142">
        <f t="shared" ca="1" si="40"/>
        <v>0.22277021131302402</v>
      </c>
      <c r="DE11" s="142">
        <f t="shared" ca="1" si="12"/>
        <v>0.19515156113661369</v>
      </c>
      <c r="DF11" s="142">
        <f t="shared" ca="1" si="12"/>
        <v>0.26829545885655753</v>
      </c>
      <c r="DG11" s="142">
        <f t="shared" ca="1" si="12"/>
        <v>0.31378276869380478</v>
      </c>
      <c r="DI11" s="128">
        <f t="shared" si="41"/>
        <v>279</v>
      </c>
      <c r="DJ11" s="90">
        <f t="shared" si="42"/>
        <v>259</v>
      </c>
      <c r="DK11" s="90">
        <f t="shared" si="43"/>
        <v>136</v>
      </c>
      <c r="DL11" s="90">
        <f t="shared" ca="1" si="44"/>
        <v>143.375</v>
      </c>
      <c r="DM11" s="90">
        <f t="shared" ca="1" si="45"/>
        <v>817.375</v>
      </c>
      <c r="DN11" s="142">
        <f t="shared" ca="1" si="46"/>
        <v>0.34133659580975684</v>
      </c>
      <c r="DO11" s="142">
        <f t="shared" ca="1" si="13"/>
        <v>0.31686802263343017</v>
      </c>
      <c r="DP11" s="142">
        <f t="shared" ca="1" si="13"/>
        <v>0.16638629759902127</v>
      </c>
      <c r="DQ11" s="142">
        <f t="shared" ca="1" si="13"/>
        <v>0.1754090839577917</v>
      </c>
      <c r="DS11" s="128">
        <f t="shared" ca="1" si="47"/>
        <v>8110.25</v>
      </c>
      <c r="DT11" s="90">
        <f t="shared" ca="1" si="48"/>
        <v>3294.875</v>
      </c>
      <c r="DU11" s="90">
        <f t="shared" ca="1" si="49"/>
        <v>817.375</v>
      </c>
      <c r="DV11" s="90">
        <f t="shared" si="50"/>
        <v>32</v>
      </c>
      <c r="DW11" s="90">
        <f ca="1">_xlfn.IFNA(INDEX(武器升级消耗!$H:$H,MATCH(玩家节奏2!DS11/玩家节奏2!DS$5,武器升级消耗!M:M,1)),0)</f>
        <v>10</v>
      </c>
      <c r="DX11" s="90">
        <f ca="1">_xlfn.IFNA(INDEX(武器升级消耗!$H:$H,MATCH(玩家节奏2!DT11/玩家节奏2!DT$5,武器升级消耗!N:N,1)),0)</f>
        <v>7</v>
      </c>
      <c r="DY11" s="90">
        <f ca="1">_xlfn.IFNA(INDEX(武器升级消耗!$H:$H,MATCH(玩家节奏2!DU11/玩家节奏2!DU$5,武器升级消耗!O:O,1)),0)</f>
        <v>4</v>
      </c>
      <c r="DZ11" s="90">
        <f>_xlfn.IFNA(INDEX(武器升级消耗!$H:$H,MATCH(玩家节奏2!DV11/玩家节奏2!DV$5,武器升级消耗!P:P,1)),0)</f>
        <v>4</v>
      </c>
      <c r="EA11" s="90">
        <f ca="1">_xlfn.IFNA(INDEX(武器升级消耗!$Q:$Q,MATCH(玩家节奏2!DW11,武器升级消耗!$H:$H,0))*2*EA$4,0)</f>
        <v>1.68</v>
      </c>
      <c r="EB11" s="90">
        <f ca="1">_xlfn.IFNA(INDEX(武器升级消耗!$Q:$Q,MATCH(玩家节奏2!DX11,武器升级消耗!$H:$H,0))*2*EB$4,0)</f>
        <v>1.6500000000000001</v>
      </c>
      <c r="EC11" s="90">
        <f ca="1">_xlfn.IFNA(INDEX(武器升级消耗!$Q:$Q,MATCH(玩家节奏2!DY11,武器升级消耗!$H:$H,0))*2*EC$4,0)</f>
        <v>1.7600000000000002</v>
      </c>
      <c r="ED11" s="90">
        <f>_xlfn.IFNA(INDEX(武器升级消耗!$Q:$Q,MATCH(玩家节奏2!DZ11,武器升级消耗!$H:$H,0))*2*ED$4,0)</f>
        <v>2.4000000000000004</v>
      </c>
      <c r="EF11" s="128">
        <f t="shared" si="14"/>
        <v>0</v>
      </c>
      <c r="EG11" s="90">
        <f t="shared" si="15"/>
        <v>0</v>
      </c>
      <c r="EH11" s="90">
        <v>15</v>
      </c>
      <c r="EI11" s="90">
        <v>15</v>
      </c>
      <c r="EJ11" s="90">
        <f>_xlfn.IFNA(INDEX(皮肤宠物!$J$4:$J$13,MATCH(EF11+EH11,皮肤宠物!$L$4:$L$13,1)),0)</f>
        <v>1</v>
      </c>
      <c r="EK11" s="90">
        <f>_xlfn.IFNA(INDEX(皮肤宠物!$J$4:$J$13,MATCH(EG11+EI11,皮肤宠物!$L$4:$L$13,1)),0)</f>
        <v>1</v>
      </c>
      <c r="EL11" s="90">
        <f>_xlfn.IFNA(INDEX(皮肤宠物!$N$4:$N$13,MATCH(EF11+EH11,皮肤宠物!$L$4:$L$13,1)),1)</f>
        <v>1.2100000000000002</v>
      </c>
      <c r="EM11" s="90">
        <f>_xlfn.IFNA(INDEX(皮肤宠物!$N$4:$N$13,MATCH(EG11+EI11,皮肤宠物!$L$4:$L$13,1)),1)</f>
        <v>1.2100000000000002</v>
      </c>
      <c r="EO11" s="128">
        <v>15</v>
      </c>
      <c r="EP11" s="90">
        <v>5</v>
      </c>
      <c r="EQ11" s="90">
        <f t="shared" ca="1" si="51"/>
        <v>2375</v>
      </c>
      <c r="ER11" s="90">
        <f t="shared" si="16"/>
        <v>0</v>
      </c>
      <c r="ES11" s="90">
        <f t="shared" ca="1" si="52"/>
        <v>28.75</v>
      </c>
      <c r="ET11" s="90">
        <f ca="1">$ES11*ET$5*皮肤宠物!$J$75/4</f>
        <v>94.903750000000002</v>
      </c>
      <c r="EU11" s="90">
        <f ca="1">$ES11*EU$5*皮肤宠物!$J$76/4</f>
        <v>15.84125</v>
      </c>
      <c r="EV11" s="90">
        <f ca="1">$ES11*EV$5*皮肤宠物!$J$77/4</f>
        <v>4.2909375000000001</v>
      </c>
      <c r="EW11" s="90">
        <f ca="1">_xlfn.IFNA(INDEX(皮肤宠物!$H$18:$H$67,MATCH(ET11,皮肤宠物!L$18:L$67,1)),0)</f>
        <v>3</v>
      </c>
      <c r="EX11" s="90">
        <f ca="1">_xlfn.IFNA(INDEX(皮肤宠物!$H$18:$H$67,MATCH(EU11,皮肤宠物!M$18:M$67,1)),0)</f>
        <v>2</v>
      </c>
      <c r="EY11" s="90">
        <f ca="1">_xlfn.IFNA(INDEX(皮肤宠物!$H$18:$H$67,MATCH(EV11,皮肤宠物!N$18:N$67,1)),0)</f>
        <v>1</v>
      </c>
      <c r="EZ11" s="90">
        <f ca="1">_xlfn.IFNA(INDEX(皮肤宠物!C$18:C$67,MATCH(EW11,皮肤宠物!$A$18:$A$67,0))+1,1)</f>
        <v>1.03</v>
      </c>
      <c r="FA11" s="90">
        <f ca="1">_xlfn.IFNA(INDEX(皮肤宠物!D$18:D$67,MATCH(EX11,皮肤宠物!$A$18:$A$67,0))+1,1)</f>
        <v>1.04</v>
      </c>
      <c r="FB11" s="90">
        <f ca="1">_xlfn.IFNA(INDEX(皮肤宠物!E$18:E$67,MATCH(EY11,皮肤宠物!$A$18:$A$67,0))+1,1)</f>
        <v>1.04</v>
      </c>
      <c r="FD11" s="90">
        <f t="shared" ca="1" si="53"/>
        <v>1.7600000000000002</v>
      </c>
      <c r="FE11" s="90">
        <f t="shared" si="54"/>
        <v>1.2100000000000002</v>
      </c>
      <c r="FF11" s="90">
        <f t="shared" ca="1" si="55"/>
        <v>1.04</v>
      </c>
      <c r="FG11" s="90">
        <f t="shared" ca="1" si="56"/>
        <v>2.2147840000000008</v>
      </c>
    </row>
    <row r="12" spans="1:163" x14ac:dyDescent="0.25">
      <c r="A12" s="123">
        <v>6</v>
      </c>
      <c r="B12" s="123"/>
      <c r="C12" s="124"/>
      <c r="D12" s="125">
        <f t="shared" si="59"/>
        <v>7.5</v>
      </c>
      <c r="E12" s="125">
        <v>2</v>
      </c>
      <c r="F12" s="128">
        <v>30</v>
      </c>
      <c r="G12" s="90">
        <v>0</v>
      </c>
      <c r="H12" s="90">
        <v>0</v>
      </c>
      <c r="J12" s="128">
        <v>6</v>
      </c>
      <c r="K12" s="90">
        <f t="shared" si="17"/>
        <v>16</v>
      </c>
      <c r="L12" s="90">
        <f t="shared" si="18"/>
        <v>16</v>
      </c>
      <c r="M12" s="90">
        <f t="shared" si="19"/>
        <v>5</v>
      </c>
      <c r="N12" s="140">
        <f>INDEX($A:$A,MATCH(SUM($K$7:K12),$D:$D,1))</f>
        <v>31</v>
      </c>
      <c r="O12" s="140">
        <v>0</v>
      </c>
      <c r="P12" s="141">
        <v>0</v>
      </c>
      <c r="Q12" s="126">
        <f>_xlfn.MAXIFS(关卡产出!X:X,关卡产出!$A:$A,玩家节奏2!$N$6,关卡产出!$B:$B,玩家节奏2!$N12)+_xlfn.MAXIFS(关卡产出!X:X,关卡产出!$A:$A,玩家节奏2!$O$6,关卡产出!$B:$B,玩家节奏2!$O12)+_xlfn.MAXIFS(关卡产出!X:X,关卡产出!$A:$A,玩家节奏2!$P$6,关卡产出!$B:$B,玩家节奏2!$P12)</f>
        <v>4700</v>
      </c>
      <c r="R12" s="90">
        <f>_xlfn.MAXIFS(关卡产出!Y:Y,关卡产出!$A:$A,玩家节奏2!$N$6,关卡产出!$B:$B,玩家节奏2!$N12)+_xlfn.MAXIFS(关卡产出!Y:Y,关卡产出!$A:$A,玩家节奏2!$O$6,关卡产出!$B:$B,玩家节奏2!$O12)+_xlfn.MAXIFS(关卡产出!Y:Y,关卡产出!$A:$A,玩家节奏2!$P$6,关卡产出!$B:$B,玩家节奏2!$P12)</f>
        <v>236300</v>
      </c>
      <c r="S12" s="90">
        <f>_xlfn.MAXIFS(关卡产出!Z:Z,关卡产出!$A:$A,玩家节奏2!$N$6,关卡产出!$B:$B,玩家节奏2!$N12)+_xlfn.MAXIFS(关卡产出!Z:Z,关卡产出!$A:$A,玩家节奏2!$O$6,关卡产出!$B:$B,玩家节奏2!$O12)+_xlfn.MAXIFS(关卡产出!Z:Z,关卡产出!$A:$A,玩家节奏2!$P$6,关卡产出!$B:$B,玩家节奏2!$P12)</f>
        <v>1802</v>
      </c>
      <c r="T12" s="90">
        <f>_xlfn.MAXIFS(关卡产出!AA:AA,关卡产出!$A:$A,玩家节奏2!$N$6,关卡产出!$B:$B,玩家节奏2!$N12)+_xlfn.MAXIFS(关卡产出!AA:AA,关卡产出!$A:$A,玩家节奏2!$O$6,关卡产出!$B:$B,玩家节奏2!$O12)+_xlfn.MAXIFS(关卡产出!AA:AA,关卡产出!$A:$A,玩家节奏2!$P$6,关卡产出!$B:$B,玩家节奏2!$P12)</f>
        <v>902</v>
      </c>
      <c r="U12" s="90">
        <f>_xlfn.MAXIFS(关卡产出!AB:AB,关卡产出!$A:$A,玩家节奏2!$N$6,关卡产出!$B:$B,玩家节奏2!$N12)+_xlfn.MAXIFS(关卡产出!AB:AB,关卡产出!$A:$A,玩家节奏2!$O$6,关卡产出!$B:$B,玩家节奏2!$O12)+_xlfn.MAXIFS(关卡产出!AB:AB,关卡产出!$A:$A,玩家节奏2!$P$6,关卡产出!$B:$B,玩家节奏2!$P12)</f>
        <v>354</v>
      </c>
      <c r="V12" s="130">
        <f>_xlfn.MAXIFS(关卡产出!AC:AC,关卡产出!$A:$A,玩家节奏2!$N$6,关卡产出!$B:$B,玩家节奏2!$N12)+_xlfn.MAXIFS(关卡产出!AC:AC,关卡产出!$A:$A,玩家节奏2!$O$6,关卡产出!$B:$B,玩家节奏2!$O12)+_xlfn.MAXIFS(关卡产出!AC:AC,关卡产出!$A:$A,玩家节奏2!$P$6,关卡产出!$B:$B,玩家节奏2!$P12)</f>
        <v>186</v>
      </c>
      <c r="W12" s="126">
        <f>INDEX(关卡产出!C$8:C$207,MATCH(玩家节奏2!$N12,关卡产出!$B$8:$B$207,0))*$K12</f>
        <v>368</v>
      </c>
      <c r="X12" s="126">
        <f>INDEX(关卡产出!D$8:D$207,MATCH(玩家节奏2!$N12,关卡产出!$B$8:$B$207,0))*$K12</f>
        <v>176</v>
      </c>
      <c r="Y12" s="126">
        <f>INDEX(关卡产出!E$8:E$207,MATCH(玩家节奏2!$N12,关卡产出!$B$8:$B$207,0))*$K12</f>
        <v>80</v>
      </c>
      <c r="Z12" s="144">
        <f>INDEX(关卡产出!F$8:F$207,MATCH(玩家节奏2!$N12,关卡产出!$B$8:$B$207,0))*$K12</f>
        <v>5920</v>
      </c>
      <c r="AA12" s="126">
        <f>SUM(W$7:W12)</f>
        <v>1726</v>
      </c>
      <c r="AB12" s="126">
        <f>SUM(X$7:X12)</f>
        <v>819</v>
      </c>
      <c r="AC12" s="126">
        <f>SUM(Y$7:Y12)</f>
        <v>339</v>
      </c>
      <c r="AD12" s="177">
        <f>SUM(Z$7:Z12)</f>
        <v>29690</v>
      </c>
      <c r="AE12" s="128">
        <f>INDEX(图鉴!AQ:AQ,MATCH($N12,图鉴!$S:$S,0))*34</f>
        <v>578</v>
      </c>
      <c r="AF12" s="90">
        <f>INDEX(图鉴!AR:AR,MATCH($N12,图鉴!$S:$S,0))*34</f>
        <v>306</v>
      </c>
      <c r="AG12" s="90">
        <f>INDEX(图鉴!AS:AS,MATCH($N12,图鉴!$S:$S,0))*34</f>
        <v>102</v>
      </c>
      <c r="AH12" s="129">
        <f ca="1">INDEX(图鉴!AT:AT,MATCH($N12,图鉴!$S:$S,0))*34</f>
        <v>20570</v>
      </c>
      <c r="AI12" s="128">
        <f>SUM($AE$7:AE12)</f>
        <v>2958</v>
      </c>
      <c r="AJ12" s="90">
        <f>SUM(AF$7:AF12)</f>
        <v>1190</v>
      </c>
      <c r="AK12" s="90">
        <f>SUM(AG$7:AG12)</f>
        <v>238</v>
      </c>
      <c r="AL12" s="130">
        <f ca="1">SUM(AH$7:AH12)</f>
        <v>92956</v>
      </c>
      <c r="AM12" s="133">
        <f>IF(M12=0,0,INDEX(关卡产出!$AU$11:$AU$15,MATCH(玩家节奏2!N12,关卡产出!$AW$11:$AW$15,1))*M12)</f>
        <v>29000</v>
      </c>
      <c r="AN12" s="126">
        <f>IF(L12=0,0,$L12*关卡产出!AU$21)</f>
        <v>16000</v>
      </c>
      <c r="AO12" s="90">
        <f>IF(M12=0,0,$L12*关卡产出!AV$21)</f>
        <v>800</v>
      </c>
      <c r="AP12" s="129">
        <f>IF(N12=0,0,$L12*关卡产出!AW$21)</f>
        <v>16</v>
      </c>
      <c r="AQ12" s="138">
        <f>SUM(AN$7:AN12)</f>
        <v>48000</v>
      </c>
      <c r="AR12" s="126">
        <f>SUM(AO$7:AO12)</f>
        <v>2400</v>
      </c>
      <c r="AS12" s="129">
        <f>SUM(AP$7:AP12)</f>
        <v>48</v>
      </c>
      <c r="AT12" s="128">
        <v>3000</v>
      </c>
      <c r="AU12" s="129">
        <v>600</v>
      </c>
      <c r="AV12" s="128">
        <f>SUM(AT$7:AT12)</f>
        <v>18000</v>
      </c>
      <c r="AW12" s="90">
        <f>SUM(AU$7:AU12)</f>
        <v>3600</v>
      </c>
      <c r="AY12" s="128">
        <f t="shared" si="20"/>
        <v>4700</v>
      </c>
      <c r="AZ12" s="90">
        <f t="shared" si="21"/>
        <v>2400</v>
      </c>
      <c r="BA12" s="90">
        <f t="shared" si="22"/>
        <v>3600</v>
      </c>
      <c r="BB12" s="90">
        <f t="shared" ca="1" si="57"/>
        <v>400</v>
      </c>
      <c r="BC12" s="90">
        <f t="shared" ca="1" si="60"/>
        <v>7725</v>
      </c>
      <c r="BD12" s="90">
        <f t="shared" ca="1" si="61"/>
        <v>3375</v>
      </c>
      <c r="BE12" s="90">
        <f t="shared" ca="1" si="24"/>
        <v>11100</v>
      </c>
      <c r="BF12" s="142">
        <f t="shared" ca="1" si="0"/>
        <v>0.60841423948220064</v>
      </c>
      <c r="BG12" s="142">
        <f t="shared" ca="1" si="1"/>
        <v>0.31067961165048541</v>
      </c>
      <c r="BH12" s="142">
        <f t="shared" ca="1" si="2"/>
        <v>0.46601941747572817</v>
      </c>
      <c r="BI12" s="142">
        <f t="shared" ca="1" si="3"/>
        <v>5.1779935275080909E-2</v>
      </c>
      <c r="BJ12" s="143"/>
      <c r="BK12" s="128">
        <f ca="1">INDEX(商城宝箱!$L:$L,MATCH(BC12,商城宝箱!$N:$N,1))</f>
        <v>4</v>
      </c>
      <c r="BL12" s="90">
        <f ca="1">_xlfn.IFNA(INDEX(商城宝箱!T:T,MATCH(玩家节奏2!$BK12,商城宝箱!$L:$L,0)),0)+($BC12-INDEX(商城宝箱!$N:$N,MATCH(玩家节奏2!$BK12,商城宝箱!$L:$L,0)))/$BK$5*INDEX(商城宝箱!E$23:E$42,MATCH(玩家节奏2!$BK12+1,商城宝箱!$C$23:$C$42,0))</f>
        <v>19312.5</v>
      </c>
      <c r="BM12" s="90">
        <f ca="1">_xlfn.IFNA(INDEX(商城宝箱!U:U,MATCH(玩家节奏2!$BK12,商城宝箱!$L:$L,0)),0)+($BC12-INDEX(商城宝箱!$N:$N,MATCH(玩家节奏2!$BK12,商城宝箱!$L:$L,0)))/$BK$5*INDEX(商城宝箱!F$23:F$42,MATCH(玩家节奏2!$BK12+1,商城宝箱!$C$23:$C$42,0))</f>
        <v>3656.25</v>
      </c>
      <c r="BN12" s="90">
        <f ca="1">_xlfn.IFNA(INDEX(商城宝箱!V:V,MATCH(玩家节奏2!$BK12,商城宝箱!$L:$L,0)),0)+($BC12-INDEX(商城宝箱!$N:$N,MATCH(玩家节奏2!$BK12,商城宝箱!$L:$L,0)))/$BK$5*INDEX(商城宝箱!G$23:G$42,MATCH(玩家节奏2!$BK12+1,商城宝箱!$C$23:$C$42,0))</f>
        <v>1408.875</v>
      </c>
      <c r="BO12" s="90">
        <f ca="1">_xlfn.IFNA(INDEX(商城宝箱!W:W,MATCH(玩家节奏2!$BK12,商城宝箱!$L:$L,0)),0)+($BC12-INDEX(商城宝箱!$N:$N,MATCH(玩家节奏2!$BK12,商城宝箱!$L:$L,0)))/$BK$5*INDEX(商城宝箱!H$23:H$42,MATCH(玩家节奏2!$BK12+1,商城宝箱!$C$23:$C$42,0))</f>
        <v>198.375</v>
      </c>
      <c r="BQ12" s="128">
        <f t="shared" si="4"/>
        <v>236300</v>
      </c>
      <c r="BR12" s="90">
        <f t="shared" si="5"/>
        <v>29690</v>
      </c>
      <c r="BS12" s="90">
        <f t="shared" ca="1" si="6"/>
        <v>92956</v>
      </c>
      <c r="BT12" s="90">
        <f t="shared" si="7"/>
        <v>29000</v>
      </c>
      <c r="BU12" s="90">
        <f t="shared" si="8"/>
        <v>48000</v>
      </c>
      <c r="BV12" s="90">
        <f t="shared" si="9"/>
        <v>18000</v>
      </c>
      <c r="BW12" s="90">
        <f t="shared" ca="1" si="25"/>
        <v>19312.5</v>
      </c>
      <c r="BX12" s="90">
        <f t="shared" ca="1" si="26"/>
        <v>473258.5</v>
      </c>
      <c r="BY12" s="142">
        <f t="shared" ca="1" si="27"/>
        <v>0.49930429141790372</v>
      </c>
      <c r="BZ12" s="142">
        <f t="shared" ca="1" si="10"/>
        <v>6.273527047057792E-2</v>
      </c>
      <c r="CA12" s="142">
        <f t="shared" ca="1" si="10"/>
        <v>0.19641696873907177</v>
      </c>
      <c r="CB12" s="142">
        <f t="shared" ca="1" si="10"/>
        <v>6.1277293487597161E-2</v>
      </c>
      <c r="CC12" s="142">
        <f t="shared" ca="1" si="10"/>
        <v>0.10142448577257461</v>
      </c>
      <c r="CD12" s="142">
        <f t="shared" ca="1" si="10"/>
        <v>3.8034182164715477E-2</v>
      </c>
      <c r="CE12" s="142">
        <f t="shared" ca="1" si="10"/>
        <v>4.0807507947559316E-2</v>
      </c>
      <c r="CG12" s="128">
        <f t="shared" si="28"/>
        <v>31</v>
      </c>
      <c r="CH12" s="90">
        <f ca="1">INDEX(角色升级!$A:$A,MATCH(玩家节奏2!$BX12,角色升级!$J:$J,1))</f>
        <v>215</v>
      </c>
      <c r="CI12" s="90">
        <f ca="1">INDEX(角色升级!$O:$O,MATCH(玩家节奏2!$BX12,角色升级!$J:$J,1))</f>
        <v>3560.9352100000001</v>
      </c>
      <c r="CJ12" s="90">
        <f>INDEX(关卡对比!$J:$J,MATCH(玩家节奏2!N12,关卡对比!$A:$A,0))</f>
        <v>4300</v>
      </c>
      <c r="CK12" s="147">
        <f t="shared" ca="1" si="29"/>
        <v>1.2075479463722116</v>
      </c>
      <c r="CL12" s="128">
        <f ca="1">INDEX(角色升级!$P:$P,MATCH(玩家节奏2!$CH12,角色升级!$A:$A,0))</f>
        <v>650</v>
      </c>
      <c r="CM12" s="90">
        <f ca="1">INDEX(角色升级!Q:Q,MATCH(玩家节奏2!$CH12,角色升级!$A:$A,0))</f>
        <v>0.1</v>
      </c>
      <c r="CO12" s="128">
        <f t="shared" si="30"/>
        <v>1802</v>
      </c>
      <c r="CP12" s="90">
        <f t="shared" si="31"/>
        <v>1726</v>
      </c>
      <c r="CQ12" s="90">
        <f t="shared" si="32"/>
        <v>2958</v>
      </c>
      <c r="CR12" s="90">
        <f t="shared" ca="1" si="33"/>
        <v>3656.25</v>
      </c>
      <c r="CS12" s="90">
        <f t="shared" ca="1" si="34"/>
        <v>10142.25</v>
      </c>
      <c r="CT12" s="142">
        <f t="shared" ca="1" si="35"/>
        <v>0.17767260716310485</v>
      </c>
      <c r="CU12" s="142">
        <f t="shared" ca="1" si="11"/>
        <v>0.17017920086765756</v>
      </c>
      <c r="CV12" s="142">
        <f t="shared" ca="1" si="11"/>
        <v>0.29165126081490794</v>
      </c>
      <c r="CW12" s="142">
        <f t="shared" ca="1" si="11"/>
        <v>0.36049693115432968</v>
      </c>
      <c r="CY12" s="128">
        <f t="shared" si="36"/>
        <v>902</v>
      </c>
      <c r="CZ12" s="90">
        <f t="shared" si="37"/>
        <v>819</v>
      </c>
      <c r="DA12" s="90">
        <f t="shared" si="38"/>
        <v>1190</v>
      </c>
      <c r="DB12" s="90">
        <f t="shared" ca="1" si="58"/>
        <v>1408.875</v>
      </c>
      <c r="DC12" s="90">
        <f t="shared" ca="1" si="39"/>
        <v>4319.875</v>
      </c>
      <c r="DD12" s="142">
        <f t="shared" ca="1" si="40"/>
        <v>0.20880233803061432</v>
      </c>
      <c r="DE12" s="142">
        <f t="shared" ca="1" si="12"/>
        <v>0.18958881912092362</v>
      </c>
      <c r="DF12" s="142">
        <f t="shared" ca="1" si="12"/>
        <v>0.27547093376544463</v>
      </c>
      <c r="DG12" s="142">
        <f t="shared" ca="1" si="12"/>
        <v>0.32613790908301743</v>
      </c>
      <c r="DI12" s="128">
        <f t="shared" si="41"/>
        <v>354</v>
      </c>
      <c r="DJ12" s="90">
        <f t="shared" si="42"/>
        <v>339</v>
      </c>
      <c r="DK12" s="90">
        <f t="shared" si="43"/>
        <v>238</v>
      </c>
      <c r="DL12" s="90">
        <f t="shared" ca="1" si="44"/>
        <v>198.375</v>
      </c>
      <c r="DM12" s="90">
        <f t="shared" ca="1" si="45"/>
        <v>1129.375</v>
      </c>
      <c r="DN12" s="142">
        <f t="shared" ca="1" si="46"/>
        <v>0.31344770337576094</v>
      </c>
      <c r="DO12" s="142">
        <f t="shared" ca="1" si="13"/>
        <v>0.30016602102933038</v>
      </c>
      <c r="DP12" s="142">
        <f t="shared" ca="1" si="13"/>
        <v>0.21073602656336468</v>
      </c>
      <c r="DQ12" s="142">
        <f t="shared" ca="1" si="13"/>
        <v>0.175650249031544</v>
      </c>
      <c r="DS12" s="128">
        <f t="shared" ca="1" si="47"/>
        <v>10142.25</v>
      </c>
      <c r="DT12" s="90">
        <f t="shared" ca="1" si="48"/>
        <v>4319.875</v>
      </c>
      <c r="DU12" s="90">
        <f t="shared" ca="1" si="49"/>
        <v>1129.375</v>
      </c>
      <c r="DV12" s="90">
        <f t="shared" si="50"/>
        <v>48</v>
      </c>
      <c r="DW12" s="90">
        <f ca="1">_xlfn.IFNA(INDEX(武器升级消耗!$H:$H,MATCH(玩家节奏2!DS12/玩家节奏2!DS$5,武器升级消耗!M:M,1)),0)</f>
        <v>11</v>
      </c>
      <c r="DX12" s="90">
        <f ca="1">_xlfn.IFNA(INDEX(武器升级消耗!$H:$H,MATCH(玩家节奏2!DT12/玩家节奏2!DT$5,武器升级消耗!N:N,1)),0)</f>
        <v>8</v>
      </c>
      <c r="DY12" s="90">
        <f ca="1">_xlfn.IFNA(INDEX(武器升级消耗!$H:$H,MATCH(玩家节奏2!DU12/玩家节奏2!DU$5,武器升级消耗!O:O,1)),0)</f>
        <v>5</v>
      </c>
      <c r="DZ12" s="90">
        <f>_xlfn.IFNA(INDEX(武器升级消耗!$H:$H,MATCH(玩家节奏2!DV12/玩家节奏2!DV$5,武器升级消耗!P:P,1)),0)</f>
        <v>5</v>
      </c>
      <c r="EA12" s="90">
        <f ca="1">_xlfn.IFNA(INDEX(武器升级消耗!$Q:$Q,MATCH(玩家节奏2!DW12,武器升级消耗!$H:$H,0))*2*EA$4,0)</f>
        <v>1.7999999999999998</v>
      </c>
      <c r="EB12" s="90">
        <f ca="1">_xlfn.IFNA(INDEX(武器升级消耗!$Q:$Q,MATCH(玩家节奏2!DX12,武器升级消耗!$H:$H,0))*2*EB$4,0)</f>
        <v>1.7999999999999998</v>
      </c>
      <c r="EC12" s="90">
        <f ca="1">_xlfn.IFNA(INDEX(武器升级消耗!$Q:$Q,MATCH(玩家节奏2!DY12,武器升级消耗!$H:$H,0))*2*EC$4,0)</f>
        <v>1.9800000000000002</v>
      </c>
      <c r="ED12" s="90">
        <f>_xlfn.IFNA(INDEX(武器升级消耗!$Q:$Q,MATCH(玩家节奏2!DZ12,武器升级消耗!$H:$H,0))*2*ED$4,0)</f>
        <v>2.7</v>
      </c>
      <c r="EF12" s="128">
        <f t="shared" si="14"/>
        <v>0</v>
      </c>
      <c r="EG12" s="90">
        <f t="shared" si="15"/>
        <v>0</v>
      </c>
      <c r="EH12" s="90">
        <v>18</v>
      </c>
      <c r="EI12" s="90">
        <v>18</v>
      </c>
      <c r="EJ12" s="90">
        <f>_xlfn.IFNA(INDEX(皮肤宠物!$J$4:$J$13,MATCH(EF12+EH12,皮肤宠物!$L$4:$L$13,1)),0)</f>
        <v>1</v>
      </c>
      <c r="EK12" s="90">
        <f>_xlfn.IFNA(INDEX(皮肤宠物!$J$4:$J$13,MATCH(EG12+EI12,皮肤宠物!$L$4:$L$13,1)),0)</f>
        <v>1</v>
      </c>
      <c r="EL12" s="90">
        <f>_xlfn.IFNA(INDEX(皮肤宠物!$N$4:$N$13,MATCH(EF12+EH12,皮肤宠物!$L$4:$L$13,1)),1)</f>
        <v>1.2100000000000002</v>
      </c>
      <c r="EM12" s="90">
        <f>_xlfn.IFNA(INDEX(皮肤宠物!$N$4:$N$13,MATCH(EG12+EI12,皮肤宠物!$L$4:$L$13,1)),1)</f>
        <v>1.2100000000000002</v>
      </c>
      <c r="EO12" s="128">
        <v>18</v>
      </c>
      <c r="EP12" s="90">
        <v>6</v>
      </c>
      <c r="EQ12" s="90">
        <f t="shared" ca="1" si="51"/>
        <v>3375</v>
      </c>
      <c r="ER12" s="90">
        <f t="shared" si="16"/>
        <v>0</v>
      </c>
      <c r="ES12" s="90">
        <f t="shared" ca="1" si="52"/>
        <v>39.75</v>
      </c>
      <c r="ET12" s="90">
        <f ca="1">$ES12*ET$5*皮肤宠物!$J$75/4</f>
        <v>131.21475000000001</v>
      </c>
      <c r="EU12" s="90">
        <f ca="1">$ES12*EU$5*皮肤宠物!$J$76/4</f>
        <v>21.902250000000002</v>
      </c>
      <c r="EV12" s="90">
        <f ca="1">$ES12*EV$5*皮肤宠物!$J$77/4</f>
        <v>5.9326875000000001</v>
      </c>
      <c r="EW12" s="90">
        <f ca="1">_xlfn.IFNA(INDEX(皮肤宠物!$H$18:$H$67,MATCH(ET12,皮肤宠物!L$18:L$67,1)),0)</f>
        <v>3</v>
      </c>
      <c r="EX12" s="90">
        <f ca="1">_xlfn.IFNA(INDEX(皮肤宠物!$H$18:$H$67,MATCH(EU12,皮肤宠物!M$18:M$67,1)),0)</f>
        <v>2</v>
      </c>
      <c r="EY12" s="90">
        <f ca="1">_xlfn.IFNA(INDEX(皮肤宠物!$H$18:$H$67,MATCH(EV12,皮肤宠物!N$18:N$67,1)),0)</f>
        <v>1</v>
      </c>
      <c r="EZ12" s="90">
        <f ca="1">_xlfn.IFNA(INDEX(皮肤宠物!C$18:C$67,MATCH(EW12,皮肤宠物!$A$18:$A$67,0))+1,1)</f>
        <v>1.03</v>
      </c>
      <c r="FA12" s="90">
        <f ca="1">_xlfn.IFNA(INDEX(皮肤宠物!D$18:D$67,MATCH(EX12,皮肤宠物!$A$18:$A$67,0))+1,1)</f>
        <v>1.04</v>
      </c>
      <c r="FB12" s="90">
        <f ca="1">_xlfn.IFNA(INDEX(皮肤宠物!E$18:E$67,MATCH(EY12,皮肤宠物!$A$18:$A$67,0))+1,1)</f>
        <v>1.04</v>
      </c>
      <c r="FD12" s="90">
        <f t="shared" ca="1" si="53"/>
        <v>1.9800000000000002</v>
      </c>
      <c r="FE12" s="90">
        <f t="shared" si="54"/>
        <v>1.2100000000000002</v>
      </c>
      <c r="FF12" s="90">
        <f t="shared" ca="1" si="55"/>
        <v>1.04</v>
      </c>
      <c r="FG12" s="90">
        <f t="shared" ca="1" si="56"/>
        <v>2.4916320000000005</v>
      </c>
    </row>
    <row r="13" spans="1:163" x14ac:dyDescent="0.25">
      <c r="A13" s="123">
        <v>7</v>
      </c>
      <c r="B13" s="123"/>
      <c r="C13" s="124"/>
      <c r="D13" s="125">
        <f t="shared" si="59"/>
        <v>9.5</v>
      </c>
      <c r="E13" s="125">
        <v>2</v>
      </c>
      <c r="F13" s="128">
        <v>30</v>
      </c>
      <c r="G13" s="90">
        <v>0</v>
      </c>
      <c r="H13" s="90">
        <v>0</v>
      </c>
      <c r="J13" s="128">
        <v>7</v>
      </c>
      <c r="K13" s="90">
        <f t="shared" si="17"/>
        <v>16</v>
      </c>
      <c r="L13" s="90">
        <f t="shared" si="18"/>
        <v>16</v>
      </c>
      <c r="M13" s="90">
        <f t="shared" si="19"/>
        <v>5</v>
      </c>
      <c r="N13" s="140">
        <f>INDEX($A:$A,MATCH(SUM($K$7:K13),$D:$D,1))</f>
        <v>35</v>
      </c>
      <c r="O13" s="140">
        <v>0</v>
      </c>
      <c r="P13" s="141">
        <v>0</v>
      </c>
      <c r="Q13" s="126">
        <f>_xlfn.MAXIFS(关卡产出!X:X,关卡产出!$A:$A,玩家节奏2!$N$6,关卡产出!$B:$B,玩家节奏2!$N13)+_xlfn.MAXIFS(关卡产出!X:X,关卡产出!$A:$A,玩家节奏2!$O$6,关卡产出!$B:$B,玩家节奏2!$O13)+_xlfn.MAXIFS(关卡产出!X:X,关卡产出!$A:$A,玩家节奏2!$P$6,关卡产出!$B:$B,玩家节奏2!$P13)</f>
        <v>5500</v>
      </c>
      <c r="R13" s="90">
        <f>_xlfn.MAXIFS(关卡产出!Y:Y,关卡产出!$A:$A,玩家节奏2!$N$6,关卡产出!$B:$B,玩家节奏2!$N13)+_xlfn.MAXIFS(关卡产出!Y:Y,关卡产出!$A:$A,玩家节奏2!$O$6,关卡产出!$B:$B,玩家节奏2!$O13)+_xlfn.MAXIFS(关卡产出!Y:Y,关卡产出!$A:$A,玩家节奏2!$P$6,关卡产出!$B:$B,玩家节奏2!$P13)</f>
        <v>307500</v>
      </c>
      <c r="S13" s="90">
        <f>_xlfn.MAXIFS(关卡产出!Z:Z,关卡产出!$A:$A,玩家节奏2!$N$6,关卡产出!$B:$B,玩家节奏2!$N13)+_xlfn.MAXIFS(关卡产出!Z:Z,关卡产出!$A:$A,玩家节奏2!$O$6,关卡产出!$B:$B,玩家节奏2!$O13)+_xlfn.MAXIFS(关卡产出!Z:Z,关卡产出!$A:$A,玩家节奏2!$P$6,关卡产出!$B:$B,玩家节奏2!$P13)</f>
        <v>2306</v>
      </c>
      <c r="T13" s="90">
        <f>_xlfn.MAXIFS(关卡产出!AA:AA,关卡产出!$A:$A,玩家节奏2!$N$6,关卡产出!$B:$B,玩家节奏2!$N13)+_xlfn.MAXIFS(关卡产出!AA:AA,关卡产出!$A:$A,玩家节奏2!$O$6,关卡产出!$B:$B,玩家节奏2!$O13)+_xlfn.MAXIFS(关卡产出!AA:AA,关卡产出!$A:$A,玩家节奏2!$P$6,关卡产出!$B:$B,玩家节奏2!$P13)</f>
        <v>1154</v>
      </c>
      <c r="U13" s="90">
        <f>_xlfn.MAXIFS(关卡产出!AB:AB,关卡产出!$A:$A,玩家节奏2!$N$6,关卡产出!$B:$B,玩家节奏2!$N13)+_xlfn.MAXIFS(关卡产出!AB:AB,关卡产出!$A:$A,玩家节奏2!$O$6,关卡产出!$B:$B,玩家节奏2!$O13)+_xlfn.MAXIFS(关卡产出!AB:AB,关卡产出!$A:$A,玩家节奏2!$P$6,关卡产出!$B:$B,玩家节奏2!$P13)</f>
        <v>468</v>
      </c>
      <c r="V13" s="130">
        <f>_xlfn.MAXIFS(关卡产出!AC:AC,关卡产出!$A:$A,玩家节奏2!$N$6,关卡产出!$B:$B,玩家节奏2!$N13)+_xlfn.MAXIFS(关卡产出!AC:AC,关卡产出!$A:$A,玩家节奏2!$O$6,关卡产出!$B:$B,玩家节奏2!$O13)+_xlfn.MAXIFS(关卡产出!AC:AC,关卡产出!$A:$A,玩家节奏2!$P$6,关卡产出!$B:$B,玩家节奏2!$P13)</f>
        <v>210</v>
      </c>
      <c r="W13" s="126">
        <f>INDEX(关卡产出!C$8:C$207,MATCH(玩家节奏2!$N13,关卡产出!$B$8:$B$207,0))*$K13</f>
        <v>416</v>
      </c>
      <c r="X13" s="126">
        <f>INDEX(关卡产出!D$8:D$207,MATCH(玩家节奏2!$N13,关卡产出!$B$8:$B$207,0))*$K13</f>
        <v>208</v>
      </c>
      <c r="Y13" s="126">
        <f>INDEX(关卡产出!E$8:E$207,MATCH(玩家节奏2!$N13,关卡产出!$B$8:$B$207,0))*$K13</f>
        <v>96</v>
      </c>
      <c r="Z13" s="144">
        <f>INDEX(关卡产出!F$8:F$207,MATCH(玩家节奏2!$N13,关卡产出!$B$8:$B$207,0))*$K13</f>
        <v>6560</v>
      </c>
      <c r="AA13" s="126">
        <f>SUM(W$7:W13)</f>
        <v>2142</v>
      </c>
      <c r="AB13" s="126">
        <f>SUM(X$7:X13)</f>
        <v>1027</v>
      </c>
      <c r="AC13" s="126">
        <f>SUM(Y$7:Y13)</f>
        <v>435</v>
      </c>
      <c r="AD13" s="177">
        <f>SUM(Z$7:Z13)</f>
        <v>36250</v>
      </c>
      <c r="AE13" s="128">
        <f>INDEX(图鉴!AQ:AQ,MATCH($N13,图鉴!$S:$S,0))*34</f>
        <v>578</v>
      </c>
      <c r="AF13" s="90">
        <f>INDEX(图鉴!AR:AR,MATCH($N13,图鉴!$S:$S,0))*34</f>
        <v>306</v>
      </c>
      <c r="AG13" s="90">
        <f>INDEX(图鉴!AS:AS,MATCH($N13,图鉴!$S:$S,0))*34</f>
        <v>102</v>
      </c>
      <c r="AH13" s="129">
        <f ca="1">INDEX(图鉴!AT:AT,MATCH($N13,图鉴!$S:$S,0))*34</f>
        <v>21420</v>
      </c>
      <c r="AI13" s="128">
        <f>SUM($AE$7:AE13)</f>
        <v>3536</v>
      </c>
      <c r="AJ13" s="90">
        <f>SUM(AF$7:AF13)</f>
        <v>1496</v>
      </c>
      <c r="AK13" s="90">
        <f>SUM(AG$7:AG13)</f>
        <v>340</v>
      </c>
      <c r="AL13" s="130">
        <f ca="1">SUM(AH$7:AH13)</f>
        <v>114376</v>
      </c>
      <c r="AM13" s="133">
        <f>IF(M13=0,0,INDEX(关卡产出!$AU$11:$AU$15,MATCH(玩家节奏2!N13,关卡产出!$AW$11:$AW$15,1))*M13)</f>
        <v>29000</v>
      </c>
      <c r="AN13" s="126">
        <f>IF(L13=0,0,$L13*关卡产出!AU$21)</f>
        <v>16000</v>
      </c>
      <c r="AO13" s="90">
        <f>IF(M13=0,0,$L13*关卡产出!AV$21)</f>
        <v>800</v>
      </c>
      <c r="AP13" s="129">
        <f>IF(N13=0,0,$L13*关卡产出!AW$21)</f>
        <v>16</v>
      </c>
      <c r="AQ13" s="138">
        <f>SUM(AN$7:AN13)</f>
        <v>64000</v>
      </c>
      <c r="AR13" s="126">
        <f>SUM(AO$7:AO13)</f>
        <v>3200</v>
      </c>
      <c r="AS13" s="129">
        <f>SUM(AP$7:AP13)</f>
        <v>64</v>
      </c>
      <c r="AT13" s="128">
        <v>3000</v>
      </c>
      <c r="AU13" s="129">
        <v>600</v>
      </c>
      <c r="AV13" s="128">
        <f>SUM(AT$7:AT13)</f>
        <v>21000</v>
      </c>
      <c r="AW13" s="90">
        <f>SUM(AU$7:AU13)</f>
        <v>4200</v>
      </c>
      <c r="AY13" s="128">
        <f t="shared" si="20"/>
        <v>5500</v>
      </c>
      <c r="AZ13" s="90">
        <f t="shared" si="21"/>
        <v>3200</v>
      </c>
      <c r="BA13" s="90">
        <f t="shared" si="22"/>
        <v>4200</v>
      </c>
      <c r="BB13" s="90">
        <f t="shared" ca="1" si="57"/>
        <v>650</v>
      </c>
      <c r="BC13" s="90">
        <f t="shared" ca="1" si="60"/>
        <v>8950</v>
      </c>
      <c r="BD13" s="90">
        <f t="shared" ca="1" si="61"/>
        <v>4600</v>
      </c>
      <c r="BE13" s="90">
        <f t="shared" ca="1" si="24"/>
        <v>13550</v>
      </c>
      <c r="BF13" s="142">
        <f t="shared" ca="1" si="0"/>
        <v>0.61452513966480449</v>
      </c>
      <c r="BG13" s="142">
        <f t="shared" ca="1" si="1"/>
        <v>0.35754189944134079</v>
      </c>
      <c r="BH13" s="142">
        <f t="shared" ca="1" si="2"/>
        <v>0.46927374301675978</v>
      </c>
      <c r="BI13" s="142">
        <f t="shared" ca="1" si="3"/>
        <v>7.2625698324022353E-2</v>
      </c>
      <c r="BJ13" s="143"/>
      <c r="BK13" s="128">
        <f ca="1">INDEX(商城宝箱!$L:$L,MATCH(BC13,商城宝箱!$N:$N,1))</f>
        <v>4</v>
      </c>
      <c r="BL13" s="90">
        <f ca="1">_xlfn.IFNA(INDEX(商城宝箱!T:T,MATCH(玩家节奏2!$BK13,商城宝箱!$L:$L,0)),0)+($BC13-INDEX(商城宝箱!$N:$N,MATCH(玩家节奏2!$BK13,商城宝箱!$L:$L,0)))/$BK$5*INDEX(商城宝箱!E$23:E$42,MATCH(玩家节奏2!$BK13+1,商城宝箱!$C$23:$C$42,0))</f>
        <v>22375</v>
      </c>
      <c r="BM13" s="90">
        <f ca="1">_xlfn.IFNA(INDEX(商城宝箱!U:U,MATCH(玩家节奏2!$BK13,商城宝箱!$L:$L,0)),0)+($BC13-INDEX(商城宝箱!$N:$N,MATCH(玩家节奏2!$BK13,商城宝箱!$L:$L,0)))/$BK$5*INDEX(商城宝箱!F$23:F$42,MATCH(玩家节奏2!$BK13+1,商城宝箱!$C$23:$C$42,0))</f>
        <v>4575</v>
      </c>
      <c r="BN13" s="90">
        <f ca="1">_xlfn.IFNA(INDEX(商城宝箱!V:V,MATCH(玩家节奏2!$BK13,商城宝箱!$L:$L,0)),0)+($BC13-INDEX(商城宝箱!$N:$N,MATCH(玩家节奏2!$BK13,商城宝箱!$L:$L,0)))/$BK$5*INDEX(商城宝箱!G$23:G$42,MATCH(玩家节奏2!$BK13+1,商城宝箱!$C$23:$C$42,0))</f>
        <v>1868.25</v>
      </c>
      <c r="BO13" s="90">
        <f ca="1">_xlfn.IFNA(INDEX(商城宝箱!W:W,MATCH(玩家节奏2!$BK13,商城宝箱!$L:$L,0)),0)+($BC13-INDEX(商城宝箱!$N:$N,MATCH(玩家节奏2!$BK13,商城宝箱!$L:$L,0)))/$BK$5*INDEX(商城宝箱!H$23:H$42,MATCH(玩家节奏2!$BK13+1,商城宝箱!$C$23:$C$42,0))</f>
        <v>265.75</v>
      </c>
      <c r="BQ13" s="128">
        <f t="shared" si="4"/>
        <v>307500</v>
      </c>
      <c r="BR13" s="90">
        <f t="shared" si="5"/>
        <v>36250</v>
      </c>
      <c r="BS13" s="90">
        <f t="shared" ca="1" si="6"/>
        <v>114376</v>
      </c>
      <c r="BT13" s="90">
        <f t="shared" si="7"/>
        <v>29000</v>
      </c>
      <c r="BU13" s="90">
        <f t="shared" si="8"/>
        <v>64000</v>
      </c>
      <c r="BV13" s="90">
        <f t="shared" si="9"/>
        <v>21000</v>
      </c>
      <c r="BW13" s="90">
        <f t="shared" ca="1" si="25"/>
        <v>22375</v>
      </c>
      <c r="BX13" s="90">
        <f t="shared" ca="1" si="26"/>
        <v>594501</v>
      </c>
      <c r="BY13" s="142">
        <f t="shared" ca="1" si="27"/>
        <v>0.51724050926743603</v>
      </c>
      <c r="BZ13" s="142">
        <f t="shared" ca="1" si="10"/>
        <v>6.0975507190063602E-2</v>
      </c>
      <c r="CA13" s="142">
        <f t="shared" ca="1" si="10"/>
        <v>0.19238992028608867</v>
      </c>
      <c r="CB13" s="142">
        <f t="shared" ca="1" si="10"/>
        <v>4.8780405752050879E-2</v>
      </c>
      <c r="CC13" s="142">
        <f t="shared" ca="1" si="10"/>
        <v>0.1076533092459054</v>
      </c>
      <c r="CD13" s="142">
        <f t="shared" ca="1" si="10"/>
        <v>3.5323742096312706E-2</v>
      </c>
      <c r="CE13" s="142">
        <f t="shared" ca="1" si="10"/>
        <v>3.7636606162142705E-2</v>
      </c>
      <c r="CG13" s="128">
        <f t="shared" si="28"/>
        <v>35</v>
      </c>
      <c r="CH13" s="90">
        <f ca="1">INDEX(角色升级!$A:$A,MATCH(玩家节奏2!$BX13,角色升级!$J:$J,1))</f>
        <v>241</v>
      </c>
      <c r="CI13" s="90">
        <f ca="1">INDEX(角色升级!$O:$O,MATCH(玩家节奏2!$BX13,角色升级!$J:$J,1))</f>
        <v>4149.9958500000002</v>
      </c>
      <c r="CJ13" s="90">
        <f>INDEX(关卡对比!$J:$J,MATCH(玩家节奏2!N13,关卡对比!$A:$A,0))</f>
        <v>5500</v>
      </c>
      <c r="CK13" s="147">
        <f t="shared" ca="1" si="29"/>
        <v>1.3253025301218071</v>
      </c>
      <c r="CL13" s="128">
        <f ca="1">INDEX(角色升级!$P:$P,MATCH(玩家节奏2!$CH13,角色升级!$A:$A,0))</f>
        <v>950</v>
      </c>
      <c r="CM13" s="90">
        <f ca="1">INDEX(角色升级!Q:Q,MATCH(玩家节奏2!$CH13,角色升级!$A:$A,0))</f>
        <v>0.1</v>
      </c>
      <c r="CO13" s="128">
        <f t="shared" si="30"/>
        <v>2306</v>
      </c>
      <c r="CP13" s="90">
        <f t="shared" si="31"/>
        <v>2142</v>
      </c>
      <c r="CQ13" s="90">
        <f t="shared" si="32"/>
        <v>3536</v>
      </c>
      <c r="CR13" s="90">
        <f t="shared" ca="1" si="33"/>
        <v>4575</v>
      </c>
      <c r="CS13" s="90">
        <f t="shared" ca="1" si="34"/>
        <v>12559</v>
      </c>
      <c r="CT13" s="142">
        <f t="shared" ca="1" si="35"/>
        <v>0.1836133450115455</v>
      </c>
      <c r="CU13" s="142">
        <f t="shared" ca="1" si="11"/>
        <v>0.1705549804920774</v>
      </c>
      <c r="CV13" s="142">
        <f t="shared" ca="1" si="11"/>
        <v>0.28155107890755632</v>
      </c>
      <c r="CW13" s="142">
        <f t="shared" ca="1" si="11"/>
        <v>0.36428059558882075</v>
      </c>
      <c r="CY13" s="128">
        <f t="shared" si="36"/>
        <v>1154</v>
      </c>
      <c r="CZ13" s="90">
        <f t="shared" si="37"/>
        <v>1027</v>
      </c>
      <c r="DA13" s="90">
        <f t="shared" si="38"/>
        <v>1496</v>
      </c>
      <c r="DB13" s="90">
        <f t="shared" ca="1" si="58"/>
        <v>1868.25</v>
      </c>
      <c r="DC13" s="90">
        <f t="shared" ca="1" si="39"/>
        <v>5545.25</v>
      </c>
      <c r="DD13" s="142">
        <f t="shared" ca="1" si="40"/>
        <v>0.20810603669807493</v>
      </c>
      <c r="DE13" s="142">
        <f t="shared" ca="1" si="12"/>
        <v>0.18520355259005455</v>
      </c>
      <c r="DF13" s="142">
        <f t="shared" ca="1" si="12"/>
        <v>0.2697804427212479</v>
      </c>
      <c r="DG13" s="142">
        <f t="shared" ca="1" si="12"/>
        <v>0.33690996799062262</v>
      </c>
      <c r="DI13" s="128">
        <f t="shared" si="41"/>
        <v>468</v>
      </c>
      <c r="DJ13" s="90">
        <f t="shared" si="42"/>
        <v>435</v>
      </c>
      <c r="DK13" s="90">
        <f t="shared" si="43"/>
        <v>340</v>
      </c>
      <c r="DL13" s="90">
        <f t="shared" ca="1" si="44"/>
        <v>265.75</v>
      </c>
      <c r="DM13" s="90">
        <f t="shared" ca="1" si="45"/>
        <v>1508.75</v>
      </c>
      <c r="DN13" s="142">
        <f t="shared" ca="1" si="46"/>
        <v>0.31019055509527754</v>
      </c>
      <c r="DO13" s="142">
        <f t="shared" ca="1" si="13"/>
        <v>0.28831814415907209</v>
      </c>
      <c r="DP13" s="142">
        <f t="shared" ca="1" si="13"/>
        <v>0.22535211267605634</v>
      </c>
      <c r="DQ13" s="142">
        <f t="shared" ca="1" si="13"/>
        <v>0.17613918806959403</v>
      </c>
      <c r="DS13" s="128">
        <f t="shared" ca="1" si="47"/>
        <v>12559</v>
      </c>
      <c r="DT13" s="90">
        <f t="shared" ca="1" si="48"/>
        <v>5545.25</v>
      </c>
      <c r="DU13" s="90">
        <f t="shared" ca="1" si="49"/>
        <v>1508.75</v>
      </c>
      <c r="DV13" s="90">
        <f t="shared" si="50"/>
        <v>64</v>
      </c>
      <c r="DW13" s="90">
        <f ca="1">_xlfn.IFNA(INDEX(武器升级消耗!$H:$H,MATCH(玩家节奏2!DS13/玩家节奏2!DS$5,武器升级消耗!M:M,1)),0)</f>
        <v>12</v>
      </c>
      <c r="DX13" s="90">
        <f ca="1">_xlfn.IFNA(INDEX(武器升级消耗!$H:$H,MATCH(玩家节奏2!DT13/玩家节奏2!DT$5,武器升级消耗!N:N,1)),0)</f>
        <v>9</v>
      </c>
      <c r="DY13" s="90">
        <f ca="1">_xlfn.IFNA(INDEX(武器升级消耗!$H:$H,MATCH(玩家节奏2!DU13/玩家节奏2!DU$5,武器升级消耗!O:O,1)),0)</f>
        <v>6</v>
      </c>
      <c r="DZ13" s="90">
        <f>_xlfn.IFNA(INDEX(武器升级消耗!$H:$H,MATCH(玩家节奏2!DV13/玩家节奏2!DV$5,武器升级消耗!P:P,1)),0)</f>
        <v>6</v>
      </c>
      <c r="EA13" s="90">
        <f ca="1">_xlfn.IFNA(INDEX(武器升级消耗!$Q:$Q,MATCH(玩家节奏2!DW13,武器升级消耗!$H:$H,0))*2*EA$4,0)</f>
        <v>1.92</v>
      </c>
      <c r="EB13" s="90">
        <f ca="1">_xlfn.IFNA(INDEX(武器升级消耗!$Q:$Q,MATCH(玩家节奏2!DX13,武器升级消耗!$H:$H,0))*2*EB$4,0)</f>
        <v>1.9500000000000002</v>
      </c>
      <c r="EC13" s="90">
        <f ca="1">_xlfn.IFNA(INDEX(武器升级消耗!$Q:$Q,MATCH(玩家节奏2!DY13,武器升级消耗!$H:$H,0))*2*EC$4,0)</f>
        <v>2.2000000000000002</v>
      </c>
      <c r="ED13" s="90">
        <f>_xlfn.IFNA(INDEX(武器升级消耗!$Q:$Q,MATCH(玩家节奏2!DZ13,武器升级消耗!$H:$H,0))*2*ED$4,0)</f>
        <v>3</v>
      </c>
      <c r="EF13" s="128">
        <f t="shared" si="14"/>
        <v>0</v>
      </c>
      <c r="EG13" s="90">
        <f t="shared" si="15"/>
        <v>0</v>
      </c>
      <c r="EH13" s="90">
        <v>21</v>
      </c>
      <c r="EI13" s="90">
        <v>21</v>
      </c>
      <c r="EJ13" s="90">
        <f>_xlfn.IFNA(INDEX(皮肤宠物!$J$4:$J$13,MATCH(EF13+EH13,皮肤宠物!$L$4:$L$13,1)),0)</f>
        <v>1</v>
      </c>
      <c r="EK13" s="90">
        <f>_xlfn.IFNA(INDEX(皮肤宠物!$J$4:$J$13,MATCH(EG13+EI13,皮肤宠物!$L$4:$L$13,1)),0)</f>
        <v>1</v>
      </c>
      <c r="EL13" s="90">
        <f>_xlfn.IFNA(INDEX(皮肤宠物!$N$4:$N$13,MATCH(EF13+EH13,皮肤宠物!$L$4:$L$13,1)),1)</f>
        <v>1.2100000000000002</v>
      </c>
      <c r="EM13" s="90">
        <f>_xlfn.IFNA(INDEX(皮肤宠物!$N$4:$N$13,MATCH(EG13+EI13,皮肤宠物!$L$4:$L$13,1)),1)</f>
        <v>1.2100000000000002</v>
      </c>
      <c r="EO13" s="128">
        <v>21</v>
      </c>
      <c r="EP13" s="90">
        <v>7</v>
      </c>
      <c r="EQ13" s="90">
        <f t="shared" ca="1" si="51"/>
        <v>4600</v>
      </c>
      <c r="ER13" s="90">
        <f t="shared" si="16"/>
        <v>0</v>
      </c>
      <c r="ES13" s="90">
        <f t="shared" ca="1" si="52"/>
        <v>53</v>
      </c>
      <c r="ET13" s="90">
        <f ca="1">$ES13*ET$5*皮肤宠物!$J$75/4</f>
        <v>174.953</v>
      </c>
      <c r="EU13" s="90">
        <f ca="1">$ES13*EU$5*皮肤宠物!$J$76/4</f>
        <v>29.203000000000003</v>
      </c>
      <c r="EV13" s="90">
        <f ca="1">$ES13*EV$5*皮肤宠物!$J$77/4</f>
        <v>7.9102500000000004</v>
      </c>
      <c r="EW13" s="90">
        <f ca="1">_xlfn.IFNA(INDEX(皮肤宠物!$H$18:$H$67,MATCH(ET13,皮肤宠物!L$18:L$67,1)),0)</f>
        <v>4</v>
      </c>
      <c r="EX13" s="90">
        <f ca="1">_xlfn.IFNA(INDEX(皮肤宠物!$H$18:$H$67,MATCH(EU13,皮肤宠物!M$18:M$67,1)),0)</f>
        <v>3</v>
      </c>
      <c r="EY13" s="90">
        <f ca="1">_xlfn.IFNA(INDEX(皮肤宠物!$H$18:$H$67,MATCH(EV13,皮肤宠物!N$18:N$67,1)),0)</f>
        <v>2</v>
      </c>
      <c r="EZ13" s="90">
        <f ca="1">_xlfn.IFNA(INDEX(皮肤宠物!C$18:C$67,MATCH(EW13,皮肤宠物!$A$18:$A$67,0))+1,1)</f>
        <v>1.04</v>
      </c>
      <c r="FA13" s="90">
        <f ca="1">_xlfn.IFNA(INDEX(皮肤宠物!D$18:D$67,MATCH(EX13,皮肤宠物!$A$18:$A$67,0))+1,1)</f>
        <v>1.06</v>
      </c>
      <c r="FB13" s="90">
        <f ca="1">_xlfn.IFNA(INDEX(皮肤宠物!E$18:E$67,MATCH(EY13,皮肤宠物!$A$18:$A$67,0))+1,1)</f>
        <v>1.08</v>
      </c>
      <c r="FD13" s="90">
        <f t="shared" ca="1" si="53"/>
        <v>2.2000000000000002</v>
      </c>
      <c r="FE13" s="90">
        <f t="shared" si="54"/>
        <v>1.2100000000000002</v>
      </c>
      <c r="FF13" s="90">
        <f t="shared" ca="1" si="55"/>
        <v>1.08</v>
      </c>
      <c r="FG13" s="90">
        <f t="shared" ca="1" si="56"/>
        <v>2.8749600000000006</v>
      </c>
    </row>
    <row r="14" spans="1:163" x14ac:dyDescent="0.25">
      <c r="A14" s="123">
        <v>8</v>
      </c>
      <c r="B14" s="123"/>
      <c r="C14" s="124"/>
      <c r="D14" s="125">
        <f t="shared" si="59"/>
        <v>11.5</v>
      </c>
      <c r="E14" s="125">
        <v>2</v>
      </c>
      <c r="F14" s="128">
        <v>30</v>
      </c>
      <c r="G14" s="90">
        <v>0</v>
      </c>
      <c r="H14" s="90">
        <v>0</v>
      </c>
      <c r="J14" s="128">
        <v>8</v>
      </c>
      <c r="K14" s="90">
        <f t="shared" si="17"/>
        <v>16</v>
      </c>
      <c r="L14" s="90">
        <f t="shared" si="18"/>
        <v>16</v>
      </c>
      <c r="M14" s="90">
        <f t="shared" si="19"/>
        <v>5</v>
      </c>
      <c r="N14" s="140">
        <f>INDEX($A:$A,MATCH(SUM($K$7:K14),$D:$D,1))</f>
        <v>39</v>
      </c>
      <c r="O14" s="140">
        <v>0</v>
      </c>
      <c r="P14" s="141">
        <v>0</v>
      </c>
      <c r="Q14" s="126">
        <f>_xlfn.MAXIFS(关卡产出!X:X,关卡产出!$A:$A,玩家节奏2!$N$6,关卡产出!$B:$B,玩家节奏2!$N14)+_xlfn.MAXIFS(关卡产出!X:X,关卡产出!$A:$A,玩家节奏2!$O$6,关卡产出!$B:$B,玩家节奏2!$O14)+_xlfn.MAXIFS(关卡产出!X:X,关卡产出!$A:$A,玩家节奏2!$P$6,关卡产出!$B:$B,玩家节奏2!$P14)</f>
        <v>6300</v>
      </c>
      <c r="R14" s="90">
        <f>_xlfn.MAXIFS(关卡产出!Y:Y,关卡产出!$A:$A,玩家节奏2!$N$6,关卡产出!$B:$B,玩家节奏2!$N14)+_xlfn.MAXIFS(关卡产出!Y:Y,关卡产出!$A:$A,玩家节奏2!$O$6,关卡产出!$B:$B,玩家节奏2!$O14)+_xlfn.MAXIFS(关卡产出!Y:Y,关卡产出!$A:$A,玩家节奏2!$P$6,关卡产出!$B:$B,玩家节奏2!$P14)</f>
        <v>388300</v>
      </c>
      <c r="S14" s="90">
        <f>_xlfn.MAXIFS(关卡产出!Z:Z,关卡产出!$A:$A,玩家节奏2!$N$6,关卡产出!$B:$B,玩家节奏2!$N14)+_xlfn.MAXIFS(关卡产出!Z:Z,关卡产出!$A:$A,玩家节奏2!$O$6,关卡产出!$B:$B,玩家节奏2!$O14)+_xlfn.MAXIFS(关卡产出!Z:Z,关卡产出!$A:$A,玩家节奏2!$P$6,关卡产出!$B:$B,玩家节奏2!$P14)</f>
        <v>2874</v>
      </c>
      <c r="T14" s="90">
        <f>_xlfn.MAXIFS(关卡产出!AA:AA,关卡产出!$A:$A,玩家节奏2!$N$6,关卡产出!$B:$B,玩家节奏2!$N14)+_xlfn.MAXIFS(关卡产出!AA:AA,关卡产出!$A:$A,玩家节奏2!$O$6,关卡产出!$B:$B,玩家节奏2!$O14)+_xlfn.MAXIFS(关卡产出!AA:AA,关卡产出!$A:$A,玩家节奏2!$P$6,关卡产出!$B:$B,玩家节奏2!$P14)</f>
        <v>1438</v>
      </c>
      <c r="U14" s="90">
        <f>_xlfn.MAXIFS(关卡产出!AB:AB,关卡产出!$A:$A,玩家节奏2!$N$6,关卡产出!$B:$B,玩家节奏2!$N14)+_xlfn.MAXIFS(关卡产出!AB:AB,关卡产出!$A:$A,玩家节奏2!$O$6,关卡产出!$B:$B,玩家节奏2!$O14)+_xlfn.MAXIFS(关卡产出!AB:AB,关卡产出!$A:$A,玩家节奏2!$P$6,关卡产出!$B:$B,玩家节奏2!$P14)</f>
        <v>598</v>
      </c>
      <c r="V14" s="130">
        <f>_xlfn.MAXIFS(关卡产出!AC:AC,关卡产出!$A:$A,玩家节奏2!$N$6,关卡产出!$B:$B,玩家节奏2!$N14)+_xlfn.MAXIFS(关卡产出!AC:AC,关卡产出!$A:$A,玩家节奏2!$O$6,关卡产出!$B:$B,玩家节奏2!$O14)+_xlfn.MAXIFS(关卡产出!AC:AC,关卡产出!$A:$A,玩家节奏2!$P$6,关卡产出!$B:$B,玩家节奏2!$P14)</f>
        <v>234</v>
      </c>
      <c r="W14" s="126">
        <f>INDEX(关卡产出!C$8:C$207,MATCH(玩家节奏2!$N14,关卡产出!$B$8:$B$207,0))*$K14</f>
        <v>480</v>
      </c>
      <c r="X14" s="126">
        <f>INDEX(关卡产出!D$8:D$207,MATCH(玩家节奏2!$N14,关卡产出!$B$8:$B$207,0))*$K14</f>
        <v>240</v>
      </c>
      <c r="Y14" s="126">
        <f>INDEX(关卡产出!E$8:E$207,MATCH(玩家节奏2!$N14,关卡产出!$B$8:$B$207,0))*$K14</f>
        <v>112</v>
      </c>
      <c r="Z14" s="144">
        <f>INDEX(关卡产出!F$8:F$207,MATCH(玩家节奏2!$N14,关卡产出!$B$8:$B$207,0))*$K14</f>
        <v>7200</v>
      </c>
      <c r="AA14" s="126">
        <f>SUM(W$7:W14)</f>
        <v>2622</v>
      </c>
      <c r="AB14" s="126">
        <f>SUM(X$7:X14)</f>
        <v>1267</v>
      </c>
      <c r="AC14" s="126">
        <f>SUM(Y$7:Y14)</f>
        <v>547</v>
      </c>
      <c r="AD14" s="177">
        <f>SUM(Z$7:Z14)</f>
        <v>43450</v>
      </c>
      <c r="AE14" s="128">
        <f>INDEX(图鉴!AQ:AQ,MATCH($N14,图鉴!$S:$S,0))*34</f>
        <v>612</v>
      </c>
      <c r="AF14" s="90">
        <f>INDEX(图鉴!AR:AR,MATCH($N14,图鉴!$S:$S,0))*34</f>
        <v>306</v>
      </c>
      <c r="AG14" s="90">
        <f>INDEX(图鉴!AS:AS,MATCH($N14,图鉴!$S:$S,0))*34</f>
        <v>136</v>
      </c>
      <c r="AH14" s="129">
        <f ca="1">INDEX(图鉴!AT:AT,MATCH($N14,图鉴!$S:$S,0))*34</f>
        <v>23120</v>
      </c>
      <c r="AI14" s="128">
        <f>SUM($AE$7:AE14)</f>
        <v>4148</v>
      </c>
      <c r="AJ14" s="90">
        <f>SUM(AF$7:AF14)</f>
        <v>1802</v>
      </c>
      <c r="AK14" s="90">
        <f>SUM(AG$7:AG14)</f>
        <v>476</v>
      </c>
      <c r="AL14" s="130">
        <f ca="1">SUM(AH$7:AH14)</f>
        <v>137496</v>
      </c>
      <c r="AM14" s="133">
        <f>IF(M14=0,0,INDEX(关卡产出!$AU$11:$AU$15,MATCH(玩家节奏2!N14,关卡产出!$AW$11:$AW$15,1))*M14)</f>
        <v>29000</v>
      </c>
      <c r="AN14" s="126">
        <f>IF(L14=0,0,$L14*关卡产出!AU$21)</f>
        <v>16000</v>
      </c>
      <c r="AO14" s="90">
        <f>IF(M14=0,0,$L14*关卡产出!AV$21)</f>
        <v>800</v>
      </c>
      <c r="AP14" s="129">
        <f>IF(N14=0,0,$L14*关卡产出!AW$21)</f>
        <v>16</v>
      </c>
      <c r="AQ14" s="138">
        <f>SUM(AN$7:AN14)</f>
        <v>80000</v>
      </c>
      <c r="AR14" s="126">
        <f>SUM(AO$7:AO14)</f>
        <v>4000</v>
      </c>
      <c r="AS14" s="129">
        <f>SUM(AP$7:AP14)</f>
        <v>80</v>
      </c>
      <c r="AT14" s="128">
        <v>3000</v>
      </c>
      <c r="AU14" s="129">
        <v>600</v>
      </c>
      <c r="AV14" s="128">
        <f>SUM(AT$7:AT14)</f>
        <v>24000</v>
      </c>
      <c r="AW14" s="90">
        <f>SUM(AU$7:AU14)</f>
        <v>4800</v>
      </c>
      <c r="AY14" s="128">
        <f t="shared" si="20"/>
        <v>6300</v>
      </c>
      <c r="AZ14" s="90">
        <f t="shared" si="21"/>
        <v>4000</v>
      </c>
      <c r="BA14" s="90">
        <f t="shared" si="22"/>
        <v>4800</v>
      </c>
      <c r="BB14" s="90">
        <f t="shared" ca="1" si="57"/>
        <v>950</v>
      </c>
      <c r="BC14" s="90">
        <f t="shared" ca="1" si="60"/>
        <v>10200</v>
      </c>
      <c r="BD14" s="90">
        <f t="shared" ca="1" si="61"/>
        <v>5850</v>
      </c>
      <c r="BE14" s="90">
        <f t="shared" ca="1" si="24"/>
        <v>16050</v>
      </c>
      <c r="BF14" s="142">
        <f t="shared" ca="1" si="0"/>
        <v>0.61764705882352944</v>
      </c>
      <c r="BG14" s="142">
        <f t="shared" ca="1" si="1"/>
        <v>0.39215686274509803</v>
      </c>
      <c r="BH14" s="142">
        <f t="shared" ca="1" si="2"/>
        <v>0.47058823529411764</v>
      </c>
      <c r="BI14" s="142">
        <f t="shared" ca="1" si="3"/>
        <v>9.3137254901960786E-2</v>
      </c>
      <c r="BJ14" s="143"/>
      <c r="BK14" s="128">
        <f ca="1">INDEX(商城宝箱!$L:$L,MATCH(BC14,商城宝箱!$N:$N,1))</f>
        <v>4</v>
      </c>
      <c r="BL14" s="90">
        <f ca="1">_xlfn.IFNA(INDEX(商城宝箱!T:T,MATCH(玩家节奏2!$BK14,商城宝箱!$L:$L,0)),0)+($BC14-INDEX(商城宝箱!$N:$N,MATCH(玩家节奏2!$BK14,商城宝箱!$L:$L,0)))/$BK$5*INDEX(商城宝箱!E$23:E$42,MATCH(玩家节奏2!$BK14+1,商城宝箱!$C$23:$C$42,0))</f>
        <v>25500</v>
      </c>
      <c r="BM14" s="90">
        <f ca="1">_xlfn.IFNA(INDEX(商城宝箱!U:U,MATCH(玩家节奏2!$BK14,商城宝箱!$L:$L,0)),0)+($BC14-INDEX(商城宝箱!$N:$N,MATCH(玩家节奏2!$BK14,商城宝箱!$L:$L,0)))/$BK$5*INDEX(商城宝箱!F$23:F$42,MATCH(玩家节奏2!$BK14+1,商城宝箱!$C$23:$C$42,0))</f>
        <v>5512.5</v>
      </c>
      <c r="BN14" s="90">
        <f ca="1">_xlfn.IFNA(INDEX(商城宝箱!V:V,MATCH(玩家节奏2!$BK14,商城宝箱!$L:$L,0)),0)+($BC14-INDEX(商城宝箱!$N:$N,MATCH(玩家节奏2!$BK14,商城宝箱!$L:$L,0)))/$BK$5*INDEX(商城宝箱!G$23:G$42,MATCH(玩家节奏2!$BK14+1,商城宝箱!$C$23:$C$42,0))</f>
        <v>2337</v>
      </c>
      <c r="BO14" s="90">
        <f ca="1">_xlfn.IFNA(INDEX(商城宝箱!W:W,MATCH(玩家节奏2!$BK14,商城宝箱!$L:$L,0)),0)+($BC14-INDEX(商城宝箱!$N:$N,MATCH(玩家节奏2!$BK14,商城宝箱!$L:$L,0)))/$BK$5*INDEX(商城宝箱!H$23:H$42,MATCH(玩家节奏2!$BK14+1,商城宝箱!$C$23:$C$42,0))</f>
        <v>334.5</v>
      </c>
      <c r="BQ14" s="128">
        <f t="shared" si="4"/>
        <v>388300</v>
      </c>
      <c r="BR14" s="90">
        <f t="shared" si="5"/>
        <v>43450</v>
      </c>
      <c r="BS14" s="90">
        <f t="shared" ca="1" si="6"/>
        <v>137496</v>
      </c>
      <c r="BT14" s="90">
        <f t="shared" si="7"/>
        <v>29000</v>
      </c>
      <c r="BU14" s="90">
        <f t="shared" si="8"/>
        <v>80000</v>
      </c>
      <c r="BV14" s="90">
        <f t="shared" si="9"/>
        <v>24000</v>
      </c>
      <c r="BW14" s="90">
        <f t="shared" ca="1" si="25"/>
        <v>25500</v>
      </c>
      <c r="BX14" s="90">
        <f t="shared" ca="1" si="26"/>
        <v>727746</v>
      </c>
      <c r="BY14" s="142">
        <f t="shared" ca="1" si="27"/>
        <v>0.53356528239248313</v>
      </c>
      <c r="BZ14" s="142">
        <f t="shared" ca="1" si="10"/>
        <v>5.9704897038252359E-2</v>
      </c>
      <c r="CA14" s="142">
        <f t="shared" ca="1" si="10"/>
        <v>0.1889340511662036</v>
      </c>
      <c r="CB14" s="142">
        <f t="shared" ca="1" si="10"/>
        <v>3.984906821885658E-2</v>
      </c>
      <c r="CC14" s="142">
        <f t="shared" ca="1" si="10"/>
        <v>0.10992846405201814</v>
      </c>
      <c r="CD14" s="142">
        <f t="shared" ca="1" si="10"/>
        <v>3.2978539215605444E-2</v>
      </c>
      <c r="CE14" s="142">
        <f t="shared" ca="1" si="10"/>
        <v>3.5039697916580785E-2</v>
      </c>
      <c r="CG14" s="128">
        <f t="shared" si="28"/>
        <v>39</v>
      </c>
      <c r="CH14" s="90">
        <f ca="1">INDEX(角色升级!$A:$A,MATCH(玩家节奏2!$BX14,角色升级!$J:$J,1))</f>
        <v>264</v>
      </c>
      <c r="CI14" s="90">
        <f ca="1">INDEX(角色升级!$O:$O,MATCH(玩家节奏2!$BX14,角色升级!$J:$J,1))</f>
        <v>5115.2126849999995</v>
      </c>
      <c r="CJ14" s="90">
        <f>INDEX(关卡对比!$J:$J,MATCH(玩家节奏2!N14,关卡对比!$A:$A,0))</f>
        <v>6700</v>
      </c>
      <c r="CK14" s="147">
        <f t="shared" ca="1" si="29"/>
        <v>1.309818459679551</v>
      </c>
      <c r="CL14" s="128">
        <f ca="1">INDEX(角色升级!$P:$P,MATCH(玩家节奏2!$CH14,角色升级!$A:$A,0))</f>
        <v>1300</v>
      </c>
      <c r="CM14" s="90">
        <f ca="1">INDEX(角色升级!Q:Q,MATCH(玩家节奏2!$CH14,角色升级!$A:$A,0))</f>
        <v>0.2</v>
      </c>
      <c r="CO14" s="128">
        <f t="shared" si="30"/>
        <v>2874</v>
      </c>
      <c r="CP14" s="90">
        <f t="shared" si="31"/>
        <v>2622</v>
      </c>
      <c r="CQ14" s="90">
        <f t="shared" si="32"/>
        <v>4148</v>
      </c>
      <c r="CR14" s="90">
        <f t="shared" ca="1" si="33"/>
        <v>5512.5</v>
      </c>
      <c r="CS14" s="90">
        <f t="shared" ca="1" si="34"/>
        <v>15156.5</v>
      </c>
      <c r="CT14" s="142">
        <f t="shared" ca="1" si="35"/>
        <v>0.18962161448883316</v>
      </c>
      <c r="CU14" s="142">
        <f t="shared" ca="1" si="11"/>
        <v>0.17299508461716095</v>
      </c>
      <c r="CV14" s="142">
        <f t="shared" ca="1" si="11"/>
        <v>0.27367795995117605</v>
      </c>
      <c r="CW14" s="142">
        <f t="shared" ca="1" si="11"/>
        <v>0.3637053409428298</v>
      </c>
      <c r="CY14" s="128">
        <f t="shared" si="36"/>
        <v>1438</v>
      </c>
      <c r="CZ14" s="90">
        <f t="shared" si="37"/>
        <v>1267</v>
      </c>
      <c r="DA14" s="90">
        <f t="shared" si="38"/>
        <v>1802</v>
      </c>
      <c r="DB14" s="90">
        <f t="shared" ca="1" si="58"/>
        <v>2337</v>
      </c>
      <c r="DC14" s="90">
        <f t="shared" ca="1" si="39"/>
        <v>6844</v>
      </c>
      <c r="DD14" s="142">
        <f t="shared" ca="1" si="40"/>
        <v>0.21011104617182935</v>
      </c>
      <c r="DE14" s="142">
        <f t="shared" ca="1" si="12"/>
        <v>0.18512565751022794</v>
      </c>
      <c r="DF14" s="142">
        <f t="shared" ca="1" si="12"/>
        <v>0.26329631794272357</v>
      </c>
      <c r="DG14" s="142">
        <f t="shared" ca="1" si="12"/>
        <v>0.34146697837521917</v>
      </c>
      <c r="DI14" s="128">
        <f t="shared" si="41"/>
        <v>598</v>
      </c>
      <c r="DJ14" s="90">
        <f t="shared" si="42"/>
        <v>547</v>
      </c>
      <c r="DK14" s="90">
        <f t="shared" si="43"/>
        <v>476</v>
      </c>
      <c r="DL14" s="90">
        <f t="shared" ca="1" si="44"/>
        <v>334.5</v>
      </c>
      <c r="DM14" s="90">
        <f t="shared" ca="1" si="45"/>
        <v>1955.5</v>
      </c>
      <c r="DN14" s="142">
        <f t="shared" ca="1" si="46"/>
        <v>0.30580414216312962</v>
      </c>
      <c r="DO14" s="142">
        <f t="shared" ca="1" si="13"/>
        <v>0.27972385579135772</v>
      </c>
      <c r="DP14" s="142">
        <f t="shared" ca="1" si="13"/>
        <v>0.24341600613653797</v>
      </c>
      <c r="DQ14" s="142">
        <f t="shared" ca="1" si="13"/>
        <v>0.17105599590897469</v>
      </c>
      <c r="DS14" s="128">
        <f t="shared" ca="1" si="47"/>
        <v>15156.5</v>
      </c>
      <c r="DT14" s="90">
        <f t="shared" ca="1" si="48"/>
        <v>6844</v>
      </c>
      <c r="DU14" s="90">
        <f t="shared" ca="1" si="49"/>
        <v>1955.5</v>
      </c>
      <c r="DV14" s="90">
        <f t="shared" si="50"/>
        <v>80</v>
      </c>
      <c r="DW14" s="90">
        <f ca="1">_xlfn.IFNA(INDEX(武器升级消耗!$H:$H,MATCH(玩家节奏2!DS14/玩家节奏2!DS$5,武器升级消耗!M:M,1)),0)</f>
        <v>13</v>
      </c>
      <c r="DX14" s="90">
        <f ca="1">_xlfn.IFNA(INDEX(武器升级消耗!$H:$H,MATCH(玩家节奏2!DT14/玩家节奏2!DT$5,武器升级消耗!N:N,1)),0)</f>
        <v>10</v>
      </c>
      <c r="DY14" s="90">
        <f ca="1">_xlfn.IFNA(INDEX(武器升级消耗!$H:$H,MATCH(玩家节奏2!DU14/玩家节奏2!DU$5,武器升级消耗!O:O,1)),0)</f>
        <v>7</v>
      </c>
      <c r="DZ14" s="90">
        <f>_xlfn.IFNA(INDEX(武器升级消耗!$H:$H,MATCH(玩家节奏2!DV14/玩家节奏2!DV$5,武器升级消耗!P:P,1)),0)</f>
        <v>7</v>
      </c>
      <c r="EA14" s="90">
        <f ca="1">_xlfn.IFNA(INDEX(武器升级消耗!$Q:$Q,MATCH(玩家节奏2!DW14,武器升级消耗!$H:$H,0))*2*EA$4,0)</f>
        <v>2.04</v>
      </c>
      <c r="EB14" s="90">
        <f ca="1">_xlfn.IFNA(INDEX(武器升级消耗!$Q:$Q,MATCH(玩家节奏2!DX14,武器升级消耗!$H:$H,0))*2*EB$4,0)</f>
        <v>2.0999999999999996</v>
      </c>
      <c r="EC14" s="90">
        <f ca="1">_xlfn.IFNA(INDEX(武器升级消耗!$Q:$Q,MATCH(玩家节奏2!DY14,武器升级消耗!$H:$H,0))*2*EC$4,0)</f>
        <v>2.4200000000000004</v>
      </c>
      <c r="ED14" s="90">
        <f>_xlfn.IFNA(INDEX(武器升级消耗!$Q:$Q,MATCH(玩家节奏2!DZ14,武器升级消耗!$H:$H,0))*2*ED$4,0)</f>
        <v>3.3000000000000003</v>
      </c>
      <c r="EF14" s="128">
        <f t="shared" si="14"/>
        <v>0</v>
      </c>
      <c r="EG14" s="90">
        <f t="shared" si="15"/>
        <v>0</v>
      </c>
      <c r="EH14" s="90">
        <v>24</v>
      </c>
      <c r="EI14" s="90">
        <v>24</v>
      </c>
      <c r="EJ14" s="90">
        <f>_xlfn.IFNA(INDEX(皮肤宠物!$J$4:$J$13,MATCH(EF14+EH14,皮肤宠物!$L$4:$L$13,1)),0)</f>
        <v>1</v>
      </c>
      <c r="EK14" s="90">
        <f>_xlfn.IFNA(INDEX(皮肤宠物!$J$4:$J$13,MATCH(EG14+EI14,皮肤宠物!$L$4:$L$13,1)),0)</f>
        <v>1</v>
      </c>
      <c r="EL14" s="90">
        <f>_xlfn.IFNA(INDEX(皮肤宠物!$N$4:$N$13,MATCH(EF14+EH14,皮肤宠物!$L$4:$L$13,1)),1)</f>
        <v>1.2100000000000002</v>
      </c>
      <c r="EM14" s="90">
        <f>_xlfn.IFNA(INDEX(皮肤宠物!$N$4:$N$13,MATCH(EG14+EI14,皮肤宠物!$L$4:$L$13,1)),1)</f>
        <v>1.2100000000000002</v>
      </c>
      <c r="EO14" s="128">
        <v>24</v>
      </c>
      <c r="EP14" s="90">
        <v>8</v>
      </c>
      <c r="EQ14" s="90">
        <f t="shared" ca="1" si="51"/>
        <v>5850</v>
      </c>
      <c r="ER14" s="90">
        <f t="shared" si="16"/>
        <v>0</v>
      </c>
      <c r="ES14" s="90">
        <f t="shared" ca="1" si="52"/>
        <v>66.5</v>
      </c>
      <c r="ET14" s="90">
        <f ca="1">$ES14*ET$5*皮肤宠物!$J$75/4</f>
        <v>219.51650000000001</v>
      </c>
      <c r="EU14" s="90">
        <f ca="1">$ES14*EU$5*皮肤宠物!$J$76/4</f>
        <v>36.641500000000001</v>
      </c>
      <c r="EV14" s="90">
        <f ca="1">$ES14*EV$5*皮肤宠物!$J$77/4</f>
        <v>9.9251250000000013</v>
      </c>
      <c r="EW14" s="90">
        <f ca="1">_xlfn.IFNA(INDEX(皮肤宠物!$H$18:$H$67,MATCH(ET14,皮肤宠物!L$18:L$67,1)),0)</f>
        <v>4</v>
      </c>
      <c r="EX14" s="90">
        <f ca="1">_xlfn.IFNA(INDEX(皮肤宠物!$H$18:$H$67,MATCH(EU14,皮肤宠物!M$18:M$67,1)),0)</f>
        <v>3</v>
      </c>
      <c r="EY14" s="90">
        <f ca="1">_xlfn.IFNA(INDEX(皮肤宠物!$H$18:$H$67,MATCH(EV14,皮肤宠物!N$18:N$67,1)),0)</f>
        <v>2</v>
      </c>
      <c r="EZ14" s="90">
        <f ca="1">_xlfn.IFNA(INDEX(皮肤宠物!C$18:C$67,MATCH(EW14,皮肤宠物!$A$18:$A$67,0))+1,1)</f>
        <v>1.04</v>
      </c>
      <c r="FA14" s="90">
        <f ca="1">_xlfn.IFNA(INDEX(皮肤宠物!D$18:D$67,MATCH(EX14,皮肤宠物!$A$18:$A$67,0))+1,1)</f>
        <v>1.06</v>
      </c>
      <c r="FB14" s="90">
        <f ca="1">_xlfn.IFNA(INDEX(皮肤宠物!E$18:E$67,MATCH(EY14,皮肤宠物!$A$18:$A$67,0))+1,1)</f>
        <v>1.08</v>
      </c>
      <c r="FD14" s="90">
        <f t="shared" ca="1" si="53"/>
        <v>2.4200000000000004</v>
      </c>
      <c r="FE14" s="90">
        <f t="shared" si="54"/>
        <v>1.2100000000000002</v>
      </c>
      <c r="FF14" s="90">
        <f t="shared" ca="1" si="55"/>
        <v>1.08</v>
      </c>
      <c r="FG14" s="90">
        <f t="shared" ca="1" si="56"/>
        <v>3.162456000000001</v>
      </c>
    </row>
    <row r="15" spans="1:163" x14ac:dyDescent="0.25">
      <c r="A15" s="123">
        <v>9</v>
      </c>
      <c r="B15" s="123"/>
      <c r="C15" s="124"/>
      <c r="D15" s="125">
        <f>A15*E15+B15*E15+C15*E15-4.5</f>
        <v>13.5</v>
      </c>
      <c r="E15" s="125">
        <v>2</v>
      </c>
      <c r="F15" s="128">
        <v>30</v>
      </c>
      <c r="G15" s="90">
        <v>0</v>
      </c>
      <c r="H15" s="90">
        <v>0</v>
      </c>
      <c r="J15" s="128">
        <v>9</v>
      </c>
      <c r="K15" s="90">
        <f t="shared" si="17"/>
        <v>16</v>
      </c>
      <c r="L15" s="90">
        <f t="shared" si="18"/>
        <v>16</v>
      </c>
      <c r="M15" s="90">
        <f t="shared" si="19"/>
        <v>5</v>
      </c>
      <c r="N15" s="140">
        <f>INDEX($A:$A,MATCH(SUM($K$7:K15),$D:$D,1))</f>
        <v>43</v>
      </c>
      <c r="O15" s="140">
        <v>0</v>
      </c>
      <c r="P15" s="141">
        <v>0</v>
      </c>
      <c r="Q15" s="126">
        <f>_xlfn.MAXIFS(关卡产出!X:X,关卡产出!$A:$A,玩家节奏2!$N$6,关卡产出!$B:$B,玩家节奏2!$N15)+_xlfn.MAXIFS(关卡产出!X:X,关卡产出!$A:$A,玩家节奏2!$O$6,关卡产出!$B:$B,玩家节奏2!$O15)+_xlfn.MAXIFS(关卡产出!X:X,关卡产出!$A:$A,玩家节奏2!$P$6,关卡产出!$B:$B,玩家节奏2!$P15)</f>
        <v>7100</v>
      </c>
      <c r="R15" s="90">
        <f>_xlfn.MAXIFS(关卡产出!Y:Y,关卡产出!$A:$A,玩家节奏2!$N$6,关卡产出!$B:$B,玩家节奏2!$N15)+_xlfn.MAXIFS(关卡产出!Y:Y,关卡产出!$A:$A,玩家节奏2!$O$6,关卡产出!$B:$B,玩家节奏2!$O15)+_xlfn.MAXIFS(关卡产出!Y:Y,关卡产出!$A:$A,玩家节奏2!$P$6,关卡产出!$B:$B,玩家节奏2!$P15)</f>
        <v>478700</v>
      </c>
      <c r="S15" s="90">
        <f>_xlfn.MAXIFS(关卡产出!Z:Z,关卡产出!$A:$A,玩家节奏2!$N$6,关卡产出!$B:$B,玩家节奏2!$N15)+_xlfn.MAXIFS(关卡产出!Z:Z,关卡产出!$A:$A,玩家节奏2!$O$6,关卡产出!$B:$B,玩家节奏2!$O15)+_xlfn.MAXIFS(关卡产出!Z:Z,关卡产出!$A:$A,玩家节奏2!$P$6,关卡产出!$B:$B,玩家节奏2!$P15)</f>
        <v>3506</v>
      </c>
      <c r="T15" s="90">
        <f>_xlfn.MAXIFS(关卡产出!AA:AA,关卡产出!$A:$A,玩家节奏2!$N$6,关卡产出!$B:$B,玩家节奏2!$N15)+_xlfn.MAXIFS(关卡产出!AA:AA,关卡产出!$A:$A,玩家节奏2!$O$6,关卡产出!$B:$B,玩家节奏2!$O15)+_xlfn.MAXIFS(关卡产出!AA:AA,关卡产出!$A:$A,玩家节奏2!$P$6,关卡产出!$B:$B,玩家节奏2!$P15)</f>
        <v>1754</v>
      </c>
      <c r="U15" s="90">
        <f>_xlfn.MAXIFS(关卡产出!AB:AB,关卡产出!$A:$A,玩家节奏2!$N$6,关卡产出!$B:$B,玩家节奏2!$N15)+_xlfn.MAXIFS(关卡产出!AB:AB,关卡产出!$A:$A,玩家节奏2!$O$6,关卡产出!$B:$B,玩家节奏2!$O15)+_xlfn.MAXIFS(关卡产出!AB:AB,关卡产出!$A:$A,玩家节奏2!$P$6,关卡产出!$B:$B,玩家节奏2!$P15)</f>
        <v>744</v>
      </c>
      <c r="V15" s="130">
        <f>_xlfn.MAXIFS(关卡产出!AC:AC,关卡产出!$A:$A,玩家节奏2!$N$6,关卡产出!$B:$B,玩家节奏2!$N15)+_xlfn.MAXIFS(关卡产出!AC:AC,关卡产出!$A:$A,玩家节奏2!$O$6,关卡产出!$B:$B,玩家节奏2!$O15)+_xlfn.MAXIFS(关卡产出!AC:AC,关卡产出!$A:$A,玩家节奏2!$P$6,关卡产出!$B:$B,玩家节奏2!$P15)</f>
        <v>258</v>
      </c>
      <c r="W15" s="126">
        <f>INDEX(关卡产出!C$8:C$207,MATCH(玩家节奏2!$N15,关卡产出!$B$8:$B$207,0))*$K15</f>
        <v>528</v>
      </c>
      <c r="X15" s="126">
        <f>INDEX(关卡产出!D$8:D$207,MATCH(玩家节奏2!$N15,关卡产出!$B$8:$B$207,0))*$K15</f>
        <v>256</v>
      </c>
      <c r="Y15" s="126">
        <f>INDEX(关卡产出!E$8:E$207,MATCH(玩家节奏2!$N15,关卡产出!$B$8:$B$207,0))*$K15</f>
        <v>128</v>
      </c>
      <c r="Z15" s="144">
        <f>INDEX(关卡产出!F$8:F$207,MATCH(玩家节奏2!$N15,关卡产出!$B$8:$B$207,0))*$K15</f>
        <v>7840</v>
      </c>
      <c r="AA15" s="126">
        <f>SUM(W$7:W15)</f>
        <v>3150</v>
      </c>
      <c r="AB15" s="126">
        <f>SUM(X$7:X15)</f>
        <v>1523</v>
      </c>
      <c r="AC15" s="126">
        <f>SUM(Y$7:Y15)</f>
        <v>675</v>
      </c>
      <c r="AD15" s="177">
        <f>SUM(Z$7:Z15)</f>
        <v>51290</v>
      </c>
      <c r="AE15" s="128">
        <f>INDEX(图鉴!AQ:AQ,MATCH($N15,图鉴!$S:$S,0))*34</f>
        <v>612</v>
      </c>
      <c r="AF15" s="90">
        <f>INDEX(图鉴!AR:AR,MATCH($N15,图鉴!$S:$S,0))*34</f>
        <v>306</v>
      </c>
      <c r="AG15" s="90">
        <f>INDEX(图鉴!AS:AS,MATCH($N15,图鉴!$S:$S,0))*34</f>
        <v>136</v>
      </c>
      <c r="AH15" s="129">
        <f ca="1">INDEX(图鉴!AT:AT,MATCH($N15,图鉴!$S:$S,0))*34</f>
        <v>23120</v>
      </c>
      <c r="AI15" s="128">
        <f>SUM($AE$7:AE15)</f>
        <v>4760</v>
      </c>
      <c r="AJ15" s="90">
        <f>SUM(AF$7:AF15)</f>
        <v>2108</v>
      </c>
      <c r="AK15" s="90">
        <f>SUM(AG$7:AG15)</f>
        <v>612</v>
      </c>
      <c r="AL15" s="130">
        <f ca="1">SUM(AH$7:AH15)</f>
        <v>160616</v>
      </c>
      <c r="AM15" s="133">
        <f>IF(M15=0,0,INDEX(关卡产出!$AU$11:$AU$15,MATCH(玩家节奏2!N15,关卡产出!$AW$11:$AW$15,1))*M15)</f>
        <v>29000</v>
      </c>
      <c r="AN15" s="126">
        <f>IF(L15=0,0,$L15*关卡产出!AU$21)</f>
        <v>16000</v>
      </c>
      <c r="AO15" s="90">
        <f>IF(M15=0,0,$L15*关卡产出!AV$21)</f>
        <v>800</v>
      </c>
      <c r="AP15" s="129">
        <f>IF(N15=0,0,$L15*关卡产出!AW$21)</f>
        <v>16</v>
      </c>
      <c r="AQ15" s="138">
        <f>SUM(AN$7:AN15)</f>
        <v>96000</v>
      </c>
      <c r="AR15" s="126">
        <f>SUM(AO$7:AO15)</f>
        <v>4800</v>
      </c>
      <c r="AS15" s="129">
        <f>SUM(AP$7:AP15)</f>
        <v>96</v>
      </c>
      <c r="AT15" s="128">
        <v>3000</v>
      </c>
      <c r="AU15" s="129">
        <v>600</v>
      </c>
      <c r="AV15" s="128">
        <f>SUM(AT$7:AT15)</f>
        <v>27000</v>
      </c>
      <c r="AW15" s="90">
        <f>SUM(AU$7:AU15)</f>
        <v>5400</v>
      </c>
      <c r="AY15" s="128">
        <f t="shared" si="20"/>
        <v>7100</v>
      </c>
      <c r="AZ15" s="90">
        <f t="shared" si="21"/>
        <v>4800</v>
      </c>
      <c r="BA15" s="90">
        <f t="shared" si="22"/>
        <v>5400</v>
      </c>
      <c r="BB15" s="90">
        <f t="shared" ca="1" si="57"/>
        <v>1300</v>
      </c>
      <c r="BC15" s="90">
        <f t="shared" ca="1" si="60"/>
        <v>11475</v>
      </c>
      <c r="BD15" s="90">
        <f t="shared" ca="1" si="61"/>
        <v>7125</v>
      </c>
      <c r="BE15" s="90">
        <f t="shared" ca="1" si="24"/>
        <v>18600</v>
      </c>
      <c r="BF15" s="142">
        <f t="shared" ca="1" si="0"/>
        <v>0.61873638344226578</v>
      </c>
      <c r="BG15" s="142">
        <f t="shared" ca="1" si="1"/>
        <v>0.41830065359477125</v>
      </c>
      <c r="BH15" s="142">
        <f t="shared" ca="1" si="2"/>
        <v>0.47058823529411764</v>
      </c>
      <c r="BI15" s="142">
        <f t="shared" ca="1" si="3"/>
        <v>0.11328976034858387</v>
      </c>
      <c r="BJ15" s="143"/>
      <c r="BK15" s="128">
        <f ca="1">INDEX(商城宝箱!$L:$L,MATCH(BC15,商城宝箱!$N:$N,1))</f>
        <v>5</v>
      </c>
      <c r="BL15" s="90">
        <f ca="1">_xlfn.IFNA(INDEX(商城宝箱!T:T,MATCH(玩家节奏2!$BK15,商城宝箱!$L:$L,0)),0)+($BC15-INDEX(商城宝箱!$N:$N,MATCH(玩家节奏2!$BK15,商城宝箱!$L:$L,0)))/$BK$5*INDEX(商城宝箱!E$23:E$42,MATCH(玩家节奏2!$BK15+1,商城宝箱!$C$23:$C$42,0))</f>
        <v>28687.5</v>
      </c>
      <c r="BM15" s="90">
        <f ca="1">_xlfn.IFNA(INDEX(商城宝箱!U:U,MATCH(玩家节奏2!$BK15,商城宝箱!$L:$L,0)),0)+($BC15-INDEX(商城宝箱!$N:$N,MATCH(玩家节奏2!$BK15,商城宝箱!$L:$L,0)))/$BK$5*INDEX(商城宝箱!F$23:F$42,MATCH(玩家节奏2!$BK15+1,商城宝箱!$C$23:$C$42,0))</f>
        <v>6687.5</v>
      </c>
      <c r="BN15" s="90">
        <f ca="1">_xlfn.IFNA(INDEX(商城宝箱!V:V,MATCH(玩家节奏2!$BK15,商城宝箱!$L:$L,0)),0)+($BC15-INDEX(商城宝箱!$N:$N,MATCH(玩家节奏2!$BK15,商城宝箱!$L:$L,0)))/$BK$5*INDEX(商城宝箱!G$23:G$42,MATCH(玩家节奏2!$BK15+1,商城宝箱!$C$23:$C$42,0))</f>
        <v>3012</v>
      </c>
      <c r="BO15" s="90">
        <f ca="1">_xlfn.IFNA(INDEX(商城宝箱!W:W,MATCH(玩家节奏2!$BK15,商城宝箱!$L:$L,0)),0)+($BC15-INDEX(商城宝箱!$N:$N,MATCH(玩家节奏2!$BK15,商城宝箱!$L:$L,0)))/$BK$5*INDEX(商城宝箱!H$23:H$42,MATCH(玩家节奏2!$BK15+1,商城宝箱!$C$23:$C$42,0))</f>
        <v>426.5</v>
      </c>
      <c r="BQ15" s="128">
        <f t="shared" si="4"/>
        <v>478700</v>
      </c>
      <c r="BR15" s="90">
        <f t="shared" si="5"/>
        <v>51290</v>
      </c>
      <c r="BS15" s="90">
        <f t="shared" ca="1" si="6"/>
        <v>160616</v>
      </c>
      <c r="BT15" s="90">
        <f t="shared" si="7"/>
        <v>29000</v>
      </c>
      <c r="BU15" s="90">
        <f t="shared" si="8"/>
        <v>96000</v>
      </c>
      <c r="BV15" s="90">
        <f t="shared" si="9"/>
        <v>27000</v>
      </c>
      <c r="BW15" s="90">
        <f t="shared" ca="1" si="25"/>
        <v>28687.5</v>
      </c>
      <c r="BX15" s="90">
        <f t="shared" ca="1" si="26"/>
        <v>871293.5</v>
      </c>
      <c r="BY15" s="142">
        <f t="shared" ca="1" si="27"/>
        <v>0.54941302787177915</v>
      </c>
      <c r="BZ15" s="142">
        <f t="shared" ca="1" si="10"/>
        <v>5.8866501356890644E-2</v>
      </c>
      <c r="CA15" s="142">
        <f t="shared" ca="1" si="10"/>
        <v>0.18434201563537431</v>
      </c>
      <c r="CB15" s="142">
        <f t="shared" ca="1" si="10"/>
        <v>3.3283847520955909E-2</v>
      </c>
      <c r="CC15" s="142">
        <f t="shared" ca="1" si="10"/>
        <v>0.11018101248316439</v>
      </c>
      <c r="CD15" s="142">
        <f t="shared" ca="1" si="10"/>
        <v>3.0988409760889988E-2</v>
      </c>
      <c r="CE15" s="142">
        <f t="shared" ca="1" si="10"/>
        <v>3.292518537094561E-2</v>
      </c>
      <c r="CG15" s="128">
        <f t="shared" si="28"/>
        <v>43</v>
      </c>
      <c r="CH15" s="90">
        <f ca="1">INDEX(角色升级!$A:$A,MATCH(玩家节奏2!$BX15,角色升级!$J:$J,1))</f>
        <v>285</v>
      </c>
      <c r="CI15" s="90">
        <f ca="1">INDEX(角色升级!$O:$O,MATCH(玩家节奏2!$BX15,角色升级!$J:$J,1))</f>
        <v>6284.7565000000004</v>
      </c>
      <c r="CJ15" s="90">
        <f>INDEX(关卡对比!$J:$J,MATCH(玩家节奏2!N15,关卡对比!$A:$A,0))</f>
        <v>7900</v>
      </c>
      <c r="CK15" s="147">
        <f t="shared" ca="1" si="29"/>
        <v>1.2570097186740647</v>
      </c>
      <c r="CL15" s="128">
        <f ca="1">INDEX(角色升级!$P:$P,MATCH(玩家节奏2!$CH15,角色升级!$A:$A,0))</f>
        <v>1700</v>
      </c>
      <c r="CM15" s="90">
        <f ca="1">INDEX(角色升级!Q:Q,MATCH(玩家节奏2!$CH15,角色升级!$A:$A,0))</f>
        <v>0.2</v>
      </c>
      <c r="CO15" s="128">
        <f t="shared" si="30"/>
        <v>3506</v>
      </c>
      <c r="CP15" s="90">
        <f t="shared" si="31"/>
        <v>3150</v>
      </c>
      <c r="CQ15" s="90">
        <f t="shared" si="32"/>
        <v>4760</v>
      </c>
      <c r="CR15" s="90">
        <f t="shared" ca="1" si="33"/>
        <v>6687.5</v>
      </c>
      <c r="CS15" s="90">
        <f t="shared" ca="1" si="34"/>
        <v>18103.5</v>
      </c>
      <c r="CT15" s="142">
        <f t="shared" ca="1" si="35"/>
        <v>0.19366420857845168</v>
      </c>
      <c r="CU15" s="142">
        <f t="shared" ca="1" si="11"/>
        <v>0.17399950285856325</v>
      </c>
      <c r="CV15" s="142">
        <f t="shared" ca="1" si="11"/>
        <v>0.26293258209738446</v>
      </c>
      <c r="CW15" s="142">
        <f t="shared" ca="1" si="11"/>
        <v>0.36940370646560056</v>
      </c>
      <c r="CY15" s="128">
        <f t="shared" si="36"/>
        <v>1754</v>
      </c>
      <c r="CZ15" s="90">
        <f t="shared" si="37"/>
        <v>1523</v>
      </c>
      <c r="DA15" s="90">
        <f t="shared" si="38"/>
        <v>2108</v>
      </c>
      <c r="DB15" s="90">
        <f t="shared" ca="1" si="58"/>
        <v>3012</v>
      </c>
      <c r="DC15" s="90">
        <f t="shared" ca="1" si="39"/>
        <v>8397</v>
      </c>
      <c r="DD15" s="142">
        <f t="shared" ca="1" si="40"/>
        <v>0.20888412528283912</v>
      </c>
      <c r="DE15" s="142">
        <f t="shared" ca="1" si="12"/>
        <v>0.18137430034536145</v>
      </c>
      <c r="DF15" s="142">
        <f t="shared" ca="1" si="12"/>
        <v>0.25104203882338932</v>
      </c>
      <c r="DG15" s="142">
        <f t="shared" ca="1" si="12"/>
        <v>0.35869953554841016</v>
      </c>
      <c r="DI15" s="128">
        <f t="shared" si="41"/>
        <v>744</v>
      </c>
      <c r="DJ15" s="90">
        <f t="shared" si="42"/>
        <v>675</v>
      </c>
      <c r="DK15" s="90">
        <f t="shared" si="43"/>
        <v>612</v>
      </c>
      <c r="DL15" s="90">
        <f t="shared" ca="1" si="44"/>
        <v>426.5</v>
      </c>
      <c r="DM15" s="90">
        <f t="shared" ca="1" si="45"/>
        <v>2457.5</v>
      </c>
      <c r="DN15" s="142">
        <f t="shared" ca="1" si="46"/>
        <v>0.30274669379450664</v>
      </c>
      <c r="DO15" s="142">
        <f t="shared" ca="1" si="13"/>
        <v>0.27466937945066122</v>
      </c>
      <c r="DP15" s="142">
        <f t="shared" ca="1" si="13"/>
        <v>0.24903357070193285</v>
      </c>
      <c r="DQ15" s="142">
        <f t="shared" ca="1" si="13"/>
        <v>0.17355035605289929</v>
      </c>
      <c r="DS15" s="128">
        <f t="shared" ca="1" si="47"/>
        <v>18103.5</v>
      </c>
      <c r="DT15" s="90">
        <f t="shared" ca="1" si="48"/>
        <v>8397</v>
      </c>
      <c r="DU15" s="90">
        <f t="shared" ca="1" si="49"/>
        <v>2457.5</v>
      </c>
      <c r="DV15" s="90">
        <f t="shared" si="50"/>
        <v>96</v>
      </c>
      <c r="DW15" s="90">
        <f ca="1">_xlfn.IFNA(INDEX(武器升级消耗!$H:$H,MATCH(玩家节奏2!DS15/玩家节奏2!DS$5,武器升级消耗!M:M,1)),0)</f>
        <v>14</v>
      </c>
      <c r="DX15" s="90">
        <f ca="1">_xlfn.IFNA(INDEX(武器升级消耗!$H:$H,MATCH(玩家节奏2!DT15/玩家节奏2!DT$5,武器升级消耗!N:N,1)),0)</f>
        <v>11</v>
      </c>
      <c r="DY15" s="90">
        <f ca="1">_xlfn.IFNA(INDEX(武器升级消耗!$H:$H,MATCH(玩家节奏2!DU15/玩家节奏2!DU$5,武器升级消耗!O:O,1)),0)</f>
        <v>7</v>
      </c>
      <c r="DZ15" s="90">
        <f>_xlfn.IFNA(INDEX(武器升级消耗!$H:$H,MATCH(玩家节奏2!DV15/玩家节奏2!DV$5,武器升级消耗!P:P,1)),0)</f>
        <v>7</v>
      </c>
      <c r="EA15" s="90">
        <f ca="1">_xlfn.IFNA(INDEX(武器升级消耗!$Q:$Q,MATCH(玩家节奏2!DW15,武器升级消耗!$H:$H,0))*2*EA$4,0)</f>
        <v>2.16</v>
      </c>
      <c r="EB15" s="90">
        <f ca="1">_xlfn.IFNA(INDEX(武器升级消耗!$Q:$Q,MATCH(玩家节奏2!DX15,武器升级消耗!$H:$H,0))*2*EB$4,0)</f>
        <v>2.25</v>
      </c>
      <c r="EC15" s="90">
        <f ca="1">_xlfn.IFNA(INDEX(武器升级消耗!$Q:$Q,MATCH(玩家节奏2!DY15,武器升级消耗!$H:$H,0))*2*EC$4,0)</f>
        <v>2.4200000000000004</v>
      </c>
      <c r="ED15" s="90">
        <f>_xlfn.IFNA(INDEX(武器升级消耗!$Q:$Q,MATCH(玩家节奏2!DZ15,武器升级消耗!$H:$H,0))*2*ED$4,0)</f>
        <v>3.3000000000000003</v>
      </c>
      <c r="EF15" s="128">
        <f t="shared" si="14"/>
        <v>0</v>
      </c>
      <c r="EG15" s="90">
        <f t="shared" si="15"/>
        <v>0</v>
      </c>
      <c r="EH15" s="90">
        <v>27</v>
      </c>
      <c r="EI15" s="90">
        <v>27</v>
      </c>
      <c r="EJ15" s="90">
        <f>_xlfn.IFNA(INDEX(皮肤宠物!$J$4:$J$13,MATCH(EF15+EH15,皮肤宠物!$L$4:$L$13,1)),0)</f>
        <v>2</v>
      </c>
      <c r="EK15" s="90">
        <f>_xlfn.IFNA(INDEX(皮肤宠物!$J$4:$J$13,MATCH(EG15+EI15,皮肤宠物!$L$4:$L$13,1)),0)</f>
        <v>2</v>
      </c>
      <c r="EL15" s="90">
        <f>_xlfn.IFNA(INDEX(皮肤宠物!$N$4:$N$13,MATCH(EF15+EH15,皮肤宠物!$L$4:$L$13,1)),1)</f>
        <v>1.32</v>
      </c>
      <c r="EM15" s="90">
        <f>_xlfn.IFNA(INDEX(皮肤宠物!$N$4:$N$13,MATCH(EG15+EI15,皮肤宠物!$L$4:$L$13,1)),1)</f>
        <v>1.32</v>
      </c>
      <c r="EO15" s="128">
        <v>27</v>
      </c>
      <c r="EP15" s="90">
        <v>9</v>
      </c>
      <c r="EQ15" s="90">
        <f t="shared" ca="1" si="51"/>
        <v>7125</v>
      </c>
      <c r="ER15" s="90">
        <f t="shared" si="16"/>
        <v>0</v>
      </c>
      <c r="ES15" s="90">
        <f t="shared" ca="1" si="52"/>
        <v>80.25</v>
      </c>
      <c r="ET15" s="90">
        <f ca="1">$ES15*ET$5*皮肤宠物!$J$75/4</f>
        <v>264.90525000000002</v>
      </c>
      <c r="EU15" s="90">
        <f ca="1">$ES15*EU$5*皮肤宠物!$J$76/4</f>
        <v>44.217750000000002</v>
      </c>
      <c r="EV15" s="90">
        <f ca="1">$ES15*EV$5*皮肤宠物!$J$77/4</f>
        <v>11.9773125</v>
      </c>
      <c r="EW15" s="90">
        <f ca="1">_xlfn.IFNA(INDEX(皮肤宠物!$H$18:$H$67,MATCH(ET15,皮肤宠物!L$18:L$67,1)),0)</f>
        <v>5</v>
      </c>
      <c r="EX15" s="90">
        <f ca="1">_xlfn.IFNA(INDEX(皮肤宠物!$H$18:$H$67,MATCH(EU15,皮肤宠物!M$18:M$67,1)),0)</f>
        <v>4</v>
      </c>
      <c r="EY15" s="90">
        <f ca="1">_xlfn.IFNA(INDEX(皮肤宠物!$H$18:$H$67,MATCH(EV15,皮肤宠物!N$18:N$67,1)),0)</f>
        <v>2</v>
      </c>
      <c r="EZ15" s="90">
        <f ca="1">_xlfn.IFNA(INDEX(皮肤宠物!C$18:C$67,MATCH(EW15,皮肤宠物!$A$18:$A$67,0))+1,1)</f>
        <v>1.05</v>
      </c>
      <c r="FA15" s="90">
        <f ca="1">_xlfn.IFNA(INDEX(皮肤宠物!D$18:D$67,MATCH(EX15,皮肤宠物!$A$18:$A$67,0))+1,1)</f>
        <v>1.08</v>
      </c>
      <c r="FB15" s="90">
        <f ca="1">_xlfn.IFNA(INDEX(皮肤宠物!E$18:E$67,MATCH(EY15,皮肤宠物!$A$18:$A$67,0))+1,1)</f>
        <v>1.08</v>
      </c>
      <c r="FD15" s="90">
        <f t="shared" ca="1" si="53"/>
        <v>2.4200000000000004</v>
      </c>
      <c r="FE15" s="90">
        <f t="shared" si="54"/>
        <v>1.32</v>
      </c>
      <c r="FF15" s="90">
        <f t="shared" ca="1" si="55"/>
        <v>1.08</v>
      </c>
      <c r="FG15" s="90">
        <f t="shared" ca="1" si="56"/>
        <v>3.449952000000001</v>
      </c>
    </row>
    <row r="16" spans="1:163" x14ac:dyDescent="0.25">
      <c r="A16" s="123">
        <v>10</v>
      </c>
      <c r="B16" s="123">
        <f>INDEX(关卡对比!$Y:$Y,MATCH(关卡对比!Z16,关卡对比!$AA:$AA,1))</f>
        <v>5</v>
      </c>
      <c r="C16" s="124"/>
      <c r="D16" s="125">
        <f>A16*E16+B16*E16+C16*E16-4.5-10</f>
        <v>15.5</v>
      </c>
      <c r="E16" s="125">
        <v>2</v>
      </c>
      <c r="F16" s="128">
        <v>25</v>
      </c>
      <c r="G16" s="90">
        <v>0</v>
      </c>
      <c r="H16" s="90">
        <v>5</v>
      </c>
      <c r="J16" s="128">
        <v>10</v>
      </c>
      <c r="K16" s="90">
        <f t="shared" si="17"/>
        <v>16</v>
      </c>
      <c r="L16" s="90">
        <f t="shared" si="18"/>
        <v>16</v>
      </c>
      <c r="M16" s="90">
        <f t="shared" si="19"/>
        <v>5</v>
      </c>
      <c r="N16" s="140">
        <f>INDEX($A:$A,MATCH(SUM($K$7:K16),$D:$D,1))</f>
        <v>46</v>
      </c>
      <c r="O16" s="140">
        <v>0</v>
      </c>
      <c r="P16" s="141">
        <v>0</v>
      </c>
      <c r="Q16" s="126">
        <f>_xlfn.MAXIFS(关卡产出!X:X,关卡产出!$A:$A,玩家节奏2!$N$6,关卡产出!$B:$B,玩家节奏2!$N16)+_xlfn.MAXIFS(关卡产出!X:X,关卡产出!$A:$A,玩家节奏2!$O$6,关卡产出!$B:$B,玩家节奏2!$O16)+_xlfn.MAXIFS(关卡产出!X:X,关卡产出!$A:$A,玩家节奏2!$P$6,关卡产出!$B:$B,玩家节奏2!$P16)</f>
        <v>7700</v>
      </c>
      <c r="R16" s="90">
        <f>_xlfn.MAXIFS(关卡产出!Y:Y,关卡产出!$A:$A,玩家节奏2!$N$6,关卡产出!$B:$B,玩家节奏2!$N16)+_xlfn.MAXIFS(关卡产出!Y:Y,关卡产出!$A:$A,玩家节奏2!$O$6,关卡产出!$B:$B,玩家节奏2!$O16)+_xlfn.MAXIFS(关卡产出!Y:Y,关卡产出!$A:$A,玩家节奏2!$P$6,关卡产出!$B:$B,玩家节奏2!$P16)</f>
        <v>552800</v>
      </c>
      <c r="S16" s="90">
        <f>_xlfn.MAXIFS(关卡产出!Z:Z,关卡产出!$A:$A,玩家节奏2!$N$6,关卡产出!$B:$B,玩家节奏2!$N16)+_xlfn.MAXIFS(关卡产出!Z:Z,关卡产出!$A:$A,玩家节奏2!$O$6,关卡产出!$B:$B,玩家节奏2!$O16)+_xlfn.MAXIFS(关卡产出!Z:Z,关卡产出!$A:$A,玩家节奏2!$P$6,关卡产出!$B:$B,玩家节奏2!$P16)</f>
        <v>4022</v>
      </c>
      <c r="T16" s="90">
        <f>_xlfn.MAXIFS(关卡产出!AA:AA,关卡产出!$A:$A,玩家节奏2!$N$6,关卡产出!$B:$B,玩家节奏2!$N16)+_xlfn.MAXIFS(关卡产出!AA:AA,关卡产出!$A:$A,玩家节奏2!$O$6,关卡产出!$B:$B,玩家节奏2!$O16)+_xlfn.MAXIFS(关卡产出!AA:AA,关卡产出!$A:$A,玩家节奏2!$P$6,关卡产出!$B:$B,玩家节奏2!$P16)</f>
        <v>2012</v>
      </c>
      <c r="U16" s="90">
        <f>_xlfn.MAXIFS(关卡产出!AB:AB,关卡产出!$A:$A,玩家节奏2!$N$6,关卡产出!$B:$B,玩家节奏2!$N16)+_xlfn.MAXIFS(关卡产出!AB:AB,关卡产出!$A:$A,玩家节奏2!$O$6,关卡产出!$B:$B,玩家节奏2!$O16)+_xlfn.MAXIFS(关卡产出!AB:AB,关卡产出!$A:$A,玩家节奏2!$P$6,关卡产出!$B:$B,玩家节奏2!$P16)</f>
        <v>864</v>
      </c>
      <c r="V16" s="130">
        <f>_xlfn.MAXIFS(关卡产出!AC:AC,关卡产出!$A:$A,玩家节奏2!$N$6,关卡产出!$B:$B,玩家节奏2!$N16)+_xlfn.MAXIFS(关卡产出!AC:AC,关卡产出!$A:$A,玩家节奏2!$O$6,关卡产出!$B:$B,玩家节奏2!$O16)+_xlfn.MAXIFS(关卡产出!AC:AC,关卡产出!$A:$A,玩家节奏2!$P$6,关卡产出!$B:$B,玩家节奏2!$P16)</f>
        <v>276</v>
      </c>
      <c r="W16" s="126">
        <f>INDEX(关卡产出!C$8:C$207,MATCH(玩家节奏2!$N16,关卡产出!$B$8:$B$207,0))*$K16</f>
        <v>560</v>
      </c>
      <c r="X16" s="126">
        <f>INDEX(关卡产出!D$8:D$207,MATCH(玩家节奏2!$N16,关卡产出!$B$8:$B$207,0))*$K16</f>
        <v>272</v>
      </c>
      <c r="Y16" s="126">
        <f>INDEX(关卡产出!E$8:E$207,MATCH(玩家节奏2!$N16,关卡产出!$B$8:$B$207,0))*$K16</f>
        <v>128</v>
      </c>
      <c r="Z16" s="144">
        <f>INDEX(关卡产出!F$8:F$207,MATCH(玩家节奏2!$N16,关卡产出!$B$8:$B$207,0))*$K16</f>
        <v>8160</v>
      </c>
      <c r="AA16" s="126">
        <f>SUM(W$7:W16)</f>
        <v>3710</v>
      </c>
      <c r="AB16" s="126">
        <f>SUM(X$7:X16)</f>
        <v>1795</v>
      </c>
      <c r="AC16" s="126">
        <f>SUM(Y$7:Y16)</f>
        <v>803</v>
      </c>
      <c r="AD16" s="177">
        <f>SUM(Z$7:Z16)</f>
        <v>59450</v>
      </c>
      <c r="AE16" s="128">
        <f>INDEX(图鉴!AQ:AQ,MATCH($N16,图鉴!$S:$S,0))*34</f>
        <v>646</v>
      </c>
      <c r="AF16" s="90">
        <f>INDEX(图鉴!AR:AR,MATCH($N16,图鉴!$S:$S,0))*34</f>
        <v>340</v>
      </c>
      <c r="AG16" s="90">
        <f>INDEX(图鉴!AS:AS,MATCH($N16,图鉴!$S:$S,0))*34</f>
        <v>136</v>
      </c>
      <c r="AH16" s="129">
        <f ca="1">INDEX(图鉴!AT:AT,MATCH($N16,图鉴!$S:$S,0))*34</f>
        <v>25840</v>
      </c>
      <c r="AI16" s="128">
        <f>SUM($AE$7:AE16)</f>
        <v>5406</v>
      </c>
      <c r="AJ16" s="90">
        <f>SUM(AF$7:AF16)</f>
        <v>2448</v>
      </c>
      <c r="AK16" s="90">
        <f>SUM(AG$7:AG16)</f>
        <v>748</v>
      </c>
      <c r="AL16" s="130">
        <f ca="1">SUM(AH$7:AH16)</f>
        <v>186456</v>
      </c>
      <c r="AM16" s="133">
        <f>IF(M16=0,0,INDEX(关卡产出!$AU$11:$AU$15,MATCH(玩家节奏2!N16,关卡产出!$AW$11:$AW$15,1))*M16)</f>
        <v>42500</v>
      </c>
      <c r="AN16" s="126">
        <f>IF(L16=0,0,$L16*关卡产出!AU$21)</f>
        <v>16000</v>
      </c>
      <c r="AO16" s="90">
        <f>IF(M16=0,0,$L16*关卡产出!AV$21)</f>
        <v>800</v>
      </c>
      <c r="AP16" s="129">
        <f>IF(N16=0,0,$L16*关卡产出!AW$21)</f>
        <v>16</v>
      </c>
      <c r="AQ16" s="138">
        <f>SUM(AN$7:AN16)</f>
        <v>112000</v>
      </c>
      <c r="AR16" s="126">
        <f>SUM(AO$7:AO16)</f>
        <v>5600</v>
      </c>
      <c r="AS16" s="129">
        <f>SUM(AP$7:AP16)</f>
        <v>112</v>
      </c>
      <c r="AT16" s="128">
        <v>3000</v>
      </c>
      <c r="AU16" s="129">
        <v>600</v>
      </c>
      <c r="AV16" s="128">
        <f>SUM(AT$7:AT16)</f>
        <v>30000</v>
      </c>
      <c r="AW16" s="90">
        <f>SUM(AU$7:AU16)</f>
        <v>6000</v>
      </c>
      <c r="AY16" s="128">
        <f t="shared" si="20"/>
        <v>7700</v>
      </c>
      <c r="AZ16" s="90">
        <f t="shared" si="21"/>
        <v>5600</v>
      </c>
      <c r="BA16" s="90">
        <f t="shared" si="22"/>
        <v>6000</v>
      </c>
      <c r="BB16" s="90">
        <f t="shared" ca="1" si="57"/>
        <v>1700</v>
      </c>
      <c r="BC16" s="90">
        <f t="shared" ca="1" si="60"/>
        <v>12675</v>
      </c>
      <c r="BD16" s="90">
        <f t="shared" ca="1" si="61"/>
        <v>8325</v>
      </c>
      <c r="BE16" s="90">
        <f t="shared" ca="1" si="24"/>
        <v>21000</v>
      </c>
      <c r="BF16" s="142">
        <f t="shared" ca="1" si="0"/>
        <v>0.60749506903353057</v>
      </c>
      <c r="BG16" s="142">
        <f t="shared" ca="1" si="1"/>
        <v>0.44181459566074949</v>
      </c>
      <c r="BH16" s="142">
        <f t="shared" ca="1" si="2"/>
        <v>0.47337278106508873</v>
      </c>
      <c r="BI16" s="142">
        <f t="shared" ca="1" si="3"/>
        <v>0.13412228796844181</v>
      </c>
      <c r="BJ16" s="143"/>
      <c r="BK16" s="128">
        <f ca="1">INDEX(商城宝箱!$L:$L,MATCH(BC16,商城宝箱!$N:$N,1))</f>
        <v>5</v>
      </c>
      <c r="BL16" s="90">
        <f ca="1">_xlfn.IFNA(INDEX(商城宝箱!T:T,MATCH(玩家节奏2!$BK16,商城宝箱!$L:$L,0)),0)+($BC16-INDEX(商城宝箱!$N:$N,MATCH(玩家节奏2!$BK16,商城宝箱!$L:$L,0)))/$BK$5*INDEX(商城宝箱!E$23:E$42,MATCH(玩家节奏2!$BK16+1,商城宝箱!$C$23:$C$42,0))</f>
        <v>31687.5</v>
      </c>
      <c r="BM16" s="90">
        <f ca="1">_xlfn.IFNA(INDEX(商城宝箱!U:U,MATCH(玩家节奏2!$BK16,商城宝箱!$L:$L,0)),0)+($BC16-INDEX(商城宝箱!$N:$N,MATCH(玩家节奏2!$BK16,商城宝箱!$L:$L,0)))/$BK$5*INDEX(商城宝箱!F$23:F$42,MATCH(玩家节奏2!$BK16+1,商城宝箱!$C$23:$C$42,0))</f>
        <v>7887.5</v>
      </c>
      <c r="BN16" s="90">
        <f ca="1">_xlfn.IFNA(INDEX(商城宝箱!V:V,MATCH(玩家节奏2!$BK16,商城宝箱!$L:$L,0)),0)+($BC16-INDEX(商城宝箱!$N:$N,MATCH(玩家节奏2!$BK16,商城宝箱!$L:$L,0)))/$BK$5*INDEX(商城宝箱!G$23:G$42,MATCH(玩家节奏2!$BK16+1,商城宝箱!$C$23:$C$42,0))</f>
        <v>3732</v>
      </c>
      <c r="BO16" s="90">
        <f ca="1">_xlfn.IFNA(INDEX(商城宝箱!W:W,MATCH(玩家节奏2!$BK16,商城宝箱!$L:$L,0)),0)+($BC16-INDEX(商城宝箱!$N:$N,MATCH(玩家节奏2!$BK16,商城宝箱!$L:$L,0)))/$BK$5*INDEX(商城宝箱!H$23:H$42,MATCH(玩家节奏2!$BK16+1,商城宝箱!$C$23:$C$42,0))</f>
        <v>522.5</v>
      </c>
      <c r="BQ16" s="128">
        <f t="shared" si="4"/>
        <v>552800</v>
      </c>
      <c r="BR16" s="90">
        <f t="shared" si="5"/>
        <v>59450</v>
      </c>
      <c r="BS16" s="90">
        <f t="shared" ca="1" si="6"/>
        <v>186456</v>
      </c>
      <c r="BT16" s="90">
        <f t="shared" si="7"/>
        <v>42500</v>
      </c>
      <c r="BU16" s="90">
        <f t="shared" si="8"/>
        <v>112000</v>
      </c>
      <c r="BV16" s="90">
        <f t="shared" si="9"/>
        <v>30000</v>
      </c>
      <c r="BW16" s="90">
        <f t="shared" ca="1" si="25"/>
        <v>31687.5</v>
      </c>
      <c r="BX16" s="90">
        <f t="shared" ca="1" si="26"/>
        <v>1014893.5</v>
      </c>
      <c r="BY16" s="142">
        <f t="shared" ca="1" si="27"/>
        <v>0.5446876938319144</v>
      </c>
      <c r="BZ16" s="142">
        <f t="shared" ca="1" si="10"/>
        <v>5.8577574888399618E-2</v>
      </c>
      <c r="CA16" s="142">
        <f t="shared" ca="1" si="10"/>
        <v>0.18371976961129419</v>
      </c>
      <c r="CB16" s="142">
        <f t="shared" ca="1" si="10"/>
        <v>4.1876315101042623E-2</v>
      </c>
      <c r="CC16" s="142">
        <f t="shared" ca="1" si="10"/>
        <v>0.11035640685451233</v>
      </c>
      <c r="CD16" s="142">
        <f t="shared" ca="1" si="10"/>
        <v>2.9559751836030088E-2</v>
      </c>
      <c r="CE16" s="142">
        <f t="shared" ca="1" si="10"/>
        <v>3.1222487876806777E-2</v>
      </c>
      <c r="CG16" s="128">
        <f t="shared" si="28"/>
        <v>46</v>
      </c>
      <c r="CH16" s="90">
        <f ca="1">INDEX(角色升级!$A:$A,MATCH(玩家节奏2!$BX16,角色升级!$J:$J,1))</f>
        <v>307</v>
      </c>
      <c r="CI16" s="90">
        <f ca="1">INDEX(角色升级!$O:$O,MATCH(玩家节奏2!$BX16,角色升级!$J:$J,1))</f>
        <v>7220.2871300000006</v>
      </c>
      <c r="CJ16" s="90">
        <f>INDEX(关卡对比!$J:$J,MATCH(玩家节奏2!N16,关卡对比!$A:$A,0))</f>
        <v>9200</v>
      </c>
      <c r="CK16" s="147">
        <f t="shared" ca="1" si="29"/>
        <v>1.2741875543666916</v>
      </c>
      <c r="CL16" s="128">
        <f ca="1">INDEX(角色升级!$P:$P,MATCH(玩家节奏2!$CH16,角色升级!$A:$A,0))</f>
        <v>1700</v>
      </c>
      <c r="CM16" s="90">
        <f ca="1">INDEX(角色升级!Q:Q,MATCH(玩家节奏2!$CH16,角色升级!$A:$A,0))</f>
        <v>0.3</v>
      </c>
      <c r="CO16" s="128">
        <f t="shared" si="30"/>
        <v>4022</v>
      </c>
      <c r="CP16" s="90">
        <f t="shared" si="31"/>
        <v>3710</v>
      </c>
      <c r="CQ16" s="90">
        <f t="shared" si="32"/>
        <v>5406</v>
      </c>
      <c r="CR16" s="90">
        <f t="shared" ca="1" si="33"/>
        <v>7887.5</v>
      </c>
      <c r="CS16" s="90">
        <f t="shared" ca="1" si="34"/>
        <v>21025.5</v>
      </c>
      <c r="CT16" s="142">
        <f t="shared" ca="1" si="35"/>
        <v>0.19129152695536372</v>
      </c>
      <c r="CU16" s="142">
        <f t="shared" ca="1" si="11"/>
        <v>0.17645240303441059</v>
      </c>
      <c r="CV16" s="142">
        <f t="shared" ca="1" si="11"/>
        <v>0.257116358707284</v>
      </c>
      <c r="CW16" s="142">
        <f t="shared" ca="1" si="11"/>
        <v>0.37513971130294166</v>
      </c>
      <c r="CY16" s="128">
        <f t="shared" si="36"/>
        <v>2012</v>
      </c>
      <c r="CZ16" s="90">
        <f t="shared" si="37"/>
        <v>1795</v>
      </c>
      <c r="DA16" s="90">
        <f t="shared" si="38"/>
        <v>2448</v>
      </c>
      <c r="DB16" s="90">
        <f t="shared" ca="1" si="58"/>
        <v>3732</v>
      </c>
      <c r="DC16" s="90">
        <f t="shared" ca="1" si="39"/>
        <v>9987</v>
      </c>
      <c r="DD16" s="142">
        <f t="shared" ca="1" si="40"/>
        <v>0.2014619004706118</v>
      </c>
      <c r="DE16" s="142">
        <f t="shared" ca="1" si="12"/>
        <v>0.17973365374987485</v>
      </c>
      <c r="DF16" s="142">
        <f t="shared" ca="1" si="12"/>
        <v>0.24511865425052567</v>
      </c>
      <c r="DG16" s="142">
        <f t="shared" ca="1" si="12"/>
        <v>0.37368579152898768</v>
      </c>
      <c r="DI16" s="128">
        <f t="shared" si="41"/>
        <v>864</v>
      </c>
      <c r="DJ16" s="90">
        <f t="shared" si="42"/>
        <v>803</v>
      </c>
      <c r="DK16" s="90">
        <f t="shared" si="43"/>
        <v>748</v>
      </c>
      <c r="DL16" s="90">
        <f t="shared" ca="1" si="44"/>
        <v>522.5</v>
      </c>
      <c r="DM16" s="90">
        <f t="shared" ca="1" si="45"/>
        <v>2937.5</v>
      </c>
      <c r="DN16" s="142">
        <f t="shared" ca="1" si="46"/>
        <v>0.29412765957446807</v>
      </c>
      <c r="DO16" s="142">
        <f t="shared" ca="1" si="13"/>
        <v>0.27336170212765959</v>
      </c>
      <c r="DP16" s="142">
        <f t="shared" ca="1" si="13"/>
        <v>0.25463829787234044</v>
      </c>
      <c r="DQ16" s="142">
        <f t="shared" ca="1" si="13"/>
        <v>0.17787234042553191</v>
      </c>
      <c r="DS16" s="128">
        <f t="shared" ca="1" si="47"/>
        <v>21025.5</v>
      </c>
      <c r="DT16" s="90">
        <f t="shared" ca="1" si="48"/>
        <v>9987</v>
      </c>
      <c r="DU16" s="90">
        <f t="shared" ca="1" si="49"/>
        <v>2937.5</v>
      </c>
      <c r="DV16" s="90">
        <f t="shared" si="50"/>
        <v>112</v>
      </c>
      <c r="DW16" s="90">
        <f ca="1">_xlfn.IFNA(INDEX(武器升级消耗!$H:$H,MATCH(玩家节奏2!DS16/玩家节奏2!DS$5,武器升级消耗!M:M,1)),0)</f>
        <v>15</v>
      </c>
      <c r="DX16" s="90">
        <f ca="1">_xlfn.IFNA(INDEX(武器升级消耗!$H:$H,MATCH(玩家节奏2!DT16/玩家节奏2!DT$5,武器升级消耗!N:N,1)),0)</f>
        <v>12</v>
      </c>
      <c r="DY16" s="90">
        <f ca="1">_xlfn.IFNA(INDEX(武器升级消耗!$H:$H,MATCH(玩家节奏2!DU16/玩家节奏2!DU$5,武器升级消耗!O:O,1)),0)</f>
        <v>8</v>
      </c>
      <c r="DZ16" s="90">
        <f>_xlfn.IFNA(INDEX(武器升级消耗!$H:$H,MATCH(玩家节奏2!DV16/玩家节奏2!DV$5,武器升级消耗!P:P,1)),0)</f>
        <v>8</v>
      </c>
      <c r="EA16" s="90">
        <f ca="1">_xlfn.IFNA(INDEX(武器升级消耗!$Q:$Q,MATCH(玩家节奏2!DW16,武器升级消耗!$H:$H,0))*2*EA$4,0)</f>
        <v>2.2799999999999998</v>
      </c>
      <c r="EB16" s="90">
        <f ca="1">_xlfn.IFNA(INDEX(武器升级消耗!$Q:$Q,MATCH(玩家节奏2!DX16,武器升级消耗!$H:$H,0))*2*EB$4,0)</f>
        <v>2.4000000000000004</v>
      </c>
      <c r="EC16" s="90">
        <f ca="1">_xlfn.IFNA(INDEX(武器升级消耗!$Q:$Q,MATCH(玩家节奏2!DY16,武器升级消耗!$H:$H,0))*2*EC$4,0)</f>
        <v>2.64</v>
      </c>
      <c r="ED16" s="90">
        <f>_xlfn.IFNA(INDEX(武器升级消耗!$Q:$Q,MATCH(玩家节奏2!DZ16,武器升级消耗!$H:$H,0))*2*ED$4,0)</f>
        <v>3.5999999999999996</v>
      </c>
      <c r="EF16" s="128">
        <f t="shared" si="14"/>
        <v>0</v>
      </c>
      <c r="EG16" s="90">
        <f t="shared" si="15"/>
        <v>0</v>
      </c>
      <c r="EH16" s="90">
        <v>30</v>
      </c>
      <c r="EI16" s="90">
        <v>30</v>
      </c>
      <c r="EJ16" s="90">
        <f>_xlfn.IFNA(INDEX(皮肤宠物!$J$4:$J$13,MATCH(EF16+EH16,皮肤宠物!$L$4:$L$13,1)),0)</f>
        <v>2</v>
      </c>
      <c r="EK16" s="90">
        <f>_xlfn.IFNA(INDEX(皮肤宠物!$J$4:$J$13,MATCH(EG16+EI16,皮肤宠物!$L$4:$L$13,1)),0)</f>
        <v>2</v>
      </c>
      <c r="EL16" s="90">
        <f>_xlfn.IFNA(INDEX(皮肤宠物!$N$4:$N$13,MATCH(EF16+EH16,皮肤宠物!$L$4:$L$13,1)),1)</f>
        <v>1.32</v>
      </c>
      <c r="EM16" s="90">
        <f>_xlfn.IFNA(INDEX(皮肤宠物!$N$4:$N$13,MATCH(EG16+EI16,皮肤宠物!$L$4:$L$13,1)),1)</f>
        <v>1.32</v>
      </c>
      <c r="EO16" s="128">
        <v>30</v>
      </c>
      <c r="EP16" s="90">
        <v>10</v>
      </c>
      <c r="EQ16" s="90">
        <f t="shared" ca="1" si="51"/>
        <v>8325</v>
      </c>
      <c r="ER16" s="90">
        <f t="shared" si="16"/>
        <v>0</v>
      </c>
      <c r="ES16" s="90">
        <f t="shared" ca="1" si="52"/>
        <v>93.25</v>
      </c>
      <c r="ET16" s="90">
        <f ca="1">$ES16*ET$5*皮肤宠物!$J$75/4</f>
        <v>307.81824999999998</v>
      </c>
      <c r="EU16" s="90">
        <f ca="1">$ES16*EU$5*皮肤宠物!$J$76/4</f>
        <v>51.380750000000006</v>
      </c>
      <c r="EV16" s="90">
        <f ca="1">$ES16*EV$5*皮肤宠物!$J$77/4</f>
        <v>13.917562500000001</v>
      </c>
      <c r="EW16" s="90">
        <f ca="1">_xlfn.IFNA(INDEX(皮肤宠物!$H$18:$H$67,MATCH(ET16,皮肤宠物!L$18:L$67,1)),0)</f>
        <v>5</v>
      </c>
      <c r="EX16" s="90">
        <f ca="1">_xlfn.IFNA(INDEX(皮肤宠物!$H$18:$H$67,MATCH(EU16,皮肤宠物!M$18:M$67,1)),0)</f>
        <v>4</v>
      </c>
      <c r="EY16" s="90">
        <f ca="1">_xlfn.IFNA(INDEX(皮肤宠物!$H$18:$H$67,MATCH(EV16,皮肤宠物!N$18:N$67,1)),0)</f>
        <v>3</v>
      </c>
      <c r="EZ16" s="90">
        <f ca="1">_xlfn.IFNA(INDEX(皮肤宠物!C$18:C$67,MATCH(EW16,皮肤宠物!$A$18:$A$67,0))+1,1)</f>
        <v>1.05</v>
      </c>
      <c r="FA16" s="90">
        <f ca="1">_xlfn.IFNA(INDEX(皮肤宠物!D$18:D$67,MATCH(EX16,皮肤宠物!$A$18:$A$67,0))+1,1)</f>
        <v>1.08</v>
      </c>
      <c r="FB16" s="90">
        <f ca="1">_xlfn.IFNA(INDEX(皮肤宠物!E$18:E$67,MATCH(EY16,皮肤宠物!$A$18:$A$67,0))+1,1)</f>
        <v>1.1200000000000001</v>
      </c>
      <c r="FD16" s="90">
        <f t="shared" ca="1" si="53"/>
        <v>2.64</v>
      </c>
      <c r="FE16" s="90">
        <f t="shared" si="54"/>
        <v>1.32</v>
      </c>
      <c r="FF16" s="90">
        <f t="shared" ca="1" si="55"/>
        <v>1.1200000000000001</v>
      </c>
      <c r="FG16" s="90">
        <f t="shared" ca="1" si="56"/>
        <v>3.9029760000000007</v>
      </c>
    </row>
    <row r="17" spans="1:163" x14ac:dyDescent="0.25">
      <c r="A17" s="123">
        <v>11</v>
      </c>
      <c r="B17" s="123">
        <f>INDEX(关卡对比!$Y:$Y,MATCH(关卡对比!Z17,关卡对比!$AA:$AA,1))</f>
        <v>6</v>
      </c>
      <c r="C17" s="124"/>
      <c r="D17" s="125">
        <f t="shared" ref="D17:D22" si="62">A17*E17+B17*E17+C17*E17-4.5-10</f>
        <v>19.5</v>
      </c>
      <c r="E17" s="125">
        <v>2</v>
      </c>
      <c r="F17" s="128">
        <v>25</v>
      </c>
      <c r="G17" s="90">
        <v>0</v>
      </c>
      <c r="H17" s="90">
        <v>5</v>
      </c>
      <c r="J17" s="128">
        <v>11</v>
      </c>
      <c r="K17" s="90">
        <f t="shared" si="17"/>
        <v>16</v>
      </c>
      <c r="L17" s="90">
        <f t="shared" si="18"/>
        <v>16</v>
      </c>
      <c r="M17" s="90">
        <f t="shared" si="19"/>
        <v>5</v>
      </c>
      <c r="N17" s="140">
        <f>INDEX($A:$A,MATCH(SUM($K$7:K17),$D:$D,1))</f>
        <v>49</v>
      </c>
      <c r="O17" s="140">
        <v>0</v>
      </c>
      <c r="P17" s="141">
        <v>0</v>
      </c>
      <c r="Q17" s="126">
        <f>_xlfn.MAXIFS(关卡产出!X:X,关卡产出!$A:$A,玩家节奏2!$N$6,关卡产出!$B:$B,玩家节奏2!$N17)+_xlfn.MAXIFS(关卡产出!X:X,关卡产出!$A:$A,玩家节奏2!$O$6,关卡产出!$B:$B,玩家节奏2!$O17)+_xlfn.MAXIFS(关卡产出!X:X,关卡产出!$A:$A,玩家节奏2!$P$6,关卡产出!$B:$B,玩家节奏2!$P17)</f>
        <v>8300</v>
      </c>
      <c r="R17" s="90">
        <f>_xlfn.MAXIFS(关卡产出!Y:Y,关卡产出!$A:$A,玩家节奏2!$N$6,关卡产出!$B:$B,玩家节奏2!$N17)+_xlfn.MAXIFS(关卡产出!Y:Y,关卡产出!$A:$A,玩家节奏2!$O$6,关卡产出!$B:$B,玩家节奏2!$O17)+_xlfn.MAXIFS(关卡产出!Y:Y,关卡产出!$A:$A,玩家节奏2!$P$6,关卡产出!$B:$B,玩家节奏2!$P17)</f>
        <v>632300</v>
      </c>
      <c r="S17" s="90">
        <f>_xlfn.MAXIFS(关卡产出!Z:Z,关卡产出!$A:$A,玩家节奏2!$N$6,关卡产出!$B:$B,玩家节奏2!$N17)+_xlfn.MAXIFS(关卡产出!Z:Z,关卡产出!$A:$A,玩家节奏2!$O$6,关卡产出!$B:$B,玩家节奏2!$O17)+_xlfn.MAXIFS(关卡产出!Z:Z,关卡产出!$A:$A,玩家节奏2!$P$6,关卡产出!$B:$B,玩家节奏2!$P17)</f>
        <v>4574</v>
      </c>
      <c r="T17" s="90">
        <f>_xlfn.MAXIFS(关卡产出!AA:AA,关卡产出!$A:$A,玩家节奏2!$N$6,关卡产出!$B:$B,玩家节奏2!$N17)+_xlfn.MAXIFS(关卡产出!AA:AA,关卡产出!$A:$A,玩家节奏2!$O$6,关卡产出!$B:$B,玩家节奏2!$O17)+_xlfn.MAXIFS(关卡产出!AA:AA,关卡产出!$A:$A,玩家节奏2!$P$6,关卡产出!$B:$B,玩家节奏2!$P17)</f>
        <v>2288</v>
      </c>
      <c r="U17" s="90">
        <f>_xlfn.MAXIFS(关卡产出!AB:AB,关卡产出!$A:$A,玩家节奏2!$N$6,关卡产出!$B:$B,玩家节奏2!$N17)+_xlfn.MAXIFS(关卡产出!AB:AB,关卡产出!$A:$A,玩家节奏2!$O$6,关卡产出!$B:$B,玩家节奏2!$O17)+_xlfn.MAXIFS(关卡产出!AB:AB,关卡产出!$A:$A,玩家节奏2!$P$6,关卡产出!$B:$B,玩家节奏2!$P17)</f>
        <v>993</v>
      </c>
      <c r="V17" s="130">
        <f>_xlfn.MAXIFS(关卡产出!AC:AC,关卡产出!$A:$A,玩家节奏2!$N$6,关卡产出!$B:$B,玩家节奏2!$N17)+_xlfn.MAXIFS(关卡产出!AC:AC,关卡产出!$A:$A,玩家节奏2!$O$6,关卡产出!$B:$B,玩家节奏2!$O17)+_xlfn.MAXIFS(关卡产出!AC:AC,关卡产出!$A:$A,玩家节奏2!$P$6,关卡产出!$B:$B,玩家节奏2!$P17)</f>
        <v>294</v>
      </c>
      <c r="W17" s="126">
        <f>INDEX(关卡产出!C$8:C$207,MATCH(玩家节奏2!$N17,关卡产出!$B$8:$B$207,0))*$K17</f>
        <v>608</v>
      </c>
      <c r="X17" s="126">
        <f>INDEX(关卡产出!D$8:D$207,MATCH(玩家节奏2!$N17,关卡产出!$B$8:$B$207,0))*$K17</f>
        <v>304</v>
      </c>
      <c r="Y17" s="126">
        <f>INDEX(关卡产出!E$8:E$207,MATCH(玩家节奏2!$N17,关卡产出!$B$8:$B$207,0))*$K17</f>
        <v>144</v>
      </c>
      <c r="Z17" s="144">
        <f>INDEX(关卡产出!F$8:F$207,MATCH(玩家节奏2!$N17,关卡产出!$B$8:$B$207,0))*$K17</f>
        <v>8800</v>
      </c>
      <c r="AA17" s="126">
        <f>SUM(W$7:W17)</f>
        <v>4318</v>
      </c>
      <c r="AB17" s="126">
        <f>SUM(X$7:X17)</f>
        <v>2099</v>
      </c>
      <c r="AC17" s="126">
        <f>SUM(Y$7:Y17)</f>
        <v>947</v>
      </c>
      <c r="AD17" s="177">
        <f>SUM(Z$7:Z17)</f>
        <v>68250</v>
      </c>
      <c r="AE17" s="128">
        <f>INDEX(图鉴!AQ:AQ,MATCH($N17,图鉴!$S:$S,0))*34</f>
        <v>646</v>
      </c>
      <c r="AF17" s="90">
        <f>INDEX(图鉴!AR:AR,MATCH($N17,图鉴!$S:$S,0))*34</f>
        <v>340</v>
      </c>
      <c r="AG17" s="90">
        <f>INDEX(图鉴!AS:AS,MATCH($N17,图鉴!$S:$S,0))*34</f>
        <v>136</v>
      </c>
      <c r="AH17" s="129">
        <f ca="1">INDEX(图鉴!AT:AT,MATCH($N17,图鉴!$S:$S,0))*34</f>
        <v>25840</v>
      </c>
      <c r="AI17" s="128">
        <f>SUM($AE$7:AE17)</f>
        <v>6052</v>
      </c>
      <c r="AJ17" s="90">
        <f>SUM(AF$7:AF17)</f>
        <v>2788</v>
      </c>
      <c r="AK17" s="90">
        <f>SUM(AG$7:AG17)</f>
        <v>884</v>
      </c>
      <c r="AL17" s="130">
        <f ca="1">SUM(AH$7:AH17)</f>
        <v>212296</v>
      </c>
      <c r="AM17" s="133">
        <f>IF(M17=0,0,INDEX(关卡产出!$AU$11:$AU$15,MATCH(玩家节奏2!N17,关卡产出!$AW$11:$AW$15,1))*M17)</f>
        <v>42500</v>
      </c>
      <c r="AN17" s="126">
        <f>IF(L17=0,0,$L17*关卡产出!AU$21)</f>
        <v>16000</v>
      </c>
      <c r="AO17" s="90">
        <f>IF(M17=0,0,$L17*关卡产出!AV$21)</f>
        <v>800</v>
      </c>
      <c r="AP17" s="129">
        <f>IF(N17=0,0,$L17*关卡产出!AW$21)</f>
        <v>16</v>
      </c>
      <c r="AQ17" s="138">
        <f>SUM(AN$7:AN17)</f>
        <v>128000</v>
      </c>
      <c r="AR17" s="126">
        <f>SUM(AO$7:AO17)</f>
        <v>6400</v>
      </c>
      <c r="AS17" s="129">
        <f>SUM(AP$7:AP17)</f>
        <v>128</v>
      </c>
      <c r="AT17" s="128">
        <v>3000</v>
      </c>
      <c r="AU17" s="129">
        <v>600</v>
      </c>
      <c r="AV17" s="128">
        <f>SUM(AT$7:AT17)</f>
        <v>33000</v>
      </c>
      <c r="AW17" s="90">
        <f>SUM(AU$7:AU17)</f>
        <v>6600</v>
      </c>
      <c r="AY17" s="128">
        <f t="shared" si="20"/>
        <v>8300</v>
      </c>
      <c r="AZ17" s="90">
        <f t="shared" si="21"/>
        <v>6400</v>
      </c>
      <c r="BA17" s="90">
        <f t="shared" si="22"/>
        <v>6600</v>
      </c>
      <c r="BB17" s="90">
        <f t="shared" ca="1" si="57"/>
        <v>1700</v>
      </c>
      <c r="BC17" s="90">
        <f t="shared" ca="1" si="60"/>
        <v>13675</v>
      </c>
      <c r="BD17" s="90">
        <f t="shared" ca="1" si="61"/>
        <v>9325</v>
      </c>
      <c r="BE17" s="90">
        <f t="shared" ca="1" si="24"/>
        <v>23000</v>
      </c>
      <c r="BF17" s="142">
        <f t="shared" ca="1" si="0"/>
        <v>0.60694698354661791</v>
      </c>
      <c r="BG17" s="142">
        <f t="shared" ca="1" si="1"/>
        <v>0.4680073126142596</v>
      </c>
      <c r="BH17" s="142">
        <f t="shared" ca="1" si="2"/>
        <v>0.48263254113345522</v>
      </c>
      <c r="BI17" s="142">
        <f t="shared" ca="1" si="3"/>
        <v>0.12431444241316271</v>
      </c>
      <c r="BJ17" s="143"/>
      <c r="BK17" s="128">
        <f ca="1">INDEX(商城宝箱!$L:$L,MATCH(BC17,商城宝箱!$N:$N,1))</f>
        <v>5</v>
      </c>
      <c r="BL17" s="90">
        <f ca="1">_xlfn.IFNA(INDEX(商城宝箱!T:T,MATCH(玩家节奏2!$BK17,商城宝箱!$L:$L,0)),0)+($BC17-INDEX(商城宝箱!$N:$N,MATCH(玩家节奏2!$BK17,商城宝箱!$L:$L,0)))/$BK$5*INDEX(商城宝箱!E$23:E$42,MATCH(玩家节奏2!$BK17+1,商城宝箱!$C$23:$C$42,0))</f>
        <v>34187.5</v>
      </c>
      <c r="BM17" s="90">
        <f ca="1">_xlfn.IFNA(INDEX(商城宝箱!U:U,MATCH(玩家节奏2!$BK17,商城宝箱!$L:$L,0)),0)+($BC17-INDEX(商城宝箱!$N:$N,MATCH(玩家节奏2!$BK17,商城宝箱!$L:$L,0)))/$BK$5*INDEX(商城宝箱!F$23:F$42,MATCH(玩家节奏2!$BK17+1,商城宝箱!$C$23:$C$42,0))</f>
        <v>8887.5</v>
      </c>
      <c r="BN17" s="90">
        <f ca="1">_xlfn.IFNA(INDEX(商城宝箱!V:V,MATCH(玩家节奏2!$BK17,商城宝箱!$L:$L,0)),0)+($BC17-INDEX(商城宝箱!$N:$N,MATCH(玩家节奏2!$BK17,商城宝箱!$L:$L,0)))/$BK$5*INDEX(商城宝箱!G$23:G$42,MATCH(玩家节奏2!$BK17+1,商城宝箱!$C$23:$C$42,0))</f>
        <v>4332</v>
      </c>
      <c r="BO17" s="90">
        <f ca="1">_xlfn.IFNA(INDEX(商城宝箱!W:W,MATCH(玩家节奏2!$BK17,商城宝箱!$L:$L,0)),0)+($BC17-INDEX(商城宝箱!$N:$N,MATCH(玩家节奏2!$BK17,商城宝箱!$L:$L,0)))/$BK$5*INDEX(商城宝箱!H$23:H$42,MATCH(玩家节奏2!$BK17+1,商城宝箱!$C$23:$C$42,0))</f>
        <v>602.5</v>
      </c>
      <c r="BQ17" s="128">
        <f t="shared" si="4"/>
        <v>632300</v>
      </c>
      <c r="BR17" s="90">
        <f t="shared" si="5"/>
        <v>68250</v>
      </c>
      <c r="BS17" s="90">
        <f t="shared" ca="1" si="6"/>
        <v>212296</v>
      </c>
      <c r="BT17" s="90">
        <f t="shared" si="7"/>
        <v>42500</v>
      </c>
      <c r="BU17" s="90">
        <f t="shared" si="8"/>
        <v>128000</v>
      </c>
      <c r="BV17" s="90">
        <f t="shared" si="9"/>
        <v>33000</v>
      </c>
      <c r="BW17" s="90">
        <f t="shared" ca="1" si="25"/>
        <v>34187.5</v>
      </c>
      <c r="BX17" s="90">
        <f t="shared" ca="1" si="26"/>
        <v>1150533.5</v>
      </c>
      <c r="BY17" s="142">
        <f t="shared" ca="1" si="27"/>
        <v>0.54957113373926092</v>
      </c>
      <c r="BZ17" s="142">
        <f t="shared" ca="1" si="10"/>
        <v>5.9320306622970997E-2</v>
      </c>
      <c r="CA17" s="142">
        <f t="shared" ca="1" si="10"/>
        <v>0.18451961633450917</v>
      </c>
      <c r="CB17" s="142">
        <f t="shared" ca="1" si="10"/>
        <v>3.6939385076575348E-2</v>
      </c>
      <c r="CC17" s="142">
        <f t="shared" ca="1" si="10"/>
        <v>0.11125273623062693</v>
      </c>
      <c r="CD17" s="142">
        <f t="shared" ca="1" si="10"/>
        <v>2.8682346059458505E-2</v>
      </c>
      <c r="CE17" s="142">
        <f t="shared" ca="1" si="10"/>
        <v>2.9714475936598109E-2</v>
      </c>
      <c r="CG17" s="128">
        <f t="shared" si="28"/>
        <v>49</v>
      </c>
      <c r="CH17" s="90">
        <f ca="1">INDEX(角色升级!$A:$A,MATCH(玩家节奏2!$BX17,角色升级!$J:$J,1))</f>
        <v>328</v>
      </c>
      <c r="CI17" s="90">
        <f ca="1">INDEX(角色升级!$O:$O,MATCH(玩家节奏2!$BX17,角色升级!$J:$J,1))</f>
        <v>7699.3045850000017</v>
      </c>
      <c r="CJ17" s="90">
        <f>INDEX(关卡对比!$J:$J,MATCH(玩家节奏2!N17,关卡对比!$A:$A,0))</f>
        <v>10700</v>
      </c>
      <c r="CK17" s="147">
        <f t="shared" ca="1" si="29"/>
        <v>1.3897359017132582</v>
      </c>
      <c r="CL17" s="128">
        <f ca="1">INDEX(角色升级!$P:$P,MATCH(玩家节奏2!$CH17,角色升级!$A:$A,0))</f>
        <v>2150</v>
      </c>
      <c r="CM17" s="90">
        <f ca="1">INDEX(角色升级!Q:Q,MATCH(玩家节奏2!$CH17,角色升级!$A:$A,0))</f>
        <v>0.3</v>
      </c>
      <c r="CO17" s="128">
        <f t="shared" si="30"/>
        <v>4574</v>
      </c>
      <c r="CP17" s="90">
        <f t="shared" si="31"/>
        <v>4318</v>
      </c>
      <c r="CQ17" s="90">
        <f t="shared" si="32"/>
        <v>6052</v>
      </c>
      <c r="CR17" s="90">
        <f t="shared" ca="1" si="33"/>
        <v>8887.5</v>
      </c>
      <c r="CS17" s="90">
        <f t="shared" ca="1" si="34"/>
        <v>23831.5</v>
      </c>
      <c r="CT17" s="142">
        <f t="shared" ca="1" si="35"/>
        <v>0.19193084782745526</v>
      </c>
      <c r="CU17" s="142">
        <f t="shared" ca="1" si="11"/>
        <v>0.18118876277196147</v>
      </c>
      <c r="CV17" s="142">
        <f t="shared" ca="1" si="11"/>
        <v>0.25394960451503262</v>
      </c>
      <c r="CW17" s="142">
        <f t="shared" ca="1" si="11"/>
        <v>0.37293078488555065</v>
      </c>
      <c r="CY17" s="128">
        <f t="shared" si="36"/>
        <v>2288</v>
      </c>
      <c r="CZ17" s="90">
        <f t="shared" si="37"/>
        <v>2099</v>
      </c>
      <c r="DA17" s="90">
        <f t="shared" si="38"/>
        <v>2788</v>
      </c>
      <c r="DB17" s="90">
        <f t="shared" ca="1" si="58"/>
        <v>4332</v>
      </c>
      <c r="DC17" s="90">
        <f t="shared" ca="1" si="39"/>
        <v>11507</v>
      </c>
      <c r="DD17" s="142">
        <f t="shared" ca="1" si="40"/>
        <v>0.19883549143999305</v>
      </c>
      <c r="DE17" s="142">
        <f t="shared" ca="1" si="12"/>
        <v>0.18241070652646216</v>
      </c>
      <c r="DF17" s="142">
        <f t="shared" ca="1" si="12"/>
        <v>0.24228730338055096</v>
      </c>
      <c r="DG17" s="142">
        <f t="shared" ca="1" si="12"/>
        <v>0.37646649865299381</v>
      </c>
      <c r="DI17" s="128">
        <f t="shared" si="41"/>
        <v>993</v>
      </c>
      <c r="DJ17" s="90">
        <f t="shared" si="42"/>
        <v>947</v>
      </c>
      <c r="DK17" s="90">
        <f t="shared" si="43"/>
        <v>884</v>
      </c>
      <c r="DL17" s="90">
        <f t="shared" ca="1" si="44"/>
        <v>602.5</v>
      </c>
      <c r="DM17" s="90">
        <f t="shared" ca="1" si="45"/>
        <v>3426.5</v>
      </c>
      <c r="DN17" s="142">
        <f t="shared" ca="1" si="46"/>
        <v>0.28980008755289655</v>
      </c>
      <c r="DO17" s="142">
        <f t="shared" ca="1" si="13"/>
        <v>0.27637531008317523</v>
      </c>
      <c r="DP17" s="142">
        <f t="shared" ca="1" si="13"/>
        <v>0.25798920180942653</v>
      </c>
      <c r="DQ17" s="142">
        <f t="shared" ca="1" si="13"/>
        <v>0.17583540055450167</v>
      </c>
      <c r="DS17" s="128">
        <f t="shared" ca="1" si="47"/>
        <v>23831.5</v>
      </c>
      <c r="DT17" s="90">
        <f t="shared" ca="1" si="48"/>
        <v>11507</v>
      </c>
      <c r="DU17" s="90">
        <f t="shared" ca="1" si="49"/>
        <v>3426.5</v>
      </c>
      <c r="DV17" s="90">
        <f t="shared" si="50"/>
        <v>128</v>
      </c>
      <c r="DW17" s="90">
        <f ca="1">_xlfn.IFNA(INDEX(武器升级消耗!$H:$H,MATCH(玩家节奏2!DS17/玩家节奏2!DS$5,武器升级消耗!M:M,1)),0)</f>
        <v>16</v>
      </c>
      <c r="DX17" s="90">
        <f ca="1">_xlfn.IFNA(INDEX(武器升级消耗!$H:$H,MATCH(玩家节奏2!DT17/玩家节奏2!DT$5,武器升级消耗!N:N,1)),0)</f>
        <v>13</v>
      </c>
      <c r="DY17" s="90">
        <f ca="1">_xlfn.IFNA(INDEX(武器升级消耗!$H:$H,MATCH(玩家节奏2!DU17/玩家节奏2!DU$5,武器升级消耗!O:O,1)),0)</f>
        <v>8</v>
      </c>
      <c r="DZ17" s="90">
        <f>_xlfn.IFNA(INDEX(武器升级消耗!$H:$H,MATCH(玩家节奏2!DV17/玩家节奏2!DV$5,武器升级消耗!P:P,1)),0)</f>
        <v>8</v>
      </c>
      <c r="EA17" s="90">
        <f ca="1">_xlfn.IFNA(INDEX(武器升级消耗!$Q:$Q,MATCH(玩家节奏2!DW17,武器升级消耗!$H:$H,0))*2*EA$4,0)</f>
        <v>2.4</v>
      </c>
      <c r="EB17" s="90">
        <f ca="1">_xlfn.IFNA(INDEX(武器升级消耗!$Q:$Q,MATCH(玩家节奏2!DX17,武器升级消耗!$H:$H,0))*2*EB$4,0)</f>
        <v>2.5499999999999998</v>
      </c>
      <c r="EC17" s="90">
        <f ca="1">_xlfn.IFNA(INDEX(武器升级消耗!$Q:$Q,MATCH(玩家节奏2!DY17,武器升级消耗!$H:$H,0))*2*EC$4,0)</f>
        <v>2.64</v>
      </c>
      <c r="ED17" s="90">
        <f>_xlfn.IFNA(INDEX(武器升级消耗!$Q:$Q,MATCH(玩家节奏2!DZ17,武器升级消耗!$H:$H,0))*2*ED$4,0)</f>
        <v>3.5999999999999996</v>
      </c>
      <c r="EF17" s="128">
        <f t="shared" si="14"/>
        <v>0</v>
      </c>
      <c r="EG17" s="90">
        <f t="shared" si="15"/>
        <v>0</v>
      </c>
      <c r="EH17" s="90">
        <v>33</v>
      </c>
      <c r="EI17" s="90">
        <v>33</v>
      </c>
      <c r="EJ17" s="90">
        <f>_xlfn.IFNA(INDEX(皮肤宠物!$J$4:$J$13,MATCH(EF17+EH17,皮肤宠物!$L$4:$L$13,1)),0)</f>
        <v>2</v>
      </c>
      <c r="EK17" s="90">
        <f>_xlfn.IFNA(INDEX(皮肤宠物!$J$4:$J$13,MATCH(EG17+EI17,皮肤宠物!$L$4:$L$13,1)),0)</f>
        <v>2</v>
      </c>
      <c r="EL17" s="90">
        <f>_xlfn.IFNA(INDEX(皮肤宠物!$N$4:$N$13,MATCH(EF17+EH17,皮肤宠物!$L$4:$L$13,1)),1)</f>
        <v>1.32</v>
      </c>
      <c r="EM17" s="90">
        <f>_xlfn.IFNA(INDEX(皮肤宠物!$N$4:$N$13,MATCH(EG17+EI17,皮肤宠物!$L$4:$L$13,1)),1)</f>
        <v>1.32</v>
      </c>
      <c r="EO17" s="128">
        <v>33</v>
      </c>
      <c r="EP17" s="90">
        <v>11</v>
      </c>
      <c r="EQ17" s="90">
        <f t="shared" ca="1" si="51"/>
        <v>9325</v>
      </c>
      <c r="ER17" s="90">
        <f t="shared" si="16"/>
        <v>0</v>
      </c>
      <c r="ES17" s="90">
        <f t="shared" ca="1" si="52"/>
        <v>104.25</v>
      </c>
      <c r="ET17" s="90">
        <f ca="1">$ES17*ET$5*皮肤宠物!$J$75/4</f>
        <v>344.12925000000001</v>
      </c>
      <c r="EU17" s="90">
        <f ca="1">$ES17*EU$5*皮肤宠物!$J$76/4</f>
        <v>57.441750000000006</v>
      </c>
      <c r="EV17" s="90">
        <f ca="1">$ES17*EV$5*皮肤宠物!$J$77/4</f>
        <v>15.559312500000001</v>
      </c>
      <c r="EW17" s="90">
        <f ca="1">_xlfn.IFNA(INDEX(皮肤宠物!$H$18:$H$67,MATCH(ET17,皮肤宠物!L$18:L$67,1)),0)</f>
        <v>6</v>
      </c>
      <c r="EX17" s="90">
        <f ca="1">_xlfn.IFNA(INDEX(皮肤宠物!$H$18:$H$67,MATCH(EU17,皮肤宠物!M$18:M$67,1)),0)</f>
        <v>4</v>
      </c>
      <c r="EY17" s="90">
        <f ca="1">_xlfn.IFNA(INDEX(皮肤宠物!$H$18:$H$67,MATCH(EV17,皮肤宠物!N$18:N$67,1)),0)</f>
        <v>3</v>
      </c>
      <c r="EZ17" s="90">
        <f ca="1">_xlfn.IFNA(INDEX(皮肤宠物!C$18:C$67,MATCH(EW17,皮肤宠物!$A$18:$A$67,0))+1,1)</f>
        <v>1.06</v>
      </c>
      <c r="FA17" s="90">
        <f ca="1">_xlfn.IFNA(INDEX(皮肤宠物!D$18:D$67,MATCH(EX17,皮肤宠物!$A$18:$A$67,0))+1,1)</f>
        <v>1.08</v>
      </c>
      <c r="FB17" s="90">
        <f ca="1">_xlfn.IFNA(INDEX(皮肤宠物!E$18:E$67,MATCH(EY17,皮肤宠物!$A$18:$A$67,0))+1,1)</f>
        <v>1.1200000000000001</v>
      </c>
      <c r="FD17" s="90">
        <f t="shared" ca="1" si="53"/>
        <v>2.64</v>
      </c>
      <c r="FE17" s="90">
        <f t="shared" si="54"/>
        <v>1.32</v>
      </c>
      <c r="FF17" s="90">
        <f t="shared" ca="1" si="55"/>
        <v>1.1200000000000001</v>
      </c>
      <c r="FG17" s="90">
        <f t="shared" ca="1" si="56"/>
        <v>3.9029760000000007</v>
      </c>
    </row>
    <row r="18" spans="1:163" x14ac:dyDescent="0.25">
      <c r="A18" s="123">
        <v>12</v>
      </c>
      <c r="B18" s="123">
        <f>INDEX(关卡对比!$Y:$Y,MATCH(关卡对比!Z18,关卡对比!$AA:$AA,1))</f>
        <v>6</v>
      </c>
      <c r="C18" s="124"/>
      <c r="D18" s="125">
        <f t="shared" si="62"/>
        <v>21.5</v>
      </c>
      <c r="E18" s="125">
        <v>2</v>
      </c>
      <c r="F18" s="128">
        <v>25</v>
      </c>
      <c r="G18" s="90">
        <v>0</v>
      </c>
      <c r="H18" s="90">
        <v>5</v>
      </c>
      <c r="J18" s="128">
        <v>12</v>
      </c>
      <c r="K18" s="90">
        <f t="shared" si="17"/>
        <v>16</v>
      </c>
      <c r="L18" s="90">
        <f t="shared" si="18"/>
        <v>16</v>
      </c>
      <c r="M18" s="90">
        <f t="shared" si="19"/>
        <v>5</v>
      </c>
      <c r="N18" s="140">
        <f>INDEX($A:$A,MATCH(SUM($K$7:K18),$D:$D,1))</f>
        <v>52</v>
      </c>
      <c r="O18" s="140">
        <v>0</v>
      </c>
      <c r="P18" s="141">
        <v>0</v>
      </c>
      <c r="Q18" s="126">
        <f>_xlfn.MAXIFS(关卡产出!X:X,关卡产出!$A:$A,玩家节奏2!$N$6,关卡产出!$B:$B,玩家节奏2!$N18)+_xlfn.MAXIFS(关卡产出!X:X,关卡产出!$A:$A,玩家节奏2!$O$6,关卡产出!$B:$B,玩家节奏2!$O18)+_xlfn.MAXIFS(关卡产出!X:X,关卡产出!$A:$A,玩家节奏2!$P$6,关卡产出!$B:$B,玩家节奏2!$P18)</f>
        <v>8900</v>
      </c>
      <c r="R18" s="90">
        <f>_xlfn.MAXIFS(关卡产出!Y:Y,关卡产出!$A:$A,玩家节奏2!$N$6,关卡产出!$B:$B,玩家节奏2!$N18)+_xlfn.MAXIFS(关卡产出!Y:Y,关卡产出!$A:$A,玩家节奏2!$O$6,关卡产出!$B:$B,玩家节奏2!$O18)+_xlfn.MAXIFS(关卡产出!Y:Y,关卡产出!$A:$A,玩家节奏2!$P$6,关卡产出!$B:$B,玩家节奏2!$P18)</f>
        <v>717200</v>
      </c>
      <c r="S18" s="90">
        <f>_xlfn.MAXIFS(关卡产出!Z:Z,关卡产出!$A:$A,玩家节奏2!$N$6,关卡产出!$B:$B,玩家节奏2!$N18)+_xlfn.MAXIFS(关卡产出!Z:Z,关卡产出!$A:$A,玩家节奏2!$O$6,关卡产出!$B:$B,玩家节奏2!$O18)+_xlfn.MAXIFS(关卡产出!Z:Z,关卡产出!$A:$A,玩家节奏2!$P$6,关卡产出!$B:$B,玩家节奏2!$P18)</f>
        <v>5162</v>
      </c>
      <c r="T18" s="90">
        <f>_xlfn.MAXIFS(关卡产出!AA:AA,关卡产出!$A:$A,玩家节奏2!$N$6,关卡产出!$B:$B,玩家节奏2!$N18)+_xlfn.MAXIFS(关卡产出!AA:AA,关卡产出!$A:$A,玩家节奏2!$O$6,关卡产出!$B:$B,玩家节奏2!$O18)+_xlfn.MAXIFS(关卡产出!AA:AA,关卡产出!$A:$A,玩家节奏2!$P$6,关卡产出!$B:$B,玩家节奏2!$P18)</f>
        <v>2582</v>
      </c>
      <c r="U18" s="90">
        <f>_xlfn.MAXIFS(关卡产出!AB:AB,关卡产出!$A:$A,玩家节奏2!$N$6,关卡产出!$B:$B,玩家节奏2!$N18)+_xlfn.MAXIFS(关卡产出!AB:AB,关卡产出!$A:$A,玩家节奏2!$O$6,关卡产出!$B:$B,玩家节奏2!$O18)+_xlfn.MAXIFS(关卡产出!AB:AB,关卡产出!$A:$A,玩家节奏2!$P$6,关卡产出!$B:$B,玩家节奏2!$P18)</f>
        <v>1131</v>
      </c>
      <c r="V18" s="130">
        <f>_xlfn.MAXIFS(关卡产出!AC:AC,关卡产出!$A:$A,玩家节奏2!$N$6,关卡产出!$B:$B,玩家节奏2!$N18)+_xlfn.MAXIFS(关卡产出!AC:AC,关卡产出!$A:$A,玩家节奏2!$O$6,关卡产出!$B:$B,玩家节奏2!$O18)+_xlfn.MAXIFS(关卡产出!AC:AC,关卡产出!$A:$A,玩家节奏2!$P$6,关卡产出!$B:$B,玩家节奏2!$P18)</f>
        <v>312</v>
      </c>
      <c r="W18" s="126">
        <f>INDEX(关卡产出!C$8:C$207,MATCH(玩家节奏2!$N18,关卡产出!$B$8:$B$207,0))*$K18</f>
        <v>640</v>
      </c>
      <c r="X18" s="126">
        <f>INDEX(关卡产出!D$8:D$207,MATCH(玩家节奏2!$N18,关卡产出!$B$8:$B$207,0))*$K18</f>
        <v>320</v>
      </c>
      <c r="Y18" s="126">
        <f>INDEX(关卡产出!E$8:E$207,MATCH(玩家节奏2!$N18,关卡产出!$B$8:$B$207,0))*$K18</f>
        <v>144</v>
      </c>
      <c r="Z18" s="144">
        <f>INDEX(关卡产出!F$8:F$207,MATCH(玩家节奏2!$N18,关卡产出!$B$8:$B$207,0))*$K18</f>
        <v>9120</v>
      </c>
      <c r="AA18" s="126">
        <f>SUM(W$7:W18)</f>
        <v>4958</v>
      </c>
      <c r="AB18" s="126">
        <f>SUM(X$7:X18)</f>
        <v>2419</v>
      </c>
      <c r="AC18" s="126">
        <f>SUM(Y$7:Y18)</f>
        <v>1091</v>
      </c>
      <c r="AD18" s="177">
        <f>SUM(Z$7:Z18)</f>
        <v>77370</v>
      </c>
      <c r="AE18" s="128">
        <f>INDEX(图鉴!AQ:AQ,MATCH($N18,图鉴!$S:$S,0))*34</f>
        <v>680</v>
      </c>
      <c r="AF18" s="90">
        <f>INDEX(图鉴!AR:AR,MATCH($N18,图鉴!$S:$S,0))*34</f>
        <v>374</v>
      </c>
      <c r="AG18" s="90">
        <f>INDEX(图鉴!AS:AS,MATCH($N18,图鉴!$S:$S,0))*34</f>
        <v>136</v>
      </c>
      <c r="AH18" s="129">
        <f ca="1">INDEX(图鉴!AT:AT,MATCH($N18,图鉴!$S:$S,0))*34</f>
        <v>27880</v>
      </c>
      <c r="AI18" s="128">
        <f>SUM($AE$7:AE18)</f>
        <v>6732</v>
      </c>
      <c r="AJ18" s="90">
        <f>SUM(AF$7:AF18)</f>
        <v>3162</v>
      </c>
      <c r="AK18" s="90">
        <f>SUM(AG$7:AG18)</f>
        <v>1020</v>
      </c>
      <c r="AL18" s="130">
        <f ca="1">SUM(AH$7:AH18)</f>
        <v>240176</v>
      </c>
      <c r="AM18" s="133">
        <f>IF(M18=0,0,INDEX(关卡产出!$AU$11:$AU$15,MATCH(玩家节奏2!N18,关卡产出!$AW$11:$AW$15,1))*M18)</f>
        <v>42500</v>
      </c>
      <c r="AN18" s="126">
        <f>IF(L18=0,0,$L18*关卡产出!AU$21)</f>
        <v>16000</v>
      </c>
      <c r="AO18" s="90">
        <f>IF(M18=0,0,$L18*关卡产出!AV$21)</f>
        <v>800</v>
      </c>
      <c r="AP18" s="129">
        <f>IF(N18=0,0,$L18*关卡产出!AW$21)</f>
        <v>16</v>
      </c>
      <c r="AQ18" s="138">
        <f>SUM(AN$7:AN18)</f>
        <v>144000</v>
      </c>
      <c r="AR18" s="126">
        <f>SUM(AO$7:AO18)</f>
        <v>7200</v>
      </c>
      <c r="AS18" s="129">
        <f>SUM(AP$7:AP18)</f>
        <v>144</v>
      </c>
      <c r="AT18" s="128">
        <v>3000</v>
      </c>
      <c r="AU18" s="129">
        <v>600</v>
      </c>
      <c r="AV18" s="128">
        <f>SUM(AT$7:AT18)</f>
        <v>36000</v>
      </c>
      <c r="AW18" s="90">
        <f>SUM(AU$7:AU18)</f>
        <v>7200</v>
      </c>
      <c r="AY18" s="128">
        <f t="shared" si="20"/>
        <v>8900</v>
      </c>
      <c r="AZ18" s="90">
        <f t="shared" si="21"/>
        <v>7200</v>
      </c>
      <c r="BA18" s="90">
        <f t="shared" si="22"/>
        <v>7200</v>
      </c>
      <c r="BB18" s="90">
        <f t="shared" ca="1" si="57"/>
        <v>2150</v>
      </c>
      <c r="BC18" s="90">
        <f t="shared" ca="1" si="60"/>
        <v>14900</v>
      </c>
      <c r="BD18" s="90">
        <f t="shared" ca="1" si="61"/>
        <v>10550</v>
      </c>
      <c r="BE18" s="90">
        <f t="shared" ca="1" si="24"/>
        <v>25450</v>
      </c>
      <c r="BF18" s="142">
        <f t="shared" ca="1" si="0"/>
        <v>0.59731543624161076</v>
      </c>
      <c r="BG18" s="142">
        <f t="shared" ca="1" si="1"/>
        <v>0.48322147651006714</v>
      </c>
      <c r="BH18" s="142">
        <f t="shared" ca="1" si="2"/>
        <v>0.48322147651006714</v>
      </c>
      <c r="BI18" s="142">
        <f t="shared" ca="1" si="3"/>
        <v>0.14429530201342283</v>
      </c>
      <c r="BJ18" s="143"/>
      <c r="BK18" s="128">
        <f ca="1">INDEX(商城宝箱!$L:$L,MATCH(BC18,商城宝箱!$N:$N,1))</f>
        <v>5</v>
      </c>
      <c r="BL18" s="90">
        <f ca="1">_xlfn.IFNA(INDEX(商城宝箱!T:T,MATCH(玩家节奏2!$BK18,商城宝箱!$L:$L,0)),0)+($BC18-INDEX(商城宝箱!$N:$N,MATCH(玩家节奏2!$BK18,商城宝箱!$L:$L,0)))/$BK$5*INDEX(商城宝箱!E$23:E$42,MATCH(玩家节奏2!$BK18+1,商城宝箱!$C$23:$C$42,0))</f>
        <v>37250</v>
      </c>
      <c r="BM18" s="90">
        <f ca="1">_xlfn.IFNA(INDEX(商城宝箱!U:U,MATCH(玩家节奏2!$BK18,商城宝箱!$L:$L,0)),0)+($BC18-INDEX(商城宝箱!$N:$N,MATCH(玩家节奏2!$BK18,商城宝箱!$L:$L,0)))/$BK$5*INDEX(商城宝箱!F$23:F$42,MATCH(玩家节奏2!$BK18+1,商城宝箱!$C$23:$C$42,0))</f>
        <v>10112.5</v>
      </c>
      <c r="BN18" s="90">
        <f ca="1">_xlfn.IFNA(INDEX(商城宝箱!V:V,MATCH(玩家节奏2!$BK18,商城宝箱!$L:$L,0)),0)+($BC18-INDEX(商城宝箱!$N:$N,MATCH(玩家节奏2!$BK18,商城宝箱!$L:$L,0)))/$BK$5*INDEX(商城宝箱!G$23:G$42,MATCH(玩家节奏2!$BK18+1,商城宝箱!$C$23:$C$42,0))</f>
        <v>5067</v>
      </c>
      <c r="BO18" s="90">
        <f ca="1">_xlfn.IFNA(INDEX(商城宝箱!W:W,MATCH(玩家节奏2!$BK18,商城宝箱!$L:$L,0)),0)+($BC18-INDEX(商城宝箱!$N:$N,MATCH(玩家节奏2!$BK18,商城宝箱!$L:$L,0)))/$BK$5*INDEX(商城宝箱!H$23:H$42,MATCH(玩家节奏2!$BK18+1,商城宝箱!$C$23:$C$42,0))</f>
        <v>700.5</v>
      </c>
      <c r="BQ18" s="128">
        <f t="shared" si="4"/>
        <v>717200</v>
      </c>
      <c r="BR18" s="90">
        <f t="shared" si="5"/>
        <v>77370</v>
      </c>
      <c r="BS18" s="90">
        <f t="shared" ca="1" si="6"/>
        <v>240176</v>
      </c>
      <c r="BT18" s="90">
        <f t="shared" si="7"/>
        <v>42500</v>
      </c>
      <c r="BU18" s="90">
        <f t="shared" si="8"/>
        <v>144000</v>
      </c>
      <c r="BV18" s="90">
        <f t="shared" si="9"/>
        <v>36000</v>
      </c>
      <c r="BW18" s="90">
        <f t="shared" ca="1" si="25"/>
        <v>37250</v>
      </c>
      <c r="BX18" s="90">
        <f t="shared" ca="1" si="26"/>
        <v>1294496</v>
      </c>
      <c r="BY18" s="142">
        <f t="shared" ca="1" si="27"/>
        <v>0.55403801942995579</v>
      </c>
      <c r="BZ18" s="142">
        <f t="shared" ca="1" si="10"/>
        <v>5.9768434973920349E-2</v>
      </c>
      <c r="CA18" s="142">
        <f t="shared" ca="1" si="10"/>
        <v>0.18553630138679456</v>
      </c>
      <c r="CB18" s="142">
        <f t="shared" ca="1" si="10"/>
        <v>3.2831310409611153E-2</v>
      </c>
      <c r="CC18" s="142">
        <f t="shared" ca="1" si="10"/>
        <v>0.11124020468197661</v>
      </c>
      <c r="CD18" s="142">
        <f t="shared" ca="1" si="10"/>
        <v>2.7810051170494152E-2</v>
      </c>
      <c r="CE18" s="142">
        <f t="shared" ca="1" si="10"/>
        <v>2.8775677947247422E-2</v>
      </c>
      <c r="CG18" s="128">
        <f t="shared" si="28"/>
        <v>52</v>
      </c>
      <c r="CH18" s="90">
        <f ca="1">INDEX(角色升级!$A:$A,MATCH(玩家节奏2!$BX18,角色升级!$J:$J,1))</f>
        <v>343</v>
      </c>
      <c r="CI18" s="90">
        <f ca="1">INDEX(角色升级!$O:$O,MATCH(玩家节奏2!$BX18,角色升级!$J:$J,1))</f>
        <v>9122.859120000001</v>
      </c>
      <c r="CJ18" s="90">
        <f>INDEX(关卡对比!$J:$J,MATCH(玩家节奏2!N18,关卡对比!$A:$A,0))</f>
        <v>12200</v>
      </c>
      <c r="CK18" s="147">
        <f t="shared" ca="1" si="29"/>
        <v>1.3373000546784721</v>
      </c>
      <c r="CL18" s="128">
        <f ca="1">INDEX(角色升级!$P:$P,MATCH(玩家节奏2!$CH18,角色升级!$A:$A,0))</f>
        <v>2650</v>
      </c>
      <c r="CM18" s="90">
        <f ca="1">INDEX(角色升级!Q:Q,MATCH(玩家节奏2!$CH18,角色升级!$A:$A,0))</f>
        <v>0.3</v>
      </c>
      <c r="CO18" s="128">
        <f t="shared" si="30"/>
        <v>5162</v>
      </c>
      <c r="CP18" s="90">
        <f t="shared" si="31"/>
        <v>4958</v>
      </c>
      <c r="CQ18" s="90">
        <f t="shared" si="32"/>
        <v>6732</v>
      </c>
      <c r="CR18" s="90">
        <f t="shared" ca="1" si="33"/>
        <v>10112.5</v>
      </c>
      <c r="CS18" s="90">
        <f t="shared" ca="1" si="34"/>
        <v>26964.5</v>
      </c>
      <c r="CT18" s="142">
        <f t="shared" ca="1" si="35"/>
        <v>0.1914368892432643</v>
      </c>
      <c r="CU18" s="142">
        <f t="shared" ca="1" si="11"/>
        <v>0.18387138645255799</v>
      </c>
      <c r="CV18" s="142">
        <f t="shared" ca="1" si="11"/>
        <v>0.24966159209330788</v>
      </c>
      <c r="CW18" s="142">
        <f t="shared" ca="1" si="11"/>
        <v>0.37503013221086984</v>
      </c>
      <c r="CY18" s="128">
        <f t="shared" si="36"/>
        <v>2582</v>
      </c>
      <c r="CZ18" s="90">
        <f t="shared" si="37"/>
        <v>2419</v>
      </c>
      <c r="DA18" s="90">
        <f t="shared" si="38"/>
        <v>3162</v>
      </c>
      <c r="DB18" s="90">
        <f t="shared" ca="1" si="58"/>
        <v>5067</v>
      </c>
      <c r="DC18" s="90">
        <f t="shared" ca="1" si="39"/>
        <v>13230</v>
      </c>
      <c r="DD18" s="142">
        <f t="shared" ca="1" si="40"/>
        <v>0.19516250944822375</v>
      </c>
      <c r="DE18" s="142">
        <f t="shared" ca="1" si="12"/>
        <v>0.18284202569916855</v>
      </c>
      <c r="DF18" s="142">
        <f t="shared" ca="1" si="12"/>
        <v>0.23900226757369614</v>
      </c>
      <c r="DG18" s="142">
        <f t="shared" ca="1" si="12"/>
        <v>0.38299319727891157</v>
      </c>
      <c r="DI18" s="128">
        <f t="shared" si="41"/>
        <v>1131</v>
      </c>
      <c r="DJ18" s="90">
        <f t="shared" si="42"/>
        <v>1091</v>
      </c>
      <c r="DK18" s="90">
        <f t="shared" si="43"/>
        <v>1020</v>
      </c>
      <c r="DL18" s="90">
        <f t="shared" ca="1" si="44"/>
        <v>700.5</v>
      </c>
      <c r="DM18" s="90">
        <f t="shared" ca="1" si="45"/>
        <v>3942.5</v>
      </c>
      <c r="DN18" s="142">
        <f t="shared" ca="1" si="46"/>
        <v>0.28687381103360809</v>
      </c>
      <c r="DO18" s="142">
        <f t="shared" ca="1" si="13"/>
        <v>0.27672796448953707</v>
      </c>
      <c r="DP18" s="142">
        <f t="shared" ca="1" si="13"/>
        <v>0.25871908687381101</v>
      </c>
      <c r="DQ18" s="142">
        <f t="shared" ca="1" si="13"/>
        <v>0.17767913760304374</v>
      </c>
      <c r="DS18" s="128">
        <f t="shared" ca="1" si="47"/>
        <v>26964.5</v>
      </c>
      <c r="DT18" s="90">
        <f t="shared" ca="1" si="48"/>
        <v>13230</v>
      </c>
      <c r="DU18" s="90">
        <f t="shared" ca="1" si="49"/>
        <v>3942.5</v>
      </c>
      <c r="DV18" s="90">
        <f t="shared" si="50"/>
        <v>144</v>
      </c>
      <c r="DW18" s="90">
        <f ca="1">_xlfn.IFNA(INDEX(武器升级消耗!$H:$H,MATCH(玩家节奏2!DS18/玩家节奏2!DS$5,武器升级消耗!M:M,1)),0)</f>
        <v>16</v>
      </c>
      <c r="DX18" s="90">
        <f ca="1">_xlfn.IFNA(INDEX(武器升级消耗!$H:$H,MATCH(玩家节奏2!DT18/玩家节奏2!DT$5,武器升级消耗!N:N,1)),0)</f>
        <v>13</v>
      </c>
      <c r="DY18" s="90">
        <f ca="1">_xlfn.IFNA(INDEX(武器升级消耗!$H:$H,MATCH(玩家节奏2!DU18/玩家节奏2!DU$5,武器升级消耗!O:O,1)),0)</f>
        <v>9</v>
      </c>
      <c r="DZ18" s="90">
        <f>_xlfn.IFNA(INDEX(武器升级消耗!$H:$H,MATCH(玩家节奏2!DV18/玩家节奏2!DV$5,武器升级消耗!P:P,1)),0)</f>
        <v>9</v>
      </c>
      <c r="EA18" s="90">
        <f ca="1">_xlfn.IFNA(INDEX(武器升级消耗!$Q:$Q,MATCH(玩家节奏2!DW18,武器升级消耗!$H:$H,0))*2*EA$4,0)</f>
        <v>2.4</v>
      </c>
      <c r="EB18" s="90">
        <f ca="1">_xlfn.IFNA(INDEX(武器升级消耗!$Q:$Q,MATCH(玩家节奏2!DX18,武器升级消耗!$H:$H,0))*2*EB$4,0)</f>
        <v>2.5499999999999998</v>
      </c>
      <c r="EC18" s="90">
        <f ca="1">_xlfn.IFNA(INDEX(武器升级消耗!$Q:$Q,MATCH(玩家节奏2!DY18,武器升级消耗!$H:$H,0))*2*EC$4,0)</f>
        <v>2.8600000000000003</v>
      </c>
      <c r="ED18" s="90">
        <f>_xlfn.IFNA(INDEX(武器升级消耗!$Q:$Q,MATCH(玩家节奏2!DZ18,武器升级消耗!$H:$H,0))*2*ED$4,0)</f>
        <v>3.9000000000000004</v>
      </c>
      <c r="EF18" s="128">
        <f t="shared" si="14"/>
        <v>0</v>
      </c>
      <c r="EG18" s="90">
        <f t="shared" si="15"/>
        <v>0</v>
      </c>
      <c r="EH18" s="90">
        <v>36</v>
      </c>
      <c r="EI18" s="90">
        <v>36</v>
      </c>
      <c r="EJ18" s="90">
        <f>_xlfn.IFNA(INDEX(皮肤宠物!$J$4:$J$13,MATCH(EF18+EH18,皮肤宠物!$L$4:$L$13,1)),0)</f>
        <v>2</v>
      </c>
      <c r="EK18" s="90">
        <f>_xlfn.IFNA(INDEX(皮肤宠物!$J$4:$J$13,MATCH(EG18+EI18,皮肤宠物!$L$4:$L$13,1)),0)</f>
        <v>2</v>
      </c>
      <c r="EL18" s="90">
        <f>_xlfn.IFNA(INDEX(皮肤宠物!$N$4:$N$13,MATCH(EF18+EH18,皮肤宠物!$L$4:$L$13,1)),1)</f>
        <v>1.32</v>
      </c>
      <c r="EM18" s="90">
        <f>_xlfn.IFNA(INDEX(皮肤宠物!$N$4:$N$13,MATCH(EG18+EI18,皮肤宠物!$L$4:$L$13,1)),1)</f>
        <v>1.32</v>
      </c>
      <c r="EO18" s="128">
        <v>36</v>
      </c>
      <c r="EP18" s="90">
        <v>12</v>
      </c>
      <c r="EQ18" s="90">
        <f t="shared" ca="1" si="51"/>
        <v>10550</v>
      </c>
      <c r="ER18" s="90">
        <f t="shared" si="16"/>
        <v>0</v>
      </c>
      <c r="ES18" s="90">
        <f t="shared" ca="1" si="52"/>
        <v>117.5</v>
      </c>
      <c r="ET18" s="90">
        <f ca="1">$ES18*ET$5*皮肤宠物!$J$75/4</f>
        <v>387.86750000000001</v>
      </c>
      <c r="EU18" s="90">
        <f ca="1">$ES18*EU$5*皮肤宠物!$J$76/4</f>
        <v>64.742500000000007</v>
      </c>
      <c r="EV18" s="90">
        <f ca="1">$ES18*EV$5*皮肤宠物!$J$77/4</f>
        <v>17.536875000000002</v>
      </c>
      <c r="EW18" s="90">
        <f ca="1">_xlfn.IFNA(INDEX(皮肤宠物!$H$18:$H$67,MATCH(ET18,皮肤宠物!L$18:L$67,1)),0)</f>
        <v>6</v>
      </c>
      <c r="EX18" s="90">
        <f ca="1">_xlfn.IFNA(INDEX(皮肤宠物!$H$18:$H$67,MATCH(EU18,皮肤宠物!M$18:M$67,1)),0)</f>
        <v>5</v>
      </c>
      <c r="EY18" s="90">
        <f ca="1">_xlfn.IFNA(INDEX(皮肤宠物!$H$18:$H$67,MATCH(EV18,皮肤宠物!N$18:N$67,1)),0)</f>
        <v>3</v>
      </c>
      <c r="EZ18" s="90">
        <f ca="1">_xlfn.IFNA(INDEX(皮肤宠物!C$18:C$67,MATCH(EW18,皮肤宠物!$A$18:$A$67,0))+1,1)</f>
        <v>1.06</v>
      </c>
      <c r="FA18" s="90">
        <f ca="1">_xlfn.IFNA(INDEX(皮肤宠物!D$18:D$67,MATCH(EX18,皮肤宠物!$A$18:$A$67,0))+1,1)</f>
        <v>1.1000000000000001</v>
      </c>
      <c r="FB18" s="90">
        <f ca="1">_xlfn.IFNA(INDEX(皮肤宠物!E$18:E$67,MATCH(EY18,皮肤宠物!$A$18:$A$67,0))+1,1)</f>
        <v>1.1200000000000001</v>
      </c>
      <c r="FD18" s="90">
        <f t="shared" ca="1" si="53"/>
        <v>2.8600000000000003</v>
      </c>
      <c r="FE18" s="90">
        <f t="shared" si="54"/>
        <v>1.32</v>
      </c>
      <c r="FF18" s="90">
        <f t="shared" ca="1" si="55"/>
        <v>1.1200000000000001</v>
      </c>
      <c r="FG18" s="90">
        <f t="shared" ca="1" si="56"/>
        <v>4.2282240000000009</v>
      </c>
    </row>
    <row r="19" spans="1:163" x14ac:dyDescent="0.25">
      <c r="A19" s="123">
        <v>13</v>
      </c>
      <c r="B19" s="123">
        <f>INDEX(关卡对比!$Y:$Y,MATCH(关卡对比!Z19,关卡对比!$AA:$AA,1))</f>
        <v>7</v>
      </c>
      <c r="C19" s="124"/>
      <c r="D19" s="125">
        <f t="shared" si="62"/>
        <v>25.5</v>
      </c>
      <c r="E19" s="125">
        <v>2</v>
      </c>
      <c r="F19" s="128">
        <v>25</v>
      </c>
      <c r="G19" s="90">
        <v>0</v>
      </c>
      <c r="H19" s="90">
        <v>5</v>
      </c>
      <c r="J19" s="128">
        <v>13</v>
      </c>
      <c r="K19" s="90">
        <f t="shared" si="17"/>
        <v>16</v>
      </c>
      <c r="L19" s="90">
        <f t="shared" si="18"/>
        <v>16</v>
      </c>
      <c r="M19" s="90">
        <f t="shared" si="19"/>
        <v>5</v>
      </c>
      <c r="N19" s="140">
        <f>INDEX($A:$A,MATCH(SUM($K$7:K19),$D:$D,1))</f>
        <v>55</v>
      </c>
      <c r="O19" s="140">
        <v>0</v>
      </c>
      <c r="P19" s="141">
        <v>0</v>
      </c>
      <c r="Q19" s="126">
        <f>_xlfn.MAXIFS(关卡产出!X:X,关卡产出!$A:$A,玩家节奏2!$N$6,关卡产出!$B:$B,玩家节奏2!$N19)+_xlfn.MAXIFS(关卡产出!X:X,关卡产出!$A:$A,玩家节奏2!$O$6,关卡产出!$B:$B,玩家节奏2!$O19)+_xlfn.MAXIFS(关卡产出!X:X,关卡产出!$A:$A,玩家节奏2!$P$6,关卡产出!$B:$B,玩家节奏2!$P19)</f>
        <v>9500</v>
      </c>
      <c r="R19" s="90">
        <f>_xlfn.MAXIFS(关卡产出!Y:Y,关卡产出!$A:$A,玩家节奏2!$N$6,关卡产出!$B:$B,玩家节奏2!$N19)+_xlfn.MAXIFS(关卡产出!Y:Y,关卡产出!$A:$A,玩家节奏2!$O$6,关卡产出!$B:$B,玩家节奏2!$O19)+_xlfn.MAXIFS(关卡产出!Y:Y,关卡产出!$A:$A,玩家节奏2!$P$6,关卡产出!$B:$B,玩家节奏2!$P19)</f>
        <v>807500</v>
      </c>
      <c r="S19" s="90">
        <f>_xlfn.MAXIFS(关卡产出!Z:Z,关卡产出!$A:$A,玩家节奏2!$N$6,关卡产出!$B:$B,玩家节奏2!$N19)+_xlfn.MAXIFS(关卡产出!Z:Z,关卡产出!$A:$A,玩家节奏2!$O$6,关卡产出!$B:$B,玩家节奏2!$O19)+_xlfn.MAXIFS(关卡产出!Z:Z,关卡产出!$A:$A,玩家节奏2!$P$6,关卡产出!$B:$B,玩家节奏2!$P19)</f>
        <v>5786</v>
      </c>
      <c r="T19" s="90">
        <f>_xlfn.MAXIFS(关卡产出!AA:AA,关卡产出!$A:$A,玩家节奏2!$N$6,关卡产出!$B:$B,玩家节奏2!$N19)+_xlfn.MAXIFS(关卡产出!AA:AA,关卡产出!$A:$A,玩家节奏2!$O$6,关卡产出!$B:$B,玩家节奏2!$O19)+_xlfn.MAXIFS(关卡产出!AA:AA,关卡产出!$A:$A,玩家节奏2!$P$6,关卡产出!$B:$B,玩家节奏2!$P19)</f>
        <v>2894</v>
      </c>
      <c r="U19" s="90">
        <f>_xlfn.MAXIFS(关卡产出!AB:AB,关卡产出!$A:$A,玩家节奏2!$N$6,关卡产出!$B:$B,玩家节奏2!$N19)+_xlfn.MAXIFS(关卡产出!AB:AB,关卡产出!$A:$A,玩家节奏2!$O$6,关卡产出!$B:$B,玩家节奏2!$O19)+_xlfn.MAXIFS(关卡产出!AB:AB,关卡产出!$A:$A,玩家节奏2!$P$6,关卡产出!$B:$B,玩家节奏2!$P19)</f>
        <v>1278</v>
      </c>
      <c r="V19" s="130">
        <f>_xlfn.MAXIFS(关卡产出!AC:AC,关卡产出!$A:$A,玩家节奏2!$N$6,关卡产出!$B:$B,玩家节奏2!$N19)+_xlfn.MAXIFS(关卡产出!AC:AC,关卡产出!$A:$A,玩家节奏2!$O$6,关卡产出!$B:$B,玩家节奏2!$O19)+_xlfn.MAXIFS(关卡产出!AC:AC,关卡产出!$A:$A,玩家节奏2!$P$6,关卡产出!$B:$B,玩家节奏2!$P19)</f>
        <v>330</v>
      </c>
      <c r="W19" s="126">
        <f>INDEX(关卡产出!C$8:C$207,MATCH(玩家节奏2!$N19,关卡产出!$B$8:$B$207,0))*$K19</f>
        <v>672</v>
      </c>
      <c r="X19" s="126">
        <f>INDEX(关卡产出!D$8:D$207,MATCH(玩家节奏2!$N19,关卡产出!$B$8:$B$207,0))*$K19</f>
        <v>336</v>
      </c>
      <c r="Y19" s="126">
        <f>INDEX(关卡产出!E$8:E$207,MATCH(玩家节奏2!$N19,关卡产出!$B$8:$B$207,0))*$K19</f>
        <v>160</v>
      </c>
      <c r="Z19" s="144">
        <f>INDEX(关卡产出!F$8:F$207,MATCH(玩家节奏2!$N19,关卡产出!$B$8:$B$207,0))*$K19</f>
        <v>9760</v>
      </c>
      <c r="AA19" s="126">
        <f>SUM(W$7:W19)</f>
        <v>5630</v>
      </c>
      <c r="AB19" s="126">
        <f>SUM(X$7:X19)</f>
        <v>2755</v>
      </c>
      <c r="AC19" s="126">
        <f>SUM(Y$7:Y19)</f>
        <v>1251</v>
      </c>
      <c r="AD19" s="177">
        <f>SUM(Z$7:Z19)</f>
        <v>87130</v>
      </c>
      <c r="AE19" s="128">
        <f>INDEX(图鉴!AQ:AQ,MATCH($N19,图鉴!$S:$S,0))*34</f>
        <v>680</v>
      </c>
      <c r="AF19" s="90">
        <f>INDEX(图鉴!AR:AR,MATCH($N19,图鉴!$S:$S,0))*34</f>
        <v>374</v>
      </c>
      <c r="AG19" s="90">
        <f>INDEX(图鉴!AS:AS,MATCH($N19,图鉴!$S:$S,0))*34</f>
        <v>136</v>
      </c>
      <c r="AH19" s="129">
        <f ca="1">INDEX(图鉴!AT:AT,MATCH($N19,图鉴!$S:$S,0))*34</f>
        <v>28730</v>
      </c>
      <c r="AI19" s="128">
        <f>SUM($AE$7:AE19)</f>
        <v>7412</v>
      </c>
      <c r="AJ19" s="90">
        <f>SUM(AF$7:AF19)</f>
        <v>3536</v>
      </c>
      <c r="AK19" s="90">
        <f>SUM(AG$7:AG19)</f>
        <v>1156</v>
      </c>
      <c r="AL19" s="130">
        <f ca="1">SUM(AH$7:AH19)</f>
        <v>268906</v>
      </c>
      <c r="AM19" s="133">
        <f>IF(M19=0,0,INDEX(关卡产出!$AU$11:$AU$15,MATCH(玩家节奏2!N19,关卡产出!$AW$11:$AW$15,1))*M19)</f>
        <v>42500</v>
      </c>
      <c r="AN19" s="126">
        <f>IF(L19=0,0,$L19*关卡产出!AU$21)</f>
        <v>16000</v>
      </c>
      <c r="AO19" s="90">
        <f>IF(M19=0,0,$L19*关卡产出!AV$21)</f>
        <v>800</v>
      </c>
      <c r="AP19" s="129">
        <f>IF(N19=0,0,$L19*关卡产出!AW$21)</f>
        <v>16</v>
      </c>
      <c r="AQ19" s="138">
        <f>SUM(AN$7:AN19)</f>
        <v>160000</v>
      </c>
      <c r="AR19" s="126">
        <f>SUM(AO$7:AO19)</f>
        <v>8000</v>
      </c>
      <c r="AS19" s="129">
        <f>SUM(AP$7:AP19)</f>
        <v>160</v>
      </c>
      <c r="AT19" s="128">
        <v>3000</v>
      </c>
      <c r="AU19" s="129">
        <v>600</v>
      </c>
      <c r="AV19" s="128">
        <f>SUM(AT$7:AT19)</f>
        <v>39000</v>
      </c>
      <c r="AW19" s="90">
        <f>SUM(AU$7:AU19)</f>
        <v>7800</v>
      </c>
      <c r="AY19" s="128">
        <f t="shared" si="20"/>
        <v>9500</v>
      </c>
      <c r="AZ19" s="90">
        <f t="shared" si="21"/>
        <v>8000</v>
      </c>
      <c r="BA19" s="90">
        <f t="shared" si="22"/>
        <v>7800</v>
      </c>
      <c r="BB19" s="90">
        <f t="shared" ca="1" si="57"/>
        <v>2650</v>
      </c>
      <c r="BC19" s="90">
        <f t="shared" ca="1" si="60"/>
        <v>16150</v>
      </c>
      <c r="BD19" s="90">
        <f t="shared" ca="1" si="61"/>
        <v>11800</v>
      </c>
      <c r="BE19" s="90">
        <f t="shared" ca="1" si="24"/>
        <v>27950</v>
      </c>
      <c r="BF19" s="142">
        <f t="shared" ca="1" si="0"/>
        <v>0.58823529411764708</v>
      </c>
      <c r="BG19" s="142">
        <f t="shared" ca="1" si="1"/>
        <v>0.49535603715170279</v>
      </c>
      <c r="BH19" s="142">
        <f t="shared" ca="1" si="2"/>
        <v>0.48297213622291024</v>
      </c>
      <c r="BI19" s="142">
        <f t="shared" ca="1" si="3"/>
        <v>0.16408668730650156</v>
      </c>
      <c r="BJ19" s="143"/>
      <c r="BK19" s="128">
        <f ca="1">INDEX(商城宝箱!$L:$L,MATCH(BC19,商城宝箱!$N:$N,1))</f>
        <v>6</v>
      </c>
      <c r="BL19" s="90">
        <f ca="1">_xlfn.IFNA(INDEX(商城宝箱!T:T,MATCH(玩家节奏2!$BK19,商城宝箱!$L:$L,0)),0)+($BC19-INDEX(商城宝箱!$N:$N,MATCH(玩家节奏2!$BK19,商城宝箱!$L:$L,0)))/$BK$5*INDEX(商城宝箱!E$23:E$42,MATCH(玩家节奏2!$BK19+1,商城宝箱!$C$23:$C$42,0))</f>
        <v>40375</v>
      </c>
      <c r="BM19" s="90">
        <f ca="1">_xlfn.IFNA(INDEX(商城宝箱!U:U,MATCH(玩家节奏2!$BK19,商城宝箱!$L:$L,0)),0)+($BC19-INDEX(商城宝箱!$N:$N,MATCH(玩家节奏2!$BK19,商城宝箱!$L:$L,0)))/$BK$5*INDEX(商城宝箱!F$23:F$42,MATCH(玩家节奏2!$BK19+1,商城宝箱!$C$23:$C$42,0))</f>
        <v>11377.5</v>
      </c>
      <c r="BN19" s="90">
        <f ca="1">_xlfn.IFNA(INDEX(商城宝箱!V:V,MATCH(玩家节奏2!$BK19,商城宝箱!$L:$L,0)),0)+($BC19-INDEX(商城宝箱!$N:$N,MATCH(玩家节奏2!$BK19,商城宝箱!$L:$L,0)))/$BK$5*INDEX(商城宝箱!G$23:G$42,MATCH(玩家节奏2!$BK19+1,商城宝箱!$C$23:$C$42,0))</f>
        <v>5829.5</v>
      </c>
      <c r="BO19" s="90">
        <f ca="1">_xlfn.IFNA(INDEX(商城宝箱!W:W,MATCH(玩家节奏2!$BK19,商城宝箱!$L:$L,0)),0)+($BC19-INDEX(商城宝箱!$N:$N,MATCH(玩家节奏2!$BK19,商城宝箱!$L:$L,0)))/$BK$5*INDEX(商城宝箱!H$23:H$42,MATCH(玩家节奏2!$BK19+1,商城宝箱!$C$23:$C$42,0))</f>
        <v>802.25</v>
      </c>
      <c r="BQ19" s="128">
        <f t="shared" si="4"/>
        <v>807500</v>
      </c>
      <c r="BR19" s="90">
        <f t="shared" si="5"/>
        <v>87130</v>
      </c>
      <c r="BS19" s="90">
        <f t="shared" ca="1" si="6"/>
        <v>268906</v>
      </c>
      <c r="BT19" s="90">
        <f t="shared" si="7"/>
        <v>42500</v>
      </c>
      <c r="BU19" s="90">
        <f t="shared" si="8"/>
        <v>160000</v>
      </c>
      <c r="BV19" s="90">
        <f t="shared" si="9"/>
        <v>39000</v>
      </c>
      <c r="BW19" s="90">
        <f t="shared" ca="1" si="25"/>
        <v>40375</v>
      </c>
      <c r="BX19" s="90">
        <f t="shared" ca="1" si="26"/>
        <v>1445411</v>
      </c>
      <c r="BY19" s="142">
        <f t="shared" ca="1" si="27"/>
        <v>0.55866462895328739</v>
      </c>
      <c r="BZ19" s="142">
        <f t="shared" ca="1" si="10"/>
        <v>6.0280432347616007E-2</v>
      </c>
      <c r="CA19" s="142">
        <f t="shared" ca="1" si="10"/>
        <v>0.18604120212174946</v>
      </c>
      <c r="CB19" s="142">
        <f t="shared" ca="1" si="10"/>
        <v>2.9403401523857228E-2</v>
      </c>
      <c r="CC19" s="142">
        <f t="shared" ca="1" si="10"/>
        <v>0.11069515867805074</v>
      </c>
      <c r="CD19" s="142">
        <f t="shared" ca="1" si="10"/>
        <v>2.6981944927774868E-2</v>
      </c>
      <c r="CE19" s="142">
        <f t="shared" ca="1" si="10"/>
        <v>2.7933231447664367E-2</v>
      </c>
      <c r="CG19" s="128">
        <f t="shared" si="28"/>
        <v>55</v>
      </c>
      <c r="CH19" s="90">
        <f ca="1">INDEX(角色升级!$A:$A,MATCH(玩家节奏2!$BX19,角色升级!$J:$J,1))</f>
        <v>363</v>
      </c>
      <c r="CI19" s="90">
        <f ca="1">INDEX(角色升级!$O:$O,MATCH(玩家节奏2!$BX19,角色升级!$J:$J,1))</f>
        <v>9674.3368799999971</v>
      </c>
      <c r="CJ19" s="90">
        <f>INDEX(关卡对比!$J:$J,MATCH(玩家节奏2!N19,关卡对比!$A:$A,0))</f>
        <v>13700</v>
      </c>
      <c r="CK19" s="147">
        <f t="shared" ca="1" si="29"/>
        <v>1.4161177318853098</v>
      </c>
      <c r="CL19" s="128">
        <f ca="1">INDEX(角色升级!$P:$P,MATCH(玩家节奏2!$CH19,角色升级!$A:$A,0))</f>
        <v>2650</v>
      </c>
      <c r="CM19" s="90">
        <f ca="1">INDEX(角色升级!Q:Q,MATCH(玩家节奏2!$CH19,角色升级!$A:$A,0))</f>
        <v>0.4</v>
      </c>
      <c r="CO19" s="128">
        <f t="shared" si="30"/>
        <v>5786</v>
      </c>
      <c r="CP19" s="90">
        <f t="shared" si="31"/>
        <v>5630</v>
      </c>
      <c r="CQ19" s="90">
        <f t="shared" si="32"/>
        <v>7412</v>
      </c>
      <c r="CR19" s="90">
        <f t="shared" ca="1" si="33"/>
        <v>11377.5</v>
      </c>
      <c r="CS19" s="90">
        <f t="shared" ca="1" si="34"/>
        <v>30205.5</v>
      </c>
      <c r="CT19" s="142">
        <f t="shared" ca="1" si="35"/>
        <v>0.19155451821688102</v>
      </c>
      <c r="CU19" s="142">
        <f t="shared" ca="1" si="11"/>
        <v>0.18638989587988941</v>
      </c>
      <c r="CV19" s="142">
        <f t="shared" ca="1" si="11"/>
        <v>0.24538577411398588</v>
      </c>
      <c r="CW19" s="142">
        <f t="shared" ca="1" si="11"/>
        <v>0.37666981178924369</v>
      </c>
      <c r="CY19" s="128">
        <f t="shared" si="36"/>
        <v>2894</v>
      </c>
      <c r="CZ19" s="90">
        <f t="shared" si="37"/>
        <v>2755</v>
      </c>
      <c r="DA19" s="90">
        <f t="shared" si="38"/>
        <v>3536</v>
      </c>
      <c r="DB19" s="90">
        <f t="shared" ca="1" si="58"/>
        <v>5829.5</v>
      </c>
      <c r="DC19" s="90">
        <f t="shared" ca="1" si="39"/>
        <v>15014.5</v>
      </c>
      <c r="DD19" s="142">
        <f t="shared" ca="1" si="40"/>
        <v>0.19274701122248494</v>
      </c>
      <c r="DE19" s="142">
        <f t="shared" ca="1" si="12"/>
        <v>0.18348929368277331</v>
      </c>
      <c r="DF19" s="142">
        <f t="shared" ca="1" si="12"/>
        <v>0.23550567784475007</v>
      </c>
      <c r="DG19" s="142">
        <f t="shared" ca="1" si="12"/>
        <v>0.38825801724999165</v>
      </c>
      <c r="DI19" s="128">
        <f t="shared" si="41"/>
        <v>1278</v>
      </c>
      <c r="DJ19" s="90">
        <f t="shared" si="42"/>
        <v>1251</v>
      </c>
      <c r="DK19" s="90">
        <f t="shared" si="43"/>
        <v>1156</v>
      </c>
      <c r="DL19" s="90">
        <f t="shared" ca="1" si="44"/>
        <v>802.25</v>
      </c>
      <c r="DM19" s="90">
        <f t="shared" ca="1" si="45"/>
        <v>4487.25</v>
      </c>
      <c r="DN19" s="142">
        <f t="shared" ca="1" si="46"/>
        <v>0.28480695303359521</v>
      </c>
      <c r="DO19" s="142">
        <f t="shared" ca="1" si="13"/>
        <v>0.27878990473006854</v>
      </c>
      <c r="DP19" s="142">
        <f t="shared" ca="1" si="13"/>
        <v>0.25761880884728955</v>
      </c>
      <c r="DQ19" s="142">
        <f t="shared" ca="1" si="13"/>
        <v>0.17878433338904676</v>
      </c>
      <c r="DS19" s="128">
        <f t="shared" ca="1" si="47"/>
        <v>30205.5</v>
      </c>
      <c r="DT19" s="90">
        <f t="shared" ca="1" si="48"/>
        <v>15014.5</v>
      </c>
      <c r="DU19" s="90">
        <f t="shared" ca="1" si="49"/>
        <v>4487.25</v>
      </c>
      <c r="DV19" s="90">
        <f t="shared" si="50"/>
        <v>160</v>
      </c>
      <c r="DW19" s="90">
        <f ca="1">_xlfn.IFNA(INDEX(武器升级消耗!$H:$H,MATCH(玩家节奏2!DS19/玩家节奏2!DS$5,武器升级消耗!M:M,1)),0)</f>
        <v>17</v>
      </c>
      <c r="DX19" s="90">
        <f ca="1">_xlfn.IFNA(INDEX(武器升级消耗!$H:$H,MATCH(玩家节奏2!DT19/玩家节奏2!DT$5,武器升级消耗!N:N,1)),0)</f>
        <v>14</v>
      </c>
      <c r="DY19" s="90">
        <f ca="1">_xlfn.IFNA(INDEX(武器升级消耗!$H:$H,MATCH(玩家节奏2!DU19/玩家节奏2!DU$5,武器升级消耗!O:O,1)),0)</f>
        <v>10</v>
      </c>
      <c r="DZ19" s="90">
        <f>_xlfn.IFNA(INDEX(武器升级消耗!$H:$H,MATCH(玩家节奏2!DV19/玩家节奏2!DV$5,武器升级消耗!P:P,1)),0)</f>
        <v>9</v>
      </c>
      <c r="EA19" s="90">
        <f ca="1">_xlfn.IFNA(INDEX(武器升级消耗!$Q:$Q,MATCH(玩家节奏2!DW19,武器升级消耗!$H:$H,0))*2*EA$4,0)</f>
        <v>2.52</v>
      </c>
      <c r="EB19" s="90">
        <f ca="1">_xlfn.IFNA(INDEX(武器升级消耗!$Q:$Q,MATCH(玩家节奏2!DX19,武器升级消耗!$H:$H,0))*2*EB$4,0)</f>
        <v>2.7</v>
      </c>
      <c r="EC19" s="90">
        <f ca="1">_xlfn.IFNA(INDEX(武器升级消耗!$Q:$Q,MATCH(玩家节奏2!DY19,武器升级消耗!$H:$H,0))*2*EC$4,0)</f>
        <v>3.08</v>
      </c>
      <c r="ED19" s="90">
        <f>_xlfn.IFNA(INDEX(武器升级消耗!$Q:$Q,MATCH(玩家节奏2!DZ19,武器升级消耗!$H:$H,0))*2*ED$4,0)</f>
        <v>3.9000000000000004</v>
      </c>
      <c r="EF19" s="128">
        <f t="shared" si="14"/>
        <v>0</v>
      </c>
      <c r="EG19" s="90">
        <f t="shared" si="15"/>
        <v>0</v>
      </c>
      <c r="EH19" s="90">
        <v>39</v>
      </c>
      <c r="EI19" s="90">
        <v>39</v>
      </c>
      <c r="EJ19" s="90">
        <f>_xlfn.IFNA(INDEX(皮肤宠物!$J$4:$J$13,MATCH(EF19+EH19,皮肤宠物!$L$4:$L$13,1)),0)</f>
        <v>2</v>
      </c>
      <c r="EK19" s="90">
        <f>_xlfn.IFNA(INDEX(皮肤宠物!$J$4:$J$13,MATCH(EG19+EI19,皮肤宠物!$L$4:$L$13,1)),0)</f>
        <v>2</v>
      </c>
      <c r="EL19" s="90">
        <f>_xlfn.IFNA(INDEX(皮肤宠物!$N$4:$N$13,MATCH(EF19+EH19,皮肤宠物!$L$4:$L$13,1)),1)</f>
        <v>1.32</v>
      </c>
      <c r="EM19" s="90">
        <f>_xlfn.IFNA(INDEX(皮肤宠物!$N$4:$N$13,MATCH(EG19+EI19,皮肤宠物!$L$4:$L$13,1)),1)</f>
        <v>1.32</v>
      </c>
      <c r="EO19" s="128">
        <v>39</v>
      </c>
      <c r="EP19" s="90">
        <v>13</v>
      </c>
      <c r="EQ19" s="90">
        <f t="shared" ca="1" si="51"/>
        <v>11800</v>
      </c>
      <c r="ER19" s="90">
        <f t="shared" si="16"/>
        <v>0</v>
      </c>
      <c r="ES19" s="90">
        <f t="shared" ca="1" si="52"/>
        <v>131</v>
      </c>
      <c r="ET19" s="90">
        <f ca="1">$ES19*ET$5*皮肤宠物!$J$75/4</f>
        <v>432.43099999999998</v>
      </c>
      <c r="EU19" s="90">
        <f ca="1">$ES19*EU$5*皮肤宠物!$J$76/4</f>
        <v>72.180999999999997</v>
      </c>
      <c r="EV19" s="90">
        <f ca="1">$ES19*EV$5*皮肤宠物!$J$77/4</f>
        <v>19.551750000000002</v>
      </c>
      <c r="EW19" s="90">
        <f ca="1">_xlfn.IFNA(INDEX(皮肤宠物!$H$18:$H$67,MATCH(ET19,皮肤宠物!L$18:L$67,1)),0)</f>
        <v>7</v>
      </c>
      <c r="EX19" s="90">
        <f ca="1">_xlfn.IFNA(INDEX(皮肤宠物!$H$18:$H$67,MATCH(EU19,皮肤宠物!M$18:M$67,1)),0)</f>
        <v>5</v>
      </c>
      <c r="EY19" s="90">
        <f ca="1">_xlfn.IFNA(INDEX(皮肤宠物!$H$18:$H$67,MATCH(EV19,皮肤宠物!N$18:N$67,1)),0)</f>
        <v>3</v>
      </c>
      <c r="EZ19" s="90">
        <f ca="1">_xlfn.IFNA(INDEX(皮肤宠物!C$18:C$67,MATCH(EW19,皮肤宠物!$A$18:$A$67,0))+1,1)</f>
        <v>1.07</v>
      </c>
      <c r="FA19" s="90">
        <f ca="1">_xlfn.IFNA(INDEX(皮肤宠物!D$18:D$67,MATCH(EX19,皮肤宠物!$A$18:$A$67,0))+1,1)</f>
        <v>1.1000000000000001</v>
      </c>
      <c r="FB19" s="90">
        <f ca="1">_xlfn.IFNA(INDEX(皮肤宠物!E$18:E$67,MATCH(EY19,皮肤宠物!$A$18:$A$67,0))+1,1)</f>
        <v>1.1200000000000001</v>
      </c>
      <c r="FD19" s="90">
        <f t="shared" ca="1" si="53"/>
        <v>3.08</v>
      </c>
      <c r="FE19" s="90">
        <f t="shared" si="54"/>
        <v>1.32</v>
      </c>
      <c r="FF19" s="90">
        <f t="shared" ca="1" si="55"/>
        <v>1.1200000000000001</v>
      </c>
      <c r="FG19" s="90">
        <f t="shared" ca="1" si="56"/>
        <v>4.5534720000000002</v>
      </c>
    </row>
    <row r="20" spans="1:163" x14ac:dyDescent="0.25">
      <c r="A20" s="123">
        <v>14</v>
      </c>
      <c r="B20" s="123">
        <f>INDEX(关卡对比!$Y:$Y,MATCH(关卡对比!Z20,关卡对比!$AA:$AA,1))</f>
        <v>7</v>
      </c>
      <c r="C20" s="124"/>
      <c r="D20" s="125">
        <f t="shared" si="62"/>
        <v>27.5</v>
      </c>
      <c r="E20" s="125">
        <v>2</v>
      </c>
      <c r="F20" s="128">
        <v>25</v>
      </c>
      <c r="G20" s="90">
        <v>0</v>
      </c>
      <c r="H20" s="90">
        <v>5</v>
      </c>
      <c r="J20" s="128">
        <v>14</v>
      </c>
      <c r="K20" s="90">
        <f t="shared" si="17"/>
        <v>16</v>
      </c>
      <c r="L20" s="90">
        <f t="shared" si="18"/>
        <v>16</v>
      </c>
      <c r="M20" s="90">
        <f t="shared" si="19"/>
        <v>5</v>
      </c>
      <c r="N20" s="140">
        <f>INDEX($A:$A,MATCH(SUM($K$7:K20),$D:$D,1))</f>
        <v>59</v>
      </c>
      <c r="O20" s="140">
        <v>0</v>
      </c>
      <c r="P20" s="141">
        <v>0</v>
      </c>
      <c r="Q20" s="126">
        <f>_xlfn.MAXIFS(关卡产出!X:X,关卡产出!$A:$A,玩家节奏2!$N$6,关卡产出!$B:$B,玩家节奏2!$N20)+_xlfn.MAXIFS(关卡产出!X:X,关卡产出!$A:$A,玩家节奏2!$O$6,关卡产出!$B:$B,玩家节奏2!$O20)+_xlfn.MAXIFS(关卡产出!X:X,关卡产出!$A:$A,玩家节奏2!$P$6,关卡产出!$B:$B,玩家节奏2!$P20)</f>
        <v>10300</v>
      </c>
      <c r="R20" s="90">
        <f>_xlfn.MAXIFS(关卡产出!Y:Y,关卡产出!$A:$A,玩家节奏2!$N$6,关卡产出!$B:$B,玩家节奏2!$N20)+_xlfn.MAXIFS(关卡产出!Y:Y,关卡产出!$A:$A,玩家节奏2!$O$6,关卡产出!$B:$B,玩家节奏2!$O20)+_xlfn.MAXIFS(关卡产出!Y:Y,关卡产出!$A:$A,玩家节奏2!$P$6,关卡产出!$B:$B,玩家节奏2!$P20)</f>
        <v>936300</v>
      </c>
      <c r="S20" s="90">
        <f>_xlfn.MAXIFS(关卡产出!Z:Z,关卡产出!$A:$A,玩家节奏2!$N$6,关卡产出!$B:$B,玩家节奏2!$N20)+_xlfn.MAXIFS(关卡产出!Z:Z,关卡产出!$A:$A,玩家节奏2!$O$6,关卡产出!$B:$B,玩家节奏2!$O20)+_xlfn.MAXIFS(关卡产出!Z:Z,关卡产出!$A:$A,玩家节奏2!$P$6,关卡产出!$B:$B,玩家节奏2!$P20)</f>
        <v>6674</v>
      </c>
      <c r="T20" s="90">
        <f>_xlfn.MAXIFS(关卡产出!AA:AA,关卡产出!$A:$A,玩家节奏2!$N$6,关卡产出!$B:$B,玩家节奏2!$N20)+_xlfn.MAXIFS(关卡产出!AA:AA,关卡产出!$A:$A,玩家节奏2!$O$6,关卡产出!$B:$B,玩家节奏2!$O20)+_xlfn.MAXIFS(关卡产出!AA:AA,关卡产出!$A:$A,玩家节奏2!$P$6,关卡产出!$B:$B,玩家节奏2!$P20)</f>
        <v>3338</v>
      </c>
      <c r="U20" s="90">
        <f>_xlfn.MAXIFS(关卡产出!AB:AB,关卡产出!$A:$A,玩家节奏2!$N$6,关卡产出!$B:$B,玩家节奏2!$N20)+_xlfn.MAXIFS(关卡产出!AB:AB,关卡产出!$A:$A,玩家节奏2!$O$6,关卡产出!$B:$B,玩家节奏2!$O20)+_xlfn.MAXIFS(关卡产出!AB:AB,关卡产出!$A:$A,玩家节奏2!$P$6,关卡产出!$B:$B,玩家节奏2!$P20)</f>
        <v>1488</v>
      </c>
      <c r="V20" s="130">
        <f>_xlfn.MAXIFS(关卡产出!AC:AC,关卡产出!$A:$A,玩家节奏2!$N$6,关卡产出!$B:$B,玩家节奏2!$N20)+_xlfn.MAXIFS(关卡产出!AC:AC,关卡产出!$A:$A,玩家节奏2!$O$6,关卡产出!$B:$B,玩家节奏2!$O20)+_xlfn.MAXIFS(关卡产出!AC:AC,关卡产出!$A:$A,玩家节奏2!$P$6,关卡产出!$B:$B,玩家节奏2!$P20)</f>
        <v>354</v>
      </c>
      <c r="W20" s="126">
        <f>INDEX(关卡产出!C$8:C$207,MATCH(玩家节奏2!$N20,关卡产出!$B$8:$B$207,0))*$K20</f>
        <v>736</v>
      </c>
      <c r="X20" s="126">
        <f>INDEX(关卡产出!D$8:D$207,MATCH(玩家节奏2!$N20,关卡产出!$B$8:$B$207,0))*$K20</f>
        <v>368</v>
      </c>
      <c r="Y20" s="126">
        <f>INDEX(关卡产出!E$8:E$207,MATCH(玩家节奏2!$N20,关卡产出!$B$8:$B$207,0))*$K20</f>
        <v>176</v>
      </c>
      <c r="Z20" s="144">
        <f>INDEX(关卡产出!F$8:F$207,MATCH(玩家节奏2!$N20,关卡产出!$B$8:$B$207,0))*$K20</f>
        <v>10400</v>
      </c>
      <c r="AA20" s="126">
        <f>SUM(W$7:W20)</f>
        <v>6366</v>
      </c>
      <c r="AB20" s="126">
        <f>SUM(X$7:X20)</f>
        <v>3123</v>
      </c>
      <c r="AC20" s="126">
        <f>SUM(Y$7:Y20)</f>
        <v>1427</v>
      </c>
      <c r="AD20" s="177">
        <f>SUM(Z$7:Z20)</f>
        <v>97530</v>
      </c>
      <c r="AE20" s="128">
        <f>INDEX(图鉴!AQ:AQ,MATCH($N20,图鉴!$S:$S,0))*34</f>
        <v>680</v>
      </c>
      <c r="AF20" s="90">
        <f>INDEX(图鉴!AR:AR,MATCH($N20,图鉴!$S:$S,0))*34</f>
        <v>408</v>
      </c>
      <c r="AG20" s="90">
        <f>INDEX(图鉴!AS:AS,MATCH($N20,图鉴!$S:$S,0))*34</f>
        <v>136</v>
      </c>
      <c r="AH20" s="129">
        <f ca="1">INDEX(图鉴!AT:AT,MATCH($N20,图鉴!$S:$S,0))*34</f>
        <v>29580</v>
      </c>
      <c r="AI20" s="128">
        <f>SUM($AE$7:AE20)</f>
        <v>8092</v>
      </c>
      <c r="AJ20" s="90">
        <f>SUM(AF$7:AF20)</f>
        <v>3944</v>
      </c>
      <c r="AK20" s="90">
        <f>SUM(AG$7:AG20)</f>
        <v>1292</v>
      </c>
      <c r="AL20" s="130">
        <f ca="1">SUM(AH$7:AH20)</f>
        <v>298486</v>
      </c>
      <c r="AM20" s="133">
        <f>IF(M20=0,0,INDEX(关卡产出!$AU$11:$AU$15,MATCH(玩家节奏2!N20,关卡产出!$AW$11:$AW$15,1))*M20)</f>
        <v>42500</v>
      </c>
      <c r="AN20" s="126">
        <f>IF(L20=0,0,$L20*关卡产出!AU$21)</f>
        <v>16000</v>
      </c>
      <c r="AO20" s="90">
        <f>IF(M20=0,0,$L20*关卡产出!AV$21)</f>
        <v>800</v>
      </c>
      <c r="AP20" s="129">
        <f>IF(N20=0,0,$L20*关卡产出!AW$21)</f>
        <v>16</v>
      </c>
      <c r="AQ20" s="138">
        <f>SUM(AN$7:AN20)</f>
        <v>176000</v>
      </c>
      <c r="AR20" s="126">
        <f>SUM(AO$7:AO20)</f>
        <v>8800</v>
      </c>
      <c r="AS20" s="129">
        <f>SUM(AP$7:AP20)</f>
        <v>176</v>
      </c>
      <c r="AT20" s="128">
        <v>3000</v>
      </c>
      <c r="AU20" s="129">
        <v>600</v>
      </c>
      <c r="AV20" s="128">
        <f>SUM(AT$7:AT20)</f>
        <v>42000</v>
      </c>
      <c r="AW20" s="90">
        <f>SUM(AU$7:AU20)</f>
        <v>8400</v>
      </c>
      <c r="AY20" s="128">
        <f t="shared" si="20"/>
        <v>10300</v>
      </c>
      <c r="AZ20" s="90">
        <f t="shared" si="21"/>
        <v>8800</v>
      </c>
      <c r="BA20" s="90">
        <f t="shared" si="22"/>
        <v>8400</v>
      </c>
      <c r="BB20" s="90">
        <f t="shared" ca="1" si="57"/>
        <v>2650</v>
      </c>
      <c r="BC20" s="90">
        <f t="shared" ca="1" si="60"/>
        <v>17250</v>
      </c>
      <c r="BD20" s="90">
        <f t="shared" ca="1" si="61"/>
        <v>12900</v>
      </c>
      <c r="BE20" s="90">
        <f t="shared" ca="1" si="24"/>
        <v>30150</v>
      </c>
      <c r="BF20" s="142">
        <f t="shared" ca="1" si="0"/>
        <v>0.59710144927536235</v>
      </c>
      <c r="BG20" s="142">
        <f t="shared" ca="1" si="1"/>
        <v>0.51014492753623186</v>
      </c>
      <c r="BH20" s="142">
        <f t="shared" ca="1" si="2"/>
        <v>0.48695652173913045</v>
      </c>
      <c r="BI20" s="142">
        <f t="shared" ca="1" si="3"/>
        <v>0.15362318840579711</v>
      </c>
      <c r="BJ20" s="143"/>
      <c r="BK20" s="128">
        <f ca="1">INDEX(商城宝箱!$L:$L,MATCH(BC20,商城宝箱!$N:$N,1))</f>
        <v>6</v>
      </c>
      <c r="BL20" s="90">
        <f ca="1">_xlfn.IFNA(INDEX(商城宝箱!T:T,MATCH(玩家节奏2!$BK20,商城宝箱!$L:$L,0)),0)+($BC20-INDEX(商城宝箱!$N:$N,MATCH(玩家节奏2!$BK20,商城宝箱!$L:$L,0)))/$BK$5*INDEX(商城宝箱!E$23:E$42,MATCH(玩家节奏2!$BK20+1,商城宝箱!$C$23:$C$42,0))</f>
        <v>43125</v>
      </c>
      <c r="BM20" s="90">
        <f ca="1">_xlfn.IFNA(INDEX(商城宝箱!U:U,MATCH(玩家节奏2!$BK20,商城宝箱!$L:$L,0)),0)+($BC20-INDEX(商城宝箱!$N:$N,MATCH(玩家节奏2!$BK20,商城宝箱!$L:$L,0)))/$BK$5*INDEX(商城宝箱!F$23:F$42,MATCH(玩家节奏2!$BK20+1,商城宝箱!$C$23:$C$42,0))</f>
        <v>12807.5</v>
      </c>
      <c r="BN20" s="90">
        <f ca="1">_xlfn.IFNA(INDEX(商城宝箱!V:V,MATCH(玩家节奏2!$BK20,商城宝箱!$L:$L,0)),0)+($BC20-INDEX(商城宝箱!$N:$N,MATCH(玩家节奏2!$BK20,商城宝箱!$L:$L,0)))/$BK$5*INDEX(商城宝箱!G$23:G$42,MATCH(玩家节奏2!$BK20+1,商城宝箱!$C$23:$C$42,0))</f>
        <v>6764.5</v>
      </c>
      <c r="BO20" s="90">
        <f ca="1">_xlfn.IFNA(INDEX(商城宝箱!W:W,MATCH(玩家节奏2!$BK20,商城宝箱!$L:$L,0)),0)+($BC20-INDEX(商城宝箱!$N:$N,MATCH(玩家节奏2!$BK20,商城宝箱!$L:$L,0)))/$BK$5*INDEX(商城宝箱!H$23:H$42,MATCH(玩家节奏2!$BK20+1,商城宝箱!$C$23:$C$42,0))</f>
        <v>928.75</v>
      </c>
      <c r="BQ20" s="128">
        <f t="shared" si="4"/>
        <v>936300</v>
      </c>
      <c r="BR20" s="90">
        <f t="shared" si="5"/>
        <v>97530</v>
      </c>
      <c r="BS20" s="90">
        <f t="shared" ca="1" si="6"/>
        <v>298486</v>
      </c>
      <c r="BT20" s="90">
        <f t="shared" si="7"/>
        <v>42500</v>
      </c>
      <c r="BU20" s="90">
        <f t="shared" si="8"/>
        <v>176000</v>
      </c>
      <c r="BV20" s="90">
        <f t="shared" si="9"/>
        <v>42000</v>
      </c>
      <c r="BW20" s="90">
        <f t="shared" ca="1" si="25"/>
        <v>43125</v>
      </c>
      <c r="BX20" s="90">
        <f t="shared" ca="1" si="26"/>
        <v>1635941</v>
      </c>
      <c r="BY20" s="142">
        <f t="shared" ca="1" si="27"/>
        <v>0.57233115375187738</v>
      </c>
      <c r="BZ20" s="142">
        <f t="shared" ca="1" si="10"/>
        <v>5.9617064429585177E-2</v>
      </c>
      <c r="CA20" s="142">
        <f t="shared" ca="1" si="10"/>
        <v>0.1824552352438138</v>
      </c>
      <c r="CB20" s="142">
        <f t="shared" ca="1" si="10"/>
        <v>2.5978932003049009E-2</v>
      </c>
      <c r="CC20" s="142">
        <f t="shared" ca="1" si="10"/>
        <v>0.10758334194203825</v>
      </c>
      <c r="CD20" s="142">
        <f t="shared" ca="1" si="10"/>
        <v>2.5673297508895493E-2</v>
      </c>
      <c r="CE20" s="142">
        <f t="shared" ca="1" si="10"/>
        <v>2.6360975120740909E-2</v>
      </c>
      <c r="CG20" s="128">
        <f t="shared" si="28"/>
        <v>59</v>
      </c>
      <c r="CH20" s="90">
        <f ca="1">INDEX(角色升级!$A:$A,MATCH(玩家节奏2!$BX20,角色升级!$J:$J,1))</f>
        <v>383</v>
      </c>
      <c r="CI20" s="90">
        <f ca="1">INDEX(角色升级!$O:$O,MATCH(玩家节奏2!$BX20,角色升级!$J:$J,1))</f>
        <v>10864.671829999999</v>
      </c>
      <c r="CJ20" s="90">
        <f>INDEX(关卡对比!$J:$J,MATCH(玩家节奏2!N20,关卡对比!$A:$A,0))</f>
        <v>15700</v>
      </c>
      <c r="CK20" s="147">
        <f t="shared" ca="1" si="29"/>
        <v>1.445050549676842</v>
      </c>
      <c r="CL20" s="128">
        <f ca="1">INDEX(角色升级!$P:$P,MATCH(玩家节奏2!$CH20,角色升级!$A:$A,0))</f>
        <v>3200</v>
      </c>
      <c r="CM20" s="90">
        <f ca="1">INDEX(角色升级!Q:Q,MATCH(玩家节奏2!$CH20,角色升级!$A:$A,0))</f>
        <v>0.5</v>
      </c>
      <c r="CO20" s="128">
        <f t="shared" si="30"/>
        <v>6674</v>
      </c>
      <c r="CP20" s="90">
        <f t="shared" si="31"/>
        <v>6366</v>
      </c>
      <c r="CQ20" s="90">
        <f t="shared" si="32"/>
        <v>8092</v>
      </c>
      <c r="CR20" s="90">
        <f t="shared" ca="1" si="33"/>
        <v>12807.5</v>
      </c>
      <c r="CS20" s="90">
        <f t="shared" ca="1" si="34"/>
        <v>33939.5</v>
      </c>
      <c r="CT20" s="142">
        <f t="shared" ca="1" si="35"/>
        <v>0.19664402834455427</v>
      </c>
      <c r="CU20" s="142">
        <f t="shared" ca="1" si="11"/>
        <v>0.18756905670384066</v>
      </c>
      <c r="CV20" s="142">
        <f t="shared" ca="1" si="11"/>
        <v>0.23842425492420335</v>
      </c>
      <c r="CW20" s="142">
        <f t="shared" ca="1" si="11"/>
        <v>0.37736266002740171</v>
      </c>
      <c r="CY20" s="128">
        <f t="shared" si="36"/>
        <v>3338</v>
      </c>
      <c r="CZ20" s="90">
        <f t="shared" si="37"/>
        <v>3123</v>
      </c>
      <c r="DA20" s="90">
        <f t="shared" si="38"/>
        <v>3944</v>
      </c>
      <c r="DB20" s="90">
        <f t="shared" ca="1" si="58"/>
        <v>6764.5</v>
      </c>
      <c r="DC20" s="90">
        <f t="shared" ca="1" si="39"/>
        <v>17169.5</v>
      </c>
      <c r="DD20" s="142">
        <f t="shared" ca="1" si="40"/>
        <v>0.19441451410932176</v>
      </c>
      <c r="DE20" s="142">
        <f t="shared" ca="1" si="12"/>
        <v>0.18189230903637263</v>
      </c>
      <c r="DF20" s="142">
        <f t="shared" ca="1" si="12"/>
        <v>0.22970965957075046</v>
      </c>
      <c r="DG20" s="142">
        <f t="shared" ca="1" si="12"/>
        <v>0.39398351728355513</v>
      </c>
      <c r="DI20" s="128">
        <f t="shared" si="41"/>
        <v>1488</v>
      </c>
      <c r="DJ20" s="90">
        <f t="shared" si="42"/>
        <v>1427</v>
      </c>
      <c r="DK20" s="90">
        <f t="shared" si="43"/>
        <v>1292</v>
      </c>
      <c r="DL20" s="90">
        <f t="shared" ca="1" si="44"/>
        <v>928.75</v>
      </c>
      <c r="DM20" s="90">
        <f t="shared" ca="1" si="45"/>
        <v>5135.75</v>
      </c>
      <c r="DN20" s="142">
        <f t="shared" ca="1" si="46"/>
        <v>0.28973372925083968</v>
      </c>
      <c r="DO20" s="142">
        <f t="shared" ca="1" si="13"/>
        <v>0.27785620405977707</v>
      </c>
      <c r="DP20" s="142">
        <f t="shared" ca="1" si="13"/>
        <v>0.25156987781726137</v>
      </c>
      <c r="DQ20" s="142">
        <f t="shared" ca="1" si="13"/>
        <v>0.18084018887212189</v>
      </c>
      <c r="DS20" s="128">
        <f ca="1">CS20</f>
        <v>33939.5</v>
      </c>
      <c r="DT20" s="90">
        <f t="shared" ca="1" si="48"/>
        <v>17169.5</v>
      </c>
      <c r="DU20" s="90">
        <f t="shared" ca="1" si="49"/>
        <v>5135.75</v>
      </c>
      <c r="DV20" s="90">
        <f t="shared" si="50"/>
        <v>176</v>
      </c>
      <c r="DW20" s="90">
        <f ca="1">_xlfn.IFNA(INDEX(武器升级消耗!$H:$H,MATCH(玩家节奏2!DS20/玩家节奏2!DS$5,武器升级消耗!M:M,1)),0)</f>
        <v>18</v>
      </c>
      <c r="DX20" s="90">
        <f ca="1">_xlfn.IFNA(INDEX(武器升级消耗!$H:$H,MATCH(玩家节奏2!DT20/玩家节奏2!DT$5,武器升级消耗!N:N,1)),0)</f>
        <v>15</v>
      </c>
      <c r="DY20" s="90">
        <f ca="1">_xlfn.IFNA(INDEX(武器升级消耗!$H:$H,MATCH(玩家节奏2!DU20/玩家节奏2!DU$5,武器升级消耗!O:O,1)),0)</f>
        <v>10</v>
      </c>
      <c r="DZ20" s="90">
        <f>_xlfn.IFNA(INDEX(武器升级消耗!$H:$H,MATCH(玩家节奏2!DV20/玩家节奏2!DV$5,武器升级消耗!P:P,1)),0)</f>
        <v>10</v>
      </c>
      <c r="EA20" s="90">
        <f ca="1">_xlfn.IFNA(INDEX(武器升级消耗!$Q:$Q,MATCH(玩家节奏2!DW20,武器升级消耗!$H:$H,0))*2*EA$4,0)</f>
        <v>2.64</v>
      </c>
      <c r="EB20" s="90">
        <f ca="1">_xlfn.IFNA(INDEX(武器升级消耗!$Q:$Q,MATCH(玩家节奏2!DX20,武器升级消耗!$H:$H,0))*2*EB$4,0)</f>
        <v>2.8499999999999996</v>
      </c>
      <c r="EC20" s="90">
        <f ca="1">_xlfn.IFNA(INDEX(武器升级消耗!$Q:$Q,MATCH(玩家节奏2!DY20,武器升级消耗!$H:$H,0))*2*EC$4,0)</f>
        <v>3.08</v>
      </c>
      <c r="ED20" s="90">
        <f>_xlfn.IFNA(INDEX(武器升级消耗!$Q:$Q,MATCH(玩家节奏2!DZ20,武器升级消耗!$H:$H,0))*2*ED$4,0)</f>
        <v>4.1999999999999993</v>
      </c>
      <c r="EF20" s="128">
        <f t="shared" si="14"/>
        <v>0</v>
      </c>
      <c r="EG20" s="90">
        <f t="shared" si="15"/>
        <v>0</v>
      </c>
      <c r="EH20" s="90">
        <v>42</v>
      </c>
      <c r="EI20" s="90">
        <v>42</v>
      </c>
      <c r="EJ20" s="90">
        <f>_xlfn.IFNA(INDEX(皮肤宠物!$J$4:$J$13,MATCH(EF20+EH20,皮肤宠物!$L$4:$L$13,1)),0)</f>
        <v>3</v>
      </c>
      <c r="EK20" s="90">
        <f>_xlfn.IFNA(INDEX(皮肤宠物!$J$4:$J$13,MATCH(EG20+EI20,皮肤宠物!$L$4:$L$13,1)),0)</f>
        <v>3</v>
      </c>
      <c r="EL20" s="90">
        <f>_xlfn.IFNA(INDEX(皮肤宠物!$N$4:$N$13,MATCH(EF20+EH20,皮肤宠物!$L$4:$L$13,1)),1)</f>
        <v>1.4300000000000002</v>
      </c>
      <c r="EM20" s="90">
        <f>_xlfn.IFNA(INDEX(皮肤宠物!$N$4:$N$13,MATCH(EG20+EI20,皮肤宠物!$L$4:$L$13,1)),1)</f>
        <v>1.4300000000000002</v>
      </c>
      <c r="EO20" s="128">
        <v>42</v>
      </c>
      <c r="EP20" s="90">
        <v>14</v>
      </c>
      <c r="EQ20" s="90">
        <f t="shared" ca="1" si="51"/>
        <v>12900</v>
      </c>
      <c r="ER20" s="90">
        <f t="shared" si="16"/>
        <v>0</v>
      </c>
      <c r="ES20" s="90">
        <f t="shared" ca="1" si="52"/>
        <v>143</v>
      </c>
      <c r="ET20" s="90">
        <f ca="1">$ES20*ET$5*皮肤宠物!$J$75/4</f>
        <v>472.04300000000001</v>
      </c>
      <c r="EU20" s="90">
        <f ca="1">$ES20*EU$5*皮肤宠物!$J$76/4</f>
        <v>78.793000000000006</v>
      </c>
      <c r="EV20" s="90">
        <f ca="1">$ES20*EV$5*皮肤宠物!$J$77/4</f>
        <v>21.342750000000002</v>
      </c>
      <c r="EW20" s="90">
        <f ca="1">_xlfn.IFNA(INDEX(皮肤宠物!$H$18:$H$67,MATCH(ET20,皮肤宠物!L$18:L$67,1)),0)</f>
        <v>7</v>
      </c>
      <c r="EX20" s="90">
        <f ca="1">_xlfn.IFNA(INDEX(皮肤宠物!$H$18:$H$67,MATCH(EU20,皮肤宠物!M$18:M$67,1)),0)</f>
        <v>5</v>
      </c>
      <c r="EY20" s="90">
        <f ca="1">_xlfn.IFNA(INDEX(皮肤宠物!$H$18:$H$67,MATCH(EV20,皮肤宠物!N$18:N$67,1)),0)</f>
        <v>4</v>
      </c>
      <c r="EZ20" s="90">
        <f ca="1">_xlfn.IFNA(INDEX(皮肤宠物!C$18:C$67,MATCH(EW20,皮肤宠物!$A$18:$A$67,0))+1,1)</f>
        <v>1.07</v>
      </c>
      <c r="FA20" s="90">
        <f ca="1">_xlfn.IFNA(INDEX(皮肤宠物!D$18:D$67,MATCH(EX20,皮肤宠物!$A$18:$A$67,0))+1,1)</f>
        <v>1.1000000000000001</v>
      </c>
      <c r="FB20" s="90">
        <f ca="1">_xlfn.IFNA(INDEX(皮肤宠物!E$18:E$67,MATCH(EY20,皮肤宠物!$A$18:$A$67,0))+1,1)</f>
        <v>1.1599999999999999</v>
      </c>
      <c r="FD20" s="90">
        <f t="shared" ca="1" si="53"/>
        <v>3.08</v>
      </c>
      <c r="FE20" s="90">
        <f t="shared" si="54"/>
        <v>1.4300000000000002</v>
      </c>
      <c r="FF20" s="90">
        <f t="shared" ca="1" si="55"/>
        <v>1.1599999999999999</v>
      </c>
      <c r="FG20" s="90">
        <f t="shared" ca="1" si="56"/>
        <v>5.1091040000000003</v>
      </c>
    </row>
    <row r="21" spans="1:163" x14ac:dyDescent="0.25">
      <c r="A21" s="123">
        <v>15</v>
      </c>
      <c r="B21" s="123">
        <f>INDEX(关卡对比!$Y:$Y,MATCH(关卡对比!Z21,关卡对比!$AA:$AA,1))</f>
        <v>9</v>
      </c>
      <c r="C21" s="124"/>
      <c r="D21" s="125">
        <f t="shared" si="62"/>
        <v>33.5</v>
      </c>
      <c r="E21" s="125">
        <v>2</v>
      </c>
      <c r="F21" s="128">
        <v>25</v>
      </c>
      <c r="G21" s="90">
        <v>0</v>
      </c>
      <c r="H21" s="90">
        <v>5</v>
      </c>
      <c r="J21" s="128">
        <v>15</v>
      </c>
      <c r="K21" s="90">
        <f t="shared" si="17"/>
        <v>16</v>
      </c>
      <c r="L21" s="90">
        <f t="shared" si="18"/>
        <v>16</v>
      </c>
      <c r="M21" s="90">
        <f t="shared" si="19"/>
        <v>5</v>
      </c>
      <c r="N21" s="140">
        <f>INDEX($A:$A,MATCH(SUM($K$7:K21),$D:$D,1))</f>
        <v>62</v>
      </c>
      <c r="O21" s="140">
        <v>0</v>
      </c>
      <c r="P21" s="141">
        <v>0</v>
      </c>
      <c r="Q21" s="126">
        <f>_xlfn.MAXIFS(关卡产出!X:X,关卡产出!$A:$A,玩家节奏2!$N$6,关卡产出!$B:$B,玩家节奏2!$N21)+_xlfn.MAXIFS(关卡产出!X:X,关卡产出!$A:$A,玩家节奏2!$O$6,关卡产出!$B:$B,玩家节奏2!$O21)+_xlfn.MAXIFS(关卡产出!X:X,关卡产出!$A:$A,玩家节奏2!$P$6,关卡产出!$B:$B,玩家节奏2!$P21)</f>
        <v>10900</v>
      </c>
      <c r="R21" s="90">
        <f>_xlfn.MAXIFS(关卡产出!Y:Y,关卡产出!$A:$A,玩家节奏2!$N$6,关卡产出!$B:$B,玩家节奏2!$N21)+_xlfn.MAXIFS(关卡产出!Y:Y,关卡产出!$A:$A,玩家节奏2!$O$6,关卡产出!$B:$B,玩家节奏2!$O21)+_xlfn.MAXIFS(关卡产出!Y:Y,关卡产出!$A:$A,玩家节奏2!$P$6,关卡产出!$B:$B,玩家节奏2!$P21)</f>
        <v>1039200</v>
      </c>
      <c r="S21" s="90">
        <f>_xlfn.MAXIFS(关卡产出!Z:Z,关卡产出!$A:$A,玩家节奏2!$N$6,关卡产出!$B:$B,玩家节奏2!$N21)+_xlfn.MAXIFS(关卡产出!Z:Z,关卡产出!$A:$A,玩家节奏2!$O$6,关卡产出!$B:$B,玩家节奏2!$O21)+_xlfn.MAXIFS(关卡产出!Z:Z,关卡产出!$A:$A,玩家节奏2!$P$6,关卡产出!$B:$B,玩家节奏2!$P21)</f>
        <v>7382</v>
      </c>
      <c r="T21" s="90">
        <f>_xlfn.MAXIFS(关卡产出!AA:AA,关卡产出!$A:$A,玩家节奏2!$N$6,关卡产出!$B:$B,玩家节奏2!$N21)+_xlfn.MAXIFS(关卡产出!AA:AA,关卡产出!$A:$A,玩家节奏2!$O$6,关卡产出!$B:$B,玩家节奏2!$O21)+_xlfn.MAXIFS(关卡产出!AA:AA,关卡产出!$A:$A,玩家节奏2!$P$6,关卡产出!$B:$B,玩家节奏2!$P21)</f>
        <v>3692</v>
      </c>
      <c r="U21" s="90">
        <f>_xlfn.MAXIFS(关卡产出!AB:AB,关卡产出!$A:$A,玩家节奏2!$N$6,关卡产出!$B:$B,玩家节奏2!$N21)+_xlfn.MAXIFS(关卡产出!AB:AB,关卡产出!$A:$A,玩家节奏2!$O$6,关卡产出!$B:$B,玩家节奏2!$O21)+_xlfn.MAXIFS(关卡产出!AB:AB,关卡产出!$A:$A,玩家节奏2!$P$6,关卡产出!$B:$B,玩家节奏2!$P21)</f>
        <v>1656</v>
      </c>
      <c r="V21" s="130">
        <f>_xlfn.MAXIFS(关卡产出!AC:AC,关卡产出!$A:$A,玩家节奏2!$N$6,关卡产出!$B:$B,玩家节奏2!$N21)+_xlfn.MAXIFS(关卡产出!AC:AC,关卡产出!$A:$A,玩家节奏2!$O$6,关卡产出!$B:$B,玩家节奏2!$O21)+_xlfn.MAXIFS(关卡产出!AC:AC,关卡产出!$A:$A,玩家节奏2!$P$6,关卡产出!$B:$B,玩家节奏2!$P21)</f>
        <v>372</v>
      </c>
      <c r="W21" s="126">
        <f>INDEX(关卡产出!C$8:C$207,MATCH(玩家节奏2!$N21,关卡产出!$B$8:$B$207,0))*$K21</f>
        <v>768</v>
      </c>
      <c r="X21" s="126">
        <f>INDEX(关卡产出!D$8:D$207,MATCH(玩家节奏2!$N21,关卡产出!$B$8:$B$207,0))*$K21</f>
        <v>384</v>
      </c>
      <c r="Y21" s="126">
        <f>INDEX(关卡产出!E$8:E$207,MATCH(玩家节奏2!$N21,关卡产出!$B$8:$B$207,0))*$K21</f>
        <v>176</v>
      </c>
      <c r="Z21" s="144">
        <f>INDEX(关卡产出!F$8:F$207,MATCH(玩家节奏2!$N21,关卡产出!$B$8:$B$207,0))*$K21</f>
        <v>10720</v>
      </c>
      <c r="AA21" s="126">
        <f>SUM(W$7:W21)</f>
        <v>7134</v>
      </c>
      <c r="AB21" s="126">
        <f>SUM(X$7:X21)</f>
        <v>3507</v>
      </c>
      <c r="AC21" s="126">
        <f>SUM(Y$7:Y21)</f>
        <v>1603</v>
      </c>
      <c r="AD21" s="177">
        <f>SUM(Z$7:Z21)</f>
        <v>108250</v>
      </c>
      <c r="AE21" s="128">
        <f>INDEX(图鉴!AQ:AQ,MATCH($N21,图鉴!$S:$S,0))*34</f>
        <v>714</v>
      </c>
      <c r="AF21" s="90">
        <f>INDEX(图鉴!AR:AR,MATCH($N21,图鉴!$S:$S,0))*34</f>
        <v>408</v>
      </c>
      <c r="AG21" s="90">
        <f>INDEX(图鉴!AS:AS,MATCH($N21,图鉴!$S:$S,0))*34</f>
        <v>136</v>
      </c>
      <c r="AH21" s="129">
        <f ca="1">INDEX(图鉴!AT:AT,MATCH($N21,图鉴!$S:$S,0))*34</f>
        <v>30770</v>
      </c>
      <c r="AI21" s="128">
        <f>SUM($AE$7:AE21)</f>
        <v>8806</v>
      </c>
      <c r="AJ21" s="90">
        <f>SUM(AF$7:AF21)</f>
        <v>4352</v>
      </c>
      <c r="AK21" s="90">
        <f>SUM(AG$7:AG21)</f>
        <v>1428</v>
      </c>
      <c r="AL21" s="130">
        <f ca="1">SUM(AH$7:AH21)</f>
        <v>329256</v>
      </c>
      <c r="AM21" s="133">
        <f>IF(M21=0,0,INDEX(关卡产出!$AU$11:$AU$15,MATCH(玩家节奏2!N21,关卡产出!$AW$11:$AW$15,1))*M21)</f>
        <v>61000</v>
      </c>
      <c r="AN21" s="126">
        <f>IF(L21=0,0,$L21*关卡产出!AU$21)</f>
        <v>16000</v>
      </c>
      <c r="AO21" s="90">
        <f>IF(M21=0,0,$L21*关卡产出!AV$21)</f>
        <v>800</v>
      </c>
      <c r="AP21" s="129">
        <f>IF(N21=0,0,$L21*关卡产出!AW$21)</f>
        <v>16</v>
      </c>
      <c r="AQ21" s="138">
        <f>SUM(AN$7:AN21)</f>
        <v>192000</v>
      </c>
      <c r="AR21" s="126">
        <f>SUM(AO$7:AO21)</f>
        <v>9600</v>
      </c>
      <c r="AS21" s="129">
        <f>SUM(AP$7:AP21)</f>
        <v>192</v>
      </c>
      <c r="AT21" s="128">
        <v>3000</v>
      </c>
      <c r="AU21" s="129">
        <v>600</v>
      </c>
      <c r="AV21" s="128">
        <f>SUM(AT$7:AT21)</f>
        <v>45000</v>
      </c>
      <c r="AW21" s="90">
        <f>SUM(AU$7:AU21)</f>
        <v>9000</v>
      </c>
      <c r="AY21" s="128">
        <f t="shared" si="20"/>
        <v>10900</v>
      </c>
      <c r="AZ21" s="90">
        <f t="shared" si="21"/>
        <v>9600</v>
      </c>
      <c r="BA21" s="90">
        <f t="shared" si="22"/>
        <v>9000</v>
      </c>
      <c r="BB21" s="90">
        <f t="shared" ca="1" si="57"/>
        <v>3200</v>
      </c>
      <c r="BC21" s="90">
        <f t="shared" ca="1" si="60"/>
        <v>18525</v>
      </c>
      <c r="BD21" s="90">
        <f t="shared" ca="1" si="61"/>
        <v>14175</v>
      </c>
      <c r="BE21" s="90">
        <f t="shared" ca="1" si="24"/>
        <v>32700</v>
      </c>
      <c r="BF21" s="142">
        <f t="shared" ca="1" si="0"/>
        <v>0.58839406207827261</v>
      </c>
      <c r="BG21" s="142">
        <f t="shared" ca="1" si="1"/>
        <v>0.51821862348178138</v>
      </c>
      <c r="BH21" s="142">
        <f t="shared" ca="1" si="2"/>
        <v>0.48582995951417002</v>
      </c>
      <c r="BI21" s="142">
        <f t="shared" ca="1" si="3"/>
        <v>0.17273954116059378</v>
      </c>
      <c r="BJ21" s="143"/>
      <c r="BK21" s="128">
        <f ca="1">INDEX(商城宝箱!$L:$L,MATCH(BC21,商城宝箱!$N:$N,1))</f>
        <v>6</v>
      </c>
      <c r="BL21" s="90">
        <f ca="1">_xlfn.IFNA(INDEX(商城宝箱!T:T,MATCH(玩家节奏2!$BK21,商城宝箱!$L:$L,0)),0)+($BC21-INDEX(商城宝箱!$N:$N,MATCH(玩家节奏2!$BK21,商城宝箱!$L:$L,0)))/$BK$5*INDEX(商城宝箱!E$23:E$42,MATCH(玩家节奏2!$BK21+1,商城宝箱!$C$23:$C$42,0))</f>
        <v>46312.5</v>
      </c>
      <c r="BM21" s="90">
        <f ca="1">_xlfn.IFNA(INDEX(商城宝箱!U:U,MATCH(玩家节奏2!$BK21,商城宝箱!$L:$L,0)),0)+($BC21-INDEX(商城宝箱!$N:$N,MATCH(玩家节奏2!$BK21,商城宝箱!$L:$L,0)))/$BK$5*INDEX(商城宝箱!F$23:F$42,MATCH(玩家节奏2!$BK21+1,商城宝箱!$C$23:$C$42,0))</f>
        <v>14465</v>
      </c>
      <c r="BN21" s="90">
        <f ca="1">_xlfn.IFNA(INDEX(商城宝箱!V:V,MATCH(玩家节奏2!$BK21,商城宝箱!$L:$L,0)),0)+($BC21-INDEX(商城宝箱!$N:$N,MATCH(玩家节奏2!$BK21,商城宝箱!$L:$L,0)))/$BK$5*INDEX(商城宝箱!G$23:G$42,MATCH(玩家节奏2!$BK21+1,商城宝箱!$C$23:$C$42,0))</f>
        <v>7848.25</v>
      </c>
      <c r="BO21" s="90">
        <f ca="1">_xlfn.IFNA(INDEX(商城宝箱!W:W,MATCH(玩家节奏2!$BK21,商城宝箱!$L:$L,0)),0)+($BC21-INDEX(商城宝箱!$N:$N,MATCH(玩家节奏2!$BK21,商城宝箱!$L:$L,0)))/$BK$5*INDEX(商城宝箱!H$23:H$42,MATCH(玩家节奏2!$BK21+1,商城宝箱!$C$23:$C$42,0))</f>
        <v>1075.375</v>
      </c>
      <c r="BQ21" s="128">
        <f t="shared" si="4"/>
        <v>1039200</v>
      </c>
      <c r="BR21" s="90">
        <f t="shared" si="5"/>
        <v>108250</v>
      </c>
      <c r="BS21" s="90">
        <f t="shared" ca="1" si="6"/>
        <v>329256</v>
      </c>
      <c r="BT21" s="90">
        <f t="shared" si="7"/>
        <v>61000</v>
      </c>
      <c r="BU21" s="90">
        <f t="shared" si="8"/>
        <v>192000</v>
      </c>
      <c r="BV21" s="90">
        <f t="shared" si="9"/>
        <v>45000</v>
      </c>
      <c r="BW21" s="90">
        <f t="shared" ca="1" si="25"/>
        <v>46312.5</v>
      </c>
      <c r="BX21" s="90">
        <f t="shared" ca="1" si="26"/>
        <v>1821018.5</v>
      </c>
      <c r="BY21" s="142">
        <f t="shared" ca="1" si="27"/>
        <v>0.5706696554702767</v>
      </c>
      <c r="BZ21" s="142">
        <f t="shared" ca="1" si="10"/>
        <v>5.9444755778153821E-2</v>
      </c>
      <c r="CA21" s="142">
        <f t="shared" ca="1" si="10"/>
        <v>0.18080870677590591</v>
      </c>
      <c r="CB21" s="142">
        <f t="shared" ca="1" si="10"/>
        <v>3.349773766713518E-2</v>
      </c>
      <c r="CC21" s="142">
        <f t="shared" ca="1" si="10"/>
        <v>0.10543550216540909</v>
      </c>
      <c r="CD21" s="142">
        <f t="shared" ca="1" si="10"/>
        <v>2.4711445820017754E-2</v>
      </c>
      <c r="CE21" s="142">
        <f t="shared" ca="1" si="10"/>
        <v>2.5432196323101605E-2</v>
      </c>
      <c r="CG21" s="128">
        <f t="shared" si="28"/>
        <v>62</v>
      </c>
      <c r="CH21" s="90">
        <f ca="1">INDEX(角色升级!$A:$A,MATCH(玩家节奏2!$BX21,角色升级!$J:$J,1))</f>
        <v>398</v>
      </c>
      <c r="CI21" s="90">
        <f ca="1">INDEX(角色升级!$O:$O,MATCH(玩家节奏2!$BX21,角色升级!$J:$J,1))</f>
        <v>12234.53269</v>
      </c>
      <c r="CJ21" s="90">
        <f>INDEX(关卡对比!$J:$J,MATCH(玩家节奏2!N21,关卡对比!$A:$A,0))</f>
        <v>17200</v>
      </c>
      <c r="CK21" s="147">
        <f t="shared" ca="1" si="29"/>
        <v>1.4058567201392635</v>
      </c>
      <c r="CL21" s="128">
        <f ca="1">INDEX(角色升级!$P:$P,MATCH(玩家节奏2!$CH21,角色升级!$A:$A,0))</f>
        <v>3200</v>
      </c>
      <c r="CM21" s="90">
        <f ca="1">INDEX(角色升级!Q:Q,MATCH(玩家节奏2!$CH21,角色升级!$A:$A,0))</f>
        <v>0.5</v>
      </c>
      <c r="CO21" s="128">
        <f t="shared" si="30"/>
        <v>7382</v>
      </c>
      <c r="CP21" s="90">
        <f t="shared" si="31"/>
        <v>7134</v>
      </c>
      <c r="CQ21" s="90">
        <f t="shared" si="32"/>
        <v>8806</v>
      </c>
      <c r="CR21" s="90">
        <f t="shared" ca="1" si="33"/>
        <v>14465</v>
      </c>
      <c r="CS21" s="90">
        <f t="shared" ca="1" si="34"/>
        <v>37787</v>
      </c>
      <c r="CT21" s="142">
        <f t="shared" ca="1" si="35"/>
        <v>0.19535819197078361</v>
      </c>
      <c r="CU21" s="142">
        <f t="shared" ca="1" si="11"/>
        <v>0.18879508825786645</v>
      </c>
      <c r="CV21" s="142">
        <f t="shared" ca="1" si="11"/>
        <v>0.23304311006430783</v>
      </c>
      <c r="CW21" s="142">
        <f t="shared" ca="1" si="11"/>
        <v>0.38280360970704208</v>
      </c>
      <c r="CY21" s="128">
        <f t="shared" si="36"/>
        <v>3692</v>
      </c>
      <c r="CZ21" s="90">
        <f t="shared" si="37"/>
        <v>3507</v>
      </c>
      <c r="DA21" s="90">
        <f t="shared" si="38"/>
        <v>4352</v>
      </c>
      <c r="DB21" s="90">
        <f t="shared" ca="1" si="58"/>
        <v>7848.25</v>
      </c>
      <c r="DC21" s="90">
        <f t="shared" ca="1" si="39"/>
        <v>19399.25</v>
      </c>
      <c r="DD21" s="142">
        <f t="shared" ca="1" si="40"/>
        <v>0.19031663595242085</v>
      </c>
      <c r="DE21" s="142">
        <f t="shared" ca="1" si="12"/>
        <v>0.18078018480095881</v>
      </c>
      <c r="DF21" s="142">
        <f t="shared" ca="1" si="12"/>
        <v>0.22433856979006919</v>
      </c>
      <c r="DG21" s="142">
        <f t="shared" ca="1" si="12"/>
        <v>0.40456460945655115</v>
      </c>
      <c r="DI21" s="128">
        <f t="shared" si="41"/>
        <v>1656</v>
      </c>
      <c r="DJ21" s="90">
        <f t="shared" si="42"/>
        <v>1603</v>
      </c>
      <c r="DK21" s="90">
        <f t="shared" si="43"/>
        <v>1428</v>
      </c>
      <c r="DL21" s="90">
        <f t="shared" ca="1" si="44"/>
        <v>1075.375</v>
      </c>
      <c r="DM21" s="90">
        <f t="shared" ca="1" si="45"/>
        <v>5762.375</v>
      </c>
      <c r="DN21" s="142">
        <f t="shared" ca="1" si="46"/>
        <v>0.28738150502180093</v>
      </c>
      <c r="DO21" s="142">
        <f t="shared" ca="1" si="13"/>
        <v>0.27818390854465391</v>
      </c>
      <c r="DP21" s="142">
        <f t="shared" ca="1" si="13"/>
        <v>0.24781448621445151</v>
      </c>
      <c r="DQ21" s="142">
        <f t="shared" ca="1" si="13"/>
        <v>0.1866201002190937</v>
      </c>
      <c r="DS21" s="128">
        <f t="shared" ca="1" si="47"/>
        <v>37787</v>
      </c>
      <c r="DT21" s="90">
        <f t="shared" ca="1" si="48"/>
        <v>19399.25</v>
      </c>
      <c r="DU21" s="90">
        <f t="shared" ca="1" si="49"/>
        <v>5762.375</v>
      </c>
      <c r="DV21" s="90">
        <f t="shared" si="50"/>
        <v>192</v>
      </c>
      <c r="DW21" s="90">
        <f ca="1">_xlfn.IFNA(INDEX(武器升级消耗!$H:$H,MATCH(玩家节奏2!DS21/玩家节奏2!DS$5,武器升级消耗!M:M,1)),0)</f>
        <v>19</v>
      </c>
      <c r="DX21" s="90">
        <f ca="1">_xlfn.IFNA(INDEX(武器升级消耗!$H:$H,MATCH(玩家节奏2!DT21/玩家节奏2!DT$5,武器升级消耗!N:N,1)),0)</f>
        <v>16</v>
      </c>
      <c r="DY21" s="90">
        <f ca="1">_xlfn.IFNA(INDEX(武器升级消耗!$H:$H,MATCH(玩家节奏2!DU21/玩家节奏2!DU$5,武器升级消耗!O:O,1)),0)</f>
        <v>11</v>
      </c>
      <c r="DZ21" s="90">
        <f>_xlfn.IFNA(INDEX(武器升级消耗!$H:$H,MATCH(玩家节奏2!DV21/玩家节奏2!DV$5,武器升级消耗!P:P,1)),0)</f>
        <v>10</v>
      </c>
      <c r="EA21" s="90">
        <f ca="1">_xlfn.IFNA(INDEX(武器升级消耗!$Q:$Q,MATCH(玩家节奏2!DW21,武器升级消耗!$H:$H,0))*2*EA$4,0)</f>
        <v>2.76</v>
      </c>
      <c r="EB21" s="90">
        <f ca="1">_xlfn.IFNA(INDEX(武器升级消耗!$Q:$Q,MATCH(玩家节奏2!DX21,武器升级消耗!$H:$H,0))*2*EB$4,0)</f>
        <v>3</v>
      </c>
      <c r="EC21" s="90">
        <f ca="1">_xlfn.IFNA(INDEX(武器升级消耗!$Q:$Q,MATCH(玩家节奏2!DY21,武器升级消耗!$H:$H,0))*2*EC$4,0)</f>
        <v>3.3000000000000003</v>
      </c>
      <c r="ED21" s="90">
        <f>_xlfn.IFNA(INDEX(武器升级消耗!$Q:$Q,MATCH(玩家节奏2!DZ21,武器升级消耗!$H:$H,0))*2*ED$4,0)</f>
        <v>4.1999999999999993</v>
      </c>
      <c r="EF21" s="128">
        <f t="shared" si="14"/>
        <v>0</v>
      </c>
      <c r="EG21" s="90">
        <f t="shared" si="15"/>
        <v>0</v>
      </c>
      <c r="EH21" s="90">
        <v>45</v>
      </c>
      <c r="EI21" s="90">
        <v>45</v>
      </c>
      <c r="EJ21" s="90">
        <f>_xlfn.IFNA(INDEX(皮肤宠物!$J$4:$J$13,MATCH(EF21+EH21,皮肤宠物!$L$4:$L$13,1)),0)</f>
        <v>3</v>
      </c>
      <c r="EK21" s="90">
        <f>_xlfn.IFNA(INDEX(皮肤宠物!$J$4:$J$13,MATCH(EG21+EI21,皮肤宠物!$L$4:$L$13,1)),0)</f>
        <v>3</v>
      </c>
      <c r="EL21" s="90">
        <f>_xlfn.IFNA(INDEX(皮肤宠物!$N$4:$N$13,MATCH(EF21+EH21,皮肤宠物!$L$4:$L$13,1)),1)</f>
        <v>1.4300000000000002</v>
      </c>
      <c r="EM21" s="90">
        <f>_xlfn.IFNA(INDEX(皮肤宠物!$N$4:$N$13,MATCH(EG21+EI21,皮肤宠物!$L$4:$L$13,1)),1)</f>
        <v>1.4300000000000002</v>
      </c>
      <c r="EO21" s="128">
        <v>45</v>
      </c>
      <c r="EP21" s="90">
        <v>15</v>
      </c>
      <c r="EQ21" s="90">
        <f t="shared" ca="1" si="51"/>
        <v>14175</v>
      </c>
      <c r="ER21" s="90">
        <f t="shared" si="16"/>
        <v>0</v>
      </c>
      <c r="ES21" s="90">
        <f t="shared" ca="1" si="52"/>
        <v>156.75</v>
      </c>
      <c r="ET21" s="90">
        <f ca="1">$ES21*ET$5*皮肤宠物!$J$75/4</f>
        <v>517.43174999999997</v>
      </c>
      <c r="EU21" s="90">
        <f ca="1">$ES21*EU$5*皮肤宠物!$J$76/4</f>
        <v>86.369250000000008</v>
      </c>
      <c r="EV21" s="90">
        <f ca="1">$ES21*EV$5*皮肤宠物!$J$77/4</f>
        <v>23.394937500000001</v>
      </c>
      <c r="EW21" s="90">
        <f ca="1">_xlfn.IFNA(INDEX(皮肤宠物!$H$18:$H$67,MATCH(ET21,皮肤宠物!L$18:L$67,1)),0)</f>
        <v>7</v>
      </c>
      <c r="EX21" s="90">
        <f ca="1">_xlfn.IFNA(INDEX(皮肤宠物!$H$18:$H$67,MATCH(EU21,皮肤宠物!M$18:M$67,1)),0)</f>
        <v>6</v>
      </c>
      <c r="EY21" s="90">
        <f ca="1">_xlfn.IFNA(INDEX(皮肤宠物!$H$18:$H$67,MATCH(EV21,皮肤宠物!N$18:N$67,1)),0)</f>
        <v>4</v>
      </c>
      <c r="EZ21" s="90">
        <f ca="1">_xlfn.IFNA(INDEX(皮肤宠物!C$18:C$67,MATCH(EW21,皮肤宠物!$A$18:$A$67,0))+1,1)</f>
        <v>1.07</v>
      </c>
      <c r="FA21" s="90">
        <f ca="1">_xlfn.IFNA(INDEX(皮肤宠物!D$18:D$67,MATCH(EX21,皮肤宠物!$A$18:$A$67,0))+1,1)</f>
        <v>1.1200000000000001</v>
      </c>
      <c r="FB21" s="90">
        <f ca="1">_xlfn.IFNA(INDEX(皮肤宠物!E$18:E$67,MATCH(EY21,皮肤宠物!$A$18:$A$67,0))+1,1)</f>
        <v>1.1599999999999999</v>
      </c>
      <c r="FD21" s="90">
        <f t="shared" ca="1" si="53"/>
        <v>3.3000000000000003</v>
      </c>
      <c r="FE21" s="90">
        <f t="shared" si="54"/>
        <v>1.4300000000000002</v>
      </c>
      <c r="FF21" s="90">
        <f t="shared" ca="1" si="55"/>
        <v>1.1599999999999999</v>
      </c>
      <c r="FG21" s="90">
        <f t="shared" ca="1" si="56"/>
        <v>5.4740400000000005</v>
      </c>
    </row>
    <row r="22" spans="1:163" x14ac:dyDescent="0.25">
      <c r="A22" s="123">
        <v>16</v>
      </c>
      <c r="B22" s="123">
        <f>INDEX(关卡对比!$Y:$Y,MATCH(关卡对比!Z22,关卡对比!$AA:$AA,1))</f>
        <v>10</v>
      </c>
      <c r="C22" s="124"/>
      <c r="D22" s="125">
        <f t="shared" si="62"/>
        <v>37.5</v>
      </c>
      <c r="E22" s="125">
        <v>2</v>
      </c>
      <c r="F22" s="128">
        <v>25</v>
      </c>
      <c r="G22" s="90">
        <v>0</v>
      </c>
      <c r="H22" s="90">
        <v>5</v>
      </c>
      <c r="J22" s="128">
        <v>16</v>
      </c>
      <c r="K22" s="90">
        <f t="shared" si="17"/>
        <v>16</v>
      </c>
      <c r="L22" s="90">
        <f t="shared" si="18"/>
        <v>16</v>
      </c>
      <c r="M22" s="90">
        <f t="shared" si="19"/>
        <v>5</v>
      </c>
      <c r="N22" s="140">
        <f>INDEX($A:$A,MATCH(SUM($K$7:K22),$D:$D,1))</f>
        <v>66</v>
      </c>
      <c r="O22" s="140">
        <v>0</v>
      </c>
      <c r="P22" s="141">
        <v>0</v>
      </c>
      <c r="Q22" s="126">
        <f>_xlfn.MAXIFS(关卡产出!X:X,关卡产出!$A:$A,玩家节奏2!$N$6,关卡产出!$B:$B,玩家节奏2!$N22)+_xlfn.MAXIFS(关卡产出!X:X,关卡产出!$A:$A,玩家节奏2!$O$6,关卡产出!$B:$B,玩家节奏2!$O22)+_xlfn.MAXIFS(关卡产出!X:X,关卡产出!$A:$A,玩家节奏2!$P$6,关卡产出!$B:$B,玩家节奏2!$P22)</f>
        <v>11700</v>
      </c>
      <c r="R22" s="90">
        <f>_xlfn.MAXIFS(关卡产出!Y:Y,关卡产出!$A:$A,玩家节奏2!$N$6,关卡产出!$B:$B,玩家节奏2!$N22)+_xlfn.MAXIFS(关卡产出!Y:Y,关卡产出!$A:$A,玩家节奏2!$O$6,关卡产出!$B:$B,玩家节奏2!$O22)+_xlfn.MAXIFS(关卡产出!Y:Y,关卡产出!$A:$A,玩家节奏2!$P$6,关卡产出!$B:$B,玩家节奏2!$P22)</f>
        <v>1184800</v>
      </c>
      <c r="S22" s="90">
        <f>_xlfn.MAXIFS(关卡产出!Z:Z,关卡产出!$A:$A,玩家节奏2!$N$6,关卡产出!$B:$B,玩家节奏2!$N22)+_xlfn.MAXIFS(关卡产出!Z:Z,关卡产出!$A:$A,玩家节奏2!$O$6,关卡产出!$B:$B,玩家节奏2!$O22)+_xlfn.MAXIFS(关卡产出!Z:Z,关卡产出!$A:$A,玩家节奏2!$P$6,关卡产出!$B:$B,玩家节奏2!$P22)</f>
        <v>8382</v>
      </c>
      <c r="T22" s="90">
        <f>_xlfn.MAXIFS(关卡产出!AA:AA,关卡产出!$A:$A,玩家节奏2!$N$6,关卡产出!$B:$B,玩家节奏2!$N22)+_xlfn.MAXIFS(关卡产出!AA:AA,关卡产出!$A:$A,玩家节奏2!$O$6,关卡产出!$B:$B,玩家节奏2!$O22)+_xlfn.MAXIFS(关卡产出!AA:AA,关卡产出!$A:$A,玩家节奏2!$P$6,关卡产出!$B:$B,玩家节奏2!$P22)</f>
        <v>4192</v>
      </c>
      <c r="U22" s="90">
        <f>_xlfn.MAXIFS(关卡产出!AB:AB,关卡产出!$A:$A,玩家节奏2!$N$6,关卡产出!$B:$B,玩家节奏2!$N22)+_xlfn.MAXIFS(关卡产出!AB:AB,关卡产出!$A:$A,玩家节奏2!$O$6,关卡产出!$B:$B,玩家节奏2!$O22)+_xlfn.MAXIFS(关卡产出!AB:AB,关卡产出!$A:$A,玩家节奏2!$P$6,关卡产出!$B:$B,玩家节奏2!$P22)</f>
        <v>1894</v>
      </c>
      <c r="V22" s="130">
        <f>_xlfn.MAXIFS(关卡产出!AC:AC,关卡产出!$A:$A,玩家节奏2!$N$6,关卡产出!$B:$B,玩家节奏2!$N22)+_xlfn.MAXIFS(关卡产出!AC:AC,关卡产出!$A:$A,玩家节奏2!$O$6,关卡产出!$B:$B,玩家节奏2!$O22)+_xlfn.MAXIFS(关卡产出!AC:AC,关卡产出!$A:$A,玩家节奏2!$P$6,关卡产出!$B:$B,玩家节奏2!$P22)</f>
        <v>396</v>
      </c>
      <c r="W22" s="126">
        <f>INDEX(关卡产出!C$8:C$207,MATCH(玩家节奏2!$N22,关卡产出!$B$8:$B$207,0))*$K22</f>
        <v>816</v>
      </c>
      <c r="X22" s="126">
        <f>INDEX(关卡产出!D$8:D$207,MATCH(玩家节奏2!$N22,关卡产出!$B$8:$B$207,0))*$K22</f>
        <v>400</v>
      </c>
      <c r="Y22" s="126">
        <f>INDEX(关卡产出!E$8:E$207,MATCH(玩家节奏2!$N22,关卡产出!$B$8:$B$207,0))*$K22</f>
        <v>192</v>
      </c>
      <c r="Z22" s="144">
        <f>INDEX(关卡产出!F$8:F$207,MATCH(玩家节奏2!$N22,关卡产出!$B$8:$B$207,0))*$K22</f>
        <v>11360</v>
      </c>
      <c r="AA22" s="126">
        <f>SUM(W$7:W22)</f>
        <v>7950</v>
      </c>
      <c r="AB22" s="126">
        <f>SUM(X$7:X22)</f>
        <v>3907</v>
      </c>
      <c r="AC22" s="126">
        <f>SUM(Y$7:Y22)</f>
        <v>1795</v>
      </c>
      <c r="AD22" s="177">
        <f>SUM(Z$7:Z22)</f>
        <v>119610</v>
      </c>
      <c r="AE22" s="128">
        <f>INDEX(图鉴!AQ:AQ,MATCH($N22,图鉴!$S:$S,0))*34</f>
        <v>714</v>
      </c>
      <c r="AF22" s="90">
        <f>INDEX(图鉴!AR:AR,MATCH($N22,图鉴!$S:$S,0))*34</f>
        <v>442</v>
      </c>
      <c r="AG22" s="90">
        <f>INDEX(图鉴!AS:AS,MATCH($N22,图鉴!$S:$S,0))*34</f>
        <v>136</v>
      </c>
      <c r="AH22" s="129">
        <f ca="1">INDEX(图鉴!AT:AT,MATCH($N22,图鉴!$S:$S,0))*34</f>
        <v>32470</v>
      </c>
      <c r="AI22" s="128">
        <f>SUM($AE$7:AE22)</f>
        <v>9520</v>
      </c>
      <c r="AJ22" s="90">
        <f>SUM(AF$7:AF22)</f>
        <v>4794</v>
      </c>
      <c r="AK22" s="90">
        <f>SUM(AG$7:AG22)</f>
        <v>1564</v>
      </c>
      <c r="AL22" s="130">
        <f ca="1">SUM(AH$7:AH22)</f>
        <v>361726</v>
      </c>
      <c r="AM22" s="133">
        <f>IF(M22=0,0,INDEX(关卡产出!$AU$11:$AU$15,MATCH(玩家节奏2!N22,关卡产出!$AW$11:$AW$15,1))*M22)</f>
        <v>61000</v>
      </c>
      <c r="AN22" s="126">
        <f>IF(L22=0,0,$L22*关卡产出!AU$21)</f>
        <v>16000</v>
      </c>
      <c r="AO22" s="90">
        <f>IF(M22=0,0,$L22*关卡产出!AV$21)</f>
        <v>800</v>
      </c>
      <c r="AP22" s="129">
        <f>IF(N22=0,0,$L22*关卡产出!AW$21)</f>
        <v>16</v>
      </c>
      <c r="AQ22" s="138">
        <f>SUM(AN$7:AN22)</f>
        <v>208000</v>
      </c>
      <c r="AR22" s="126">
        <f>SUM(AO$7:AO22)</f>
        <v>10400</v>
      </c>
      <c r="AS22" s="129">
        <f>SUM(AP$7:AP22)</f>
        <v>208</v>
      </c>
      <c r="AT22" s="128">
        <v>3000</v>
      </c>
      <c r="AU22" s="129">
        <v>600</v>
      </c>
      <c r="AV22" s="128">
        <f>SUM(AT$7:AT22)</f>
        <v>48000</v>
      </c>
      <c r="AW22" s="90">
        <f>SUM(AU$7:AU22)</f>
        <v>9600</v>
      </c>
      <c r="AY22" s="128">
        <f t="shared" si="20"/>
        <v>11700</v>
      </c>
      <c r="AZ22" s="90">
        <f t="shared" si="21"/>
        <v>10400</v>
      </c>
      <c r="BA22" s="90">
        <f t="shared" si="22"/>
        <v>9600</v>
      </c>
      <c r="BB22" s="90">
        <f t="shared" ca="1" si="57"/>
        <v>3200</v>
      </c>
      <c r="BC22" s="90">
        <f t="shared" ca="1" si="60"/>
        <v>19625</v>
      </c>
      <c r="BD22" s="90">
        <f t="shared" ca="1" si="61"/>
        <v>15275</v>
      </c>
      <c r="BE22" s="90">
        <f t="shared" ca="1" si="24"/>
        <v>34900</v>
      </c>
      <c r="BF22" s="142">
        <f t="shared" ca="1" si="0"/>
        <v>0.59617834394904456</v>
      </c>
      <c r="BG22" s="142">
        <f t="shared" ca="1" si="1"/>
        <v>0.52993630573248407</v>
      </c>
      <c r="BH22" s="142">
        <f t="shared" ca="1" si="2"/>
        <v>0.489171974522293</v>
      </c>
      <c r="BI22" s="142">
        <f t="shared" ca="1" si="3"/>
        <v>0.16305732484076432</v>
      </c>
      <c r="BJ22" s="143"/>
      <c r="BK22" s="128">
        <f ca="1">INDEX(商城宝箱!$L:$L,MATCH(BC22,商城宝箱!$N:$N,1))</f>
        <v>6</v>
      </c>
      <c r="BL22" s="90">
        <f ca="1">_xlfn.IFNA(INDEX(商城宝箱!T:T,MATCH(玩家节奏2!$BK22,商城宝箱!$L:$L,0)),0)+($BC22-INDEX(商城宝箱!$N:$N,MATCH(玩家节奏2!$BK22,商城宝箱!$L:$L,0)))/$BK$5*INDEX(商城宝箱!E$23:E$42,MATCH(玩家节奏2!$BK22+1,商城宝箱!$C$23:$C$42,0))</f>
        <v>49062.5</v>
      </c>
      <c r="BM22" s="90">
        <f ca="1">_xlfn.IFNA(INDEX(商城宝箱!U:U,MATCH(玩家节奏2!$BK22,商城宝箱!$L:$L,0)),0)+($BC22-INDEX(商城宝箱!$N:$N,MATCH(玩家节奏2!$BK22,商城宝箱!$L:$L,0)))/$BK$5*INDEX(商城宝箱!F$23:F$42,MATCH(玩家节奏2!$BK22+1,商城宝箱!$C$23:$C$42,0))</f>
        <v>15895</v>
      </c>
      <c r="BN22" s="90">
        <f ca="1">_xlfn.IFNA(INDEX(商城宝箱!V:V,MATCH(玩家节奏2!$BK22,商城宝箱!$L:$L,0)),0)+($BC22-INDEX(商城宝箱!$N:$N,MATCH(玩家节奏2!$BK22,商城宝箱!$L:$L,0)))/$BK$5*INDEX(商城宝箱!G$23:G$42,MATCH(玩家节奏2!$BK22+1,商城宝箱!$C$23:$C$42,0))</f>
        <v>8783.25</v>
      </c>
      <c r="BO22" s="90">
        <f ca="1">_xlfn.IFNA(INDEX(商城宝箱!W:W,MATCH(玩家节奏2!$BK22,商城宝箱!$L:$L,0)),0)+($BC22-INDEX(商城宝箱!$N:$N,MATCH(玩家节奏2!$BK22,商城宝箱!$L:$L,0)))/$BK$5*INDEX(商城宝箱!H$23:H$42,MATCH(玩家节奏2!$BK22+1,商城宝箱!$C$23:$C$42,0))</f>
        <v>1201.875</v>
      </c>
      <c r="BQ22" s="128">
        <f t="shared" si="4"/>
        <v>1184800</v>
      </c>
      <c r="BR22" s="90">
        <f t="shared" si="5"/>
        <v>119610</v>
      </c>
      <c r="BS22" s="90">
        <f t="shared" ca="1" si="6"/>
        <v>361726</v>
      </c>
      <c r="BT22" s="90">
        <f t="shared" si="7"/>
        <v>61000</v>
      </c>
      <c r="BU22" s="90">
        <f t="shared" si="8"/>
        <v>208000</v>
      </c>
      <c r="BV22" s="90">
        <f t="shared" si="9"/>
        <v>48000</v>
      </c>
      <c r="BW22" s="90">
        <f t="shared" ca="1" si="25"/>
        <v>49062.5</v>
      </c>
      <c r="BX22" s="90">
        <f t="shared" ca="1" si="26"/>
        <v>2032198.5</v>
      </c>
      <c r="BY22" s="142">
        <f t="shared" ca="1" si="27"/>
        <v>0.58301391325699725</v>
      </c>
      <c r="BZ22" s="142">
        <f t="shared" ca="1" si="10"/>
        <v>5.8857439369234849E-2</v>
      </c>
      <c r="CA22" s="142">
        <f t="shared" ca="1" si="10"/>
        <v>0.17799737574848126</v>
      </c>
      <c r="CB22" s="142">
        <f t="shared" ca="1" si="10"/>
        <v>3.0016752792603674E-2</v>
      </c>
      <c r="CC22" s="142">
        <f t="shared" ca="1" si="10"/>
        <v>0.1023522062436322</v>
      </c>
      <c r="CD22" s="142">
        <f t="shared" ca="1" si="10"/>
        <v>2.3619739902376664E-2</v>
      </c>
      <c r="CE22" s="142">
        <f t="shared" ca="1" si="10"/>
        <v>2.4142572686674062E-2</v>
      </c>
      <c r="CG22" s="128">
        <f t="shared" si="28"/>
        <v>66</v>
      </c>
      <c r="CH22" s="90">
        <f ca="1">INDEX(角色升级!$A:$A,MATCH(玩家节奏2!$BX22,角色升级!$J:$J,1))</f>
        <v>420</v>
      </c>
      <c r="CI22" s="90">
        <f ca="1">INDEX(角色升级!$O:$O,MATCH(玩家节奏2!$BX22,角色升级!$J:$J,1))</f>
        <v>12741.958830000001</v>
      </c>
      <c r="CJ22" s="90">
        <f>INDEX(关卡对比!$J:$J,MATCH(玩家节奏2!N22,关卡对比!$A:$A,0))</f>
        <v>19200</v>
      </c>
      <c r="CK22" s="147">
        <f t="shared" ca="1" si="29"/>
        <v>1.5068326821771718</v>
      </c>
      <c r="CL22" s="128">
        <f ca="1">INDEX(角色升级!$P:$P,MATCH(玩家节奏2!$CH22,角色升级!$A:$A,0))</f>
        <v>3800</v>
      </c>
      <c r="CM22" s="90">
        <f ca="1">INDEX(角色升级!Q:Q,MATCH(玩家节奏2!$CH22,角色升级!$A:$A,0))</f>
        <v>0.6</v>
      </c>
      <c r="CO22" s="128">
        <f t="shared" si="30"/>
        <v>8382</v>
      </c>
      <c r="CP22" s="90">
        <f t="shared" si="31"/>
        <v>7950</v>
      </c>
      <c r="CQ22" s="90">
        <f t="shared" si="32"/>
        <v>9520</v>
      </c>
      <c r="CR22" s="90">
        <f t="shared" ca="1" si="33"/>
        <v>15895</v>
      </c>
      <c r="CS22" s="90">
        <f t="shared" ca="1" si="34"/>
        <v>41747</v>
      </c>
      <c r="CT22" s="142">
        <f t="shared" ca="1" si="35"/>
        <v>0.2007808944355283</v>
      </c>
      <c r="CU22" s="142">
        <f t="shared" ca="1" si="11"/>
        <v>0.19043284547392628</v>
      </c>
      <c r="CV22" s="142">
        <f t="shared" ca="1" si="11"/>
        <v>0.22804033822789663</v>
      </c>
      <c r="CW22" s="142">
        <f t="shared" ca="1" si="11"/>
        <v>0.38074592186264883</v>
      </c>
      <c r="CY22" s="128">
        <f t="shared" si="36"/>
        <v>4192</v>
      </c>
      <c r="CZ22" s="90">
        <f t="shared" si="37"/>
        <v>3907</v>
      </c>
      <c r="DA22" s="90">
        <f t="shared" si="38"/>
        <v>4794</v>
      </c>
      <c r="DB22" s="90">
        <f t="shared" ca="1" si="58"/>
        <v>8783.25</v>
      </c>
      <c r="DC22" s="90">
        <f t="shared" ca="1" si="39"/>
        <v>21676.25</v>
      </c>
      <c r="DD22" s="142">
        <f t="shared" ca="1" si="40"/>
        <v>0.19339138457989735</v>
      </c>
      <c r="DE22" s="142">
        <f t="shared" ca="1" si="12"/>
        <v>0.18024335390115911</v>
      </c>
      <c r="DF22" s="142">
        <f t="shared" ca="1" si="12"/>
        <v>0.22116371604867077</v>
      </c>
      <c r="DG22" s="142">
        <f t="shared" ca="1" si="12"/>
        <v>0.40520154547027276</v>
      </c>
      <c r="DI22" s="128">
        <f t="shared" si="41"/>
        <v>1894</v>
      </c>
      <c r="DJ22" s="90">
        <f t="shared" si="42"/>
        <v>1795</v>
      </c>
      <c r="DK22" s="90">
        <f t="shared" si="43"/>
        <v>1564</v>
      </c>
      <c r="DL22" s="90">
        <f t="shared" ca="1" si="44"/>
        <v>1201.875</v>
      </c>
      <c r="DM22" s="90">
        <f t="shared" ca="1" si="45"/>
        <v>6454.875</v>
      </c>
      <c r="DN22" s="142">
        <f t="shared" ca="1" si="46"/>
        <v>0.29342163868394044</v>
      </c>
      <c r="DO22" s="142">
        <f t="shared" ca="1" si="13"/>
        <v>0.27808439357849685</v>
      </c>
      <c r="DP22" s="142">
        <f t="shared" ca="1" si="13"/>
        <v>0.2422974883324619</v>
      </c>
      <c r="DQ22" s="142">
        <f t="shared" ca="1" si="13"/>
        <v>0.18619647940510078</v>
      </c>
      <c r="DS22" s="128">
        <f t="shared" ca="1" si="47"/>
        <v>41747</v>
      </c>
      <c r="DT22" s="90">
        <f t="shared" ca="1" si="48"/>
        <v>21676.25</v>
      </c>
      <c r="DU22" s="90">
        <f t="shared" ca="1" si="49"/>
        <v>6454.875</v>
      </c>
      <c r="DV22" s="90">
        <f t="shared" si="50"/>
        <v>208</v>
      </c>
      <c r="DW22" s="90">
        <f ca="1">_xlfn.IFNA(INDEX(武器升级消耗!$H:$H,MATCH(玩家节奏2!DS22/玩家节奏2!DS$5,武器升级消耗!M:M,1)),0)</f>
        <v>20</v>
      </c>
      <c r="DX22" s="90">
        <f ca="1">_xlfn.IFNA(INDEX(武器升级消耗!$H:$H,MATCH(玩家节奏2!DT22/玩家节奏2!DT$5,武器升级消耗!N:N,1)),0)</f>
        <v>17</v>
      </c>
      <c r="DY22" s="90">
        <f ca="1">_xlfn.IFNA(INDEX(武器升级消耗!$H:$H,MATCH(玩家节奏2!DU22/玩家节奏2!DU$5,武器升级消耗!O:O,1)),0)</f>
        <v>11</v>
      </c>
      <c r="DZ22" s="90">
        <f>_xlfn.IFNA(INDEX(武器升级消耗!$H:$H,MATCH(玩家节奏2!DV22/玩家节奏2!DV$5,武器升级消耗!P:P,1)),0)</f>
        <v>11</v>
      </c>
      <c r="EA22" s="90">
        <f ca="1">_xlfn.IFNA(INDEX(武器升级消耗!$Q:$Q,MATCH(玩家节奏2!DW22,武器升级消耗!$H:$H,0))*2*EA$4,0)</f>
        <v>2.88</v>
      </c>
      <c r="EB22" s="90">
        <f ca="1">_xlfn.IFNA(INDEX(武器升级消耗!$Q:$Q,MATCH(玩家节奏2!DX22,武器升级消耗!$H:$H,0))*2*EB$4,0)</f>
        <v>3.1500000000000004</v>
      </c>
      <c r="EC22" s="90">
        <f ca="1">_xlfn.IFNA(INDEX(武器升级消耗!$Q:$Q,MATCH(玩家节奏2!DY22,武器升级消耗!$H:$H,0))*2*EC$4,0)</f>
        <v>3.3000000000000003</v>
      </c>
      <c r="ED22" s="90">
        <f>_xlfn.IFNA(INDEX(武器升级消耗!$Q:$Q,MATCH(玩家节奏2!DZ22,武器升级消耗!$H:$H,0))*2*ED$4,0)</f>
        <v>4.5</v>
      </c>
      <c r="EF22" s="128">
        <f t="shared" si="14"/>
        <v>0</v>
      </c>
      <c r="EG22" s="90">
        <f t="shared" si="15"/>
        <v>0</v>
      </c>
      <c r="EH22" s="90">
        <v>48</v>
      </c>
      <c r="EI22" s="90">
        <v>48</v>
      </c>
      <c r="EJ22" s="90">
        <f>_xlfn.IFNA(INDEX(皮肤宠物!$J$4:$J$13,MATCH(EF22+EH22,皮肤宠物!$L$4:$L$13,1)),0)</f>
        <v>3</v>
      </c>
      <c r="EK22" s="90">
        <f>_xlfn.IFNA(INDEX(皮肤宠物!$J$4:$J$13,MATCH(EG22+EI22,皮肤宠物!$L$4:$L$13,1)),0)</f>
        <v>3</v>
      </c>
      <c r="EL22" s="90">
        <f>_xlfn.IFNA(INDEX(皮肤宠物!$N$4:$N$13,MATCH(EF22+EH22,皮肤宠物!$L$4:$L$13,1)),1)</f>
        <v>1.4300000000000002</v>
      </c>
      <c r="EM22" s="90">
        <f>_xlfn.IFNA(INDEX(皮肤宠物!$N$4:$N$13,MATCH(EG22+EI22,皮肤宠物!$L$4:$L$13,1)),1)</f>
        <v>1.4300000000000002</v>
      </c>
      <c r="EO22" s="128">
        <v>48</v>
      </c>
      <c r="EP22" s="90">
        <v>16</v>
      </c>
      <c r="EQ22" s="90">
        <f t="shared" ca="1" si="51"/>
        <v>15275</v>
      </c>
      <c r="ER22" s="90">
        <f t="shared" si="16"/>
        <v>0</v>
      </c>
      <c r="ES22" s="90">
        <f t="shared" ca="1" si="52"/>
        <v>168.75</v>
      </c>
      <c r="ET22" s="90">
        <f ca="1">$ES22*ET$5*皮肤宠物!$J$75/4</f>
        <v>557.04375000000005</v>
      </c>
      <c r="EU22" s="90">
        <f ca="1">$ES22*EU$5*皮肤宠物!$J$76/4</f>
        <v>92.981250000000003</v>
      </c>
      <c r="EV22" s="90">
        <f ca="1">$ES22*EV$5*皮肤宠物!$J$77/4</f>
        <v>25.185937500000001</v>
      </c>
      <c r="EW22" s="90">
        <f ca="1">_xlfn.IFNA(INDEX(皮肤宠物!$H$18:$H$67,MATCH(ET22,皮肤宠物!L$18:L$67,1)),0)</f>
        <v>8</v>
      </c>
      <c r="EX22" s="90">
        <f ca="1">_xlfn.IFNA(INDEX(皮肤宠物!$H$18:$H$67,MATCH(EU22,皮肤宠物!M$18:M$67,1)),0)</f>
        <v>6</v>
      </c>
      <c r="EY22" s="90">
        <f ca="1">_xlfn.IFNA(INDEX(皮肤宠物!$H$18:$H$67,MATCH(EV22,皮肤宠物!N$18:N$67,1)),0)</f>
        <v>4</v>
      </c>
      <c r="EZ22" s="90">
        <f ca="1">_xlfn.IFNA(INDEX(皮肤宠物!C$18:C$67,MATCH(EW22,皮肤宠物!$A$18:$A$67,0))+1,1)</f>
        <v>1.08</v>
      </c>
      <c r="FA22" s="90">
        <f ca="1">_xlfn.IFNA(INDEX(皮肤宠物!D$18:D$67,MATCH(EX22,皮肤宠物!$A$18:$A$67,0))+1,1)</f>
        <v>1.1200000000000001</v>
      </c>
      <c r="FB22" s="90">
        <f ca="1">_xlfn.IFNA(INDEX(皮肤宠物!E$18:E$67,MATCH(EY22,皮肤宠物!$A$18:$A$67,0))+1,1)</f>
        <v>1.1599999999999999</v>
      </c>
      <c r="FD22" s="90">
        <f t="shared" ca="1" si="53"/>
        <v>3.3000000000000003</v>
      </c>
      <c r="FE22" s="90">
        <f t="shared" si="54"/>
        <v>1.4300000000000002</v>
      </c>
      <c r="FF22" s="90">
        <f t="shared" ca="1" si="55"/>
        <v>1.1599999999999999</v>
      </c>
      <c r="FG22" s="90">
        <f t="shared" ca="1" si="56"/>
        <v>5.4740400000000005</v>
      </c>
    </row>
    <row r="23" spans="1:163" x14ac:dyDescent="0.25">
      <c r="A23" s="123">
        <v>17</v>
      </c>
      <c r="B23" s="123">
        <f>INDEX(关卡对比!$Y:$Y,MATCH(关卡对比!Z23,关卡对比!$AA:$AA,1))</f>
        <v>12</v>
      </c>
      <c r="C23" s="124">
        <f>INDEX(关卡对比!$Y:$Y,MATCH(关卡对比!Z23,关卡对比!$AB:$AB,1))</f>
        <v>8</v>
      </c>
      <c r="D23" s="125">
        <f>A23*E23+B23*E23+C23*E23-4.5-10-16</f>
        <v>43.5</v>
      </c>
      <c r="E23" s="125">
        <v>2</v>
      </c>
      <c r="F23" s="128">
        <v>25</v>
      </c>
      <c r="G23" s="90">
        <v>0</v>
      </c>
      <c r="H23" s="90">
        <v>5</v>
      </c>
      <c r="J23" s="128">
        <v>17</v>
      </c>
      <c r="K23" s="90">
        <f t="shared" si="17"/>
        <v>16</v>
      </c>
      <c r="L23" s="90">
        <f t="shared" si="18"/>
        <v>16</v>
      </c>
      <c r="M23" s="90">
        <f t="shared" si="19"/>
        <v>5</v>
      </c>
      <c r="N23" s="140">
        <f>INDEX($A:$A,MATCH(SUM($K$7:K23),$D:$D,1))</f>
        <v>70</v>
      </c>
      <c r="O23" s="140">
        <v>0</v>
      </c>
      <c r="P23" s="141">
        <v>0</v>
      </c>
      <c r="Q23" s="126">
        <f>_xlfn.MAXIFS(关卡产出!X:X,关卡产出!$A:$A,玩家节奏2!$N$6,关卡产出!$B:$B,玩家节奏2!$N23)+_xlfn.MAXIFS(关卡产出!X:X,关卡产出!$A:$A,玩家节奏2!$O$6,关卡产出!$B:$B,玩家节奏2!$O23)+_xlfn.MAXIFS(关卡产出!X:X,关卡产出!$A:$A,玩家节奏2!$P$6,关卡产出!$B:$B,玩家节奏2!$P23)</f>
        <v>12500</v>
      </c>
      <c r="R23" s="90">
        <f>_xlfn.MAXIFS(关卡产出!Y:Y,关卡产出!$A:$A,玩家节奏2!$N$6,关卡产出!$B:$B,玩家节奏2!$N23)+_xlfn.MAXIFS(关卡产出!Y:Y,关卡产出!$A:$A,玩家节奏2!$O$6,关卡产出!$B:$B,玩家节奏2!$O23)+_xlfn.MAXIFS(关卡产出!Y:Y,关卡产出!$A:$A,玩家节奏2!$P$6,关卡产出!$B:$B,玩家节奏2!$P23)</f>
        <v>1340000</v>
      </c>
      <c r="S23" s="90">
        <f>_xlfn.MAXIFS(关卡产出!Z:Z,关卡产出!$A:$A,玩家节奏2!$N$6,关卡产出!$B:$B,玩家节奏2!$N23)+_xlfn.MAXIFS(关卡产出!Z:Z,关卡产出!$A:$A,玩家节奏2!$O$6,关卡产出!$B:$B,玩家节奏2!$O23)+_xlfn.MAXIFS(关卡产出!Z:Z,关卡产出!$A:$A,玩家节奏2!$P$6,关卡产出!$B:$B,玩家节奏2!$P23)</f>
        <v>9446</v>
      </c>
      <c r="T23" s="90">
        <f>_xlfn.MAXIFS(关卡产出!AA:AA,关卡产出!$A:$A,玩家节奏2!$N$6,关卡产出!$B:$B,玩家节奏2!$N23)+_xlfn.MAXIFS(关卡产出!AA:AA,关卡产出!$A:$A,玩家节奏2!$O$6,关卡产出!$B:$B,玩家节奏2!$O23)+_xlfn.MAXIFS(关卡产出!AA:AA,关卡产出!$A:$A,玩家节奏2!$P$6,关卡产出!$B:$B,玩家节奏2!$P23)</f>
        <v>4724</v>
      </c>
      <c r="U23" s="90">
        <f>_xlfn.MAXIFS(关卡产出!AB:AB,关卡产出!$A:$A,玩家节奏2!$N$6,关卡产出!$B:$B,玩家节奏2!$N23)+_xlfn.MAXIFS(关卡产出!AB:AB,关卡产出!$A:$A,玩家节奏2!$O$6,关卡产出!$B:$B,玩家节奏2!$O23)+_xlfn.MAXIFS(关卡产出!AB:AB,关卡产出!$A:$A,玩家节奏2!$P$6,关卡产出!$B:$B,玩家节奏2!$P23)</f>
        <v>2148</v>
      </c>
      <c r="V23" s="130">
        <f>_xlfn.MAXIFS(关卡产出!AC:AC,关卡产出!$A:$A,玩家节奏2!$N$6,关卡产出!$B:$B,玩家节奏2!$N23)+_xlfn.MAXIFS(关卡产出!AC:AC,关卡产出!$A:$A,玩家节奏2!$O$6,关卡产出!$B:$B,玩家节奏2!$O23)+_xlfn.MAXIFS(关卡产出!AC:AC,关卡产出!$A:$A,玩家节奏2!$P$6,关卡产出!$B:$B,玩家节奏2!$P23)</f>
        <v>420</v>
      </c>
      <c r="W23" s="126">
        <f>INDEX(关卡产出!C$8:C$207,MATCH(玩家节奏2!$N23,关卡产出!$B$8:$B$207,0))*$K23</f>
        <v>864</v>
      </c>
      <c r="X23" s="126">
        <f>INDEX(关卡产出!D$8:D$207,MATCH(玩家节奏2!$N23,关卡产出!$B$8:$B$207,0))*$K23</f>
        <v>432</v>
      </c>
      <c r="Y23" s="126">
        <f>INDEX(关卡产出!E$8:E$207,MATCH(玩家节奏2!$N23,关卡产出!$B$8:$B$207,0))*$K23</f>
        <v>208</v>
      </c>
      <c r="Z23" s="144">
        <f>INDEX(关卡产出!F$8:F$207,MATCH(玩家节奏2!$N23,关卡产出!$B$8:$B$207,0))*$K23</f>
        <v>12000</v>
      </c>
      <c r="AA23" s="126">
        <f>SUM(W$7:W23)</f>
        <v>8814</v>
      </c>
      <c r="AB23" s="126">
        <f>SUM(X$7:X23)</f>
        <v>4339</v>
      </c>
      <c r="AC23" s="126">
        <f>SUM(Y$7:Y23)</f>
        <v>2003</v>
      </c>
      <c r="AD23" s="177">
        <f>SUM(Z$7:Z23)</f>
        <v>131610</v>
      </c>
      <c r="AE23" s="128">
        <f>INDEX(图鉴!AQ:AQ,MATCH($N23,图鉴!$S:$S,0))*34</f>
        <v>714</v>
      </c>
      <c r="AF23" s="90">
        <f>INDEX(图鉴!AR:AR,MATCH($N23,图鉴!$S:$S,0))*34</f>
        <v>476</v>
      </c>
      <c r="AG23" s="90">
        <f>INDEX(图鉴!AS:AS,MATCH($N23,图鉴!$S:$S,0))*34</f>
        <v>136</v>
      </c>
      <c r="AH23" s="129">
        <f ca="1">INDEX(图鉴!AT:AT,MATCH($N23,图鉴!$S:$S,0))*34</f>
        <v>33660</v>
      </c>
      <c r="AI23" s="128">
        <f>SUM($AE$7:AE23)</f>
        <v>10234</v>
      </c>
      <c r="AJ23" s="90">
        <f>SUM(AF$7:AF23)</f>
        <v>5270</v>
      </c>
      <c r="AK23" s="90">
        <f>SUM(AG$7:AG23)</f>
        <v>1700</v>
      </c>
      <c r="AL23" s="130">
        <f ca="1">SUM(AH$7:AH23)</f>
        <v>395386</v>
      </c>
      <c r="AM23" s="133">
        <f>IF(M23=0,0,INDEX(关卡产出!$AU$11:$AU$15,MATCH(玩家节奏2!N23,关卡产出!$AW$11:$AW$15,1))*M23)</f>
        <v>61000</v>
      </c>
      <c r="AN23" s="126">
        <f>IF(L23=0,0,$L23*关卡产出!AU$21)</f>
        <v>16000</v>
      </c>
      <c r="AO23" s="90">
        <f>IF(M23=0,0,$L23*关卡产出!AV$21)</f>
        <v>800</v>
      </c>
      <c r="AP23" s="129">
        <f>IF(N23=0,0,$L23*关卡产出!AW$21)</f>
        <v>16</v>
      </c>
      <c r="AQ23" s="138">
        <f>SUM(AN$7:AN23)</f>
        <v>224000</v>
      </c>
      <c r="AR23" s="126">
        <f>SUM(AO$7:AO23)</f>
        <v>11200</v>
      </c>
      <c r="AS23" s="129">
        <f>SUM(AP$7:AP23)</f>
        <v>224</v>
      </c>
      <c r="AT23" s="128">
        <v>3000</v>
      </c>
      <c r="AU23" s="129">
        <v>600</v>
      </c>
      <c r="AV23" s="128">
        <f>SUM(AT$7:AT23)</f>
        <v>51000</v>
      </c>
      <c r="AW23" s="90">
        <f>SUM(AU$7:AU23)</f>
        <v>10200</v>
      </c>
      <c r="AY23" s="128">
        <f t="shared" si="20"/>
        <v>12500</v>
      </c>
      <c r="AZ23" s="90">
        <f t="shared" si="21"/>
        <v>11200</v>
      </c>
      <c r="BA23" s="90">
        <f t="shared" si="22"/>
        <v>10200</v>
      </c>
      <c r="BB23" s="90">
        <f t="shared" ca="1" si="57"/>
        <v>3800</v>
      </c>
      <c r="BC23" s="90">
        <f t="shared" ca="1" si="60"/>
        <v>21025</v>
      </c>
      <c r="BD23" s="90">
        <f t="shared" ca="1" si="61"/>
        <v>16675</v>
      </c>
      <c r="BE23" s="90">
        <f t="shared" ca="1" si="24"/>
        <v>37700</v>
      </c>
      <c r="BF23" s="142">
        <f t="shared" ca="1" si="0"/>
        <v>0.59453032104637338</v>
      </c>
      <c r="BG23" s="142">
        <f t="shared" ca="1" si="1"/>
        <v>0.53269916765755054</v>
      </c>
      <c r="BH23" s="142">
        <f t="shared" ca="1" si="2"/>
        <v>0.48513674197384066</v>
      </c>
      <c r="BI23" s="142">
        <f t="shared" ca="1" si="3"/>
        <v>0.18073721759809749</v>
      </c>
      <c r="BJ23" s="143"/>
      <c r="BK23" s="128">
        <f ca="1">INDEX(商城宝箱!$L:$L,MATCH(BC23,商城宝箱!$N:$N,1))</f>
        <v>6</v>
      </c>
      <c r="BL23" s="90">
        <f ca="1">_xlfn.IFNA(INDEX(商城宝箱!T:T,MATCH(玩家节奏2!$BK23,商城宝箱!$L:$L,0)),0)+($BC23-INDEX(商城宝箱!$N:$N,MATCH(玩家节奏2!$BK23,商城宝箱!$L:$L,0)))/$BK$5*INDEX(商城宝箱!E$23:E$42,MATCH(玩家节奏2!$BK23+1,商城宝箱!$C$23:$C$42,0))</f>
        <v>52562.5</v>
      </c>
      <c r="BM23" s="90">
        <f ca="1">_xlfn.IFNA(INDEX(商城宝箱!U:U,MATCH(玩家节奏2!$BK23,商城宝箱!$L:$L,0)),0)+($BC23-INDEX(商城宝箱!$N:$N,MATCH(玩家节奏2!$BK23,商城宝箱!$L:$L,0)))/$BK$5*INDEX(商城宝箱!F$23:F$42,MATCH(玩家节奏2!$BK23+1,商城宝箱!$C$23:$C$42,0))</f>
        <v>17715</v>
      </c>
      <c r="BN23" s="90">
        <f ca="1">_xlfn.IFNA(INDEX(商城宝箱!V:V,MATCH(玩家节奏2!$BK23,商城宝箱!$L:$L,0)),0)+($BC23-INDEX(商城宝箱!$N:$N,MATCH(玩家节奏2!$BK23,商城宝箱!$L:$L,0)))/$BK$5*INDEX(商城宝箱!G$23:G$42,MATCH(玩家节奏2!$BK23+1,商城宝箱!$C$23:$C$42,0))</f>
        <v>9973.25</v>
      </c>
      <c r="BO23" s="90">
        <f ca="1">_xlfn.IFNA(INDEX(商城宝箱!W:W,MATCH(玩家节奏2!$BK23,商城宝箱!$L:$L,0)),0)+($BC23-INDEX(商城宝箱!$N:$N,MATCH(玩家节奏2!$BK23,商城宝箱!$L:$L,0)))/$BK$5*INDEX(商城宝箱!H$23:H$42,MATCH(玩家节奏2!$BK23+1,商城宝箱!$C$23:$C$42,0))</f>
        <v>1362.875</v>
      </c>
      <c r="BQ23" s="128">
        <f t="shared" si="4"/>
        <v>1340000</v>
      </c>
      <c r="BR23" s="90">
        <f t="shared" si="5"/>
        <v>131610</v>
      </c>
      <c r="BS23" s="90">
        <f t="shared" ca="1" si="6"/>
        <v>395386</v>
      </c>
      <c r="BT23" s="90">
        <f t="shared" si="7"/>
        <v>61000</v>
      </c>
      <c r="BU23" s="90">
        <f t="shared" si="8"/>
        <v>224000</v>
      </c>
      <c r="BV23" s="90">
        <f t="shared" si="9"/>
        <v>51000</v>
      </c>
      <c r="BW23" s="90">
        <f t="shared" ca="1" si="25"/>
        <v>52562.5</v>
      </c>
      <c r="BX23" s="90">
        <f t="shared" ca="1" si="26"/>
        <v>2255558.5</v>
      </c>
      <c r="BY23" s="142">
        <f t="shared" ca="1" si="27"/>
        <v>0.59408789441728072</v>
      </c>
      <c r="BZ23" s="142">
        <f t="shared" ca="1" si="27"/>
        <v>5.8349184913625604E-2</v>
      </c>
      <c r="CA23" s="142">
        <f t="shared" ca="1" si="27"/>
        <v>0.1752940568821425</v>
      </c>
      <c r="CB23" s="142">
        <f t="shared" ca="1" si="27"/>
        <v>2.704429967123442E-2</v>
      </c>
      <c r="CC23" s="142">
        <f t="shared" ca="1" si="27"/>
        <v>9.9310215186172293E-2</v>
      </c>
      <c r="CD23" s="142">
        <f t="shared" ca="1" si="27"/>
        <v>2.2610807921851727E-2</v>
      </c>
      <c r="CE23" s="142">
        <f t="shared" ca="1" si="27"/>
        <v>2.3303541007692774E-2</v>
      </c>
      <c r="CG23" s="128">
        <f t="shared" si="28"/>
        <v>70</v>
      </c>
      <c r="CH23" s="90">
        <f ca="1">INDEX(角色升级!$A:$A,MATCH(玩家节奏2!$BX23,角色升级!$J:$J,1))</f>
        <v>434</v>
      </c>
      <c r="CI23" s="90">
        <f ca="1">INDEX(角色升级!$O:$O,MATCH(玩家节奏2!$BX23,角色升级!$J:$J,1))</f>
        <v>14608.140075000001</v>
      </c>
      <c r="CJ23" s="90">
        <f>INDEX(关卡对比!$J:$J,MATCH(玩家节奏2!N23,关卡对比!$A:$A,0))</f>
        <v>21200</v>
      </c>
      <c r="CK23" s="147">
        <f t="shared" ca="1" si="29"/>
        <v>1.4512456679054673</v>
      </c>
      <c r="CL23" s="128">
        <f ca="1">INDEX(角色升级!$P:$P,MATCH(玩家节奏2!$CH23,角色升级!$A:$A,0))</f>
        <v>4450</v>
      </c>
      <c r="CM23" s="90">
        <f ca="1">INDEX(角色升级!Q:Q,MATCH(玩家节奏2!$CH23,角色升级!$A:$A,0))</f>
        <v>0.6</v>
      </c>
      <c r="CO23" s="128">
        <f t="shared" si="30"/>
        <v>9446</v>
      </c>
      <c r="CP23" s="90">
        <f t="shared" si="31"/>
        <v>8814</v>
      </c>
      <c r="CQ23" s="90">
        <f t="shared" si="32"/>
        <v>10234</v>
      </c>
      <c r="CR23" s="90">
        <f t="shared" ca="1" si="33"/>
        <v>17715</v>
      </c>
      <c r="CS23" s="90">
        <f t="shared" ca="1" si="34"/>
        <v>46209</v>
      </c>
      <c r="CT23" s="142">
        <f t="shared" ca="1" si="35"/>
        <v>0.20441905256551754</v>
      </c>
      <c r="CU23" s="142">
        <f t="shared" ca="1" si="35"/>
        <v>0.19074206323443485</v>
      </c>
      <c r="CV23" s="142">
        <f t="shared" ca="1" si="35"/>
        <v>0.22147200761756367</v>
      </c>
      <c r="CW23" s="142">
        <f t="shared" ca="1" si="35"/>
        <v>0.38336687658248392</v>
      </c>
      <c r="CY23" s="128">
        <f t="shared" si="36"/>
        <v>4724</v>
      </c>
      <c r="CZ23" s="90">
        <f t="shared" si="37"/>
        <v>4339</v>
      </c>
      <c r="DA23" s="90">
        <f t="shared" si="38"/>
        <v>5270</v>
      </c>
      <c r="DB23" s="90">
        <f t="shared" ca="1" si="58"/>
        <v>9973.25</v>
      </c>
      <c r="DC23" s="90">
        <f t="shared" ca="1" si="39"/>
        <v>24306.25</v>
      </c>
      <c r="DD23" s="142">
        <f t="shared" ca="1" si="40"/>
        <v>0.19435330419130881</v>
      </c>
      <c r="DE23" s="142">
        <f t="shared" ca="1" si="40"/>
        <v>0.17851375674980716</v>
      </c>
      <c r="DF23" s="142">
        <f t="shared" ca="1" si="40"/>
        <v>0.21681666238107483</v>
      </c>
      <c r="DG23" s="142">
        <f t="shared" ca="1" si="40"/>
        <v>0.41031627667780923</v>
      </c>
      <c r="DI23" s="128">
        <f t="shared" si="41"/>
        <v>2148</v>
      </c>
      <c r="DJ23" s="90">
        <f t="shared" si="42"/>
        <v>2003</v>
      </c>
      <c r="DK23" s="90">
        <f t="shared" si="43"/>
        <v>1700</v>
      </c>
      <c r="DL23" s="90">
        <f t="shared" ca="1" si="44"/>
        <v>1362.875</v>
      </c>
      <c r="DM23" s="90">
        <f t="shared" ca="1" si="45"/>
        <v>7213.875</v>
      </c>
      <c r="DN23" s="142">
        <f t="shared" ca="1" si="46"/>
        <v>0.297759525913604</v>
      </c>
      <c r="DO23" s="142">
        <f t="shared" ca="1" si="46"/>
        <v>0.27765937169690352</v>
      </c>
      <c r="DP23" s="142">
        <f t="shared" ca="1" si="46"/>
        <v>0.2356569804716605</v>
      </c>
      <c r="DQ23" s="142">
        <f t="shared" ca="1" si="46"/>
        <v>0.18892412191783195</v>
      </c>
      <c r="DS23" s="128">
        <f t="shared" ca="1" si="47"/>
        <v>46209</v>
      </c>
      <c r="DT23" s="90">
        <f t="shared" ca="1" si="48"/>
        <v>24306.25</v>
      </c>
      <c r="DU23" s="90">
        <f t="shared" ca="1" si="49"/>
        <v>7213.875</v>
      </c>
      <c r="DV23" s="90">
        <f t="shared" si="50"/>
        <v>224</v>
      </c>
      <c r="DW23" s="90">
        <f ca="1">_xlfn.IFNA(INDEX(武器升级消耗!$H:$H,MATCH(玩家节奏2!DS23/玩家节奏2!DS$5,武器升级消耗!M:M,1)),0)</f>
        <v>21</v>
      </c>
      <c r="DX23" s="90">
        <f ca="1">_xlfn.IFNA(INDEX(武器升级消耗!$H:$H,MATCH(玩家节奏2!DT23/玩家节奏2!DT$5,武器升级消耗!N:N,1)),0)</f>
        <v>18</v>
      </c>
      <c r="DY23" s="90">
        <f ca="1">_xlfn.IFNA(INDEX(武器升级消耗!$H:$H,MATCH(玩家节奏2!DU23/玩家节奏2!DU$5,武器升级消耗!O:O,1)),0)</f>
        <v>12</v>
      </c>
      <c r="DZ23" s="90">
        <f>_xlfn.IFNA(INDEX(武器升级消耗!$H:$H,MATCH(玩家节奏2!DV23/玩家节奏2!DV$5,武器升级消耗!P:P,1)),0)</f>
        <v>11</v>
      </c>
      <c r="EA23" s="90">
        <f ca="1">_xlfn.IFNA(INDEX(武器升级消耗!$Q:$Q,MATCH(玩家节奏2!DW23,武器升级消耗!$H:$H,0))*2*EA$4,0)</f>
        <v>3</v>
      </c>
      <c r="EB23" s="90">
        <f ca="1">_xlfn.IFNA(INDEX(武器升级消耗!$Q:$Q,MATCH(玩家节奏2!DX23,武器升级消耗!$H:$H,0))*2*EB$4,0)</f>
        <v>3.3000000000000003</v>
      </c>
      <c r="EC23" s="90">
        <f ca="1">_xlfn.IFNA(INDEX(武器升级消耗!$Q:$Q,MATCH(玩家节奏2!DY23,武器升级消耗!$H:$H,0))*2*EC$4,0)</f>
        <v>3.5200000000000005</v>
      </c>
      <c r="ED23" s="90">
        <f>_xlfn.IFNA(INDEX(武器升级消耗!$Q:$Q,MATCH(玩家节奏2!DZ23,武器升级消耗!$H:$H,0))*2*ED$4,0)</f>
        <v>4.5</v>
      </c>
      <c r="EF23" s="128">
        <f t="shared" si="14"/>
        <v>0</v>
      </c>
      <c r="EG23" s="90">
        <f t="shared" si="15"/>
        <v>0</v>
      </c>
      <c r="EH23" s="90">
        <v>51</v>
      </c>
      <c r="EI23" s="90">
        <v>51</v>
      </c>
      <c r="EJ23" s="90">
        <f>_xlfn.IFNA(INDEX(皮肤宠物!$J$4:$J$13,MATCH(EF23+EH23,皮肤宠物!$L$4:$L$13,1)),0)</f>
        <v>3</v>
      </c>
      <c r="EK23" s="90">
        <f>_xlfn.IFNA(INDEX(皮肤宠物!$J$4:$J$13,MATCH(EG23+EI23,皮肤宠物!$L$4:$L$13,1)),0)</f>
        <v>3</v>
      </c>
      <c r="EL23" s="90">
        <f>_xlfn.IFNA(INDEX(皮肤宠物!$N$4:$N$13,MATCH(EF23+EH23,皮肤宠物!$L$4:$L$13,1)),1)</f>
        <v>1.4300000000000002</v>
      </c>
      <c r="EM23" s="90">
        <f>_xlfn.IFNA(INDEX(皮肤宠物!$N$4:$N$13,MATCH(EG23+EI23,皮肤宠物!$L$4:$L$13,1)),1)</f>
        <v>1.4300000000000002</v>
      </c>
      <c r="EO23" s="128">
        <v>51</v>
      </c>
      <c r="EP23" s="90">
        <v>17</v>
      </c>
      <c r="EQ23" s="90">
        <f t="shared" ca="1" si="51"/>
        <v>16675</v>
      </c>
      <c r="ER23" s="90">
        <f t="shared" si="16"/>
        <v>0</v>
      </c>
      <c r="ES23" s="90">
        <f t="shared" ca="1" si="52"/>
        <v>183.75</v>
      </c>
      <c r="ET23" s="90">
        <f ca="1">$ES23*ET$5*皮肤宠物!$J$75/4</f>
        <v>606.55875000000003</v>
      </c>
      <c r="EU23" s="90">
        <f ca="1">$ES23*EU$5*皮肤宠物!$J$76/4</f>
        <v>101.24625</v>
      </c>
      <c r="EV23" s="90">
        <f ca="1">$ES23*EV$5*皮肤宠物!$J$77/4</f>
        <v>27.424687500000001</v>
      </c>
      <c r="EW23" s="90">
        <f ca="1">_xlfn.IFNA(INDEX(皮肤宠物!$H$18:$H$67,MATCH(ET23,皮肤宠物!L$18:L$67,1)),0)</f>
        <v>8</v>
      </c>
      <c r="EX23" s="90">
        <f ca="1">_xlfn.IFNA(INDEX(皮肤宠物!$H$18:$H$67,MATCH(EU23,皮肤宠物!M$18:M$67,1)),0)</f>
        <v>6</v>
      </c>
      <c r="EY23" s="90">
        <f ca="1">_xlfn.IFNA(INDEX(皮肤宠物!$H$18:$H$67,MATCH(EV23,皮肤宠物!N$18:N$67,1)),0)</f>
        <v>4</v>
      </c>
      <c r="EZ23" s="90">
        <f ca="1">_xlfn.IFNA(INDEX(皮肤宠物!C$18:C$67,MATCH(EW23,皮肤宠物!$A$18:$A$67,0))+1,1)</f>
        <v>1.08</v>
      </c>
      <c r="FA23" s="90">
        <f ca="1">_xlfn.IFNA(INDEX(皮肤宠物!D$18:D$67,MATCH(EX23,皮肤宠物!$A$18:$A$67,0))+1,1)</f>
        <v>1.1200000000000001</v>
      </c>
      <c r="FB23" s="90">
        <f ca="1">_xlfn.IFNA(INDEX(皮肤宠物!E$18:E$67,MATCH(EY23,皮肤宠物!$A$18:$A$67,0))+1,1)</f>
        <v>1.1599999999999999</v>
      </c>
      <c r="FD23" s="90">
        <f t="shared" ca="1" si="53"/>
        <v>3.5200000000000005</v>
      </c>
      <c r="FE23" s="90">
        <f t="shared" si="54"/>
        <v>1.4300000000000002</v>
      </c>
      <c r="FF23" s="90">
        <f t="shared" ca="1" si="55"/>
        <v>1.1599999999999999</v>
      </c>
      <c r="FG23" s="90">
        <f t="shared" ca="1" si="56"/>
        <v>5.8389760000000006</v>
      </c>
    </row>
    <row r="24" spans="1:163" x14ac:dyDescent="0.25">
      <c r="A24" s="123">
        <v>18</v>
      </c>
      <c r="B24" s="123">
        <f>INDEX(关卡对比!$Y:$Y,MATCH(关卡对比!Z24,关卡对比!$AA:$AA,1))</f>
        <v>14</v>
      </c>
      <c r="C24" s="124">
        <f>INDEX(关卡对比!$Y:$Y,MATCH(关卡对比!Z24,关卡对比!$AB:$AB,1))</f>
        <v>10</v>
      </c>
      <c r="D24" s="125">
        <f t="shared" ref="D24:D87" si="63">A24*E24+B24*E24+C24*E24-4.5-10-16</f>
        <v>53.5</v>
      </c>
      <c r="E24" s="125">
        <v>2</v>
      </c>
      <c r="F24" s="128">
        <v>25</v>
      </c>
      <c r="G24" s="90">
        <v>0</v>
      </c>
      <c r="H24" s="90">
        <v>5</v>
      </c>
      <c r="J24" s="128">
        <v>18</v>
      </c>
      <c r="K24" s="90">
        <f t="shared" si="17"/>
        <v>16</v>
      </c>
      <c r="L24" s="90">
        <f t="shared" si="18"/>
        <v>16</v>
      </c>
      <c r="M24" s="90">
        <f t="shared" si="19"/>
        <v>5</v>
      </c>
      <c r="N24" s="140">
        <f>INDEX($A:$A,MATCH(SUM($K$7:K24),$D:$D,1))</f>
        <v>74</v>
      </c>
      <c r="O24" s="140">
        <v>0</v>
      </c>
      <c r="P24" s="141">
        <v>0</v>
      </c>
      <c r="Q24" s="126">
        <f>_xlfn.MAXIFS(关卡产出!X:X,关卡产出!$A:$A,玩家节奏2!$N$6,关卡产出!$B:$B,玩家节奏2!$N24)+_xlfn.MAXIFS(关卡产出!X:X,关卡产出!$A:$A,玩家节奏2!$O$6,关卡产出!$B:$B,玩家节奏2!$O24)+_xlfn.MAXIFS(关卡产出!X:X,关卡产出!$A:$A,玩家节奏2!$P$6,关卡产出!$B:$B,玩家节奏2!$P24)</f>
        <v>13300</v>
      </c>
      <c r="R24" s="90">
        <f>_xlfn.MAXIFS(关卡产出!Y:Y,关卡产出!$A:$A,玩家节奏2!$N$6,关卡产出!$B:$B,玩家节奏2!$N24)+_xlfn.MAXIFS(关卡产出!Y:Y,关卡产出!$A:$A,玩家节奏2!$O$6,关卡产出!$B:$B,玩家节奏2!$O24)+_xlfn.MAXIFS(关卡产出!Y:Y,关卡产出!$A:$A,玩家节奏2!$P$6,关卡产出!$B:$B,玩家节奏2!$P24)</f>
        <v>1504800</v>
      </c>
      <c r="S24" s="90">
        <f>_xlfn.MAXIFS(关卡产出!Z:Z,关卡产出!$A:$A,玩家节奏2!$N$6,关卡产出!$B:$B,玩家节奏2!$N24)+_xlfn.MAXIFS(关卡产出!Z:Z,关卡产出!$A:$A,玩家节奏2!$O$6,关卡产出!$B:$B,玩家节奏2!$O24)+_xlfn.MAXIFS(关卡产出!Z:Z,关卡产出!$A:$A,玩家节奏2!$P$6,关卡产出!$B:$B,玩家节奏2!$P24)</f>
        <v>10574</v>
      </c>
      <c r="T24" s="90">
        <f>_xlfn.MAXIFS(关卡产出!AA:AA,关卡产出!$A:$A,玩家节奏2!$N$6,关卡产出!$B:$B,玩家节奏2!$N24)+_xlfn.MAXIFS(关卡产出!AA:AA,关卡产出!$A:$A,玩家节奏2!$O$6,关卡产出!$B:$B,玩家节奏2!$O24)+_xlfn.MAXIFS(关卡产出!AA:AA,关卡产出!$A:$A,玩家节奏2!$P$6,关卡产出!$B:$B,玩家节奏2!$P24)</f>
        <v>5288</v>
      </c>
      <c r="U24" s="90">
        <f>_xlfn.MAXIFS(关卡产出!AB:AB,关卡产出!$A:$A,玩家节奏2!$N$6,关卡产出!$B:$B,玩家节奏2!$N24)+_xlfn.MAXIFS(关卡产出!AB:AB,关卡产出!$A:$A,玩家节奏2!$O$6,关卡产出!$B:$B,玩家节奏2!$O24)+_xlfn.MAXIFS(关卡产出!AB:AB,关卡产出!$A:$A,玩家节奏2!$P$6,关卡产出!$B:$B,玩家节奏2!$P24)</f>
        <v>2418</v>
      </c>
      <c r="V24" s="130">
        <f>_xlfn.MAXIFS(关卡产出!AC:AC,关卡产出!$A:$A,玩家节奏2!$N$6,关卡产出!$B:$B,玩家节奏2!$N24)+_xlfn.MAXIFS(关卡产出!AC:AC,关卡产出!$A:$A,玩家节奏2!$O$6,关卡产出!$B:$B,玩家节奏2!$O24)+_xlfn.MAXIFS(关卡产出!AC:AC,关卡产出!$A:$A,玩家节奏2!$P$6,关卡产出!$B:$B,玩家节奏2!$P24)</f>
        <v>444</v>
      </c>
      <c r="W24" s="126">
        <f>INDEX(关卡产出!C$8:C$207,MATCH(玩家节奏2!$N24,关卡产出!$B$8:$B$207,0))*$K24</f>
        <v>928</v>
      </c>
      <c r="X24" s="126">
        <f>INDEX(关卡产出!D$8:D$207,MATCH(玩家节奏2!$N24,关卡产出!$B$8:$B$207,0))*$K24</f>
        <v>464</v>
      </c>
      <c r="Y24" s="126">
        <f>INDEX(关卡产出!E$8:E$207,MATCH(玩家节奏2!$N24,关卡产出!$B$8:$B$207,0))*$K24</f>
        <v>224</v>
      </c>
      <c r="Z24" s="144">
        <f>INDEX(关卡产出!F$8:F$207,MATCH(玩家节奏2!$N24,关卡产出!$B$8:$B$207,0))*$K24</f>
        <v>12640</v>
      </c>
      <c r="AA24" s="126">
        <f>SUM(W$7:W24)</f>
        <v>9742</v>
      </c>
      <c r="AB24" s="126">
        <f>SUM(X$7:X24)</f>
        <v>4803</v>
      </c>
      <c r="AC24" s="126">
        <f>SUM(Y$7:Y24)</f>
        <v>2227</v>
      </c>
      <c r="AD24" s="177">
        <f>SUM(Z$7:Z24)</f>
        <v>144250</v>
      </c>
      <c r="AE24" s="128">
        <f>INDEX(图鉴!AQ:AQ,MATCH($N24,图鉴!$S:$S,0))*34</f>
        <v>714</v>
      </c>
      <c r="AF24" s="90">
        <f>INDEX(图鉴!AR:AR,MATCH($N24,图鉴!$S:$S,0))*34</f>
        <v>476</v>
      </c>
      <c r="AG24" s="90">
        <f>INDEX(图鉴!AS:AS,MATCH($N24,图鉴!$S:$S,0))*34</f>
        <v>170</v>
      </c>
      <c r="AH24" s="129">
        <f ca="1">INDEX(图鉴!AT:AT,MATCH($N24,图鉴!$S:$S,0))*34</f>
        <v>34510</v>
      </c>
      <c r="AI24" s="128">
        <f>SUM($AE$7:AE24)</f>
        <v>10948</v>
      </c>
      <c r="AJ24" s="90">
        <f>SUM(AF$7:AF24)</f>
        <v>5746</v>
      </c>
      <c r="AK24" s="90">
        <f>SUM(AG$7:AG24)</f>
        <v>1870</v>
      </c>
      <c r="AL24" s="130">
        <f ca="1">SUM(AH$7:AH24)</f>
        <v>429896</v>
      </c>
      <c r="AM24" s="133">
        <f>IF(M24=0,0,INDEX(关卡产出!$AU$11:$AU$15,MATCH(玩家节奏2!N24,关卡产出!$AW$11:$AW$15,1))*M24)</f>
        <v>61000</v>
      </c>
      <c r="AN24" s="126">
        <f>IF(L24=0,0,$L24*关卡产出!AU$21)</f>
        <v>16000</v>
      </c>
      <c r="AO24" s="90">
        <f>IF(M24=0,0,$L24*关卡产出!AV$21)</f>
        <v>800</v>
      </c>
      <c r="AP24" s="129">
        <f>IF(N24=0,0,$L24*关卡产出!AW$21)</f>
        <v>16</v>
      </c>
      <c r="AQ24" s="138">
        <f>SUM(AN$7:AN24)</f>
        <v>240000</v>
      </c>
      <c r="AR24" s="126">
        <f>SUM(AO$7:AO24)</f>
        <v>12000</v>
      </c>
      <c r="AS24" s="129">
        <f>SUM(AP$7:AP24)</f>
        <v>240</v>
      </c>
      <c r="AT24" s="128">
        <v>3000</v>
      </c>
      <c r="AU24" s="129">
        <v>600</v>
      </c>
      <c r="AV24" s="128">
        <f>SUM(AT$7:AT24)</f>
        <v>54000</v>
      </c>
      <c r="AW24" s="90">
        <f>SUM(AU$7:AU24)</f>
        <v>10800</v>
      </c>
      <c r="AY24" s="128">
        <f t="shared" si="20"/>
        <v>13300</v>
      </c>
      <c r="AZ24" s="90">
        <f t="shared" si="21"/>
        <v>12000</v>
      </c>
      <c r="BA24" s="90">
        <f t="shared" si="22"/>
        <v>10800</v>
      </c>
      <c r="BB24" s="90">
        <f t="shared" ca="1" si="57"/>
        <v>4450</v>
      </c>
      <c r="BC24" s="90">
        <f t="shared" ca="1" si="60"/>
        <v>22450</v>
      </c>
      <c r="BD24" s="90">
        <f t="shared" ca="1" si="61"/>
        <v>18100</v>
      </c>
      <c r="BE24" s="90">
        <f t="shared" ca="1" si="24"/>
        <v>40550</v>
      </c>
      <c r="BF24" s="142">
        <f t="shared" ca="1" si="0"/>
        <v>0.59242761692650336</v>
      </c>
      <c r="BG24" s="142">
        <f t="shared" ca="1" si="1"/>
        <v>0.534521158129176</v>
      </c>
      <c r="BH24" s="142">
        <f t="shared" ca="1" si="2"/>
        <v>0.48106904231625836</v>
      </c>
      <c r="BI24" s="142">
        <f t="shared" ca="1" si="3"/>
        <v>0.19821826280623608</v>
      </c>
      <c r="BJ24" s="143"/>
      <c r="BK24" s="128">
        <f ca="1">INDEX(商城宝箱!$L:$L,MATCH(BC24,商城宝箱!$N:$N,1))</f>
        <v>6</v>
      </c>
      <c r="BL24" s="90">
        <f ca="1">_xlfn.IFNA(INDEX(商城宝箱!T:T,MATCH(玩家节奏2!$BK24,商城宝箱!$L:$L,0)),0)+($BC24-INDEX(商城宝箱!$N:$N,MATCH(玩家节奏2!$BK24,商城宝箱!$L:$L,0)))/$BK$5*INDEX(商城宝箱!E$23:E$42,MATCH(玩家节奏2!$BK24+1,商城宝箱!$C$23:$C$42,0))</f>
        <v>56125</v>
      </c>
      <c r="BM24" s="90">
        <f ca="1">_xlfn.IFNA(INDEX(商城宝箱!U:U,MATCH(玩家节奏2!$BK24,商城宝箱!$L:$L,0)),0)+($BC24-INDEX(商城宝箱!$N:$N,MATCH(玩家节奏2!$BK24,商城宝箱!$L:$L,0)))/$BK$5*INDEX(商城宝箱!F$23:F$42,MATCH(玩家节奏2!$BK24+1,商城宝箱!$C$23:$C$42,0))</f>
        <v>19567.5</v>
      </c>
      <c r="BN24" s="90">
        <f ca="1">_xlfn.IFNA(INDEX(商城宝箱!V:V,MATCH(玩家节奏2!$BK24,商城宝箱!$L:$L,0)),0)+($BC24-INDEX(商城宝箱!$N:$N,MATCH(玩家节奏2!$BK24,商城宝箱!$L:$L,0)))/$BK$5*INDEX(商城宝箱!G$23:G$42,MATCH(玩家节奏2!$BK24+1,商城宝箱!$C$23:$C$42,0))</f>
        <v>11184.5</v>
      </c>
      <c r="BO24" s="90">
        <f ca="1">_xlfn.IFNA(INDEX(商城宝箱!W:W,MATCH(玩家节奏2!$BK24,商城宝箱!$L:$L,0)),0)+($BC24-INDEX(商城宝箱!$N:$N,MATCH(玩家节奏2!$BK24,商城宝箱!$L:$L,0)))/$BK$5*INDEX(商城宝箱!H$23:H$42,MATCH(玩家节奏2!$BK24+1,商城宝箱!$C$23:$C$42,0))</f>
        <v>1526.75</v>
      </c>
      <c r="BQ24" s="128">
        <f t="shared" si="4"/>
        <v>1504800</v>
      </c>
      <c r="BR24" s="90">
        <f t="shared" si="5"/>
        <v>144250</v>
      </c>
      <c r="BS24" s="90">
        <f t="shared" ca="1" si="6"/>
        <v>429896</v>
      </c>
      <c r="BT24" s="90">
        <f t="shared" si="7"/>
        <v>61000</v>
      </c>
      <c r="BU24" s="90">
        <f t="shared" si="8"/>
        <v>240000</v>
      </c>
      <c r="BV24" s="90">
        <f t="shared" si="9"/>
        <v>54000</v>
      </c>
      <c r="BW24" s="90">
        <f t="shared" ca="1" si="25"/>
        <v>56125</v>
      </c>
      <c r="BX24" s="90">
        <f t="shared" ca="1" si="26"/>
        <v>2490071</v>
      </c>
      <c r="BY24" s="142">
        <f t="shared" ca="1" si="27"/>
        <v>0.60432011777977412</v>
      </c>
      <c r="BZ24" s="142">
        <f t="shared" ca="1" si="27"/>
        <v>5.7930075086212403E-2</v>
      </c>
      <c r="CA24" s="142">
        <f t="shared" ca="1" si="27"/>
        <v>0.1726440732011256</v>
      </c>
      <c r="CB24" s="142">
        <f t="shared" ca="1" si="27"/>
        <v>2.4497293450668676E-2</v>
      </c>
      <c r="CC24" s="142">
        <f t="shared" ca="1" si="27"/>
        <v>9.6382793904270195E-2</v>
      </c>
      <c r="CD24" s="142">
        <f t="shared" ca="1" si="27"/>
        <v>2.1686128628460796E-2</v>
      </c>
      <c r="CE24" s="142">
        <f t="shared" ca="1" si="27"/>
        <v>2.2539517949488188E-2</v>
      </c>
      <c r="CG24" s="128">
        <f t="shared" si="28"/>
        <v>74</v>
      </c>
      <c r="CH24" s="90">
        <f ca="1">INDEX(角色升级!$A:$A,MATCH(玩家节奏2!$BX24,角色升级!$J:$J,1))</f>
        <v>453</v>
      </c>
      <c r="CI24" s="90">
        <f ca="1">INDEX(角色升级!$O:$O,MATCH(玩家节奏2!$BX24,角色升级!$J:$J,1))</f>
        <v>15333.73821</v>
      </c>
      <c r="CJ24" s="90">
        <f>INDEX(关卡对比!$J:$J,MATCH(玩家节奏2!N24,关卡对比!$A:$A,0))</f>
        <v>23200</v>
      </c>
      <c r="CK24" s="147">
        <f t="shared" ca="1" si="29"/>
        <v>1.5130035274027285</v>
      </c>
      <c r="CL24" s="128">
        <f ca="1">INDEX(角色升级!$P:$P,MATCH(玩家节奏2!$CH24,角色升级!$A:$A,0))</f>
        <v>4450</v>
      </c>
      <c r="CM24" s="90">
        <f ca="1">INDEX(角色升级!Q:Q,MATCH(玩家节奏2!$CH24,角色升级!$A:$A,0))</f>
        <v>0.7</v>
      </c>
      <c r="CO24" s="128">
        <f t="shared" si="30"/>
        <v>10574</v>
      </c>
      <c r="CP24" s="90">
        <f t="shared" si="31"/>
        <v>9742</v>
      </c>
      <c r="CQ24" s="90">
        <f t="shared" si="32"/>
        <v>10948</v>
      </c>
      <c r="CR24" s="90">
        <f t="shared" ca="1" si="33"/>
        <v>19567.5</v>
      </c>
      <c r="CS24" s="90">
        <f t="shared" ca="1" si="34"/>
        <v>50831.5</v>
      </c>
      <c r="CT24" s="142">
        <f t="shared" ca="1" si="35"/>
        <v>0.2080206171370115</v>
      </c>
      <c r="CU24" s="142">
        <f t="shared" ca="1" si="35"/>
        <v>0.19165281370803539</v>
      </c>
      <c r="CV24" s="142">
        <f t="shared" ca="1" si="35"/>
        <v>0.21537825954378684</v>
      </c>
      <c r="CW24" s="142">
        <f t="shared" ca="1" si="35"/>
        <v>0.38494830961116633</v>
      </c>
      <c r="CY24" s="128">
        <f t="shared" si="36"/>
        <v>5288</v>
      </c>
      <c r="CZ24" s="90">
        <f t="shared" si="37"/>
        <v>4803</v>
      </c>
      <c r="DA24" s="90">
        <f t="shared" si="38"/>
        <v>5746</v>
      </c>
      <c r="DB24" s="90">
        <f t="shared" ca="1" si="58"/>
        <v>11184.5</v>
      </c>
      <c r="DC24" s="90">
        <f t="shared" ca="1" si="39"/>
        <v>27021.5</v>
      </c>
      <c r="DD24" s="142">
        <f t="shared" ca="1" si="40"/>
        <v>0.19569601983605647</v>
      </c>
      <c r="DE24" s="142">
        <f t="shared" ca="1" si="40"/>
        <v>0.17774734933293859</v>
      </c>
      <c r="DF24" s="142">
        <f t="shared" ca="1" si="40"/>
        <v>0.21264548600188737</v>
      </c>
      <c r="DG24" s="142">
        <f t="shared" ca="1" si="40"/>
        <v>0.41391114482911756</v>
      </c>
      <c r="DI24" s="128">
        <f t="shared" si="41"/>
        <v>2418</v>
      </c>
      <c r="DJ24" s="90">
        <f t="shared" si="42"/>
        <v>2227</v>
      </c>
      <c r="DK24" s="90">
        <f t="shared" si="43"/>
        <v>1870</v>
      </c>
      <c r="DL24" s="90">
        <f t="shared" ca="1" si="44"/>
        <v>1526.75</v>
      </c>
      <c r="DM24" s="90">
        <f t="shared" ca="1" si="45"/>
        <v>8041.75</v>
      </c>
      <c r="DN24" s="142">
        <f t="shared" ca="1" si="46"/>
        <v>0.3006808219603942</v>
      </c>
      <c r="DO24" s="142">
        <f t="shared" ca="1" si="46"/>
        <v>0.27692977274846892</v>
      </c>
      <c r="DP24" s="142">
        <f t="shared" ca="1" si="46"/>
        <v>0.23253645039947773</v>
      </c>
      <c r="DQ24" s="142">
        <f t="shared" ca="1" si="46"/>
        <v>0.18985295489165915</v>
      </c>
      <c r="DS24" s="128">
        <f t="shared" ca="1" si="47"/>
        <v>50831.5</v>
      </c>
      <c r="DT24" s="90">
        <f t="shared" ca="1" si="48"/>
        <v>27021.5</v>
      </c>
      <c r="DU24" s="90">
        <f t="shared" ca="1" si="49"/>
        <v>8041.75</v>
      </c>
      <c r="DV24" s="90">
        <f t="shared" si="50"/>
        <v>240</v>
      </c>
      <c r="DW24" s="90">
        <f ca="1">_xlfn.IFNA(INDEX(武器升级消耗!$H:$H,MATCH(玩家节奏2!DS24/玩家节奏2!DS$5,武器升级消耗!M:M,1)),0)</f>
        <v>21</v>
      </c>
      <c r="DX24" s="90">
        <f ca="1">_xlfn.IFNA(INDEX(武器升级消耗!$H:$H,MATCH(玩家节奏2!DT24/玩家节奏2!DT$5,武器升级消耗!N:N,1)),0)</f>
        <v>18</v>
      </c>
      <c r="DY24" s="90">
        <f ca="1">_xlfn.IFNA(INDEX(武器升级消耗!$H:$H,MATCH(玩家节奏2!DU24/玩家节奏2!DU$5,武器升级消耗!O:O,1)),0)</f>
        <v>13</v>
      </c>
      <c r="DZ24" s="90">
        <f>_xlfn.IFNA(INDEX(武器升级消耗!$H:$H,MATCH(玩家节奏2!DV24/玩家节奏2!DV$5,武器升级消耗!P:P,1)),0)</f>
        <v>11</v>
      </c>
      <c r="EA24" s="90">
        <f ca="1">_xlfn.IFNA(INDEX(武器升级消耗!$Q:$Q,MATCH(玩家节奏2!DW24,武器升级消耗!$H:$H,0))*2*EA$4,0)</f>
        <v>3</v>
      </c>
      <c r="EB24" s="90">
        <f ca="1">_xlfn.IFNA(INDEX(武器升级消耗!$Q:$Q,MATCH(玩家节奏2!DX24,武器升级消耗!$H:$H,0))*2*EB$4,0)</f>
        <v>3.3000000000000003</v>
      </c>
      <c r="EC24" s="90">
        <f ca="1">_xlfn.IFNA(INDEX(武器升级消耗!$Q:$Q,MATCH(玩家节奏2!DY24,武器升级消耗!$H:$H,0))*2*EC$4,0)</f>
        <v>3.74</v>
      </c>
      <c r="ED24" s="90">
        <f>_xlfn.IFNA(INDEX(武器升级消耗!$Q:$Q,MATCH(玩家节奏2!DZ24,武器升级消耗!$H:$H,0))*2*ED$4,0)</f>
        <v>4.5</v>
      </c>
      <c r="EF24" s="128">
        <f t="shared" si="14"/>
        <v>0</v>
      </c>
      <c r="EG24" s="90">
        <f t="shared" si="15"/>
        <v>0</v>
      </c>
      <c r="EH24" s="90">
        <v>54</v>
      </c>
      <c r="EI24" s="90">
        <v>54</v>
      </c>
      <c r="EJ24" s="90">
        <f>_xlfn.IFNA(INDEX(皮肤宠物!$J$4:$J$13,MATCH(EF24+EH24,皮肤宠物!$L$4:$L$13,1)),0)</f>
        <v>3</v>
      </c>
      <c r="EK24" s="90">
        <f>_xlfn.IFNA(INDEX(皮肤宠物!$J$4:$J$13,MATCH(EG24+EI24,皮肤宠物!$L$4:$L$13,1)),0)</f>
        <v>3</v>
      </c>
      <c r="EL24" s="90">
        <f>_xlfn.IFNA(INDEX(皮肤宠物!$N$4:$N$13,MATCH(EF24+EH24,皮肤宠物!$L$4:$L$13,1)),1)</f>
        <v>1.4300000000000002</v>
      </c>
      <c r="EM24" s="90">
        <f>_xlfn.IFNA(INDEX(皮肤宠物!$N$4:$N$13,MATCH(EG24+EI24,皮肤宠物!$L$4:$L$13,1)),1)</f>
        <v>1.4300000000000002</v>
      </c>
      <c r="EO24" s="128">
        <v>54</v>
      </c>
      <c r="EP24" s="90">
        <v>18</v>
      </c>
      <c r="EQ24" s="90">
        <f t="shared" ca="1" si="51"/>
        <v>18100</v>
      </c>
      <c r="ER24" s="90">
        <f t="shared" si="16"/>
        <v>0</v>
      </c>
      <c r="ES24" s="90">
        <f t="shared" ca="1" si="52"/>
        <v>199</v>
      </c>
      <c r="ET24" s="90">
        <f ca="1">$ES24*ET$5*皮肤宠物!$J$75/4</f>
        <v>656.899</v>
      </c>
      <c r="EU24" s="90">
        <f ca="1">$ES24*EU$5*皮肤宠物!$J$76/4</f>
        <v>109.649</v>
      </c>
      <c r="EV24" s="90">
        <f ca="1">$ES24*EV$5*皮肤宠物!$J$77/4</f>
        <v>29.700750000000003</v>
      </c>
      <c r="EW24" s="90">
        <f ca="1">_xlfn.IFNA(INDEX(皮肤宠物!$H$18:$H$67,MATCH(ET24,皮肤宠物!L$18:L$67,1)),0)</f>
        <v>8</v>
      </c>
      <c r="EX24" s="90">
        <f ca="1">_xlfn.IFNA(INDEX(皮肤宠物!$H$18:$H$67,MATCH(EU24,皮肤宠物!M$18:M$67,1)),0)</f>
        <v>6</v>
      </c>
      <c r="EY24" s="90">
        <f ca="1">_xlfn.IFNA(INDEX(皮肤宠物!$H$18:$H$67,MATCH(EV24,皮肤宠物!N$18:N$67,1)),0)</f>
        <v>4</v>
      </c>
      <c r="EZ24" s="90">
        <f ca="1">_xlfn.IFNA(INDEX(皮肤宠物!C$18:C$67,MATCH(EW24,皮肤宠物!$A$18:$A$67,0))+1,1)</f>
        <v>1.08</v>
      </c>
      <c r="FA24" s="90">
        <f ca="1">_xlfn.IFNA(INDEX(皮肤宠物!D$18:D$67,MATCH(EX24,皮肤宠物!$A$18:$A$67,0))+1,1)</f>
        <v>1.1200000000000001</v>
      </c>
      <c r="FB24" s="90">
        <f ca="1">_xlfn.IFNA(INDEX(皮肤宠物!E$18:E$67,MATCH(EY24,皮肤宠物!$A$18:$A$67,0))+1,1)</f>
        <v>1.1599999999999999</v>
      </c>
      <c r="FD24" s="90">
        <f t="shared" ca="1" si="53"/>
        <v>3.74</v>
      </c>
      <c r="FE24" s="90">
        <f t="shared" si="54"/>
        <v>1.4300000000000002</v>
      </c>
      <c r="FF24" s="90">
        <f t="shared" ca="1" si="55"/>
        <v>1.1599999999999999</v>
      </c>
      <c r="FG24" s="90">
        <f t="shared" ca="1" si="56"/>
        <v>6.2039120000000008</v>
      </c>
    </row>
    <row r="25" spans="1:163" x14ac:dyDescent="0.25">
      <c r="A25" s="123">
        <v>19</v>
      </c>
      <c r="B25" s="123">
        <f>INDEX(关卡对比!$Y:$Y,MATCH(关卡对比!Z25,关卡对比!$AA:$AA,1))</f>
        <v>14</v>
      </c>
      <c r="C25" s="124">
        <f>INDEX(关卡对比!$Y:$Y,MATCH(关卡对比!Z25,关卡对比!$AB:$AB,1))</f>
        <v>10</v>
      </c>
      <c r="D25" s="125">
        <f t="shared" si="63"/>
        <v>55.5</v>
      </c>
      <c r="E25" s="125">
        <v>2</v>
      </c>
      <c r="F25" s="128">
        <v>25</v>
      </c>
      <c r="G25" s="90">
        <v>0</v>
      </c>
      <c r="H25" s="90">
        <v>5</v>
      </c>
      <c r="J25" s="128">
        <v>19</v>
      </c>
      <c r="K25" s="90">
        <f t="shared" si="17"/>
        <v>16</v>
      </c>
      <c r="L25" s="90">
        <f t="shared" si="18"/>
        <v>16</v>
      </c>
      <c r="M25" s="90">
        <f t="shared" si="19"/>
        <v>5</v>
      </c>
      <c r="N25" s="140">
        <f>INDEX($A:$A,MATCH(SUM($K$7:K25),$D:$D,1))</f>
        <v>78</v>
      </c>
      <c r="O25" s="140">
        <v>0</v>
      </c>
      <c r="P25" s="141">
        <v>0</v>
      </c>
      <c r="Q25" s="126">
        <f>_xlfn.MAXIFS(关卡产出!X:X,关卡产出!$A:$A,玩家节奏2!$N$6,关卡产出!$B:$B,玩家节奏2!$N25)+_xlfn.MAXIFS(关卡产出!X:X,关卡产出!$A:$A,玩家节奏2!$O$6,关卡产出!$B:$B,玩家节奏2!$O25)+_xlfn.MAXIFS(关卡产出!X:X,关卡产出!$A:$A,玩家节奏2!$P$6,关卡产出!$B:$B,玩家节奏2!$P25)</f>
        <v>14100</v>
      </c>
      <c r="R25" s="90">
        <f>_xlfn.MAXIFS(关卡产出!Y:Y,关卡产出!$A:$A,玩家节奏2!$N$6,关卡产出!$B:$B,玩家节奏2!$N25)+_xlfn.MAXIFS(关卡产出!Y:Y,关卡产出!$A:$A,玩家节奏2!$O$6,关卡产出!$B:$B,玩家节奏2!$O25)+_xlfn.MAXIFS(关卡产出!Y:Y,关卡产出!$A:$A,玩家节奏2!$P$6,关卡产出!$B:$B,玩家节奏2!$P25)</f>
        <v>1679200</v>
      </c>
      <c r="S25" s="90">
        <f>_xlfn.MAXIFS(关卡产出!Z:Z,关卡产出!$A:$A,玩家节奏2!$N$6,关卡产出!$B:$B,玩家节奏2!$N25)+_xlfn.MAXIFS(关卡产出!Z:Z,关卡产出!$A:$A,玩家节奏2!$O$6,关卡产出!$B:$B,玩家节奏2!$O25)+_xlfn.MAXIFS(关卡产出!Z:Z,关卡产出!$A:$A,玩家节奏2!$P$6,关卡产出!$B:$B,玩家节奏2!$P25)</f>
        <v>11766</v>
      </c>
      <c r="T25" s="90">
        <f>_xlfn.MAXIFS(关卡产出!AA:AA,关卡产出!$A:$A,玩家节奏2!$N$6,关卡产出!$B:$B,玩家节奏2!$N25)+_xlfn.MAXIFS(关卡产出!AA:AA,关卡产出!$A:$A,玩家节奏2!$O$6,关卡产出!$B:$B,玩家节奏2!$O25)+_xlfn.MAXIFS(关卡产出!AA:AA,关卡产出!$A:$A,玩家节奏2!$P$6,关卡产出!$B:$B,玩家节奏2!$P25)</f>
        <v>5884</v>
      </c>
      <c r="U25" s="90">
        <f>_xlfn.MAXIFS(关卡产出!AB:AB,关卡产出!$A:$A,玩家节奏2!$N$6,关卡产出!$B:$B,玩家节奏2!$N25)+_xlfn.MAXIFS(关卡产出!AB:AB,关卡产出!$A:$A,玩家节奏2!$O$6,关卡产出!$B:$B,玩家节奏2!$O25)+_xlfn.MAXIFS(关卡产出!AB:AB,关卡产出!$A:$A,玩家节奏2!$P$6,关卡产出!$B:$B,玩家节奏2!$P25)</f>
        <v>2704</v>
      </c>
      <c r="V25" s="130">
        <f>_xlfn.MAXIFS(关卡产出!AC:AC,关卡产出!$A:$A,玩家节奏2!$N$6,关卡产出!$B:$B,玩家节奏2!$N25)+_xlfn.MAXIFS(关卡产出!AC:AC,关卡产出!$A:$A,玩家节奏2!$O$6,关卡产出!$B:$B,玩家节奏2!$O25)+_xlfn.MAXIFS(关卡产出!AC:AC,关卡产出!$A:$A,玩家节奏2!$P$6,关卡产出!$B:$B,玩家节奏2!$P25)</f>
        <v>468</v>
      </c>
      <c r="W25" s="126">
        <f>INDEX(关卡产出!C$8:C$207,MATCH(玩家节奏2!$N25,关卡产出!$B$8:$B$207,0))*$K25</f>
        <v>976</v>
      </c>
      <c r="X25" s="126">
        <f>INDEX(关卡产出!D$8:D$207,MATCH(玩家节奏2!$N25,关卡产出!$B$8:$B$207,0))*$K25</f>
        <v>480</v>
      </c>
      <c r="Y25" s="126">
        <f>INDEX(关卡产出!E$8:E$207,MATCH(玩家节奏2!$N25,关卡产出!$B$8:$B$207,0))*$K25</f>
        <v>240</v>
      </c>
      <c r="Z25" s="144">
        <f>INDEX(关卡产出!F$8:F$207,MATCH(玩家节奏2!$N25,关卡产出!$B$8:$B$207,0))*$K25</f>
        <v>13280</v>
      </c>
      <c r="AA25" s="126">
        <f>SUM(W$7:W25)</f>
        <v>10718</v>
      </c>
      <c r="AB25" s="126">
        <f>SUM(X$7:X25)</f>
        <v>5283</v>
      </c>
      <c r="AC25" s="126">
        <f>SUM(Y$7:Y25)</f>
        <v>2467</v>
      </c>
      <c r="AD25" s="177">
        <f>SUM(Z$7:Z25)</f>
        <v>157530</v>
      </c>
      <c r="AE25" s="128">
        <f>INDEX(图鉴!AQ:AQ,MATCH($N25,图鉴!$S:$S,0))*34</f>
        <v>714</v>
      </c>
      <c r="AF25" s="90">
        <f>INDEX(图鉴!AR:AR,MATCH($N25,图鉴!$S:$S,0))*34</f>
        <v>476</v>
      </c>
      <c r="AG25" s="90">
        <f>INDEX(图鉴!AS:AS,MATCH($N25,图鉴!$S:$S,0))*34</f>
        <v>170</v>
      </c>
      <c r="AH25" s="129">
        <f ca="1">INDEX(图鉴!AT:AT,MATCH($N25,图鉴!$S:$S,0))*34</f>
        <v>35360</v>
      </c>
      <c r="AI25" s="128">
        <f>SUM($AE$7:AE25)</f>
        <v>11662</v>
      </c>
      <c r="AJ25" s="90">
        <f>SUM(AF$7:AF25)</f>
        <v>6222</v>
      </c>
      <c r="AK25" s="90">
        <f>SUM(AG$7:AG25)</f>
        <v>2040</v>
      </c>
      <c r="AL25" s="130">
        <f ca="1">SUM(AH$7:AH25)</f>
        <v>465256</v>
      </c>
      <c r="AM25" s="133">
        <f>IF(M25=0,0,INDEX(关卡产出!$AU$11:$AU$15,MATCH(玩家节奏2!N25,关卡产出!$AW$11:$AW$15,1))*M25)</f>
        <v>61000</v>
      </c>
      <c r="AN25" s="126">
        <f>IF(L25=0,0,$L25*关卡产出!AU$21)</f>
        <v>16000</v>
      </c>
      <c r="AO25" s="90">
        <f>IF(M25=0,0,$L25*关卡产出!AV$21)</f>
        <v>800</v>
      </c>
      <c r="AP25" s="129">
        <f>IF(N25=0,0,$L25*关卡产出!AW$21)</f>
        <v>16</v>
      </c>
      <c r="AQ25" s="138">
        <f>SUM(AN$7:AN25)</f>
        <v>256000</v>
      </c>
      <c r="AR25" s="126">
        <f>SUM(AO$7:AO25)</f>
        <v>12800</v>
      </c>
      <c r="AS25" s="129">
        <f>SUM(AP$7:AP25)</f>
        <v>256</v>
      </c>
      <c r="AT25" s="128">
        <v>3000</v>
      </c>
      <c r="AU25" s="129">
        <v>600</v>
      </c>
      <c r="AV25" s="128">
        <f>SUM(AT$7:AT25)</f>
        <v>57000</v>
      </c>
      <c r="AW25" s="90">
        <f>SUM(AU$7:AU25)</f>
        <v>11400</v>
      </c>
      <c r="AY25" s="128">
        <f t="shared" si="20"/>
        <v>14100</v>
      </c>
      <c r="AZ25" s="90">
        <f t="shared" si="21"/>
        <v>12800</v>
      </c>
      <c r="BA25" s="90">
        <f t="shared" si="22"/>
        <v>11400</v>
      </c>
      <c r="BB25" s="90">
        <f t="shared" ca="1" si="57"/>
        <v>4450</v>
      </c>
      <c r="BC25" s="90">
        <f t="shared" ca="1" si="60"/>
        <v>23550</v>
      </c>
      <c r="BD25" s="90">
        <f t="shared" ca="1" si="61"/>
        <v>19200</v>
      </c>
      <c r="BE25" s="90">
        <f t="shared" ca="1" si="24"/>
        <v>42750</v>
      </c>
      <c r="BF25" s="142">
        <f t="shared" ca="1" si="0"/>
        <v>0.59872611464968151</v>
      </c>
      <c r="BG25" s="142">
        <f t="shared" ca="1" si="1"/>
        <v>0.54352441613588109</v>
      </c>
      <c r="BH25" s="142">
        <f t="shared" ca="1" si="2"/>
        <v>0.48407643312101911</v>
      </c>
      <c r="BI25" s="142">
        <f t="shared" ca="1" si="3"/>
        <v>0.18895966029723993</v>
      </c>
      <c r="BJ25" s="143"/>
      <c r="BK25" s="128">
        <f ca="1">INDEX(商城宝箱!$L:$L,MATCH(BC25,商城宝箱!$N:$N,1))</f>
        <v>7</v>
      </c>
      <c r="BL25" s="90">
        <f ca="1">_xlfn.IFNA(INDEX(商城宝箱!T:T,MATCH(玩家节奏2!$BK25,商城宝箱!$L:$L,0)),0)+($BC25-INDEX(商城宝箱!$N:$N,MATCH(玩家节奏2!$BK25,商城宝箱!$L:$L,0)))/$BK$5*INDEX(商城宝箱!E$23:E$42,MATCH(玩家节奏2!$BK25+1,商城宝箱!$C$23:$C$42,0))</f>
        <v>58875</v>
      </c>
      <c r="BM25" s="90">
        <f ca="1">_xlfn.IFNA(INDEX(商城宝箱!U:U,MATCH(玩家节奏2!$BK25,商城宝箱!$L:$L,0)),0)+($BC25-INDEX(商城宝箱!$N:$N,MATCH(玩家节奏2!$BK25,商城宝箱!$L:$L,0)))/$BK$5*INDEX(商城宝箱!F$23:F$42,MATCH(玩家节奏2!$BK25+1,商城宝箱!$C$23:$C$42,0))</f>
        <v>21200</v>
      </c>
      <c r="BN25" s="90">
        <f ca="1">_xlfn.IFNA(INDEX(商城宝箱!V:V,MATCH(玩家节奏2!$BK25,商城宝箱!$L:$L,0)),0)+($BC25-INDEX(商城宝箱!$N:$N,MATCH(玩家节奏2!$BK25,商城宝箱!$L:$L,0)))/$BK$5*INDEX(商城宝箱!G$23:G$42,MATCH(玩家节奏2!$BK25+1,商城宝箱!$C$23:$C$42,0))</f>
        <v>12254.5</v>
      </c>
      <c r="BO25" s="90">
        <f ca="1">_xlfn.IFNA(INDEX(商城宝箱!W:W,MATCH(玩家节奏2!$BK25,商城宝箱!$L:$L,0)),0)+($BC25-INDEX(商城宝箱!$N:$N,MATCH(玩家节奏2!$BK25,商城宝箱!$L:$L,0)))/$BK$5*INDEX(商城宝箱!H$23:H$42,MATCH(玩家节奏2!$BK25+1,商城宝箱!$C$23:$C$42,0))</f>
        <v>1669</v>
      </c>
      <c r="BQ25" s="128">
        <f t="shared" si="4"/>
        <v>1679200</v>
      </c>
      <c r="BR25" s="90">
        <f t="shared" si="5"/>
        <v>157530</v>
      </c>
      <c r="BS25" s="90">
        <f t="shared" ca="1" si="6"/>
        <v>465256</v>
      </c>
      <c r="BT25" s="90">
        <f t="shared" si="7"/>
        <v>61000</v>
      </c>
      <c r="BU25" s="90">
        <f t="shared" si="8"/>
        <v>256000</v>
      </c>
      <c r="BV25" s="90">
        <f t="shared" si="9"/>
        <v>57000</v>
      </c>
      <c r="BW25" s="90">
        <f t="shared" ca="1" si="25"/>
        <v>58875</v>
      </c>
      <c r="BX25" s="90">
        <f t="shared" ca="1" si="26"/>
        <v>2734861</v>
      </c>
      <c r="BY25" s="142">
        <f t="shared" ca="1" si="27"/>
        <v>0.6139982982681752</v>
      </c>
      <c r="BZ25" s="142">
        <f t="shared" ca="1" si="27"/>
        <v>5.7600733638748E-2</v>
      </c>
      <c r="CA25" s="142">
        <f t="shared" ca="1" si="27"/>
        <v>0.17012052897752392</v>
      </c>
      <c r="CB25" s="142">
        <f t="shared" ca="1" si="27"/>
        <v>2.2304607071437998E-2</v>
      </c>
      <c r="CC25" s="142">
        <f t="shared" ca="1" si="27"/>
        <v>9.3606219840788984E-2</v>
      </c>
      <c r="CD25" s="142">
        <f t="shared" ca="1" si="27"/>
        <v>2.0842009886425671E-2</v>
      </c>
      <c r="CE25" s="142">
        <f t="shared" ca="1" si="27"/>
        <v>2.15276023169002E-2</v>
      </c>
      <c r="CG25" s="128">
        <f t="shared" si="28"/>
        <v>78</v>
      </c>
      <c r="CH25" s="90">
        <f ca="1">INDEX(角色升级!$A:$A,MATCH(玩家节奏2!$BX25,角色升级!$J:$J,1))</f>
        <v>467</v>
      </c>
      <c r="CI25" s="90">
        <f ca="1">INDEX(角色升级!$O:$O,MATCH(玩家节奏2!$BX25,角色升级!$J:$J,1))</f>
        <v>16818.331879999998</v>
      </c>
      <c r="CJ25" s="90">
        <f>INDEX(关卡对比!$J:$J,MATCH(玩家节奏2!N25,关卡对比!$A:$A,0))</f>
        <v>25200</v>
      </c>
      <c r="CK25" s="147">
        <f t="shared" ca="1" si="29"/>
        <v>1.4983650090748479</v>
      </c>
      <c r="CL25" s="128">
        <f ca="1">INDEX(角色升级!$P:$P,MATCH(玩家节奏2!$CH25,角色升级!$A:$A,0))</f>
        <v>5150</v>
      </c>
      <c r="CM25" s="90">
        <f ca="1">INDEX(角色升级!Q:Q,MATCH(玩家节奏2!$CH25,角色升级!$A:$A,0))</f>
        <v>0.7</v>
      </c>
      <c r="CO25" s="128">
        <f t="shared" si="30"/>
        <v>11766</v>
      </c>
      <c r="CP25" s="90">
        <f t="shared" si="31"/>
        <v>10718</v>
      </c>
      <c r="CQ25" s="90">
        <f t="shared" si="32"/>
        <v>11662</v>
      </c>
      <c r="CR25" s="90">
        <f t="shared" ca="1" si="33"/>
        <v>21200</v>
      </c>
      <c r="CS25" s="90">
        <f t="shared" ca="1" si="34"/>
        <v>55346</v>
      </c>
      <c r="CT25" s="142">
        <f t="shared" ca="1" si="35"/>
        <v>0.21258988906154014</v>
      </c>
      <c r="CU25" s="142">
        <f t="shared" ca="1" si="35"/>
        <v>0.19365446464062444</v>
      </c>
      <c r="CV25" s="142">
        <f t="shared" ca="1" si="35"/>
        <v>0.21071080114190727</v>
      </c>
      <c r="CW25" s="142">
        <f t="shared" ca="1" si="35"/>
        <v>0.38304484515592818</v>
      </c>
      <c r="CY25" s="128">
        <f t="shared" si="36"/>
        <v>5884</v>
      </c>
      <c r="CZ25" s="90">
        <f t="shared" si="37"/>
        <v>5283</v>
      </c>
      <c r="DA25" s="90">
        <f t="shared" si="38"/>
        <v>6222</v>
      </c>
      <c r="DB25" s="90">
        <f t="shared" ca="1" si="58"/>
        <v>12254.5</v>
      </c>
      <c r="DC25" s="90">
        <f t="shared" ca="1" si="39"/>
        <v>29643.5</v>
      </c>
      <c r="DD25" s="142">
        <f t="shared" ca="1" si="40"/>
        <v>0.19849208089463119</v>
      </c>
      <c r="DE25" s="142">
        <f t="shared" ca="1" si="40"/>
        <v>0.17821782178217821</v>
      </c>
      <c r="DF25" s="142">
        <f t="shared" ca="1" si="40"/>
        <v>0.20989424325737513</v>
      </c>
      <c r="DG25" s="142">
        <f t="shared" ca="1" si="40"/>
        <v>0.41339585406581542</v>
      </c>
      <c r="DI25" s="128">
        <f t="shared" si="41"/>
        <v>2704</v>
      </c>
      <c r="DJ25" s="90">
        <f t="shared" si="42"/>
        <v>2467</v>
      </c>
      <c r="DK25" s="90">
        <f t="shared" si="43"/>
        <v>2040</v>
      </c>
      <c r="DL25" s="90">
        <f t="shared" ca="1" si="44"/>
        <v>1669</v>
      </c>
      <c r="DM25" s="90">
        <f t="shared" ca="1" si="45"/>
        <v>8880</v>
      </c>
      <c r="DN25" s="142">
        <f t="shared" ca="1" si="46"/>
        <v>0.3045045045045045</v>
      </c>
      <c r="DO25" s="142">
        <f t="shared" ca="1" si="46"/>
        <v>0.27781531531531534</v>
      </c>
      <c r="DP25" s="142">
        <f t="shared" ca="1" si="46"/>
        <v>0.22972972972972974</v>
      </c>
      <c r="DQ25" s="142">
        <f t="shared" ca="1" si="46"/>
        <v>0.18795045045045045</v>
      </c>
      <c r="DS25" s="128">
        <f t="shared" ca="1" si="47"/>
        <v>55346</v>
      </c>
      <c r="DT25" s="90">
        <f t="shared" ca="1" si="48"/>
        <v>29643.5</v>
      </c>
      <c r="DU25" s="90">
        <f t="shared" ca="1" si="49"/>
        <v>8880</v>
      </c>
      <c r="DV25" s="90">
        <f t="shared" si="50"/>
        <v>256</v>
      </c>
      <c r="DW25" s="90">
        <f ca="1">_xlfn.IFNA(INDEX(武器升级消耗!$H:$H,MATCH(玩家节奏2!DS25/玩家节奏2!DS$5,武器升级消耗!M:M,1)),0)</f>
        <v>22</v>
      </c>
      <c r="DX25" s="90">
        <f ca="1">_xlfn.IFNA(INDEX(武器升级消耗!$H:$H,MATCH(玩家节奏2!DT25/玩家节奏2!DT$5,武器升级消耗!N:N,1)),0)</f>
        <v>19</v>
      </c>
      <c r="DY25" s="90">
        <f ca="1">_xlfn.IFNA(INDEX(武器升级消耗!$H:$H,MATCH(玩家节奏2!DU25/玩家节奏2!DU$5,武器升级消耗!O:O,1)),0)</f>
        <v>13</v>
      </c>
      <c r="DZ25" s="90">
        <f>_xlfn.IFNA(INDEX(武器升级消耗!$H:$H,MATCH(玩家节奏2!DV25/玩家节奏2!DV$5,武器升级消耗!P:P,1)),0)</f>
        <v>12</v>
      </c>
      <c r="EA25" s="90">
        <f ca="1">_xlfn.IFNA(INDEX(武器升级消耗!$Q:$Q,MATCH(玩家节奏2!DW25,武器升级消耗!$H:$H,0))*2*EA$4,0)</f>
        <v>3.12</v>
      </c>
      <c r="EB25" s="90">
        <f ca="1">_xlfn.IFNA(INDEX(武器升级消耗!$Q:$Q,MATCH(玩家节奏2!DX25,武器升级消耗!$H:$H,0))*2*EB$4,0)</f>
        <v>3.4499999999999997</v>
      </c>
      <c r="EC25" s="90">
        <f ca="1">_xlfn.IFNA(INDEX(武器升级消耗!$Q:$Q,MATCH(玩家节奏2!DY25,武器升级消耗!$H:$H,0))*2*EC$4,0)</f>
        <v>3.74</v>
      </c>
      <c r="ED25" s="90">
        <f>_xlfn.IFNA(INDEX(武器升级消耗!$Q:$Q,MATCH(玩家节奏2!DZ25,武器升级消耗!$H:$H,0))*2*ED$4,0)</f>
        <v>4.8000000000000007</v>
      </c>
      <c r="EF25" s="128">
        <f t="shared" si="14"/>
        <v>0</v>
      </c>
      <c r="EG25" s="90">
        <f t="shared" si="15"/>
        <v>0</v>
      </c>
      <c r="EH25" s="90">
        <v>57</v>
      </c>
      <c r="EI25" s="90">
        <v>57</v>
      </c>
      <c r="EJ25" s="90">
        <f>_xlfn.IFNA(INDEX(皮肤宠物!$J$4:$J$13,MATCH(EF25+EH25,皮肤宠物!$L$4:$L$13,1)),0)</f>
        <v>3</v>
      </c>
      <c r="EK25" s="90">
        <f>_xlfn.IFNA(INDEX(皮肤宠物!$J$4:$J$13,MATCH(EG25+EI25,皮肤宠物!$L$4:$L$13,1)),0)</f>
        <v>3</v>
      </c>
      <c r="EL25" s="90">
        <f>_xlfn.IFNA(INDEX(皮肤宠物!$N$4:$N$13,MATCH(EF25+EH25,皮肤宠物!$L$4:$L$13,1)),1)</f>
        <v>1.4300000000000002</v>
      </c>
      <c r="EM25" s="90">
        <f>_xlfn.IFNA(INDEX(皮肤宠物!$N$4:$N$13,MATCH(EG25+EI25,皮肤宠物!$L$4:$L$13,1)),1)</f>
        <v>1.4300000000000002</v>
      </c>
      <c r="EO25" s="128">
        <v>57</v>
      </c>
      <c r="EP25" s="90">
        <v>19</v>
      </c>
      <c r="EQ25" s="90">
        <f t="shared" ca="1" si="51"/>
        <v>19200</v>
      </c>
      <c r="ER25" s="90">
        <f t="shared" si="16"/>
        <v>0</v>
      </c>
      <c r="ES25" s="90">
        <f t="shared" ca="1" si="52"/>
        <v>211</v>
      </c>
      <c r="ET25" s="90">
        <f ca="1">$ES25*ET$5*皮肤宠物!$J$75/4</f>
        <v>696.51099999999997</v>
      </c>
      <c r="EU25" s="90">
        <f ca="1">$ES25*EU$5*皮肤宠物!$J$76/4</f>
        <v>116.26100000000001</v>
      </c>
      <c r="EV25" s="90">
        <f ca="1">$ES25*EV$5*皮肤宠物!$J$77/4</f>
        <v>31.491750000000003</v>
      </c>
      <c r="EW25" s="90">
        <f ca="1">_xlfn.IFNA(INDEX(皮肤宠物!$H$18:$H$67,MATCH(ET25,皮肤宠物!L$18:L$67,1)),0)</f>
        <v>9</v>
      </c>
      <c r="EX25" s="90">
        <f ca="1">_xlfn.IFNA(INDEX(皮肤宠物!$H$18:$H$67,MATCH(EU25,皮肤宠物!M$18:M$67,1)),0)</f>
        <v>7</v>
      </c>
      <c r="EY25" s="90">
        <f ca="1">_xlfn.IFNA(INDEX(皮肤宠物!$H$18:$H$67,MATCH(EV25,皮肤宠物!N$18:N$67,1)),0)</f>
        <v>5</v>
      </c>
      <c r="EZ25" s="90">
        <f ca="1">_xlfn.IFNA(INDEX(皮肤宠物!C$18:C$67,MATCH(EW25,皮肤宠物!$A$18:$A$67,0))+1,1)</f>
        <v>1.0900000000000001</v>
      </c>
      <c r="FA25" s="90">
        <f ca="1">_xlfn.IFNA(INDEX(皮肤宠物!D$18:D$67,MATCH(EX25,皮肤宠物!$A$18:$A$67,0))+1,1)</f>
        <v>1.1400000000000001</v>
      </c>
      <c r="FB25" s="90">
        <f ca="1">_xlfn.IFNA(INDEX(皮肤宠物!E$18:E$67,MATCH(EY25,皮肤宠物!$A$18:$A$67,0))+1,1)</f>
        <v>1.2</v>
      </c>
      <c r="FD25" s="90">
        <f t="shared" ca="1" si="53"/>
        <v>3.74</v>
      </c>
      <c r="FE25" s="90">
        <f t="shared" si="54"/>
        <v>1.4300000000000002</v>
      </c>
      <c r="FF25" s="90">
        <f t="shared" ca="1" si="55"/>
        <v>1.2</v>
      </c>
      <c r="FG25" s="90">
        <f t="shared" ca="1" si="56"/>
        <v>6.4178400000000009</v>
      </c>
    </row>
    <row r="26" spans="1:163" x14ac:dyDescent="0.25">
      <c r="A26" s="123">
        <v>20</v>
      </c>
      <c r="B26" s="123">
        <f>INDEX(关卡对比!$Y:$Y,MATCH(关卡对比!Z26,关卡对比!$AA:$AA,1))</f>
        <v>15</v>
      </c>
      <c r="C26" s="124">
        <f>INDEX(关卡对比!$Y:$Y,MATCH(关卡对比!Z26,关卡对比!$AB:$AB,1))</f>
        <v>11</v>
      </c>
      <c r="D26" s="125">
        <f t="shared" si="63"/>
        <v>61.5</v>
      </c>
      <c r="E26" s="125">
        <v>2</v>
      </c>
      <c r="F26" s="128">
        <v>16</v>
      </c>
      <c r="G26" s="90">
        <v>16</v>
      </c>
      <c r="H26" s="90">
        <v>5</v>
      </c>
      <c r="J26" s="128">
        <v>20</v>
      </c>
      <c r="K26" s="90">
        <f t="shared" si="17"/>
        <v>16</v>
      </c>
      <c r="L26" s="90">
        <f t="shared" si="18"/>
        <v>16</v>
      </c>
      <c r="M26" s="90">
        <f t="shared" si="19"/>
        <v>5</v>
      </c>
      <c r="N26" s="140">
        <f>INDEX($A:$A,MATCH(SUM($K$7:K26),$D:$D,1))</f>
        <v>82</v>
      </c>
      <c r="O26" s="140">
        <v>0</v>
      </c>
      <c r="P26" s="141">
        <v>0</v>
      </c>
      <c r="Q26" s="126">
        <f>_xlfn.MAXIFS(关卡产出!X:X,关卡产出!$A:$A,玩家节奏2!$N$6,关卡产出!$B:$B,玩家节奏2!$N26)+_xlfn.MAXIFS(关卡产出!X:X,关卡产出!$A:$A,玩家节奏2!$O$6,关卡产出!$B:$B,玩家节奏2!$O26)+_xlfn.MAXIFS(关卡产出!X:X,关卡产出!$A:$A,玩家节奏2!$P$6,关卡产出!$B:$B,玩家节奏2!$P26)</f>
        <v>14900</v>
      </c>
      <c r="R26" s="90">
        <f>_xlfn.MAXIFS(关卡产出!Y:Y,关卡产出!$A:$A,玩家节奏2!$N$6,关卡产出!$B:$B,玩家节奏2!$N26)+_xlfn.MAXIFS(关卡产出!Y:Y,关卡产出!$A:$A,玩家节奏2!$O$6,关卡产出!$B:$B,玩家节奏2!$O26)+_xlfn.MAXIFS(关卡产出!Y:Y,关卡产出!$A:$A,玩家节奏2!$P$6,关卡产出!$B:$B,玩家节奏2!$P26)</f>
        <v>1863200</v>
      </c>
      <c r="S26" s="90">
        <f>_xlfn.MAXIFS(关卡产出!Z:Z,关卡产出!$A:$A,玩家节奏2!$N$6,关卡产出!$B:$B,玩家节奏2!$N26)+_xlfn.MAXIFS(关卡产出!Z:Z,关卡产出!$A:$A,玩家节奏2!$O$6,关卡产出!$B:$B,玩家节奏2!$O26)+_xlfn.MAXIFS(关卡产出!Z:Z,关卡产出!$A:$A,玩家节奏2!$P$6,关卡产出!$B:$B,玩家节奏2!$P26)</f>
        <v>13022</v>
      </c>
      <c r="T26" s="90">
        <f>_xlfn.MAXIFS(关卡产出!AA:AA,关卡产出!$A:$A,玩家节奏2!$N$6,关卡产出!$B:$B,玩家节奏2!$N26)+_xlfn.MAXIFS(关卡产出!AA:AA,关卡产出!$A:$A,玩家节奏2!$O$6,关卡产出!$B:$B,玩家节奏2!$O26)+_xlfn.MAXIFS(关卡产出!AA:AA,关卡产出!$A:$A,玩家节奏2!$P$6,关卡产出!$B:$B,玩家节奏2!$P26)</f>
        <v>6512</v>
      </c>
      <c r="U26" s="90">
        <f>_xlfn.MAXIFS(关卡产出!AB:AB,关卡产出!$A:$A,玩家节奏2!$N$6,关卡产出!$B:$B,玩家节奏2!$N26)+_xlfn.MAXIFS(关卡产出!AB:AB,关卡产出!$A:$A,玩家节奏2!$O$6,关卡产出!$B:$B,玩家节奏2!$O26)+_xlfn.MAXIFS(关卡产出!AB:AB,关卡产出!$A:$A,玩家节奏2!$P$6,关卡产出!$B:$B,玩家节奏2!$P26)</f>
        <v>3006</v>
      </c>
      <c r="V26" s="130">
        <f>_xlfn.MAXIFS(关卡产出!AC:AC,关卡产出!$A:$A,玩家节奏2!$N$6,关卡产出!$B:$B,玩家节奏2!$N26)+_xlfn.MAXIFS(关卡产出!AC:AC,关卡产出!$A:$A,玩家节奏2!$O$6,关卡产出!$B:$B,玩家节奏2!$O26)+_xlfn.MAXIFS(关卡产出!AC:AC,关卡产出!$A:$A,玩家节奏2!$P$6,关卡产出!$B:$B,玩家节奏2!$P26)</f>
        <v>492</v>
      </c>
      <c r="W26" s="126">
        <f>INDEX(关卡产出!C$8:C$207,MATCH(玩家节奏2!$N26,关卡产出!$B$8:$B$207,0))*$K26</f>
        <v>1024</v>
      </c>
      <c r="X26" s="126">
        <f>INDEX(关卡产出!D$8:D$207,MATCH(玩家节奏2!$N26,关卡产出!$B$8:$B$207,0))*$K26</f>
        <v>512</v>
      </c>
      <c r="Y26" s="126">
        <f>INDEX(关卡产出!E$8:E$207,MATCH(玩家节奏2!$N26,关卡产出!$B$8:$B$207,0))*$K26</f>
        <v>240</v>
      </c>
      <c r="Z26" s="144">
        <f>INDEX(关卡产出!F$8:F$207,MATCH(玩家节奏2!$N26,关卡产出!$B$8:$B$207,0))*$K26</f>
        <v>13920</v>
      </c>
      <c r="AA26" s="126">
        <f>SUM(W$7:W26)</f>
        <v>11742</v>
      </c>
      <c r="AB26" s="126">
        <f>SUM(X$7:X26)</f>
        <v>5795</v>
      </c>
      <c r="AC26" s="126">
        <f>SUM(Y$7:Y26)</f>
        <v>2707</v>
      </c>
      <c r="AD26" s="177">
        <f>SUM(Z$7:Z26)</f>
        <v>171450</v>
      </c>
      <c r="AE26" s="128">
        <f>INDEX(图鉴!AQ:AQ,MATCH($N26,图鉴!$S:$S,0))*34</f>
        <v>714</v>
      </c>
      <c r="AF26" s="90">
        <f>INDEX(图鉴!AR:AR,MATCH($N26,图鉴!$S:$S,0))*34</f>
        <v>510</v>
      </c>
      <c r="AG26" s="90">
        <f>INDEX(图鉴!AS:AS,MATCH($N26,图鉴!$S:$S,0))*34</f>
        <v>170</v>
      </c>
      <c r="AH26" s="129">
        <f ca="1">INDEX(图鉴!AT:AT,MATCH($N26,图鉴!$S:$S,0))*34</f>
        <v>36550</v>
      </c>
      <c r="AI26" s="128">
        <f>SUM($AE$7:AE26)</f>
        <v>12376</v>
      </c>
      <c r="AJ26" s="90">
        <f>SUM(AF$7:AF26)</f>
        <v>6732</v>
      </c>
      <c r="AK26" s="90">
        <f>SUM(AG$7:AG26)</f>
        <v>2210</v>
      </c>
      <c r="AL26" s="130">
        <f ca="1">SUM(AH$7:AH26)</f>
        <v>501806</v>
      </c>
      <c r="AM26" s="133">
        <f>IF(M26=0,0,INDEX(关卡产出!$AU$11:$AU$15,MATCH(玩家节奏2!N26,关卡产出!$AW$11:$AW$15,1))*M26)</f>
        <v>61000</v>
      </c>
      <c r="AN26" s="126">
        <f>IF(L26=0,0,$L26*关卡产出!AU$21)</f>
        <v>16000</v>
      </c>
      <c r="AO26" s="90">
        <f>IF(M26=0,0,$L26*关卡产出!AV$21)</f>
        <v>800</v>
      </c>
      <c r="AP26" s="129">
        <f>IF(N26=0,0,$L26*关卡产出!AW$21)</f>
        <v>16</v>
      </c>
      <c r="AQ26" s="138">
        <f>SUM(AN$7:AN26)</f>
        <v>272000</v>
      </c>
      <c r="AR26" s="126">
        <f>SUM(AO$7:AO26)</f>
        <v>13600</v>
      </c>
      <c r="AS26" s="129">
        <f>SUM(AP$7:AP26)</f>
        <v>272</v>
      </c>
      <c r="AT26" s="128">
        <v>3000</v>
      </c>
      <c r="AU26" s="129">
        <v>600</v>
      </c>
      <c r="AV26" s="128">
        <f>SUM(AT$7:AT26)</f>
        <v>60000</v>
      </c>
      <c r="AW26" s="90">
        <f>SUM(AU$7:AU26)</f>
        <v>12000</v>
      </c>
      <c r="AY26" s="128">
        <f t="shared" si="20"/>
        <v>14900</v>
      </c>
      <c r="AZ26" s="90">
        <f t="shared" si="21"/>
        <v>13600</v>
      </c>
      <c r="BA26" s="90">
        <f t="shared" si="22"/>
        <v>12000</v>
      </c>
      <c r="BB26" s="90">
        <f t="shared" ca="1" si="57"/>
        <v>5150</v>
      </c>
      <c r="BC26" s="90">
        <f t="shared" ca="1" si="60"/>
        <v>25000</v>
      </c>
      <c r="BD26" s="90">
        <f t="shared" ca="1" si="61"/>
        <v>20650</v>
      </c>
      <c r="BE26" s="90">
        <f t="shared" ca="1" si="24"/>
        <v>45650</v>
      </c>
      <c r="BF26" s="142">
        <f t="shared" ca="1" si="0"/>
        <v>0.59599999999999997</v>
      </c>
      <c r="BG26" s="142">
        <f t="shared" ca="1" si="1"/>
        <v>0.54400000000000004</v>
      </c>
      <c r="BH26" s="142">
        <f t="shared" ca="1" si="2"/>
        <v>0.48</v>
      </c>
      <c r="BI26" s="142">
        <f t="shared" ca="1" si="3"/>
        <v>0.20599999999999999</v>
      </c>
      <c r="BJ26" s="143"/>
      <c r="BK26" s="128">
        <f ca="1">INDEX(商城宝箱!$L:$L,MATCH(BC26,商城宝箱!$N:$N,1))</f>
        <v>7</v>
      </c>
      <c r="BL26" s="90">
        <f ca="1">_xlfn.IFNA(INDEX(商城宝箱!T:T,MATCH(玩家节奏2!$BK26,商城宝箱!$L:$L,0)),0)+($BC26-INDEX(商城宝箱!$N:$N,MATCH(玩家节奏2!$BK26,商城宝箱!$L:$L,0)))/$BK$5*INDEX(商城宝箱!E$23:E$42,MATCH(玩家节奏2!$BK26+1,商城宝箱!$C$23:$C$42,0))</f>
        <v>62500</v>
      </c>
      <c r="BM26" s="90">
        <f ca="1">_xlfn.IFNA(INDEX(商城宝箱!U:U,MATCH(玩家节奏2!$BK26,商城宝箱!$L:$L,0)),0)+($BC26-INDEX(商城宝箱!$N:$N,MATCH(玩家节奏2!$BK26,商城宝箱!$L:$L,0)))/$BK$5*INDEX(商城宝箱!F$23:F$42,MATCH(玩家节奏2!$BK26+1,商城宝箱!$C$23:$C$42,0))</f>
        <v>23737.5</v>
      </c>
      <c r="BN26" s="90">
        <f ca="1">_xlfn.IFNA(INDEX(商城宝箱!V:V,MATCH(玩家节奏2!$BK26,商城宝箱!$L:$L,0)),0)+($BC26-INDEX(商城宝箱!$N:$N,MATCH(玩家节奏2!$BK26,商城宝箱!$L:$L,0)))/$BK$5*INDEX(商城宝箱!G$23:G$42,MATCH(玩家节奏2!$BK26+1,商城宝箱!$C$23:$C$42,0))</f>
        <v>13922</v>
      </c>
      <c r="BO26" s="90">
        <f ca="1">_xlfn.IFNA(INDEX(商城宝箱!W:W,MATCH(玩家节奏2!$BK26,商城宝箱!$L:$L,0)),0)+($BC26-INDEX(商城宝箱!$N:$N,MATCH(玩家节奏2!$BK26,商城宝箱!$L:$L,0)))/$BK$5*INDEX(商城宝箱!H$23:H$42,MATCH(玩家节奏2!$BK26+1,商城宝箱!$C$23:$C$42,0))</f>
        <v>1886.5</v>
      </c>
      <c r="BQ26" s="128">
        <f t="shared" si="4"/>
        <v>1863200</v>
      </c>
      <c r="BR26" s="90">
        <f t="shared" si="5"/>
        <v>171450</v>
      </c>
      <c r="BS26" s="90">
        <f t="shared" ca="1" si="6"/>
        <v>501806</v>
      </c>
      <c r="BT26" s="90">
        <f t="shared" si="7"/>
        <v>61000</v>
      </c>
      <c r="BU26" s="90">
        <f t="shared" si="8"/>
        <v>272000</v>
      </c>
      <c r="BV26" s="90">
        <f t="shared" si="9"/>
        <v>60000</v>
      </c>
      <c r="BW26" s="90">
        <f t="shared" ca="1" si="25"/>
        <v>62500</v>
      </c>
      <c r="BX26" s="90">
        <f t="shared" ca="1" si="26"/>
        <v>2991956</v>
      </c>
      <c r="BY26" s="142">
        <f t="shared" ca="1" si="27"/>
        <v>0.62273643061595829</v>
      </c>
      <c r="BZ26" s="142">
        <f t="shared" ca="1" si="27"/>
        <v>5.7303650187369062E-2</v>
      </c>
      <c r="CA26" s="142">
        <f t="shared" ca="1" si="27"/>
        <v>0.16771837553760818</v>
      </c>
      <c r="CB26" s="142">
        <f t="shared" ca="1" si="27"/>
        <v>2.038800035829404E-2</v>
      </c>
      <c r="CC26" s="142">
        <f t="shared" ca="1" si="27"/>
        <v>9.0910427827147186E-2</v>
      </c>
      <c r="CD26" s="142">
        <f t="shared" ca="1" si="27"/>
        <v>2.0053770844223644E-2</v>
      </c>
      <c r="CE26" s="142">
        <f t="shared" ca="1" si="27"/>
        <v>2.088934462939963E-2</v>
      </c>
      <c r="CG26" s="128">
        <f t="shared" si="28"/>
        <v>82</v>
      </c>
      <c r="CH26" s="90">
        <f ca="1">INDEX(角色升级!$A:$A,MATCH(玩家节奏2!$BX26,角色升级!$J:$J,1))</f>
        <v>484</v>
      </c>
      <c r="CI26" s="90">
        <f ca="1">INDEX(角色升级!$O:$O,MATCH(玩家节奏2!$BX26,角色升级!$J:$J,1))</f>
        <v>17778.706504999998</v>
      </c>
      <c r="CJ26" s="90">
        <f>INDEX(关卡对比!$J:$J,MATCH(玩家节奏2!N26,关卡对比!$A:$A,0))</f>
        <v>27200</v>
      </c>
      <c r="CK26" s="147">
        <f t="shared" ca="1" si="29"/>
        <v>1.5299200755887614</v>
      </c>
      <c r="CL26" s="128">
        <f ca="1">INDEX(角色升级!$P:$P,MATCH(玩家节奏2!$CH26,角色升级!$A:$A,0))</f>
        <v>5150</v>
      </c>
      <c r="CM26" s="90">
        <f ca="1">INDEX(角色升级!Q:Q,MATCH(玩家节奏2!$CH26,角色升级!$A:$A,0))</f>
        <v>0.8</v>
      </c>
      <c r="CO26" s="128">
        <f t="shared" si="30"/>
        <v>13022</v>
      </c>
      <c r="CP26" s="90">
        <f t="shared" si="31"/>
        <v>11742</v>
      </c>
      <c r="CQ26" s="90">
        <f t="shared" si="32"/>
        <v>12376</v>
      </c>
      <c r="CR26" s="90">
        <f t="shared" ca="1" si="33"/>
        <v>23737.5</v>
      </c>
      <c r="CS26" s="90">
        <f t="shared" ca="1" si="34"/>
        <v>60877.5</v>
      </c>
      <c r="CT26" s="142">
        <f t="shared" ca="1" si="35"/>
        <v>0.21390497310172066</v>
      </c>
      <c r="CU26" s="142">
        <f t="shared" ca="1" si="35"/>
        <v>0.19287914254034741</v>
      </c>
      <c r="CV26" s="142">
        <f t="shared" ca="1" si="35"/>
        <v>0.20329349924027762</v>
      </c>
      <c r="CW26" s="142">
        <f t="shared" ca="1" si="35"/>
        <v>0.38992238511765431</v>
      </c>
      <c r="CY26" s="128">
        <f t="shared" si="36"/>
        <v>6512</v>
      </c>
      <c r="CZ26" s="90">
        <f t="shared" si="37"/>
        <v>5795</v>
      </c>
      <c r="DA26" s="90">
        <f t="shared" si="38"/>
        <v>6732</v>
      </c>
      <c r="DB26" s="90">
        <f t="shared" ca="1" si="58"/>
        <v>13922</v>
      </c>
      <c r="DC26" s="90">
        <f t="shared" ca="1" si="39"/>
        <v>32961</v>
      </c>
      <c r="DD26" s="142">
        <f t="shared" ca="1" si="40"/>
        <v>0.19756682139498194</v>
      </c>
      <c r="DE26" s="142">
        <f t="shared" ca="1" si="40"/>
        <v>0.17581384059949637</v>
      </c>
      <c r="DF26" s="142">
        <f t="shared" ca="1" si="40"/>
        <v>0.20424137617183943</v>
      </c>
      <c r="DG26" s="142">
        <f t="shared" ca="1" si="40"/>
        <v>0.4223779618336822</v>
      </c>
      <c r="DI26" s="128">
        <f t="shared" si="41"/>
        <v>3006</v>
      </c>
      <c r="DJ26" s="90">
        <f t="shared" si="42"/>
        <v>2707</v>
      </c>
      <c r="DK26" s="90">
        <f t="shared" si="43"/>
        <v>2210</v>
      </c>
      <c r="DL26" s="90">
        <f t="shared" ca="1" si="44"/>
        <v>1886.5</v>
      </c>
      <c r="DM26" s="90">
        <f t="shared" ca="1" si="45"/>
        <v>9809.5</v>
      </c>
      <c r="DN26" s="142">
        <f t="shared" ca="1" si="46"/>
        <v>0.30643763698455578</v>
      </c>
      <c r="DO26" s="142">
        <f t="shared" ca="1" si="46"/>
        <v>0.27595698047810796</v>
      </c>
      <c r="DP26" s="142">
        <f t="shared" ca="1" si="46"/>
        <v>0.22529180896070136</v>
      </c>
      <c r="DQ26" s="142">
        <f t="shared" ca="1" si="46"/>
        <v>0.19231357357663489</v>
      </c>
      <c r="DS26" s="128">
        <f t="shared" ca="1" si="47"/>
        <v>60877.5</v>
      </c>
      <c r="DT26" s="90">
        <f t="shared" ca="1" si="48"/>
        <v>32961</v>
      </c>
      <c r="DU26" s="90">
        <f t="shared" ca="1" si="49"/>
        <v>9809.5</v>
      </c>
      <c r="DV26" s="90">
        <f t="shared" si="50"/>
        <v>272</v>
      </c>
      <c r="DW26" s="90">
        <f ca="1">_xlfn.IFNA(INDEX(武器升级消耗!$H:$H,MATCH(玩家节奏2!DS26/玩家节奏2!DS$5,武器升级消耗!M:M,1)),0)</f>
        <v>23</v>
      </c>
      <c r="DX26" s="90">
        <f ca="1">_xlfn.IFNA(INDEX(武器升级消耗!$H:$H,MATCH(玩家节奏2!DT26/玩家节奏2!DT$5,武器升级消耗!N:N,1)),0)</f>
        <v>20</v>
      </c>
      <c r="DY26" s="90">
        <f ca="1">_xlfn.IFNA(INDEX(武器升级消耗!$H:$H,MATCH(玩家节奏2!DU26/玩家节奏2!DU$5,武器升级消耗!O:O,1)),0)</f>
        <v>14</v>
      </c>
      <c r="DZ26" s="90">
        <f>_xlfn.IFNA(INDEX(武器升级消耗!$H:$H,MATCH(玩家节奏2!DV26/玩家节奏2!DV$5,武器升级消耗!P:P,1)),0)</f>
        <v>12</v>
      </c>
      <c r="EA26" s="90">
        <f ca="1">_xlfn.IFNA(INDEX(武器升级消耗!$Q:$Q,MATCH(玩家节奏2!DW26,武器升级消耗!$H:$H,0))*2*EA$4,0)</f>
        <v>3.24</v>
      </c>
      <c r="EB26" s="90">
        <f ca="1">_xlfn.IFNA(INDEX(武器升级消耗!$Q:$Q,MATCH(玩家节奏2!DX26,武器升级消耗!$H:$H,0))*2*EB$4,0)</f>
        <v>3.5999999999999996</v>
      </c>
      <c r="EC26" s="90">
        <f ca="1">_xlfn.IFNA(INDEX(武器升级消耗!$Q:$Q,MATCH(玩家节奏2!DY26,武器升级消耗!$H:$H,0))*2*EC$4,0)</f>
        <v>3.9600000000000004</v>
      </c>
      <c r="ED26" s="90">
        <f>_xlfn.IFNA(INDEX(武器升级消耗!$Q:$Q,MATCH(玩家节奏2!DZ26,武器升级消耗!$H:$H,0))*2*ED$4,0)</f>
        <v>4.8000000000000007</v>
      </c>
      <c r="EF26" s="128">
        <f t="shared" si="14"/>
        <v>0</v>
      </c>
      <c r="EG26" s="90">
        <f t="shared" si="15"/>
        <v>0</v>
      </c>
      <c r="EH26" s="90">
        <v>60</v>
      </c>
      <c r="EI26" s="90">
        <v>60</v>
      </c>
      <c r="EJ26" s="90">
        <f>_xlfn.IFNA(INDEX(皮肤宠物!$J$4:$J$13,MATCH(EF26+EH26,皮肤宠物!$L$4:$L$13,1)),0)</f>
        <v>4</v>
      </c>
      <c r="EK26" s="90">
        <f>_xlfn.IFNA(INDEX(皮肤宠物!$J$4:$J$13,MATCH(EG26+EI26,皮肤宠物!$L$4:$L$13,1)),0)</f>
        <v>4</v>
      </c>
      <c r="EL26" s="90">
        <f>_xlfn.IFNA(INDEX(皮肤宠物!$N$4:$N$13,MATCH(EF26+EH26,皮肤宠物!$L$4:$L$13,1)),1)</f>
        <v>1.54</v>
      </c>
      <c r="EM26" s="90">
        <f>_xlfn.IFNA(INDEX(皮肤宠物!$N$4:$N$13,MATCH(EG26+EI26,皮肤宠物!$L$4:$L$13,1)),1)</f>
        <v>1.54</v>
      </c>
      <c r="EO26" s="128">
        <v>60</v>
      </c>
      <c r="EP26" s="90">
        <v>20</v>
      </c>
      <c r="EQ26" s="90">
        <f t="shared" ca="1" si="51"/>
        <v>20650</v>
      </c>
      <c r="ER26" s="90">
        <f t="shared" si="16"/>
        <v>0</v>
      </c>
      <c r="ES26" s="90">
        <f t="shared" ca="1" si="52"/>
        <v>226.5</v>
      </c>
      <c r="ET26" s="90">
        <f ca="1">$ES26*ET$5*皮肤宠物!$J$75/4</f>
        <v>747.67650000000003</v>
      </c>
      <c r="EU26" s="90">
        <f ca="1">$ES26*EU$5*皮肤宠物!$J$76/4</f>
        <v>124.8015</v>
      </c>
      <c r="EV26" s="90">
        <f ca="1">$ES26*EV$5*皮肤宠物!$J$77/4</f>
        <v>33.805125000000004</v>
      </c>
      <c r="EW26" s="90">
        <f ca="1">_xlfn.IFNA(INDEX(皮肤宠物!$H$18:$H$67,MATCH(ET26,皮肤宠物!L$18:L$67,1)),0)</f>
        <v>9</v>
      </c>
      <c r="EX26" s="90">
        <f ca="1">_xlfn.IFNA(INDEX(皮肤宠物!$H$18:$H$67,MATCH(EU26,皮肤宠物!M$18:M$67,1)),0)</f>
        <v>7</v>
      </c>
      <c r="EY26" s="90">
        <f ca="1">_xlfn.IFNA(INDEX(皮肤宠物!$H$18:$H$67,MATCH(EV26,皮肤宠物!N$18:N$67,1)),0)</f>
        <v>5</v>
      </c>
      <c r="EZ26" s="90">
        <f ca="1">_xlfn.IFNA(INDEX(皮肤宠物!C$18:C$67,MATCH(EW26,皮肤宠物!$A$18:$A$67,0))+1,1)</f>
        <v>1.0900000000000001</v>
      </c>
      <c r="FA26" s="90">
        <f ca="1">_xlfn.IFNA(INDEX(皮肤宠物!D$18:D$67,MATCH(EX26,皮肤宠物!$A$18:$A$67,0))+1,1)</f>
        <v>1.1400000000000001</v>
      </c>
      <c r="FB26" s="90">
        <f ca="1">_xlfn.IFNA(INDEX(皮肤宠物!E$18:E$67,MATCH(EY26,皮肤宠物!$A$18:$A$67,0))+1,1)</f>
        <v>1.2</v>
      </c>
      <c r="FD26" s="90">
        <f t="shared" ca="1" si="53"/>
        <v>3.9600000000000004</v>
      </c>
      <c r="FE26" s="90">
        <f t="shared" si="54"/>
        <v>1.54</v>
      </c>
      <c r="FF26" s="90">
        <f t="shared" ca="1" si="55"/>
        <v>1.2</v>
      </c>
      <c r="FG26" s="90">
        <f t="shared" ca="1" si="56"/>
        <v>7.3180800000000001</v>
      </c>
    </row>
    <row r="27" spans="1:163" x14ac:dyDescent="0.25">
      <c r="A27" s="123">
        <v>21</v>
      </c>
      <c r="B27" s="123">
        <f>INDEX(关卡对比!$Y:$Y,MATCH(关卡对比!Z27,关卡对比!$AA:$AA,1))</f>
        <v>15</v>
      </c>
      <c r="C27" s="124">
        <f>INDEX(关卡对比!$Y:$Y,MATCH(关卡对比!Z27,关卡对比!$AB:$AB,1))</f>
        <v>13</v>
      </c>
      <c r="D27" s="125">
        <f t="shared" si="63"/>
        <v>67.5</v>
      </c>
      <c r="E27" s="125">
        <v>2</v>
      </c>
      <c r="F27" s="128">
        <v>16</v>
      </c>
      <c r="G27" s="90">
        <v>16</v>
      </c>
      <c r="H27" s="90">
        <v>5</v>
      </c>
      <c r="J27" s="128">
        <v>21</v>
      </c>
      <c r="K27" s="90">
        <f t="shared" si="17"/>
        <v>16</v>
      </c>
      <c r="L27" s="90">
        <f t="shared" si="18"/>
        <v>16</v>
      </c>
      <c r="M27" s="90">
        <f t="shared" si="19"/>
        <v>5</v>
      </c>
      <c r="N27" s="140">
        <f>INDEX($A:$A,MATCH(SUM($K$7:K27),$D:$D,1))</f>
        <v>87</v>
      </c>
      <c r="O27" s="140">
        <v>0</v>
      </c>
      <c r="P27" s="141">
        <v>0</v>
      </c>
      <c r="Q27" s="126">
        <f>_xlfn.MAXIFS(关卡产出!X:X,关卡产出!$A:$A,玩家节奏2!$N$6,关卡产出!$B:$B,玩家节奏2!$N27)+_xlfn.MAXIFS(关卡产出!X:X,关卡产出!$A:$A,玩家节奏2!$O$6,关卡产出!$B:$B,玩家节奏2!$O27)+_xlfn.MAXIFS(关卡产出!X:X,关卡产出!$A:$A,玩家节奏2!$P$6,关卡产出!$B:$B,玩家节奏2!$P27)</f>
        <v>15900</v>
      </c>
      <c r="R27" s="90">
        <f>_xlfn.MAXIFS(关卡产出!Y:Y,关卡产出!$A:$A,玩家节奏2!$N$6,关卡产出!$B:$B,玩家节奏2!$N27)+_xlfn.MAXIFS(关卡产出!Y:Y,关卡产出!$A:$A,玩家节奏2!$O$6,关卡产出!$B:$B,玩家节奏2!$O27)+_xlfn.MAXIFS(关卡产出!Y:Y,关卡产出!$A:$A,玩家节奏2!$P$6,关卡产出!$B:$B,玩家节奏2!$P27)</f>
        <v>2106700</v>
      </c>
      <c r="S27" s="90">
        <f>_xlfn.MAXIFS(关卡产出!Z:Z,关卡产出!$A:$A,玩家节奏2!$N$6,关卡产出!$B:$B,玩家节奏2!$N27)+_xlfn.MAXIFS(关卡产出!Z:Z,关卡产出!$A:$A,玩家节奏2!$O$6,关卡产出!$B:$B,玩家节奏2!$O27)+_xlfn.MAXIFS(关卡产出!Z:Z,关卡产出!$A:$A,玩家节奏2!$P$6,关卡产出!$B:$B,玩家节奏2!$P27)</f>
        <v>14682</v>
      </c>
      <c r="T27" s="90">
        <f>_xlfn.MAXIFS(关卡产出!AA:AA,关卡产出!$A:$A,玩家节奏2!$N$6,关卡产出!$B:$B,玩家节奏2!$N27)+_xlfn.MAXIFS(关卡产出!AA:AA,关卡产出!$A:$A,玩家节奏2!$O$6,关卡产出!$B:$B,玩家节奏2!$O27)+_xlfn.MAXIFS(关卡产出!AA:AA,关卡产出!$A:$A,玩家节奏2!$P$6,关卡产出!$B:$B,玩家节奏2!$P27)</f>
        <v>7342</v>
      </c>
      <c r="U27" s="90">
        <f>_xlfn.MAXIFS(关卡产出!AB:AB,关卡产出!$A:$A,玩家节奏2!$N$6,关卡产出!$B:$B,玩家节奏2!$N27)+_xlfn.MAXIFS(关卡产出!AB:AB,关卡产出!$A:$A,玩家节奏2!$O$6,关卡产出!$B:$B,玩家节奏2!$O27)+_xlfn.MAXIFS(关卡产出!AB:AB,关卡产出!$A:$A,玩家节奏2!$P$6,关卡产出!$B:$B,玩家节奏2!$P27)</f>
        <v>3406</v>
      </c>
      <c r="V27" s="130">
        <f>_xlfn.MAXIFS(关卡产出!AC:AC,关卡产出!$A:$A,玩家节奏2!$N$6,关卡产出!$B:$B,玩家节奏2!$N27)+_xlfn.MAXIFS(关卡产出!AC:AC,关卡产出!$A:$A,玩家节奏2!$O$6,关卡产出!$B:$B,玩家节奏2!$O27)+_xlfn.MAXIFS(关卡产出!AC:AC,关卡产出!$A:$A,玩家节奏2!$P$6,关卡产出!$B:$B,玩家节奏2!$P27)</f>
        <v>522</v>
      </c>
      <c r="W27" s="126">
        <f>INDEX(关卡产出!C$8:C$207,MATCH(玩家节奏2!$N27,关卡产出!$B$8:$B$207,0))*$K27</f>
        <v>1088</v>
      </c>
      <c r="X27" s="126">
        <f>INDEX(关卡产出!D$8:D$207,MATCH(玩家节奏2!$N27,关卡产出!$B$8:$B$207,0))*$K27</f>
        <v>544</v>
      </c>
      <c r="Y27" s="126">
        <f>INDEX(关卡产出!E$8:E$207,MATCH(玩家节奏2!$N27,关卡产出!$B$8:$B$207,0))*$K27</f>
        <v>256</v>
      </c>
      <c r="Z27" s="144">
        <f>INDEX(关卡产出!F$8:F$207,MATCH(玩家节奏2!$N27,关卡产出!$B$8:$B$207,0))*$K27</f>
        <v>14880</v>
      </c>
      <c r="AA27" s="126">
        <f>SUM(W$7:W27)</f>
        <v>12830</v>
      </c>
      <c r="AB27" s="126">
        <f>SUM(X$7:X27)</f>
        <v>6339</v>
      </c>
      <c r="AC27" s="126">
        <f>SUM(Y$7:Y27)</f>
        <v>2963</v>
      </c>
      <c r="AD27" s="177">
        <f>SUM(Z$7:Z27)</f>
        <v>186330</v>
      </c>
      <c r="AE27" s="128">
        <f>INDEX(图鉴!AQ:AQ,MATCH($N27,图鉴!$S:$S,0))*34</f>
        <v>714</v>
      </c>
      <c r="AF27" s="90">
        <f>INDEX(图鉴!AR:AR,MATCH($N27,图鉴!$S:$S,0))*34</f>
        <v>510</v>
      </c>
      <c r="AG27" s="90">
        <f>INDEX(图鉴!AS:AS,MATCH($N27,图鉴!$S:$S,0))*34</f>
        <v>170</v>
      </c>
      <c r="AH27" s="129">
        <f ca="1">INDEX(图鉴!AT:AT,MATCH($N27,图鉴!$S:$S,0))*34</f>
        <v>38930</v>
      </c>
      <c r="AI27" s="128">
        <f>SUM($AE$7:AE27)</f>
        <v>13090</v>
      </c>
      <c r="AJ27" s="90">
        <f>SUM(AF$7:AF27)</f>
        <v>7242</v>
      </c>
      <c r="AK27" s="90">
        <f>SUM(AG$7:AG27)</f>
        <v>2380</v>
      </c>
      <c r="AL27" s="130">
        <f ca="1">SUM(AH$7:AH27)</f>
        <v>540736</v>
      </c>
      <c r="AM27" s="133">
        <f>IF(M27=0,0,INDEX(关卡产出!$AU$11:$AU$15,MATCH(玩家节奏2!N27,关卡产出!$AW$11:$AW$15,1))*M27)</f>
        <v>61000</v>
      </c>
      <c r="AN27" s="126">
        <f>IF(L27=0,0,$L27*关卡产出!AU$21)</f>
        <v>16000</v>
      </c>
      <c r="AO27" s="90">
        <f>IF(M27=0,0,$L27*关卡产出!AV$21)</f>
        <v>800</v>
      </c>
      <c r="AP27" s="129">
        <f>IF(N27=0,0,$L27*关卡产出!AW$21)</f>
        <v>16</v>
      </c>
      <c r="AQ27" s="138">
        <f>SUM(AN$7:AN27)</f>
        <v>288000</v>
      </c>
      <c r="AR27" s="126">
        <f>SUM(AO$7:AO27)</f>
        <v>14400</v>
      </c>
      <c r="AS27" s="129">
        <f>SUM(AP$7:AP27)</f>
        <v>288</v>
      </c>
      <c r="AT27" s="128">
        <v>3000</v>
      </c>
      <c r="AU27" s="129">
        <v>600</v>
      </c>
      <c r="AV27" s="128">
        <f>SUM(AT$7:AT27)</f>
        <v>63000</v>
      </c>
      <c r="AW27" s="90">
        <f>SUM(AU$7:AU27)</f>
        <v>12600</v>
      </c>
      <c r="AY27" s="128">
        <f t="shared" si="20"/>
        <v>15900</v>
      </c>
      <c r="AZ27" s="90">
        <f t="shared" si="21"/>
        <v>14400</v>
      </c>
      <c r="BA27" s="90">
        <f t="shared" si="22"/>
        <v>12600</v>
      </c>
      <c r="BB27" s="90">
        <f t="shared" ca="1" si="57"/>
        <v>5150</v>
      </c>
      <c r="BC27" s="90">
        <f t="shared" ca="1" si="60"/>
        <v>26200</v>
      </c>
      <c r="BD27" s="90">
        <f t="shared" ca="1" si="61"/>
        <v>21850</v>
      </c>
      <c r="BE27" s="90">
        <f t="shared" ca="1" si="24"/>
        <v>48050</v>
      </c>
      <c r="BF27" s="142">
        <f t="shared" ca="1" si="0"/>
        <v>0.60687022900763354</v>
      </c>
      <c r="BG27" s="142">
        <f t="shared" ca="1" si="1"/>
        <v>0.54961832061068705</v>
      </c>
      <c r="BH27" s="142">
        <f t="shared" ca="1" si="2"/>
        <v>0.48091603053435117</v>
      </c>
      <c r="BI27" s="142">
        <f t="shared" ca="1" si="3"/>
        <v>0.1965648854961832</v>
      </c>
      <c r="BJ27" s="143"/>
      <c r="BK27" s="128">
        <f ca="1">INDEX(商城宝箱!$L:$L,MATCH(BC27,商城宝箱!$N:$N,1))</f>
        <v>7</v>
      </c>
      <c r="BL27" s="90">
        <f ca="1">_xlfn.IFNA(INDEX(商城宝箱!T:T,MATCH(玩家节奏2!$BK27,商城宝箱!$L:$L,0)),0)+($BC27-INDEX(商城宝箱!$N:$N,MATCH(玩家节奏2!$BK27,商城宝箱!$L:$L,0)))/$BK$5*INDEX(商城宝箱!E$23:E$42,MATCH(玩家节奏2!$BK27+1,商城宝箱!$C$23:$C$42,0))</f>
        <v>65500</v>
      </c>
      <c r="BM27" s="90">
        <f ca="1">_xlfn.IFNA(INDEX(商城宝箱!U:U,MATCH(玩家节奏2!$BK27,商城宝箱!$L:$L,0)),0)+($BC27-INDEX(商城宝箱!$N:$N,MATCH(玩家节奏2!$BK27,商城宝箱!$L:$L,0)))/$BK$5*INDEX(商城宝箱!F$23:F$42,MATCH(玩家节奏2!$BK27+1,商城宝箱!$C$23:$C$42,0))</f>
        <v>25837.5</v>
      </c>
      <c r="BN27" s="90">
        <f ca="1">_xlfn.IFNA(INDEX(商城宝箱!V:V,MATCH(玩家节奏2!$BK27,商城宝箱!$L:$L,0)),0)+($BC27-INDEX(商城宝箱!$N:$N,MATCH(玩家节奏2!$BK27,商城宝箱!$L:$L,0)))/$BK$5*INDEX(商城宝箱!G$23:G$42,MATCH(玩家节奏2!$BK27+1,商城宝箱!$C$23:$C$42,0))</f>
        <v>15302</v>
      </c>
      <c r="BO27" s="90">
        <f ca="1">_xlfn.IFNA(INDEX(商城宝箱!W:W,MATCH(玩家节奏2!$BK27,商城宝箱!$L:$L,0)),0)+($BC27-INDEX(商城宝箱!$N:$N,MATCH(玩家节奏2!$BK27,商城宝箱!$L:$L,0)))/$BK$5*INDEX(商城宝箱!H$23:H$42,MATCH(玩家节奏2!$BK27+1,商城宝箱!$C$23:$C$42,0))</f>
        <v>2066.5</v>
      </c>
      <c r="BQ27" s="128">
        <f t="shared" si="4"/>
        <v>2106700</v>
      </c>
      <c r="BR27" s="90">
        <f t="shared" si="5"/>
        <v>186330</v>
      </c>
      <c r="BS27" s="90">
        <f t="shared" ca="1" si="6"/>
        <v>540736</v>
      </c>
      <c r="BT27" s="90">
        <f t="shared" si="7"/>
        <v>61000</v>
      </c>
      <c r="BU27" s="90">
        <f t="shared" si="8"/>
        <v>288000</v>
      </c>
      <c r="BV27" s="90">
        <f t="shared" si="9"/>
        <v>63000</v>
      </c>
      <c r="BW27" s="90">
        <f t="shared" ca="1" si="25"/>
        <v>65500</v>
      </c>
      <c r="BX27" s="90">
        <f t="shared" ca="1" si="26"/>
        <v>3311266</v>
      </c>
      <c r="BY27" s="142">
        <f t="shared" ca="1" si="27"/>
        <v>0.63622191633049108</v>
      </c>
      <c r="BZ27" s="142">
        <f t="shared" ca="1" si="27"/>
        <v>5.6271528774794896E-2</v>
      </c>
      <c r="CA27" s="142">
        <f t="shared" ca="1" si="27"/>
        <v>0.16330189117998978</v>
      </c>
      <c r="CB27" s="142">
        <f t="shared" ca="1" si="27"/>
        <v>1.8421957039996183E-2</v>
      </c>
      <c r="CC27" s="142">
        <f t="shared" ca="1" si="27"/>
        <v>8.6975797172441E-2</v>
      </c>
      <c r="CD27" s="142">
        <f t="shared" ca="1" si="27"/>
        <v>1.9025955631471466E-2</v>
      </c>
      <c r="CE27" s="142">
        <f t="shared" ca="1" si="27"/>
        <v>1.9780953870815573E-2</v>
      </c>
      <c r="CG27" s="128">
        <f t="shared" si="28"/>
        <v>87</v>
      </c>
      <c r="CH27" s="90">
        <f ca="1">INDEX(角色升级!$A:$A,MATCH(玩家节奏2!$BX27,角色升级!$J:$J,1))</f>
        <v>500</v>
      </c>
      <c r="CI27" s="90">
        <f ca="1">INDEX(角色升级!$O:$O,MATCH(玩家节奏2!$BX27,角色升级!$J:$J,1))</f>
        <v>19219.277665000001</v>
      </c>
      <c r="CJ27" s="90">
        <f>INDEX(关卡对比!$J:$J,MATCH(玩家节奏2!N27,关卡对比!$A:$A,0))</f>
        <v>29700</v>
      </c>
      <c r="CK27" s="147">
        <f t="shared" ca="1" si="29"/>
        <v>1.545323425660597</v>
      </c>
      <c r="CL27" s="128">
        <f ca="1">INDEX(角色升级!$P:$P,MATCH(玩家节奏2!$CH27,角色升级!$A:$A,0))</f>
        <v>5900</v>
      </c>
      <c r="CM27" s="90">
        <f ca="1">INDEX(角色升级!Q:Q,MATCH(玩家节奏2!$CH27,角色升级!$A:$A,0))</f>
        <v>0.8</v>
      </c>
      <c r="CO27" s="128">
        <f t="shared" si="30"/>
        <v>14682</v>
      </c>
      <c r="CP27" s="90">
        <f t="shared" si="31"/>
        <v>12830</v>
      </c>
      <c r="CQ27" s="90">
        <f t="shared" si="32"/>
        <v>13090</v>
      </c>
      <c r="CR27" s="90">
        <f t="shared" ca="1" si="33"/>
        <v>25837.5</v>
      </c>
      <c r="CS27" s="90">
        <f t="shared" ca="1" si="34"/>
        <v>66439.5</v>
      </c>
      <c r="CT27" s="142">
        <f t="shared" ca="1" si="35"/>
        <v>0.22098299957103831</v>
      </c>
      <c r="CU27" s="142">
        <f t="shared" ca="1" si="35"/>
        <v>0.19310801556303103</v>
      </c>
      <c r="CV27" s="142">
        <f t="shared" ca="1" si="35"/>
        <v>0.19702135025098022</v>
      </c>
      <c r="CW27" s="142">
        <f t="shared" ca="1" si="35"/>
        <v>0.38888763461495046</v>
      </c>
      <c r="CY27" s="128">
        <f t="shared" si="36"/>
        <v>7342</v>
      </c>
      <c r="CZ27" s="90">
        <f t="shared" si="37"/>
        <v>6339</v>
      </c>
      <c r="DA27" s="90">
        <f t="shared" si="38"/>
        <v>7242</v>
      </c>
      <c r="DB27" s="90">
        <f t="shared" ca="1" si="58"/>
        <v>15302</v>
      </c>
      <c r="DC27" s="90">
        <f t="shared" ca="1" si="39"/>
        <v>36225</v>
      </c>
      <c r="DD27" s="142">
        <f t="shared" ca="1" si="40"/>
        <v>0.20267770876466529</v>
      </c>
      <c r="DE27" s="142">
        <f t="shared" ca="1" si="40"/>
        <v>0.1749896480331263</v>
      </c>
      <c r="DF27" s="142">
        <f t="shared" ca="1" si="40"/>
        <v>0.19991718426501034</v>
      </c>
      <c r="DG27" s="142">
        <f t="shared" ca="1" si="40"/>
        <v>0.42241545893719806</v>
      </c>
      <c r="DI27" s="128">
        <f t="shared" si="41"/>
        <v>3406</v>
      </c>
      <c r="DJ27" s="90">
        <f t="shared" si="42"/>
        <v>2963</v>
      </c>
      <c r="DK27" s="90">
        <f t="shared" si="43"/>
        <v>2380</v>
      </c>
      <c r="DL27" s="90">
        <f t="shared" ca="1" si="44"/>
        <v>2066.5</v>
      </c>
      <c r="DM27" s="90">
        <f t="shared" ca="1" si="45"/>
        <v>10815.5</v>
      </c>
      <c r="DN27" s="142">
        <f t="shared" ca="1" si="46"/>
        <v>0.31491840414220335</v>
      </c>
      <c r="DO27" s="142">
        <f t="shared" ca="1" si="46"/>
        <v>0.27395867042670241</v>
      </c>
      <c r="DP27" s="142">
        <f t="shared" ca="1" si="46"/>
        <v>0.220054551338357</v>
      </c>
      <c r="DQ27" s="142">
        <f t="shared" ca="1" si="46"/>
        <v>0.19106837409273728</v>
      </c>
      <c r="DS27" s="128">
        <f t="shared" ca="1" si="47"/>
        <v>66439.5</v>
      </c>
      <c r="DT27" s="90">
        <f t="shared" ca="1" si="48"/>
        <v>36225</v>
      </c>
      <c r="DU27" s="90">
        <f t="shared" ca="1" si="49"/>
        <v>10815.5</v>
      </c>
      <c r="DV27" s="90">
        <f t="shared" si="50"/>
        <v>288</v>
      </c>
      <c r="DW27" s="90">
        <f ca="1">_xlfn.IFNA(INDEX(武器升级消耗!$H:$H,MATCH(玩家节奏2!DS27/玩家节奏2!DS$5,武器升级消耗!M:M,1)),0)</f>
        <v>24</v>
      </c>
      <c r="DX27" s="90">
        <f ca="1">_xlfn.IFNA(INDEX(武器升级消耗!$H:$H,MATCH(玩家节奏2!DT27/玩家节奏2!DT$5,武器升级消耗!N:N,1)),0)</f>
        <v>21</v>
      </c>
      <c r="DY27" s="90">
        <f ca="1">_xlfn.IFNA(INDEX(武器升级消耗!$H:$H,MATCH(玩家节奏2!DU27/玩家节奏2!DU$5,武器升级消耗!O:O,1)),0)</f>
        <v>15</v>
      </c>
      <c r="DZ27" s="90">
        <f>_xlfn.IFNA(INDEX(武器升级消耗!$H:$H,MATCH(玩家节奏2!DV27/玩家节奏2!DV$5,武器升级消耗!P:P,1)),0)</f>
        <v>12</v>
      </c>
      <c r="EA27" s="90">
        <f ca="1">_xlfn.IFNA(INDEX(武器升级消耗!$Q:$Q,MATCH(玩家节奏2!DW27,武器升级消耗!$H:$H,0))*2*EA$4,0)</f>
        <v>3.36</v>
      </c>
      <c r="EB27" s="90">
        <f ca="1">_xlfn.IFNA(INDEX(武器升级消耗!$Q:$Q,MATCH(玩家节奏2!DX27,武器升级消耗!$H:$H,0))*2*EB$4,0)</f>
        <v>3.75</v>
      </c>
      <c r="EC27" s="90">
        <f ca="1">_xlfn.IFNA(INDEX(武器升级消耗!$Q:$Q,MATCH(玩家节奏2!DY27,武器升级消耗!$H:$H,0))*2*EC$4,0)</f>
        <v>4.18</v>
      </c>
      <c r="ED27" s="90">
        <f>_xlfn.IFNA(INDEX(武器升级消耗!$Q:$Q,MATCH(玩家节奏2!DZ27,武器升级消耗!$H:$H,0))*2*ED$4,0)</f>
        <v>4.8000000000000007</v>
      </c>
      <c r="EF27" s="128">
        <f t="shared" si="14"/>
        <v>0</v>
      </c>
      <c r="EG27" s="90">
        <f t="shared" si="15"/>
        <v>0</v>
      </c>
      <c r="EH27" s="90">
        <v>63</v>
      </c>
      <c r="EI27" s="90">
        <v>63</v>
      </c>
      <c r="EJ27" s="90">
        <f>_xlfn.IFNA(INDEX(皮肤宠物!$J$4:$J$13,MATCH(EF27+EH27,皮肤宠物!$L$4:$L$13,1)),0)</f>
        <v>4</v>
      </c>
      <c r="EK27" s="90">
        <f>_xlfn.IFNA(INDEX(皮肤宠物!$J$4:$J$13,MATCH(EG27+EI27,皮肤宠物!$L$4:$L$13,1)),0)</f>
        <v>4</v>
      </c>
      <c r="EL27" s="90">
        <f>_xlfn.IFNA(INDEX(皮肤宠物!$N$4:$N$13,MATCH(EF27+EH27,皮肤宠物!$L$4:$L$13,1)),1)</f>
        <v>1.54</v>
      </c>
      <c r="EM27" s="90">
        <f>_xlfn.IFNA(INDEX(皮肤宠物!$N$4:$N$13,MATCH(EG27+EI27,皮肤宠物!$L$4:$L$13,1)),1)</f>
        <v>1.54</v>
      </c>
      <c r="EO27" s="128">
        <v>63</v>
      </c>
      <c r="EP27" s="90">
        <v>21</v>
      </c>
      <c r="EQ27" s="90">
        <f t="shared" ca="1" si="51"/>
        <v>21850</v>
      </c>
      <c r="ER27" s="90">
        <f t="shared" si="16"/>
        <v>0</v>
      </c>
      <c r="ES27" s="90">
        <f t="shared" ca="1" si="52"/>
        <v>239.5</v>
      </c>
      <c r="ET27" s="90">
        <f ca="1">$ES27*ET$5*皮肤宠物!$J$75/4</f>
        <v>790.58950000000004</v>
      </c>
      <c r="EU27" s="90">
        <f ca="1">$ES27*EU$5*皮肤宠物!$J$76/4</f>
        <v>131.96450000000002</v>
      </c>
      <c r="EV27" s="90">
        <f ca="1">$ES27*EV$5*皮肤宠物!$J$77/4</f>
        <v>35.745375000000003</v>
      </c>
      <c r="EW27" s="90">
        <f ca="1">_xlfn.IFNA(INDEX(皮肤宠物!$H$18:$H$67,MATCH(ET27,皮肤宠物!L$18:L$67,1)),0)</f>
        <v>9</v>
      </c>
      <c r="EX27" s="90">
        <f ca="1">_xlfn.IFNA(INDEX(皮肤宠物!$H$18:$H$67,MATCH(EU27,皮肤宠物!M$18:M$67,1)),0)</f>
        <v>7</v>
      </c>
      <c r="EY27" s="90">
        <f ca="1">_xlfn.IFNA(INDEX(皮肤宠物!$H$18:$H$67,MATCH(EV27,皮肤宠物!N$18:N$67,1)),0)</f>
        <v>5</v>
      </c>
      <c r="EZ27" s="90">
        <f ca="1">_xlfn.IFNA(INDEX(皮肤宠物!C$18:C$67,MATCH(EW27,皮肤宠物!$A$18:$A$67,0))+1,1)</f>
        <v>1.0900000000000001</v>
      </c>
      <c r="FA27" s="90">
        <f ca="1">_xlfn.IFNA(INDEX(皮肤宠物!D$18:D$67,MATCH(EX27,皮肤宠物!$A$18:$A$67,0))+1,1)</f>
        <v>1.1400000000000001</v>
      </c>
      <c r="FB27" s="90">
        <f ca="1">_xlfn.IFNA(INDEX(皮肤宠物!E$18:E$67,MATCH(EY27,皮肤宠物!$A$18:$A$67,0))+1,1)</f>
        <v>1.2</v>
      </c>
      <c r="FD27" s="90">
        <f t="shared" ca="1" si="53"/>
        <v>4.18</v>
      </c>
      <c r="FE27" s="90">
        <f t="shared" si="54"/>
        <v>1.54</v>
      </c>
      <c r="FF27" s="90">
        <f t="shared" ca="1" si="55"/>
        <v>1.2</v>
      </c>
      <c r="FG27" s="90">
        <f t="shared" ca="1" si="56"/>
        <v>7.7246399999999991</v>
      </c>
    </row>
    <row r="28" spans="1:163" x14ac:dyDescent="0.25">
      <c r="A28" s="123">
        <v>22</v>
      </c>
      <c r="B28" s="123">
        <f>INDEX(关卡对比!$Y:$Y,MATCH(关卡对比!Z28,关卡对比!$AA:$AA,1))</f>
        <v>16</v>
      </c>
      <c r="C28" s="124">
        <f>INDEX(关卡对比!$Y:$Y,MATCH(关卡对比!Z28,关卡对比!$AB:$AB,1))</f>
        <v>14</v>
      </c>
      <c r="D28" s="125">
        <f t="shared" si="63"/>
        <v>73.5</v>
      </c>
      <c r="E28" s="125">
        <v>2</v>
      </c>
      <c r="F28" s="128">
        <v>16</v>
      </c>
      <c r="G28" s="90">
        <v>16</v>
      </c>
      <c r="H28" s="90">
        <v>5</v>
      </c>
      <c r="J28" s="128">
        <v>22</v>
      </c>
      <c r="K28" s="90">
        <f t="shared" si="17"/>
        <v>16</v>
      </c>
      <c r="L28" s="90">
        <f t="shared" si="18"/>
        <v>16</v>
      </c>
      <c r="M28" s="90">
        <f t="shared" si="19"/>
        <v>5</v>
      </c>
      <c r="N28" s="140">
        <f>INDEX($A:$A,MATCH(SUM($K$7:K28),$D:$D,1))</f>
        <v>91</v>
      </c>
      <c r="O28" s="140">
        <v>0</v>
      </c>
      <c r="P28" s="141">
        <v>0</v>
      </c>
      <c r="Q28" s="126">
        <f>_xlfn.MAXIFS(关卡产出!X:X,关卡产出!$A:$A,玩家节奏2!$N$6,关卡产出!$B:$B,玩家节奏2!$N28)+_xlfn.MAXIFS(关卡产出!X:X,关卡产出!$A:$A,玩家节奏2!$O$6,关卡产出!$B:$B,玩家节奏2!$O28)+_xlfn.MAXIFS(关卡产出!X:X,关卡产出!$A:$A,玩家节奏2!$P$6,关卡产出!$B:$B,玩家节奏2!$P28)</f>
        <v>16700</v>
      </c>
      <c r="R28" s="90">
        <f>_xlfn.MAXIFS(关卡产出!Y:Y,关卡产出!$A:$A,玩家节奏2!$N$6,关卡产出!$B:$B,玩家节奏2!$N28)+_xlfn.MAXIFS(关卡产出!Y:Y,关卡产出!$A:$A,玩家节奏2!$O$6,关卡产出!$B:$B,玩家节奏2!$O28)+_xlfn.MAXIFS(关卡产出!Y:Y,关卡产出!$A:$A,玩家节奏2!$P$6,关卡产出!$B:$B,玩家节奏2!$P28)</f>
        <v>2312300</v>
      </c>
      <c r="S28" s="90">
        <f>_xlfn.MAXIFS(关卡产出!Z:Z,关卡产出!$A:$A,玩家节奏2!$N$6,关卡产出!$B:$B,玩家节奏2!$N28)+_xlfn.MAXIFS(关卡产出!Z:Z,关卡产出!$A:$A,玩家节奏2!$O$6,关卡产出!$B:$B,玩家节奏2!$O28)+_xlfn.MAXIFS(关卡产出!Z:Z,关卡产出!$A:$A,玩家节奏2!$P$6,关卡产出!$B:$B,玩家节奏2!$P28)</f>
        <v>16082</v>
      </c>
      <c r="T28" s="90">
        <f>_xlfn.MAXIFS(关卡产出!AA:AA,关卡产出!$A:$A,玩家节奏2!$N$6,关卡产出!$B:$B,玩家节奏2!$N28)+_xlfn.MAXIFS(关卡产出!AA:AA,关卡产出!$A:$A,玩家节奏2!$O$6,关卡产出!$B:$B,玩家节奏2!$O28)+_xlfn.MAXIFS(关卡产出!AA:AA,关卡产出!$A:$A,玩家节奏2!$P$6,关卡产出!$B:$B,玩家节奏2!$P28)</f>
        <v>8042</v>
      </c>
      <c r="U28" s="90">
        <f>_xlfn.MAXIFS(关卡产出!AB:AB,关卡产出!$A:$A,玩家节奏2!$N$6,关卡产出!$B:$B,玩家节奏2!$N28)+_xlfn.MAXIFS(关卡产出!AB:AB,关卡产出!$A:$A,玩家节奏2!$O$6,关卡产出!$B:$B,玩家节奏2!$O28)+_xlfn.MAXIFS(关卡产出!AB:AB,关卡产出!$A:$A,玩家节奏2!$P$6,关卡产出!$B:$B,玩家节奏2!$P28)</f>
        <v>3744</v>
      </c>
      <c r="V28" s="130">
        <f>_xlfn.MAXIFS(关卡产出!AC:AC,关卡产出!$A:$A,玩家节奏2!$N$6,关卡产出!$B:$B,玩家节奏2!$N28)+_xlfn.MAXIFS(关卡产出!AC:AC,关卡产出!$A:$A,玩家节奏2!$O$6,关卡产出!$B:$B,玩家节奏2!$O28)+_xlfn.MAXIFS(关卡产出!AC:AC,关卡产出!$A:$A,玩家节奏2!$P$6,关卡产出!$B:$B,玩家节奏2!$P28)</f>
        <v>546</v>
      </c>
      <c r="W28" s="126">
        <f>INDEX(关卡产出!C$8:C$207,MATCH(玩家节奏2!$N28,关卡产出!$B$8:$B$207,0))*$K28</f>
        <v>1136</v>
      </c>
      <c r="X28" s="126">
        <f>INDEX(关卡产出!D$8:D$207,MATCH(玩家节奏2!$N28,关卡产出!$B$8:$B$207,0))*$K28</f>
        <v>560</v>
      </c>
      <c r="Y28" s="126">
        <f>INDEX(关卡产出!E$8:E$207,MATCH(玩家节奏2!$N28,关卡产出!$B$8:$B$207,0))*$K28</f>
        <v>272</v>
      </c>
      <c r="Z28" s="144">
        <f>INDEX(关卡产出!F$8:F$207,MATCH(玩家节奏2!$N28,关卡产出!$B$8:$B$207,0))*$K28</f>
        <v>15520</v>
      </c>
      <c r="AA28" s="126">
        <f>SUM(W$7:W28)</f>
        <v>13966</v>
      </c>
      <c r="AB28" s="126">
        <f>SUM(X$7:X28)</f>
        <v>6899</v>
      </c>
      <c r="AC28" s="126">
        <f>SUM(Y$7:Y28)</f>
        <v>3235</v>
      </c>
      <c r="AD28" s="177">
        <f>SUM(Z$7:Z28)</f>
        <v>201850</v>
      </c>
      <c r="AE28" s="128">
        <f>INDEX(图鉴!AQ:AQ,MATCH($N28,图鉴!$S:$S,0))*34</f>
        <v>714</v>
      </c>
      <c r="AF28" s="90">
        <f>INDEX(图鉴!AR:AR,MATCH($N28,图鉴!$S:$S,0))*34</f>
        <v>510</v>
      </c>
      <c r="AG28" s="90">
        <f>INDEX(图鉴!AS:AS,MATCH($N28,图鉴!$S:$S,0))*34</f>
        <v>170</v>
      </c>
      <c r="AH28" s="129">
        <f ca="1">INDEX(图鉴!AT:AT,MATCH($N28,图鉴!$S:$S,0))*34</f>
        <v>38930</v>
      </c>
      <c r="AI28" s="128">
        <f>SUM($AE$7:AE28)</f>
        <v>13804</v>
      </c>
      <c r="AJ28" s="90">
        <f>SUM(AF$7:AF28)</f>
        <v>7752</v>
      </c>
      <c r="AK28" s="90">
        <f>SUM(AG$7:AG28)</f>
        <v>2550</v>
      </c>
      <c r="AL28" s="130">
        <f ca="1">SUM(AH$7:AH28)</f>
        <v>579666</v>
      </c>
      <c r="AM28" s="133">
        <f>IF(M28=0,0,INDEX(关卡产出!$AU$11:$AU$15,MATCH(玩家节奏2!N28,关卡产出!$AW$11:$AW$15,1))*M28)</f>
        <v>61000</v>
      </c>
      <c r="AN28" s="126">
        <f>IF(L28=0,0,$L28*关卡产出!AU$21)</f>
        <v>16000</v>
      </c>
      <c r="AO28" s="90">
        <f>IF(M28=0,0,$L28*关卡产出!AV$21)</f>
        <v>800</v>
      </c>
      <c r="AP28" s="129">
        <f>IF(N28=0,0,$L28*关卡产出!AW$21)</f>
        <v>16</v>
      </c>
      <c r="AQ28" s="138">
        <f>SUM(AN$7:AN28)</f>
        <v>304000</v>
      </c>
      <c r="AR28" s="126">
        <f>SUM(AO$7:AO28)</f>
        <v>15200</v>
      </c>
      <c r="AS28" s="129">
        <f>SUM(AP$7:AP28)</f>
        <v>304</v>
      </c>
      <c r="AT28" s="128">
        <v>3000</v>
      </c>
      <c r="AU28" s="129">
        <v>600</v>
      </c>
      <c r="AV28" s="128">
        <f>SUM(AT$7:AT28)</f>
        <v>66000</v>
      </c>
      <c r="AW28" s="90">
        <f>SUM(AU$7:AU28)</f>
        <v>13200</v>
      </c>
      <c r="AY28" s="128">
        <f t="shared" si="20"/>
        <v>16700</v>
      </c>
      <c r="AZ28" s="90">
        <f t="shared" si="21"/>
        <v>15200</v>
      </c>
      <c r="BA28" s="90">
        <f t="shared" si="22"/>
        <v>13200</v>
      </c>
      <c r="BB28" s="90">
        <f t="shared" ca="1" si="57"/>
        <v>5900</v>
      </c>
      <c r="BC28" s="90">
        <f t="shared" ca="1" si="60"/>
        <v>27675</v>
      </c>
      <c r="BD28" s="90">
        <f t="shared" ca="1" si="61"/>
        <v>23325</v>
      </c>
      <c r="BE28" s="90">
        <f t="shared" ca="1" si="24"/>
        <v>51000</v>
      </c>
      <c r="BF28" s="142">
        <f t="shared" ca="1" si="0"/>
        <v>0.60343270099367663</v>
      </c>
      <c r="BG28" s="142">
        <f t="shared" ca="1" si="1"/>
        <v>0.5492321589882565</v>
      </c>
      <c r="BH28" s="142">
        <f t="shared" ca="1" si="2"/>
        <v>0.47696476964769646</v>
      </c>
      <c r="BI28" s="142">
        <f t="shared" ca="1" si="3"/>
        <v>0.21318879855465223</v>
      </c>
      <c r="BJ28" s="143"/>
      <c r="BK28" s="128">
        <f ca="1">INDEX(商城宝箱!$L:$L,MATCH(BC28,商城宝箱!$N:$N,1))</f>
        <v>7</v>
      </c>
      <c r="BL28" s="90">
        <f ca="1">_xlfn.IFNA(INDEX(商城宝箱!T:T,MATCH(玩家节奏2!$BK28,商城宝箱!$L:$L,0)),0)+($BC28-INDEX(商城宝箱!$N:$N,MATCH(玩家节奏2!$BK28,商城宝箱!$L:$L,0)))/$BK$5*INDEX(商城宝箱!E$23:E$42,MATCH(玩家节奏2!$BK28+1,商城宝箱!$C$23:$C$42,0))</f>
        <v>69187.5</v>
      </c>
      <c r="BM28" s="90">
        <f ca="1">_xlfn.IFNA(INDEX(商城宝箱!U:U,MATCH(玩家节奏2!$BK28,商城宝箱!$L:$L,0)),0)+($BC28-INDEX(商城宝箱!$N:$N,MATCH(玩家节奏2!$BK28,商城宝箱!$L:$L,0)))/$BK$5*INDEX(商城宝箱!F$23:F$42,MATCH(玩家节奏2!$BK28+1,商城宝箱!$C$23:$C$42,0))</f>
        <v>28418.75</v>
      </c>
      <c r="BN28" s="90">
        <f ca="1">_xlfn.IFNA(INDEX(商城宝箱!V:V,MATCH(玩家节奏2!$BK28,商城宝箱!$L:$L,0)),0)+($BC28-INDEX(商城宝箱!$N:$N,MATCH(玩家节奏2!$BK28,商城宝箱!$L:$L,0)))/$BK$5*INDEX(商城宝箱!G$23:G$42,MATCH(玩家节奏2!$BK28+1,商城宝箱!$C$23:$C$42,0))</f>
        <v>16998.25</v>
      </c>
      <c r="BO28" s="90">
        <f ca="1">_xlfn.IFNA(INDEX(商城宝箱!W:W,MATCH(玩家节奏2!$BK28,商城宝箱!$L:$L,0)),0)+($BC28-INDEX(商城宝箱!$N:$N,MATCH(玩家节奏2!$BK28,商城宝箱!$L:$L,0)))/$BK$5*INDEX(商城宝箱!H$23:H$42,MATCH(玩家节奏2!$BK28+1,商城宝箱!$C$23:$C$42,0))</f>
        <v>2287.75</v>
      </c>
      <c r="BQ28" s="128">
        <f t="shared" si="4"/>
        <v>2312300</v>
      </c>
      <c r="BR28" s="90">
        <f t="shared" si="5"/>
        <v>201850</v>
      </c>
      <c r="BS28" s="90">
        <f t="shared" ca="1" si="6"/>
        <v>579666</v>
      </c>
      <c r="BT28" s="90">
        <f t="shared" si="7"/>
        <v>61000</v>
      </c>
      <c r="BU28" s="90">
        <f t="shared" si="8"/>
        <v>304000</v>
      </c>
      <c r="BV28" s="90">
        <f t="shared" si="9"/>
        <v>66000</v>
      </c>
      <c r="BW28" s="90">
        <f t="shared" ca="1" si="25"/>
        <v>69187.5</v>
      </c>
      <c r="BX28" s="90">
        <f t="shared" ca="1" si="26"/>
        <v>3594003.5</v>
      </c>
      <c r="BY28" s="142">
        <f t="shared" ca="1" si="27"/>
        <v>0.64337722542562914</v>
      </c>
      <c r="BZ28" s="142">
        <f t="shared" ca="1" si="27"/>
        <v>5.6162994832921004E-2</v>
      </c>
      <c r="CA28" s="142">
        <f t="shared" ca="1" si="27"/>
        <v>0.1612869881734951</v>
      </c>
      <c r="CB28" s="142">
        <f t="shared" ca="1" si="27"/>
        <v>1.697271580286441E-2</v>
      </c>
      <c r="CC28" s="142">
        <f t="shared" ca="1" si="27"/>
        <v>8.4585337771652142E-2</v>
      </c>
      <c r="CD28" s="142">
        <f t="shared" ca="1" si="27"/>
        <v>1.8363922016213952E-2</v>
      </c>
      <c r="CE28" s="142">
        <f t="shared" ca="1" si="27"/>
        <v>1.9250815977224285E-2</v>
      </c>
      <c r="CG28" s="128">
        <f t="shared" si="28"/>
        <v>91</v>
      </c>
      <c r="CH28" s="90">
        <f ca="1">INDEX(角色升级!$A:$A,MATCH(玩家节奏2!$BX28,角色升级!$J:$J,1))</f>
        <v>515</v>
      </c>
      <c r="CI28" s="90">
        <f ca="1">INDEX(角色升级!$O:$O,MATCH(玩家节奏2!$BX28,角色升级!$J:$J,1))</f>
        <v>20436.621660000001</v>
      </c>
      <c r="CJ28" s="90">
        <f>INDEX(关卡对比!$J:$J,MATCH(玩家节奏2!N28,关卡对比!$A:$A,0))</f>
        <v>31700</v>
      </c>
      <c r="CK28" s="147">
        <f t="shared" ca="1" si="29"/>
        <v>1.5511369994212634</v>
      </c>
      <c r="CL28" s="128">
        <f ca="1">INDEX(角色升级!$P:$P,MATCH(玩家节奏2!$CH28,角色升级!$A:$A,0))</f>
        <v>5900</v>
      </c>
      <c r="CM28" s="90">
        <f ca="1">INDEX(角色升级!Q:Q,MATCH(玩家节奏2!$CH28,角色升级!$A:$A,0))</f>
        <v>0.8</v>
      </c>
      <c r="CO28" s="128">
        <f t="shared" si="30"/>
        <v>16082</v>
      </c>
      <c r="CP28" s="90">
        <f t="shared" si="31"/>
        <v>13966</v>
      </c>
      <c r="CQ28" s="90">
        <f t="shared" si="32"/>
        <v>13804</v>
      </c>
      <c r="CR28" s="90">
        <f t="shared" ca="1" si="33"/>
        <v>28418.75</v>
      </c>
      <c r="CS28" s="90">
        <f t="shared" ca="1" si="34"/>
        <v>72270.75</v>
      </c>
      <c r="CT28" s="142">
        <f t="shared" ca="1" si="35"/>
        <v>0.22252432692340954</v>
      </c>
      <c r="CU28" s="142">
        <f t="shared" ca="1" si="35"/>
        <v>0.19324553847856843</v>
      </c>
      <c r="CV28" s="142">
        <f t="shared" ca="1" si="35"/>
        <v>0.19100396771861369</v>
      </c>
      <c r="CW28" s="142">
        <f t="shared" ca="1" si="35"/>
        <v>0.39322616687940831</v>
      </c>
      <c r="CY28" s="128">
        <f t="shared" si="36"/>
        <v>8042</v>
      </c>
      <c r="CZ28" s="90">
        <f t="shared" si="37"/>
        <v>6899</v>
      </c>
      <c r="DA28" s="90">
        <f t="shared" si="38"/>
        <v>7752</v>
      </c>
      <c r="DB28" s="90">
        <f t="shared" ca="1" si="58"/>
        <v>16998.25</v>
      </c>
      <c r="DC28" s="90">
        <f t="shared" ca="1" si="39"/>
        <v>39691.25</v>
      </c>
      <c r="DD28" s="142">
        <f t="shared" ca="1" si="40"/>
        <v>0.20261392624318961</v>
      </c>
      <c r="DE28" s="142">
        <f t="shared" ca="1" si="40"/>
        <v>0.17381664724592952</v>
      </c>
      <c r="DF28" s="142">
        <f t="shared" ca="1" si="40"/>
        <v>0.19530752999716564</v>
      </c>
      <c r="DG28" s="142">
        <f t="shared" ca="1" si="40"/>
        <v>0.42826189651371521</v>
      </c>
      <c r="DI28" s="128">
        <f t="shared" si="41"/>
        <v>3744</v>
      </c>
      <c r="DJ28" s="90">
        <f t="shared" si="42"/>
        <v>3235</v>
      </c>
      <c r="DK28" s="90">
        <f t="shared" si="43"/>
        <v>2550</v>
      </c>
      <c r="DL28" s="90">
        <f t="shared" ca="1" si="44"/>
        <v>2287.75</v>
      </c>
      <c r="DM28" s="90">
        <f t="shared" ca="1" si="45"/>
        <v>11816.75</v>
      </c>
      <c r="DN28" s="142">
        <f t="shared" ca="1" si="46"/>
        <v>0.31683838618909599</v>
      </c>
      <c r="DO28" s="142">
        <f t="shared" ca="1" si="46"/>
        <v>0.27376393678464889</v>
      </c>
      <c r="DP28" s="142">
        <f t="shared" ca="1" si="46"/>
        <v>0.21579537520891953</v>
      </c>
      <c r="DQ28" s="142">
        <f t="shared" ca="1" si="46"/>
        <v>0.19360230181733556</v>
      </c>
      <c r="DS28" s="128">
        <f t="shared" ca="1" si="47"/>
        <v>72270.75</v>
      </c>
      <c r="DT28" s="90">
        <f t="shared" ca="1" si="48"/>
        <v>39691.25</v>
      </c>
      <c r="DU28" s="90">
        <f t="shared" ca="1" si="49"/>
        <v>11816.75</v>
      </c>
      <c r="DV28" s="90">
        <f t="shared" si="50"/>
        <v>304</v>
      </c>
      <c r="DW28" s="90">
        <f ca="1">_xlfn.IFNA(INDEX(武器升级消耗!$H:$H,MATCH(玩家节奏2!DS28/玩家节奏2!DS$5,武器升级消耗!M:M,1)),0)</f>
        <v>25</v>
      </c>
      <c r="DX28" s="90">
        <f ca="1">_xlfn.IFNA(INDEX(武器升级消耗!$H:$H,MATCH(玩家节奏2!DT28/玩家节奏2!DT$5,武器升级消耗!N:N,1)),0)</f>
        <v>22</v>
      </c>
      <c r="DY28" s="90">
        <f ca="1">_xlfn.IFNA(INDEX(武器升级消耗!$H:$H,MATCH(玩家节奏2!DU28/玩家节奏2!DU$5,武器升级消耗!O:O,1)),0)</f>
        <v>15</v>
      </c>
      <c r="DZ28" s="90">
        <f>_xlfn.IFNA(INDEX(武器升级消耗!$H:$H,MATCH(玩家节奏2!DV28/玩家节奏2!DV$5,武器升级消耗!P:P,1)),0)</f>
        <v>13</v>
      </c>
      <c r="EA28" s="90">
        <f ca="1">_xlfn.IFNA(INDEX(武器升级消耗!$Q:$Q,MATCH(玩家节奏2!DW28,武器升级消耗!$H:$H,0))*2*EA$4,0)</f>
        <v>3.48</v>
      </c>
      <c r="EB28" s="90">
        <f ca="1">_xlfn.IFNA(INDEX(武器升级消耗!$Q:$Q,MATCH(玩家节奏2!DX28,武器升级消耗!$H:$H,0))*2*EB$4,0)</f>
        <v>3.9000000000000004</v>
      </c>
      <c r="EC28" s="90">
        <f ca="1">_xlfn.IFNA(INDEX(武器升级消耗!$Q:$Q,MATCH(玩家节奏2!DY28,武器升级消耗!$H:$H,0))*2*EC$4,0)</f>
        <v>4.18</v>
      </c>
      <c r="ED28" s="90">
        <f>_xlfn.IFNA(INDEX(武器升级消耗!$Q:$Q,MATCH(玩家节奏2!DZ28,武器升级消耗!$H:$H,0))*2*ED$4,0)</f>
        <v>5.0999999999999996</v>
      </c>
      <c r="EF28" s="128">
        <f t="shared" si="14"/>
        <v>0</v>
      </c>
      <c r="EG28" s="90">
        <f t="shared" si="15"/>
        <v>0</v>
      </c>
      <c r="EH28" s="90">
        <v>66</v>
      </c>
      <c r="EI28" s="90">
        <v>66</v>
      </c>
      <c r="EJ28" s="90">
        <f>_xlfn.IFNA(INDEX(皮肤宠物!$J$4:$J$13,MATCH(EF28+EH28,皮肤宠物!$L$4:$L$13,1)),0)</f>
        <v>4</v>
      </c>
      <c r="EK28" s="90">
        <f>_xlfn.IFNA(INDEX(皮肤宠物!$J$4:$J$13,MATCH(EG28+EI28,皮肤宠物!$L$4:$L$13,1)),0)</f>
        <v>4</v>
      </c>
      <c r="EL28" s="90">
        <f>_xlfn.IFNA(INDEX(皮肤宠物!$N$4:$N$13,MATCH(EF28+EH28,皮肤宠物!$L$4:$L$13,1)),1)</f>
        <v>1.54</v>
      </c>
      <c r="EM28" s="90">
        <f>_xlfn.IFNA(INDEX(皮肤宠物!$N$4:$N$13,MATCH(EG28+EI28,皮肤宠物!$L$4:$L$13,1)),1)</f>
        <v>1.54</v>
      </c>
      <c r="EO28" s="128">
        <v>66</v>
      </c>
      <c r="EP28" s="90">
        <v>22</v>
      </c>
      <c r="EQ28" s="90">
        <f t="shared" ca="1" si="51"/>
        <v>23325</v>
      </c>
      <c r="ER28" s="90">
        <f t="shared" si="16"/>
        <v>0</v>
      </c>
      <c r="ES28" s="90">
        <f t="shared" ca="1" si="52"/>
        <v>255.25</v>
      </c>
      <c r="ET28" s="90">
        <f ca="1">$ES28*ET$5*皮肤宠物!$J$75/4</f>
        <v>842.58024999999998</v>
      </c>
      <c r="EU28" s="90">
        <f ca="1">$ES28*EU$5*皮肤宠物!$J$76/4</f>
        <v>140.64275000000001</v>
      </c>
      <c r="EV28" s="90">
        <f ca="1">$ES28*EV$5*皮肤宠物!$J$77/4</f>
        <v>38.096062500000002</v>
      </c>
      <c r="EW28" s="90">
        <f ca="1">_xlfn.IFNA(INDEX(皮肤宠物!$H$18:$H$67,MATCH(ET28,皮肤宠物!L$18:L$67,1)),0)</f>
        <v>10</v>
      </c>
      <c r="EX28" s="90">
        <f ca="1">_xlfn.IFNA(INDEX(皮肤宠物!$H$18:$H$67,MATCH(EU28,皮肤宠物!M$18:M$67,1)),0)</f>
        <v>7</v>
      </c>
      <c r="EY28" s="90">
        <f ca="1">_xlfn.IFNA(INDEX(皮肤宠物!$H$18:$H$67,MATCH(EV28,皮肤宠物!N$18:N$67,1)),0)</f>
        <v>5</v>
      </c>
      <c r="EZ28" s="90">
        <f ca="1">_xlfn.IFNA(INDEX(皮肤宠物!C$18:C$67,MATCH(EW28,皮肤宠物!$A$18:$A$67,0))+1,1)</f>
        <v>1.1000000000000001</v>
      </c>
      <c r="FA28" s="90">
        <f ca="1">_xlfn.IFNA(INDEX(皮肤宠物!D$18:D$67,MATCH(EX28,皮肤宠物!$A$18:$A$67,0))+1,1)</f>
        <v>1.1400000000000001</v>
      </c>
      <c r="FB28" s="90">
        <f ca="1">_xlfn.IFNA(INDEX(皮肤宠物!E$18:E$67,MATCH(EY28,皮肤宠物!$A$18:$A$67,0))+1,1)</f>
        <v>1.2</v>
      </c>
      <c r="FD28" s="90">
        <f t="shared" ca="1" si="53"/>
        <v>4.18</v>
      </c>
      <c r="FE28" s="90">
        <f t="shared" si="54"/>
        <v>1.54</v>
      </c>
      <c r="FF28" s="90">
        <f t="shared" ca="1" si="55"/>
        <v>1.2</v>
      </c>
      <c r="FG28" s="90">
        <f t="shared" ca="1" si="56"/>
        <v>7.7246399999999991</v>
      </c>
    </row>
    <row r="29" spans="1:163" x14ac:dyDescent="0.25">
      <c r="A29" s="123">
        <v>23</v>
      </c>
      <c r="B29" s="123">
        <f>INDEX(关卡对比!$Y:$Y,MATCH(关卡对比!Z29,关卡对比!$AA:$AA,1))</f>
        <v>16</v>
      </c>
      <c r="C29" s="124">
        <f>INDEX(关卡对比!$Y:$Y,MATCH(关卡对比!Z29,关卡对比!$AB:$AB,1))</f>
        <v>14</v>
      </c>
      <c r="D29" s="125">
        <f t="shared" si="63"/>
        <v>75.5</v>
      </c>
      <c r="E29" s="125">
        <v>2</v>
      </c>
      <c r="F29" s="128">
        <v>16</v>
      </c>
      <c r="G29" s="90">
        <v>16</v>
      </c>
      <c r="H29" s="90">
        <v>5</v>
      </c>
      <c r="J29" s="128">
        <v>23</v>
      </c>
      <c r="K29" s="90">
        <f t="shared" si="17"/>
        <v>16</v>
      </c>
      <c r="L29" s="90">
        <f t="shared" si="18"/>
        <v>16</v>
      </c>
      <c r="M29" s="90">
        <f t="shared" si="19"/>
        <v>5</v>
      </c>
      <c r="N29" s="140">
        <f>INDEX($A:$A,MATCH(SUM($K$7:K29),$D:$D,1))</f>
        <v>96</v>
      </c>
      <c r="O29" s="140">
        <v>0</v>
      </c>
      <c r="P29" s="141">
        <v>0</v>
      </c>
      <c r="Q29" s="126">
        <f>_xlfn.MAXIFS(关卡产出!X:X,关卡产出!$A:$A,玩家节奏2!$N$6,关卡产出!$B:$B,玩家节奏2!$N29)+_xlfn.MAXIFS(关卡产出!X:X,关卡产出!$A:$A,玩家节奏2!$O$6,关卡产出!$B:$B,玩家节奏2!$O29)+_xlfn.MAXIFS(关卡产出!X:X,关卡产出!$A:$A,玩家节奏2!$P$6,关卡产出!$B:$B,玩家节奏2!$P29)</f>
        <v>17700</v>
      </c>
      <c r="R29" s="90">
        <f>_xlfn.MAXIFS(关卡产出!Y:Y,关卡产出!$A:$A,玩家节奏2!$N$6,关卡产出!$B:$B,玩家节奏2!$N29)+_xlfn.MAXIFS(关卡产出!Y:Y,关卡产出!$A:$A,玩家节奏2!$O$6,关卡产出!$B:$B,玩家节奏2!$O29)+_xlfn.MAXIFS(关卡产出!Y:Y,关卡产出!$A:$A,玩家节奏2!$P$6,关卡产出!$B:$B,玩家节奏2!$P29)</f>
        <v>2582800</v>
      </c>
      <c r="S29" s="90">
        <f>_xlfn.MAXIFS(关卡产出!Z:Z,关卡产出!$A:$A,玩家节奏2!$N$6,关卡产出!$B:$B,玩家节奏2!$N29)+_xlfn.MAXIFS(关卡产出!Z:Z,关卡产出!$A:$A,玩家节奏2!$O$6,关卡产出!$B:$B,玩家节奏2!$O29)+_xlfn.MAXIFS(关卡产出!Z:Z,关卡产出!$A:$A,玩家节奏2!$P$6,关卡产出!$B:$B,玩家节奏2!$P29)</f>
        <v>17922</v>
      </c>
      <c r="T29" s="90">
        <f>_xlfn.MAXIFS(关卡产出!AA:AA,关卡产出!$A:$A,玩家节奏2!$N$6,关卡产出!$B:$B,玩家节奏2!$N29)+_xlfn.MAXIFS(关卡产出!AA:AA,关卡产出!$A:$A,玩家节奏2!$O$6,关卡产出!$B:$B,玩家节奏2!$O29)+_xlfn.MAXIFS(关卡产出!AA:AA,关卡产出!$A:$A,玩家节奏2!$P$6,关卡产出!$B:$B,玩家节奏2!$P29)</f>
        <v>8962</v>
      </c>
      <c r="U29" s="90">
        <f>_xlfn.MAXIFS(关卡产出!AB:AB,关卡产出!$A:$A,玩家节奏2!$N$6,关卡产出!$B:$B,玩家节奏2!$N29)+_xlfn.MAXIFS(关卡产出!AB:AB,关卡产出!$A:$A,玩家节奏2!$O$6,关卡产出!$B:$B,玩家节奏2!$O29)+_xlfn.MAXIFS(关卡产出!AB:AB,关卡产出!$A:$A,玩家节奏2!$P$6,关卡产出!$B:$B,玩家节奏2!$P29)</f>
        <v>4189</v>
      </c>
      <c r="V29" s="130">
        <f>_xlfn.MAXIFS(关卡产出!AC:AC,关卡产出!$A:$A,玩家节奏2!$N$6,关卡产出!$B:$B,玩家节奏2!$N29)+_xlfn.MAXIFS(关卡产出!AC:AC,关卡产出!$A:$A,玩家节奏2!$O$6,关卡产出!$B:$B,玩家节奏2!$O29)+_xlfn.MAXIFS(关卡产出!AC:AC,关卡产出!$A:$A,玩家节奏2!$P$6,关卡产出!$B:$B,玩家节奏2!$P29)</f>
        <v>576</v>
      </c>
      <c r="W29" s="126">
        <f>INDEX(关卡产出!C$8:C$207,MATCH(玩家节奏2!$N29,关卡产出!$B$8:$B$207,0))*$K29</f>
        <v>1200</v>
      </c>
      <c r="X29" s="126">
        <f>INDEX(关卡产出!D$8:D$207,MATCH(玩家节奏2!$N29,关卡产出!$B$8:$B$207,0))*$K29</f>
        <v>592</v>
      </c>
      <c r="Y29" s="126">
        <f>INDEX(关卡产出!E$8:E$207,MATCH(玩家节奏2!$N29,关卡产出!$B$8:$B$207,0))*$K29</f>
        <v>288</v>
      </c>
      <c r="Z29" s="144">
        <f>INDEX(关卡产出!F$8:F$207,MATCH(玩家节奏2!$N29,关卡产出!$B$8:$B$207,0))*$K29</f>
        <v>16160</v>
      </c>
      <c r="AA29" s="126">
        <f>SUM(W$7:W29)</f>
        <v>15166</v>
      </c>
      <c r="AB29" s="126">
        <f>SUM(X$7:X29)</f>
        <v>7491</v>
      </c>
      <c r="AC29" s="126">
        <f>SUM(Y$7:Y29)</f>
        <v>3523</v>
      </c>
      <c r="AD29" s="177">
        <f>SUM(Z$7:Z29)</f>
        <v>218010</v>
      </c>
      <c r="AE29" s="128">
        <f>INDEX(图鉴!AQ:AQ,MATCH($N29,图鉴!$S:$S,0))*34</f>
        <v>714</v>
      </c>
      <c r="AF29" s="90">
        <f>INDEX(图鉴!AR:AR,MATCH($N29,图鉴!$S:$S,0))*34</f>
        <v>510</v>
      </c>
      <c r="AG29" s="90">
        <f>INDEX(图鉴!AS:AS,MATCH($N29,图鉴!$S:$S,0))*34</f>
        <v>204</v>
      </c>
      <c r="AH29" s="129">
        <f ca="1">INDEX(图鉴!AT:AT,MATCH($N29,图鉴!$S:$S,0))*34</f>
        <v>40970</v>
      </c>
      <c r="AI29" s="128">
        <f>SUM($AE$7:AE29)</f>
        <v>14518</v>
      </c>
      <c r="AJ29" s="90">
        <f>SUM(AF$7:AF29)</f>
        <v>8262</v>
      </c>
      <c r="AK29" s="90">
        <f>SUM(AG$7:AG29)</f>
        <v>2754</v>
      </c>
      <c r="AL29" s="130">
        <f ca="1">SUM(AH$7:AH29)</f>
        <v>620636</v>
      </c>
      <c r="AM29" s="133">
        <f>IF(M29=0,0,INDEX(关卡产出!$AU$11:$AU$15,MATCH(玩家节奏2!N29,关卡产出!$AW$11:$AW$15,1))*M29)</f>
        <v>61000</v>
      </c>
      <c r="AN29" s="126">
        <f>IF(L29=0,0,$L29*关卡产出!AU$21)</f>
        <v>16000</v>
      </c>
      <c r="AO29" s="90">
        <f>IF(M29=0,0,$L29*关卡产出!AV$21)</f>
        <v>800</v>
      </c>
      <c r="AP29" s="129">
        <f>IF(N29=0,0,$L29*关卡产出!AW$21)</f>
        <v>16</v>
      </c>
      <c r="AQ29" s="138">
        <f>SUM(AN$7:AN29)</f>
        <v>320000</v>
      </c>
      <c r="AR29" s="126">
        <f>SUM(AO$7:AO29)</f>
        <v>16000</v>
      </c>
      <c r="AS29" s="129">
        <f>SUM(AP$7:AP29)</f>
        <v>320</v>
      </c>
      <c r="AT29" s="128">
        <v>3000</v>
      </c>
      <c r="AU29" s="129">
        <v>600</v>
      </c>
      <c r="AV29" s="128">
        <f>SUM(AT$7:AT29)</f>
        <v>69000</v>
      </c>
      <c r="AW29" s="90">
        <f>SUM(AU$7:AU29)</f>
        <v>13800</v>
      </c>
      <c r="AY29" s="128">
        <f t="shared" si="20"/>
        <v>17700</v>
      </c>
      <c r="AZ29" s="90">
        <f t="shared" si="21"/>
        <v>16000</v>
      </c>
      <c r="BA29" s="90">
        <f t="shared" si="22"/>
        <v>13800</v>
      </c>
      <c r="BB29" s="90">
        <f t="shared" ca="1" si="57"/>
        <v>5900</v>
      </c>
      <c r="BC29" s="90">
        <f t="shared" ca="1" si="60"/>
        <v>28875</v>
      </c>
      <c r="BD29" s="90">
        <f t="shared" ca="1" si="61"/>
        <v>24525</v>
      </c>
      <c r="BE29" s="90">
        <f t="shared" ca="1" si="24"/>
        <v>53400</v>
      </c>
      <c r="BF29" s="142">
        <f t="shared" ca="1" si="0"/>
        <v>0.61298701298701297</v>
      </c>
      <c r="BG29" s="142">
        <f t="shared" ca="1" si="1"/>
        <v>0.55411255411255411</v>
      </c>
      <c r="BH29" s="142">
        <f t="shared" ca="1" si="2"/>
        <v>0.47792207792207791</v>
      </c>
      <c r="BI29" s="142">
        <f t="shared" ca="1" si="3"/>
        <v>0.20432900432900433</v>
      </c>
      <c r="BJ29" s="143"/>
      <c r="BK29" s="128">
        <f ca="1">INDEX(商城宝箱!$L:$L,MATCH(BC29,商城宝箱!$N:$N,1))</f>
        <v>7</v>
      </c>
      <c r="BL29" s="90">
        <f ca="1">_xlfn.IFNA(INDEX(商城宝箱!T:T,MATCH(玩家节奏2!$BK29,商城宝箱!$L:$L,0)),0)+($BC29-INDEX(商城宝箱!$N:$N,MATCH(玩家节奏2!$BK29,商城宝箱!$L:$L,0)))/$BK$5*INDEX(商城宝箱!E$23:E$42,MATCH(玩家节奏2!$BK29+1,商城宝箱!$C$23:$C$42,0))</f>
        <v>72187.5</v>
      </c>
      <c r="BM29" s="90">
        <f ca="1">_xlfn.IFNA(INDEX(商城宝箱!U:U,MATCH(玩家节奏2!$BK29,商城宝箱!$L:$L,0)),0)+($BC29-INDEX(商城宝箱!$N:$N,MATCH(玩家节奏2!$BK29,商城宝箱!$L:$L,0)))/$BK$5*INDEX(商城宝箱!F$23:F$42,MATCH(玩家节奏2!$BK29+1,商城宝箱!$C$23:$C$42,0))</f>
        <v>30518.75</v>
      </c>
      <c r="BN29" s="90">
        <f ca="1">_xlfn.IFNA(INDEX(商城宝箱!V:V,MATCH(玩家节奏2!$BK29,商城宝箱!$L:$L,0)),0)+($BC29-INDEX(商城宝箱!$N:$N,MATCH(玩家节奏2!$BK29,商城宝箱!$L:$L,0)))/$BK$5*INDEX(商城宝箱!G$23:G$42,MATCH(玩家节奏2!$BK29+1,商城宝箱!$C$23:$C$42,0))</f>
        <v>18378.25</v>
      </c>
      <c r="BO29" s="90">
        <f ca="1">_xlfn.IFNA(INDEX(商城宝箱!W:W,MATCH(玩家节奏2!$BK29,商城宝箱!$L:$L,0)),0)+($BC29-INDEX(商城宝箱!$N:$N,MATCH(玩家节奏2!$BK29,商城宝箱!$L:$L,0)))/$BK$5*INDEX(商城宝箱!H$23:H$42,MATCH(玩家节奏2!$BK29+1,商城宝箱!$C$23:$C$42,0))</f>
        <v>2467.75</v>
      </c>
      <c r="BQ29" s="128">
        <f t="shared" si="4"/>
        <v>2582800</v>
      </c>
      <c r="BR29" s="90">
        <f t="shared" si="5"/>
        <v>218010</v>
      </c>
      <c r="BS29" s="90">
        <f t="shared" ca="1" si="6"/>
        <v>620636</v>
      </c>
      <c r="BT29" s="90">
        <f t="shared" si="7"/>
        <v>61000</v>
      </c>
      <c r="BU29" s="90">
        <f t="shared" si="8"/>
        <v>320000</v>
      </c>
      <c r="BV29" s="90">
        <f t="shared" si="9"/>
        <v>69000</v>
      </c>
      <c r="BW29" s="90">
        <f t="shared" ca="1" si="25"/>
        <v>72187.5</v>
      </c>
      <c r="BX29" s="90">
        <f t="shared" ca="1" si="26"/>
        <v>3943633.5</v>
      </c>
      <c r="BY29" s="142">
        <f t="shared" ca="1" si="27"/>
        <v>0.65492901406786408</v>
      </c>
      <c r="BZ29" s="142">
        <f t="shared" ca="1" si="27"/>
        <v>5.5281506255588912E-2</v>
      </c>
      <c r="CA29" s="142">
        <f t="shared" ca="1" si="27"/>
        <v>0.15737669334637713</v>
      </c>
      <c r="CB29" s="142">
        <f t="shared" ca="1" si="27"/>
        <v>1.5467968816067721E-2</v>
      </c>
      <c r="CC29" s="142">
        <f t="shared" ca="1" si="27"/>
        <v>8.1143442969535587E-2</v>
      </c>
      <c r="CD29" s="142">
        <f t="shared" ca="1" si="27"/>
        <v>1.7496554890306111E-2</v>
      </c>
      <c r="CE29" s="142">
        <f t="shared" ca="1" si="27"/>
        <v>1.8304819654260469E-2</v>
      </c>
      <c r="CG29" s="128">
        <f t="shared" si="28"/>
        <v>96</v>
      </c>
      <c r="CH29" s="90">
        <f ca="1">INDEX(角色升级!$A:$A,MATCH(玩家节奏2!$BX29,角色升级!$J:$J,1))</f>
        <v>532</v>
      </c>
      <c r="CI29" s="90">
        <f ca="1">INDEX(角色升级!$O:$O,MATCH(玩家节奏2!$BX29,角色升级!$J:$J,1))</f>
        <v>21782.27259</v>
      </c>
      <c r="CJ29" s="90">
        <f>INDEX(关卡对比!$J:$J,MATCH(玩家节奏2!N29,关卡对比!$A:$A,0))</f>
        <v>34200</v>
      </c>
      <c r="CK29" s="147">
        <f t="shared" ca="1" si="29"/>
        <v>1.5700841066372864</v>
      </c>
      <c r="CL29" s="128">
        <f ca="1">INDEX(角色升级!$P:$P,MATCH(玩家节奏2!$CH29,角色升级!$A:$A,0))</f>
        <v>6700</v>
      </c>
      <c r="CM29" s="90">
        <f ca="1">INDEX(角色升级!Q:Q,MATCH(玩家节奏2!$CH29,角色升级!$A:$A,0))</f>
        <v>0.9</v>
      </c>
      <c r="CO29" s="128">
        <f t="shared" si="30"/>
        <v>17922</v>
      </c>
      <c r="CP29" s="90">
        <f t="shared" si="31"/>
        <v>15166</v>
      </c>
      <c r="CQ29" s="90">
        <f t="shared" si="32"/>
        <v>14518</v>
      </c>
      <c r="CR29" s="90">
        <f t="shared" ca="1" si="33"/>
        <v>30518.75</v>
      </c>
      <c r="CS29" s="90">
        <f t="shared" ca="1" si="34"/>
        <v>78124.75</v>
      </c>
      <c r="CT29" s="142">
        <f t="shared" ca="1" si="35"/>
        <v>0.22940233408746907</v>
      </c>
      <c r="CU29" s="142">
        <f t="shared" ca="1" si="35"/>
        <v>0.19412542120134785</v>
      </c>
      <c r="CV29" s="142">
        <f t="shared" ca="1" si="35"/>
        <v>0.1858309946591829</v>
      </c>
      <c r="CW29" s="142">
        <f t="shared" ca="1" si="35"/>
        <v>0.39064125005200018</v>
      </c>
      <c r="CY29" s="128">
        <f t="shared" si="36"/>
        <v>8962</v>
      </c>
      <c r="CZ29" s="90">
        <f t="shared" si="37"/>
        <v>7491</v>
      </c>
      <c r="DA29" s="90">
        <f t="shared" si="38"/>
        <v>8262</v>
      </c>
      <c r="DB29" s="90">
        <f t="shared" ca="1" si="58"/>
        <v>18378.25</v>
      </c>
      <c r="DC29" s="90">
        <f t="shared" ca="1" si="39"/>
        <v>43093.25</v>
      </c>
      <c r="DD29" s="142">
        <f t="shared" ca="1" si="40"/>
        <v>0.20796760513537502</v>
      </c>
      <c r="DE29" s="142">
        <f t="shared" ca="1" si="40"/>
        <v>0.17383232872897728</v>
      </c>
      <c r="DF29" s="142">
        <f t="shared" ca="1" si="40"/>
        <v>0.19172376184205184</v>
      </c>
      <c r="DG29" s="142">
        <f t="shared" ca="1" si="40"/>
        <v>0.42647630429359584</v>
      </c>
      <c r="DI29" s="128">
        <f t="shared" si="41"/>
        <v>4189</v>
      </c>
      <c r="DJ29" s="90">
        <f t="shared" si="42"/>
        <v>3523</v>
      </c>
      <c r="DK29" s="90">
        <f t="shared" si="43"/>
        <v>2754</v>
      </c>
      <c r="DL29" s="90">
        <f t="shared" ca="1" si="44"/>
        <v>2467.75</v>
      </c>
      <c r="DM29" s="90">
        <f t="shared" ca="1" si="45"/>
        <v>12933.75</v>
      </c>
      <c r="DN29" s="142">
        <f t="shared" ca="1" si="46"/>
        <v>0.32388131825649946</v>
      </c>
      <c r="DO29" s="142">
        <f t="shared" ca="1" si="46"/>
        <v>0.27238813182564997</v>
      </c>
      <c r="DP29" s="142">
        <f t="shared" ca="1" si="46"/>
        <v>0.21293128443026965</v>
      </c>
      <c r="DQ29" s="142">
        <f t="shared" ca="1" si="46"/>
        <v>0.19079926548758094</v>
      </c>
      <c r="DS29" s="128">
        <f t="shared" ca="1" si="47"/>
        <v>78124.75</v>
      </c>
      <c r="DT29" s="90">
        <f t="shared" ca="1" si="48"/>
        <v>43093.25</v>
      </c>
      <c r="DU29" s="90">
        <f t="shared" ca="1" si="49"/>
        <v>12933.75</v>
      </c>
      <c r="DV29" s="90">
        <f t="shared" si="50"/>
        <v>320</v>
      </c>
      <c r="DW29" s="90">
        <f ca="1">_xlfn.IFNA(INDEX(武器升级消耗!$H:$H,MATCH(玩家节奏2!DS29/玩家节奏2!DS$5,武器升级消耗!M:M,1)),0)</f>
        <v>26</v>
      </c>
      <c r="DX29" s="90">
        <f ca="1">_xlfn.IFNA(INDEX(武器升级消耗!$H:$H,MATCH(玩家节奏2!DT29/玩家节奏2!DT$5,武器升级消耗!N:N,1)),0)</f>
        <v>23</v>
      </c>
      <c r="DY29" s="90">
        <f ca="1">_xlfn.IFNA(INDEX(武器升级消耗!$H:$H,MATCH(玩家节奏2!DU29/玩家节奏2!DU$5,武器升级消耗!O:O,1)),0)</f>
        <v>16</v>
      </c>
      <c r="DZ29" s="90">
        <f>_xlfn.IFNA(INDEX(武器升级消耗!$H:$H,MATCH(玩家节奏2!DV29/玩家节奏2!DV$5,武器升级消耗!P:P,1)),0)</f>
        <v>13</v>
      </c>
      <c r="EA29" s="90">
        <f ca="1">_xlfn.IFNA(INDEX(武器升级消耗!$Q:$Q,MATCH(玩家节奏2!DW29,武器升级消耗!$H:$H,0))*2*EA$4,0)</f>
        <v>3.5999999999999996</v>
      </c>
      <c r="EB29" s="90">
        <f ca="1">_xlfn.IFNA(INDEX(武器升级消耗!$Q:$Q,MATCH(玩家节奏2!DX29,武器升级消耗!$H:$H,0))*2*EB$4,0)</f>
        <v>4.0500000000000007</v>
      </c>
      <c r="EC29" s="90">
        <f ca="1">_xlfn.IFNA(INDEX(武器升级消耗!$Q:$Q,MATCH(玩家节奏2!DY29,武器升级消耗!$H:$H,0))*2*EC$4,0)</f>
        <v>4.4000000000000004</v>
      </c>
      <c r="ED29" s="90">
        <f>_xlfn.IFNA(INDEX(武器升级消耗!$Q:$Q,MATCH(玩家节奏2!DZ29,武器升级消耗!$H:$H,0))*2*ED$4,0)</f>
        <v>5.0999999999999996</v>
      </c>
      <c r="EF29" s="128">
        <f t="shared" si="14"/>
        <v>0</v>
      </c>
      <c r="EG29" s="90">
        <f t="shared" si="15"/>
        <v>0</v>
      </c>
      <c r="EH29" s="90">
        <v>69</v>
      </c>
      <c r="EI29" s="90">
        <v>69</v>
      </c>
      <c r="EJ29" s="90">
        <f>_xlfn.IFNA(INDEX(皮肤宠物!$J$4:$J$13,MATCH(EF29+EH29,皮肤宠物!$L$4:$L$13,1)),0)</f>
        <v>4</v>
      </c>
      <c r="EK29" s="90">
        <f>_xlfn.IFNA(INDEX(皮肤宠物!$J$4:$J$13,MATCH(EG29+EI29,皮肤宠物!$L$4:$L$13,1)),0)</f>
        <v>4</v>
      </c>
      <c r="EL29" s="90">
        <f>_xlfn.IFNA(INDEX(皮肤宠物!$N$4:$N$13,MATCH(EF29+EH29,皮肤宠物!$L$4:$L$13,1)),1)</f>
        <v>1.54</v>
      </c>
      <c r="EM29" s="90">
        <f>_xlfn.IFNA(INDEX(皮肤宠物!$N$4:$N$13,MATCH(EG29+EI29,皮肤宠物!$L$4:$L$13,1)),1)</f>
        <v>1.54</v>
      </c>
      <c r="EO29" s="128">
        <v>69</v>
      </c>
      <c r="EP29" s="90">
        <v>23</v>
      </c>
      <c r="EQ29" s="90">
        <f t="shared" ca="1" si="51"/>
        <v>24525</v>
      </c>
      <c r="ER29" s="90">
        <f t="shared" si="16"/>
        <v>0</v>
      </c>
      <c r="ES29" s="90">
        <f t="shared" ca="1" si="52"/>
        <v>268.25</v>
      </c>
      <c r="ET29" s="90">
        <f ca="1">$ES29*ET$5*皮肤宠物!$J$75/4</f>
        <v>885.49324999999999</v>
      </c>
      <c r="EU29" s="90">
        <f ca="1">$ES29*EU$5*皮肤宠物!$J$76/4</f>
        <v>147.80575000000002</v>
      </c>
      <c r="EV29" s="90">
        <f ca="1">$ES29*EV$5*皮肤宠物!$J$77/4</f>
        <v>40.036312500000001</v>
      </c>
      <c r="EW29" s="90">
        <f ca="1">_xlfn.IFNA(INDEX(皮肤宠物!$H$18:$H$67,MATCH(ET29,皮肤宠物!L$18:L$67,1)),0)</f>
        <v>10</v>
      </c>
      <c r="EX29" s="90">
        <f ca="1">_xlfn.IFNA(INDEX(皮肤宠物!$H$18:$H$67,MATCH(EU29,皮肤宠物!M$18:M$67,1)),0)</f>
        <v>8</v>
      </c>
      <c r="EY29" s="90">
        <f ca="1">_xlfn.IFNA(INDEX(皮肤宠物!$H$18:$H$67,MATCH(EV29,皮肤宠物!N$18:N$67,1)),0)</f>
        <v>5</v>
      </c>
      <c r="EZ29" s="90">
        <f ca="1">_xlfn.IFNA(INDEX(皮肤宠物!C$18:C$67,MATCH(EW29,皮肤宠物!$A$18:$A$67,0))+1,1)</f>
        <v>1.1000000000000001</v>
      </c>
      <c r="FA29" s="90">
        <f ca="1">_xlfn.IFNA(INDEX(皮肤宠物!D$18:D$67,MATCH(EX29,皮肤宠物!$A$18:$A$67,0))+1,1)</f>
        <v>1.1599999999999999</v>
      </c>
      <c r="FB29" s="90">
        <f ca="1">_xlfn.IFNA(INDEX(皮肤宠物!E$18:E$67,MATCH(EY29,皮肤宠物!$A$18:$A$67,0))+1,1)</f>
        <v>1.2</v>
      </c>
      <c r="FD29" s="90">
        <f t="shared" ca="1" si="53"/>
        <v>4.4000000000000004</v>
      </c>
      <c r="FE29" s="90">
        <f t="shared" si="54"/>
        <v>1.54</v>
      </c>
      <c r="FF29" s="90">
        <f t="shared" ca="1" si="55"/>
        <v>1.2</v>
      </c>
      <c r="FG29" s="90">
        <f t="shared" ca="1" si="56"/>
        <v>8.1311999999999998</v>
      </c>
    </row>
    <row r="30" spans="1:163" x14ac:dyDescent="0.25">
      <c r="A30" s="123">
        <v>24</v>
      </c>
      <c r="B30" s="123">
        <f>INDEX(关卡对比!$Y:$Y,MATCH(关卡对比!Z30,关卡对比!$AA:$AA,1))</f>
        <v>17</v>
      </c>
      <c r="C30" s="124">
        <f>INDEX(关卡对比!$Y:$Y,MATCH(关卡对比!Z30,关卡对比!$AB:$AB,1))</f>
        <v>15</v>
      </c>
      <c r="D30" s="125">
        <f t="shared" si="63"/>
        <v>81.5</v>
      </c>
      <c r="E30" s="125">
        <v>2</v>
      </c>
      <c r="F30" s="128">
        <v>16</v>
      </c>
      <c r="G30" s="90">
        <v>16</v>
      </c>
      <c r="H30" s="90">
        <v>5</v>
      </c>
      <c r="J30" s="128">
        <v>24</v>
      </c>
      <c r="K30" s="90">
        <f t="shared" si="17"/>
        <v>16</v>
      </c>
      <c r="L30" s="90">
        <f t="shared" si="18"/>
        <v>16</v>
      </c>
      <c r="M30" s="90">
        <f t="shared" si="19"/>
        <v>5</v>
      </c>
      <c r="N30" s="140">
        <f>INDEX($A:$A,MATCH(SUM($K$7:K30),$D:$D,1))</f>
        <v>100</v>
      </c>
      <c r="O30" s="140">
        <v>0</v>
      </c>
      <c r="P30" s="141">
        <v>0</v>
      </c>
      <c r="Q30" s="126">
        <f>_xlfn.MAXIFS(关卡产出!X:X,关卡产出!$A:$A,玩家节奏2!$N$6,关卡产出!$B:$B,玩家节奏2!$N30)+_xlfn.MAXIFS(关卡产出!X:X,关卡产出!$A:$A,玩家节奏2!$O$6,关卡产出!$B:$B,玩家节奏2!$O30)+_xlfn.MAXIFS(关卡产出!X:X,关卡产出!$A:$A,玩家节奏2!$P$6,关卡产出!$B:$B,玩家节奏2!$P30)</f>
        <v>18500</v>
      </c>
      <c r="R30" s="90">
        <f>_xlfn.MAXIFS(关卡产出!Y:Y,关卡产出!$A:$A,玩家节奏2!$N$6,关卡产出!$B:$B,玩家节奏2!$N30)+_xlfn.MAXIFS(关卡产出!Y:Y,关卡产出!$A:$A,玩家节奏2!$O$6,关卡产出!$B:$B,玩家节奏2!$O30)+_xlfn.MAXIFS(关卡产出!Y:Y,关卡产出!$A:$A,玩家节奏2!$P$6,关卡产出!$B:$B,玩家节奏2!$P30)</f>
        <v>2810000</v>
      </c>
      <c r="S30" s="90">
        <f>_xlfn.MAXIFS(关卡产出!Z:Z,关卡产出!$A:$A,玩家节奏2!$N$6,关卡产出!$B:$B,玩家节奏2!$N30)+_xlfn.MAXIFS(关卡产出!Z:Z,关卡产出!$A:$A,玩家节奏2!$O$6,关卡产出!$B:$B,玩家节奏2!$O30)+_xlfn.MAXIFS(关卡产出!Z:Z,关卡产出!$A:$A,玩家节奏2!$P$6,关卡产出!$B:$B,玩家节奏2!$P30)</f>
        <v>19466</v>
      </c>
      <c r="T30" s="90">
        <f>_xlfn.MAXIFS(关卡产出!AA:AA,关卡产出!$A:$A,玩家节奏2!$N$6,关卡产出!$B:$B,玩家节奏2!$N30)+_xlfn.MAXIFS(关卡产出!AA:AA,关卡产出!$A:$A,玩家节奏2!$O$6,关卡产出!$B:$B,玩家节奏2!$O30)+_xlfn.MAXIFS(关卡产出!AA:AA,关卡产出!$A:$A,玩家节奏2!$P$6,关卡产出!$B:$B,玩家节奏2!$P30)</f>
        <v>9734</v>
      </c>
      <c r="U30" s="90">
        <f>_xlfn.MAXIFS(关卡产出!AB:AB,关卡产出!$A:$A,玩家节奏2!$N$6,关卡产出!$B:$B,玩家节奏2!$N30)+_xlfn.MAXIFS(关卡产出!AB:AB,关卡产出!$A:$A,玩家节奏2!$O$6,关卡产出!$B:$B,玩家节奏2!$O30)+_xlfn.MAXIFS(关卡产出!AB:AB,关卡产出!$A:$A,玩家节奏2!$P$6,关卡产出!$B:$B,玩家节奏2!$P30)</f>
        <v>4563</v>
      </c>
      <c r="V30" s="130">
        <f>_xlfn.MAXIFS(关卡产出!AC:AC,关卡产出!$A:$A,玩家节奏2!$N$6,关卡产出!$B:$B,玩家节奏2!$N30)+_xlfn.MAXIFS(关卡产出!AC:AC,关卡产出!$A:$A,玩家节奏2!$O$6,关卡产出!$B:$B,玩家节奏2!$O30)+_xlfn.MAXIFS(关卡产出!AC:AC,关卡产出!$A:$A,玩家节奏2!$P$6,关卡产出!$B:$B,玩家节奏2!$P30)</f>
        <v>600</v>
      </c>
      <c r="W30" s="126">
        <f>INDEX(关卡产出!C$8:C$207,MATCH(玩家节奏2!$N30,关卡产出!$B$8:$B$207,0))*$K30</f>
        <v>1248</v>
      </c>
      <c r="X30" s="126">
        <f>INDEX(关卡产出!D$8:D$207,MATCH(玩家节奏2!$N30,关卡产出!$B$8:$B$207,0))*$K30</f>
        <v>624</v>
      </c>
      <c r="Y30" s="126">
        <f>INDEX(关卡产出!E$8:E$207,MATCH(玩家节奏2!$N30,关卡产出!$B$8:$B$207,0))*$K30</f>
        <v>304</v>
      </c>
      <c r="Z30" s="144">
        <f>INDEX(关卡产出!F$8:F$207,MATCH(玩家节奏2!$N30,关卡产出!$B$8:$B$207,0))*$K30</f>
        <v>16800</v>
      </c>
      <c r="AA30" s="126">
        <f>SUM(W$7:W30)</f>
        <v>16414</v>
      </c>
      <c r="AB30" s="126">
        <f>SUM(X$7:X30)</f>
        <v>8115</v>
      </c>
      <c r="AC30" s="126">
        <f>SUM(Y$7:Y30)</f>
        <v>3827</v>
      </c>
      <c r="AD30" s="177">
        <f>SUM(Z$7:Z30)</f>
        <v>234810</v>
      </c>
      <c r="AE30" s="128">
        <f>INDEX(图鉴!AQ:AQ,MATCH($N30,图鉴!$S:$S,0))*34</f>
        <v>714</v>
      </c>
      <c r="AF30" s="90">
        <f>INDEX(图鉴!AR:AR,MATCH($N30,图鉴!$S:$S,0))*34</f>
        <v>510</v>
      </c>
      <c r="AG30" s="90">
        <f>INDEX(图鉴!AS:AS,MATCH($N30,图鉴!$S:$S,0))*34</f>
        <v>204</v>
      </c>
      <c r="AH30" s="129">
        <f ca="1">INDEX(图鉴!AT:AT,MATCH($N30,图鉴!$S:$S,0))*34</f>
        <v>40970</v>
      </c>
      <c r="AI30" s="128">
        <f>SUM($AE$7:AE30)</f>
        <v>15232</v>
      </c>
      <c r="AJ30" s="90">
        <f>SUM(AF$7:AF30)</f>
        <v>8772</v>
      </c>
      <c r="AK30" s="90">
        <f>SUM(AG$7:AG30)</f>
        <v>2958</v>
      </c>
      <c r="AL30" s="130">
        <f ca="1">SUM(AH$7:AH30)</f>
        <v>661606</v>
      </c>
      <c r="AM30" s="133">
        <f>IF(M30=0,0,INDEX(关卡产出!$AU$11:$AU$15,MATCH(玩家节奏2!N30,关卡产出!$AW$11:$AW$15,1))*M30)</f>
        <v>61000</v>
      </c>
      <c r="AN30" s="126">
        <f>IF(L30=0,0,$L30*关卡产出!AU$21)</f>
        <v>16000</v>
      </c>
      <c r="AO30" s="90">
        <f>IF(M30=0,0,$L30*关卡产出!AV$21)</f>
        <v>800</v>
      </c>
      <c r="AP30" s="129">
        <f>IF(N30=0,0,$L30*关卡产出!AW$21)</f>
        <v>16</v>
      </c>
      <c r="AQ30" s="138">
        <f>SUM(AN$7:AN30)</f>
        <v>336000</v>
      </c>
      <c r="AR30" s="126">
        <f>SUM(AO$7:AO30)</f>
        <v>16800</v>
      </c>
      <c r="AS30" s="129">
        <f>SUM(AP$7:AP30)</f>
        <v>336</v>
      </c>
      <c r="AT30" s="128">
        <v>3000</v>
      </c>
      <c r="AU30" s="129">
        <v>600</v>
      </c>
      <c r="AV30" s="128">
        <f>SUM(AT$7:AT30)</f>
        <v>72000</v>
      </c>
      <c r="AW30" s="90">
        <f>SUM(AU$7:AU30)</f>
        <v>14400</v>
      </c>
      <c r="AY30" s="128">
        <f t="shared" si="20"/>
        <v>18500</v>
      </c>
      <c r="AZ30" s="90">
        <f t="shared" si="21"/>
        <v>16800</v>
      </c>
      <c r="BA30" s="90">
        <f t="shared" si="22"/>
        <v>14400</v>
      </c>
      <c r="BB30" s="90">
        <f t="shared" ca="1" si="57"/>
        <v>6700</v>
      </c>
      <c r="BC30" s="90">
        <f t="shared" ca="1" si="60"/>
        <v>30375</v>
      </c>
      <c r="BD30" s="90">
        <f t="shared" ca="1" si="61"/>
        <v>26025</v>
      </c>
      <c r="BE30" s="90">
        <f t="shared" ca="1" si="24"/>
        <v>56400</v>
      </c>
      <c r="BF30" s="142">
        <f t="shared" ca="1" si="0"/>
        <v>0.60905349794238683</v>
      </c>
      <c r="BG30" s="142">
        <f t="shared" ca="1" si="1"/>
        <v>0.55308641975308637</v>
      </c>
      <c r="BH30" s="142">
        <f t="shared" ca="1" si="2"/>
        <v>0.47407407407407409</v>
      </c>
      <c r="BI30" s="142">
        <f t="shared" ca="1" si="3"/>
        <v>0.2205761316872428</v>
      </c>
      <c r="BJ30" s="143"/>
      <c r="BK30" s="128">
        <f ca="1">INDEX(商城宝箱!$L:$L,MATCH(BC30,商城宝箱!$N:$N,1))</f>
        <v>7</v>
      </c>
      <c r="BL30" s="90">
        <f ca="1">_xlfn.IFNA(INDEX(商城宝箱!T:T,MATCH(玩家节奏2!$BK30,商城宝箱!$L:$L,0)),0)+($BC30-INDEX(商城宝箱!$N:$N,MATCH(玩家节奏2!$BK30,商城宝箱!$L:$L,0)))/$BK$5*INDEX(商城宝箱!E$23:E$42,MATCH(玩家节奏2!$BK30+1,商城宝箱!$C$23:$C$42,0))</f>
        <v>75937.5</v>
      </c>
      <c r="BM30" s="90">
        <f ca="1">_xlfn.IFNA(INDEX(商城宝箱!U:U,MATCH(玩家节奏2!$BK30,商城宝箱!$L:$L,0)),0)+($BC30-INDEX(商城宝箱!$N:$N,MATCH(玩家节奏2!$BK30,商城宝箱!$L:$L,0)))/$BK$5*INDEX(商城宝箱!F$23:F$42,MATCH(玩家节奏2!$BK30+1,商城宝箱!$C$23:$C$42,0))</f>
        <v>33143.75</v>
      </c>
      <c r="BN30" s="90">
        <f ca="1">_xlfn.IFNA(INDEX(商城宝箱!V:V,MATCH(玩家节奏2!$BK30,商城宝箱!$L:$L,0)),0)+($BC30-INDEX(商城宝箱!$N:$N,MATCH(玩家节奏2!$BK30,商城宝箱!$L:$L,0)))/$BK$5*INDEX(商城宝箱!G$23:G$42,MATCH(玩家节奏2!$BK30+1,商城宝箱!$C$23:$C$42,0))</f>
        <v>20103.25</v>
      </c>
      <c r="BO30" s="90">
        <f ca="1">_xlfn.IFNA(INDEX(商城宝箱!W:W,MATCH(玩家节奏2!$BK30,商城宝箱!$L:$L,0)),0)+($BC30-INDEX(商城宝箱!$N:$N,MATCH(玩家节奏2!$BK30,商城宝箱!$L:$L,0)))/$BK$5*INDEX(商城宝箱!H$23:H$42,MATCH(玩家节奏2!$BK30+1,商城宝箱!$C$23:$C$42,0))</f>
        <v>2692.75</v>
      </c>
      <c r="BQ30" s="128">
        <f t="shared" si="4"/>
        <v>2810000</v>
      </c>
      <c r="BR30" s="90">
        <f t="shared" si="5"/>
        <v>234810</v>
      </c>
      <c r="BS30" s="90">
        <f t="shared" ca="1" si="6"/>
        <v>661606</v>
      </c>
      <c r="BT30" s="90">
        <f t="shared" si="7"/>
        <v>61000</v>
      </c>
      <c r="BU30" s="90">
        <f t="shared" si="8"/>
        <v>336000</v>
      </c>
      <c r="BV30" s="90">
        <f t="shared" si="9"/>
        <v>72000</v>
      </c>
      <c r="BW30" s="90">
        <f t="shared" ca="1" si="25"/>
        <v>75937.5</v>
      </c>
      <c r="BX30" s="90">
        <f t="shared" ca="1" si="26"/>
        <v>4251353.5</v>
      </c>
      <c r="BY30" s="142">
        <f t="shared" ca="1" si="27"/>
        <v>0.66096597236621235</v>
      </c>
      <c r="BZ30" s="142">
        <f t="shared" ca="1" si="27"/>
        <v>5.5231822053847086E-2</v>
      </c>
      <c r="CA30" s="142">
        <f t="shared" ca="1" si="27"/>
        <v>0.15562243883036309</v>
      </c>
      <c r="CB30" s="142">
        <f t="shared" ca="1" si="27"/>
        <v>1.4348371642113505E-2</v>
      </c>
      <c r="CC30" s="142">
        <f t="shared" ca="1" si="27"/>
        <v>7.9033653635248169E-2</v>
      </c>
      <c r="CD30" s="142">
        <f t="shared" ca="1" si="27"/>
        <v>1.6935782921838893E-2</v>
      </c>
      <c r="CE30" s="142">
        <f t="shared" ca="1" si="27"/>
        <v>1.7861958550376957E-2</v>
      </c>
      <c r="CG30" s="128">
        <f t="shared" si="28"/>
        <v>100</v>
      </c>
      <c r="CH30" s="90">
        <f ca="1">INDEX(角色升级!$A:$A,MATCH(玩家节奏2!$BX30,角色升级!$J:$J,1))</f>
        <v>545</v>
      </c>
      <c r="CI30" s="90">
        <f ca="1">INDEX(角色升级!$O:$O,MATCH(玩家节奏2!$BX30,角色升级!$J:$J,1))</f>
        <v>23069.988179999997</v>
      </c>
      <c r="CJ30" s="90">
        <f>INDEX(关卡对比!$J:$J,MATCH(玩家节奏2!N30,关卡对比!$A:$A,0))</f>
        <v>36200</v>
      </c>
      <c r="CK30" s="147">
        <f t="shared" ca="1" si="29"/>
        <v>1.5691382118428119</v>
      </c>
      <c r="CL30" s="128">
        <f ca="1">INDEX(角色升级!$P:$P,MATCH(玩家节奏2!$CH30,角色升级!$A:$A,0))</f>
        <v>6700</v>
      </c>
      <c r="CM30" s="90">
        <f ca="1">INDEX(角色升级!Q:Q,MATCH(玩家节奏2!$CH30,角色升级!$A:$A,0))</f>
        <v>0.9</v>
      </c>
      <c r="CO30" s="128">
        <f t="shared" si="30"/>
        <v>19466</v>
      </c>
      <c r="CP30" s="90">
        <f t="shared" si="31"/>
        <v>16414</v>
      </c>
      <c r="CQ30" s="90">
        <f t="shared" si="32"/>
        <v>15232</v>
      </c>
      <c r="CR30" s="90">
        <f t="shared" ca="1" si="33"/>
        <v>33143.75</v>
      </c>
      <c r="CS30" s="90">
        <f t="shared" ca="1" si="34"/>
        <v>84255.75</v>
      </c>
      <c r="CT30" s="142">
        <f t="shared" ca="1" si="35"/>
        <v>0.23103467715853221</v>
      </c>
      <c r="CU30" s="142">
        <f t="shared" ca="1" si="35"/>
        <v>0.1948116300667907</v>
      </c>
      <c r="CV30" s="142">
        <f t="shared" ca="1" si="35"/>
        <v>0.18078291392575582</v>
      </c>
      <c r="CW30" s="142">
        <f t="shared" ca="1" si="35"/>
        <v>0.3933707788489213</v>
      </c>
      <c r="CY30" s="128">
        <f t="shared" si="36"/>
        <v>9734</v>
      </c>
      <c r="CZ30" s="90">
        <f t="shared" si="37"/>
        <v>8115</v>
      </c>
      <c r="DA30" s="90">
        <f t="shared" si="38"/>
        <v>8772</v>
      </c>
      <c r="DB30" s="90">
        <f t="shared" ca="1" si="58"/>
        <v>20103.25</v>
      </c>
      <c r="DC30" s="90">
        <f t="shared" ca="1" si="39"/>
        <v>46724.25</v>
      </c>
      <c r="DD30" s="142">
        <f t="shared" ca="1" si="40"/>
        <v>0.20832865161024522</v>
      </c>
      <c r="DE30" s="142">
        <f t="shared" ca="1" si="40"/>
        <v>0.17367855021749948</v>
      </c>
      <c r="DF30" s="142">
        <f t="shared" ca="1" si="40"/>
        <v>0.18773977110387005</v>
      </c>
      <c r="DG30" s="142">
        <f t="shared" ca="1" si="40"/>
        <v>0.43025302706838525</v>
      </c>
      <c r="DI30" s="128">
        <f t="shared" si="41"/>
        <v>4563</v>
      </c>
      <c r="DJ30" s="90">
        <f t="shared" si="42"/>
        <v>3827</v>
      </c>
      <c r="DK30" s="90">
        <f t="shared" si="43"/>
        <v>2958</v>
      </c>
      <c r="DL30" s="90">
        <f t="shared" ca="1" si="44"/>
        <v>2692.75</v>
      </c>
      <c r="DM30" s="90">
        <f t="shared" ca="1" si="45"/>
        <v>14040.75</v>
      </c>
      <c r="DN30" s="142">
        <f t="shared" ca="1" si="46"/>
        <v>0.32498263981624914</v>
      </c>
      <c r="DO30" s="142">
        <f t="shared" ca="1" si="46"/>
        <v>0.27256378754696153</v>
      </c>
      <c r="DP30" s="142">
        <f t="shared" ca="1" si="46"/>
        <v>0.21067250681053362</v>
      </c>
      <c r="DQ30" s="142">
        <f t="shared" ca="1" si="46"/>
        <v>0.19178106582625573</v>
      </c>
      <c r="DS30" s="128">
        <f t="shared" ca="1" si="47"/>
        <v>84255.75</v>
      </c>
      <c r="DT30" s="90">
        <f t="shared" ca="1" si="48"/>
        <v>46724.25</v>
      </c>
      <c r="DU30" s="90">
        <f t="shared" ca="1" si="49"/>
        <v>14040.75</v>
      </c>
      <c r="DV30" s="90">
        <f t="shared" si="50"/>
        <v>336</v>
      </c>
      <c r="DW30" s="90">
        <f ca="1">_xlfn.IFNA(INDEX(武器升级消耗!$H:$H,MATCH(玩家节奏2!DS30/玩家节奏2!DS$5,武器升级消耗!M:M,1)),0)</f>
        <v>27</v>
      </c>
      <c r="DX30" s="90">
        <f ca="1">_xlfn.IFNA(INDEX(武器升级消耗!$H:$H,MATCH(玩家节奏2!DT30/玩家节奏2!DT$5,武器升级消耗!N:N,1)),0)</f>
        <v>24</v>
      </c>
      <c r="DY30" s="90">
        <f ca="1">_xlfn.IFNA(INDEX(武器升级消耗!$H:$H,MATCH(玩家节奏2!DU30/玩家节奏2!DU$5,武器升级消耗!O:O,1)),0)</f>
        <v>17</v>
      </c>
      <c r="DZ30" s="90">
        <f>_xlfn.IFNA(INDEX(武器升级消耗!$H:$H,MATCH(玩家节奏2!DV30/玩家节奏2!DV$5,武器升级消耗!P:P,1)),0)</f>
        <v>13</v>
      </c>
      <c r="EA30" s="90">
        <f ca="1">_xlfn.IFNA(INDEX(武器升级消耗!$Q:$Q,MATCH(玩家节奏2!DW30,武器升级消耗!$H:$H,0))*2*EA$4,0)</f>
        <v>3.7199999999999998</v>
      </c>
      <c r="EB30" s="90">
        <f ca="1">_xlfn.IFNA(INDEX(武器升级消耗!$Q:$Q,MATCH(玩家节奏2!DX30,武器升级消耗!$H:$H,0))*2*EB$4,0)</f>
        <v>4.1999999999999993</v>
      </c>
      <c r="EC30" s="90">
        <f ca="1">_xlfn.IFNA(INDEX(武器升级消耗!$Q:$Q,MATCH(玩家节奏2!DY30,武器升级消耗!$H:$H,0))*2*EC$4,0)</f>
        <v>4.620000000000001</v>
      </c>
      <c r="ED30" s="90">
        <f>_xlfn.IFNA(INDEX(武器升级消耗!$Q:$Q,MATCH(玩家节奏2!DZ30,武器升级消耗!$H:$H,0))*2*ED$4,0)</f>
        <v>5.0999999999999996</v>
      </c>
      <c r="EF30" s="128">
        <f t="shared" si="14"/>
        <v>0</v>
      </c>
      <c r="EG30" s="90">
        <f t="shared" si="15"/>
        <v>0</v>
      </c>
      <c r="EH30" s="90">
        <v>72</v>
      </c>
      <c r="EI30" s="90">
        <v>72</v>
      </c>
      <c r="EJ30" s="90">
        <f>_xlfn.IFNA(INDEX(皮肤宠物!$J$4:$J$13,MATCH(EF30+EH30,皮肤宠物!$L$4:$L$13,1)),0)</f>
        <v>4</v>
      </c>
      <c r="EK30" s="90">
        <f>_xlfn.IFNA(INDEX(皮肤宠物!$J$4:$J$13,MATCH(EG30+EI30,皮肤宠物!$L$4:$L$13,1)),0)</f>
        <v>4</v>
      </c>
      <c r="EL30" s="90">
        <f>_xlfn.IFNA(INDEX(皮肤宠物!$N$4:$N$13,MATCH(EF30+EH30,皮肤宠物!$L$4:$L$13,1)),1)</f>
        <v>1.54</v>
      </c>
      <c r="EM30" s="90">
        <f>_xlfn.IFNA(INDEX(皮肤宠物!$N$4:$N$13,MATCH(EG30+EI30,皮肤宠物!$L$4:$L$13,1)),1)</f>
        <v>1.54</v>
      </c>
      <c r="EO30" s="128">
        <v>72</v>
      </c>
      <c r="EP30" s="90">
        <v>24</v>
      </c>
      <c r="EQ30" s="90">
        <f t="shared" ca="1" si="51"/>
        <v>26025</v>
      </c>
      <c r="ER30" s="90">
        <f t="shared" si="16"/>
        <v>0</v>
      </c>
      <c r="ES30" s="90">
        <f t="shared" ca="1" si="52"/>
        <v>284.25</v>
      </c>
      <c r="ET30" s="90">
        <f ca="1">$ES30*ET$5*皮肤宠物!$J$75/4</f>
        <v>938.30925000000002</v>
      </c>
      <c r="EU30" s="90">
        <f ca="1">$ES30*EU$5*皮肤宠物!$J$76/4</f>
        <v>156.62175000000002</v>
      </c>
      <c r="EV30" s="90">
        <f ca="1">$ES30*EV$5*皮肤宠物!$J$77/4</f>
        <v>42.424312499999999</v>
      </c>
      <c r="EW30" s="90">
        <f ca="1">_xlfn.IFNA(INDEX(皮肤宠物!$H$18:$H$67,MATCH(ET30,皮肤宠物!L$18:L$67,1)),0)</f>
        <v>10</v>
      </c>
      <c r="EX30" s="90">
        <f ca="1">_xlfn.IFNA(INDEX(皮肤宠物!$H$18:$H$67,MATCH(EU30,皮肤宠物!M$18:M$67,1)),0)</f>
        <v>8</v>
      </c>
      <c r="EY30" s="90">
        <f ca="1">_xlfn.IFNA(INDEX(皮肤宠物!$H$18:$H$67,MATCH(EV30,皮肤宠物!N$18:N$67,1)),0)</f>
        <v>6</v>
      </c>
      <c r="EZ30" s="90">
        <f ca="1">_xlfn.IFNA(INDEX(皮肤宠物!C$18:C$67,MATCH(EW30,皮肤宠物!$A$18:$A$67,0))+1,1)</f>
        <v>1.1000000000000001</v>
      </c>
      <c r="FA30" s="90">
        <f ca="1">_xlfn.IFNA(INDEX(皮肤宠物!D$18:D$67,MATCH(EX30,皮肤宠物!$A$18:$A$67,0))+1,1)</f>
        <v>1.1599999999999999</v>
      </c>
      <c r="FB30" s="90">
        <f ca="1">_xlfn.IFNA(INDEX(皮肤宠物!E$18:E$67,MATCH(EY30,皮肤宠物!$A$18:$A$67,0))+1,1)</f>
        <v>1.24</v>
      </c>
      <c r="FD30" s="90">
        <f t="shared" ca="1" si="53"/>
        <v>4.620000000000001</v>
      </c>
      <c r="FE30" s="90">
        <f t="shared" si="54"/>
        <v>1.54</v>
      </c>
      <c r="FF30" s="90">
        <f t="shared" ca="1" si="55"/>
        <v>1.24</v>
      </c>
      <c r="FG30" s="90">
        <f t="shared" ca="1" si="56"/>
        <v>8.8223520000000022</v>
      </c>
    </row>
    <row r="31" spans="1:163" x14ac:dyDescent="0.25">
      <c r="A31" s="123">
        <v>25</v>
      </c>
      <c r="B31" s="123">
        <f>INDEX(关卡对比!$Y:$Y,MATCH(关卡对比!Z31,关卡对比!$AA:$AA,1))</f>
        <v>17</v>
      </c>
      <c r="C31" s="124">
        <f>INDEX(关卡对比!$Y:$Y,MATCH(关卡对比!Z31,关卡对比!$AB:$AB,1))</f>
        <v>15</v>
      </c>
      <c r="D31" s="125">
        <f t="shared" si="63"/>
        <v>83.5</v>
      </c>
      <c r="E31" s="125">
        <v>2</v>
      </c>
      <c r="F31" s="128">
        <v>16</v>
      </c>
      <c r="G31" s="90">
        <v>16</v>
      </c>
      <c r="H31" s="90">
        <v>5</v>
      </c>
      <c r="J31" s="128">
        <v>25</v>
      </c>
      <c r="K31" s="90">
        <f t="shared" si="17"/>
        <v>16</v>
      </c>
      <c r="L31" s="90">
        <f t="shared" si="18"/>
        <v>16</v>
      </c>
      <c r="M31" s="90">
        <f t="shared" si="19"/>
        <v>5</v>
      </c>
      <c r="N31" s="140">
        <f>INDEX($A:$A,MATCH(SUM($K$7:K31),$D:$D,1))</f>
        <v>104</v>
      </c>
      <c r="O31" s="140">
        <v>0</v>
      </c>
      <c r="P31" s="141">
        <v>0</v>
      </c>
      <c r="Q31" s="126">
        <f>_xlfn.MAXIFS(关卡产出!X:X,关卡产出!$A:$A,玩家节奏2!$N$6,关卡产出!$B:$B,玩家节奏2!$N31)+_xlfn.MAXIFS(关卡产出!X:X,关卡产出!$A:$A,玩家节奏2!$O$6,关卡产出!$B:$B,玩家节奏2!$O31)+_xlfn.MAXIFS(关卡产出!X:X,关卡产出!$A:$A,玩家节奏2!$P$6,关卡产出!$B:$B,玩家节奏2!$P31)</f>
        <v>19300</v>
      </c>
      <c r="R31" s="90">
        <f>_xlfn.MAXIFS(关卡产出!Y:Y,关卡产出!$A:$A,玩家节奏2!$N$6,关卡产出!$B:$B,玩家节奏2!$N31)+_xlfn.MAXIFS(关卡产出!Y:Y,关卡产出!$A:$A,玩家节奏2!$O$6,关卡产出!$B:$B,玩家节奏2!$O31)+_xlfn.MAXIFS(关卡产出!Y:Y,关卡产出!$A:$A,玩家节奏2!$P$6,关卡产出!$B:$B,玩家节奏2!$P31)</f>
        <v>3046800</v>
      </c>
      <c r="S31" s="90">
        <f>_xlfn.MAXIFS(关卡产出!Z:Z,关卡产出!$A:$A,玩家节奏2!$N$6,关卡产出!$B:$B,玩家节奏2!$N31)+_xlfn.MAXIFS(关卡产出!Z:Z,关卡产出!$A:$A,玩家节奏2!$O$6,关卡产出!$B:$B,玩家节奏2!$O31)+_xlfn.MAXIFS(关卡产出!Z:Z,关卡产出!$A:$A,玩家节奏2!$P$6,关卡产出!$B:$B,玩家节奏2!$P31)</f>
        <v>21074</v>
      </c>
      <c r="T31" s="90">
        <f>_xlfn.MAXIFS(关卡产出!AA:AA,关卡产出!$A:$A,玩家节奏2!$N$6,关卡产出!$B:$B,玩家节奏2!$N31)+_xlfn.MAXIFS(关卡产出!AA:AA,关卡产出!$A:$A,玩家节奏2!$O$6,关卡产出!$B:$B,玩家节奏2!$O31)+_xlfn.MAXIFS(关卡产出!AA:AA,关卡产出!$A:$A,玩家节奏2!$P$6,关卡产出!$B:$B,玩家节奏2!$P31)</f>
        <v>10538</v>
      </c>
      <c r="U31" s="90">
        <f>_xlfn.MAXIFS(关卡产出!AB:AB,关卡产出!$A:$A,玩家节奏2!$N$6,关卡产出!$B:$B,玩家节奏2!$N31)+_xlfn.MAXIFS(关卡产出!AB:AB,关卡产出!$A:$A,玩家节奏2!$O$6,关卡产出!$B:$B,玩家节奏2!$O31)+_xlfn.MAXIFS(关卡产出!AB:AB,关卡产出!$A:$A,玩家节奏2!$P$6,关卡产出!$B:$B,玩家节奏2!$P31)</f>
        <v>4953</v>
      </c>
      <c r="V31" s="130">
        <f>_xlfn.MAXIFS(关卡产出!AC:AC,关卡产出!$A:$A,玩家节奏2!$N$6,关卡产出!$B:$B,玩家节奏2!$N31)+_xlfn.MAXIFS(关卡产出!AC:AC,关卡产出!$A:$A,玩家节奏2!$O$6,关卡产出!$B:$B,玩家节奏2!$O31)+_xlfn.MAXIFS(关卡产出!AC:AC,关卡产出!$A:$A,玩家节奏2!$P$6,关卡产出!$B:$B,玩家节奏2!$P31)</f>
        <v>624</v>
      </c>
      <c r="W31" s="126">
        <f>INDEX(关卡产出!C$8:C$207,MATCH(玩家节奏2!$N31,关卡产出!$B$8:$B$207,0))*$K31</f>
        <v>1312</v>
      </c>
      <c r="X31" s="126">
        <f>INDEX(关卡产出!D$8:D$207,MATCH(玩家节奏2!$N31,关卡产出!$B$8:$B$207,0))*$K31</f>
        <v>656</v>
      </c>
      <c r="Y31" s="126">
        <f>INDEX(关卡产出!E$8:E$207,MATCH(玩家节奏2!$N31,关卡产出!$B$8:$B$207,0))*$K31</f>
        <v>320</v>
      </c>
      <c r="Z31" s="144">
        <f>INDEX(关卡产出!F$8:F$207,MATCH(玩家节奏2!$N31,关卡产出!$B$8:$B$207,0))*$K31</f>
        <v>17440</v>
      </c>
      <c r="AA31" s="126">
        <f>SUM(W$7:W31)</f>
        <v>17726</v>
      </c>
      <c r="AB31" s="126">
        <f>SUM(X$7:X31)</f>
        <v>8771</v>
      </c>
      <c r="AC31" s="126">
        <f>SUM(Y$7:Y31)</f>
        <v>4147</v>
      </c>
      <c r="AD31" s="177">
        <f>SUM(Z$7:Z31)</f>
        <v>252250</v>
      </c>
      <c r="AE31" s="128">
        <f>INDEX(图鉴!AQ:AQ,MATCH($N31,图鉴!$S:$S,0))*34</f>
        <v>714</v>
      </c>
      <c r="AF31" s="90">
        <f>INDEX(图鉴!AR:AR,MATCH($N31,图鉴!$S:$S,0))*34</f>
        <v>510</v>
      </c>
      <c r="AG31" s="90">
        <f>INDEX(图鉴!AS:AS,MATCH($N31,图鉴!$S:$S,0))*34</f>
        <v>204</v>
      </c>
      <c r="AH31" s="129">
        <f ca="1">INDEX(图鉴!AT:AT,MATCH($N31,图鉴!$S:$S,0))*34</f>
        <v>42500</v>
      </c>
      <c r="AI31" s="128">
        <f>SUM($AE$7:AE31)</f>
        <v>15946</v>
      </c>
      <c r="AJ31" s="90">
        <f>SUM(AF$7:AF31)</f>
        <v>9282</v>
      </c>
      <c r="AK31" s="90">
        <f>SUM(AG$7:AG31)</f>
        <v>3162</v>
      </c>
      <c r="AL31" s="130">
        <f ca="1">SUM(AH$7:AH31)</f>
        <v>704106</v>
      </c>
      <c r="AM31" s="133">
        <f>IF(M31=0,0,INDEX(关卡产出!$AU$11:$AU$15,MATCH(玩家节奏2!N31,关卡产出!$AW$11:$AW$15,1))*M31)</f>
        <v>61000</v>
      </c>
      <c r="AN31" s="126">
        <f>IF(L31=0,0,$L31*关卡产出!AU$21)</f>
        <v>16000</v>
      </c>
      <c r="AO31" s="90">
        <f>IF(M31=0,0,$L31*关卡产出!AV$21)</f>
        <v>800</v>
      </c>
      <c r="AP31" s="129">
        <f>IF(N31=0,0,$L31*关卡产出!AW$21)</f>
        <v>16</v>
      </c>
      <c r="AQ31" s="138">
        <f>SUM(AN$7:AN31)</f>
        <v>352000</v>
      </c>
      <c r="AR31" s="126">
        <f>SUM(AO$7:AO31)</f>
        <v>17600</v>
      </c>
      <c r="AS31" s="129">
        <f>SUM(AP$7:AP31)</f>
        <v>352</v>
      </c>
      <c r="AT31" s="128">
        <v>3000</v>
      </c>
      <c r="AU31" s="129">
        <v>600</v>
      </c>
      <c r="AV31" s="128">
        <f>SUM(AT$7:AT31)</f>
        <v>75000</v>
      </c>
      <c r="AW31" s="90">
        <f>SUM(AU$7:AU31)</f>
        <v>15000</v>
      </c>
      <c r="AY31" s="128">
        <f t="shared" si="20"/>
        <v>19300</v>
      </c>
      <c r="AZ31" s="90">
        <f t="shared" si="21"/>
        <v>17600</v>
      </c>
      <c r="BA31" s="90">
        <f t="shared" si="22"/>
        <v>15000</v>
      </c>
      <c r="BB31" s="90">
        <f t="shared" ca="1" si="57"/>
        <v>6700</v>
      </c>
      <c r="BC31" s="90">
        <f t="shared" ca="1" si="60"/>
        <v>31475</v>
      </c>
      <c r="BD31" s="90">
        <f t="shared" ca="1" si="61"/>
        <v>27125</v>
      </c>
      <c r="BE31" s="90">
        <f t="shared" ca="1" si="24"/>
        <v>58600</v>
      </c>
      <c r="BF31" s="142">
        <f t="shared" ca="1" si="0"/>
        <v>0.6131850675138999</v>
      </c>
      <c r="BG31" s="142">
        <f t="shared" ca="1" si="1"/>
        <v>0.55917394757744243</v>
      </c>
      <c r="BH31" s="142">
        <f t="shared" ca="1" si="2"/>
        <v>0.47656870532168388</v>
      </c>
      <c r="BI31" s="142">
        <f t="shared" ca="1" si="3"/>
        <v>0.21286735504368545</v>
      </c>
      <c r="BJ31" s="143"/>
      <c r="BK31" s="128">
        <f ca="1">INDEX(商城宝箱!$L:$L,MATCH(BC31,商城宝箱!$N:$N,1))</f>
        <v>7</v>
      </c>
      <c r="BL31" s="90">
        <f ca="1">_xlfn.IFNA(INDEX(商城宝箱!T:T,MATCH(玩家节奏2!$BK31,商城宝箱!$L:$L,0)),0)+($BC31-INDEX(商城宝箱!$N:$N,MATCH(玩家节奏2!$BK31,商城宝箱!$L:$L,0)))/$BK$5*INDEX(商城宝箱!E$23:E$42,MATCH(玩家节奏2!$BK31+1,商城宝箱!$C$23:$C$42,0))</f>
        <v>78687.5</v>
      </c>
      <c r="BM31" s="90">
        <f ca="1">_xlfn.IFNA(INDEX(商城宝箱!U:U,MATCH(玩家节奏2!$BK31,商城宝箱!$L:$L,0)),0)+($BC31-INDEX(商城宝箱!$N:$N,MATCH(玩家节奏2!$BK31,商城宝箱!$L:$L,0)))/$BK$5*INDEX(商城宝箱!F$23:F$42,MATCH(玩家节奏2!$BK31+1,商城宝箱!$C$23:$C$42,0))</f>
        <v>35068.75</v>
      </c>
      <c r="BN31" s="90">
        <f ca="1">_xlfn.IFNA(INDEX(商城宝箱!V:V,MATCH(玩家节奏2!$BK31,商城宝箱!$L:$L,0)),0)+($BC31-INDEX(商城宝箱!$N:$N,MATCH(玩家节奏2!$BK31,商城宝箱!$L:$L,0)))/$BK$5*INDEX(商城宝箱!G$23:G$42,MATCH(玩家节奏2!$BK31+1,商城宝箱!$C$23:$C$42,0))</f>
        <v>21368.25</v>
      </c>
      <c r="BO31" s="90">
        <f ca="1">_xlfn.IFNA(INDEX(商城宝箱!W:W,MATCH(玩家节奏2!$BK31,商城宝箱!$L:$L,0)),0)+($BC31-INDEX(商城宝箱!$N:$N,MATCH(玩家节奏2!$BK31,商城宝箱!$L:$L,0)))/$BK$5*INDEX(商城宝箱!H$23:H$42,MATCH(玩家节奏2!$BK31+1,商城宝箱!$C$23:$C$42,0))</f>
        <v>2857.75</v>
      </c>
      <c r="BQ31" s="128">
        <f t="shared" si="4"/>
        <v>3046800</v>
      </c>
      <c r="BR31" s="90">
        <f t="shared" si="5"/>
        <v>252250</v>
      </c>
      <c r="BS31" s="90">
        <f t="shared" ca="1" si="6"/>
        <v>704106</v>
      </c>
      <c r="BT31" s="90">
        <f t="shared" si="7"/>
        <v>61000</v>
      </c>
      <c r="BU31" s="90">
        <f t="shared" si="8"/>
        <v>352000</v>
      </c>
      <c r="BV31" s="90">
        <f t="shared" si="9"/>
        <v>75000</v>
      </c>
      <c r="BW31" s="90">
        <f t="shared" ca="1" si="25"/>
        <v>78687.5</v>
      </c>
      <c r="BX31" s="90">
        <f t="shared" ca="1" si="26"/>
        <v>4569843.5</v>
      </c>
      <c r="BY31" s="142">
        <f t="shared" ca="1" si="27"/>
        <v>0.66671867428282827</v>
      </c>
      <c r="BZ31" s="142">
        <f t="shared" ca="1" si="27"/>
        <v>5.5198826830721887E-2</v>
      </c>
      <c r="CA31" s="142">
        <f t="shared" ca="1" si="27"/>
        <v>0.15407661115747182</v>
      </c>
      <c r="CB31" s="142">
        <f t="shared" ca="1" si="27"/>
        <v>1.3348378341621546E-2</v>
      </c>
      <c r="CC31" s="142">
        <f t="shared" ca="1" si="27"/>
        <v>7.7026707807389905E-2</v>
      </c>
      <c r="CD31" s="142">
        <f t="shared" ca="1" si="27"/>
        <v>1.6411940583960918E-2</v>
      </c>
      <c r="CE31" s="142">
        <f t="shared" ca="1" si="27"/>
        <v>1.7218860996005662E-2</v>
      </c>
      <c r="CG31" s="128">
        <f t="shared" si="28"/>
        <v>104</v>
      </c>
      <c r="CH31" s="90">
        <f ca="1">INDEX(角色升级!$A:$A,MATCH(玩家节奏2!$BX31,角色升级!$J:$J,1))</f>
        <v>557</v>
      </c>
      <c r="CI31" s="90">
        <f ca="1">INDEX(角色升级!$O:$O,MATCH(玩家节奏2!$BX31,角色升级!$J:$J,1))</f>
        <v>24434.499769999995</v>
      </c>
      <c r="CJ31" s="90">
        <f>INDEX(关卡对比!$J:$J,MATCH(玩家节奏2!N31,关卡对比!$A:$A,0))</f>
        <v>38200</v>
      </c>
      <c r="CK31" s="147">
        <f t="shared" ca="1" si="29"/>
        <v>1.5633632920490932</v>
      </c>
      <c r="CL31" s="128">
        <f ca="1">INDEX(角色升级!$P:$P,MATCH(玩家节奏2!$CH31,角色升级!$A:$A,0))</f>
        <v>7700</v>
      </c>
      <c r="CM31" s="90">
        <f ca="1">INDEX(角色升级!Q:Q,MATCH(玩家节奏2!$CH31,角色升级!$A:$A,0))</f>
        <v>0.9</v>
      </c>
      <c r="CO31" s="128">
        <f t="shared" si="30"/>
        <v>21074</v>
      </c>
      <c r="CP31" s="90">
        <f t="shared" si="31"/>
        <v>17726</v>
      </c>
      <c r="CQ31" s="90">
        <f t="shared" si="32"/>
        <v>15946</v>
      </c>
      <c r="CR31" s="90">
        <f t="shared" ca="1" si="33"/>
        <v>35068.75</v>
      </c>
      <c r="CS31" s="90">
        <f t="shared" ca="1" si="34"/>
        <v>89814.75</v>
      </c>
      <c r="CT31" s="142">
        <f t="shared" ca="1" si="35"/>
        <v>0.2346385198422308</v>
      </c>
      <c r="CU31" s="142">
        <f t="shared" ca="1" si="35"/>
        <v>0.19736179191057149</v>
      </c>
      <c r="CV31" s="142">
        <f t="shared" ca="1" si="35"/>
        <v>0.17754322090747901</v>
      </c>
      <c r="CW31" s="142">
        <f t="shared" ca="1" si="35"/>
        <v>0.39045646733971867</v>
      </c>
      <c r="CY31" s="128">
        <f t="shared" si="36"/>
        <v>10538</v>
      </c>
      <c r="CZ31" s="90">
        <f t="shared" si="37"/>
        <v>8771</v>
      </c>
      <c r="DA31" s="90">
        <f t="shared" si="38"/>
        <v>9282</v>
      </c>
      <c r="DB31" s="90">
        <f t="shared" ca="1" si="58"/>
        <v>21368.25</v>
      </c>
      <c r="DC31" s="90">
        <f t="shared" ca="1" si="39"/>
        <v>49959.25</v>
      </c>
      <c r="DD31" s="142">
        <f t="shared" ca="1" si="40"/>
        <v>0.2109319095062476</v>
      </c>
      <c r="DE31" s="142">
        <f t="shared" ca="1" si="40"/>
        <v>0.1755630839133894</v>
      </c>
      <c r="DF31" s="142">
        <f t="shared" ca="1" si="40"/>
        <v>0.18579142000730595</v>
      </c>
      <c r="DG31" s="142">
        <f t="shared" ca="1" si="40"/>
        <v>0.42771358657305703</v>
      </c>
      <c r="DI31" s="128">
        <f t="shared" si="41"/>
        <v>4953</v>
      </c>
      <c r="DJ31" s="90">
        <f t="shared" si="42"/>
        <v>4147</v>
      </c>
      <c r="DK31" s="90">
        <f t="shared" si="43"/>
        <v>3162</v>
      </c>
      <c r="DL31" s="90">
        <f t="shared" ca="1" si="44"/>
        <v>2857.75</v>
      </c>
      <c r="DM31" s="90">
        <f t="shared" ca="1" si="45"/>
        <v>15119.75</v>
      </c>
      <c r="DN31" s="142">
        <f t="shared" ca="1" si="46"/>
        <v>0.32758478149440301</v>
      </c>
      <c r="DO31" s="142">
        <f t="shared" ca="1" si="46"/>
        <v>0.27427702177615371</v>
      </c>
      <c r="DP31" s="142">
        <f t="shared" ca="1" si="46"/>
        <v>0.20913044197159344</v>
      </c>
      <c r="DQ31" s="142">
        <f t="shared" ca="1" si="46"/>
        <v>0.18900775475784984</v>
      </c>
      <c r="DS31" s="128">
        <f t="shared" ca="1" si="47"/>
        <v>89814.75</v>
      </c>
      <c r="DT31" s="90">
        <f t="shared" ca="1" si="48"/>
        <v>49959.25</v>
      </c>
      <c r="DU31" s="90">
        <f t="shared" ca="1" si="49"/>
        <v>15119.75</v>
      </c>
      <c r="DV31" s="90">
        <f t="shared" si="50"/>
        <v>352</v>
      </c>
      <c r="DW31" s="90">
        <f ca="1">_xlfn.IFNA(INDEX(武器升级消耗!$H:$H,MATCH(玩家节奏2!DS31/玩家节奏2!DS$5,武器升级消耗!M:M,1)),0)</f>
        <v>28</v>
      </c>
      <c r="DX31" s="90">
        <f ca="1">_xlfn.IFNA(INDEX(武器升级消耗!$H:$H,MATCH(玩家节奏2!DT31/玩家节奏2!DT$5,武器升级消耗!N:N,1)),0)</f>
        <v>25</v>
      </c>
      <c r="DY31" s="90">
        <f ca="1">_xlfn.IFNA(INDEX(武器升级消耗!$H:$H,MATCH(玩家节奏2!DU31/玩家节奏2!DU$5,武器升级消耗!O:O,1)),0)</f>
        <v>17</v>
      </c>
      <c r="DZ31" s="90">
        <f>_xlfn.IFNA(INDEX(武器升级消耗!$H:$H,MATCH(玩家节奏2!DV31/玩家节奏2!DV$5,武器升级消耗!P:P,1)),0)</f>
        <v>14</v>
      </c>
      <c r="EA31" s="90">
        <f ca="1">_xlfn.IFNA(INDEX(武器升级消耗!$Q:$Q,MATCH(玩家节奏2!DW31,武器升级消耗!$H:$H,0))*2*EA$4,0)</f>
        <v>3.84</v>
      </c>
      <c r="EB31" s="90">
        <f ca="1">_xlfn.IFNA(INDEX(武器升级消耗!$Q:$Q,MATCH(玩家节奏2!DX31,武器升级消耗!$H:$H,0))*2*EB$4,0)</f>
        <v>4.3499999999999996</v>
      </c>
      <c r="EC31" s="90">
        <f ca="1">_xlfn.IFNA(INDEX(武器升级消耗!$Q:$Q,MATCH(玩家节奏2!DY31,武器升级消耗!$H:$H,0))*2*EC$4,0)</f>
        <v>4.620000000000001</v>
      </c>
      <c r="ED31" s="90">
        <f>_xlfn.IFNA(INDEX(武器升级消耗!$Q:$Q,MATCH(玩家节奏2!DZ31,武器升级消耗!$H:$H,0))*2*ED$4,0)</f>
        <v>5.4</v>
      </c>
      <c r="EF31" s="128">
        <f t="shared" si="14"/>
        <v>0</v>
      </c>
      <c r="EG31" s="90">
        <f t="shared" si="15"/>
        <v>0</v>
      </c>
      <c r="EH31" s="90">
        <v>75</v>
      </c>
      <c r="EI31" s="90">
        <v>75</v>
      </c>
      <c r="EJ31" s="90">
        <f>_xlfn.IFNA(INDEX(皮肤宠物!$J$4:$J$13,MATCH(EF31+EH31,皮肤宠物!$L$4:$L$13,1)),0)</f>
        <v>4</v>
      </c>
      <c r="EK31" s="90">
        <f>_xlfn.IFNA(INDEX(皮肤宠物!$J$4:$J$13,MATCH(EG31+EI31,皮肤宠物!$L$4:$L$13,1)),0)</f>
        <v>4</v>
      </c>
      <c r="EL31" s="90">
        <f>_xlfn.IFNA(INDEX(皮肤宠物!$N$4:$N$13,MATCH(EF31+EH31,皮肤宠物!$L$4:$L$13,1)),1)</f>
        <v>1.54</v>
      </c>
      <c r="EM31" s="90">
        <f>_xlfn.IFNA(INDEX(皮肤宠物!$N$4:$N$13,MATCH(EG31+EI31,皮肤宠物!$L$4:$L$13,1)),1)</f>
        <v>1.54</v>
      </c>
      <c r="EO31" s="128">
        <v>75</v>
      </c>
      <c r="EP31" s="90">
        <v>25</v>
      </c>
      <c r="EQ31" s="90">
        <f t="shared" ca="1" si="51"/>
        <v>27125</v>
      </c>
      <c r="ER31" s="90">
        <f t="shared" si="16"/>
        <v>0</v>
      </c>
      <c r="ES31" s="90">
        <f t="shared" ca="1" si="52"/>
        <v>296.25</v>
      </c>
      <c r="ET31" s="90">
        <f ca="1">$ES31*ET$5*皮肤宠物!$J$75/4</f>
        <v>977.92124999999999</v>
      </c>
      <c r="EU31" s="90">
        <f ca="1">$ES31*EU$5*皮肤宠物!$J$76/4</f>
        <v>163.23375000000001</v>
      </c>
      <c r="EV31" s="90">
        <f ca="1">$ES31*EV$5*皮肤宠物!$J$77/4</f>
        <v>44.215312500000003</v>
      </c>
      <c r="EW31" s="90">
        <f ca="1">_xlfn.IFNA(INDEX(皮肤宠物!$H$18:$H$67,MATCH(ET31,皮肤宠物!L$18:L$67,1)),0)</f>
        <v>10</v>
      </c>
      <c r="EX31" s="90">
        <f ca="1">_xlfn.IFNA(INDEX(皮肤宠物!$H$18:$H$67,MATCH(EU31,皮肤宠物!M$18:M$67,1)),0)</f>
        <v>8</v>
      </c>
      <c r="EY31" s="90">
        <f ca="1">_xlfn.IFNA(INDEX(皮肤宠物!$H$18:$H$67,MATCH(EV31,皮肤宠物!N$18:N$67,1)),0)</f>
        <v>6</v>
      </c>
      <c r="EZ31" s="90">
        <f ca="1">_xlfn.IFNA(INDEX(皮肤宠物!C$18:C$67,MATCH(EW31,皮肤宠物!$A$18:$A$67,0))+1,1)</f>
        <v>1.1000000000000001</v>
      </c>
      <c r="FA31" s="90">
        <f ca="1">_xlfn.IFNA(INDEX(皮肤宠物!D$18:D$67,MATCH(EX31,皮肤宠物!$A$18:$A$67,0))+1,1)</f>
        <v>1.1599999999999999</v>
      </c>
      <c r="FB31" s="90">
        <f ca="1">_xlfn.IFNA(INDEX(皮肤宠物!E$18:E$67,MATCH(EY31,皮肤宠物!$A$18:$A$67,0))+1,1)</f>
        <v>1.24</v>
      </c>
      <c r="FD31" s="90">
        <f t="shared" ca="1" si="53"/>
        <v>4.620000000000001</v>
      </c>
      <c r="FE31" s="90">
        <f t="shared" si="54"/>
        <v>1.54</v>
      </c>
      <c r="FF31" s="90">
        <f t="shared" ca="1" si="55"/>
        <v>1.24</v>
      </c>
      <c r="FG31" s="90">
        <f t="shared" ca="1" si="56"/>
        <v>8.8223520000000022</v>
      </c>
    </row>
    <row r="32" spans="1:163" x14ac:dyDescent="0.25">
      <c r="A32" s="123">
        <v>26</v>
      </c>
      <c r="B32" s="123">
        <f>INDEX(关卡对比!$Y:$Y,MATCH(关卡对比!Z32,关卡对比!$AA:$AA,1))</f>
        <v>18</v>
      </c>
      <c r="C32" s="124">
        <f>INDEX(关卡对比!$Y:$Y,MATCH(关卡对比!Z32,关卡对比!$AB:$AB,1))</f>
        <v>15</v>
      </c>
      <c r="D32" s="125">
        <f t="shared" si="63"/>
        <v>87.5</v>
      </c>
      <c r="E32" s="125">
        <v>2</v>
      </c>
      <c r="F32" s="128">
        <v>16</v>
      </c>
      <c r="G32" s="90">
        <v>16</v>
      </c>
      <c r="H32" s="90">
        <v>5</v>
      </c>
      <c r="J32" s="128">
        <v>26</v>
      </c>
      <c r="K32" s="90">
        <f t="shared" si="17"/>
        <v>16</v>
      </c>
      <c r="L32" s="90">
        <f t="shared" si="18"/>
        <v>16</v>
      </c>
      <c r="M32" s="90">
        <f t="shared" si="19"/>
        <v>5</v>
      </c>
      <c r="N32" s="140">
        <f>INDEX($A:$A,MATCH(SUM($K$7:K32),$D:$D,1))</f>
        <v>109</v>
      </c>
      <c r="O32" s="140">
        <v>0</v>
      </c>
      <c r="P32" s="141">
        <v>0</v>
      </c>
      <c r="Q32" s="126">
        <f>_xlfn.MAXIFS(关卡产出!X:X,关卡产出!$A:$A,玩家节奏2!$N$6,关卡产出!$B:$B,玩家节奏2!$N32)+_xlfn.MAXIFS(关卡产出!X:X,关卡产出!$A:$A,玩家节奏2!$O$6,关卡产出!$B:$B,玩家节奏2!$O32)+_xlfn.MAXIFS(关卡产出!X:X,关卡产出!$A:$A,玩家节奏2!$P$6,关卡产出!$B:$B,玩家节奏2!$P32)</f>
        <v>20300</v>
      </c>
      <c r="R32" s="90">
        <f>_xlfn.MAXIFS(关卡产出!Y:Y,关卡产出!$A:$A,玩家节奏2!$N$6,关卡产出!$B:$B,玩家节奏2!$N32)+_xlfn.MAXIFS(关卡产出!Y:Y,关卡产出!$A:$A,玩家节奏2!$O$6,关卡产出!$B:$B,玩家节奏2!$O32)+_xlfn.MAXIFS(关卡产出!Y:Y,关卡产出!$A:$A,玩家节奏2!$P$6,关卡产出!$B:$B,玩家节奏2!$P32)</f>
        <v>3356300</v>
      </c>
      <c r="S32" s="90">
        <f>_xlfn.MAXIFS(关卡产出!Z:Z,关卡产出!$A:$A,玩家节奏2!$N$6,关卡产出!$B:$B,玩家节奏2!$N32)+_xlfn.MAXIFS(关卡产出!Z:Z,关卡产出!$A:$A,玩家节奏2!$O$6,关卡产出!$B:$B,玩家节奏2!$O32)+_xlfn.MAXIFS(关卡产出!Z:Z,关卡产出!$A:$A,玩家节奏2!$P$6,关卡产出!$B:$B,玩家节奏2!$P32)</f>
        <v>23174</v>
      </c>
      <c r="T32" s="90">
        <f>_xlfn.MAXIFS(关卡产出!AA:AA,关卡产出!$A:$A,玩家节奏2!$N$6,关卡产出!$B:$B,玩家节奏2!$N32)+_xlfn.MAXIFS(关卡产出!AA:AA,关卡产出!$A:$A,玩家节奏2!$O$6,关卡产出!$B:$B,玩家节奏2!$O32)+_xlfn.MAXIFS(关卡产出!AA:AA,关卡产出!$A:$A,玩家节奏2!$P$6,关卡产出!$B:$B,玩家节奏2!$P32)</f>
        <v>11588</v>
      </c>
      <c r="U32" s="90">
        <f>_xlfn.MAXIFS(关卡产出!AB:AB,关卡产出!$A:$A,玩家节奏2!$N$6,关卡产出!$B:$B,玩家节奏2!$N32)+_xlfn.MAXIFS(关卡产出!AB:AB,关卡产出!$A:$A,玩家节奏2!$O$6,关卡产出!$B:$B,玩家节奏2!$O32)+_xlfn.MAXIFS(关卡产出!AB:AB,关卡产出!$A:$A,玩家节奏2!$P$6,关卡产出!$B:$B,玩家节奏2!$P32)</f>
        <v>5463</v>
      </c>
      <c r="V32" s="130">
        <f>_xlfn.MAXIFS(关卡产出!AC:AC,关卡产出!$A:$A,玩家节奏2!$N$6,关卡产出!$B:$B,玩家节奏2!$N32)+_xlfn.MAXIFS(关卡产出!AC:AC,关卡产出!$A:$A,玩家节奏2!$O$6,关卡产出!$B:$B,玩家节奏2!$O32)+_xlfn.MAXIFS(关卡产出!AC:AC,关卡产出!$A:$A,玩家节奏2!$P$6,关卡产出!$B:$B,玩家节奏2!$P32)</f>
        <v>654</v>
      </c>
      <c r="W32" s="126">
        <f>INDEX(关卡产出!C$8:C$207,MATCH(玩家节奏2!$N32,关卡产出!$B$8:$B$207,0))*$K32</f>
        <v>1376</v>
      </c>
      <c r="X32" s="126">
        <f>INDEX(关卡产出!D$8:D$207,MATCH(玩家节奏2!$N32,关卡产出!$B$8:$B$207,0))*$K32</f>
        <v>688</v>
      </c>
      <c r="Y32" s="126">
        <f>INDEX(关卡产出!E$8:E$207,MATCH(玩家节奏2!$N32,关卡产出!$B$8:$B$207,0))*$K32</f>
        <v>336</v>
      </c>
      <c r="Z32" s="144">
        <f>INDEX(关卡产出!F$8:F$207,MATCH(玩家节奏2!$N32,关卡产出!$B$8:$B$207,0))*$K32</f>
        <v>18400</v>
      </c>
      <c r="AA32" s="126">
        <f>SUM(W$7:W32)</f>
        <v>19102</v>
      </c>
      <c r="AB32" s="126">
        <f>SUM(X$7:X32)</f>
        <v>9459</v>
      </c>
      <c r="AC32" s="126">
        <f>SUM(Y$7:Y32)</f>
        <v>4483</v>
      </c>
      <c r="AD32" s="177">
        <f>SUM(Z$7:Z32)</f>
        <v>270650</v>
      </c>
      <c r="AE32" s="128">
        <f>INDEX(图鉴!AQ:AQ,MATCH($N32,图鉴!$S:$S,0))*34</f>
        <v>714</v>
      </c>
      <c r="AF32" s="90">
        <f>INDEX(图鉴!AR:AR,MATCH($N32,图鉴!$S:$S,0))*34</f>
        <v>510</v>
      </c>
      <c r="AG32" s="90">
        <f>INDEX(图鉴!AS:AS,MATCH($N32,图鉴!$S:$S,0))*34</f>
        <v>204</v>
      </c>
      <c r="AH32" s="129">
        <f ca="1">INDEX(图鉴!AT:AT,MATCH($N32,图鉴!$S:$S,0))*34</f>
        <v>42500</v>
      </c>
      <c r="AI32" s="128">
        <f>SUM($AE$7:AE32)</f>
        <v>16660</v>
      </c>
      <c r="AJ32" s="90">
        <f>SUM(AF$7:AF32)</f>
        <v>9792</v>
      </c>
      <c r="AK32" s="90">
        <f>SUM(AG$7:AG32)</f>
        <v>3366</v>
      </c>
      <c r="AL32" s="130">
        <f ca="1">SUM(AH$7:AH32)</f>
        <v>746606</v>
      </c>
      <c r="AM32" s="133">
        <f>IF(M32=0,0,INDEX(关卡产出!$AU$11:$AU$15,MATCH(玩家节奏2!N32,关卡产出!$AW$11:$AW$15,1))*M32)</f>
        <v>61000</v>
      </c>
      <c r="AN32" s="126">
        <f>IF(L32=0,0,$L32*关卡产出!AU$21)</f>
        <v>16000</v>
      </c>
      <c r="AO32" s="90">
        <f>IF(M32=0,0,$L32*关卡产出!AV$21)</f>
        <v>800</v>
      </c>
      <c r="AP32" s="129">
        <f>IF(N32=0,0,$L32*关卡产出!AW$21)</f>
        <v>16</v>
      </c>
      <c r="AQ32" s="138">
        <f>SUM(AN$7:AN32)</f>
        <v>368000</v>
      </c>
      <c r="AR32" s="126">
        <f>SUM(AO$7:AO32)</f>
        <v>18400</v>
      </c>
      <c r="AS32" s="129">
        <f>SUM(AP$7:AP32)</f>
        <v>368</v>
      </c>
      <c r="AT32" s="128">
        <v>3000</v>
      </c>
      <c r="AU32" s="129">
        <v>600</v>
      </c>
      <c r="AV32" s="128">
        <f>SUM(AT$7:AT32)</f>
        <v>78000</v>
      </c>
      <c r="AW32" s="90">
        <f>SUM(AU$7:AU32)</f>
        <v>15600</v>
      </c>
      <c r="AY32" s="128">
        <f t="shared" si="20"/>
        <v>20300</v>
      </c>
      <c r="AZ32" s="90">
        <f t="shared" si="21"/>
        <v>18400</v>
      </c>
      <c r="BA32" s="90">
        <f t="shared" si="22"/>
        <v>15600</v>
      </c>
      <c r="BB32" s="90">
        <f t="shared" ca="1" si="57"/>
        <v>7700</v>
      </c>
      <c r="BC32" s="90">
        <f t="shared" ca="1" si="60"/>
        <v>33175</v>
      </c>
      <c r="BD32" s="90">
        <f t="shared" ca="1" si="61"/>
        <v>28825</v>
      </c>
      <c r="BE32" s="90">
        <f t="shared" ca="1" si="24"/>
        <v>62000</v>
      </c>
      <c r="BF32" s="142">
        <f t="shared" ca="1" si="0"/>
        <v>0.611906556141673</v>
      </c>
      <c r="BG32" s="142">
        <f t="shared" ca="1" si="1"/>
        <v>0.55463451394122076</v>
      </c>
      <c r="BH32" s="142">
        <f t="shared" ca="1" si="2"/>
        <v>0.47023360964581762</v>
      </c>
      <c r="BI32" s="142">
        <f t="shared" ca="1" si="3"/>
        <v>0.2321024868123587</v>
      </c>
      <c r="BJ32" s="143"/>
      <c r="BK32" s="128">
        <f ca="1">INDEX(商城宝箱!$L:$L,MATCH(BC32,商城宝箱!$N:$N,1))</f>
        <v>8</v>
      </c>
      <c r="BL32" s="90">
        <f ca="1">_xlfn.IFNA(INDEX(商城宝箱!T:T,MATCH(玩家节奏2!$BK32,商城宝箱!$L:$L,0)),0)+($BC32-INDEX(商城宝箱!$N:$N,MATCH(玩家节奏2!$BK32,商城宝箱!$L:$L,0)))/$BK$5*INDEX(商城宝箱!E$23:E$42,MATCH(玩家节奏2!$BK32+1,商城宝箱!$C$23:$C$42,0))</f>
        <v>82937.5</v>
      </c>
      <c r="BM32" s="90">
        <f ca="1">_xlfn.IFNA(INDEX(商城宝箱!U:U,MATCH(玩家节奏2!$BK32,商城宝箱!$L:$L,0)),0)+($BC32-INDEX(商城宝箱!$N:$N,MATCH(玩家节奏2!$BK32,商城宝箱!$L:$L,0)))/$BK$5*INDEX(商城宝箱!F$23:F$42,MATCH(玩家节奏2!$BK32+1,商城宝箱!$C$23:$C$42,0))</f>
        <v>38527.5</v>
      </c>
      <c r="BN32" s="90">
        <f ca="1">_xlfn.IFNA(INDEX(商城宝箱!V:V,MATCH(玩家节奏2!$BK32,商城宝箱!$L:$L,0)),0)+($BC32-INDEX(商城宝箱!$N:$N,MATCH(玩家节奏2!$BK32,商城宝箱!$L:$L,0)))/$BK$5*INDEX(商城宝箱!G$23:G$42,MATCH(玩家节奏2!$BK32+1,商城宝箱!$C$23:$C$42,0))</f>
        <v>23860.75</v>
      </c>
      <c r="BO32" s="90">
        <f ca="1">_xlfn.IFNA(INDEX(商城宝箱!W:W,MATCH(玩家节奏2!$BK32,商城宝箱!$L:$L,0)),0)+($BC32-INDEX(商城宝箱!$N:$N,MATCH(玩家节奏2!$BK32,商城宝箱!$L:$L,0)))/$BK$5*INDEX(商城宝箱!H$23:H$42,MATCH(玩家节奏2!$BK32+1,商城宝箱!$C$23:$C$42,0))</f>
        <v>3155.75</v>
      </c>
      <c r="BQ32" s="128">
        <f t="shared" si="4"/>
        <v>3356300</v>
      </c>
      <c r="BR32" s="90">
        <f t="shared" si="5"/>
        <v>270650</v>
      </c>
      <c r="BS32" s="90">
        <f t="shared" ca="1" si="6"/>
        <v>746606</v>
      </c>
      <c r="BT32" s="90">
        <f t="shared" si="7"/>
        <v>61000</v>
      </c>
      <c r="BU32" s="90">
        <f t="shared" si="8"/>
        <v>368000</v>
      </c>
      <c r="BV32" s="90">
        <f t="shared" si="9"/>
        <v>78000</v>
      </c>
      <c r="BW32" s="90">
        <f t="shared" ca="1" si="25"/>
        <v>82937.5</v>
      </c>
      <c r="BX32" s="90">
        <f t="shared" ca="1" si="26"/>
        <v>4963493.5</v>
      </c>
      <c r="BY32" s="142">
        <f t="shared" ca="1" si="27"/>
        <v>0.67619711801778326</v>
      </c>
      <c r="BZ32" s="142">
        <f t="shared" ca="1" si="27"/>
        <v>5.4528126207881604E-2</v>
      </c>
      <c r="CA32" s="142">
        <f t="shared" ca="1" si="27"/>
        <v>0.15041945758567024</v>
      </c>
      <c r="CB32" s="142">
        <f t="shared" ca="1" si="27"/>
        <v>1.2289731013045549E-2</v>
      </c>
      <c r="CC32" s="142">
        <f t="shared" ca="1" si="27"/>
        <v>7.4141328078701024E-2</v>
      </c>
      <c r="CD32" s="142">
        <f t="shared" ca="1" si="27"/>
        <v>1.5714738016681194E-2</v>
      </c>
      <c r="CE32" s="142">
        <f t="shared" ca="1" si="27"/>
        <v>1.6709501080237135E-2</v>
      </c>
      <c r="CG32" s="128">
        <f t="shared" si="28"/>
        <v>109</v>
      </c>
      <c r="CH32" s="90">
        <f ca="1">INDEX(角色升级!$A:$A,MATCH(玩家节奏2!$BX32,角色升级!$J:$J,1))</f>
        <v>574</v>
      </c>
      <c r="CI32" s="90">
        <f ca="1">INDEX(角色升级!$O:$O,MATCH(玩家节奏2!$BX32,角色升级!$J:$J,1))</f>
        <v>25636.801850000003</v>
      </c>
      <c r="CJ32" s="90">
        <f>INDEX(关卡对比!$J:$J,MATCH(玩家节奏2!N32,关卡对比!$A:$A,0))</f>
        <v>40700</v>
      </c>
      <c r="CK32" s="147">
        <f t="shared" ca="1" si="29"/>
        <v>1.5875615155952065</v>
      </c>
      <c r="CL32" s="128">
        <f ca="1">INDEX(角色升级!$P:$P,MATCH(玩家节奏2!$CH32,角色升级!$A:$A,0))</f>
        <v>7700</v>
      </c>
      <c r="CM32" s="90">
        <f ca="1">INDEX(角色升级!Q:Q,MATCH(玩家节奏2!$CH32,角色升级!$A:$A,0))</f>
        <v>0.9</v>
      </c>
      <c r="CO32" s="128">
        <f t="shared" si="30"/>
        <v>23174</v>
      </c>
      <c r="CP32" s="90">
        <f t="shared" si="31"/>
        <v>19102</v>
      </c>
      <c r="CQ32" s="90">
        <f t="shared" si="32"/>
        <v>16660</v>
      </c>
      <c r="CR32" s="90">
        <f t="shared" ca="1" si="33"/>
        <v>38527.5</v>
      </c>
      <c r="CS32" s="90">
        <f t="shared" ca="1" si="34"/>
        <v>97463.5</v>
      </c>
      <c r="CT32" s="142">
        <f t="shared" ca="1" si="35"/>
        <v>0.2377710630133332</v>
      </c>
      <c r="CU32" s="142">
        <f t="shared" ca="1" si="35"/>
        <v>0.19599131982742257</v>
      </c>
      <c r="CV32" s="142">
        <f t="shared" ca="1" si="35"/>
        <v>0.17093578621740446</v>
      </c>
      <c r="CW32" s="142">
        <f t="shared" ca="1" si="35"/>
        <v>0.39530183094183974</v>
      </c>
      <c r="CY32" s="128">
        <f t="shared" si="36"/>
        <v>11588</v>
      </c>
      <c r="CZ32" s="90">
        <f t="shared" si="37"/>
        <v>9459</v>
      </c>
      <c r="DA32" s="90">
        <f t="shared" si="38"/>
        <v>9792</v>
      </c>
      <c r="DB32" s="90">
        <f t="shared" ca="1" si="58"/>
        <v>23860.75</v>
      </c>
      <c r="DC32" s="90">
        <f t="shared" ca="1" si="39"/>
        <v>54699.75</v>
      </c>
      <c r="DD32" s="142">
        <f t="shared" ca="1" si="40"/>
        <v>0.21184740332451246</v>
      </c>
      <c r="DE32" s="142">
        <f t="shared" ca="1" si="40"/>
        <v>0.17292583604129819</v>
      </c>
      <c r="DF32" s="142">
        <f t="shared" ca="1" si="40"/>
        <v>0.17901361523590145</v>
      </c>
      <c r="DG32" s="142">
        <f t="shared" ca="1" si="40"/>
        <v>0.43621314539828793</v>
      </c>
      <c r="DI32" s="128">
        <f t="shared" si="41"/>
        <v>5463</v>
      </c>
      <c r="DJ32" s="90">
        <f t="shared" si="42"/>
        <v>4483</v>
      </c>
      <c r="DK32" s="90">
        <f t="shared" si="43"/>
        <v>3366</v>
      </c>
      <c r="DL32" s="90">
        <f t="shared" ca="1" si="44"/>
        <v>3155.75</v>
      </c>
      <c r="DM32" s="90">
        <f t="shared" ca="1" si="45"/>
        <v>16467.75</v>
      </c>
      <c r="DN32" s="142">
        <f t="shared" ca="1" si="46"/>
        <v>0.33173930864872253</v>
      </c>
      <c r="DO32" s="142">
        <f t="shared" ca="1" si="46"/>
        <v>0.27222905375658485</v>
      </c>
      <c r="DP32" s="142">
        <f t="shared" ca="1" si="46"/>
        <v>0.2043995081295259</v>
      </c>
      <c r="DQ32" s="142">
        <f t="shared" ca="1" si="46"/>
        <v>0.19163212946516678</v>
      </c>
      <c r="DS32" s="128">
        <f t="shared" ca="1" si="47"/>
        <v>97463.5</v>
      </c>
      <c r="DT32" s="90">
        <f t="shared" ca="1" si="48"/>
        <v>54699.75</v>
      </c>
      <c r="DU32" s="90">
        <f t="shared" ca="1" si="49"/>
        <v>16467.75</v>
      </c>
      <c r="DV32" s="90">
        <f t="shared" si="50"/>
        <v>368</v>
      </c>
      <c r="DW32" s="90">
        <f ca="1">_xlfn.IFNA(INDEX(武器升级消耗!$H:$H,MATCH(玩家节奏2!DS32/玩家节奏2!DS$5,武器升级消耗!M:M,1)),0)</f>
        <v>29</v>
      </c>
      <c r="DX32" s="90">
        <f ca="1">_xlfn.IFNA(INDEX(武器升级消耗!$H:$H,MATCH(玩家节奏2!DT32/玩家节奏2!DT$5,武器升级消耗!N:N,1)),0)</f>
        <v>26</v>
      </c>
      <c r="DY32" s="90">
        <f ca="1">_xlfn.IFNA(INDEX(武器升级消耗!$H:$H,MATCH(玩家节奏2!DU32/玩家节奏2!DU$5,武器升级消耗!O:O,1)),0)</f>
        <v>18</v>
      </c>
      <c r="DZ32" s="90">
        <f>_xlfn.IFNA(INDEX(武器升级消耗!$H:$H,MATCH(玩家节奏2!DV32/玩家节奏2!DV$5,武器升级消耗!P:P,1)),0)</f>
        <v>14</v>
      </c>
      <c r="EA32" s="90">
        <f ca="1">_xlfn.IFNA(INDEX(武器升级消耗!$Q:$Q,MATCH(玩家节奏2!DW32,武器升级消耗!$H:$H,0))*2*EA$4,0)</f>
        <v>3.9599999999999995</v>
      </c>
      <c r="EB32" s="90">
        <f ca="1">_xlfn.IFNA(INDEX(武器升级消耗!$Q:$Q,MATCH(玩家节奏2!DX32,武器升级消耗!$H:$H,0))*2*EB$4,0)</f>
        <v>4.5</v>
      </c>
      <c r="EC32" s="90">
        <f ca="1">_xlfn.IFNA(INDEX(武器升级消耗!$Q:$Q,MATCH(玩家节奏2!DY32,武器升级消耗!$H:$H,0))*2*EC$4,0)</f>
        <v>4.8400000000000007</v>
      </c>
      <c r="ED32" s="90">
        <f>_xlfn.IFNA(INDEX(武器升级消耗!$Q:$Q,MATCH(玩家节奏2!DZ32,武器升级消耗!$H:$H,0))*2*ED$4,0)</f>
        <v>5.4</v>
      </c>
      <c r="EF32" s="128">
        <f t="shared" si="14"/>
        <v>0</v>
      </c>
      <c r="EG32" s="90">
        <f t="shared" si="15"/>
        <v>0</v>
      </c>
      <c r="EH32" s="90">
        <v>78</v>
      </c>
      <c r="EI32" s="90">
        <v>78</v>
      </c>
      <c r="EJ32" s="90">
        <f>_xlfn.IFNA(INDEX(皮肤宠物!$J$4:$J$13,MATCH(EF32+EH32,皮肤宠物!$L$4:$L$13,1)),0)</f>
        <v>4</v>
      </c>
      <c r="EK32" s="90">
        <f>_xlfn.IFNA(INDEX(皮肤宠物!$J$4:$J$13,MATCH(EG32+EI32,皮肤宠物!$L$4:$L$13,1)),0)</f>
        <v>4</v>
      </c>
      <c r="EL32" s="90">
        <f>_xlfn.IFNA(INDEX(皮肤宠物!$N$4:$N$13,MATCH(EF32+EH32,皮肤宠物!$L$4:$L$13,1)),1)</f>
        <v>1.54</v>
      </c>
      <c r="EM32" s="90">
        <f>_xlfn.IFNA(INDEX(皮肤宠物!$N$4:$N$13,MATCH(EG32+EI32,皮肤宠物!$L$4:$L$13,1)),1)</f>
        <v>1.54</v>
      </c>
      <c r="EO32" s="128">
        <v>78</v>
      </c>
      <c r="EP32" s="90">
        <v>26</v>
      </c>
      <c r="EQ32" s="90">
        <f t="shared" ca="1" si="51"/>
        <v>28825</v>
      </c>
      <c r="ER32" s="90">
        <f t="shared" si="16"/>
        <v>0</v>
      </c>
      <c r="ES32" s="90">
        <f t="shared" ca="1" si="52"/>
        <v>314.25</v>
      </c>
      <c r="ET32" s="90">
        <f ca="1">$ES32*ET$5*皮肤宠物!$J$75/4</f>
        <v>1037.33925</v>
      </c>
      <c r="EU32" s="90">
        <f ca="1">$ES32*EU$5*皮肤宠物!$J$76/4</f>
        <v>173.15175000000002</v>
      </c>
      <c r="EV32" s="90">
        <f ca="1">$ES32*EV$5*皮肤宠物!$J$77/4</f>
        <v>46.901812500000005</v>
      </c>
      <c r="EW32" s="90">
        <f ca="1">_xlfn.IFNA(INDEX(皮肤宠物!$H$18:$H$67,MATCH(ET32,皮肤宠物!L$18:L$67,1)),0)</f>
        <v>11</v>
      </c>
      <c r="EX32" s="90">
        <f ca="1">_xlfn.IFNA(INDEX(皮肤宠物!$H$18:$H$67,MATCH(EU32,皮肤宠物!M$18:M$67,1)),0)</f>
        <v>8</v>
      </c>
      <c r="EY32" s="90">
        <f ca="1">_xlfn.IFNA(INDEX(皮肤宠物!$H$18:$H$67,MATCH(EV32,皮肤宠物!N$18:N$67,1)),0)</f>
        <v>6</v>
      </c>
      <c r="EZ32" s="90">
        <f ca="1">_xlfn.IFNA(INDEX(皮肤宠物!C$18:C$67,MATCH(EW32,皮肤宠物!$A$18:$A$67,0))+1,1)</f>
        <v>1.1100000000000001</v>
      </c>
      <c r="FA32" s="90">
        <f ca="1">_xlfn.IFNA(INDEX(皮肤宠物!D$18:D$67,MATCH(EX32,皮肤宠物!$A$18:$A$67,0))+1,1)</f>
        <v>1.1599999999999999</v>
      </c>
      <c r="FB32" s="90">
        <f ca="1">_xlfn.IFNA(INDEX(皮肤宠物!E$18:E$67,MATCH(EY32,皮肤宠物!$A$18:$A$67,0))+1,1)</f>
        <v>1.24</v>
      </c>
      <c r="FD32" s="90">
        <f t="shared" ca="1" si="53"/>
        <v>4.8400000000000007</v>
      </c>
      <c r="FE32" s="90">
        <f t="shared" si="54"/>
        <v>1.54</v>
      </c>
      <c r="FF32" s="90">
        <f t="shared" ca="1" si="55"/>
        <v>1.24</v>
      </c>
      <c r="FG32" s="90">
        <f t="shared" ca="1" si="56"/>
        <v>9.2424640000000018</v>
      </c>
    </row>
    <row r="33" spans="1:163" x14ac:dyDescent="0.25">
      <c r="A33" s="123">
        <v>27</v>
      </c>
      <c r="B33" s="123">
        <f>INDEX(关卡对比!$Y:$Y,MATCH(关卡对比!Z33,关卡对比!$AA:$AA,1))</f>
        <v>18</v>
      </c>
      <c r="C33" s="124">
        <f>INDEX(关卡对比!$Y:$Y,MATCH(关卡对比!Z33,关卡对比!$AB:$AB,1))</f>
        <v>16</v>
      </c>
      <c r="D33" s="125">
        <f t="shared" si="63"/>
        <v>91.5</v>
      </c>
      <c r="E33" s="125">
        <v>2</v>
      </c>
      <c r="F33" s="128">
        <v>16</v>
      </c>
      <c r="G33" s="90">
        <v>16</v>
      </c>
      <c r="H33" s="90">
        <v>5</v>
      </c>
      <c r="J33" s="128">
        <v>27</v>
      </c>
      <c r="K33" s="90">
        <f t="shared" si="17"/>
        <v>16</v>
      </c>
      <c r="L33" s="90">
        <f t="shared" si="18"/>
        <v>16</v>
      </c>
      <c r="M33" s="90">
        <f t="shared" si="19"/>
        <v>5</v>
      </c>
      <c r="N33" s="140">
        <f>INDEX($A:$A,MATCH(SUM($K$7:K33),$D:$D,1))</f>
        <v>113</v>
      </c>
      <c r="O33" s="140">
        <v>0</v>
      </c>
      <c r="P33" s="141">
        <v>0</v>
      </c>
      <c r="Q33" s="126">
        <f>_xlfn.MAXIFS(关卡产出!X:X,关卡产出!$A:$A,玩家节奏2!$N$6,关卡产出!$B:$B,玩家节奏2!$N33)+_xlfn.MAXIFS(关卡产出!X:X,关卡产出!$A:$A,玩家节奏2!$O$6,关卡产出!$B:$B,玩家节奏2!$O33)+_xlfn.MAXIFS(关卡产出!X:X,关卡产出!$A:$A,玩家节奏2!$P$6,关卡产出!$B:$B,玩家节奏2!$P33)</f>
        <v>21100</v>
      </c>
      <c r="R33" s="90">
        <f>_xlfn.MAXIFS(关卡产出!Y:Y,关卡产出!$A:$A,玩家节奏2!$N$6,关卡产出!$B:$B,玩家节奏2!$N33)+_xlfn.MAXIFS(关卡产出!Y:Y,关卡产出!$A:$A,玩家节奏2!$O$6,关卡产出!$B:$B,玩家节奏2!$O33)+_xlfn.MAXIFS(关卡产出!Y:Y,关卡产出!$A:$A,玩家节奏2!$P$6,关卡产出!$B:$B,玩家节奏2!$P33)</f>
        <v>3614700</v>
      </c>
      <c r="S33" s="90">
        <f>_xlfn.MAXIFS(关卡产出!Z:Z,关卡产出!$A:$A,玩家节奏2!$N$6,关卡产出!$B:$B,玩家节奏2!$N33)+_xlfn.MAXIFS(关卡产出!Z:Z,关卡产出!$A:$A,玩家节奏2!$O$6,关卡产出!$B:$B,玩家节奏2!$O33)+_xlfn.MAXIFS(关卡产出!Z:Z,关卡产出!$A:$A,玩家节奏2!$P$6,关卡产出!$B:$B,玩家节奏2!$P33)</f>
        <v>24926</v>
      </c>
      <c r="T33" s="90">
        <f>_xlfn.MAXIFS(关卡产出!AA:AA,关卡产出!$A:$A,玩家节奏2!$N$6,关卡产出!$B:$B,玩家节奏2!$N33)+_xlfn.MAXIFS(关卡产出!AA:AA,关卡产出!$A:$A,玩家节奏2!$O$6,关卡产出!$B:$B,玩家节奏2!$O33)+_xlfn.MAXIFS(关卡产出!AA:AA,关卡产出!$A:$A,玩家节奏2!$P$6,关卡产出!$B:$B,玩家节奏2!$P33)</f>
        <v>12464</v>
      </c>
      <c r="U33" s="90">
        <f>_xlfn.MAXIFS(关卡产出!AB:AB,关卡产出!$A:$A,玩家节奏2!$N$6,关卡产出!$B:$B,玩家节奏2!$N33)+_xlfn.MAXIFS(关卡产出!AB:AB,关卡产出!$A:$A,玩家节奏2!$O$6,关卡产出!$B:$B,玩家节奏2!$O33)+_xlfn.MAXIFS(关卡产出!AB:AB,关卡产出!$A:$A,玩家节奏2!$P$6,关卡产出!$B:$B,玩家节奏2!$P33)</f>
        <v>5889</v>
      </c>
      <c r="V33" s="130">
        <f>_xlfn.MAXIFS(关卡产出!AC:AC,关卡产出!$A:$A,玩家节奏2!$N$6,关卡产出!$B:$B,玩家节奏2!$N33)+_xlfn.MAXIFS(关卡产出!AC:AC,关卡产出!$A:$A,玩家节奏2!$O$6,关卡产出!$B:$B,玩家节奏2!$O33)+_xlfn.MAXIFS(关卡产出!AC:AC,关卡产出!$A:$A,玩家节奏2!$P$6,关卡产出!$B:$B,玩家节奏2!$P33)</f>
        <v>678</v>
      </c>
      <c r="W33" s="126">
        <f>INDEX(关卡产出!C$8:C$207,MATCH(玩家节奏2!$N33,关卡产出!$B$8:$B$207,0))*$K33</f>
        <v>1424</v>
      </c>
      <c r="X33" s="126">
        <f>INDEX(关卡产出!D$8:D$207,MATCH(玩家节奏2!$N33,关卡产出!$B$8:$B$207,0))*$K33</f>
        <v>704</v>
      </c>
      <c r="Y33" s="126">
        <f>INDEX(关卡产出!E$8:E$207,MATCH(玩家节奏2!$N33,关卡产出!$B$8:$B$207,0))*$K33</f>
        <v>352</v>
      </c>
      <c r="Z33" s="144">
        <f>INDEX(关卡产出!F$8:F$207,MATCH(玩家节奏2!$N33,关卡产出!$B$8:$B$207,0))*$K33</f>
        <v>19040</v>
      </c>
      <c r="AA33" s="126">
        <f>SUM(W$7:W33)</f>
        <v>20526</v>
      </c>
      <c r="AB33" s="126">
        <f>SUM(X$7:X33)</f>
        <v>10163</v>
      </c>
      <c r="AC33" s="126">
        <f>SUM(Y$7:Y33)</f>
        <v>4835</v>
      </c>
      <c r="AD33" s="177">
        <f>SUM(Z$7:Z33)</f>
        <v>289690</v>
      </c>
      <c r="AE33" s="128">
        <f>INDEX(图鉴!AQ:AQ,MATCH($N33,图鉴!$S:$S,0))*34</f>
        <v>714</v>
      </c>
      <c r="AF33" s="90">
        <f>INDEX(图鉴!AR:AR,MATCH($N33,图鉴!$S:$S,0))*34</f>
        <v>510</v>
      </c>
      <c r="AG33" s="90">
        <f>INDEX(图鉴!AS:AS,MATCH($N33,图鉴!$S:$S,0))*34</f>
        <v>204</v>
      </c>
      <c r="AH33" s="129">
        <f ca="1">INDEX(图鉴!AT:AT,MATCH($N33,图鉴!$S:$S,0))*34</f>
        <v>44710</v>
      </c>
      <c r="AI33" s="128">
        <f>SUM($AE$7:AE33)</f>
        <v>17374</v>
      </c>
      <c r="AJ33" s="90">
        <f>SUM(AF$7:AF33)</f>
        <v>10302</v>
      </c>
      <c r="AK33" s="90">
        <f>SUM(AG$7:AG33)</f>
        <v>3570</v>
      </c>
      <c r="AL33" s="130">
        <f ca="1">SUM(AH$7:AH33)</f>
        <v>791316</v>
      </c>
      <c r="AM33" s="133">
        <f>IF(M33=0,0,INDEX(关卡产出!$AU$11:$AU$15,MATCH(玩家节奏2!N33,关卡产出!$AW$11:$AW$15,1))*M33)</f>
        <v>61000</v>
      </c>
      <c r="AN33" s="126">
        <f>IF(L33=0,0,$L33*关卡产出!AU$21)</f>
        <v>16000</v>
      </c>
      <c r="AO33" s="90">
        <f>IF(M33=0,0,$L33*关卡产出!AV$21)</f>
        <v>800</v>
      </c>
      <c r="AP33" s="129">
        <f>IF(N33=0,0,$L33*关卡产出!AW$21)</f>
        <v>16</v>
      </c>
      <c r="AQ33" s="138">
        <f>SUM(AN$7:AN33)</f>
        <v>384000</v>
      </c>
      <c r="AR33" s="126">
        <f>SUM(AO$7:AO33)</f>
        <v>19200</v>
      </c>
      <c r="AS33" s="129">
        <f>SUM(AP$7:AP33)</f>
        <v>384</v>
      </c>
      <c r="AT33" s="128">
        <v>3000</v>
      </c>
      <c r="AU33" s="129">
        <v>600</v>
      </c>
      <c r="AV33" s="128">
        <f>SUM(AT$7:AT33)</f>
        <v>81000</v>
      </c>
      <c r="AW33" s="90">
        <f>SUM(AU$7:AU33)</f>
        <v>16200</v>
      </c>
      <c r="AY33" s="128">
        <f t="shared" si="20"/>
        <v>21100</v>
      </c>
      <c r="AZ33" s="90">
        <f t="shared" si="21"/>
        <v>19200</v>
      </c>
      <c r="BA33" s="90">
        <f t="shared" si="22"/>
        <v>16200</v>
      </c>
      <c r="BB33" s="90">
        <f t="shared" ca="1" si="57"/>
        <v>7700</v>
      </c>
      <c r="BC33" s="90">
        <f t="shared" ca="1" si="60"/>
        <v>34275</v>
      </c>
      <c r="BD33" s="90">
        <f t="shared" ca="1" si="61"/>
        <v>29925</v>
      </c>
      <c r="BE33" s="90">
        <f t="shared" ca="1" si="24"/>
        <v>64200</v>
      </c>
      <c r="BF33" s="142">
        <f t="shared" ca="1" si="0"/>
        <v>0.61560904449307075</v>
      </c>
      <c r="BG33" s="142">
        <f t="shared" ca="1" si="1"/>
        <v>0.56017505470459517</v>
      </c>
      <c r="BH33" s="142">
        <f t="shared" ca="1" si="2"/>
        <v>0.47264770240700221</v>
      </c>
      <c r="BI33" s="142">
        <f t="shared" ca="1" si="3"/>
        <v>0.22465353756382203</v>
      </c>
      <c r="BJ33" s="143"/>
      <c r="BK33" s="128">
        <f ca="1">INDEX(商城宝箱!$L:$L,MATCH(BC33,商城宝箱!$N:$N,1))</f>
        <v>8</v>
      </c>
      <c r="BL33" s="90">
        <f ca="1">_xlfn.IFNA(INDEX(商城宝箱!T:T,MATCH(玩家节奏2!$BK33,商城宝箱!$L:$L,0)),0)+($BC33-INDEX(商城宝箱!$N:$N,MATCH(玩家节奏2!$BK33,商城宝箱!$L:$L,0)))/$BK$5*INDEX(商城宝箱!E$23:E$42,MATCH(玩家节奏2!$BK33+1,商城宝箱!$C$23:$C$42,0))</f>
        <v>85687.5</v>
      </c>
      <c r="BM33" s="90">
        <f ca="1">_xlfn.IFNA(INDEX(商城宝箱!U:U,MATCH(玩家节奏2!$BK33,商城宝箱!$L:$L,0)),0)+($BC33-INDEX(商城宝箱!$N:$N,MATCH(玩家节奏2!$BK33,商城宝箱!$L:$L,0)))/$BK$5*INDEX(商城宝箱!F$23:F$42,MATCH(玩家节奏2!$BK33+1,商城宝箱!$C$23:$C$42,0))</f>
        <v>40947.5</v>
      </c>
      <c r="BN33" s="90">
        <f ca="1">_xlfn.IFNA(INDEX(商城宝箱!V:V,MATCH(玩家节奏2!$BK33,商城宝箱!$L:$L,0)),0)+($BC33-INDEX(商城宝箱!$N:$N,MATCH(玩家节奏2!$BK33,商城宝箱!$L:$L,0)))/$BK$5*INDEX(商城宝箱!G$23:G$42,MATCH(玩家节奏2!$BK33+1,商城宝箱!$C$23:$C$42,0))</f>
        <v>25675.75</v>
      </c>
      <c r="BO33" s="90">
        <f ca="1">_xlfn.IFNA(INDEX(商城宝箱!W:W,MATCH(玩家节奏2!$BK33,商城宝箱!$L:$L,0)),0)+($BC33-INDEX(商城宝箱!$N:$N,MATCH(玩家节奏2!$BK33,商城宝箱!$L:$L,0)))/$BK$5*INDEX(商城宝箱!H$23:H$42,MATCH(玩家节奏2!$BK33+1,商城宝箱!$C$23:$C$42,0))</f>
        <v>3364.75</v>
      </c>
      <c r="BQ33" s="128">
        <f t="shared" si="4"/>
        <v>3614700</v>
      </c>
      <c r="BR33" s="90">
        <f t="shared" si="5"/>
        <v>289690</v>
      </c>
      <c r="BS33" s="90">
        <f t="shared" ca="1" si="6"/>
        <v>791316</v>
      </c>
      <c r="BT33" s="90">
        <f t="shared" si="7"/>
        <v>61000</v>
      </c>
      <c r="BU33" s="90">
        <f t="shared" si="8"/>
        <v>384000</v>
      </c>
      <c r="BV33" s="90">
        <f t="shared" si="9"/>
        <v>81000</v>
      </c>
      <c r="BW33" s="90">
        <f t="shared" ca="1" si="25"/>
        <v>85687.5</v>
      </c>
      <c r="BX33" s="90">
        <f t="shared" ca="1" si="26"/>
        <v>5307393.5</v>
      </c>
      <c r="BY33" s="142">
        <f t="shared" ca="1" si="27"/>
        <v>0.68106877698064028</v>
      </c>
      <c r="BZ33" s="142">
        <f t="shared" ca="1" si="27"/>
        <v>5.4582348190312248E-2</v>
      </c>
      <c r="CA33" s="142">
        <f t="shared" ca="1" si="27"/>
        <v>0.14909691546330606</v>
      </c>
      <c r="CB33" s="142">
        <f t="shared" ca="1" si="27"/>
        <v>1.1493400668331828E-2</v>
      </c>
      <c r="CC33" s="142">
        <f t="shared" ca="1" si="27"/>
        <v>7.2351899289170851E-2</v>
      </c>
      <c r="CD33" s="142">
        <f t="shared" ca="1" si="27"/>
        <v>1.5261728756309477E-2</v>
      </c>
      <c r="CE33" s="142">
        <f t="shared" ca="1" si="27"/>
        <v>1.6144930651929238E-2</v>
      </c>
      <c r="CG33" s="128">
        <f t="shared" si="28"/>
        <v>113</v>
      </c>
      <c r="CH33" s="90">
        <f ca="1">INDEX(角色升级!$A:$A,MATCH(玩家节奏2!$BX33,角色升级!$J:$J,1))</f>
        <v>583</v>
      </c>
      <c r="CI33" s="90">
        <f ca="1">INDEX(角色升级!$O:$O,MATCH(玩家节奏2!$BX33,角色升级!$J:$J,1))</f>
        <v>27267.059600000001</v>
      </c>
      <c r="CJ33" s="90">
        <f>INDEX(关卡对比!$J:$J,MATCH(玩家节奏2!N33,关卡对比!$A:$A,0))</f>
        <v>42700</v>
      </c>
      <c r="CK33" s="147">
        <f t="shared" ca="1" si="29"/>
        <v>1.5659921027935113</v>
      </c>
      <c r="CL33" s="128">
        <f ca="1">INDEX(角色升级!$P:$P,MATCH(玩家节奏2!$CH33,角色升级!$A:$A,0))</f>
        <v>9200</v>
      </c>
      <c r="CM33" s="90">
        <f ca="1">INDEX(角色升级!Q:Q,MATCH(玩家节奏2!$CH33,角色升级!$A:$A,0))</f>
        <v>0.9</v>
      </c>
      <c r="CO33" s="128">
        <f t="shared" si="30"/>
        <v>24926</v>
      </c>
      <c r="CP33" s="90">
        <f t="shared" si="31"/>
        <v>20526</v>
      </c>
      <c r="CQ33" s="90">
        <f t="shared" si="32"/>
        <v>17374</v>
      </c>
      <c r="CR33" s="90">
        <f t="shared" ca="1" si="33"/>
        <v>40947.5</v>
      </c>
      <c r="CS33" s="90">
        <f t="shared" ca="1" si="34"/>
        <v>103773.5</v>
      </c>
      <c r="CT33" s="142">
        <f t="shared" ca="1" si="35"/>
        <v>0.2401961965241608</v>
      </c>
      <c r="CU33" s="142">
        <f t="shared" ca="1" si="35"/>
        <v>0.19779616183322332</v>
      </c>
      <c r="CV33" s="142">
        <f t="shared" ca="1" si="35"/>
        <v>0.16742231880007902</v>
      </c>
      <c r="CW33" s="142">
        <f t="shared" ca="1" si="35"/>
        <v>0.39458532284253689</v>
      </c>
      <c r="CY33" s="128">
        <f t="shared" si="36"/>
        <v>12464</v>
      </c>
      <c r="CZ33" s="90">
        <f t="shared" si="37"/>
        <v>10163</v>
      </c>
      <c r="DA33" s="90">
        <f t="shared" si="38"/>
        <v>10302</v>
      </c>
      <c r="DB33" s="90">
        <f t="shared" ca="1" si="58"/>
        <v>25675.75</v>
      </c>
      <c r="DC33" s="90">
        <f t="shared" ca="1" si="39"/>
        <v>58604.75</v>
      </c>
      <c r="DD33" s="142">
        <f t="shared" ca="1" si="40"/>
        <v>0.21267900639453285</v>
      </c>
      <c r="DE33" s="142">
        <f t="shared" ca="1" si="40"/>
        <v>0.17341597737384767</v>
      </c>
      <c r="DF33" s="142">
        <f t="shared" ca="1" si="40"/>
        <v>0.17578779877057746</v>
      </c>
      <c r="DG33" s="142">
        <f t="shared" ca="1" si="40"/>
        <v>0.43811721746104199</v>
      </c>
      <c r="DI33" s="128">
        <f t="shared" si="41"/>
        <v>5889</v>
      </c>
      <c r="DJ33" s="90">
        <f t="shared" si="42"/>
        <v>4835</v>
      </c>
      <c r="DK33" s="90">
        <f t="shared" si="43"/>
        <v>3570</v>
      </c>
      <c r="DL33" s="90">
        <f t="shared" ca="1" si="44"/>
        <v>3364.75</v>
      </c>
      <c r="DM33" s="90">
        <f t="shared" ca="1" si="45"/>
        <v>17658.75</v>
      </c>
      <c r="DN33" s="142">
        <f t="shared" ca="1" si="46"/>
        <v>0.33348906349543428</v>
      </c>
      <c r="DO33" s="142">
        <f t="shared" ca="1" si="46"/>
        <v>0.27380193954838256</v>
      </c>
      <c r="DP33" s="142">
        <f t="shared" ca="1" si="46"/>
        <v>0.20216606498194944</v>
      </c>
      <c r="DQ33" s="142">
        <f t="shared" ca="1" si="46"/>
        <v>0.19054293197423375</v>
      </c>
      <c r="DS33" s="128">
        <f t="shared" ca="1" si="47"/>
        <v>103773.5</v>
      </c>
      <c r="DT33" s="90">
        <f t="shared" ca="1" si="48"/>
        <v>58604.75</v>
      </c>
      <c r="DU33" s="90">
        <f t="shared" ca="1" si="49"/>
        <v>17658.75</v>
      </c>
      <c r="DV33" s="90">
        <f t="shared" si="50"/>
        <v>384</v>
      </c>
      <c r="DW33" s="90">
        <f ca="1">_xlfn.IFNA(INDEX(武器升级消耗!$H:$H,MATCH(玩家节奏2!DS33/玩家节奏2!DS$5,武器升级消耗!M:M,1)),0)</f>
        <v>30</v>
      </c>
      <c r="DX33" s="90">
        <f ca="1">_xlfn.IFNA(INDEX(武器升级消耗!$H:$H,MATCH(玩家节奏2!DT33/玩家节奏2!DT$5,武器升级消耗!N:N,1)),0)</f>
        <v>26</v>
      </c>
      <c r="DY33" s="90">
        <f ca="1">_xlfn.IFNA(INDEX(武器升级消耗!$H:$H,MATCH(玩家节奏2!DU33/玩家节奏2!DU$5,武器升级消耗!O:O,1)),0)</f>
        <v>19</v>
      </c>
      <c r="DZ33" s="90">
        <f>_xlfn.IFNA(INDEX(武器升级消耗!$H:$H,MATCH(玩家节奏2!DV33/玩家节奏2!DV$5,武器升级消耗!P:P,1)),0)</f>
        <v>14</v>
      </c>
      <c r="EA33" s="90">
        <f ca="1">_xlfn.IFNA(INDEX(武器升级消耗!$Q:$Q,MATCH(玩家节奏2!DW33,武器升级消耗!$H:$H,0))*2*EA$4,0)</f>
        <v>4.08</v>
      </c>
      <c r="EB33" s="90">
        <f ca="1">_xlfn.IFNA(INDEX(武器升级消耗!$Q:$Q,MATCH(玩家节奏2!DX33,武器升级消耗!$H:$H,0))*2*EB$4,0)</f>
        <v>4.5</v>
      </c>
      <c r="EC33" s="90">
        <f ca="1">_xlfn.IFNA(INDEX(武器升级消耗!$Q:$Q,MATCH(玩家节奏2!DY33,武器升级消耗!$H:$H,0))*2*EC$4,0)</f>
        <v>5.0599999999999996</v>
      </c>
      <c r="ED33" s="90">
        <f>_xlfn.IFNA(INDEX(武器升级消耗!$Q:$Q,MATCH(玩家节奏2!DZ33,武器升级消耗!$H:$H,0))*2*ED$4,0)</f>
        <v>5.4</v>
      </c>
      <c r="EF33" s="128">
        <f t="shared" si="14"/>
        <v>0</v>
      </c>
      <c r="EG33" s="90">
        <f t="shared" si="15"/>
        <v>0</v>
      </c>
      <c r="EH33" s="90">
        <v>81</v>
      </c>
      <c r="EI33" s="90">
        <v>81</v>
      </c>
      <c r="EJ33" s="90">
        <f>_xlfn.IFNA(INDEX(皮肤宠物!$J$4:$J$13,MATCH(EF33+EH33,皮肤宠物!$L$4:$L$13,1)),0)</f>
        <v>4</v>
      </c>
      <c r="EK33" s="90">
        <f>_xlfn.IFNA(INDEX(皮肤宠物!$J$4:$J$13,MATCH(EG33+EI33,皮肤宠物!$L$4:$L$13,1)),0)</f>
        <v>4</v>
      </c>
      <c r="EL33" s="90">
        <f>_xlfn.IFNA(INDEX(皮肤宠物!$N$4:$N$13,MATCH(EF33+EH33,皮肤宠物!$L$4:$L$13,1)),1)</f>
        <v>1.54</v>
      </c>
      <c r="EM33" s="90">
        <f>_xlfn.IFNA(INDEX(皮肤宠物!$N$4:$N$13,MATCH(EG33+EI33,皮肤宠物!$L$4:$L$13,1)),1)</f>
        <v>1.54</v>
      </c>
      <c r="EO33" s="128">
        <v>81</v>
      </c>
      <c r="EP33" s="90">
        <v>27</v>
      </c>
      <c r="EQ33" s="90">
        <f t="shared" ca="1" si="51"/>
        <v>29925</v>
      </c>
      <c r="ER33" s="90">
        <f t="shared" si="16"/>
        <v>0</v>
      </c>
      <c r="ES33" s="90">
        <f t="shared" ca="1" si="52"/>
        <v>326.25</v>
      </c>
      <c r="ET33" s="90">
        <f ca="1">$ES33*ET$5*皮肤宠物!$J$75/4</f>
        <v>1076.9512500000001</v>
      </c>
      <c r="EU33" s="90">
        <f ca="1">$ES33*EU$5*皮肤宠物!$J$76/4</f>
        <v>179.76375000000002</v>
      </c>
      <c r="EV33" s="90">
        <f ca="1">$ES33*EV$5*皮肤宠物!$J$77/4</f>
        <v>48.692812500000002</v>
      </c>
      <c r="EW33" s="90">
        <f ca="1">_xlfn.IFNA(INDEX(皮肤宠物!$H$18:$H$67,MATCH(ET33,皮肤宠物!L$18:L$67,1)),0)</f>
        <v>11</v>
      </c>
      <c r="EX33" s="90">
        <f ca="1">_xlfn.IFNA(INDEX(皮肤宠物!$H$18:$H$67,MATCH(EU33,皮肤宠物!M$18:M$67,1)),0)</f>
        <v>8</v>
      </c>
      <c r="EY33" s="90">
        <f ca="1">_xlfn.IFNA(INDEX(皮肤宠物!$H$18:$H$67,MATCH(EV33,皮肤宠物!N$18:N$67,1)),0)</f>
        <v>6</v>
      </c>
      <c r="EZ33" s="90">
        <f ca="1">_xlfn.IFNA(INDEX(皮肤宠物!C$18:C$67,MATCH(EW33,皮肤宠物!$A$18:$A$67,0))+1,1)</f>
        <v>1.1100000000000001</v>
      </c>
      <c r="FA33" s="90">
        <f ca="1">_xlfn.IFNA(INDEX(皮肤宠物!D$18:D$67,MATCH(EX33,皮肤宠物!$A$18:$A$67,0))+1,1)</f>
        <v>1.1599999999999999</v>
      </c>
      <c r="FB33" s="90">
        <f ca="1">_xlfn.IFNA(INDEX(皮肤宠物!E$18:E$67,MATCH(EY33,皮肤宠物!$A$18:$A$67,0))+1,1)</f>
        <v>1.24</v>
      </c>
      <c r="FD33" s="90">
        <f t="shared" ca="1" si="53"/>
        <v>5.0599999999999996</v>
      </c>
      <c r="FE33" s="90">
        <f t="shared" si="54"/>
        <v>1.54</v>
      </c>
      <c r="FF33" s="90">
        <f t="shared" ca="1" si="55"/>
        <v>1.24</v>
      </c>
      <c r="FG33" s="90">
        <f t="shared" ca="1" si="56"/>
        <v>9.6625759999999996</v>
      </c>
    </row>
    <row r="34" spans="1:163" x14ac:dyDescent="0.25">
      <c r="A34" s="123">
        <v>28</v>
      </c>
      <c r="B34" s="123">
        <f>INDEX(关卡对比!$Y:$Y,MATCH(关卡对比!Z34,关卡对比!$AA:$AA,1))</f>
        <v>19</v>
      </c>
      <c r="C34" s="124">
        <f>INDEX(关卡对比!$Y:$Y,MATCH(关卡对比!Z34,关卡对比!$AB:$AB,1))</f>
        <v>16</v>
      </c>
      <c r="D34" s="125">
        <f t="shared" si="63"/>
        <v>95.5</v>
      </c>
      <c r="E34" s="125">
        <v>2</v>
      </c>
      <c r="F34" s="128">
        <v>16</v>
      </c>
      <c r="G34" s="90">
        <v>16</v>
      </c>
      <c r="H34" s="90">
        <v>5</v>
      </c>
      <c r="J34" s="128">
        <v>28</v>
      </c>
      <c r="K34" s="90">
        <f t="shared" si="17"/>
        <v>16</v>
      </c>
      <c r="L34" s="90">
        <f t="shared" si="18"/>
        <v>16</v>
      </c>
      <c r="M34" s="90">
        <f t="shared" si="19"/>
        <v>5</v>
      </c>
      <c r="N34" s="140">
        <f>INDEX($A:$A,MATCH(SUM($K$7:K34),$D:$D,1))</f>
        <v>118</v>
      </c>
      <c r="O34" s="140">
        <v>0</v>
      </c>
      <c r="P34" s="141">
        <v>0</v>
      </c>
      <c r="Q34" s="126">
        <f>_xlfn.MAXIFS(关卡产出!X:X,关卡产出!$A:$A,玩家节奏2!$N$6,关卡产出!$B:$B,玩家节奏2!$N34)+_xlfn.MAXIFS(关卡产出!X:X,关卡产出!$A:$A,玩家节奏2!$O$6,关卡产出!$B:$B,玩家节奏2!$O34)+_xlfn.MAXIFS(关卡产出!X:X,关卡产出!$A:$A,玩家节奏2!$P$6,关卡产出!$B:$B,玩家节奏2!$P34)</f>
        <v>22100</v>
      </c>
      <c r="R34" s="90">
        <f>_xlfn.MAXIFS(关卡产出!Y:Y,关卡产出!$A:$A,玩家节奏2!$N$6,关卡产出!$B:$B,玩家节奏2!$N34)+_xlfn.MAXIFS(关卡产出!Y:Y,关卡产出!$A:$A,玩家节奏2!$O$6,关卡产出!$B:$B,玩家节奏2!$O34)+_xlfn.MAXIFS(关卡产出!Y:Y,关卡产出!$A:$A,玩家节奏2!$P$6,关卡产出!$B:$B,玩家节奏2!$P34)</f>
        <v>3951200</v>
      </c>
      <c r="S34" s="90">
        <f>_xlfn.MAXIFS(关卡产出!Z:Z,关卡产出!$A:$A,玩家节奏2!$N$6,关卡产出!$B:$B,玩家节奏2!$N34)+_xlfn.MAXIFS(关卡产出!Z:Z,关卡产出!$A:$A,玩家节奏2!$O$6,关卡产出!$B:$B,玩家节奏2!$O34)+_xlfn.MAXIFS(关卡产出!Z:Z,关卡产出!$A:$A,玩家节奏2!$P$6,关卡产出!$B:$B,玩家节奏2!$P34)</f>
        <v>27206</v>
      </c>
      <c r="T34" s="90">
        <f>_xlfn.MAXIFS(关卡产出!AA:AA,关卡产出!$A:$A,玩家节奏2!$N$6,关卡产出!$B:$B,玩家节奏2!$N34)+_xlfn.MAXIFS(关卡产出!AA:AA,关卡产出!$A:$A,玩家节奏2!$O$6,关卡产出!$B:$B,玩家节奏2!$O34)+_xlfn.MAXIFS(关卡产出!AA:AA,关卡产出!$A:$A,玩家节奏2!$P$6,关卡产出!$B:$B,玩家节奏2!$P34)</f>
        <v>13604</v>
      </c>
      <c r="U34" s="90">
        <f>_xlfn.MAXIFS(关卡产出!AB:AB,关卡产出!$A:$A,玩家节奏2!$N$6,关卡产出!$B:$B,玩家节奏2!$N34)+_xlfn.MAXIFS(关卡产出!AB:AB,关卡产出!$A:$A,玩家节奏2!$O$6,关卡产出!$B:$B,玩家节奏2!$O34)+_xlfn.MAXIFS(关卡产出!AB:AB,关卡产出!$A:$A,玩家节奏2!$P$6,关卡产出!$B:$B,玩家节奏2!$P34)</f>
        <v>6444</v>
      </c>
      <c r="V34" s="130">
        <f>_xlfn.MAXIFS(关卡产出!AC:AC,关卡产出!$A:$A,玩家节奏2!$N$6,关卡产出!$B:$B,玩家节奏2!$N34)+_xlfn.MAXIFS(关卡产出!AC:AC,关卡产出!$A:$A,玩家节奏2!$O$6,关卡产出!$B:$B,玩家节奏2!$O34)+_xlfn.MAXIFS(关卡产出!AC:AC,关卡产出!$A:$A,玩家节奏2!$P$6,关卡产出!$B:$B,玩家节奏2!$P34)</f>
        <v>708</v>
      </c>
      <c r="W34" s="126">
        <f>INDEX(关卡产出!C$8:C$207,MATCH(玩家节奏2!$N34,关卡产出!$B$8:$B$207,0))*$K34</f>
        <v>1488</v>
      </c>
      <c r="X34" s="126">
        <f>INDEX(关卡产出!D$8:D$207,MATCH(玩家节奏2!$N34,关卡产出!$B$8:$B$207,0))*$K34</f>
        <v>736</v>
      </c>
      <c r="Y34" s="126">
        <f>INDEX(关卡产出!E$8:E$207,MATCH(玩家节奏2!$N34,关卡产出!$B$8:$B$207,0))*$K34</f>
        <v>368</v>
      </c>
      <c r="Z34" s="144">
        <f>INDEX(关卡产出!F$8:F$207,MATCH(玩家节奏2!$N34,关卡产出!$B$8:$B$207,0))*$K34</f>
        <v>19680</v>
      </c>
      <c r="AA34" s="126">
        <f>SUM(W$7:W34)</f>
        <v>22014</v>
      </c>
      <c r="AB34" s="126">
        <f>SUM(X$7:X34)</f>
        <v>10899</v>
      </c>
      <c r="AC34" s="126">
        <f>SUM(Y$7:Y34)</f>
        <v>5203</v>
      </c>
      <c r="AD34" s="177">
        <f>SUM(Z$7:Z34)</f>
        <v>309370</v>
      </c>
      <c r="AE34" s="128">
        <f>INDEX(图鉴!AQ:AQ,MATCH($N34,图鉴!$S:$S,0))*34</f>
        <v>714</v>
      </c>
      <c r="AF34" s="90">
        <f>INDEX(图鉴!AR:AR,MATCH($N34,图鉴!$S:$S,0))*34</f>
        <v>510</v>
      </c>
      <c r="AG34" s="90">
        <f>INDEX(图鉴!AS:AS,MATCH($N34,图鉴!$S:$S,0))*34</f>
        <v>204</v>
      </c>
      <c r="AH34" s="129">
        <f ca="1">INDEX(图鉴!AT:AT,MATCH($N34,图鉴!$S:$S,0))*34</f>
        <v>44710</v>
      </c>
      <c r="AI34" s="128">
        <f>SUM($AE$7:AE34)</f>
        <v>18088</v>
      </c>
      <c r="AJ34" s="90">
        <f>SUM(AF$7:AF34)</f>
        <v>10812</v>
      </c>
      <c r="AK34" s="90">
        <f>SUM(AG$7:AG34)</f>
        <v>3774</v>
      </c>
      <c r="AL34" s="130">
        <f ca="1">SUM(AH$7:AH34)</f>
        <v>836026</v>
      </c>
      <c r="AM34" s="133">
        <f>IF(M34=0,0,INDEX(关卡产出!$AU$11:$AU$15,MATCH(玩家节奏2!N34,关卡产出!$AW$11:$AW$15,1))*M34)</f>
        <v>61000</v>
      </c>
      <c r="AN34" s="126">
        <f>IF(L34=0,0,$L34*关卡产出!AU$21)</f>
        <v>16000</v>
      </c>
      <c r="AO34" s="90">
        <f>IF(M34=0,0,$L34*关卡产出!AV$21)</f>
        <v>800</v>
      </c>
      <c r="AP34" s="129">
        <f>IF(N34=0,0,$L34*关卡产出!AW$21)</f>
        <v>16</v>
      </c>
      <c r="AQ34" s="138">
        <f>SUM(AN$7:AN34)</f>
        <v>400000</v>
      </c>
      <c r="AR34" s="126">
        <f>SUM(AO$7:AO34)</f>
        <v>20000</v>
      </c>
      <c r="AS34" s="129">
        <f>SUM(AP$7:AP34)</f>
        <v>400</v>
      </c>
      <c r="AT34" s="128">
        <v>3000</v>
      </c>
      <c r="AU34" s="129">
        <v>600</v>
      </c>
      <c r="AV34" s="128">
        <f>SUM(AT$7:AT34)</f>
        <v>84000</v>
      </c>
      <c r="AW34" s="90">
        <f>SUM(AU$7:AU34)</f>
        <v>16800</v>
      </c>
      <c r="AY34" s="128">
        <f t="shared" si="20"/>
        <v>22100</v>
      </c>
      <c r="AZ34" s="90">
        <f t="shared" si="21"/>
        <v>20000</v>
      </c>
      <c r="BA34" s="90">
        <f t="shared" si="22"/>
        <v>16800</v>
      </c>
      <c r="BB34" s="90">
        <f t="shared" ca="1" si="57"/>
        <v>9200</v>
      </c>
      <c r="BC34" s="90">
        <f t="shared" ca="1" si="60"/>
        <v>36225</v>
      </c>
      <c r="BD34" s="90">
        <f t="shared" ca="1" si="61"/>
        <v>31875</v>
      </c>
      <c r="BE34" s="90">
        <f t="shared" ca="1" si="24"/>
        <v>68100</v>
      </c>
      <c r="BF34" s="142">
        <f t="shared" ca="1" si="0"/>
        <v>0.61007591442374054</v>
      </c>
      <c r="BG34" s="142">
        <f t="shared" ca="1" si="1"/>
        <v>0.55210489993098688</v>
      </c>
      <c r="BH34" s="142">
        <f t="shared" ca="1" si="2"/>
        <v>0.46376811594202899</v>
      </c>
      <c r="BI34" s="142">
        <f t="shared" ca="1" si="3"/>
        <v>0.25396825396825395</v>
      </c>
      <c r="BJ34" s="143"/>
      <c r="BK34" s="128">
        <f ca="1">INDEX(商城宝箱!$L:$L,MATCH(BC34,商城宝箱!$N:$N,1))</f>
        <v>8</v>
      </c>
      <c r="BL34" s="90">
        <f ca="1">_xlfn.IFNA(INDEX(商城宝箱!T:T,MATCH(玩家节奏2!$BK34,商城宝箱!$L:$L,0)),0)+($BC34-INDEX(商城宝箱!$N:$N,MATCH(玩家节奏2!$BK34,商城宝箱!$L:$L,0)))/$BK$5*INDEX(商城宝箱!E$23:E$42,MATCH(玩家节奏2!$BK34+1,商城宝箱!$C$23:$C$42,0))</f>
        <v>90562.5</v>
      </c>
      <c r="BM34" s="90">
        <f ca="1">_xlfn.IFNA(INDEX(商城宝箱!U:U,MATCH(玩家节奏2!$BK34,商城宝箱!$L:$L,0)),0)+($BC34-INDEX(商城宝箱!$N:$N,MATCH(玩家节奏2!$BK34,商城宝箱!$L:$L,0)))/$BK$5*INDEX(商城宝箱!F$23:F$42,MATCH(玩家节奏2!$BK34+1,商城宝箱!$C$23:$C$42,0))</f>
        <v>45237.5</v>
      </c>
      <c r="BN34" s="90">
        <f ca="1">_xlfn.IFNA(INDEX(商城宝箱!V:V,MATCH(玩家节奏2!$BK34,商城宝箱!$L:$L,0)),0)+($BC34-INDEX(商城宝箱!$N:$N,MATCH(玩家节奏2!$BK34,商城宝箱!$L:$L,0)))/$BK$5*INDEX(商城宝箱!G$23:G$42,MATCH(玩家节奏2!$BK34+1,商城宝箱!$C$23:$C$42,0))</f>
        <v>28893.25</v>
      </c>
      <c r="BO34" s="90">
        <f ca="1">_xlfn.IFNA(INDEX(商城宝箱!W:W,MATCH(玩家节奏2!$BK34,商城宝箱!$L:$L,0)),0)+($BC34-INDEX(商城宝箱!$N:$N,MATCH(玩家节奏2!$BK34,商城宝箱!$L:$L,0)))/$BK$5*INDEX(商城宝箱!H$23:H$42,MATCH(玩家节奏2!$BK34+1,商城宝箱!$C$23:$C$42,0))</f>
        <v>3735.25</v>
      </c>
      <c r="BQ34" s="128">
        <f t="shared" si="4"/>
        <v>3951200</v>
      </c>
      <c r="BR34" s="90">
        <f t="shared" si="5"/>
        <v>309370</v>
      </c>
      <c r="BS34" s="90">
        <f t="shared" ca="1" si="6"/>
        <v>836026</v>
      </c>
      <c r="BT34" s="90">
        <f t="shared" si="7"/>
        <v>61000</v>
      </c>
      <c r="BU34" s="90">
        <f t="shared" si="8"/>
        <v>400000</v>
      </c>
      <c r="BV34" s="90">
        <f t="shared" si="9"/>
        <v>84000</v>
      </c>
      <c r="BW34" s="90">
        <f t="shared" ca="1" si="25"/>
        <v>90562.5</v>
      </c>
      <c r="BX34" s="90">
        <f t="shared" ca="1" si="26"/>
        <v>5732158.5</v>
      </c>
      <c r="BY34" s="142">
        <f t="shared" ca="1" si="27"/>
        <v>0.68930403791172212</v>
      </c>
      <c r="BZ34" s="142">
        <f t="shared" ca="1" si="27"/>
        <v>5.3970943057488729E-2</v>
      </c>
      <c r="CA34" s="142">
        <f t="shared" ca="1" si="27"/>
        <v>0.14584837456954478</v>
      </c>
      <c r="CB34" s="142">
        <f t="shared" ca="1" si="27"/>
        <v>1.0641715507343351E-2</v>
      </c>
      <c r="CC34" s="142">
        <f t="shared" ca="1" si="27"/>
        <v>6.9781741031759673E-2</v>
      </c>
      <c r="CD34" s="142">
        <f t="shared" ca="1" si="27"/>
        <v>1.4654165616669532E-2</v>
      </c>
      <c r="CE34" s="142">
        <f t="shared" ca="1" si="27"/>
        <v>1.5799022305471838E-2</v>
      </c>
      <c r="CG34" s="128">
        <f t="shared" si="28"/>
        <v>118</v>
      </c>
      <c r="CH34" s="90">
        <f ca="1">INDEX(角色升级!$A:$A,MATCH(玩家节奏2!$BX34,角色升级!$J:$J,1))</f>
        <v>601</v>
      </c>
      <c r="CI34" s="90">
        <f ca="1">INDEX(角色升级!$O:$O,MATCH(玩家节奏2!$BX34,角色升级!$J:$J,1))</f>
        <v>27816.14055</v>
      </c>
      <c r="CJ34" s="90">
        <f>INDEX(关卡对比!$J:$J,MATCH(玩家节奏2!N34,关卡对比!$A:$A,0))</f>
        <v>45200</v>
      </c>
      <c r="CK34" s="147">
        <f t="shared" ca="1" si="29"/>
        <v>1.6249558388142384</v>
      </c>
      <c r="CL34" s="128">
        <f ca="1">INDEX(角色升级!$P:$P,MATCH(玩家节奏2!$CH34,角色升级!$A:$A,0))</f>
        <v>9200</v>
      </c>
      <c r="CM34" s="90">
        <f ca="1">INDEX(角色升级!Q:Q,MATCH(玩家节奏2!$CH34,角色升级!$A:$A,0))</f>
        <v>0.9</v>
      </c>
      <c r="CO34" s="128">
        <f t="shared" si="30"/>
        <v>27206</v>
      </c>
      <c r="CP34" s="90">
        <f t="shared" si="31"/>
        <v>22014</v>
      </c>
      <c r="CQ34" s="90">
        <f t="shared" si="32"/>
        <v>18088</v>
      </c>
      <c r="CR34" s="90">
        <f t="shared" ca="1" si="33"/>
        <v>45237.5</v>
      </c>
      <c r="CS34" s="90">
        <f t="shared" ca="1" si="34"/>
        <v>112545.5</v>
      </c>
      <c r="CT34" s="142">
        <f t="shared" ca="1" si="35"/>
        <v>0.24173334340333466</v>
      </c>
      <c r="CU34" s="142">
        <f t="shared" ca="1" si="35"/>
        <v>0.19560089030658712</v>
      </c>
      <c r="CV34" s="142">
        <f t="shared" ca="1" si="35"/>
        <v>0.16071722103504804</v>
      </c>
      <c r="CW34" s="142">
        <f t="shared" ca="1" si="35"/>
        <v>0.40194854525503021</v>
      </c>
      <c r="CY34" s="128">
        <f t="shared" si="36"/>
        <v>13604</v>
      </c>
      <c r="CZ34" s="90">
        <f t="shared" si="37"/>
        <v>10899</v>
      </c>
      <c r="DA34" s="90">
        <f t="shared" si="38"/>
        <v>10812</v>
      </c>
      <c r="DB34" s="90">
        <f t="shared" ca="1" si="58"/>
        <v>28893.25</v>
      </c>
      <c r="DC34" s="90">
        <f t="shared" ca="1" si="39"/>
        <v>64208.25</v>
      </c>
      <c r="DD34" s="142">
        <f t="shared" ca="1" si="40"/>
        <v>0.21187308484501602</v>
      </c>
      <c r="DE34" s="142">
        <f t="shared" ca="1" si="40"/>
        <v>0.16974454217331886</v>
      </c>
      <c r="DF34" s="142">
        <f t="shared" ca="1" si="40"/>
        <v>0.16838957610587424</v>
      </c>
      <c r="DG34" s="142">
        <f t="shared" ca="1" si="40"/>
        <v>0.44999279687579086</v>
      </c>
      <c r="DI34" s="128">
        <f t="shared" si="41"/>
        <v>6444</v>
      </c>
      <c r="DJ34" s="90">
        <f t="shared" si="42"/>
        <v>5203</v>
      </c>
      <c r="DK34" s="90">
        <f t="shared" si="43"/>
        <v>3774</v>
      </c>
      <c r="DL34" s="90">
        <f t="shared" ca="1" si="44"/>
        <v>3735.25</v>
      </c>
      <c r="DM34" s="90">
        <f t="shared" ca="1" si="45"/>
        <v>19156.25</v>
      </c>
      <c r="DN34" s="142">
        <f t="shared" ca="1" si="46"/>
        <v>0.33639151712887438</v>
      </c>
      <c r="DO34" s="142">
        <f t="shared" ca="1" si="46"/>
        <v>0.2716084828711256</v>
      </c>
      <c r="DP34" s="142">
        <f t="shared" ca="1" si="46"/>
        <v>0.19701141924959217</v>
      </c>
      <c r="DQ34" s="142">
        <f t="shared" ca="1" si="46"/>
        <v>0.19498858075040784</v>
      </c>
      <c r="DS34" s="128">
        <f t="shared" ca="1" si="47"/>
        <v>112545.5</v>
      </c>
      <c r="DT34" s="90">
        <f t="shared" ca="1" si="48"/>
        <v>64208.25</v>
      </c>
      <c r="DU34" s="90">
        <f t="shared" ca="1" si="49"/>
        <v>19156.25</v>
      </c>
      <c r="DV34" s="90">
        <f t="shared" si="50"/>
        <v>400</v>
      </c>
      <c r="DW34" s="90">
        <f ca="1">_xlfn.IFNA(INDEX(武器升级消耗!$H:$H,MATCH(玩家节奏2!DS34/玩家节奏2!DS$5,武器升级消耗!M:M,1)),0)</f>
        <v>31</v>
      </c>
      <c r="DX34" s="90">
        <f ca="1">_xlfn.IFNA(INDEX(武器升级消耗!$H:$H,MATCH(玩家节奏2!DT34/玩家节奏2!DT$5,武器升级消耗!N:N,1)),0)</f>
        <v>28</v>
      </c>
      <c r="DY34" s="90">
        <f ca="1">_xlfn.IFNA(INDEX(武器升级消耗!$H:$H,MATCH(玩家节奏2!DU34/玩家节奏2!DU$5,武器升级消耗!O:O,1)),0)</f>
        <v>19</v>
      </c>
      <c r="DZ34" s="90">
        <f>_xlfn.IFNA(INDEX(武器升级消耗!$H:$H,MATCH(玩家节奏2!DV34/玩家节奏2!DV$5,武器升级消耗!P:P,1)),0)</f>
        <v>15</v>
      </c>
      <c r="EA34" s="90">
        <f ca="1">_xlfn.IFNA(INDEX(武器升级消耗!$Q:$Q,MATCH(玩家节奏2!DW34,武器升级消耗!$H:$H,0))*2*EA$4,0)</f>
        <v>4.2</v>
      </c>
      <c r="EB34" s="90">
        <f ca="1">_xlfn.IFNA(INDEX(武器升级消耗!$Q:$Q,MATCH(玩家节奏2!DX34,武器升级消耗!$H:$H,0))*2*EB$4,0)</f>
        <v>4.8000000000000007</v>
      </c>
      <c r="EC34" s="90">
        <f ca="1">_xlfn.IFNA(INDEX(武器升级消耗!$Q:$Q,MATCH(玩家节奏2!DY34,武器升级消耗!$H:$H,0))*2*EC$4,0)</f>
        <v>5.0599999999999996</v>
      </c>
      <c r="ED34" s="90">
        <f>_xlfn.IFNA(INDEX(武器升级消耗!$Q:$Q,MATCH(玩家节奏2!DZ34,武器升级消耗!$H:$H,0))*2*ED$4,0)</f>
        <v>5.6999999999999993</v>
      </c>
      <c r="EF34" s="128">
        <f t="shared" si="14"/>
        <v>0</v>
      </c>
      <c r="EG34" s="90">
        <f t="shared" si="15"/>
        <v>0</v>
      </c>
      <c r="EH34" s="90">
        <v>84</v>
      </c>
      <c r="EI34" s="90">
        <v>84</v>
      </c>
      <c r="EJ34" s="90">
        <f>_xlfn.IFNA(INDEX(皮肤宠物!$J$4:$J$13,MATCH(EF34+EH34,皮肤宠物!$L$4:$L$13,1)),0)</f>
        <v>4</v>
      </c>
      <c r="EK34" s="90">
        <f>_xlfn.IFNA(INDEX(皮肤宠物!$J$4:$J$13,MATCH(EG34+EI34,皮肤宠物!$L$4:$L$13,1)),0)</f>
        <v>4</v>
      </c>
      <c r="EL34" s="90">
        <f>_xlfn.IFNA(INDEX(皮肤宠物!$N$4:$N$13,MATCH(EF34+EH34,皮肤宠物!$L$4:$L$13,1)),1)</f>
        <v>1.54</v>
      </c>
      <c r="EM34" s="90">
        <f>_xlfn.IFNA(INDEX(皮肤宠物!$N$4:$N$13,MATCH(EG34+EI34,皮肤宠物!$L$4:$L$13,1)),1)</f>
        <v>1.54</v>
      </c>
      <c r="EO34" s="128">
        <v>84</v>
      </c>
      <c r="EP34" s="90">
        <v>28</v>
      </c>
      <c r="EQ34" s="90">
        <f t="shared" ca="1" si="51"/>
        <v>31875</v>
      </c>
      <c r="ER34" s="90">
        <f t="shared" si="16"/>
        <v>0</v>
      </c>
      <c r="ES34" s="90">
        <f t="shared" ca="1" si="52"/>
        <v>346.75</v>
      </c>
      <c r="ET34" s="90">
        <f ca="1">$ES34*ET$5*皮肤宠物!$J$75/4</f>
        <v>1144.62175</v>
      </c>
      <c r="EU34" s="90">
        <f ca="1">$ES34*EU$5*皮肤宠物!$J$76/4</f>
        <v>191.05925000000002</v>
      </c>
      <c r="EV34" s="90">
        <f ca="1">$ES34*EV$5*皮肤宠物!$J$77/4</f>
        <v>51.752437499999999</v>
      </c>
      <c r="EW34" s="90">
        <f ca="1">_xlfn.IFNA(INDEX(皮肤宠物!$H$18:$H$67,MATCH(ET34,皮肤宠物!L$18:L$67,1)),0)</f>
        <v>11</v>
      </c>
      <c r="EX34" s="90">
        <f ca="1">_xlfn.IFNA(INDEX(皮肤宠物!$H$18:$H$67,MATCH(EU34,皮肤宠物!M$18:M$67,1)),0)</f>
        <v>9</v>
      </c>
      <c r="EY34" s="90">
        <f ca="1">_xlfn.IFNA(INDEX(皮肤宠物!$H$18:$H$67,MATCH(EV34,皮肤宠物!N$18:N$67,1)),0)</f>
        <v>6</v>
      </c>
      <c r="EZ34" s="90">
        <f ca="1">_xlfn.IFNA(INDEX(皮肤宠物!C$18:C$67,MATCH(EW34,皮肤宠物!$A$18:$A$67,0))+1,1)</f>
        <v>1.1100000000000001</v>
      </c>
      <c r="FA34" s="90">
        <f ca="1">_xlfn.IFNA(INDEX(皮肤宠物!D$18:D$67,MATCH(EX34,皮肤宠物!$A$18:$A$67,0))+1,1)</f>
        <v>1.18</v>
      </c>
      <c r="FB34" s="90">
        <f ca="1">_xlfn.IFNA(INDEX(皮肤宠物!E$18:E$67,MATCH(EY34,皮肤宠物!$A$18:$A$67,0))+1,1)</f>
        <v>1.24</v>
      </c>
      <c r="FD34" s="90">
        <f t="shared" ca="1" si="53"/>
        <v>5.0599999999999996</v>
      </c>
      <c r="FE34" s="90">
        <f t="shared" si="54"/>
        <v>1.54</v>
      </c>
      <c r="FF34" s="90">
        <f t="shared" ca="1" si="55"/>
        <v>1.24</v>
      </c>
      <c r="FG34" s="90">
        <f t="shared" ca="1" si="56"/>
        <v>9.6625759999999996</v>
      </c>
    </row>
    <row r="35" spans="1:163" ht="12.45" customHeight="1" x14ac:dyDescent="0.25">
      <c r="A35" s="123">
        <v>29</v>
      </c>
      <c r="B35" s="123">
        <f>INDEX(关卡对比!$Y:$Y,MATCH(关卡对比!Z35,关卡对比!$AA:$AA,1))</f>
        <v>19</v>
      </c>
      <c r="C35" s="124">
        <f>INDEX(关卡对比!$Y:$Y,MATCH(关卡对比!Z35,关卡对比!$AB:$AB,1))</f>
        <v>16</v>
      </c>
      <c r="D35" s="125">
        <f t="shared" si="63"/>
        <v>97.5</v>
      </c>
      <c r="E35" s="125">
        <v>2</v>
      </c>
      <c r="F35" s="128">
        <v>16</v>
      </c>
      <c r="G35" s="90">
        <v>16</v>
      </c>
      <c r="H35" s="90">
        <v>5</v>
      </c>
      <c r="J35" s="128">
        <v>29</v>
      </c>
      <c r="K35" s="90">
        <f t="shared" si="17"/>
        <v>16</v>
      </c>
      <c r="L35" s="90">
        <f t="shared" si="18"/>
        <v>16</v>
      </c>
      <c r="M35" s="90">
        <f t="shared" si="19"/>
        <v>5</v>
      </c>
      <c r="N35" s="140">
        <f>INDEX($A:$A,MATCH(SUM($K$7:K35),$D:$D,1))</f>
        <v>122</v>
      </c>
      <c r="O35" s="140">
        <v>0</v>
      </c>
      <c r="P35" s="141">
        <v>0</v>
      </c>
      <c r="Q35" s="126">
        <f>_xlfn.MAXIFS(关卡产出!X:X,关卡产出!$A:$A,玩家节奏2!$N$6,关卡产出!$B:$B,玩家节奏2!$N35)+_xlfn.MAXIFS(关卡产出!X:X,关卡产出!$A:$A,玩家节奏2!$O$6,关卡产出!$B:$B,玩家节奏2!$O35)+_xlfn.MAXIFS(关卡产出!X:X,关卡产出!$A:$A,玩家节奏2!$P$6,关卡产出!$B:$B,玩家节奏2!$P35)</f>
        <v>22900</v>
      </c>
      <c r="R35" s="90">
        <f>_xlfn.MAXIFS(关卡产出!Y:Y,关卡产出!$A:$A,玩家节奏2!$N$6,关卡产出!$B:$B,玩家节奏2!$N35)+_xlfn.MAXIFS(关卡产出!Y:Y,关卡产出!$A:$A,玩家节奏2!$O$6,关卡产出!$B:$B,玩家节奏2!$O35)+_xlfn.MAXIFS(关卡产出!Y:Y,关卡产出!$A:$A,玩家节奏2!$P$6,关卡产出!$B:$B,玩家节奏2!$P35)</f>
        <v>4231200</v>
      </c>
      <c r="S35" s="90">
        <f>_xlfn.MAXIFS(关卡产出!Z:Z,关卡产出!$A:$A,玩家节奏2!$N$6,关卡产出!$B:$B,玩家节奏2!$N35)+_xlfn.MAXIFS(关卡产出!Z:Z,关卡产出!$A:$A,玩家节奏2!$O$6,关卡产出!$B:$B,玩家节奏2!$O35)+_xlfn.MAXIFS(关卡产出!Z:Z,关卡产出!$A:$A,玩家节奏2!$P$6,关卡产出!$B:$B,玩家节奏2!$P35)</f>
        <v>29102</v>
      </c>
      <c r="T35" s="90">
        <f>_xlfn.MAXIFS(关卡产出!AA:AA,关卡产出!$A:$A,玩家节奏2!$N$6,关卡产出!$B:$B,玩家节奏2!$N35)+_xlfn.MAXIFS(关卡产出!AA:AA,关卡产出!$A:$A,玩家节奏2!$O$6,关卡产出!$B:$B,玩家节奏2!$O35)+_xlfn.MAXIFS(关卡产出!AA:AA,关卡产出!$A:$A,玩家节奏2!$P$6,关卡产出!$B:$B,玩家节奏2!$P35)</f>
        <v>14552</v>
      </c>
      <c r="U35" s="90">
        <f>_xlfn.MAXIFS(关卡产出!AB:AB,关卡产出!$A:$A,玩家节奏2!$N$6,关卡产出!$B:$B,玩家节奏2!$N35)+_xlfn.MAXIFS(关卡产出!AB:AB,关卡产出!$A:$A,玩家节奏2!$O$6,关卡产出!$B:$B,玩家节奏2!$O35)+_xlfn.MAXIFS(关卡产出!AB:AB,关卡产出!$A:$A,玩家节奏2!$P$6,关卡产出!$B:$B,玩家节奏2!$P35)</f>
        <v>6906</v>
      </c>
      <c r="V35" s="130">
        <f>_xlfn.MAXIFS(关卡产出!AC:AC,关卡产出!$A:$A,玩家节奏2!$N$6,关卡产出!$B:$B,玩家节奏2!$N35)+_xlfn.MAXIFS(关卡产出!AC:AC,关卡产出!$A:$A,玩家节奏2!$O$6,关卡产出!$B:$B,玩家节奏2!$O35)+_xlfn.MAXIFS(关卡产出!AC:AC,关卡产出!$A:$A,玩家节奏2!$P$6,关卡产出!$B:$B,玩家节奏2!$P35)</f>
        <v>732</v>
      </c>
      <c r="W35" s="126">
        <f>INDEX(关卡产出!C$8:C$207,MATCH(玩家节奏2!$N35,关卡产出!$B$8:$B$207,0))*$K35</f>
        <v>1536</v>
      </c>
      <c r="X35" s="126">
        <f>INDEX(关卡产出!D$8:D$207,MATCH(玩家节奏2!$N35,关卡产出!$B$8:$B$207,0))*$K35</f>
        <v>768</v>
      </c>
      <c r="Y35" s="126">
        <f>INDEX(关卡产出!E$8:E$207,MATCH(玩家节奏2!$N35,关卡产出!$B$8:$B$207,0))*$K35</f>
        <v>368</v>
      </c>
      <c r="Z35" s="144">
        <f>INDEX(关卡产出!F$8:F$207,MATCH(玩家节奏2!$N35,关卡产出!$B$8:$B$207,0))*$K35</f>
        <v>20320</v>
      </c>
      <c r="AA35" s="126">
        <f>SUM(W$7:W35)</f>
        <v>23550</v>
      </c>
      <c r="AB35" s="126">
        <f>SUM(X$7:X35)</f>
        <v>11667</v>
      </c>
      <c r="AC35" s="126">
        <f>SUM(Y$7:Y35)</f>
        <v>5571</v>
      </c>
      <c r="AD35" s="177">
        <f>SUM(Z$7:Z35)</f>
        <v>329690</v>
      </c>
      <c r="AE35" s="128">
        <f>INDEX(图鉴!AQ:AQ,MATCH($N35,图鉴!$S:$S,0))*34</f>
        <v>714</v>
      </c>
      <c r="AF35" s="90">
        <f>INDEX(图鉴!AR:AR,MATCH($N35,图鉴!$S:$S,0))*34</f>
        <v>510</v>
      </c>
      <c r="AG35" s="90">
        <f>INDEX(图鉴!AS:AS,MATCH($N35,图鉴!$S:$S,0))*34</f>
        <v>204</v>
      </c>
      <c r="AH35" s="129">
        <f ca="1">INDEX(图鉴!AT:AT,MATCH($N35,图鉴!$S:$S,0))*34</f>
        <v>44710</v>
      </c>
      <c r="AI35" s="128">
        <f>SUM($AE$7:AE35)</f>
        <v>18802</v>
      </c>
      <c r="AJ35" s="90">
        <f>SUM(AF$7:AF35)</f>
        <v>11322</v>
      </c>
      <c r="AK35" s="90">
        <f>SUM(AG$7:AG35)</f>
        <v>3978</v>
      </c>
      <c r="AL35" s="130">
        <f ca="1">SUM(AH$7:AH35)</f>
        <v>880736</v>
      </c>
      <c r="AM35" s="133">
        <f>IF(M35=0,0,INDEX(关卡产出!$AU$11:$AU$15,MATCH(玩家节奏2!N35,关卡产出!$AW$11:$AW$15,1))*M35)</f>
        <v>61000</v>
      </c>
      <c r="AN35" s="126">
        <f>IF(L35=0,0,$L35*关卡产出!AU$21)</f>
        <v>16000</v>
      </c>
      <c r="AO35" s="90">
        <f>IF(M35=0,0,$L35*关卡产出!AV$21)</f>
        <v>800</v>
      </c>
      <c r="AP35" s="129">
        <f>IF(N35=0,0,$L35*关卡产出!AW$21)</f>
        <v>16</v>
      </c>
      <c r="AQ35" s="138">
        <f>SUM(AN$7:AN35)</f>
        <v>416000</v>
      </c>
      <c r="AR35" s="126">
        <f>SUM(AO$7:AO35)</f>
        <v>20800</v>
      </c>
      <c r="AS35" s="129">
        <f>SUM(AP$7:AP35)</f>
        <v>416</v>
      </c>
      <c r="AT35" s="128">
        <v>3000</v>
      </c>
      <c r="AU35" s="129">
        <v>600</v>
      </c>
      <c r="AV35" s="128">
        <f>SUM(AT$7:AT35)</f>
        <v>87000</v>
      </c>
      <c r="AW35" s="90">
        <f>SUM(AU$7:AU35)</f>
        <v>17400</v>
      </c>
      <c r="AY35" s="128">
        <f t="shared" si="20"/>
        <v>22900</v>
      </c>
      <c r="AZ35" s="90">
        <f t="shared" si="21"/>
        <v>20800</v>
      </c>
      <c r="BA35" s="90">
        <f t="shared" si="22"/>
        <v>17400</v>
      </c>
      <c r="BB35" s="90">
        <f t="shared" ca="1" si="57"/>
        <v>9200</v>
      </c>
      <c r="BC35" s="90">
        <f t="shared" ca="1" si="60"/>
        <v>37325</v>
      </c>
      <c r="BD35" s="90">
        <f t="shared" ca="1" si="61"/>
        <v>32975</v>
      </c>
      <c r="BE35" s="90">
        <f t="shared" ca="1" si="24"/>
        <v>70300</v>
      </c>
      <c r="BF35" s="142">
        <f t="shared" ca="1" si="0"/>
        <v>0.61352980576021432</v>
      </c>
      <c r="BG35" s="142">
        <f t="shared" ca="1" si="1"/>
        <v>0.55726724715338249</v>
      </c>
      <c r="BH35" s="142">
        <f t="shared" ca="1" si="2"/>
        <v>0.46617548559946415</v>
      </c>
      <c r="BI35" s="142">
        <f t="shared" ca="1" si="3"/>
        <v>0.24648359008707302</v>
      </c>
      <c r="BJ35" s="143"/>
      <c r="BK35" s="128">
        <f ca="1">INDEX(商城宝箱!$L:$L,MATCH(BC35,商城宝箱!$N:$N,1))</f>
        <v>8</v>
      </c>
      <c r="BL35" s="90">
        <f ca="1">_xlfn.IFNA(INDEX(商城宝箱!T:T,MATCH(玩家节奏2!$BK35,商城宝箱!$L:$L,0)),0)+($BC35-INDEX(商城宝箱!$N:$N,MATCH(玩家节奏2!$BK35,商城宝箱!$L:$L,0)))/$BK$5*INDEX(商城宝箱!E$23:E$42,MATCH(玩家节奏2!$BK35+1,商城宝箱!$C$23:$C$42,0))</f>
        <v>93312.5</v>
      </c>
      <c r="BM35" s="90">
        <f ca="1">_xlfn.IFNA(INDEX(商城宝箱!U:U,MATCH(玩家节奏2!$BK35,商城宝箱!$L:$L,0)),0)+($BC35-INDEX(商城宝箱!$N:$N,MATCH(玩家节奏2!$BK35,商城宝箱!$L:$L,0)))/$BK$5*INDEX(商城宝箱!F$23:F$42,MATCH(玩家节奏2!$BK35+1,商城宝箱!$C$23:$C$42,0))</f>
        <v>47657.5</v>
      </c>
      <c r="BN35" s="90">
        <f ca="1">_xlfn.IFNA(INDEX(商城宝箱!V:V,MATCH(玩家节奏2!$BK35,商城宝箱!$L:$L,0)),0)+($BC35-INDEX(商城宝箱!$N:$N,MATCH(玩家节奏2!$BK35,商城宝箱!$L:$L,0)))/$BK$5*INDEX(商城宝箱!G$23:G$42,MATCH(玩家节奏2!$BK35+1,商城宝箱!$C$23:$C$42,0))</f>
        <v>30708.25</v>
      </c>
      <c r="BO35" s="90">
        <f ca="1">_xlfn.IFNA(INDEX(商城宝箱!W:W,MATCH(玩家节奏2!$BK35,商城宝箱!$L:$L,0)),0)+($BC35-INDEX(商城宝箱!$N:$N,MATCH(玩家节奏2!$BK35,商城宝箱!$L:$L,0)))/$BK$5*INDEX(商城宝箱!H$23:H$42,MATCH(玩家节奏2!$BK35+1,商城宝箱!$C$23:$C$42,0))</f>
        <v>3944.25</v>
      </c>
      <c r="BQ35" s="128">
        <f t="shared" si="4"/>
        <v>4231200</v>
      </c>
      <c r="BR35" s="90">
        <f t="shared" si="5"/>
        <v>329690</v>
      </c>
      <c r="BS35" s="90">
        <f t="shared" ca="1" si="6"/>
        <v>880736</v>
      </c>
      <c r="BT35" s="90">
        <f t="shared" si="7"/>
        <v>61000</v>
      </c>
      <c r="BU35" s="90">
        <f t="shared" si="8"/>
        <v>416000</v>
      </c>
      <c r="BV35" s="90">
        <f t="shared" si="9"/>
        <v>87000</v>
      </c>
      <c r="BW35" s="90">
        <f t="shared" ca="1" si="25"/>
        <v>93312.5</v>
      </c>
      <c r="BX35" s="90">
        <f t="shared" ca="1" si="26"/>
        <v>6098938.5</v>
      </c>
      <c r="BY35" s="142">
        <f t="shared" ca="1" si="27"/>
        <v>0.69376006988757144</v>
      </c>
      <c r="BZ35" s="142">
        <f t="shared" ca="1" si="27"/>
        <v>5.4056947778699523E-2</v>
      </c>
      <c r="CA35" s="142">
        <f t="shared" ca="1" si="27"/>
        <v>0.14440808019297127</v>
      </c>
      <c r="CB35" s="142">
        <f t="shared" ca="1" si="27"/>
        <v>1.0001740466804182E-2</v>
      </c>
      <c r="CC35" s="142">
        <f t="shared" ca="1" si="27"/>
        <v>6.8208590724435081E-2</v>
      </c>
      <c r="CD35" s="142">
        <f t="shared" ca="1" si="27"/>
        <v>1.4264777387081375E-2</v>
      </c>
      <c r="CE35" s="142">
        <f t="shared" ca="1" si="27"/>
        <v>1.5299793562437136E-2</v>
      </c>
      <c r="CG35" s="128">
        <f t="shared" si="28"/>
        <v>122</v>
      </c>
      <c r="CH35" s="90">
        <f ca="1">INDEX(角色升级!$A:$A,MATCH(玩家节奏2!$BX35,角色升级!$J:$J,1))</f>
        <v>609</v>
      </c>
      <c r="CI35" s="90">
        <f ca="1">INDEX(角色升级!$O:$O,MATCH(玩家节奏2!$BX35,角色升级!$J:$J,1))</f>
        <v>30030.885389999999</v>
      </c>
      <c r="CJ35" s="90">
        <f>INDEX(关卡对比!$J:$J,MATCH(玩家节奏2!N35,关卡对比!$A:$A,0))</f>
        <v>47200</v>
      </c>
      <c r="CK35" s="147">
        <f t="shared" ca="1" si="29"/>
        <v>1.5717152320696197</v>
      </c>
      <c r="CL35" s="128">
        <f ca="1">INDEX(角色升级!$P:$P,MATCH(玩家节奏2!$CH35,角色升级!$A:$A,0))</f>
        <v>9200</v>
      </c>
      <c r="CM35" s="90">
        <f ca="1">INDEX(角色升级!Q:Q,MATCH(玩家节奏2!$CH35,角色升级!$A:$A,0))</f>
        <v>0.9</v>
      </c>
      <c r="CO35" s="128">
        <f t="shared" si="30"/>
        <v>29102</v>
      </c>
      <c r="CP35" s="90">
        <f t="shared" si="31"/>
        <v>23550</v>
      </c>
      <c r="CQ35" s="90">
        <f t="shared" si="32"/>
        <v>18802</v>
      </c>
      <c r="CR35" s="90">
        <f t="shared" ca="1" si="33"/>
        <v>47657.5</v>
      </c>
      <c r="CS35" s="90">
        <f t="shared" ca="1" si="34"/>
        <v>119111.5</v>
      </c>
      <c r="CT35" s="142">
        <f t="shared" ca="1" si="35"/>
        <v>0.24432569483215308</v>
      </c>
      <c r="CU35" s="142">
        <f t="shared" ca="1" si="35"/>
        <v>0.19771390671765532</v>
      </c>
      <c r="CV35" s="142">
        <f t="shared" ca="1" si="35"/>
        <v>0.15785209656498322</v>
      </c>
      <c r="CW35" s="142">
        <f t="shared" ca="1" si="35"/>
        <v>0.40010830188520841</v>
      </c>
      <c r="CY35" s="128">
        <f t="shared" si="36"/>
        <v>14552</v>
      </c>
      <c r="CZ35" s="90">
        <f t="shared" si="37"/>
        <v>11667</v>
      </c>
      <c r="DA35" s="90">
        <f t="shared" si="38"/>
        <v>11322</v>
      </c>
      <c r="DB35" s="90">
        <f t="shared" ca="1" si="58"/>
        <v>30708.25</v>
      </c>
      <c r="DC35" s="90">
        <f t="shared" ca="1" si="39"/>
        <v>68249.25</v>
      </c>
      <c r="DD35" s="142">
        <f t="shared" ca="1" si="40"/>
        <v>0.21321846027612026</v>
      </c>
      <c r="DE35" s="142">
        <f t="shared" ca="1" si="40"/>
        <v>0.17094693348278553</v>
      </c>
      <c r="DF35" s="142">
        <f t="shared" ca="1" si="40"/>
        <v>0.16589193287838327</v>
      </c>
      <c r="DG35" s="142">
        <f t="shared" ca="1" si="40"/>
        <v>0.44994267336271093</v>
      </c>
      <c r="DI35" s="128">
        <f t="shared" si="41"/>
        <v>6906</v>
      </c>
      <c r="DJ35" s="90">
        <f t="shared" si="42"/>
        <v>5571</v>
      </c>
      <c r="DK35" s="90">
        <f t="shared" si="43"/>
        <v>3978</v>
      </c>
      <c r="DL35" s="90">
        <f t="shared" ca="1" si="44"/>
        <v>3944.25</v>
      </c>
      <c r="DM35" s="90">
        <f t="shared" ca="1" si="45"/>
        <v>20399.25</v>
      </c>
      <c r="DN35" s="142">
        <f t="shared" ca="1" si="46"/>
        <v>0.33854185815654986</v>
      </c>
      <c r="DO35" s="142">
        <f t="shared" ca="1" si="46"/>
        <v>0.2730982756718997</v>
      </c>
      <c r="DP35" s="142">
        <f t="shared" ca="1" si="46"/>
        <v>0.19500716938122725</v>
      </c>
      <c r="DQ35" s="142">
        <f t="shared" ca="1" si="46"/>
        <v>0.19335269679032319</v>
      </c>
      <c r="DS35" s="128">
        <f t="shared" ca="1" si="47"/>
        <v>119111.5</v>
      </c>
      <c r="DT35" s="90">
        <f t="shared" ca="1" si="48"/>
        <v>68249.25</v>
      </c>
      <c r="DU35" s="90">
        <f t="shared" ca="1" si="49"/>
        <v>20399.25</v>
      </c>
      <c r="DV35" s="90">
        <f t="shared" si="50"/>
        <v>416</v>
      </c>
      <c r="DW35" s="90">
        <f ca="1">_xlfn.IFNA(INDEX(武器升级消耗!$H:$H,MATCH(玩家节奏2!DS35/玩家节奏2!DS$5,武器升级消耗!M:M,1)),0)</f>
        <v>31</v>
      </c>
      <c r="DX35" s="90">
        <f ca="1">_xlfn.IFNA(INDEX(武器升级消耗!$H:$H,MATCH(玩家节奏2!DT35/玩家节奏2!DT$5,武器升级消耗!N:N,1)),0)</f>
        <v>28</v>
      </c>
      <c r="DY35" s="90">
        <f ca="1">_xlfn.IFNA(INDEX(武器升级消耗!$H:$H,MATCH(玩家节奏2!DU35/玩家节奏2!DU$5,武器升级消耗!O:O,1)),0)</f>
        <v>20</v>
      </c>
      <c r="DZ35" s="90">
        <f>_xlfn.IFNA(INDEX(武器升级消耗!$H:$H,MATCH(玩家节奏2!DV35/玩家节奏2!DV$5,武器升级消耗!P:P,1)),0)</f>
        <v>15</v>
      </c>
      <c r="EA35" s="90">
        <f ca="1">_xlfn.IFNA(INDEX(武器升级消耗!$Q:$Q,MATCH(玩家节奏2!DW35,武器升级消耗!$H:$H,0))*2*EA$4,0)</f>
        <v>4.2</v>
      </c>
      <c r="EB35" s="90">
        <f ca="1">_xlfn.IFNA(INDEX(武器升级消耗!$Q:$Q,MATCH(玩家节奏2!DX35,武器升级消耗!$H:$H,0))*2*EB$4,0)</f>
        <v>4.8000000000000007</v>
      </c>
      <c r="EC35" s="90">
        <f ca="1">_xlfn.IFNA(INDEX(武器升级消耗!$Q:$Q,MATCH(玩家节奏2!DY35,武器升级消耗!$H:$H,0))*2*EC$4,0)</f>
        <v>5.28</v>
      </c>
      <c r="ED35" s="90">
        <f>_xlfn.IFNA(INDEX(武器升级消耗!$Q:$Q,MATCH(玩家节奏2!DZ35,武器升级消耗!$H:$H,0))*2*ED$4,0)</f>
        <v>5.6999999999999993</v>
      </c>
      <c r="EF35" s="128">
        <f t="shared" si="14"/>
        <v>0</v>
      </c>
      <c r="EG35" s="90">
        <f t="shared" si="15"/>
        <v>0</v>
      </c>
      <c r="EH35" s="90">
        <v>87</v>
      </c>
      <c r="EI35" s="90">
        <v>87</v>
      </c>
      <c r="EJ35" s="90">
        <f>_xlfn.IFNA(INDEX(皮肤宠物!$J$4:$J$13,MATCH(EF35+EH35,皮肤宠物!$L$4:$L$13,1)),0)</f>
        <v>5</v>
      </c>
      <c r="EK35" s="90">
        <f>_xlfn.IFNA(INDEX(皮肤宠物!$J$4:$J$13,MATCH(EG35+EI35,皮肤宠物!$L$4:$L$13,1)),0)</f>
        <v>5</v>
      </c>
      <c r="EL35" s="90">
        <f>_xlfn.IFNA(INDEX(皮肤宠物!$N$4:$N$13,MATCH(EF35+EH35,皮肤宠物!$L$4:$L$13,1)),1)</f>
        <v>1.6500000000000001</v>
      </c>
      <c r="EM35" s="90">
        <f>_xlfn.IFNA(INDEX(皮肤宠物!$N$4:$N$13,MATCH(EG35+EI35,皮肤宠物!$L$4:$L$13,1)),1)</f>
        <v>1.6500000000000001</v>
      </c>
      <c r="EO35" s="128">
        <v>87</v>
      </c>
      <c r="EP35" s="90">
        <v>29</v>
      </c>
      <c r="EQ35" s="90">
        <f t="shared" ca="1" si="51"/>
        <v>32975</v>
      </c>
      <c r="ER35" s="90">
        <f t="shared" si="16"/>
        <v>0</v>
      </c>
      <c r="ES35" s="90">
        <f t="shared" ca="1" si="52"/>
        <v>358.75</v>
      </c>
      <c r="ET35" s="90">
        <f ca="1">$ES35*ET$5*皮肤宠物!$J$75/4</f>
        <v>1184.2337500000001</v>
      </c>
      <c r="EU35" s="90">
        <f ca="1">$ES35*EU$5*皮肤宠物!$J$76/4</f>
        <v>197.67125000000001</v>
      </c>
      <c r="EV35" s="90">
        <f ca="1">$ES35*EV$5*皮肤宠物!$J$77/4</f>
        <v>53.543437500000003</v>
      </c>
      <c r="EW35" s="90">
        <f ca="1">_xlfn.IFNA(INDEX(皮肤宠物!$H$18:$H$67,MATCH(ET35,皮肤宠物!L$18:L$67,1)),0)</f>
        <v>12</v>
      </c>
      <c r="EX35" s="90">
        <f ca="1">_xlfn.IFNA(INDEX(皮肤宠物!$H$18:$H$67,MATCH(EU35,皮肤宠物!M$18:M$67,1)),0)</f>
        <v>9</v>
      </c>
      <c r="EY35" s="90">
        <f ca="1">_xlfn.IFNA(INDEX(皮肤宠物!$H$18:$H$67,MATCH(EV35,皮肤宠物!N$18:N$67,1)),0)</f>
        <v>6</v>
      </c>
      <c r="EZ35" s="90">
        <f ca="1">_xlfn.IFNA(INDEX(皮肤宠物!C$18:C$67,MATCH(EW35,皮肤宠物!$A$18:$A$67,0))+1,1)</f>
        <v>1.1200000000000001</v>
      </c>
      <c r="FA35" s="90">
        <f ca="1">_xlfn.IFNA(INDEX(皮肤宠物!D$18:D$67,MATCH(EX35,皮肤宠物!$A$18:$A$67,0))+1,1)</f>
        <v>1.18</v>
      </c>
      <c r="FB35" s="90">
        <f ca="1">_xlfn.IFNA(INDEX(皮肤宠物!E$18:E$67,MATCH(EY35,皮肤宠物!$A$18:$A$67,0))+1,1)</f>
        <v>1.24</v>
      </c>
      <c r="FD35" s="90">
        <f t="shared" ca="1" si="53"/>
        <v>5.28</v>
      </c>
      <c r="FE35" s="90">
        <f t="shared" si="54"/>
        <v>1.6500000000000001</v>
      </c>
      <c r="FF35" s="90">
        <f t="shared" ca="1" si="55"/>
        <v>1.24</v>
      </c>
      <c r="FG35" s="90">
        <f t="shared" ca="1" si="56"/>
        <v>10.802880000000002</v>
      </c>
    </row>
    <row r="36" spans="1:163" x14ac:dyDescent="0.25">
      <c r="A36" s="123">
        <v>30</v>
      </c>
      <c r="B36" s="123">
        <f>INDEX(关卡对比!$Y:$Y,MATCH(关卡对比!Z36,关卡对比!$AA:$AA,1))</f>
        <v>20</v>
      </c>
      <c r="C36" s="124">
        <f>INDEX(关卡对比!$Y:$Y,MATCH(关卡对比!Z36,关卡对比!$AB:$AB,1))</f>
        <v>17</v>
      </c>
      <c r="D36" s="125">
        <f t="shared" si="63"/>
        <v>103.5</v>
      </c>
      <c r="E36" s="125">
        <v>2</v>
      </c>
      <c r="F36" s="128">
        <v>16</v>
      </c>
      <c r="G36" s="90">
        <v>16</v>
      </c>
      <c r="H36" s="90">
        <v>5</v>
      </c>
      <c r="J36" s="128">
        <v>30</v>
      </c>
      <c r="K36" s="90">
        <f t="shared" si="17"/>
        <v>16</v>
      </c>
      <c r="L36" s="90">
        <f t="shared" si="18"/>
        <v>16</v>
      </c>
      <c r="M36" s="90">
        <f t="shared" si="19"/>
        <v>5</v>
      </c>
      <c r="N36" s="140">
        <f>INDEX($A:$A,MATCH(SUM($K$7:K36),$D:$D,1))</f>
        <v>126</v>
      </c>
      <c r="O36" s="140">
        <v>0</v>
      </c>
      <c r="P36" s="141">
        <v>0</v>
      </c>
      <c r="Q36" s="126">
        <f>_xlfn.MAXIFS(关卡产出!X:X,关卡产出!$A:$A,玩家节奏2!$N$6,关卡产出!$B:$B,玩家节奏2!$N36)+_xlfn.MAXIFS(关卡产出!X:X,关卡产出!$A:$A,玩家节奏2!$O$6,关卡产出!$B:$B,玩家节奏2!$O36)+_xlfn.MAXIFS(关卡产出!X:X,关卡产出!$A:$A,玩家节奏2!$P$6,关卡产出!$B:$B,玩家节奏2!$P36)</f>
        <v>23700</v>
      </c>
      <c r="R36" s="90">
        <f>_xlfn.MAXIFS(关卡产出!Y:Y,关卡产出!$A:$A,玩家节奏2!$N$6,关卡产出!$B:$B,玩家节奏2!$N36)+_xlfn.MAXIFS(关卡产出!Y:Y,关卡产出!$A:$A,玩家节奏2!$O$6,关卡产出!$B:$B,玩家节奏2!$O36)+_xlfn.MAXIFS(关卡产出!Y:Y,关卡产出!$A:$A,玩家节奏2!$P$6,关卡产出!$B:$B,玩家节奏2!$P36)</f>
        <v>4520800</v>
      </c>
      <c r="S36" s="90">
        <f>_xlfn.MAXIFS(关卡产出!Z:Z,关卡产出!$A:$A,玩家节奏2!$N$6,关卡产出!$B:$B,玩家节奏2!$N36)+_xlfn.MAXIFS(关卡产出!Z:Z,关卡产出!$A:$A,玩家节奏2!$O$6,关卡产出!$B:$B,玩家节奏2!$O36)+_xlfn.MAXIFS(关卡产出!Z:Z,关卡产出!$A:$A,玩家节奏2!$P$6,关卡产出!$B:$B,玩家节奏2!$P36)</f>
        <v>31062</v>
      </c>
      <c r="T36" s="90">
        <f>_xlfn.MAXIFS(关卡产出!AA:AA,关卡产出!$A:$A,玩家节奏2!$N$6,关卡产出!$B:$B,玩家节奏2!$N36)+_xlfn.MAXIFS(关卡产出!AA:AA,关卡产出!$A:$A,玩家节奏2!$O$6,关卡产出!$B:$B,玩家节奏2!$O36)+_xlfn.MAXIFS(关卡产出!AA:AA,关卡产出!$A:$A,玩家节奏2!$P$6,关卡产出!$B:$B,玩家节奏2!$P36)</f>
        <v>15532</v>
      </c>
      <c r="U36" s="90">
        <f>_xlfn.MAXIFS(关卡产出!AB:AB,关卡产出!$A:$A,玩家节奏2!$N$6,关卡产出!$B:$B,玩家节奏2!$N36)+_xlfn.MAXIFS(关卡产出!AB:AB,关卡产出!$A:$A,玩家节奏2!$O$6,关卡产出!$B:$B,玩家节奏2!$O36)+_xlfn.MAXIFS(关卡产出!AB:AB,关卡产出!$A:$A,玩家节奏2!$P$6,关卡产出!$B:$B,玩家节奏2!$P36)</f>
        <v>7384</v>
      </c>
      <c r="V36" s="130">
        <f>_xlfn.MAXIFS(关卡产出!AC:AC,关卡产出!$A:$A,玩家节奏2!$N$6,关卡产出!$B:$B,玩家节奏2!$N36)+_xlfn.MAXIFS(关卡产出!AC:AC,关卡产出!$A:$A,玩家节奏2!$O$6,关卡产出!$B:$B,玩家节奏2!$O36)+_xlfn.MAXIFS(关卡产出!AC:AC,关卡产出!$A:$A,玩家节奏2!$P$6,关卡产出!$B:$B,玩家节奏2!$P36)</f>
        <v>756</v>
      </c>
      <c r="W36" s="126">
        <f>INDEX(关卡产出!C$8:C$207,MATCH(玩家节奏2!$N36,关卡产出!$B$8:$B$207,0))*$K36</f>
        <v>1584</v>
      </c>
      <c r="X36" s="126">
        <f>INDEX(关卡产出!D$8:D$207,MATCH(玩家节奏2!$N36,关卡产出!$B$8:$B$207,0))*$K36</f>
        <v>784</v>
      </c>
      <c r="Y36" s="126">
        <f>INDEX(关卡产出!E$8:E$207,MATCH(玩家节奏2!$N36,关卡产出!$B$8:$B$207,0))*$K36</f>
        <v>384</v>
      </c>
      <c r="Z36" s="144">
        <f>INDEX(关卡产出!F$8:F$207,MATCH(玩家节奏2!$N36,关卡产出!$B$8:$B$207,0))*$K36</f>
        <v>20960</v>
      </c>
      <c r="AA36" s="126">
        <f>SUM(W$7:W36)</f>
        <v>25134</v>
      </c>
      <c r="AB36" s="126">
        <f>SUM(X$7:X36)</f>
        <v>12451</v>
      </c>
      <c r="AC36" s="126">
        <f>SUM(Y$7:Y36)</f>
        <v>5955</v>
      </c>
      <c r="AD36" s="177">
        <f>SUM(Z$7:Z36)</f>
        <v>350650</v>
      </c>
      <c r="AE36" s="128">
        <f>INDEX(图鉴!AQ:AQ,MATCH($N36,图鉴!$S:$S,0))*34</f>
        <v>714</v>
      </c>
      <c r="AF36" s="90">
        <f>INDEX(图鉴!AR:AR,MATCH($N36,图鉴!$S:$S,0))*34</f>
        <v>510</v>
      </c>
      <c r="AG36" s="90">
        <f>INDEX(图鉴!AS:AS,MATCH($N36,图鉴!$S:$S,0))*34</f>
        <v>204</v>
      </c>
      <c r="AH36" s="129">
        <f ca="1">INDEX(图鉴!AT:AT,MATCH($N36,图鉴!$S:$S,0))*34</f>
        <v>46240</v>
      </c>
      <c r="AI36" s="128">
        <f>SUM($AE$7:AE36)</f>
        <v>19516</v>
      </c>
      <c r="AJ36" s="90">
        <f>SUM(AF$7:AF36)</f>
        <v>11832</v>
      </c>
      <c r="AK36" s="90">
        <f>SUM(AG$7:AG36)</f>
        <v>4182</v>
      </c>
      <c r="AL36" s="130">
        <f ca="1">SUM(AH$7:AH36)</f>
        <v>926976</v>
      </c>
      <c r="AM36" s="133">
        <f>IF(M36=0,0,INDEX(关卡产出!$AU$11:$AU$15,MATCH(玩家节奏2!N36,关卡产出!$AW$11:$AW$15,1))*M36)</f>
        <v>61000</v>
      </c>
      <c r="AN36" s="126">
        <f>IF(L36=0,0,$L36*关卡产出!AU$21)</f>
        <v>16000</v>
      </c>
      <c r="AO36" s="90">
        <f>IF(M36=0,0,$L36*关卡产出!AV$21)</f>
        <v>800</v>
      </c>
      <c r="AP36" s="129">
        <f>IF(N36=0,0,$L36*关卡产出!AW$21)</f>
        <v>16</v>
      </c>
      <c r="AQ36" s="138">
        <f>SUM(AN$7:AN36)</f>
        <v>432000</v>
      </c>
      <c r="AR36" s="126">
        <f>SUM(AO$7:AO36)</f>
        <v>21600</v>
      </c>
      <c r="AS36" s="129">
        <f>SUM(AP$7:AP36)</f>
        <v>432</v>
      </c>
      <c r="AT36" s="128">
        <v>3000</v>
      </c>
      <c r="AU36" s="129">
        <v>600</v>
      </c>
      <c r="AV36" s="128">
        <f>SUM(AT$7:AT36)</f>
        <v>90000</v>
      </c>
      <c r="AW36" s="90">
        <f>SUM(AU$7:AU36)</f>
        <v>18000</v>
      </c>
      <c r="AY36" s="128">
        <f t="shared" si="20"/>
        <v>23700</v>
      </c>
      <c r="AZ36" s="90">
        <f t="shared" si="21"/>
        <v>21600</v>
      </c>
      <c r="BA36" s="90">
        <f t="shared" si="22"/>
        <v>18000</v>
      </c>
      <c r="BB36" s="90">
        <f t="shared" ca="1" si="57"/>
        <v>9200</v>
      </c>
      <c r="BC36" s="90">
        <f t="shared" ca="1" si="60"/>
        <v>38425</v>
      </c>
      <c r="BD36" s="90">
        <f t="shared" ca="1" si="61"/>
        <v>34075</v>
      </c>
      <c r="BE36" s="90">
        <f t="shared" ca="1" si="24"/>
        <v>72500</v>
      </c>
      <c r="BF36" s="142">
        <f t="shared" ca="1" si="0"/>
        <v>0.61678594664931685</v>
      </c>
      <c r="BG36" s="142">
        <f t="shared" ca="1" si="1"/>
        <v>0.56213402732595963</v>
      </c>
      <c r="BH36" s="142">
        <f t="shared" ca="1" si="2"/>
        <v>0.46844502277163302</v>
      </c>
      <c r="BI36" s="142">
        <f t="shared" ca="1" si="3"/>
        <v>0.23942745608327912</v>
      </c>
      <c r="BJ36" s="143"/>
      <c r="BK36" s="128">
        <f ca="1">INDEX(商城宝箱!$L:$L,MATCH(BC36,商城宝箱!$N:$N,1))</f>
        <v>8</v>
      </c>
      <c r="BL36" s="90">
        <f ca="1">_xlfn.IFNA(INDEX(商城宝箱!T:T,MATCH(玩家节奏2!$BK36,商城宝箱!$L:$L,0)),0)+($BC36-INDEX(商城宝箱!$N:$N,MATCH(玩家节奏2!$BK36,商城宝箱!$L:$L,0)))/$BK$5*INDEX(商城宝箱!E$23:E$42,MATCH(玩家节奏2!$BK36+1,商城宝箱!$C$23:$C$42,0))</f>
        <v>96062.5</v>
      </c>
      <c r="BM36" s="90">
        <f ca="1">_xlfn.IFNA(INDEX(商城宝箱!U:U,MATCH(玩家节奏2!$BK36,商城宝箱!$L:$L,0)),0)+($BC36-INDEX(商城宝箱!$N:$N,MATCH(玩家节奏2!$BK36,商城宝箱!$L:$L,0)))/$BK$5*INDEX(商城宝箱!F$23:F$42,MATCH(玩家节奏2!$BK36+1,商城宝箱!$C$23:$C$42,0))</f>
        <v>50077.5</v>
      </c>
      <c r="BN36" s="90">
        <f ca="1">_xlfn.IFNA(INDEX(商城宝箱!V:V,MATCH(玩家节奏2!$BK36,商城宝箱!$L:$L,0)),0)+($BC36-INDEX(商城宝箱!$N:$N,MATCH(玩家节奏2!$BK36,商城宝箱!$L:$L,0)))/$BK$5*INDEX(商城宝箱!G$23:G$42,MATCH(玩家节奏2!$BK36+1,商城宝箱!$C$23:$C$42,0))</f>
        <v>32523.25</v>
      </c>
      <c r="BO36" s="90">
        <f ca="1">_xlfn.IFNA(INDEX(商城宝箱!W:W,MATCH(玩家节奏2!$BK36,商城宝箱!$L:$L,0)),0)+($BC36-INDEX(商城宝箱!$N:$N,MATCH(玩家节奏2!$BK36,商城宝箱!$L:$L,0)))/$BK$5*INDEX(商城宝箱!H$23:H$42,MATCH(玩家节奏2!$BK36+1,商城宝箱!$C$23:$C$42,0))</f>
        <v>4153.25</v>
      </c>
      <c r="BQ36" s="128">
        <f t="shared" si="4"/>
        <v>4520800</v>
      </c>
      <c r="BR36" s="90">
        <f t="shared" si="5"/>
        <v>350650</v>
      </c>
      <c r="BS36" s="90">
        <f t="shared" ca="1" si="6"/>
        <v>926976</v>
      </c>
      <c r="BT36" s="90">
        <f t="shared" si="7"/>
        <v>61000</v>
      </c>
      <c r="BU36" s="90">
        <f t="shared" si="8"/>
        <v>432000</v>
      </c>
      <c r="BV36" s="90">
        <f t="shared" si="9"/>
        <v>90000</v>
      </c>
      <c r="BW36" s="90">
        <f t="shared" ca="1" si="25"/>
        <v>96062.5</v>
      </c>
      <c r="BX36" s="90">
        <f t="shared" ca="1" si="26"/>
        <v>6477488.5</v>
      </c>
      <c r="BY36" s="142">
        <f t="shared" ca="1" si="27"/>
        <v>0.6979248207079024</v>
      </c>
      <c r="BZ36" s="142">
        <f t="shared" ca="1" si="27"/>
        <v>5.4133635281637317E-2</v>
      </c>
      <c r="CA36" s="142">
        <f t="shared" ca="1" si="27"/>
        <v>0.14310731697941262</v>
      </c>
      <c r="CB36" s="142">
        <f t="shared" ca="1" si="27"/>
        <v>9.4172301502349256E-3</v>
      </c>
      <c r="CC36" s="142">
        <f t="shared" ca="1" si="27"/>
        <v>6.6692515162319471E-2</v>
      </c>
      <c r="CD36" s="142">
        <f t="shared" ca="1" si="27"/>
        <v>1.389427399214989E-2</v>
      </c>
      <c r="CE36" s="142">
        <f t="shared" ca="1" si="27"/>
        <v>1.483020772634332E-2</v>
      </c>
      <c r="CG36" s="128">
        <f t="shared" si="28"/>
        <v>126</v>
      </c>
      <c r="CH36" s="90">
        <f ca="1">INDEX(角色升级!$A:$A,MATCH(玩家节奏2!$BX36,角色升级!$J:$J,1))</f>
        <v>623</v>
      </c>
      <c r="CI36" s="90">
        <f ca="1">INDEX(角色升级!$O:$O,MATCH(玩家节奏2!$BX36,角色升级!$J:$J,1))</f>
        <v>30602.195910000002</v>
      </c>
      <c r="CJ36" s="90">
        <f>INDEX(关卡对比!$J:$J,MATCH(玩家节奏2!N36,关卡对比!$A:$A,0))</f>
        <v>49200</v>
      </c>
      <c r="CK36" s="147">
        <f t="shared" ca="1" si="29"/>
        <v>1.6077277638733996</v>
      </c>
      <c r="CL36" s="128">
        <f ca="1">INDEX(角色升级!$P:$P,MATCH(玩家节奏2!$CH36,角色升级!$A:$A,0))</f>
        <v>10800</v>
      </c>
      <c r="CM36" s="90">
        <f ca="1">INDEX(角色升级!Q:Q,MATCH(玩家节奏2!$CH36,角色升级!$A:$A,0))</f>
        <v>1</v>
      </c>
      <c r="CO36" s="128">
        <f t="shared" si="30"/>
        <v>31062</v>
      </c>
      <c r="CP36" s="90">
        <f t="shared" si="31"/>
        <v>25134</v>
      </c>
      <c r="CQ36" s="90">
        <f t="shared" si="32"/>
        <v>19516</v>
      </c>
      <c r="CR36" s="90">
        <f t="shared" ca="1" si="33"/>
        <v>50077.5</v>
      </c>
      <c r="CS36" s="90">
        <f t="shared" ca="1" si="34"/>
        <v>125789.5</v>
      </c>
      <c r="CT36" s="142">
        <f t="shared" ca="1" si="35"/>
        <v>0.2469363500133159</v>
      </c>
      <c r="CU36" s="142">
        <f t="shared" ca="1" si="35"/>
        <v>0.19981000003974894</v>
      </c>
      <c r="CV36" s="142">
        <f t="shared" ca="1" si="35"/>
        <v>0.15514808469705341</v>
      </c>
      <c r="CW36" s="142">
        <f t="shared" ca="1" si="35"/>
        <v>0.39810556524988172</v>
      </c>
      <c r="CY36" s="128">
        <f t="shared" si="36"/>
        <v>15532</v>
      </c>
      <c r="CZ36" s="90">
        <f t="shared" si="37"/>
        <v>12451</v>
      </c>
      <c r="DA36" s="90">
        <f t="shared" si="38"/>
        <v>11832</v>
      </c>
      <c r="DB36" s="90">
        <f t="shared" ca="1" si="58"/>
        <v>32523.25</v>
      </c>
      <c r="DC36" s="90">
        <f t="shared" ca="1" si="39"/>
        <v>72338.25</v>
      </c>
      <c r="DD36" s="142">
        <f t="shared" ca="1" si="40"/>
        <v>0.21471351601676844</v>
      </c>
      <c r="DE36" s="142">
        <f t="shared" ca="1" si="40"/>
        <v>0.17212194102013803</v>
      </c>
      <c r="DF36" s="142">
        <f t="shared" ca="1" si="40"/>
        <v>0.16356491897440151</v>
      </c>
      <c r="DG36" s="142">
        <f t="shared" ca="1" si="40"/>
        <v>0.44959962398869202</v>
      </c>
      <c r="DI36" s="128">
        <f t="shared" si="41"/>
        <v>7384</v>
      </c>
      <c r="DJ36" s="90">
        <f t="shared" si="42"/>
        <v>5955</v>
      </c>
      <c r="DK36" s="90">
        <f t="shared" si="43"/>
        <v>4182</v>
      </c>
      <c r="DL36" s="90">
        <f t="shared" ca="1" si="44"/>
        <v>4153.25</v>
      </c>
      <c r="DM36" s="90">
        <f t="shared" ca="1" si="45"/>
        <v>21674.25</v>
      </c>
      <c r="DN36" s="142">
        <f t="shared" ca="1" si="46"/>
        <v>0.34068076173339329</v>
      </c>
      <c r="DO36" s="142">
        <f t="shared" ca="1" si="46"/>
        <v>0.27474999134918165</v>
      </c>
      <c r="DP36" s="142">
        <f t="shared" ca="1" si="46"/>
        <v>0.19294785286688121</v>
      </c>
      <c r="DQ36" s="142">
        <f t="shared" ca="1" si="46"/>
        <v>0.19162139405054385</v>
      </c>
      <c r="DS36" s="128">
        <f t="shared" ca="1" si="47"/>
        <v>125789.5</v>
      </c>
      <c r="DT36" s="90">
        <f t="shared" ca="1" si="48"/>
        <v>72338.25</v>
      </c>
      <c r="DU36" s="90">
        <f t="shared" ca="1" si="49"/>
        <v>21674.25</v>
      </c>
      <c r="DV36" s="90">
        <f t="shared" si="50"/>
        <v>432</v>
      </c>
      <c r="DW36" s="90">
        <f ca="1">_xlfn.IFNA(INDEX(武器升级消耗!$H:$H,MATCH(玩家节奏2!DS36/玩家节奏2!DS$5,武器升级消耗!M:M,1)),0)</f>
        <v>32</v>
      </c>
      <c r="DX36" s="90">
        <f ca="1">_xlfn.IFNA(INDEX(武器升级消耗!$H:$H,MATCH(玩家节奏2!DT36/玩家节奏2!DT$5,武器升级消耗!N:N,1)),0)</f>
        <v>29</v>
      </c>
      <c r="DY36" s="90">
        <f ca="1">_xlfn.IFNA(INDEX(武器升级消耗!$H:$H,MATCH(玩家节奏2!DU36/玩家节奏2!DU$5,武器升级消耗!O:O,1)),0)</f>
        <v>21</v>
      </c>
      <c r="DZ36" s="90">
        <f>_xlfn.IFNA(INDEX(武器升级消耗!$H:$H,MATCH(玩家节奏2!DV36/玩家节奏2!DV$5,武器升级消耗!P:P,1)),0)</f>
        <v>15</v>
      </c>
      <c r="EA36" s="90">
        <f ca="1">_xlfn.IFNA(INDEX(武器升级消耗!$Q:$Q,MATCH(玩家节奏2!DW36,武器升级消耗!$H:$H,0))*2*EA$4,0)</f>
        <v>4.32</v>
      </c>
      <c r="EB36" s="90">
        <f ca="1">_xlfn.IFNA(INDEX(武器升级消耗!$Q:$Q,MATCH(玩家节奏2!DX36,武器升级消耗!$H:$H,0))*2*EB$4,0)</f>
        <v>4.9499999999999993</v>
      </c>
      <c r="EC36" s="90">
        <f ca="1">_xlfn.IFNA(INDEX(武器升级消耗!$Q:$Q,MATCH(玩家节奏2!DY36,武器升级消耗!$H:$H,0))*2*EC$4,0)</f>
        <v>5.5</v>
      </c>
      <c r="ED36" s="90">
        <f>_xlfn.IFNA(INDEX(武器升级消耗!$Q:$Q,MATCH(玩家节奏2!DZ36,武器升级消耗!$H:$H,0))*2*ED$4,0)</f>
        <v>5.6999999999999993</v>
      </c>
      <c r="EF36" s="128">
        <f t="shared" si="14"/>
        <v>0</v>
      </c>
      <c r="EG36" s="90">
        <f t="shared" si="15"/>
        <v>0</v>
      </c>
      <c r="EH36" s="90">
        <v>90</v>
      </c>
      <c r="EI36" s="90">
        <v>90</v>
      </c>
      <c r="EJ36" s="90">
        <f>_xlfn.IFNA(INDEX(皮肤宠物!$J$4:$J$13,MATCH(EF36+EH36,皮肤宠物!$L$4:$L$13,1)),0)</f>
        <v>5</v>
      </c>
      <c r="EK36" s="90">
        <f>_xlfn.IFNA(INDEX(皮肤宠物!$J$4:$J$13,MATCH(EG36+EI36,皮肤宠物!$L$4:$L$13,1)),0)</f>
        <v>5</v>
      </c>
      <c r="EL36" s="90">
        <f>_xlfn.IFNA(INDEX(皮肤宠物!$N$4:$N$13,MATCH(EF36+EH36,皮肤宠物!$L$4:$L$13,1)),1)</f>
        <v>1.6500000000000001</v>
      </c>
      <c r="EM36" s="90">
        <f>_xlfn.IFNA(INDEX(皮肤宠物!$N$4:$N$13,MATCH(EG36+EI36,皮肤宠物!$L$4:$L$13,1)),1)</f>
        <v>1.6500000000000001</v>
      </c>
      <c r="EO36" s="128">
        <v>90</v>
      </c>
      <c r="EP36" s="90">
        <v>30</v>
      </c>
      <c r="EQ36" s="90">
        <f t="shared" ca="1" si="51"/>
        <v>34075</v>
      </c>
      <c r="ER36" s="90">
        <f t="shared" si="16"/>
        <v>0</v>
      </c>
      <c r="ES36" s="90">
        <f t="shared" ca="1" si="52"/>
        <v>370.75</v>
      </c>
      <c r="ET36" s="90">
        <f ca="1">$ES36*ET$5*皮肤宠物!$J$75/4</f>
        <v>1223.84575</v>
      </c>
      <c r="EU36" s="90">
        <f ca="1">$ES36*EU$5*皮肤宠物!$J$76/4</f>
        <v>204.28325000000001</v>
      </c>
      <c r="EV36" s="90">
        <f ca="1">$ES36*EV$5*皮肤宠物!$J$77/4</f>
        <v>55.3344375</v>
      </c>
      <c r="EW36" s="90">
        <f ca="1">_xlfn.IFNA(INDEX(皮肤宠物!$H$18:$H$67,MATCH(ET36,皮肤宠物!L$18:L$67,1)),0)</f>
        <v>12</v>
      </c>
      <c r="EX36" s="90">
        <f ca="1">_xlfn.IFNA(INDEX(皮肤宠物!$H$18:$H$67,MATCH(EU36,皮肤宠物!M$18:M$67,1)),0)</f>
        <v>9</v>
      </c>
      <c r="EY36" s="90">
        <f ca="1">_xlfn.IFNA(INDEX(皮肤宠物!$H$18:$H$67,MATCH(EV36,皮肤宠物!N$18:N$67,1)),0)</f>
        <v>6</v>
      </c>
      <c r="EZ36" s="90">
        <f ca="1">_xlfn.IFNA(INDEX(皮肤宠物!C$18:C$67,MATCH(EW36,皮肤宠物!$A$18:$A$67,0))+1,1)</f>
        <v>1.1200000000000001</v>
      </c>
      <c r="FA36" s="90">
        <f ca="1">_xlfn.IFNA(INDEX(皮肤宠物!D$18:D$67,MATCH(EX36,皮肤宠物!$A$18:$A$67,0))+1,1)</f>
        <v>1.18</v>
      </c>
      <c r="FB36" s="90">
        <f ca="1">_xlfn.IFNA(INDEX(皮肤宠物!E$18:E$67,MATCH(EY36,皮肤宠物!$A$18:$A$67,0))+1,1)</f>
        <v>1.24</v>
      </c>
      <c r="FD36" s="90">
        <f t="shared" ca="1" si="53"/>
        <v>5.5</v>
      </c>
      <c r="FE36" s="90">
        <f t="shared" si="54"/>
        <v>1.6500000000000001</v>
      </c>
      <c r="FF36" s="90">
        <f t="shared" ca="1" si="55"/>
        <v>1.24</v>
      </c>
      <c r="FG36" s="90">
        <f t="shared" ca="1" si="56"/>
        <v>11.253000000000002</v>
      </c>
    </row>
    <row r="37" spans="1:163" x14ac:dyDescent="0.25">
      <c r="A37" s="123">
        <v>31</v>
      </c>
      <c r="B37" s="123">
        <f>INDEX(关卡对比!$Y:$Y,MATCH(关卡对比!Z37,关卡对比!$AA:$AA,1))</f>
        <v>21</v>
      </c>
      <c r="C37" s="124">
        <f>INDEX(关卡对比!$Y:$Y,MATCH(关卡对比!Z37,关卡对比!$AB:$AB,1))</f>
        <v>17</v>
      </c>
      <c r="D37" s="125">
        <f t="shared" si="63"/>
        <v>107.5</v>
      </c>
      <c r="E37" s="125">
        <v>2</v>
      </c>
      <c r="F37" s="128">
        <v>16</v>
      </c>
      <c r="G37" s="90">
        <v>16</v>
      </c>
      <c r="H37" s="90">
        <v>5</v>
      </c>
      <c r="J37" s="128">
        <v>31</v>
      </c>
      <c r="K37" s="90">
        <f t="shared" si="17"/>
        <v>16</v>
      </c>
      <c r="L37" s="90">
        <f t="shared" si="18"/>
        <v>16</v>
      </c>
      <c r="M37" s="90">
        <f t="shared" si="19"/>
        <v>5</v>
      </c>
      <c r="N37" s="140">
        <f>INDEX($A:$A,MATCH(SUM($K$7:K37),$D:$D,1))</f>
        <v>130</v>
      </c>
      <c r="O37" s="140">
        <v>0</v>
      </c>
      <c r="P37" s="141">
        <v>0</v>
      </c>
      <c r="Q37" s="126">
        <f>_xlfn.MAXIFS(关卡产出!X:X,关卡产出!$A:$A,玩家节奏2!$N$6,关卡产出!$B:$B,玩家节奏2!$N37)+_xlfn.MAXIFS(关卡产出!X:X,关卡产出!$A:$A,玩家节奏2!$O$6,关卡产出!$B:$B,玩家节奏2!$O37)+_xlfn.MAXIFS(关卡产出!X:X,关卡产出!$A:$A,玩家节奏2!$P$6,关卡产出!$B:$B,玩家节奏2!$P37)</f>
        <v>24500</v>
      </c>
      <c r="R37" s="90">
        <f>_xlfn.MAXIFS(关卡产出!Y:Y,关卡产出!$A:$A,玩家节奏2!$N$6,关卡产出!$B:$B,玩家节奏2!$N37)+_xlfn.MAXIFS(关卡产出!Y:Y,关卡产出!$A:$A,玩家节奏2!$O$6,关卡产出!$B:$B,玩家节奏2!$O37)+_xlfn.MAXIFS(关卡产出!Y:Y,关卡产出!$A:$A,玩家节奏2!$P$6,关卡产出!$B:$B,玩家节奏2!$P37)</f>
        <v>4820000</v>
      </c>
      <c r="S37" s="90">
        <f>_xlfn.MAXIFS(关卡产出!Z:Z,关卡产出!$A:$A,玩家节奏2!$N$6,关卡产出!$B:$B,玩家节奏2!$N37)+_xlfn.MAXIFS(关卡产出!Z:Z,关卡产出!$A:$A,玩家节奏2!$O$6,关卡产出!$B:$B,玩家节奏2!$O37)+_xlfn.MAXIFS(关卡产出!Z:Z,关卡产出!$A:$A,玩家节奏2!$P$6,关卡产出!$B:$B,玩家节奏2!$P37)</f>
        <v>33086</v>
      </c>
      <c r="T37" s="90">
        <f>_xlfn.MAXIFS(关卡产出!AA:AA,关卡产出!$A:$A,玩家节奏2!$N$6,关卡产出!$B:$B,玩家节奏2!$N37)+_xlfn.MAXIFS(关卡产出!AA:AA,关卡产出!$A:$A,玩家节奏2!$O$6,关卡产出!$B:$B,玩家节奏2!$O37)+_xlfn.MAXIFS(关卡产出!AA:AA,关卡产出!$A:$A,玩家节奏2!$P$6,关卡产出!$B:$B,玩家节奏2!$P37)</f>
        <v>16544</v>
      </c>
      <c r="U37" s="90">
        <f>_xlfn.MAXIFS(关卡产出!AB:AB,关卡产出!$A:$A,玩家节奏2!$N$6,关卡产出!$B:$B,玩家节奏2!$N37)+_xlfn.MAXIFS(关卡产出!AB:AB,关卡产出!$A:$A,玩家节奏2!$O$6,关卡产出!$B:$B,玩家节奏2!$O37)+_xlfn.MAXIFS(关卡产出!AB:AB,关卡产出!$A:$A,玩家节奏2!$P$6,关卡产出!$B:$B,玩家节奏2!$P37)</f>
        <v>7878</v>
      </c>
      <c r="V37" s="130">
        <f>_xlfn.MAXIFS(关卡产出!AC:AC,关卡产出!$A:$A,玩家节奏2!$N$6,关卡产出!$B:$B,玩家节奏2!$N37)+_xlfn.MAXIFS(关卡产出!AC:AC,关卡产出!$A:$A,玩家节奏2!$O$6,关卡产出!$B:$B,玩家节奏2!$O37)+_xlfn.MAXIFS(关卡产出!AC:AC,关卡产出!$A:$A,玩家节奏2!$P$6,关卡产出!$B:$B,玩家节奏2!$P37)</f>
        <v>780</v>
      </c>
      <c r="W37" s="126">
        <f>INDEX(关卡产出!C$8:C$207,MATCH(玩家节奏2!$N37,关卡产出!$B$8:$B$207,0))*$K37</f>
        <v>1632</v>
      </c>
      <c r="X37" s="126">
        <f>INDEX(关卡产出!D$8:D$207,MATCH(玩家节奏2!$N37,关卡产出!$B$8:$B$207,0))*$K37</f>
        <v>816</v>
      </c>
      <c r="Y37" s="126">
        <f>INDEX(关卡产出!E$8:E$207,MATCH(玩家节奏2!$N37,关卡产出!$B$8:$B$207,0))*$K37</f>
        <v>400</v>
      </c>
      <c r="Z37" s="144">
        <f>INDEX(关卡产出!F$8:F$207,MATCH(玩家节奏2!$N37,关卡产出!$B$8:$B$207,0))*$K37</f>
        <v>21600</v>
      </c>
      <c r="AA37" s="126">
        <f>SUM(W$7:W37)</f>
        <v>26766</v>
      </c>
      <c r="AB37" s="126">
        <f>SUM(X$7:X37)</f>
        <v>13267</v>
      </c>
      <c r="AC37" s="126">
        <f>SUM(Y$7:Y37)</f>
        <v>6355</v>
      </c>
      <c r="AD37" s="177">
        <f>SUM(Z$7:Z37)</f>
        <v>372250</v>
      </c>
      <c r="AE37" s="128">
        <f>INDEX(图鉴!AQ:AQ,MATCH($N37,图鉴!$S:$S,0))*34</f>
        <v>714</v>
      </c>
      <c r="AF37" s="90">
        <f>INDEX(图鉴!AR:AR,MATCH($N37,图鉴!$S:$S,0))*34</f>
        <v>510</v>
      </c>
      <c r="AG37" s="90">
        <f>INDEX(图鉴!AS:AS,MATCH($N37,图鉴!$S:$S,0))*34</f>
        <v>204</v>
      </c>
      <c r="AH37" s="129">
        <f ca="1">INDEX(图鉴!AT:AT,MATCH($N37,图鉴!$S:$S,0))*34</f>
        <v>46240</v>
      </c>
      <c r="AI37" s="128">
        <f>SUM($AE$7:AE37)</f>
        <v>20230</v>
      </c>
      <c r="AJ37" s="90">
        <f>SUM(AF$7:AF37)</f>
        <v>12342</v>
      </c>
      <c r="AK37" s="90">
        <f>SUM(AG$7:AG37)</f>
        <v>4386</v>
      </c>
      <c r="AL37" s="130">
        <f ca="1">SUM(AH$7:AH37)</f>
        <v>973216</v>
      </c>
      <c r="AM37" s="133">
        <f>IF(M37=0,0,INDEX(关卡产出!$AU$11:$AU$15,MATCH(玩家节奏2!N37,关卡产出!$AW$11:$AW$15,1))*M37)</f>
        <v>61000</v>
      </c>
      <c r="AN37" s="126">
        <f>IF(L37=0,0,$L37*关卡产出!AU$21)</f>
        <v>16000</v>
      </c>
      <c r="AO37" s="90">
        <f>IF(M37=0,0,$L37*关卡产出!AV$21)</f>
        <v>800</v>
      </c>
      <c r="AP37" s="129">
        <f>IF(N37=0,0,$L37*关卡产出!AW$21)</f>
        <v>16</v>
      </c>
      <c r="AQ37" s="138">
        <f>SUM(AN$7:AN37)</f>
        <v>448000</v>
      </c>
      <c r="AR37" s="126">
        <f>SUM(AO$7:AO37)</f>
        <v>22400</v>
      </c>
      <c r="AS37" s="129">
        <f>SUM(AP$7:AP37)</f>
        <v>448</v>
      </c>
      <c r="AT37" s="128">
        <v>3000</v>
      </c>
      <c r="AU37" s="129">
        <v>600</v>
      </c>
      <c r="AV37" s="128">
        <f>SUM(AT$7:AT37)</f>
        <v>93000</v>
      </c>
      <c r="AW37" s="90">
        <f>SUM(AU$7:AU37)</f>
        <v>18600</v>
      </c>
      <c r="AY37" s="128">
        <f t="shared" si="20"/>
        <v>24500</v>
      </c>
      <c r="AZ37" s="90">
        <f t="shared" si="21"/>
        <v>22400</v>
      </c>
      <c r="BA37" s="90">
        <f t="shared" si="22"/>
        <v>18600</v>
      </c>
      <c r="BB37" s="90">
        <f t="shared" ca="1" si="57"/>
        <v>10800</v>
      </c>
      <c r="BC37" s="90">
        <f t="shared" ca="1" si="60"/>
        <v>40325</v>
      </c>
      <c r="BD37" s="90">
        <f t="shared" ca="1" si="61"/>
        <v>35975</v>
      </c>
      <c r="BE37" s="90">
        <f t="shared" ca="1" si="24"/>
        <v>76300</v>
      </c>
      <c r="BF37" s="142">
        <f t="shared" ca="1" si="0"/>
        <v>0.60756354618722874</v>
      </c>
      <c r="BG37" s="142">
        <f t="shared" ca="1" si="1"/>
        <v>0.555486670799752</v>
      </c>
      <c r="BH37" s="142">
        <f t="shared" ca="1" si="2"/>
        <v>0.46125232486050838</v>
      </c>
      <c r="BI37" s="142">
        <f t="shared" ca="1" si="3"/>
        <v>0.26782393056416615</v>
      </c>
      <c r="BJ37" s="143"/>
      <c r="BK37" s="128">
        <f ca="1">INDEX(商城宝箱!$L:$L,MATCH(BC37,商城宝箱!$N:$N,1))</f>
        <v>8</v>
      </c>
      <c r="BL37" s="90">
        <f ca="1">_xlfn.IFNA(INDEX(商城宝箱!T:T,MATCH(玩家节奏2!$BK37,商城宝箱!$L:$L,0)),0)+($BC37-INDEX(商城宝箱!$N:$N,MATCH(玩家节奏2!$BK37,商城宝箱!$L:$L,0)))/$BK$5*INDEX(商城宝箱!E$23:E$42,MATCH(玩家节奏2!$BK37+1,商城宝箱!$C$23:$C$42,0))</f>
        <v>100812.5</v>
      </c>
      <c r="BM37" s="90">
        <f ca="1">_xlfn.IFNA(INDEX(商城宝箱!U:U,MATCH(玩家节奏2!$BK37,商城宝箱!$L:$L,0)),0)+($BC37-INDEX(商城宝箱!$N:$N,MATCH(玩家节奏2!$BK37,商城宝箱!$L:$L,0)))/$BK$5*INDEX(商城宝箱!F$23:F$42,MATCH(玩家节奏2!$BK37+1,商城宝箱!$C$23:$C$42,0))</f>
        <v>54257.5</v>
      </c>
      <c r="BN37" s="90">
        <f ca="1">_xlfn.IFNA(INDEX(商城宝箱!V:V,MATCH(玩家节奏2!$BK37,商城宝箱!$L:$L,0)),0)+($BC37-INDEX(商城宝箱!$N:$N,MATCH(玩家节奏2!$BK37,商城宝箱!$L:$L,0)))/$BK$5*INDEX(商城宝箱!G$23:G$42,MATCH(玩家节奏2!$BK37+1,商城宝箱!$C$23:$C$42,0))</f>
        <v>35658.25</v>
      </c>
      <c r="BO37" s="90">
        <f ca="1">_xlfn.IFNA(INDEX(商城宝箱!W:W,MATCH(玩家节奏2!$BK37,商城宝箱!$L:$L,0)),0)+($BC37-INDEX(商城宝箱!$N:$N,MATCH(玩家节奏2!$BK37,商城宝箱!$L:$L,0)))/$BK$5*INDEX(商城宝箱!H$23:H$42,MATCH(玩家节奏2!$BK37+1,商城宝箱!$C$23:$C$42,0))</f>
        <v>4514.25</v>
      </c>
      <c r="BQ37" s="128">
        <f t="shared" si="4"/>
        <v>4820000</v>
      </c>
      <c r="BR37" s="90">
        <f t="shared" si="5"/>
        <v>372250</v>
      </c>
      <c r="BS37" s="90">
        <f t="shared" ca="1" si="6"/>
        <v>973216</v>
      </c>
      <c r="BT37" s="90">
        <f t="shared" si="7"/>
        <v>61000</v>
      </c>
      <c r="BU37" s="90">
        <f t="shared" si="8"/>
        <v>448000</v>
      </c>
      <c r="BV37" s="90">
        <f t="shared" si="9"/>
        <v>93000</v>
      </c>
      <c r="BW37" s="90">
        <f t="shared" ca="1" si="25"/>
        <v>100812.5</v>
      </c>
      <c r="BX37" s="90">
        <f t="shared" ca="1" si="26"/>
        <v>6868278.5</v>
      </c>
      <c r="BY37" s="142">
        <f t="shared" ca="1" si="27"/>
        <v>0.70177701734139053</v>
      </c>
      <c r="BZ37" s="142">
        <f t="shared" ca="1" si="27"/>
        <v>5.4198442884923786E-2</v>
      </c>
      <c r="CA37" s="142">
        <f t="shared" ca="1" si="27"/>
        <v>0.14169722442093749</v>
      </c>
      <c r="CB37" s="142">
        <f t="shared" ca="1" si="27"/>
        <v>8.8814103854408348E-3</v>
      </c>
      <c r="CC37" s="142">
        <f t="shared" ca="1" si="27"/>
        <v>6.5227407420942532E-2</v>
      </c>
      <c r="CD37" s="142">
        <f t="shared" ca="1" si="27"/>
        <v>1.3540510915508158E-2</v>
      </c>
      <c r="CE37" s="142">
        <f t="shared" ca="1" si="27"/>
        <v>1.4677986630856626E-2</v>
      </c>
      <c r="CG37" s="128">
        <f t="shared" si="28"/>
        <v>130</v>
      </c>
      <c r="CH37" s="90">
        <f ca="1">INDEX(角色升级!$A:$A,MATCH(玩家节奏2!$BX37,角色升级!$J:$J,1))</f>
        <v>635</v>
      </c>
      <c r="CI37" s="90">
        <f ca="1">INDEX(角色升级!$O:$O,MATCH(玩家节奏2!$BX37,角色升级!$J:$J,1))</f>
        <v>32154.999240000001</v>
      </c>
      <c r="CJ37" s="90">
        <f>INDEX(关卡对比!$J:$J,MATCH(玩家节奏2!N37,关卡对比!$A:$A,0))</f>
        <v>51200</v>
      </c>
      <c r="CK37" s="147">
        <f t="shared" ca="1" si="29"/>
        <v>1.592287395743692</v>
      </c>
      <c r="CL37" s="128">
        <f ca="1">INDEX(角色升级!$P:$P,MATCH(玩家节奏2!$CH37,角色升级!$A:$A,0))</f>
        <v>10800</v>
      </c>
      <c r="CM37" s="90">
        <f ca="1">INDEX(角色升级!Q:Q,MATCH(玩家节奏2!$CH37,角色升级!$A:$A,0))</f>
        <v>1</v>
      </c>
      <c r="CO37" s="128">
        <f t="shared" si="30"/>
        <v>33086</v>
      </c>
      <c r="CP37" s="90">
        <f t="shared" si="31"/>
        <v>26766</v>
      </c>
      <c r="CQ37" s="90">
        <f t="shared" si="32"/>
        <v>20230</v>
      </c>
      <c r="CR37" s="90">
        <f t="shared" ca="1" si="33"/>
        <v>54257.5</v>
      </c>
      <c r="CS37" s="90">
        <f t="shared" ca="1" si="34"/>
        <v>134339.5</v>
      </c>
      <c r="CT37" s="142">
        <f t="shared" ca="1" si="35"/>
        <v>0.24628646079522404</v>
      </c>
      <c r="CU37" s="142">
        <f t="shared" ca="1" si="35"/>
        <v>0.19924147402662656</v>
      </c>
      <c r="CV37" s="142">
        <f t="shared" ca="1" si="35"/>
        <v>0.150588620621634</v>
      </c>
      <c r="CW37" s="142">
        <f t="shared" ca="1" si="35"/>
        <v>0.40388344455651537</v>
      </c>
      <c r="CY37" s="128">
        <f t="shared" si="36"/>
        <v>16544</v>
      </c>
      <c r="CZ37" s="90">
        <f t="shared" si="37"/>
        <v>13267</v>
      </c>
      <c r="DA37" s="90">
        <f t="shared" si="38"/>
        <v>12342</v>
      </c>
      <c r="DB37" s="90">
        <f t="shared" ca="1" si="58"/>
        <v>35658.25</v>
      </c>
      <c r="DC37" s="90">
        <f t="shared" ca="1" si="39"/>
        <v>77811.25</v>
      </c>
      <c r="DD37" s="142">
        <f t="shared" ca="1" si="40"/>
        <v>0.2126170701537374</v>
      </c>
      <c r="DE37" s="142">
        <f t="shared" ca="1" si="40"/>
        <v>0.17050233738694598</v>
      </c>
      <c r="DF37" s="142">
        <f t="shared" ca="1" si="40"/>
        <v>0.15861459621841315</v>
      </c>
      <c r="DG37" s="142">
        <f t="shared" ca="1" si="40"/>
        <v>0.45826599624090347</v>
      </c>
      <c r="DI37" s="128">
        <f t="shared" si="41"/>
        <v>7878</v>
      </c>
      <c r="DJ37" s="90">
        <f t="shared" si="42"/>
        <v>6355</v>
      </c>
      <c r="DK37" s="90">
        <f t="shared" si="43"/>
        <v>4386</v>
      </c>
      <c r="DL37" s="90">
        <f t="shared" ca="1" si="44"/>
        <v>4514.25</v>
      </c>
      <c r="DM37" s="90">
        <f t="shared" ca="1" si="45"/>
        <v>23133.25</v>
      </c>
      <c r="DN37" s="142">
        <f t="shared" ca="1" si="46"/>
        <v>0.34054877719300142</v>
      </c>
      <c r="DO37" s="142">
        <f t="shared" ca="1" si="46"/>
        <v>0.2747128051614019</v>
      </c>
      <c r="DP37" s="142">
        <f t="shared" ca="1" si="46"/>
        <v>0.18959722477386445</v>
      </c>
      <c r="DQ37" s="142">
        <f t="shared" ca="1" si="46"/>
        <v>0.19514119287173223</v>
      </c>
      <c r="DS37" s="128">
        <f t="shared" ca="1" si="47"/>
        <v>134339.5</v>
      </c>
      <c r="DT37" s="90">
        <f t="shared" ca="1" si="48"/>
        <v>77811.25</v>
      </c>
      <c r="DU37" s="90">
        <f t="shared" ca="1" si="49"/>
        <v>23133.25</v>
      </c>
      <c r="DV37" s="90">
        <f t="shared" si="50"/>
        <v>448</v>
      </c>
      <c r="DW37" s="90">
        <f ca="1">_xlfn.IFNA(INDEX(武器升级消耗!$H:$H,MATCH(玩家节奏2!DS37/玩家节奏2!DS$5,武器升级消耗!M:M,1)),0)</f>
        <v>33</v>
      </c>
      <c r="DX37" s="90">
        <f ca="1">_xlfn.IFNA(INDEX(武器升级消耗!$H:$H,MATCH(玩家节奏2!DT37/玩家节奏2!DT$5,武器升级消耗!N:N,1)),0)</f>
        <v>30</v>
      </c>
      <c r="DY37" s="90">
        <f ca="1">_xlfn.IFNA(INDEX(武器升级消耗!$H:$H,MATCH(玩家节奏2!DU37/玩家节奏2!DU$5,武器升级消耗!O:O,1)),0)</f>
        <v>21</v>
      </c>
      <c r="DZ37" s="90">
        <f>_xlfn.IFNA(INDEX(武器升级消耗!$H:$H,MATCH(玩家节奏2!DV37/玩家节奏2!DV$5,武器升级消耗!P:P,1)),0)</f>
        <v>15</v>
      </c>
      <c r="EA37" s="90">
        <f ca="1">_xlfn.IFNA(INDEX(武器升级消耗!$Q:$Q,MATCH(玩家节奏2!DW37,武器升级消耗!$H:$H,0))*2*EA$4,0)</f>
        <v>4.4400000000000004</v>
      </c>
      <c r="EB37" s="90">
        <f ca="1">_xlfn.IFNA(INDEX(武器升级消耗!$Q:$Q,MATCH(玩家节奏2!DX37,武器升级消耗!$H:$H,0))*2*EB$4,0)</f>
        <v>5.0999999999999996</v>
      </c>
      <c r="EC37" s="90">
        <f ca="1">_xlfn.IFNA(INDEX(武器升级消耗!$Q:$Q,MATCH(玩家节奏2!DY37,武器升级消耗!$H:$H,0))*2*EC$4,0)</f>
        <v>5.5</v>
      </c>
      <c r="ED37" s="90">
        <f>_xlfn.IFNA(INDEX(武器升级消耗!$Q:$Q,MATCH(玩家节奏2!DZ37,武器升级消耗!$H:$H,0))*2*ED$4,0)</f>
        <v>5.6999999999999993</v>
      </c>
      <c r="EF37" s="128">
        <f t="shared" si="14"/>
        <v>0</v>
      </c>
      <c r="EG37" s="90">
        <f t="shared" si="15"/>
        <v>0</v>
      </c>
      <c r="EH37" s="90">
        <v>93</v>
      </c>
      <c r="EI37" s="90">
        <v>93</v>
      </c>
      <c r="EJ37" s="90">
        <f>_xlfn.IFNA(INDEX(皮肤宠物!$J$4:$J$13,MATCH(EF37+EH37,皮肤宠物!$L$4:$L$13,1)),0)</f>
        <v>5</v>
      </c>
      <c r="EK37" s="90">
        <f>_xlfn.IFNA(INDEX(皮肤宠物!$J$4:$J$13,MATCH(EG37+EI37,皮肤宠物!$L$4:$L$13,1)),0)</f>
        <v>5</v>
      </c>
      <c r="EL37" s="90">
        <f>_xlfn.IFNA(INDEX(皮肤宠物!$N$4:$N$13,MATCH(EF37+EH37,皮肤宠物!$L$4:$L$13,1)),1)</f>
        <v>1.6500000000000001</v>
      </c>
      <c r="EM37" s="90">
        <f>_xlfn.IFNA(INDEX(皮肤宠物!$N$4:$N$13,MATCH(EG37+EI37,皮肤宠物!$L$4:$L$13,1)),1)</f>
        <v>1.6500000000000001</v>
      </c>
      <c r="EO37" s="128">
        <v>93</v>
      </c>
      <c r="EP37" s="90">
        <v>31</v>
      </c>
      <c r="EQ37" s="90">
        <f t="shared" ca="1" si="51"/>
        <v>35975</v>
      </c>
      <c r="ER37" s="90">
        <f t="shared" si="16"/>
        <v>0</v>
      </c>
      <c r="ES37" s="90">
        <f t="shared" ca="1" si="52"/>
        <v>390.75</v>
      </c>
      <c r="ET37" s="90">
        <f ca="1">$ES37*ET$5*皮肤宠物!$J$75/4</f>
        <v>1289.8657499999999</v>
      </c>
      <c r="EU37" s="90">
        <f ca="1">$ES37*EU$5*皮肤宠物!$J$76/4</f>
        <v>215.30325000000002</v>
      </c>
      <c r="EV37" s="90">
        <f ca="1">$ES37*EV$5*皮肤宠物!$J$77/4</f>
        <v>58.319437500000006</v>
      </c>
      <c r="EW37" s="90">
        <f ca="1">_xlfn.IFNA(INDEX(皮肤宠物!$H$18:$H$67,MATCH(ET37,皮肤宠物!L$18:L$67,1)),0)</f>
        <v>12</v>
      </c>
      <c r="EX37" s="90">
        <f ca="1">_xlfn.IFNA(INDEX(皮肤宠物!$H$18:$H$67,MATCH(EU37,皮肤宠物!M$18:M$67,1)),0)</f>
        <v>9</v>
      </c>
      <c r="EY37" s="90">
        <f ca="1">_xlfn.IFNA(INDEX(皮肤宠物!$H$18:$H$67,MATCH(EV37,皮肤宠物!N$18:N$67,1)),0)</f>
        <v>7</v>
      </c>
      <c r="EZ37" s="90">
        <f ca="1">_xlfn.IFNA(INDEX(皮肤宠物!C$18:C$67,MATCH(EW37,皮肤宠物!$A$18:$A$67,0))+1,1)</f>
        <v>1.1200000000000001</v>
      </c>
      <c r="FA37" s="90">
        <f ca="1">_xlfn.IFNA(INDEX(皮肤宠物!D$18:D$67,MATCH(EX37,皮肤宠物!$A$18:$A$67,0))+1,1)</f>
        <v>1.18</v>
      </c>
      <c r="FB37" s="90">
        <f ca="1">_xlfn.IFNA(INDEX(皮肤宠物!E$18:E$67,MATCH(EY37,皮肤宠物!$A$18:$A$67,0))+1,1)</f>
        <v>1.28</v>
      </c>
      <c r="FD37" s="90">
        <f t="shared" ca="1" si="53"/>
        <v>5.5</v>
      </c>
      <c r="FE37" s="90">
        <f t="shared" si="54"/>
        <v>1.6500000000000001</v>
      </c>
      <c r="FF37" s="90">
        <f t="shared" ca="1" si="55"/>
        <v>1.28</v>
      </c>
      <c r="FG37" s="90">
        <f t="shared" ca="1" si="56"/>
        <v>11.616</v>
      </c>
    </row>
    <row r="38" spans="1:163" x14ac:dyDescent="0.25">
      <c r="A38" s="123">
        <v>32</v>
      </c>
      <c r="B38" s="123">
        <f>INDEX(关卡对比!$Y:$Y,MATCH(关卡对比!Z38,关卡对比!$AA:$AA,1))</f>
        <v>22</v>
      </c>
      <c r="C38" s="124">
        <f>INDEX(关卡对比!$Y:$Y,MATCH(关卡对比!Z38,关卡对比!$AB:$AB,1))</f>
        <v>18</v>
      </c>
      <c r="D38" s="125">
        <f t="shared" si="63"/>
        <v>113.5</v>
      </c>
      <c r="E38" s="125">
        <v>2</v>
      </c>
      <c r="F38" s="128">
        <v>16</v>
      </c>
      <c r="G38" s="90">
        <v>16</v>
      </c>
      <c r="H38" s="90">
        <v>5</v>
      </c>
      <c r="J38" s="128">
        <v>32</v>
      </c>
      <c r="K38" s="90">
        <f t="shared" si="17"/>
        <v>16</v>
      </c>
      <c r="L38" s="90">
        <f t="shared" si="18"/>
        <v>16</v>
      </c>
      <c r="M38" s="90">
        <f t="shared" si="19"/>
        <v>5</v>
      </c>
      <c r="N38" s="140">
        <f>INDEX($A:$A,MATCH(SUM($K$7:K38),$D:$D,1))</f>
        <v>135</v>
      </c>
      <c r="O38" s="140">
        <v>0</v>
      </c>
      <c r="P38" s="141">
        <v>0</v>
      </c>
      <c r="Q38" s="126">
        <f>_xlfn.MAXIFS(关卡产出!X:X,关卡产出!$A:$A,玩家节奏2!$N$6,关卡产出!$B:$B,玩家节奏2!$N38)+_xlfn.MAXIFS(关卡产出!X:X,关卡产出!$A:$A,玩家节奏2!$O$6,关卡产出!$B:$B,玩家节奏2!$O38)+_xlfn.MAXIFS(关卡产出!X:X,关卡产出!$A:$A,玩家节奏2!$P$6,关卡产出!$B:$B,玩家节奏2!$P38)</f>
        <v>25500</v>
      </c>
      <c r="R38" s="90">
        <f>_xlfn.MAXIFS(关卡产出!Y:Y,关卡产出!$A:$A,玩家节奏2!$N$6,关卡产出!$B:$B,玩家节奏2!$N38)+_xlfn.MAXIFS(关卡产出!Y:Y,关卡产出!$A:$A,玩家节奏2!$O$6,关卡产出!$B:$B,玩家节奏2!$O38)+_xlfn.MAXIFS(关卡产出!Y:Y,关卡产出!$A:$A,玩家节奏2!$P$6,关卡产出!$B:$B,玩家节奏2!$P38)</f>
        <v>5207500</v>
      </c>
      <c r="S38" s="90">
        <f>_xlfn.MAXIFS(关卡产出!Z:Z,关卡产出!$A:$A,玩家节奏2!$N$6,关卡产出!$B:$B,玩家节奏2!$N38)+_xlfn.MAXIFS(关卡产出!Z:Z,关卡产出!$A:$A,玩家节奏2!$O$6,关卡产出!$B:$B,玩家节奏2!$O38)+_xlfn.MAXIFS(关卡产出!Z:Z,关卡产出!$A:$A,玩家节奏2!$P$6,关卡产出!$B:$B,玩家节奏2!$P38)</f>
        <v>35706</v>
      </c>
      <c r="T38" s="90">
        <f>_xlfn.MAXIFS(关卡产出!AA:AA,关卡产出!$A:$A,玩家节奏2!$N$6,关卡产出!$B:$B,玩家节奏2!$N38)+_xlfn.MAXIFS(关卡产出!AA:AA,关卡产出!$A:$A,玩家节奏2!$O$6,关卡产出!$B:$B,玩家节奏2!$O38)+_xlfn.MAXIFS(关卡产出!AA:AA,关卡产出!$A:$A,玩家节奏2!$P$6,关卡产出!$B:$B,玩家节奏2!$P38)</f>
        <v>17854</v>
      </c>
      <c r="U38" s="90">
        <f>_xlfn.MAXIFS(关卡产出!AB:AB,关卡产出!$A:$A,玩家节奏2!$N$6,关卡产出!$B:$B,玩家节奏2!$N38)+_xlfn.MAXIFS(关卡产出!AB:AB,关卡产出!$A:$A,玩家节奏2!$O$6,关卡产出!$B:$B,玩家节奏2!$O38)+_xlfn.MAXIFS(关卡产出!AB:AB,关卡产出!$A:$A,玩家节奏2!$P$6,关卡产出!$B:$B,玩家节奏2!$P38)</f>
        <v>8518</v>
      </c>
      <c r="V38" s="130">
        <f>_xlfn.MAXIFS(关卡产出!AC:AC,关卡产出!$A:$A,玩家节奏2!$N$6,关卡产出!$B:$B,玩家节奏2!$N38)+_xlfn.MAXIFS(关卡产出!AC:AC,关卡产出!$A:$A,玩家节奏2!$O$6,关卡产出!$B:$B,玩家节奏2!$O38)+_xlfn.MAXIFS(关卡产出!AC:AC,关卡产出!$A:$A,玩家节奏2!$P$6,关卡产出!$B:$B,玩家节奏2!$P38)</f>
        <v>810</v>
      </c>
      <c r="W38" s="126">
        <f>INDEX(关卡产出!C$8:C$207,MATCH(玩家节奏2!$N38,关卡产出!$B$8:$B$207,0))*$K38</f>
        <v>1696</v>
      </c>
      <c r="X38" s="126">
        <f>INDEX(关卡产出!D$8:D$207,MATCH(玩家节奏2!$N38,关卡产出!$B$8:$B$207,0))*$K38</f>
        <v>848</v>
      </c>
      <c r="Y38" s="126">
        <f>INDEX(关卡产出!E$8:E$207,MATCH(玩家节奏2!$N38,关卡产出!$B$8:$B$207,0))*$K38</f>
        <v>416</v>
      </c>
      <c r="Z38" s="144">
        <f>INDEX(关卡产出!F$8:F$207,MATCH(玩家节奏2!$N38,关卡产出!$B$8:$B$207,0))*$K38</f>
        <v>22560</v>
      </c>
      <c r="AA38" s="126">
        <f>SUM(W$7:W38)</f>
        <v>28462</v>
      </c>
      <c r="AB38" s="126">
        <f>SUM(X$7:X38)</f>
        <v>14115</v>
      </c>
      <c r="AC38" s="126">
        <f>SUM(Y$7:Y38)</f>
        <v>6771</v>
      </c>
      <c r="AD38" s="177">
        <f>SUM(Z$7:Z38)</f>
        <v>394810</v>
      </c>
      <c r="AE38" s="128">
        <f>INDEX(图鉴!AQ:AQ,MATCH($N38,图鉴!$S:$S,0))*34</f>
        <v>714</v>
      </c>
      <c r="AF38" s="90">
        <f>INDEX(图鉴!AR:AR,MATCH($N38,图鉴!$S:$S,0))*34</f>
        <v>510</v>
      </c>
      <c r="AG38" s="90">
        <f>INDEX(图鉴!AS:AS,MATCH($N38,图鉴!$S:$S,0))*34</f>
        <v>204</v>
      </c>
      <c r="AH38" s="129">
        <f ca="1">INDEX(图鉴!AT:AT,MATCH($N38,图鉴!$S:$S,0))*34</f>
        <v>46240</v>
      </c>
      <c r="AI38" s="128">
        <f>SUM($AE$7:AE38)</f>
        <v>20944</v>
      </c>
      <c r="AJ38" s="90">
        <f>SUM(AF$7:AF38)</f>
        <v>12852</v>
      </c>
      <c r="AK38" s="90">
        <f>SUM(AG$7:AG38)</f>
        <v>4590</v>
      </c>
      <c r="AL38" s="130">
        <f ca="1">SUM(AH$7:AH38)</f>
        <v>1019456</v>
      </c>
      <c r="AM38" s="133">
        <f>IF(M38=0,0,INDEX(关卡产出!$AU$11:$AU$15,MATCH(玩家节奏2!N38,关卡产出!$AW$11:$AW$15,1))*M38)</f>
        <v>61000</v>
      </c>
      <c r="AN38" s="126">
        <f>IF(L38=0,0,$L38*关卡产出!AU$21)</f>
        <v>16000</v>
      </c>
      <c r="AO38" s="90">
        <f>IF(M38=0,0,$L38*关卡产出!AV$21)</f>
        <v>800</v>
      </c>
      <c r="AP38" s="129">
        <f>IF(N38=0,0,$L38*关卡产出!AW$21)</f>
        <v>16</v>
      </c>
      <c r="AQ38" s="138">
        <f>SUM(AN$7:AN38)</f>
        <v>464000</v>
      </c>
      <c r="AR38" s="126">
        <f>SUM(AO$7:AO38)</f>
        <v>23200</v>
      </c>
      <c r="AS38" s="129">
        <f>SUM(AP$7:AP38)</f>
        <v>464</v>
      </c>
      <c r="AT38" s="128">
        <v>3000</v>
      </c>
      <c r="AU38" s="129">
        <v>600</v>
      </c>
      <c r="AV38" s="128">
        <f>SUM(AT$7:AT38)</f>
        <v>96000</v>
      </c>
      <c r="AW38" s="90">
        <f>SUM(AU$7:AU38)</f>
        <v>19200</v>
      </c>
      <c r="AY38" s="128">
        <f t="shared" si="20"/>
        <v>25500</v>
      </c>
      <c r="AZ38" s="90">
        <f t="shared" si="21"/>
        <v>23200</v>
      </c>
      <c r="BA38" s="90">
        <f t="shared" si="22"/>
        <v>19200</v>
      </c>
      <c r="BB38" s="90">
        <f t="shared" ca="1" si="57"/>
        <v>10800</v>
      </c>
      <c r="BC38" s="90">
        <f t="shared" ca="1" si="60"/>
        <v>41525</v>
      </c>
      <c r="BD38" s="90">
        <f t="shared" ca="1" si="61"/>
        <v>37175</v>
      </c>
      <c r="BE38" s="90">
        <f t="shared" ca="1" si="24"/>
        <v>78700</v>
      </c>
      <c r="BF38" s="142">
        <f t="shared" ca="1" si="0"/>
        <v>0.61408789885611081</v>
      </c>
      <c r="BG38" s="142">
        <f t="shared" ca="1" si="1"/>
        <v>0.55869957856712826</v>
      </c>
      <c r="BH38" s="142">
        <f t="shared" ca="1" si="2"/>
        <v>0.46237206502107164</v>
      </c>
      <c r="BI38" s="142">
        <f t="shared" ca="1" si="3"/>
        <v>0.26008428657435279</v>
      </c>
      <c r="BJ38" s="143"/>
      <c r="BK38" s="128">
        <f ca="1">INDEX(商城宝箱!$L:$L,MATCH(BC38,商城宝箱!$N:$N,1))</f>
        <v>8</v>
      </c>
      <c r="BL38" s="90">
        <f ca="1">_xlfn.IFNA(INDEX(商城宝箱!T:T,MATCH(玩家节奏2!$BK38,商城宝箱!$L:$L,0)),0)+($BC38-INDEX(商城宝箱!$N:$N,MATCH(玩家节奏2!$BK38,商城宝箱!$L:$L,0)))/$BK$5*INDEX(商城宝箱!E$23:E$42,MATCH(玩家节奏2!$BK38+1,商城宝箱!$C$23:$C$42,0))</f>
        <v>103812.5</v>
      </c>
      <c r="BM38" s="90">
        <f ca="1">_xlfn.IFNA(INDEX(商城宝箱!U:U,MATCH(玩家节奏2!$BK38,商城宝箱!$L:$L,0)),0)+($BC38-INDEX(商城宝箱!$N:$N,MATCH(玩家节奏2!$BK38,商城宝箱!$L:$L,0)))/$BK$5*INDEX(商城宝箱!F$23:F$42,MATCH(玩家节奏2!$BK38+1,商城宝箱!$C$23:$C$42,0))</f>
        <v>56897.5</v>
      </c>
      <c r="BN38" s="90">
        <f ca="1">_xlfn.IFNA(INDEX(商城宝箱!V:V,MATCH(玩家节奏2!$BK38,商城宝箱!$L:$L,0)),0)+($BC38-INDEX(商城宝箱!$N:$N,MATCH(玩家节奏2!$BK38,商城宝箱!$L:$L,0)))/$BK$5*INDEX(商城宝箱!G$23:G$42,MATCH(玩家节奏2!$BK38+1,商城宝箱!$C$23:$C$42,0))</f>
        <v>37638.25</v>
      </c>
      <c r="BO38" s="90">
        <f ca="1">_xlfn.IFNA(INDEX(商城宝箱!W:W,MATCH(玩家节奏2!$BK38,商城宝箱!$L:$L,0)),0)+($BC38-INDEX(商城宝箱!$N:$N,MATCH(玩家节奏2!$BK38,商城宝箱!$L:$L,0)))/$BK$5*INDEX(商城宝箱!H$23:H$42,MATCH(玩家节奏2!$BK38+1,商城宝箱!$C$23:$C$42,0))</f>
        <v>4742.25</v>
      </c>
      <c r="BQ38" s="128">
        <f t="shared" si="4"/>
        <v>5207500</v>
      </c>
      <c r="BR38" s="90">
        <f t="shared" si="5"/>
        <v>394810</v>
      </c>
      <c r="BS38" s="90">
        <f t="shared" ca="1" si="6"/>
        <v>1019456</v>
      </c>
      <c r="BT38" s="90">
        <f t="shared" si="7"/>
        <v>61000</v>
      </c>
      <c r="BU38" s="90">
        <f t="shared" si="8"/>
        <v>464000</v>
      </c>
      <c r="BV38" s="90">
        <f t="shared" si="9"/>
        <v>96000</v>
      </c>
      <c r="BW38" s="90">
        <f t="shared" ca="1" si="25"/>
        <v>103812.5</v>
      </c>
      <c r="BX38" s="90">
        <f t="shared" ca="1" si="26"/>
        <v>7346578.5</v>
      </c>
      <c r="BY38" s="142">
        <f t="shared" ca="1" si="27"/>
        <v>0.70883337052751838</v>
      </c>
      <c r="BZ38" s="142">
        <f t="shared" ca="1" si="27"/>
        <v>5.3740663085543837E-2</v>
      </c>
      <c r="CA38" s="142">
        <f t="shared" ca="1" si="27"/>
        <v>0.13876609363120532</v>
      </c>
      <c r="CB38" s="142">
        <f t="shared" ca="1" si="27"/>
        <v>8.3031849452095286E-3</v>
      </c>
      <c r="CC38" s="142">
        <f t="shared" ca="1" si="27"/>
        <v>6.3158652697987233E-2</v>
      </c>
      <c r="CD38" s="142">
        <f t="shared" ca="1" si="27"/>
        <v>1.306730745475598E-2</v>
      </c>
      <c r="CE38" s="142">
        <f t="shared" ca="1" si="27"/>
        <v>1.4130727657779741E-2</v>
      </c>
      <c r="CG38" s="128">
        <f t="shared" si="28"/>
        <v>135</v>
      </c>
      <c r="CH38" s="90">
        <f ca="1">INDEX(角色升级!$A:$A,MATCH(玩家节奏2!$BX38,角色升级!$J:$J,1))</f>
        <v>648</v>
      </c>
      <c r="CI38" s="90">
        <f ca="1">INDEX(角色升级!$O:$O,MATCH(玩家节奏2!$BX38,角色升级!$J:$J,1))</f>
        <v>33846.364270000005</v>
      </c>
      <c r="CJ38" s="90">
        <f>INDEX(关卡对比!$J:$J,MATCH(玩家节奏2!N38,关卡对比!$A:$A,0))</f>
        <v>53700</v>
      </c>
      <c r="CK38" s="147">
        <f t="shared" ca="1" si="29"/>
        <v>1.5865810452083748</v>
      </c>
      <c r="CL38" s="128">
        <f ca="1">INDEX(角色升级!$P:$P,MATCH(玩家节奏2!$CH38,角色升级!$A:$A,0))</f>
        <v>12500</v>
      </c>
      <c r="CM38" s="90">
        <f ca="1">INDEX(角色升级!Q:Q,MATCH(玩家节奏2!$CH38,角色升级!$A:$A,0))</f>
        <v>1</v>
      </c>
      <c r="CO38" s="128">
        <f t="shared" si="30"/>
        <v>35706</v>
      </c>
      <c r="CP38" s="90">
        <f t="shared" si="31"/>
        <v>28462</v>
      </c>
      <c r="CQ38" s="90">
        <f t="shared" si="32"/>
        <v>20944</v>
      </c>
      <c r="CR38" s="90">
        <f t="shared" ca="1" si="33"/>
        <v>56897.5</v>
      </c>
      <c r="CS38" s="90">
        <f t="shared" ca="1" si="34"/>
        <v>142009.5</v>
      </c>
      <c r="CT38" s="142">
        <f t="shared" ca="1" si="35"/>
        <v>0.2514338829444509</v>
      </c>
      <c r="CU38" s="142">
        <f t="shared" ca="1" si="35"/>
        <v>0.2004232111231995</v>
      </c>
      <c r="CV38" s="142">
        <f t="shared" ca="1" si="35"/>
        <v>0.14748309091997366</v>
      </c>
      <c r="CW38" s="142">
        <f t="shared" ca="1" si="35"/>
        <v>0.40065981501237591</v>
      </c>
      <c r="CY38" s="128">
        <f t="shared" si="36"/>
        <v>17854</v>
      </c>
      <c r="CZ38" s="90">
        <f t="shared" si="37"/>
        <v>14115</v>
      </c>
      <c r="DA38" s="90">
        <f t="shared" si="38"/>
        <v>12852</v>
      </c>
      <c r="DB38" s="90">
        <f t="shared" ca="1" si="58"/>
        <v>37638.25</v>
      </c>
      <c r="DC38" s="90">
        <f t="shared" ca="1" si="39"/>
        <v>82459.25</v>
      </c>
      <c r="DD38" s="142">
        <f t="shared" ca="1" si="40"/>
        <v>0.21651906850959715</v>
      </c>
      <c r="DE38" s="142">
        <f t="shared" ca="1" si="40"/>
        <v>0.17117545939357925</v>
      </c>
      <c r="DF38" s="142">
        <f t="shared" ca="1" si="40"/>
        <v>0.15585880298450447</v>
      </c>
      <c r="DG38" s="142">
        <f t="shared" ca="1" si="40"/>
        <v>0.45644666911231913</v>
      </c>
      <c r="DI38" s="128">
        <f t="shared" si="41"/>
        <v>8518</v>
      </c>
      <c r="DJ38" s="90">
        <f t="shared" si="42"/>
        <v>6771</v>
      </c>
      <c r="DK38" s="90">
        <f t="shared" si="43"/>
        <v>4590</v>
      </c>
      <c r="DL38" s="90">
        <f t="shared" ca="1" si="44"/>
        <v>4742.25</v>
      </c>
      <c r="DM38" s="90">
        <f t="shared" ca="1" si="45"/>
        <v>24621.25</v>
      </c>
      <c r="DN38" s="142">
        <f t="shared" ca="1" si="46"/>
        <v>0.34596131390567092</v>
      </c>
      <c r="DO38" s="142">
        <f t="shared" ca="1" si="46"/>
        <v>0.27500634614408287</v>
      </c>
      <c r="DP38" s="142">
        <f t="shared" ca="1" si="46"/>
        <v>0.18642432857795604</v>
      </c>
      <c r="DQ38" s="142">
        <f t="shared" ca="1" si="46"/>
        <v>0.19260801137229019</v>
      </c>
      <c r="DS38" s="128">
        <f t="shared" ca="1" si="47"/>
        <v>142009.5</v>
      </c>
      <c r="DT38" s="90">
        <f t="shared" ca="1" si="48"/>
        <v>82459.25</v>
      </c>
      <c r="DU38" s="90">
        <f t="shared" ca="1" si="49"/>
        <v>24621.25</v>
      </c>
      <c r="DV38" s="90">
        <f t="shared" si="50"/>
        <v>464</v>
      </c>
      <c r="DW38" s="90">
        <f ca="1">_xlfn.IFNA(INDEX(武器升级消耗!$H:$H,MATCH(玩家节奏2!DS38/玩家节奏2!DS$5,武器升级消耗!M:M,1)),0)</f>
        <v>34</v>
      </c>
      <c r="DX38" s="90">
        <f ca="1">_xlfn.IFNA(INDEX(武器升级消耗!$H:$H,MATCH(玩家节奏2!DT38/玩家节奏2!DT$5,武器升级消耗!N:N,1)),0)</f>
        <v>31</v>
      </c>
      <c r="DY38" s="90">
        <f ca="1">_xlfn.IFNA(INDEX(武器升级消耗!$H:$H,MATCH(玩家节奏2!DU38/玩家节奏2!DU$5,武器升级消耗!O:O,1)),0)</f>
        <v>22</v>
      </c>
      <c r="DZ38" s="90">
        <f>_xlfn.IFNA(INDEX(武器升级消耗!$H:$H,MATCH(玩家节奏2!DV38/玩家节奏2!DV$5,武器升级消耗!P:P,1)),0)</f>
        <v>16</v>
      </c>
      <c r="EA38" s="90">
        <f ca="1">_xlfn.IFNA(INDEX(武器升级消耗!$Q:$Q,MATCH(玩家节奏2!DW38,武器升级消耗!$H:$H,0))*2*EA$4,0)</f>
        <v>4.5599999999999996</v>
      </c>
      <c r="EB38" s="90">
        <f ca="1">_xlfn.IFNA(INDEX(武器升级消耗!$Q:$Q,MATCH(玩家节奏2!DX38,武器升级消耗!$H:$H,0))*2*EB$4,0)</f>
        <v>5.25</v>
      </c>
      <c r="EC38" s="90">
        <f ca="1">_xlfn.IFNA(INDEX(武器升级消耗!$Q:$Q,MATCH(玩家节奏2!DY38,武器升级消耗!$H:$H,0))*2*EC$4,0)</f>
        <v>5.7200000000000006</v>
      </c>
      <c r="ED38" s="90">
        <f>_xlfn.IFNA(INDEX(武器升级消耗!$Q:$Q,MATCH(玩家节奏2!DZ38,武器升级消耗!$H:$H,0))*2*ED$4,0)</f>
        <v>6</v>
      </c>
      <c r="EF38" s="128">
        <f t="shared" si="14"/>
        <v>0</v>
      </c>
      <c r="EG38" s="90">
        <f t="shared" si="15"/>
        <v>0</v>
      </c>
      <c r="EH38" s="90">
        <v>96</v>
      </c>
      <c r="EI38" s="90">
        <v>96</v>
      </c>
      <c r="EJ38" s="90">
        <f>_xlfn.IFNA(INDEX(皮肤宠物!$J$4:$J$13,MATCH(EF38+EH38,皮肤宠物!$L$4:$L$13,1)),0)</f>
        <v>5</v>
      </c>
      <c r="EK38" s="90">
        <f>_xlfn.IFNA(INDEX(皮肤宠物!$J$4:$J$13,MATCH(EG38+EI38,皮肤宠物!$L$4:$L$13,1)),0)</f>
        <v>5</v>
      </c>
      <c r="EL38" s="90">
        <f>_xlfn.IFNA(INDEX(皮肤宠物!$N$4:$N$13,MATCH(EF38+EH38,皮肤宠物!$L$4:$L$13,1)),1)</f>
        <v>1.6500000000000001</v>
      </c>
      <c r="EM38" s="90">
        <f>_xlfn.IFNA(INDEX(皮肤宠物!$N$4:$N$13,MATCH(EG38+EI38,皮肤宠物!$L$4:$L$13,1)),1)</f>
        <v>1.6500000000000001</v>
      </c>
      <c r="EO38" s="128">
        <v>96</v>
      </c>
      <c r="EP38" s="90">
        <v>32</v>
      </c>
      <c r="EQ38" s="90">
        <f t="shared" ca="1" si="51"/>
        <v>37175</v>
      </c>
      <c r="ER38" s="90">
        <f t="shared" si="16"/>
        <v>0</v>
      </c>
      <c r="ES38" s="90">
        <f t="shared" ca="1" si="52"/>
        <v>403.75</v>
      </c>
      <c r="ET38" s="90">
        <f ca="1">$ES38*ET$5*皮肤宠物!$J$75/4</f>
        <v>1332.7787499999999</v>
      </c>
      <c r="EU38" s="90">
        <f ca="1">$ES38*EU$5*皮肤宠物!$J$76/4</f>
        <v>222.46625</v>
      </c>
      <c r="EV38" s="90">
        <f ca="1">$ES38*EV$5*皮肤宠物!$J$77/4</f>
        <v>60.259687500000005</v>
      </c>
      <c r="EW38" s="90">
        <f ca="1">_xlfn.IFNA(INDEX(皮肤宠物!$H$18:$H$67,MATCH(ET38,皮肤宠物!L$18:L$67,1)),0)</f>
        <v>12</v>
      </c>
      <c r="EX38" s="90">
        <f ca="1">_xlfn.IFNA(INDEX(皮肤宠物!$H$18:$H$67,MATCH(EU38,皮肤宠物!M$18:M$67,1)),0)</f>
        <v>10</v>
      </c>
      <c r="EY38" s="90">
        <f ca="1">_xlfn.IFNA(INDEX(皮肤宠物!$H$18:$H$67,MATCH(EV38,皮肤宠物!N$18:N$67,1)),0)</f>
        <v>7</v>
      </c>
      <c r="EZ38" s="90">
        <f ca="1">_xlfn.IFNA(INDEX(皮肤宠物!C$18:C$67,MATCH(EW38,皮肤宠物!$A$18:$A$67,0))+1,1)</f>
        <v>1.1200000000000001</v>
      </c>
      <c r="FA38" s="90">
        <f ca="1">_xlfn.IFNA(INDEX(皮肤宠物!D$18:D$67,MATCH(EX38,皮肤宠物!$A$18:$A$67,0))+1,1)</f>
        <v>1.2</v>
      </c>
      <c r="FB38" s="90">
        <f ca="1">_xlfn.IFNA(INDEX(皮肤宠物!E$18:E$67,MATCH(EY38,皮肤宠物!$A$18:$A$67,0))+1,1)</f>
        <v>1.28</v>
      </c>
      <c r="FD38" s="90">
        <f t="shared" ca="1" si="53"/>
        <v>5.7200000000000006</v>
      </c>
      <c r="FE38" s="90">
        <f t="shared" si="54"/>
        <v>1.6500000000000001</v>
      </c>
      <c r="FF38" s="90">
        <f t="shared" ca="1" si="55"/>
        <v>1.28</v>
      </c>
      <c r="FG38" s="90">
        <f t="shared" ca="1" si="56"/>
        <v>12.080640000000002</v>
      </c>
    </row>
    <row r="39" spans="1:163" x14ac:dyDescent="0.25">
      <c r="A39" s="123">
        <v>33</v>
      </c>
      <c r="B39" s="123">
        <f>INDEX(关卡对比!$Y:$Y,MATCH(关卡对比!Z39,关卡对比!$AA:$AA,1))</f>
        <v>22</v>
      </c>
      <c r="C39" s="124">
        <f>INDEX(关卡对比!$Y:$Y,MATCH(关卡对比!Z39,关卡对比!$AB:$AB,1))</f>
        <v>18</v>
      </c>
      <c r="D39" s="125">
        <f t="shared" si="63"/>
        <v>115.5</v>
      </c>
      <c r="E39" s="125">
        <v>2</v>
      </c>
      <c r="F39" s="128">
        <v>16</v>
      </c>
      <c r="G39" s="90">
        <v>16</v>
      </c>
      <c r="H39" s="90">
        <v>5</v>
      </c>
      <c r="J39" s="128">
        <v>33</v>
      </c>
      <c r="K39" s="90">
        <f t="shared" si="17"/>
        <v>16</v>
      </c>
      <c r="L39" s="90">
        <f t="shared" si="18"/>
        <v>16</v>
      </c>
      <c r="M39" s="90">
        <f t="shared" si="19"/>
        <v>5</v>
      </c>
      <c r="N39" s="140">
        <f>INDEX($A:$A,MATCH(SUM($K$7:K39),$D:$D,1))</f>
        <v>139</v>
      </c>
      <c r="O39" s="140">
        <v>0</v>
      </c>
      <c r="P39" s="141">
        <v>0</v>
      </c>
      <c r="Q39" s="126">
        <f>_xlfn.MAXIFS(关卡产出!X:X,关卡产出!$A:$A,玩家节奏2!$N$6,关卡产出!$B:$B,玩家节奏2!$N39)+_xlfn.MAXIFS(关卡产出!X:X,关卡产出!$A:$A,玩家节奏2!$O$6,关卡产出!$B:$B,玩家节奏2!$O39)+_xlfn.MAXIFS(关卡产出!X:X,关卡产出!$A:$A,玩家节奏2!$P$6,关卡产出!$B:$B,玩家节奏2!$P39)</f>
        <v>26300</v>
      </c>
      <c r="R39" s="90">
        <f>_xlfn.MAXIFS(关卡产出!Y:Y,关卡产出!$A:$A,玩家节奏2!$N$6,关卡产出!$B:$B,玩家节奏2!$N39)+_xlfn.MAXIFS(关卡产出!Y:Y,关卡产出!$A:$A,玩家节奏2!$O$6,关卡产出!$B:$B,玩家节奏2!$O39)+_xlfn.MAXIFS(关卡产出!Y:Y,关卡产出!$A:$A,玩家节奏2!$P$6,关卡产出!$B:$B,玩家节奏2!$P39)</f>
        <v>5528300</v>
      </c>
      <c r="S39" s="90">
        <f>_xlfn.MAXIFS(关卡产出!Z:Z,关卡产出!$A:$A,玩家节奏2!$N$6,关卡产出!$B:$B,玩家节奏2!$N39)+_xlfn.MAXIFS(关卡产出!Z:Z,关卡产出!$A:$A,玩家节奏2!$O$6,关卡产出!$B:$B,玩家节奏2!$O39)+_xlfn.MAXIFS(关卡产出!Z:Z,关卡产出!$A:$A,玩家节奏2!$P$6,关卡产出!$B:$B,玩家节奏2!$P39)</f>
        <v>37874</v>
      </c>
      <c r="T39" s="90">
        <f>_xlfn.MAXIFS(关卡产出!AA:AA,关卡产出!$A:$A,玩家节奏2!$N$6,关卡产出!$B:$B,玩家节奏2!$N39)+_xlfn.MAXIFS(关卡产出!AA:AA,关卡产出!$A:$A,玩家节奏2!$O$6,关卡产出!$B:$B,玩家节奏2!$O39)+_xlfn.MAXIFS(关卡产出!AA:AA,关卡产出!$A:$A,玩家节奏2!$P$6,关卡产出!$B:$B,玩家节奏2!$P39)</f>
        <v>18938</v>
      </c>
      <c r="U39" s="90">
        <f>_xlfn.MAXIFS(关卡产出!AB:AB,关卡产出!$A:$A,玩家节奏2!$N$6,关卡产出!$B:$B,玩家节奏2!$N39)+_xlfn.MAXIFS(关卡产出!AB:AB,关卡产出!$A:$A,玩家节奏2!$O$6,关卡产出!$B:$B,玩家节奏2!$O39)+_xlfn.MAXIFS(关卡产出!AB:AB,关卡产出!$A:$A,玩家节奏2!$P$6,关卡产出!$B:$B,玩家节奏2!$P39)</f>
        <v>9048</v>
      </c>
      <c r="V39" s="130">
        <f>_xlfn.MAXIFS(关卡产出!AC:AC,关卡产出!$A:$A,玩家节奏2!$N$6,关卡产出!$B:$B,玩家节奏2!$N39)+_xlfn.MAXIFS(关卡产出!AC:AC,关卡产出!$A:$A,玩家节奏2!$O$6,关卡产出!$B:$B,玩家节奏2!$O39)+_xlfn.MAXIFS(关卡产出!AC:AC,关卡产出!$A:$A,玩家节奏2!$P$6,关卡产出!$B:$B,玩家节奏2!$P39)</f>
        <v>834</v>
      </c>
      <c r="W39" s="126">
        <f>INDEX(关卡产出!C$8:C$207,MATCH(玩家节奏2!$N39,关卡产出!$B$8:$B$207,0))*$K39</f>
        <v>1760</v>
      </c>
      <c r="X39" s="126">
        <f>INDEX(关卡产出!D$8:D$207,MATCH(玩家节奏2!$N39,关卡产出!$B$8:$B$207,0))*$K39</f>
        <v>880</v>
      </c>
      <c r="Y39" s="126">
        <f>INDEX(关卡产出!E$8:E$207,MATCH(玩家节奏2!$N39,关卡产出!$B$8:$B$207,0))*$K39</f>
        <v>432</v>
      </c>
      <c r="Z39" s="144">
        <f>INDEX(关卡产出!F$8:F$207,MATCH(玩家节奏2!$N39,关卡产出!$B$8:$B$207,0))*$K39</f>
        <v>23200</v>
      </c>
      <c r="AA39" s="126">
        <f>SUM(W$7:W39)</f>
        <v>30222</v>
      </c>
      <c r="AB39" s="126">
        <f>SUM(X$7:X39)</f>
        <v>14995</v>
      </c>
      <c r="AC39" s="126">
        <f>SUM(Y$7:Y39)</f>
        <v>7203</v>
      </c>
      <c r="AD39" s="177">
        <f>SUM(Z$7:Z39)</f>
        <v>418010</v>
      </c>
      <c r="AE39" s="128">
        <f>INDEX(图鉴!AQ:AQ,MATCH($N39,图鉴!$S:$S,0))*34</f>
        <v>714</v>
      </c>
      <c r="AF39" s="90">
        <f>INDEX(图鉴!AR:AR,MATCH($N39,图鉴!$S:$S,0))*34</f>
        <v>510</v>
      </c>
      <c r="AG39" s="90">
        <f>INDEX(图鉴!AS:AS,MATCH($N39,图鉴!$S:$S,0))*34</f>
        <v>204</v>
      </c>
      <c r="AH39" s="129">
        <f ca="1">INDEX(图鉴!AT:AT,MATCH($N39,图鉴!$S:$S,0))*34</f>
        <v>46240</v>
      </c>
      <c r="AI39" s="128">
        <f>SUM($AE$7:AE39)</f>
        <v>21658</v>
      </c>
      <c r="AJ39" s="90">
        <f>SUM(AF$7:AF39)</f>
        <v>13362</v>
      </c>
      <c r="AK39" s="90">
        <f>SUM(AG$7:AG39)</f>
        <v>4794</v>
      </c>
      <c r="AL39" s="130">
        <f ca="1">SUM(AH$7:AH39)</f>
        <v>1065696</v>
      </c>
      <c r="AM39" s="133">
        <f>IF(M39=0,0,INDEX(关卡产出!$AU$11:$AU$15,MATCH(玩家节奏2!N39,关卡产出!$AW$11:$AW$15,1))*M39)</f>
        <v>61000</v>
      </c>
      <c r="AN39" s="126">
        <f>IF(L39=0,0,$L39*关卡产出!AU$21)</f>
        <v>16000</v>
      </c>
      <c r="AO39" s="90">
        <f>IF(M39=0,0,$L39*关卡产出!AV$21)</f>
        <v>800</v>
      </c>
      <c r="AP39" s="129">
        <f>IF(N39=0,0,$L39*关卡产出!AW$21)</f>
        <v>16</v>
      </c>
      <c r="AQ39" s="138">
        <f>SUM(AN$7:AN39)</f>
        <v>480000</v>
      </c>
      <c r="AR39" s="126">
        <f>SUM(AO$7:AO39)</f>
        <v>24000</v>
      </c>
      <c r="AS39" s="129">
        <f>SUM(AP$7:AP39)</f>
        <v>480</v>
      </c>
      <c r="AT39" s="128">
        <v>3000</v>
      </c>
      <c r="AU39" s="129">
        <v>600</v>
      </c>
      <c r="AV39" s="128">
        <f>SUM(AT$7:AT39)</f>
        <v>99000</v>
      </c>
      <c r="AW39" s="90">
        <f>SUM(AU$7:AU39)</f>
        <v>19800</v>
      </c>
      <c r="AY39" s="128">
        <f t="shared" si="20"/>
        <v>26300</v>
      </c>
      <c r="AZ39" s="90">
        <f t="shared" si="21"/>
        <v>24000</v>
      </c>
      <c r="BA39" s="90">
        <f t="shared" si="22"/>
        <v>19800</v>
      </c>
      <c r="BB39" s="90">
        <f t="shared" ca="1" si="57"/>
        <v>12500</v>
      </c>
      <c r="BC39" s="90">
        <f t="shared" ca="1" si="60"/>
        <v>43475</v>
      </c>
      <c r="BD39" s="90">
        <f t="shared" ca="1" si="61"/>
        <v>39125</v>
      </c>
      <c r="BE39" s="90">
        <f t="shared" ca="1" si="24"/>
        <v>82600</v>
      </c>
      <c r="BF39" s="142">
        <f t="shared" ref="BF39:BF70" ca="1" si="64">AY39/$BC39</f>
        <v>0.60494537090281775</v>
      </c>
      <c r="BG39" s="142">
        <f t="shared" ref="BG39:BG70" ca="1" si="65">AZ39/$BC39</f>
        <v>0.55204140310523286</v>
      </c>
      <c r="BH39" s="142">
        <f t="shared" ref="BH39:BH70" ca="1" si="66">BA39/$BC39</f>
        <v>0.45543415756181715</v>
      </c>
      <c r="BI39" s="142">
        <f t="shared" ref="BI39:BI70" ca="1" si="67">BB39/$BC39</f>
        <v>0.28752156411730878</v>
      </c>
      <c r="BJ39" s="143"/>
      <c r="BK39" s="128">
        <f ca="1">INDEX(商城宝箱!$L:$L,MATCH(BC39,商城宝箱!$N:$N,1))</f>
        <v>8</v>
      </c>
      <c r="BL39" s="90">
        <f ca="1">_xlfn.IFNA(INDEX(商城宝箱!T:T,MATCH(玩家节奏2!$BK39,商城宝箱!$L:$L,0)),0)+($BC39-INDEX(商城宝箱!$N:$N,MATCH(玩家节奏2!$BK39,商城宝箱!$L:$L,0)))/$BK$5*INDEX(商城宝箱!E$23:E$42,MATCH(玩家节奏2!$BK39+1,商城宝箱!$C$23:$C$42,0))</f>
        <v>108687.5</v>
      </c>
      <c r="BM39" s="90">
        <f ca="1">_xlfn.IFNA(INDEX(商城宝箱!U:U,MATCH(玩家节奏2!$BK39,商城宝箱!$L:$L,0)),0)+($BC39-INDEX(商城宝箱!$N:$N,MATCH(玩家节奏2!$BK39,商城宝箱!$L:$L,0)))/$BK$5*INDEX(商城宝箱!F$23:F$42,MATCH(玩家节奏2!$BK39+1,商城宝箱!$C$23:$C$42,0))</f>
        <v>61187.5</v>
      </c>
      <c r="BN39" s="90">
        <f ca="1">_xlfn.IFNA(INDEX(商城宝箱!V:V,MATCH(玩家节奏2!$BK39,商城宝箱!$L:$L,0)),0)+($BC39-INDEX(商城宝箱!$N:$N,MATCH(玩家节奏2!$BK39,商城宝箱!$L:$L,0)))/$BK$5*INDEX(商城宝箱!G$23:G$42,MATCH(玩家节奏2!$BK39+1,商城宝箱!$C$23:$C$42,0))</f>
        <v>40855.75</v>
      </c>
      <c r="BO39" s="90">
        <f ca="1">_xlfn.IFNA(INDEX(商城宝箱!W:W,MATCH(玩家节奏2!$BK39,商城宝箱!$L:$L,0)),0)+($BC39-INDEX(商城宝箱!$N:$N,MATCH(玩家节奏2!$BK39,商城宝箱!$L:$L,0)))/$BK$5*INDEX(商城宝箱!H$23:H$42,MATCH(玩家节奏2!$BK39+1,商城宝箱!$C$23:$C$42,0))</f>
        <v>5112.75</v>
      </c>
      <c r="BQ39" s="128">
        <f t="shared" si="4"/>
        <v>5528300</v>
      </c>
      <c r="BR39" s="90">
        <f t="shared" si="5"/>
        <v>418010</v>
      </c>
      <c r="BS39" s="90">
        <f t="shared" ref="BS39:BS70" ca="1" si="68">AL39</f>
        <v>1065696</v>
      </c>
      <c r="BT39" s="90">
        <f t="shared" ref="BT39:BT70" si="69">AM39</f>
        <v>61000</v>
      </c>
      <c r="BU39" s="90">
        <f t="shared" si="8"/>
        <v>480000</v>
      </c>
      <c r="BV39" s="90">
        <f t="shared" si="9"/>
        <v>99000</v>
      </c>
      <c r="BW39" s="90">
        <f t="shared" ca="1" si="25"/>
        <v>108687.5</v>
      </c>
      <c r="BX39" s="90">
        <f t="shared" ca="1" si="26"/>
        <v>7760693.5</v>
      </c>
      <c r="BY39" s="142">
        <f t="shared" ca="1" si="27"/>
        <v>0.71234613246870271</v>
      </c>
      <c r="BZ39" s="142">
        <f t="shared" ca="1" si="27"/>
        <v>5.3862454431424199E-2</v>
      </c>
      <c r="CA39" s="142">
        <f t="shared" ca="1" si="27"/>
        <v>0.13731968670067951</v>
      </c>
      <c r="CB39" s="142">
        <f t="shared" ca="1" si="27"/>
        <v>7.8601222944830896E-3</v>
      </c>
      <c r="CC39" s="142">
        <f t="shared" ca="1" si="27"/>
        <v>6.1850142645112835E-2</v>
      </c>
      <c r="CD39" s="142">
        <f t="shared" ca="1" si="27"/>
        <v>1.2756591920554523E-2</v>
      </c>
      <c r="CE39" s="142">
        <f t="shared" ca="1" si="27"/>
        <v>1.4004869539043127E-2</v>
      </c>
      <c r="CG39" s="128">
        <f t="shared" si="28"/>
        <v>139</v>
      </c>
      <c r="CH39" s="90">
        <f ca="1">INDEX(角色升级!$A:$A,MATCH(玩家节奏2!$BX39,角色升级!$J:$J,1))</f>
        <v>663</v>
      </c>
      <c r="CI39" s="90">
        <f ca="1">INDEX(角色升级!$O:$O,MATCH(玩家节奏2!$BX39,角色升级!$J:$J,1))</f>
        <v>34975.145730000004</v>
      </c>
      <c r="CJ39" s="90">
        <f>INDEX(关卡对比!$J:$J,MATCH(玩家节奏2!N39,关卡对比!$A:$A,0))</f>
        <v>55700</v>
      </c>
      <c r="CK39" s="147">
        <f t="shared" ca="1" si="29"/>
        <v>1.5925594829537253</v>
      </c>
      <c r="CL39" s="128">
        <f ca="1">INDEX(角色升级!$P:$P,MATCH(玩家节奏2!$CH39,角色升级!$A:$A,0))</f>
        <v>12500</v>
      </c>
      <c r="CM39" s="90">
        <f ca="1">INDEX(角色升级!Q:Q,MATCH(玩家节奏2!$CH39,角色升级!$A:$A,0))</f>
        <v>1.1000000000000001</v>
      </c>
      <c r="CO39" s="128">
        <f t="shared" si="30"/>
        <v>37874</v>
      </c>
      <c r="CP39" s="90">
        <f t="shared" si="31"/>
        <v>30222</v>
      </c>
      <c r="CQ39" s="90">
        <f t="shared" si="32"/>
        <v>21658</v>
      </c>
      <c r="CR39" s="90">
        <f t="shared" ca="1" si="33"/>
        <v>61187.5</v>
      </c>
      <c r="CS39" s="90">
        <f t="shared" ca="1" si="34"/>
        <v>150941.5</v>
      </c>
      <c r="CT39" s="142">
        <f t="shared" ca="1" si="35"/>
        <v>0.25091840216242717</v>
      </c>
      <c r="CU39" s="142">
        <f t="shared" ca="1" si="35"/>
        <v>0.20022326530477039</v>
      </c>
      <c r="CV39" s="142">
        <f t="shared" ca="1" si="35"/>
        <v>0.14348605254353508</v>
      </c>
      <c r="CW39" s="142">
        <f t="shared" ca="1" si="35"/>
        <v>0.40537227998926739</v>
      </c>
      <c r="CY39" s="128">
        <f t="shared" si="36"/>
        <v>18938</v>
      </c>
      <c r="CZ39" s="90">
        <f t="shared" si="37"/>
        <v>14995</v>
      </c>
      <c r="DA39" s="90">
        <f t="shared" si="38"/>
        <v>13362</v>
      </c>
      <c r="DB39" s="90">
        <f t="shared" ca="1" si="58"/>
        <v>40855.75</v>
      </c>
      <c r="DC39" s="90">
        <f t="shared" ca="1" si="39"/>
        <v>88150.75</v>
      </c>
      <c r="DD39" s="142">
        <f t="shared" ca="1" si="40"/>
        <v>0.21483651585494168</v>
      </c>
      <c r="DE39" s="142">
        <f t="shared" ca="1" si="40"/>
        <v>0.17010632354234081</v>
      </c>
      <c r="DF39" s="142">
        <f t="shared" ca="1" si="40"/>
        <v>0.15158124009154772</v>
      </c>
      <c r="DG39" s="142">
        <f t="shared" ca="1" si="40"/>
        <v>0.46347592051116976</v>
      </c>
      <c r="DI39" s="128">
        <f t="shared" si="41"/>
        <v>9048</v>
      </c>
      <c r="DJ39" s="90">
        <f t="shared" si="42"/>
        <v>7203</v>
      </c>
      <c r="DK39" s="90">
        <f t="shared" si="43"/>
        <v>4794</v>
      </c>
      <c r="DL39" s="90">
        <f t="shared" ca="1" si="44"/>
        <v>5112.75</v>
      </c>
      <c r="DM39" s="90">
        <f t="shared" ca="1" si="45"/>
        <v>26157.75</v>
      </c>
      <c r="DN39" s="142">
        <f t="shared" ca="1" si="46"/>
        <v>0.34590131031912147</v>
      </c>
      <c r="DO39" s="142">
        <f t="shared" ca="1" si="46"/>
        <v>0.27536772084754996</v>
      </c>
      <c r="DP39" s="142">
        <f t="shared" ca="1" si="46"/>
        <v>0.18327264386271755</v>
      </c>
      <c r="DQ39" s="142">
        <f t="shared" ca="1" si="46"/>
        <v>0.195458324970611</v>
      </c>
      <c r="DS39" s="128">
        <f t="shared" ca="1" si="47"/>
        <v>150941.5</v>
      </c>
      <c r="DT39" s="90">
        <f t="shared" ca="1" si="48"/>
        <v>88150.75</v>
      </c>
      <c r="DU39" s="90">
        <f t="shared" ca="1" si="49"/>
        <v>26157.75</v>
      </c>
      <c r="DV39" s="90">
        <f t="shared" si="50"/>
        <v>480</v>
      </c>
      <c r="DW39" s="90">
        <f ca="1">_xlfn.IFNA(INDEX(武器升级消耗!$H:$H,MATCH(玩家节奏2!DS39/玩家节奏2!DS$5,武器升级消耗!M:M,1)),0)</f>
        <v>35</v>
      </c>
      <c r="DX39" s="90">
        <f ca="1">_xlfn.IFNA(INDEX(武器升级消耗!$H:$H,MATCH(玩家节奏2!DT39/玩家节奏2!DT$5,武器升级消耗!N:N,1)),0)</f>
        <v>32</v>
      </c>
      <c r="DY39" s="90">
        <f ca="1">_xlfn.IFNA(INDEX(武器升级消耗!$H:$H,MATCH(玩家节奏2!DU39/玩家节奏2!DU$5,武器升级消耗!O:O,1)),0)</f>
        <v>23</v>
      </c>
      <c r="DZ39" s="90">
        <f>_xlfn.IFNA(INDEX(武器升级消耗!$H:$H,MATCH(玩家节奏2!DV39/玩家节奏2!DV$5,武器升级消耗!P:P,1)),0)</f>
        <v>16</v>
      </c>
      <c r="EA39" s="90">
        <f ca="1">_xlfn.IFNA(INDEX(武器升级消耗!$Q:$Q,MATCH(玩家节奏2!DW39,武器升级消耗!$H:$H,0))*2*EA$4,0)</f>
        <v>4.68</v>
      </c>
      <c r="EB39" s="90">
        <f ca="1">_xlfn.IFNA(INDEX(武器升级消耗!$Q:$Q,MATCH(玩家节奏2!DX39,武器升级消耗!$H:$H,0))*2*EB$4,0)</f>
        <v>5.4</v>
      </c>
      <c r="EC39" s="90">
        <f ca="1">_xlfn.IFNA(INDEX(武器升级消耗!$Q:$Q,MATCH(玩家节奏2!DY39,武器升级消耗!$H:$H,0))*2*EC$4,0)</f>
        <v>5.9400000000000013</v>
      </c>
      <c r="ED39" s="90">
        <f>_xlfn.IFNA(INDEX(武器升级消耗!$Q:$Q,MATCH(玩家节奏2!DZ39,武器升级消耗!$H:$H,0))*2*ED$4,0)</f>
        <v>6</v>
      </c>
      <c r="EF39" s="128">
        <f t="shared" ref="EF39:EF70" si="70">O39</f>
        <v>0</v>
      </c>
      <c r="EG39" s="90">
        <f t="shared" ref="EG39:EG70" si="71">P39</f>
        <v>0</v>
      </c>
      <c r="EH39" s="90">
        <v>99</v>
      </c>
      <c r="EI39" s="90">
        <v>99</v>
      </c>
      <c r="EJ39" s="90">
        <f>_xlfn.IFNA(INDEX(皮肤宠物!$J$4:$J$13,MATCH(EF39+EH39,皮肤宠物!$L$4:$L$13,1)),0)</f>
        <v>5</v>
      </c>
      <c r="EK39" s="90">
        <f>_xlfn.IFNA(INDEX(皮肤宠物!$J$4:$J$13,MATCH(EG39+EI39,皮肤宠物!$L$4:$L$13,1)),0)</f>
        <v>5</v>
      </c>
      <c r="EL39" s="90">
        <f>_xlfn.IFNA(INDEX(皮肤宠物!$N$4:$N$13,MATCH(EF39+EH39,皮肤宠物!$L$4:$L$13,1)),1)</f>
        <v>1.6500000000000001</v>
      </c>
      <c r="EM39" s="90">
        <f>_xlfn.IFNA(INDEX(皮肤宠物!$N$4:$N$13,MATCH(EG39+EI39,皮肤宠物!$L$4:$L$13,1)),1)</f>
        <v>1.6500000000000001</v>
      </c>
      <c r="EO39" s="128">
        <v>99</v>
      </c>
      <c r="EP39" s="90">
        <v>33</v>
      </c>
      <c r="EQ39" s="90">
        <f t="shared" ca="1" si="51"/>
        <v>39125</v>
      </c>
      <c r="ER39" s="90">
        <f t="shared" ref="ER39:ER70" si="72">P39</f>
        <v>0</v>
      </c>
      <c r="ES39" s="90">
        <f t="shared" ca="1" si="52"/>
        <v>424.25</v>
      </c>
      <c r="ET39" s="90">
        <f ca="1">$ES39*ET$5*皮肤宠物!$J$75/4</f>
        <v>1400.4492500000001</v>
      </c>
      <c r="EU39" s="90">
        <f ca="1">$ES39*EU$5*皮肤宠物!$J$76/4</f>
        <v>233.76175000000001</v>
      </c>
      <c r="EV39" s="90">
        <f ca="1">$ES39*EV$5*皮肤宠物!$J$77/4</f>
        <v>63.319312500000002</v>
      </c>
      <c r="EW39" s="90">
        <f ca="1">_xlfn.IFNA(INDEX(皮肤宠物!$H$18:$H$67,MATCH(ET39,皮肤宠物!L$18:L$67,1)),0)</f>
        <v>13</v>
      </c>
      <c r="EX39" s="90">
        <f ca="1">_xlfn.IFNA(INDEX(皮肤宠物!$H$18:$H$67,MATCH(EU39,皮肤宠物!M$18:M$67,1)),0)</f>
        <v>10</v>
      </c>
      <c r="EY39" s="90">
        <f ca="1">_xlfn.IFNA(INDEX(皮肤宠物!$H$18:$H$67,MATCH(EV39,皮肤宠物!N$18:N$67,1)),0)</f>
        <v>7</v>
      </c>
      <c r="EZ39" s="90">
        <f ca="1">_xlfn.IFNA(INDEX(皮肤宠物!C$18:C$67,MATCH(EW39,皮肤宠物!$A$18:$A$67,0))+1,1)</f>
        <v>1.1299999999999999</v>
      </c>
      <c r="FA39" s="90">
        <f ca="1">_xlfn.IFNA(INDEX(皮肤宠物!D$18:D$67,MATCH(EX39,皮肤宠物!$A$18:$A$67,0))+1,1)</f>
        <v>1.2</v>
      </c>
      <c r="FB39" s="90">
        <f ca="1">_xlfn.IFNA(INDEX(皮肤宠物!E$18:E$67,MATCH(EY39,皮肤宠物!$A$18:$A$67,0))+1,1)</f>
        <v>1.28</v>
      </c>
      <c r="FD39" s="90">
        <f t="shared" ca="1" si="53"/>
        <v>5.9400000000000013</v>
      </c>
      <c r="FE39" s="90">
        <f t="shared" si="54"/>
        <v>1.6500000000000001</v>
      </c>
      <c r="FF39" s="90">
        <f t="shared" ca="1" si="55"/>
        <v>1.28</v>
      </c>
      <c r="FG39" s="90">
        <f t="shared" ca="1" si="56"/>
        <v>12.545280000000004</v>
      </c>
    </row>
    <row r="40" spans="1:163" x14ac:dyDescent="0.25">
      <c r="A40" s="123">
        <v>34</v>
      </c>
      <c r="B40" s="123">
        <f>INDEX(关卡对比!$Y:$Y,MATCH(关卡对比!Z40,关卡对比!$AA:$AA,1))</f>
        <v>23</v>
      </c>
      <c r="C40" s="124">
        <f>INDEX(关卡对比!$Y:$Y,MATCH(关卡对比!Z40,关卡对比!$AB:$AB,1))</f>
        <v>19</v>
      </c>
      <c r="D40" s="125">
        <f t="shared" si="63"/>
        <v>121.5</v>
      </c>
      <c r="E40" s="125">
        <v>2</v>
      </c>
      <c r="F40" s="128">
        <v>16</v>
      </c>
      <c r="G40" s="90">
        <v>16</v>
      </c>
      <c r="H40" s="90">
        <v>5</v>
      </c>
      <c r="J40" s="128">
        <v>34</v>
      </c>
      <c r="K40" s="90">
        <f t="shared" si="17"/>
        <v>16</v>
      </c>
      <c r="L40" s="90">
        <f t="shared" si="18"/>
        <v>16</v>
      </c>
      <c r="M40" s="90">
        <f t="shared" si="19"/>
        <v>5</v>
      </c>
      <c r="N40" s="140">
        <f>INDEX($A:$A,MATCH(SUM($K$7:K40),$D:$D,1))</f>
        <v>144</v>
      </c>
      <c r="O40" s="140">
        <v>0</v>
      </c>
      <c r="P40" s="141">
        <v>0</v>
      </c>
      <c r="Q40" s="126">
        <f>_xlfn.MAXIFS(关卡产出!X:X,关卡产出!$A:$A,玩家节奏2!$N$6,关卡产出!$B:$B,玩家节奏2!$N40)+_xlfn.MAXIFS(关卡产出!X:X,关卡产出!$A:$A,玩家节奏2!$O$6,关卡产出!$B:$B,玩家节奏2!$O40)+_xlfn.MAXIFS(关卡产出!X:X,关卡产出!$A:$A,玩家节奏2!$P$6,关卡产出!$B:$B,玩家节奏2!$P40)</f>
        <v>27300</v>
      </c>
      <c r="R40" s="90">
        <f>_xlfn.MAXIFS(关卡产出!Y:Y,关卡产出!$A:$A,玩家节奏2!$N$6,关卡产出!$B:$B,玩家节奏2!$N40)+_xlfn.MAXIFS(关卡产出!Y:Y,关卡产出!$A:$A,玩家节奏2!$O$6,关卡产出!$B:$B,玩家节奏2!$O40)+_xlfn.MAXIFS(关卡产出!Y:Y,关卡产出!$A:$A,玩家节奏2!$P$6,关卡产出!$B:$B,玩家节奏2!$P40)</f>
        <v>5942800</v>
      </c>
      <c r="S40" s="90">
        <f>_xlfn.MAXIFS(关卡产出!Z:Z,关卡产出!$A:$A,玩家节奏2!$N$6,关卡产出!$B:$B,玩家节奏2!$N40)+_xlfn.MAXIFS(关卡产出!Z:Z,关卡产出!$A:$A,玩家节奏2!$O$6,关卡产出!$B:$B,玩家节奏2!$O40)+_xlfn.MAXIFS(关卡产出!Z:Z,关卡产出!$A:$A,玩家节奏2!$P$6,关卡产出!$B:$B,玩家节奏2!$P40)</f>
        <v>40674</v>
      </c>
      <c r="T40" s="90">
        <f>_xlfn.MAXIFS(关卡产出!AA:AA,关卡产出!$A:$A,玩家节奏2!$N$6,关卡产出!$B:$B,玩家节奏2!$N40)+_xlfn.MAXIFS(关卡产出!AA:AA,关卡产出!$A:$A,玩家节奏2!$O$6,关卡产出!$B:$B,玩家节奏2!$O40)+_xlfn.MAXIFS(关卡产出!AA:AA,关卡产出!$A:$A,玩家节奏2!$P$6,关卡产出!$B:$B,玩家节奏2!$P40)</f>
        <v>20338</v>
      </c>
      <c r="U40" s="90">
        <f>_xlfn.MAXIFS(关卡产出!AB:AB,关卡产出!$A:$A,玩家节奏2!$N$6,关卡产出!$B:$B,玩家节奏2!$N40)+_xlfn.MAXIFS(关卡产出!AB:AB,关卡产出!$A:$A,玩家节奏2!$O$6,关卡产出!$B:$B,玩家节奏2!$O40)+_xlfn.MAXIFS(关卡产出!AB:AB,关卡产出!$A:$A,玩家节奏2!$P$6,关卡产出!$B:$B,玩家节奏2!$P40)</f>
        <v>9733</v>
      </c>
      <c r="V40" s="130">
        <f>_xlfn.MAXIFS(关卡产出!AC:AC,关卡产出!$A:$A,玩家节奏2!$N$6,关卡产出!$B:$B,玩家节奏2!$N40)+_xlfn.MAXIFS(关卡产出!AC:AC,关卡产出!$A:$A,玩家节奏2!$O$6,关卡产出!$B:$B,玩家节奏2!$O40)+_xlfn.MAXIFS(关卡产出!AC:AC,关卡产出!$A:$A,玩家节奏2!$P$6,关卡产出!$B:$B,玩家节奏2!$P40)</f>
        <v>864</v>
      </c>
      <c r="W40" s="126">
        <f>INDEX(关卡产出!C$8:C$207,MATCH(玩家节奏2!$N40,关卡产出!$B$8:$B$207,0))*$K40</f>
        <v>1824</v>
      </c>
      <c r="X40" s="126">
        <f>INDEX(关卡产出!D$8:D$207,MATCH(玩家节奏2!$N40,关卡产出!$B$8:$B$207,0))*$K40</f>
        <v>912</v>
      </c>
      <c r="Y40" s="126">
        <f>INDEX(关卡产出!E$8:E$207,MATCH(玩家节奏2!$N40,关卡产出!$B$8:$B$207,0))*$K40</f>
        <v>448</v>
      </c>
      <c r="Z40" s="144">
        <f>INDEX(关卡产出!F$8:F$207,MATCH(玩家节奏2!$N40,关卡产出!$B$8:$B$207,0))*$K40</f>
        <v>23840</v>
      </c>
      <c r="AA40" s="126">
        <f>SUM(W$7:W40)</f>
        <v>32046</v>
      </c>
      <c r="AB40" s="126">
        <f>SUM(X$7:X40)</f>
        <v>15907</v>
      </c>
      <c r="AC40" s="126">
        <f>SUM(Y$7:Y40)</f>
        <v>7651</v>
      </c>
      <c r="AD40" s="177">
        <f>SUM(Z$7:Z40)</f>
        <v>441850</v>
      </c>
      <c r="AE40" s="128">
        <f>INDEX(图鉴!AQ:AQ,MATCH($N40,图鉴!$S:$S,0))*34</f>
        <v>714</v>
      </c>
      <c r="AF40" s="90">
        <f>INDEX(图鉴!AR:AR,MATCH($N40,图鉴!$S:$S,0))*34</f>
        <v>510</v>
      </c>
      <c r="AG40" s="90">
        <f>INDEX(图鉴!AS:AS,MATCH($N40,图鉴!$S:$S,0))*34</f>
        <v>204</v>
      </c>
      <c r="AH40" s="129">
        <f ca="1">INDEX(图鉴!AT:AT,MATCH($N40,图鉴!$S:$S,0))*34</f>
        <v>49980</v>
      </c>
      <c r="AI40" s="128">
        <f>SUM($AE$7:AE40)</f>
        <v>22372</v>
      </c>
      <c r="AJ40" s="90">
        <f>SUM(AF$7:AF40)</f>
        <v>13872</v>
      </c>
      <c r="AK40" s="90">
        <f>SUM(AG$7:AG40)</f>
        <v>4998</v>
      </c>
      <c r="AL40" s="130">
        <f ca="1">SUM(AH$7:AH40)</f>
        <v>1115676</v>
      </c>
      <c r="AM40" s="133">
        <f>IF(M40=0,0,INDEX(关卡产出!$AU$11:$AU$15,MATCH(玩家节奏2!N40,关卡产出!$AW$11:$AW$15,1))*M40)</f>
        <v>61000</v>
      </c>
      <c r="AN40" s="126">
        <f>IF(L40=0,0,$L40*关卡产出!AU$21)</f>
        <v>16000</v>
      </c>
      <c r="AO40" s="90">
        <f>IF(M40=0,0,$L40*关卡产出!AV$21)</f>
        <v>800</v>
      </c>
      <c r="AP40" s="129">
        <f>IF(N40=0,0,$L40*关卡产出!AW$21)</f>
        <v>16</v>
      </c>
      <c r="AQ40" s="138">
        <f>SUM(AN$7:AN40)</f>
        <v>496000</v>
      </c>
      <c r="AR40" s="126">
        <f>SUM(AO$7:AO40)</f>
        <v>24800</v>
      </c>
      <c r="AS40" s="129">
        <f>SUM(AP$7:AP40)</f>
        <v>496</v>
      </c>
      <c r="AT40" s="128">
        <v>3000</v>
      </c>
      <c r="AU40" s="129">
        <v>600</v>
      </c>
      <c r="AV40" s="128">
        <f>SUM(AT$7:AT40)</f>
        <v>102000</v>
      </c>
      <c r="AW40" s="90">
        <f>SUM(AU$7:AU40)</f>
        <v>20400</v>
      </c>
      <c r="AY40" s="128">
        <f t="shared" si="20"/>
        <v>27300</v>
      </c>
      <c r="AZ40" s="90">
        <f t="shared" si="21"/>
        <v>24800</v>
      </c>
      <c r="BA40" s="90">
        <f t="shared" si="22"/>
        <v>20400</v>
      </c>
      <c r="BB40" s="90">
        <f t="shared" ca="1" si="57"/>
        <v>12500</v>
      </c>
      <c r="BC40" s="90">
        <f t="shared" ca="1" si="60"/>
        <v>44675</v>
      </c>
      <c r="BD40" s="90">
        <f t="shared" ca="1" si="61"/>
        <v>40325</v>
      </c>
      <c r="BE40" s="90">
        <f t="shared" ca="1" si="24"/>
        <v>85000</v>
      </c>
      <c r="BF40" s="142">
        <f t="shared" ca="1" si="64"/>
        <v>0.61108002238388359</v>
      </c>
      <c r="BG40" s="142">
        <f t="shared" ca="1" si="65"/>
        <v>0.5551203133743704</v>
      </c>
      <c r="BH40" s="142">
        <f t="shared" ca="1" si="66"/>
        <v>0.4566312255176273</v>
      </c>
      <c r="BI40" s="142">
        <f t="shared" ca="1" si="67"/>
        <v>0.27979854504756574</v>
      </c>
      <c r="BJ40" s="143"/>
      <c r="BK40" s="128">
        <f ca="1">INDEX(商城宝箱!$L:$L,MATCH(BC40,商城宝箱!$N:$N,1))</f>
        <v>9</v>
      </c>
      <c r="BL40" s="90">
        <f ca="1">_xlfn.IFNA(INDEX(商城宝箱!T:T,MATCH(玩家节奏2!$BK40,商城宝箱!$L:$L,0)),0)+($BC40-INDEX(商城宝箱!$N:$N,MATCH(玩家节奏2!$BK40,商城宝箱!$L:$L,0)))/$BK$5*INDEX(商城宝箱!E$23:E$42,MATCH(玩家节奏2!$BK40+1,商城宝箱!$C$23:$C$42,0))</f>
        <v>111687.5</v>
      </c>
      <c r="BM40" s="90">
        <f ca="1">_xlfn.IFNA(INDEX(商城宝箱!U:U,MATCH(玩家节奏2!$BK40,商城宝箱!$L:$L,0)),0)+($BC40-INDEX(商城宝箱!$N:$N,MATCH(玩家节奏2!$BK40,商城宝箱!$L:$L,0)))/$BK$5*INDEX(商城宝箱!F$23:F$42,MATCH(玩家节奏2!$BK40+1,商城宝箱!$C$23:$C$42,0))</f>
        <v>64115</v>
      </c>
      <c r="BN40" s="90">
        <f ca="1">_xlfn.IFNA(INDEX(商城宝箱!V:V,MATCH(玩家节奏2!$BK40,商城宝箱!$L:$L,0)),0)+($BC40-INDEX(商城宝箱!$N:$N,MATCH(玩家节奏2!$BK40,商城宝箱!$L:$L,0)))/$BK$5*INDEX(商城宝箱!G$23:G$42,MATCH(玩家节奏2!$BK40+1,商城宝箱!$C$23:$C$42,0))</f>
        <v>42605.75</v>
      </c>
      <c r="BO40" s="90">
        <f ca="1">_xlfn.IFNA(INDEX(商城宝箱!W:W,MATCH(玩家节奏2!$BK40,商城宝箱!$L:$L,0)),0)+($BC40-INDEX(商城宝箱!$N:$N,MATCH(玩家节奏2!$BK40,商城宝箱!$L:$L,0)))/$BK$5*INDEX(商城宝箱!H$23:H$42,MATCH(玩家节奏2!$BK40+1,商城宝箱!$C$23:$C$42,0))</f>
        <v>5346.5</v>
      </c>
      <c r="BQ40" s="128">
        <f t="shared" si="4"/>
        <v>5942800</v>
      </c>
      <c r="BR40" s="90">
        <f t="shared" si="5"/>
        <v>441850</v>
      </c>
      <c r="BS40" s="90">
        <f t="shared" ca="1" si="68"/>
        <v>1115676</v>
      </c>
      <c r="BT40" s="90">
        <f t="shared" si="69"/>
        <v>61000</v>
      </c>
      <c r="BU40" s="90">
        <f t="shared" si="8"/>
        <v>496000</v>
      </c>
      <c r="BV40" s="90">
        <f t="shared" si="9"/>
        <v>102000</v>
      </c>
      <c r="BW40" s="90">
        <f t="shared" ca="1" si="25"/>
        <v>111687.5</v>
      </c>
      <c r="BX40" s="90">
        <f t="shared" ca="1" si="26"/>
        <v>8271013.5</v>
      </c>
      <c r="BY40" s="142">
        <f t="shared" ca="1" si="27"/>
        <v>0.71850928547027515</v>
      </c>
      <c r="BZ40" s="142">
        <f t="shared" ca="1" si="27"/>
        <v>5.3421506324466767E-2</v>
      </c>
      <c r="CA40" s="142">
        <f t="shared" ca="1" si="27"/>
        <v>0.1348898777640733</v>
      </c>
      <c r="CB40" s="142">
        <f t="shared" ca="1" si="27"/>
        <v>7.3751542057088892E-3</v>
      </c>
      <c r="CC40" s="142">
        <f t="shared" ca="1" si="27"/>
        <v>5.9968466984124738E-2</v>
      </c>
      <c r="CD40" s="142">
        <f t="shared" ca="1" si="27"/>
        <v>1.2332225065283716E-2</v>
      </c>
      <c r="CE40" s="142">
        <f t="shared" ca="1" si="27"/>
        <v>1.3503484186067402E-2</v>
      </c>
      <c r="CG40" s="128">
        <f t="shared" si="28"/>
        <v>144</v>
      </c>
      <c r="CH40" s="90">
        <f ca="1">INDEX(角色升级!$A:$A,MATCH(玩家节奏2!$BX40,角色升级!$J:$J,1))</f>
        <v>676</v>
      </c>
      <c r="CI40" s="90">
        <f ca="1">INDEX(角色升级!$O:$O,MATCH(玩家节奏2!$BX40,角色升级!$J:$J,1))</f>
        <v>37335.507124999996</v>
      </c>
      <c r="CJ40" s="90">
        <f>INDEX(关卡对比!$J:$J,MATCH(玩家节奏2!N40,关卡对比!$A:$A,0))</f>
        <v>58200</v>
      </c>
      <c r="CK40" s="147">
        <f t="shared" ca="1" si="29"/>
        <v>1.5588378056616528</v>
      </c>
      <c r="CL40" s="128">
        <f ca="1">INDEX(角色升级!$P:$P,MATCH(玩家节奏2!$CH40,角色升级!$A:$A,0))</f>
        <v>14300</v>
      </c>
      <c r="CM40" s="90">
        <f ca="1">INDEX(角色升级!Q:Q,MATCH(玩家节奏2!$CH40,角色升级!$A:$A,0))</f>
        <v>1.1000000000000001</v>
      </c>
      <c r="CO40" s="128">
        <f t="shared" si="30"/>
        <v>40674</v>
      </c>
      <c r="CP40" s="90">
        <f t="shared" si="31"/>
        <v>32046</v>
      </c>
      <c r="CQ40" s="90">
        <f t="shared" si="32"/>
        <v>22372</v>
      </c>
      <c r="CR40" s="90">
        <f t="shared" ca="1" si="33"/>
        <v>64115</v>
      </c>
      <c r="CS40" s="90">
        <f t="shared" ca="1" si="34"/>
        <v>159207</v>
      </c>
      <c r="CT40" s="142">
        <f t="shared" ca="1" si="35"/>
        <v>0.25547871638809849</v>
      </c>
      <c r="CU40" s="142">
        <f t="shared" ca="1" si="35"/>
        <v>0.2012851193728919</v>
      </c>
      <c r="CV40" s="142">
        <f t="shared" ca="1" si="35"/>
        <v>0.14052145948356543</v>
      </c>
      <c r="CW40" s="142">
        <f t="shared" ca="1" si="35"/>
        <v>0.40271470475544419</v>
      </c>
      <c r="CY40" s="128">
        <f t="shared" si="36"/>
        <v>20338</v>
      </c>
      <c r="CZ40" s="90">
        <f t="shared" si="37"/>
        <v>15907</v>
      </c>
      <c r="DA40" s="90">
        <f t="shared" si="38"/>
        <v>13872</v>
      </c>
      <c r="DB40" s="90">
        <f t="shared" ca="1" si="58"/>
        <v>42605.75</v>
      </c>
      <c r="DC40" s="90">
        <f t="shared" ca="1" si="39"/>
        <v>92722.75</v>
      </c>
      <c r="DD40" s="142">
        <f t="shared" ca="1" si="40"/>
        <v>0.21934207085100474</v>
      </c>
      <c r="DE40" s="142">
        <f t="shared" ca="1" si="40"/>
        <v>0.17155444591537675</v>
      </c>
      <c r="DF40" s="142">
        <f t="shared" ca="1" si="40"/>
        <v>0.14960729702257536</v>
      </c>
      <c r="DG40" s="142">
        <f t="shared" ca="1" si="40"/>
        <v>0.45949618621104316</v>
      </c>
      <c r="DI40" s="128">
        <f t="shared" si="41"/>
        <v>9733</v>
      </c>
      <c r="DJ40" s="90">
        <f t="shared" si="42"/>
        <v>7651</v>
      </c>
      <c r="DK40" s="90">
        <f t="shared" si="43"/>
        <v>4998</v>
      </c>
      <c r="DL40" s="90">
        <f t="shared" ca="1" si="44"/>
        <v>5346.5</v>
      </c>
      <c r="DM40" s="90">
        <f t="shared" ca="1" si="45"/>
        <v>27728.5</v>
      </c>
      <c r="DN40" s="142">
        <f t="shared" ca="1" si="46"/>
        <v>0.35101069296932758</v>
      </c>
      <c r="DO40" s="142">
        <f t="shared" ca="1" si="46"/>
        <v>0.2759254918224931</v>
      </c>
      <c r="DP40" s="142">
        <f t="shared" ca="1" si="46"/>
        <v>0.18024775952539807</v>
      </c>
      <c r="DQ40" s="142">
        <f t="shared" ca="1" si="46"/>
        <v>0.19281605568278126</v>
      </c>
      <c r="DS40" s="128">
        <f t="shared" ca="1" si="47"/>
        <v>159207</v>
      </c>
      <c r="DT40" s="90">
        <f t="shared" ca="1" si="48"/>
        <v>92722.75</v>
      </c>
      <c r="DU40" s="90">
        <f t="shared" ca="1" si="49"/>
        <v>27728.5</v>
      </c>
      <c r="DV40" s="90">
        <f t="shared" si="50"/>
        <v>496</v>
      </c>
      <c r="DW40" s="90">
        <f ca="1">_xlfn.IFNA(INDEX(武器升级消耗!$H:$H,MATCH(玩家节奏2!DS40/玩家节奏2!DS$5,武器升级消耗!M:M,1)),0)</f>
        <v>36</v>
      </c>
      <c r="DX40" s="90">
        <f ca="1">_xlfn.IFNA(INDEX(武器升级消耗!$H:$H,MATCH(玩家节奏2!DT40/玩家节奏2!DT$5,武器升级消耗!N:N,1)),0)</f>
        <v>33</v>
      </c>
      <c r="DY40" s="90">
        <f ca="1">_xlfn.IFNA(INDEX(武器升级消耗!$H:$H,MATCH(玩家节奏2!DU40/玩家节奏2!DU$5,武器升级消耗!O:O,1)),0)</f>
        <v>23</v>
      </c>
      <c r="DZ40" s="90">
        <f>_xlfn.IFNA(INDEX(武器升级消耗!$H:$H,MATCH(玩家节奏2!DV40/玩家节奏2!DV$5,武器升级消耗!P:P,1)),0)</f>
        <v>16</v>
      </c>
      <c r="EA40" s="90">
        <f ca="1">_xlfn.IFNA(INDEX(武器升级消耗!$Q:$Q,MATCH(玩家节奏2!DW40,武器升级消耗!$H:$H,0))*2*EA$4,0)</f>
        <v>4.8</v>
      </c>
      <c r="EB40" s="90">
        <f ca="1">_xlfn.IFNA(INDEX(武器升级消耗!$Q:$Q,MATCH(玩家节奏2!DX40,武器升级消耗!$H:$H,0))*2*EB$4,0)</f>
        <v>5.5500000000000007</v>
      </c>
      <c r="EC40" s="90">
        <f ca="1">_xlfn.IFNA(INDEX(武器升级消耗!$Q:$Q,MATCH(玩家节奏2!DY40,武器升级消耗!$H:$H,0))*2*EC$4,0)</f>
        <v>5.9400000000000013</v>
      </c>
      <c r="ED40" s="90">
        <f>_xlfn.IFNA(INDEX(武器升级消耗!$Q:$Q,MATCH(玩家节奏2!DZ40,武器升级消耗!$H:$H,0))*2*ED$4,0)</f>
        <v>6</v>
      </c>
      <c r="EF40" s="128">
        <f t="shared" si="70"/>
        <v>0</v>
      </c>
      <c r="EG40" s="90">
        <f t="shared" si="71"/>
        <v>0</v>
      </c>
      <c r="EH40" s="90">
        <v>102</v>
      </c>
      <c r="EI40" s="90">
        <v>102</v>
      </c>
      <c r="EJ40" s="90">
        <f>_xlfn.IFNA(INDEX(皮肤宠物!$J$4:$J$13,MATCH(EF40+EH40,皮肤宠物!$L$4:$L$13,1)),0)</f>
        <v>5</v>
      </c>
      <c r="EK40" s="90">
        <f>_xlfn.IFNA(INDEX(皮肤宠物!$J$4:$J$13,MATCH(EG40+EI40,皮肤宠物!$L$4:$L$13,1)),0)</f>
        <v>5</v>
      </c>
      <c r="EL40" s="90">
        <f>_xlfn.IFNA(INDEX(皮肤宠物!$N$4:$N$13,MATCH(EF40+EH40,皮肤宠物!$L$4:$L$13,1)),1)</f>
        <v>1.6500000000000001</v>
      </c>
      <c r="EM40" s="90">
        <f>_xlfn.IFNA(INDEX(皮肤宠物!$N$4:$N$13,MATCH(EG40+EI40,皮肤宠物!$L$4:$L$13,1)),1)</f>
        <v>1.6500000000000001</v>
      </c>
      <c r="EO40" s="128">
        <v>102</v>
      </c>
      <c r="EP40" s="90">
        <v>34</v>
      </c>
      <c r="EQ40" s="90">
        <f t="shared" ca="1" si="51"/>
        <v>40325</v>
      </c>
      <c r="ER40" s="90">
        <f t="shared" si="72"/>
        <v>0</v>
      </c>
      <c r="ES40" s="90">
        <f t="shared" ca="1" si="52"/>
        <v>437.25</v>
      </c>
      <c r="ET40" s="90">
        <f ca="1">$ES40*ET$5*皮肤宠物!$J$75/4</f>
        <v>1443.3622500000001</v>
      </c>
      <c r="EU40" s="90">
        <f ca="1">$ES40*EU$5*皮肤宠物!$J$76/4</f>
        <v>240.92475000000002</v>
      </c>
      <c r="EV40" s="90">
        <f ca="1">$ES40*EV$5*皮肤宠物!$J$77/4</f>
        <v>65.259562500000001</v>
      </c>
      <c r="EW40" s="90">
        <f ca="1">_xlfn.IFNA(INDEX(皮肤宠物!$H$18:$H$67,MATCH(ET40,皮肤宠物!L$18:L$67,1)),0)</f>
        <v>13</v>
      </c>
      <c r="EX40" s="90">
        <f ca="1">_xlfn.IFNA(INDEX(皮肤宠物!$H$18:$H$67,MATCH(EU40,皮肤宠物!M$18:M$67,1)),0)</f>
        <v>10</v>
      </c>
      <c r="EY40" s="90">
        <f ca="1">_xlfn.IFNA(INDEX(皮肤宠物!$H$18:$H$67,MATCH(EV40,皮肤宠物!N$18:N$67,1)),0)</f>
        <v>7</v>
      </c>
      <c r="EZ40" s="90">
        <f ca="1">_xlfn.IFNA(INDEX(皮肤宠物!C$18:C$67,MATCH(EW40,皮肤宠物!$A$18:$A$67,0))+1,1)</f>
        <v>1.1299999999999999</v>
      </c>
      <c r="FA40" s="90">
        <f ca="1">_xlfn.IFNA(INDEX(皮肤宠物!D$18:D$67,MATCH(EX40,皮肤宠物!$A$18:$A$67,0))+1,1)</f>
        <v>1.2</v>
      </c>
      <c r="FB40" s="90">
        <f ca="1">_xlfn.IFNA(INDEX(皮肤宠物!E$18:E$67,MATCH(EY40,皮肤宠物!$A$18:$A$67,0))+1,1)</f>
        <v>1.28</v>
      </c>
      <c r="FD40" s="90">
        <f t="shared" ca="1" si="53"/>
        <v>5.9400000000000013</v>
      </c>
      <c r="FE40" s="90">
        <f t="shared" si="54"/>
        <v>1.6500000000000001</v>
      </c>
      <c r="FF40" s="90">
        <f t="shared" ca="1" si="55"/>
        <v>1.28</v>
      </c>
      <c r="FG40" s="90">
        <f t="shared" ca="1" si="56"/>
        <v>12.545280000000004</v>
      </c>
    </row>
    <row r="41" spans="1:163" x14ac:dyDescent="0.25">
      <c r="A41" s="123">
        <v>35</v>
      </c>
      <c r="B41" s="123">
        <f>INDEX(关卡对比!$Y:$Y,MATCH(关卡对比!Z41,关卡对比!$AA:$AA,1))</f>
        <v>24</v>
      </c>
      <c r="C41" s="124">
        <f>INDEX(关卡对比!$Y:$Y,MATCH(关卡对比!Z41,关卡对比!$AB:$AB,1))</f>
        <v>19</v>
      </c>
      <c r="D41" s="125">
        <f t="shared" si="63"/>
        <v>125.5</v>
      </c>
      <c r="E41" s="125">
        <v>2</v>
      </c>
      <c r="F41" s="128">
        <v>16</v>
      </c>
      <c r="G41" s="90">
        <v>16</v>
      </c>
      <c r="H41" s="90">
        <v>5</v>
      </c>
      <c r="J41" s="128">
        <v>35</v>
      </c>
      <c r="K41" s="90">
        <f t="shared" si="17"/>
        <v>16</v>
      </c>
      <c r="L41" s="90">
        <f t="shared" si="18"/>
        <v>16</v>
      </c>
      <c r="M41" s="90">
        <f t="shared" si="19"/>
        <v>5</v>
      </c>
      <c r="N41" s="140">
        <f>INDEX($A:$A,MATCH(SUM($K$7:K41),$D:$D,1))</f>
        <v>148</v>
      </c>
      <c r="O41" s="140">
        <v>0</v>
      </c>
      <c r="P41" s="141">
        <v>0</v>
      </c>
      <c r="Q41" s="126">
        <f>_xlfn.MAXIFS(关卡产出!X:X,关卡产出!$A:$A,玩家节奏2!$N$6,关卡产出!$B:$B,玩家节奏2!$N41)+_xlfn.MAXIFS(关卡产出!X:X,关卡产出!$A:$A,玩家节奏2!$O$6,关卡产出!$B:$B,玩家节奏2!$O41)+_xlfn.MAXIFS(关卡产出!X:X,关卡产出!$A:$A,玩家节奏2!$P$6,关卡产出!$B:$B,玩家节奏2!$P41)</f>
        <v>28100</v>
      </c>
      <c r="R41" s="90">
        <f>_xlfn.MAXIFS(关卡产出!Y:Y,关卡产出!$A:$A,玩家节奏2!$N$6,关卡产出!$B:$B,玩家节奏2!$N41)+_xlfn.MAXIFS(关卡产出!Y:Y,关卡产出!$A:$A,玩家节奏2!$O$6,关卡产出!$B:$B,玩家节奏2!$O41)+_xlfn.MAXIFS(关卡产出!Y:Y,关卡产出!$A:$A,玩家节奏2!$P$6,关卡产出!$B:$B,玩家节奏2!$P41)</f>
        <v>6285200</v>
      </c>
      <c r="S41" s="90">
        <f>_xlfn.MAXIFS(关卡产出!Z:Z,关卡产出!$A:$A,玩家节奏2!$N$6,关卡产出!$B:$B,玩家节奏2!$N41)+_xlfn.MAXIFS(关卡产出!Z:Z,关卡产出!$A:$A,玩家节奏2!$O$6,关卡产出!$B:$B,玩家节奏2!$O41)+_xlfn.MAXIFS(关卡产出!Z:Z,关卡产出!$A:$A,玩家节奏2!$P$6,关卡产出!$B:$B,玩家节奏2!$P41)</f>
        <v>42986</v>
      </c>
      <c r="T41" s="90">
        <f>_xlfn.MAXIFS(关卡产出!AA:AA,关卡产出!$A:$A,玩家节奏2!$N$6,关卡产出!$B:$B,玩家节奏2!$N41)+_xlfn.MAXIFS(关卡产出!AA:AA,关卡产出!$A:$A,玩家节奏2!$O$6,关卡产出!$B:$B,玩家节奏2!$O41)+_xlfn.MAXIFS(关卡产出!AA:AA,关卡产出!$A:$A,玩家节奏2!$P$6,关卡产出!$B:$B,玩家节奏2!$P41)</f>
        <v>21494</v>
      </c>
      <c r="U41" s="90">
        <f>_xlfn.MAXIFS(关卡产出!AB:AB,关卡产出!$A:$A,玩家节奏2!$N$6,关卡产出!$B:$B,玩家节奏2!$N41)+_xlfn.MAXIFS(关卡产出!AB:AB,关卡产出!$A:$A,玩家节奏2!$O$6,关卡产出!$B:$B,玩家节奏2!$O41)+_xlfn.MAXIFS(关卡产出!AB:AB,关卡产出!$A:$A,玩家节奏2!$P$6,关卡产出!$B:$B,玩家节奏2!$P41)</f>
        <v>10299</v>
      </c>
      <c r="V41" s="130">
        <f>_xlfn.MAXIFS(关卡产出!AC:AC,关卡产出!$A:$A,玩家节奏2!$N$6,关卡产出!$B:$B,玩家节奏2!$N41)+_xlfn.MAXIFS(关卡产出!AC:AC,关卡产出!$A:$A,玩家节奏2!$O$6,关卡产出!$B:$B,玩家节奏2!$O41)+_xlfn.MAXIFS(关卡产出!AC:AC,关卡产出!$A:$A,玩家节奏2!$P$6,关卡产出!$B:$B,玩家节奏2!$P41)</f>
        <v>888</v>
      </c>
      <c r="W41" s="126">
        <f>INDEX(关卡产出!C$8:C$207,MATCH(玩家节奏2!$N41,关卡产出!$B$8:$B$207,0))*$K41</f>
        <v>1872</v>
      </c>
      <c r="X41" s="126">
        <f>INDEX(关卡产出!D$8:D$207,MATCH(玩家节奏2!$N41,关卡产出!$B$8:$B$207,0))*$K41</f>
        <v>928</v>
      </c>
      <c r="Y41" s="126">
        <f>INDEX(关卡产出!E$8:E$207,MATCH(玩家节奏2!$N41,关卡产出!$B$8:$B$207,0))*$K41</f>
        <v>464</v>
      </c>
      <c r="Z41" s="144">
        <f>INDEX(关卡产出!F$8:F$207,MATCH(玩家节奏2!$N41,关卡产出!$B$8:$B$207,0))*$K41</f>
        <v>24480</v>
      </c>
      <c r="AA41" s="126">
        <f>SUM(W$7:W41)</f>
        <v>33918</v>
      </c>
      <c r="AB41" s="126">
        <f>SUM(X$7:X41)</f>
        <v>16835</v>
      </c>
      <c r="AC41" s="126">
        <f>SUM(Y$7:Y41)</f>
        <v>8115</v>
      </c>
      <c r="AD41" s="177">
        <f>SUM(Z$7:Z41)</f>
        <v>466330</v>
      </c>
      <c r="AE41" s="128">
        <f>INDEX(图鉴!AQ:AQ,MATCH($N41,图鉴!$S:$S,0))*34</f>
        <v>714</v>
      </c>
      <c r="AF41" s="90">
        <f>INDEX(图鉴!AR:AR,MATCH($N41,图鉴!$S:$S,0))*34</f>
        <v>510</v>
      </c>
      <c r="AG41" s="90">
        <f>INDEX(图鉴!AS:AS,MATCH($N41,图鉴!$S:$S,0))*34</f>
        <v>204</v>
      </c>
      <c r="AH41" s="129">
        <f ca="1">INDEX(图鉴!AT:AT,MATCH($N41,图鉴!$S:$S,0))*34</f>
        <v>49980</v>
      </c>
      <c r="AI41" s="128">
        <f>SUM($AE$7:AE41)</f>
        <v>23086</v>
      </c>
      <c r="AJ41" s="90">
        <f>SUM(AF$7:AF41)</f>
        <v>14382</v>
      </c>
      <c r="AK41" s="90">
        <f>SUM(AG$7:AG41)</f>
        <v>5202</v>
      </c>
      <c r="AL41" s="130">
        <f ca="1">SUM(AH$7:AH41)</f>
        <v>1165656</v>
      </c>
      <c r="AM41" s="133">
        <f>IF(M41=0,0,INDEX(关卡产出!$AU$11:$AU$15,MATCH(玩家节奏2!N41,关卡产出!$AW$11:$AW$15,1))*M41)</f>
        <v>61000</v>
      </c>
      <c r="AN41" s="126">
        <f>IF(L41=0,0,$L41*关卡产出!AU$21)</f>
        <v>16000</v>
      </c>
      <c r="AO41" s="90">
        <f>IF(M41=0,0,$L41*关卡产出!AV$21)</f>
        <v>800</v>
      </c>
      <c r="AP41" s="129">
        <f>IF(N41=0,0,$L41*关卡产出!AW$21)</f>
        <v>16</v>
      </c>
      <c r="AQ41" s="138">
        <f>SUM(AN$7:AN41)</f>
        <v>512000</v>
      </c>
      <c r="AR41" s="126">
        <f>SUM(AO$7:AO41)</f>
        <v>25600</v>
      </c>
      <c r="AS41" s="129">
        <f>SUM(AP$7:AP41)</f>
        <v>512</v>
      </c>
      <c r="AT41" s="128">
        <v>3000</v>
      </c>
      <c r="AU41" s="129">
        <v>600</v>
      </c>
      <c r="AV41" s="128">
        <f>SUM(AT$7:AT41)</f>
        <v>105000</v>
      </c>
      <c r="AW41" s="90">
        <f>SUM(AU$7:AU41)</f>
        <v>21000</v>
      </c>
      <c r="AY41" s="128">
        <f t="shared" si="20"/>
        <v>28100</v>
      </c>
      <c r="AZ41" s="90">
        <f t="shared" si="21"/>
        <v>25600</v>
      </c>
      <c r="BA41" s="90">
        <f t="shared" si="22"/>
        <v>21000</v>
      </c>
      <c r="BB41" s="90">
        <f t="shared" ca="1" si="57"/>
        <v>14300</v>
      </c>
      <c r="BC41" s="90">
        <f t="shared" ca="1" si="60"/>
        <v>46675</v>
      </c>
      <c r="BD41" s="90">
        <f t="shared" ca="1" si="61"/>
        <v>42325</v>
      </c>
      <c r="BE41" s="90">
        <f t="shared" ca="1" si="24"/>
        <v>89000</v>
      </c>
      <c r="BF41" s="142">
        <f t="shared" ca="1" si="64"/>
        <v>0.60203535083020887</v>
      </c>
      <c r="BG41" s="142">
        <f t="shared" ca="1" si="65"/>
        <v>0.54847348687734332</v>
      </c>
      <c r="BH41" s="142">
        <f t="shared" ca="1" si="66"/>
        <v>0.44991965720407068</v>
      </c>
      <c r="BI41" s="142">
        <f t="shared" ca="1" si="67"/>
        <v>0.306373861810391</v>
      </c>
      <c r="BJ41" s="143"/>
      <c r="BK41" s="128">
        <f ca="1">INDEX(商城宝箱!$L:$L,MATCH(BC41,商城宝箱!$N:$N,1))</f>
        <v>9</v>
      </c>
      <c r="BL41" s="90">
        <f ca="1">_xlfn.IFNA(INDEX(商城宝箱!T:T,MATCH(玩家节奏2!$BK41,商城宝箱!$L:$L,0)),0)+($BC41-INDEX(商城宝箱!$N:$N,MATCH(玩家节奏2!$BK41,商城宝箱!$L:$L,0)))/$BK$5*INDEX(商城宝箱!E$23:E$42,MATCH(玩家节奏2!$BK41+1,商城宝箱!$C$23:$C$42,0))</f>
        <v>116687.5</v>
      </c>
      <c r="BM41" s="90">
        <f ca="1">_xlfn.IFNA(INDEX(商城宝箱!U:U,MATCH(玩家节奏2!$BK41,商城宝箱!$L:$L,0)),0)+($BC41-INDEX(商城宝箱!$N:$N,MATCH(玩家节奏2!$BK41,商城宝箱!$L:$L,0)))/$BK$5*INDEX(商城宝箱!F$23:F$42,MATCH(玩家节奏2!$BK41+1,商城宝箱!$C$23:$C$42,0))</f>
        <v>69515</v>
      </c>
      <c r="BN41" s="90">
        <f ca="1">_xlfn.IFNA(INDEX(商城宝箱!V:V,MATCH(玩家节奏2!$BK41,商城宝箱!$L:$L,0)),0)+($BC41-INDEX(商城宝箱!$N:$N,MATCH(玩家节奏2!$BK41,商城宝箱!$L:$L,0)))/$BK$5*INDEX(商城宝箱!G$23:G$42,MATCH(玩家节奏2!$BK41+1,商城宝箱!$C$23:$C$42,0))</f>
        <v>45105.75</v>
      </c>
      <c r="BO41" s="90">
        <f ca="1">_xlfn.IFNA(INDEX(商城宝箱!W:W,MATCH(玩家节奏2!$BK41,商城宝箱!$L:$L,0)),0)+($BC41-INDEX(商城宝箱!$N:$N,MATCH(玩家节奏2!$BK41,商城宝箱!$L:$L,0)))/$BK$5*INDEX(商城宝箱!H$23:H$42,MATCH(玩家节奏2!$BK41+1,商城宝箱!$C$23:$C$42,0))</f>
        <v>5746.5</v>
      </c>
      <c r="BQ41" s="128">
        <f t="shared" si="4"/>
        <v>6285200</v>
      </c>
      <c r="BR41" s="90">
        <f t="shared" si="5"/>
        <v>466330</v>
      </c>
      <c r="BS41" s="90">
        <f t="shared" ca="1" si="68"/>
        <v>1165656</v>
      </c>
      <c r="BT41" s="90">
        <f t="shared" si="69"/>
        <v>61000</v>
      </c>
      <c r="BU41" s="90">
        <f t="shared" si="8"/>
        <v>512000</v>
      </c>
      <c r="BV41" s="90">
        <f t="shared" si="9"/>
        <v>105000</v>
      </c>
      <c r="BW41" s="90">
        <f t="shared" ca="1" si="25"/>
        <v>116687.5</v>
      </c>
      <c r="BX41" s="90">
        <f t="shared" ca="1" si="26"/>
        <v>8711873.5</v>
      </c>
      <c r="BY41" s="142">
        <f t="shared" ca="1" si="27"/>
        <v>0.72145216525469524</v>
      </c>
      <c r="BZ41" s="142">
        <f t="shared" ca="1" si="27"/>
        <v>5.3528095879720933E-2</v>
      </c>
      <c r="CA41" s="142">
        <f t="shared" ca="1" si="27"/>
        <v>0.1338008408868655</v>
      </c>
      <c r="CB41" s="142">
        <f t="shared" ca="1" si="27"/>
        <v>7.001938216848534E-3</v>
      </c>
      <c r="CC41" s="142">
        <f t="shared" ca="1" si="27"/>
        <v>5.8770366672564744E-2</v>
      </c>
      <c r="CD41" s="142">
        <f t="shared" ca="1" si="27"/>
        <v>1.2052516602772068E-2</v>
      </c>
      <c r="CE41" s="142">
        <f t="shared" ca="1" si="27"/>
        <v>1.3394076486533006E-2</v>
      </c>
      <c r="CG41" s="128">
        <f t="shared" si="28"/>
        <v>148</v>
      </c>
      <c r="CH41" s="90">
        <f ca="1">INDEX(角色升级!$A:$A,MATCH(玩家节奏2!$BX41,角色升级!$J:$J,1))</f>
        <v>691</v>
      </c>
      <c r="CI41" s="90">
        <f ca="1">INDEX(角色升级!$O:$O,MATCH(玩家节奏2!$BX41,角色升级!$J:$J,1))</f>
        <v>37941.257850000002</v>
      </c>
      <c r="CJ41" s="90">
        <f>INDEX(关卡对比!$J:$J,MATCH(玩家节奏2!N41,关卡对比!$A:$A,0))</f>
        <v>60200</v>
      </c>
      <c r="CK41" s="147">
        <f t="shared" ca="1" si="29"/>
        <v>1.5866632634584621</v>
      </c>
      <c r="CL41" s="128">
        <f ca="1">INDEX(角色升级!$P:$P,MATCH(玩家节奏2!$CH41,角色升级!$A:$A,0))</f>
        <v>14300</v>
      </c>
      <c r="CM41" s="90">
        <f ca="1">INDEX(角色升级!Q:Q,MATCH(玩家节奏2!$CH41,角色升级!$A:$A,0))</f>
        <v>1.2</v>
      </c>
      <c r="CO41" s="128">
        <f t="shared" si="30"/>
        <v>42986</v>
      </c>
      <c r="CP41" s="90">
        <f t="shared" si="31"/>
        <v>33918</v>
      </c>
      <c r="CQ41" s="90">
        <f t="shared" si="32"/>
        <v>23086</v>
      </c>
      <c r="CR41" s="90">
        <f t="shared" ca="1" si="33"/>
        <v>69515</v>
      </c>
      <c r="CS41" s="90">
        <f t="shared" ca="1" si="34"/>
        <v>169505</v>
      </c>
      <c r="CT41" s="142">
        <f t="shared" ca="1" si="35"/>
        <v>0.25359723901949793</v>
      </c>
      <c r="CU41" s="142">
        <f t="shared" ca="1" si="35"/>
        <v>0.20010029202678387</v>
      </c>
      <c r="CV41" s="142">
        <f t="shared" ca="1" si="35"/>
        <v>0.13619657237249638</v>
      </c>
      <c r="CW41" s="142">
        <f t="shared" ca="1" si="35"/>
        <v>0.41010589658122182</v>
      </c>
      <c r="CY41" s="128">
        <f t="shared" si="36"/>
        <v>21494</v>
      </c>
      <c r="CZ41" s="90">
        <f t="shared" si="37"/>
        <v>16835</v>
      </c>
      <c r="DA41" s="90">
        <f t="shared" si="38"/>
        <v>14382</v>
      </c>
      <c r="DB41" s="90">
        <f t="shared" ca="1" si="58"/>
        <v>45105.75</v>
      </c>
      <c r="DC41" s="90">
        <f t="shared" ca="1" si="39"/>
        <v>97816.75</v>
      </c>
      <c r="DD41" s="142">
        <f t="shared" ca="1" si="40"/>
        <v>0.21973741716014894</v>
      </c>
      <c r="DE41" s="142">
        <f t="shared" ca="1" si="40"/>
        <v>0.17210753781944299</v>
      </c>
      <c r="DF41" s="142">
        <f t="shared" ca="1" si="40"/>
        <v>0.1470300331998354</v>
      </c>
      <c r="DG41" s="142">
        <f t="shared" ca="1" si="40"/>
        <v>0.46112501182057264</v>
      </c>
      <c r="DI41" s="128">
        <f t="shared" si="41"/>
        <v>10299</v>
      </c>
      <c r="DJ41" s="90">
        <f t="shared" si="42"/>
        <v>8115</v>
      </c>
      <c r="DK41" s="90">
        <f t="shared" si="43"/>
        <v>5202</v>
      </c>
      <c r="DL41" s="90">
        <f t="shared" ca="1" si="44"/>
        <v>5746.5</v>
      </c>
      <c r="DM41" s="90">
        <f t="shared" ca="1" si="45"/>
        <v>29362.5</v>
      </c>
      <c r="DN41" s="142">
        <f t="shared" ca="1" si="46"/>
        <v>0.35075351213282246</v>
      </c>
      <c r="DO41" s="142">
        <f t="shared" ca="1" si="46"/>
        <v>0.27637292464878671</v>
      </c>
      <c r="DP41" s="142">
        <f t="shared" ca="1" si="46"/>
        <v>0.17716475095785442</v>
      </c>
      <c r="DQ41" s="142">
        <f t="shared" ca="1" si="46"/>
        <v>0.19570881226053641</v>
      </c>
      <c r="DS41" s="128">
        <f t="shared" ca="1" si="47"/>
        <v>169505</v>
      </c>
      <c r="DT41" s="90">
        <f t="shared" ca="1" si="48"/>
        <v>97816.75</v>
      </c>
      <c r="DU41" s="90">
        <f t="shared" ca="1" si="49"/>
        <v>29362.5</v>
      </c>
      <c r="DV41" s="90">
        <f t="shared" si="50"/>
        <v>512</v>
      </c>
      <c r="DW41" s="90">
        <f ca="1">_xlfn.IFNA(INDEX(武器升级消耗!$H:$H,MATCH(玩家节奏2!DS41/玩家节奏2!DS$5,武器升级消耗!M:M,1)),0)</f>
        <v>37</v>
      </c>
      <c r="DX41" s="90">
        <f ca="1">_xlfn.IFNA(INDEX(武器升级消耗!$H:$H,MATCH(玩家节奏2!DT41/玩家节奏2!DT$5,武器升级消耗!N:N,1)),0)</f>
        <v>34</v>
      </c>
      <c r="DY41" s="90">
        <f ca="1">_xlfn.IFNA(INDEX(武器升级消耗!$H:$H,MATCH(玩家节奏2!DU41/玩家节奏2!DU$5,武器升级消耗!O:O,1)),0)</f>
        <v>24</v>
      </c>
      <c r="DZ41" s="90">
        <f>_xlfn.IFNA(INDEX(武器升级消耗!$H:$H,MATCH(玩家节奏2!DV41/玩家节奏2!DV$5,武器升级消耗!P:P,1)),0)</f>
        <v>16</v>
      </c>
      <c r="EA41" s="90">
        <f ca="1">_xlfn.IFNA(INDEX(武器升级消耗!$Q:$Q,MATCH(玩家节奏2!DW41,武器升级消耗!$H:$H,0))*2*EA$4,0)</f>
        <v>4.919999999999999</v>
      </c>
      <c r="EB41" s="90">
        <f ca="1">_xlfn.IFNA(INDEX(武器升级消耗!$Q:$Q,MATCH(玩家节奏2!DX41,武器升级消耗!$H:$H,0))*2*EB$4,0)</f>
        <v>5.6999999999999993</v>
      </c>
      <c r="EC41" s="90">
        <f ca="1">_xlfn.IFNA(INDEX(武器升级消耗!$Q:$Q,MATCH(玩家节奏2!DY41,武器升级消耗!$H:$H,0))*2*EC$4,0)</f>
        <v>6.16</v>
      </c>
      <c r="ED41" s="90">
        <f>_xlfn.IFNA(INDEX(武器升级消耗!$Q:$Q,MATCH(玩家节奏2!DZ41,武器升级消耗!$H:$H,0))*2*ED$4,0)</f>
        <v>6</v>
      </c>
      <c r="EF41" s="128">
        <f t="shared" si="70"/>
        <v>0</v>
      </c>
      <c r="EG41" s="90">
        <f t="shared" si="71"/>
        <v>0</v>
      </c>
      <c r="EH41" s="90">
        <v>105</v>
      </c>
      <c r="EI41" s="90">
        <v>105</v>
      </c>
      <c r="EJ41" s="90">
        <f>_xlfn.IFNA(INDEX(皮肤宠物!$J$4:$J$13,MATCH(EF41+EH41,皮肤宠物!$L$4:$L$13,1)),0)</f>
        <v>5</v>
      </c>
      <c r="EK41" s="90">
        <f>_xlfn.IFNA(INDEX(皮肤宠物!$J$4:$J$13,MATCH(EG41+EI41,皮肤宠物!$L$4:$L$13,1)),0)</f>
        <v>5</v>
      </c>
      <c r="EL41" s="90">
        <f>_xlfn.IFNA(INDEX(皮肤宠物!$N$4:$N$13,MATCH(EF41+EH41,皮肤宠物!$L$4:$L$13,1)),1)</f>
        <v>1.6500000000000001</v>
      </c>
      <c r="EM41" s="90">
        <f>_xlfn.IFNA(INDEX(皮肤宠物!$N$4:$N$13,MATCH(EG41+EI41,皮肤宠物!$L$4:$L$13,1)),1)</f>
        <v>1.6500000000000001</v>
      </c>
      <c r="EO41" s="128">
        <v>105</v>
      </c>
      <c r="EP41" s="90">
        <v>35</v>
      </c>
      <c r="EQ41" s="90">
        <f t="shared" ca="1" si="51"/>
        <v>42325</v>
      </c>
      <c r="ER41" s="90">
        <f t="shared" si="72"/>
        <v>0</v>
      </c>
      <c r="ES41" s="90">
        <f t="shared" ca="1" si="52"/>
        <v>458.25</v>
      </c>
      <c r="ET41" s="90">
        <f ca="1">$ES41*ET$5*皮肤宠物!$J$75/4</f>
        <v>1512.68325</v>
      </c>
      <c r="EU41" s="90">
        <f ca="1">$ES41*EU$5*皮肤宠物!$J$76/4</f>
        <v>252.49575000000002</v>
      </c>
      <c r="EV41" s="90">
        <f ca="1">$ES41*EV$5*皮肤宠物!$J$77/4</f>
        <v>68.39381250000001</v>
      </c>
      <c r="EW41" s="90">
        <f ca="1">_xlfn.IFNA(INDEX(皮肤宠物!$H$18:$H$67,MATCH(ET41,皮肤宠物!L$18:L$67,1)),0)</f>
        <v>13</v>
      </c>
      <c r="EX41" s="90">
        <f ca="1">_xlfn.IFNA(INDEX(皮肤宠物!$H$18:$H$67,MATCH(EU41,皮肤宠物!M$18:M$67,1)),0)</f>
        <v>10</v>
      </c>
      <c r="EY41" s="90">
        <f ca="1">_xlfn.IFNA(INDEX(皮肤宠物!$H$18:$H$67,MATCH(EV41,皮肤宠物!N$18:N$67,1)),0)</f>
        <v>7</v>
      </c>
      <c r="EZ41" s="90">
        <f ca="1">_xlfn.IFNA(INDEX(皮肤宠物!C$18:C$67,MATCH(EW41,皮肤宠物!$A$18:$A$67,0))+1,1)</f>
        <v>1.1299999999999999</v>
      </c>
      <c r="FA41" s="90">
        <f ca="1">_xlfn.IFNA(INDEX(皮肤宠物!D$18:D$67,MATCH(EX41,皮肤宠物!$A$18:$A$67,0))+1,1)</f>
        <v>1.2</v>
      </c>
      <c r="FB41" s="90">
        <f ca="1">_xlfn.IFNA(INDEX(皮肤宠物!E$18:E$67,MATCH(EY41,皮肤宠物!$A$18:$A$67,0))+1,1)</f>
        <v>1.28</v>
      </c>
      <c r="FD41" s="90">
        <f t="shared" ca="1" si="53"/>
        <v>6.16</v>
      </c>
      <c r="FE41" s="90">
        <f t="shared" si="54"/>
        <v>1.6500000000000001</v>
      </c>
      <c r="FF41" s="90">
        <f t="shared" ca="1" si="55"/>
        <v>1.28</v>
      </c>
      <c r="FG41" s="90">
        <f t="shared" ca="1" si="56"/>
        <v>13.009920000000001</v>
      </c>
    </row>
    <row r="42" spans="1:163" x14ac:dyDescent="0.25">
      <c r="A42" s="123">
        <v>36</v>
      </c>
      <c r="B42" s="123">
        <f>INDEX(关卡对比!$Y:$Y,MATCH(关卡对比!Z42,关卡对比!$AA:$AA,1))</f>
        <v>25</v>
      </c>
      <c r="C42" s="124">
        <f>INDEX(关卡对比!$Y:$Y,MATCH(关卡对比!Z42,关卡对比!$AB:$AB,1))</f>
        <v>20</v>
      </c>
      <c r="D42" s="125">
        <f t="shared" si="63"/>
        <v>131.5</v>
      </c>
      <c r="E42" s="125">
        <v>2</v>
      </c>
      <c r="F42" s="128">
        <v>16</v>
      </c>
      <c r="G42" s="90">
        <v>16</v>
      </c>
      <c r="H42" s="90">
        <v>5</v>
      </c>
      <c r="J42" s="128">
        <v>36</v>
      </c>
      <c r="K42" s="90">
        <f t="shared" si="17"/>
        <v>16</v>
      </c>
      <c r="L42" s="90">
        <f t="shared" si="18"/>
        <v>16</v>
      </c>
      <c r="M42" s="90">
        <f t="shared" si="19"/>
        <v>5</v>
      </c>
      <c r="N42" s="140">
        <f>INDEX($A:$A,MATCH(SUM($K$7:K42),$D:$D,1))</f>
        <v>152</v>
      </c>
      <c r="O42" s="140">
        <v>0</v>
      </c>
      <c r="P42" s="141">
        <v>0</v>
      </c>
      <c r="Q42" s="126">
        <f>_xlfn.MAXIFS(关卡产出!X:X,关卡产出!$A:$A,玩家节奏2!$N$6,关卡产出!$B:$B,玩家节奏2!$N42)+_xlfn.MAXIFS(关卡产出!X:X,关卡产出!$A:$A,玩家节奏2!$O$6,关卡产出!$B:$B,玩家节奏2!$O42)+_xlfn.MAXIFS(关卡产出!X:X,关卡产出!$A:$A,玩家节奏2!$P$6,关卡产出!$B:$B,玩家节奏2!$P42)</f>
        <v>28900</v>
      </c>
      <c r="R42" s="90">
        <f>_xlfn.MAXIFS(关卡产出!Y:Y,关卡产出!$A:$A,玩家节奏2!$N$6,关卡产出!$B:$B,玩家节奏2!$N42)+_xlfn.MAXIFS(关卡产出!Y:Y,关卡产出!$A:$A,玩家节奏2!$O$6,关卡产出!$B:$B,玩家节奏2!$O42)+_xlfn.MAXIFS(关卡产出!Y:Y,关卡产出!$A:$A,玩家节奏2!$P$6,关卡产出!$B:$B,玩家节奏2!$P42)</f>
        <v>6637200</v>
      </c>
      <c r="S42" s="90">
        <f>_xlfn.MAXIFS(关卡产出!Z:Z,关卡产出!$A:$A,玩家节奏2!$N$6,关卡产出!$B:$B,玩家节奏2!$N42)+_xlfn.MAXIFS(关卡产出!Z:Z,关卡产出!$A:$A,玩家节奏2!$O$6,关卡产出!$B:$B,玩家节奏2!$O42)+_xlfn.MAXIFS(关卡产出!Z:Z,关卡产出!$A:$A,玩家节奏2!$P$6,关卡产出!$B:$B,玩家节奏2!$P42)</f>
        <v>45362</v>
      </c>
      <c r="T42" s="90">
        <f>_xlfn.MAXIFS(关卡产出!AA:AA,关卡产出!$A:$A,玩家节奏2!$N$6,关卡产出!$B:$B,玩家节奏2!$N42)+_xlfn.MAXIFS(关卡产出!AA:AA,关卡产出!$A:$A,玩家节奏2!$O$6,关卡产出!$B:$B,玩家节奏2!$O42)+_xlfn.MAXIFS(关卡产出!AA:AA,关卡产出!$A:$A,玩家节奏2!$P$6,关卡产出!$B:$B,玩家节奏2!$P42)</f>
        <v>22682</v>
      </c>
      <c r="U42" s="90">
        <f>_xlfn.MAXIFS(关卡产出!AB:AB,关卡产出!$A:$A,玩家节奏2!$N$6,关卡产出!$B:$B,玩家节奏2!$N42)+_xlfn.MAXIFS(关卡产出!AB:AB,关卡产出!$A:$A,玩家节奏2!$O$6,关卡产出!$B:$B,玩家节奏2!$O42)+_xlfn.MAXIFS(关卡产出!AB:AB,关卡产出!$A:$A,玩家节奏2!$P$6,关卡产出!$B:$B,玩家节奏2!$P42)</f>
        <v>10881</v>
      </c>
      <c r="V42" s="130">
        <f>_xlfn.MAXIFS(关卡产出!AC:AC,关卡产出!$A:$A,玩家节奏2!$N$6,关卡产出!$B:$B,玩家节奏2!$N42)+_xlfn.MAXIFS(关卡产出!AC:AC,关卡产出!$A:$A,玩家节奏2!$O$6,关卡产出!$B:$B,玩家节奏2!$O42)+_xlfn.MAXIFS(关卡产出!AC:AC,关卡产出!$A:$A,玩家节奏2!$P$6,关卡产出!$B:$B,玩家节奏2!$P42)</f>
        <v>912</v>
      </c>
      <c r="W42" s="126">
        <f>INDEX(关卡产出!C$8:C$207,MATCH(玩家节奏2!$N42,关卡产出!$B$8:$B$207,0))*$K42</f>
        <v>1920</v>
      </c>
      <c r="X42" s="126">
        <f>INDEX(关卡产出!D$8:D$207,MATCH(玩家节奏2!$N42,关卡产出!$B$8:$B$207,0))*$K42</f>
        <v>960</v>
      </c>
      <c r="Y42" s="126">
        <f>INDEX(关卡产出!E$8:E$207,MATCH(玩家节奏2!$N42,关卡产出!$B$8:$B$207,0))*$K42</f>
        <v>464</v>
      </c>
      <c r="Z42" s="144">
        <f>INDEX(关卡产出!F$8:F$207,MATCH(玩家节奏2!$N42,关卡产出!$B$8:$B$207,0))*$K42</f>
        <v>25120</v>
      </c>
      <c r="AA42" s="126">
        <f>SUM(W$7:W42)</f>
        <v>35838</v>
      </c>
      <c r="AB42" s="126">
        <f>SUM(X$7:X42)</f>
        <v>17795</v>
      </c>
      <c r="AC42" s="126">
        <f>SUM(Y$7:Y42)</f>
        <v>8579</v>
      </c>
      <c r="AD42" s="177">
        <f>SUM(Z$7:Z42)</f>
        <v>491450</v>
      </c>
      <c r="AE42" s="128">
        <f>INDEX(图鉴!AQ:AQ,MATCH($N42,图鉴!$S:$S,0))*34</f>
        <v>714</v>
      </c>
      <c r="AF42" s="90">
        <f>INDEX(图鉴!AR:AR,MATCH($N42,图鉴!$S:$S,0))*34</f>
        <v>510</v>
      </c>
      <c r="AG42" s="90">
        <f>INDEX(图鉴!AS:AS,MATCH($N42,图鉴!$S:$S,0))*34</f>
        <v>204</v>
      </c>
      <c r="AH42" s="129">
        <f ca="1">INDEX(图鉴!AT:AT,MATCH($N42,图鉴!$S:$S,0))*34</f>
        <v>49980</v>
      </c>
      <c r="AI42" s="128">
        <f>SUM($AE$7:AE42)</f>
        <v>23800</v>
      </c>
      <c r="AJ42" s="90">
        <f>SUM(AF$7:AF42)</f>
        <v>14892</v>
      </c>
      <c r="AK42" s="90">
        <f>SUM(AG$7:AG42)</f>
        <v>5406</v>
      </c>
      <c r="AL42" s="130">
        <f ca="1">SUM(AH$7:AH42)</f>
        <v>1215636</v>
      </c>
      <c r="AM42" s="133">
        <f>IF(M42=0,0,INDEX(关卡产出!$AU$11:$AU$15,MATCH(玩家节奏2!N42,关卡产出!$AW$11:$AW$15,1))*M42)</f>
        <v>61000</v>
      </c>
      <c r="AN42" s="126">
        <f>IF(L42=0,0,$L42*关卡产出!AU$21)</f>
        <v>16000</v>
      </c>
      <c r="AO42" s="90">
        <f>IF(M42=0,0,$L42*关卡产出!AV$21)</f>
        <v>800</v>
      </c>
      <c r="AP42" s="129">
        <f>IF(N42=0,0,$L42*关卡产出!AW$21)</f>
        <v>16</v>
      </c>
      <c r="AQ42" s="138">
        <f>SUM(AN$7:AN42)</f>
        <v>528000</v>
      </c>
      <c r="AR42" s="126">
        <f>SUM(AO$7:AO42)</f>
        <v>26400</v>
      </c>
      <c r="AS42" s="129">
        <f>SUM(AP$7:AP42)</f>
        <v>528</v>
      </c>
      <c r="AT42" s="128">
        <v>3000</v>
      </c>
      <c r="AU42" s="129">
        <v>600</v>
      </c>
      <c r="AV42" s="128">
        <f>SUM(AT$7:AT42)</f>
        <v>108000</v>
      </c>
      <c r="AW42" s="90">
        <f>SUM(AU$7:AU42)</f>
        <v>21600</v>
      </c>
      <c r="AY42" s="128">
        <f t="shared" si="20"/>
        <v>28900</v>
      </c>
      <c r="AZ42" s="90">
        <f t="shared" si="21"/>
        <v>26400</v>
      </c>
      <c r="BA42" s="90">
        <f t="shared" si="22"/>
        <v>21600</v>
      </c>
      <c r="BB42" s="90">
        <f t="shared" ca="1" si="57"/>
        <v>14300</v>
      </c>
      <c r="BC42" s="90">
        <f t="shared" ca="1" si="60"/>
        <v>47775</v>
      </c>
      <c r="BD42" s="90">
        <f t="shared" ca="1" si="61"/>
        <v>43425</v>
      </c>
      <c r="BE42" s="90">
        <f t="shared" ca="1" si="24"/>
        <v>91200</v>
      </c>
      <c r="BF42" s="142">
        <f t="shared" ca="1" si="64"/>
        <v>0.60491889063317639</v>
      </c>
      <c r="BG42" s="142">
        <f t="shared" ca="1" si="65"/>
        <v>0.55259026687598112</v>
      </c>
      <c r="BH42" s="142">
        <f t="shared" ca="1" si="66"/>
        <v>0.45211930926216642</v>
      </c>
      <c r="BI42" s="142">
        <f t="shared" ca="1" si="67"/>
        <v>0.29931972789115646</v>
      </c>
      <c r="BJ42" s="143"/>
      <c r="BK42" s="128">
        <f ca="1">INDEX(商城宝箱!$L:$L,MATCH(BC42,商城宝箱!$N:$N,1))</f>
        <v>9</v>
      </c>
      <c r="BL42" s="90">
        <f ca="1">_xlfn.IFNA(INDEX(商城宝箱!T:T,MATCH(玩家节奏2!$BK42,商城宝箱!$L:$L,0)),0)+($BC42-INDEX(商城宝箱!$N:$N,MATCH(玩家节奏2!$BK42,商城宝箱!$L:$L,0)))/$BK$5*INDEX(商城宝箱!E$23:E$42,MATCH(玩家节奏2!$BK42+1,商城宝箱!$C$23:$C$42,0))</f>
        <v>119437.5</v>
      </c>
      <c r="BM42" s="90">
        <f ca="1">_xlfn.IFNA(INDEX(商城宝箱!U:U,MATCH(玩家节奏2!$BK42,商城宝箱!$L:$L,0)),0)+($BC42-INDEX(商城宝箱!$N:$N,MATCH(玩家节奏2!$BK42,商城宝箱!$L:$L,0)))/$BK$5*INDEX(商城宝箱!F$23:F$42,MATCH(玩家节奏2!$BK42+1,商城宝箱!$C$23:$C$42,0))</f>
        <v>72485</v>
      </c>
      <c r="BN42" s="90">
        <f ca="1">_xlfn.IFNA(INDEX(商城宝箱!V:V,MATCH(玩家节奏2!$BK42,商城宝箱!$L:$L,0)),0)+($BC42-INDEX(商城宝箱!$N:$N,MATCH(玩家节奏2!$BK42,商城宝箱!$L:$L,0)))/$BK$5*INDEX(商城宝箱!G$23:G$42,MATCH(玩家节奏2!$BK42+1,商城宝箱!$C$23:$C$42,0))</f>
        <v>46480.75</v>
      </c>
      <c r="BO42" s="90">
        <f ca="1">_xlfn.IFNA(INDEX(商城宝箱!W:W,MATCH(玩家节奏2!$BK42,商城宝箱!$L:$L,0)),0)+($BC42-INDEX(商城宝箱!$N:$N,MATCH(玩家节奏2!$BK42,商城宝箱!$L:$L,0)))/$BK$5*INDEX(商城宝箱!H$23:H$42,MATCH(玩家节奏2!$BK42+1,商城宝箱!$C$23:$C$42,0))</f>
        <v>5966.5</v>
      </c>
      <c r="BQ42" s="128">
        <f t="shared" si="4"/>
        <v>6637200</v>
      </c>
      <c r="BR42" s="90">
        <f t="shared" si="5"/>
        <v>491450</v>
      </c>
      <c r="BS42" s="90">
        <f t="shared" ca="1" si="68"/>
        <v>1215636</v>
      </c>
      <c r="BT42" s="90">
        <f t="shared" si="69"/>
        <v>61000</v>
      </c>
      <c r="BU42" s="90">
        <f t="shared" si="8"/>
        <v>528000</v>
      </c>
      <c r="BV42" s="90">
        <f t="shared" si="9"/>
        <v>108000</v>
      </c>
      <c r="BW42" s="90">
        <f t="shared" ca="1" si="25"/>
        <v>119437.5</v>
      </c>
      <c r="BX42" s="90">
        <f t="shared" ca="1" si="26"/>
        <v>9160723.5</v>
      </c>
      <c r="BY42" s="142">
        <f t="shared" ca="1" si="27"/>
        <v>0.72452792620582862</v>
      </c>
      <c r="BZ42" s="142">
        <f t="shared" ca="1" si="27"/>
        <v>5.3647509391588993E-2</v>
      </c>
      <c r="CA42" s="142">
        <f t="shared" ca="1" si="27"/>
        <v>0.13270087237105235</v>
      </c>
      <c r="CB42" s="142">
        <f t="shared" ca="1" si="27"/>
        <v>6.6588626979080853E-3</v>
      </c>
      <c r="CC42" s="142">
        <f t="shared" ca="1" si="27"/>
        <v>5.763736892615523E-2</v>
      </c>
      <c r="CD42" s="142">
        <f t="shared" ca="1" si="27"/>
        <v>1.178946182580448E-2</v>
      </c>
      <c r="CE42" s="142">
        <f t="shared" ca="1" si="27"/>
        <v>1.3037998581662245E-2</v>
      </c>
      <c r="CG42" s="128">
        <f t="shared" si="28"/>
        <v>152</v>
      </c>
      <c r="CH42" s="90">
        <f ca="1">INDEX(角色升级!$A:$A,MATCH(玩家节奏2!$BX42,角色升级!$J:$J,1))</f>
        <v>700</v>
      </c>
      <c r="CI42" s="90">
        <f ca="1">INDEX(角色升级!$O:$O,MATCH(玩家节奏2!$BX42,角色升级!$J:$J,1))</f>
        <v>40899.854130000014</v>
      </c>
      <c r="CJ42" s="90">
        <f>INDEX(关卡对比!$J:$J,MATCH(玩家节奏2!N42,关卡对比!$A:$A,0))</f>
        <v>62200</v>
      </c>
      <c r="CK42" s="147">
        <f t="shared" ca="1" si="29"/>
        <v>1.5207878199833564</v>
      </c>
      <c r="CL42" s="128">
        <f ca="1">INDEX(角色升级!$P:$P,MATCH(玩家节奏2!$CH42,角色升级!$A:$A,0))</f>
        <v>16200</v>
      </c>
      <c r="CM42" s="90">
        <f ca="1">INDEX(角色升级!Q:Q,MATCH(玩家节奏2!$CH42,角色升级!$A:$A,0))</f>
        <v>1.2</v>
      </c>
      <c r="CO42" s="128">
        <f t="shared" si="30"/>
        <v>45362</v>
      </c>
      <c r="CP42" s="90">
        <f t="shared" si="31"/>
        <v>35838</v>
      </c>
      <c r="CQ42" s="90">
        <f t="shared" si="32"/>
        <v>23800</v>
      </c>
      <c r="CR42" s="90">
        <f t="shared" ca="1" si="33"/>
        <v>72485</v>
      </c>
      <c r="CS42" s="90">
        <f t="shared" ca="1" si="34"/>
        <v>177485</v>
      </c>
      <c r="CT42" s="142">
        <f t="shared" ca="1" si="35"/>
        <v>0.25558216187283433</v>
      </c>
      <c r="CU42" s="142">
        <f t="shared" ca="1" si="35"/>
        <v>0.20192128912302448</v>
      </c>
      <c r="CV42" s="142">
        <f t="shared" ca="1" si="35"/>
        <v>0.13409583908499309</v>
      </c>
      <c r="CW42" s="142">
        <f t="shared" ca="1" si="35"/>
        <v>0.40840070991914812</v>
      </c>
      <c r="CY42" s="128">
        <f t="shared" si="36"/>
        <v>22682</v>
      </c>
      <c r="CZ42" s="90">
        <f t="shared" si="37"/>
        <v>17795</v>
      </c>
      <c r="DA42" s="90">
        <f t="shared" si="38"/>
        <v>14892</v>
      </c>
      <c r="DB42" s="90">
        <f t="shared" ca="1" si="58"/>
        <v>46480.75</v>
      </c>
      <c r="DC42" s="90">
        <f t="shared" ca="1" si="39"/>
        <v>101849.75</v>
      </c>
      <c r="DD42" s="142">
        <f t="shared" ca="1" si="40"/>
        <v>0.22270059573047554</v>
      </c>
      <c r="DE42" s="142">
        <f t="shared" ca="1" si="40"/>
        <v>0.1747181510018434</v>
      </c>
      <c r="DF42" s="142">
        <f t="shared" ca="1" si="40"/>
        <v>0.14621538099013498</v>
      </c>
      <c r="DG42" s="142">
        <f t="shared" ca="1" si="40"/>
        <v>0.4563658722775461</v>
      </c>
      <c r="DI42" s="128">
        <f t="shared" si="41"/>
        <v>10881</v>
      </c>
      <c r="DJ42" s="90">
        <f t="shared" si="42"/>
        <v>8579</v>
      </c>
      <c r="DK42" s="90">
        <f t="shared" si="43"/>
        <v>5406</v>
      </c>
      <c r="DL42" s="90">
        <f t="shared" ca="1" si="44"/>
        <v>5966.5</v>
      </c>
      <c r="DM42" s="90">
        <f t="shared" ca="1" si="45"/>
        <v>30832.5</v>
      </c>
      <c r="DN42" s="142">
        <f t="shared" ca="1" si="46"/>
        <v>0.35290683531987349</v>
      </c>
      <c r="DO42" s="142">
        <f t="shared" ca="1" si="46"/>
        <v>0.27824535798264816</v>
      </c>
      <c r="DP42" s="142">
        <f t="shared" ca="1" si="46"/>
        <v>0.17533446849914863</v>
      </c>
      <c r="DQ42" s="142">
        <f t="shared" ca="1" si="46"/>
        <v>0.19351333819832969</v>
      </c>
      <c r="DS42" s="128">
        <f t="shared" ca="1" si="47"/>
        <v>177485</v>
      </c>
      <c r="DT42" s="90">
        <f t="shared" ca="1" si="48"/>
        <v>101849.75</v>
      </c>
      <c r="DU42" s="90">
        <f t="shared" ca="1" si="49"/>
        <v>30832.5</v>
      </c>
      <c r="DV42" s="90">
        <f t="shared" si="50"/>
        <v>528</v>
      </c>
      <c r="DW42" s="90">
        <f ca="1">_xlfn.IFNA(INDEX(武器升级消耗!$H:$H,MATCH(玩家节奏2!DS42/玩家节奏2!DS$5,武器升级消耗!M:M,1)),0)</f>
        <v>38</v>
      </c>
      <c r="DX42" s="90">
        <f ca="1">_xlfn.IFNA(INDEX(武器升级消耗!$H:$H,MATCH(玩家节奏2!DT42/玩家节奏2!DT$5,武器升级消耗!N:N,1)),0)</f>
        <v>34</v>
      </c>
      <c r="DY42" s="90">
        <f ca="1">_xlfn.IFNA(INDEX(武器升级消耗!$H:$H,MATCH(玩家节奏2!DU42/玩家节奏2!DU$5,武器升级消耗!O:O,1)),0)</f>
        <v>24</v>
      </c>
      <c r="DZ42" s="90">
        <f>_xlfn.IFNA(INDEX(武器升级消耗!$H:$H,MATCH(玩家节奏2!DV42/玩家节奏2!DV$5,武器升级消耗!P:P,1)),0)</f>
        <v>17</v>
      </c>
      <c r="EA42" s="90">
        <f ca="1">_xlfn.IFNA(INDEX(武器升级消耗!$Q:$Q,MATCH(玩家节奏2!DW42,武器升级消耗!$H:$H,0))*2*EA$4,0)</f>
        <v>5.04</v>
      </c>
      <c r="EB42" s="90">
        <f ca="1">_xlfn.IFNA(INDEX(武器升级消耗!$Q:$Q,MATCH(玩家节奏2!DX42,武器升级消耗!$H:$H,0))*2*EB$4,0)</f>
        <v>5.6999999999999993</v>
      </c>
      <c r="EC42" s="90">
        <f ca="1">_xlfn.IFNA(INDEX(武器升级消耗!$Q:$Q,MATCH(玩家节奏2!DY42,武器升级消耗!$H:$H,0))*2*EC$4,0)</f>
        <v>6.16</v>
      </c>
      <c r="ED42" s="90">
        <f>_xlfn.IFNA(INDEX(武器升级消耗!$Q:$Q,MATCH(玩家节奏2!DZ42,武器升级消耗!$H:$H,0))*2*ED$4,0)</f>
        <v>6.3000000000000007</v>
      </c>
      <c r="EF42" s="128">
        <f t="shared" si="70"/>
        <v>0</v>
      </c>
      <c r="EG42" s="90">
        <f t="shared" si="71"/>
        <v>0</v>
      </c>
      <c r="EH42" s="90">
        <v>108</v>
      </c>
      <c r="EI42" s="90">
        <v>108</v>
      </c>
      <c r="EJ42" s="90">
        <f>_xlfn.IFNA(INDEX(皮肤宠物!$J$4:$J$13,MATCH(EF42+EH42,皮肤宠物!$L$4:$L$13,1)),0)</f>
        <v>5</v>
      </c>
      <c r="EK42" s="90">
        <f>_xlfn.IFNA(INDEX(皮肤宠物!$J$4:$J$13,MATCH(EG42+EI42,皮肤宠物!$L$4:$L$13,1)),0)</f>
        <v>5</v>
      </c>
      <c r="EL42" s="90">
        <f>_xlfn.IFNA(INDEX(皮肤宠物!$N$4:$N$13,MATCH(EF42+EH42,皮肤宠物!$L$4:$L$13,1)),1)</f>
        <v>1.6500000000000001</v>
      </c>
      <c r="EM42" s="90">
        <f>_xlfn.IFNA(INDEX(皮肤宠物!$N$4:$N$13,MATCH(EG42+EI42,皮肤宠物!$L$4:$L$13,1)),1)</f>
        <v>1.6500000000000001</v>
      </c>
      <c r="EO42" s="128">
        <v>108</v>
      </c>
      <c r="EP42" s="90">
        <v>36</v>
      </c>
      <c r="EQ42" s="90">
        <f t="shared" ca="1" si="51"/>
        <v>43425</v>
      </c>
      <c r="ER42" s="90">
        <f t="shared" si="72"/>
        <v>0</v>
      </c>
      <c r="ES42" s="90">
        <f t="shared" ca="1" si="52"/>
        <v>470.25</v>
      </c>
      <c r="ET42" s="90">
        <f ca="1">$ES42*ET$5*皮肤宠物!$J$75/4</f>
        <v>1552.2952500000001</v>
      </c>
      <c r="EU42" s="90">
        <f ca="1">$ES42*EU$5*皮肤宠物!$J$76/4</f>
        <v>259.10775000000001</v>
      </c>
      <c r="EV42" s="90">
        <f ca="1">$ES42*EV$5*皮肤宠物!$J$77/4</f>
        <v>70.184812500000007</v>
      </c>
      <c r="EW42" s="90">
        <f ca="1">_xlfn.IFNA(INDEX(皮肤宠物!$H$18:$H$67,MATCH(ET42,皮肤宠物!L$18:L$67,1)),0)</f>
        <v>13</v>
      </c>
      <c r="EX42" s="90">
        <f ca="1">_xlfn.IFNA(INDEX(皮肤宠物!$H$18:$H$67,MATCH(EU42,皮肤宠物!M$18:M$67,1)),0)</f>
        <v>10</v>
      </c>
      <c r="EY42" s="90">
        <f ca="1">_xlfn.IFNA(INDEX(皮肤宠物!$H$18:$H$67,MATCH(EV42,皮肤宠物!N$18:N$67,1)),0)</f>
        <v>7</v>
      </c>
      <c r="EZ42" s="90">
        <f ca="1">_xlfn.IFNA(INDEX(皮肤宠物!C$18:C$67,MATCH(EW42,皮肤宠物!$A$18:$A$67,0))+1,1)</f>
        <v>1.1299999999999999</v>
      </c>
      <c r="FA42" s="90">
        <f ca="1">_xlfn.IFNA(INDEX(皮肤宠物!D$18:D$67,MATCH(EX42,皮肤宠物!$A$18:$A$67,0))+1,1)</f>
        <v>1.2</v>
      </c>
      <c r="FB42" s="90">
        <f ca="1">_xlfn.IFNA(INDEX(皮肤宠物!E$18:E$67,MATCH(EY42,皮肤宠物!$A$18:$A$67,0))+1,1)</f>
        <v>1.28</v>
      </c>
      <c r="FD42" s="90">
        <f t="shared" ca="1" si="53"/>
        <v>6.16</v>
      </c>
      <c r="FE42" s="90">
        <f t="shared" si="54"/>
        <v>1.6500000000000001</v>
      </c>
      <c r="FF42" s="90">
        <f t="shared" ca="1" si="55"/>
        <v>1.28</v>
      </c>
      <c r="FG42" s="90">
        <f t="shared" ca="1" si="56"/>
        <v>13.009920000000001</v>
      </c>
    </row>
    <row r="43" spans="1:163" x14ac:dyDescent="0.25">
      <c r="A43" s="123">
        <v>37</v>
      </c>
      <c r="B43" s="123">
        <f>INDEX(关卡对比!$Y:$Y,MATCH(关卡对比!Z43,关卡对比!$AA:$AA,1))</f>
        <v>25</v>
      </c>
      <c r="C43" s="124">
        <f>INDEX(关卡对比!$Y:$Y,MATCH(关卡对比!Z43,关卡对比!$AB:$AB,1))</f>
        <v>20</v>
      </c>
      <c r="D43" s="125">
        <f t="shared" si="63"/>
        <v>133.5</v>
      </c>
      <c r="E43" s="125">
        <v>2</v>
      </c>
      <c r="F43" s="128">
        <v>16</v>
      </c>
      <c r="G43" s="90">
        <v>16</v>
      </c>
      <c r="H43" s="90">
        <v>5</v>
      </c>
      <c r="J43" s="128">
        <v>37</v>
      </c>
      <c r="K43" s="90">
        <f t="shared" si="17"/>
        <v>16</v>
      </c>
      <c r="L43" s="90">
        <f t="shared" si="18"/>
        <v>16</v>
      </c>
      <c r="M43" s="90">
        <f t="shared" si="19"/>
        <v>5</v>
      </c>
      <c r="N43" s="140">
        <f>INDEX($A:$A,MATCH(SUM($K$7:K43),$D:$D,1))</f>
        <v>157</v>
      </c>
      <c r="O43" s="140">
        <v>0</v>
      </c>
      <c r="P43" s="141">
        <v>0</v>
      </c>
      <c r="Q43" s="126">
        <f>_xlfn.MAXIFS(关卡产出!X:X,关卡产出!$A:$A,玩家节奏2!$N$6,关卡产出!$B:$B,玩家节奏2!$N43)+_xlfn.MAXIFS(关卡产出!X:X,关卡产出!$A:$A,玩家节奏2!$O$6,关卡产出!$B:$B,玩家节奏2!$O43)+_xlfn.MAXIFS(关卡产出!X:X,关卡产出!$A:$A,玩家节奏2!$P$6,关卡产出!$B:$B,玩家节奏2!$P43)</f>
        <v>29900</v>
      </c>
      <c r="R43" s="90">
        <f>_xlfn.MAXIFS(关卡产出!Y:Y,关卡产出!$A:$A,玩家节奏2!$N$6,关卡产出!$B:$B,玩家节奏2!$N43)+_xlfn.MAXIFS(关卡产出!Y:Y,关卡产出!$A:$A,玩家节奏2!$O$6,关卡产出!$B:$B,玩家节奏2!$O43)+_xlfn.MAXIFS(关卡产出!Y:Y,关卡产出!$A:$A,玩家节奏2!$P$6,关卡产出!$B:$B,玩家节奏2!$P43)</f>
        <v>7090700</v>
      </c>
      <c r="S43" s="90">
        <f>_xlfn.MAXIFS(关卡产出!Z:Z,关卡产出!$A:$A,玩家节奏2!$N$6,关卡产出!$B:$B,玩家节奏2!$N43)+_xlfn.MAXIFS(关卡产出!Z:Z,关卡产出!$A:$A,玩家节奏2!$O$6,关卡产出!$B:$B,玩家节奏2!$O43)+_xlfn.MAXIFS(关卡产出!Z:Z,关卡产出!$A:$A,玩家节奏2!$P$6,关卡产出!$B:$B,玩家节奏2!$P43)</f>
        <v>48422</v>
      </c>
      <c r="T43" s="90">
        <f>_xlfn.MAXIFS(关卡产出!AA:AA,关卡产出!$A:$A,玩家节奏2!$N$6,关卡产出!$B:$B,玩家节奏2!$N43)+_xlfn.MAXIFS(关卡产出!AA:AA,关卡产出!$A:$A,玩家节奏2!$O$6,关卡产出!$B:$B,玩家节奏2!$O43)+_xlfn.MAXIFS(关卡产出!AA:AA,关卡产出!$A:$A,玩家节奏2!$P$6,关卡产出!$B:$B,玩家节奏2!$P43)</f>
        <v>24212</v>
      </c>
      <c r="U43" s="90">
        <f>_xlfn.MAXIFS(关卡产出!AB:AB,关卡产出!$A:$A,玩家节奏2!$N$6,关卡产出!$B:$B,玩家节奏2!$N43)+_xlfn.MAXIFS(关卡产出!AB:AB,关卡产出!$A:$A,玩家节奏2!$O$6,关卡产出!$B:$B,玩家节奏2!$O43)+_xlfn.MAXIFS(关卡产出!AB:AB,关卡产出!$A:$A,玩家节奏2!$P$6,关卡产出!$B:$B,玩家节奏2!$P43)</f>
        <v>11631</v>
      </c>
      <c r="V43" s="130">
        <f>_xlfn.MAXIFS(关卡产出!AC:AC,关卡产出!$A:$A,玩家节奏2!$N$6,关卡产出!$B:$B,玩家节奏2!$N43)+_xlfn.MAXIFS(关卡产出!AC:AC,关卡产出!$A:$A,玩家节奏2!$O$6,关卡产出!$B:$B,玩家节奏2!$O43)+_xlfn.MAXIFS(关卡产出!AC:AC,关卡产出!$A:$A,玩家节奏2!$P$6,关卡产出!$B:$B,玩家节奏2!$P43)</f>
        <v>942</v>
      </c>
      <c r="W43" s="126">
        <f>INDEX(关卡产出!C$8:C$207,MATCH(玩家节奏2!$N43,关卡产出!$B$8:$B$207,0))*$K43</f>
        <v>1984</v>
      </c>
      <c r="X43" s="126">
        <f>INDEX(关卡产出!D$8:D$207,MATCH(玩家节奏2!$N43,关卡产出!$B$8:$B$207,0))*$K43</f>
        <v>992</v>
      </c>
      <c r="Y43" s="126">
        <f>INDEX(关卡产出!E$8:E$207,MATCH(玩家节奏2!$N43,关卡产出!$B$8:$B$207,0))*$K43</f>
        <v>480</v>
      </c>
      <c r="Z43" s="144">
        <f>INDEX(关卡产出!F$8:F$207,MATCH(玩家节奏2!$N43,关卡产出!$B$8:$B$207,0))*$K43</f>
        <v>26080</v>
      </c>
      <c r="AA43" s="126">
        <f>SUM(W$7:W43)</f>
        <v>37822</v>
      </c>
      <c r="AB43" s="126">
        <f>SUM(X$7:X43)</f>
        <v>18787</v>
      </c>
      <c r="AC43" s="126">
        <f>SUM(Y$7:Y43)</f>
        <v>9059</v>
      </c>
      <c r="AD43" s="177">
        <f>SUM(Z$7:Z43)</f>
        <v>517530</v>
      </c>
      <c r="AE43" s="128">
        <f>INDEX(图鉴!AQ:AQ,MATCH($N43,图鉴!$S:$S,0))*34</f>
        <v>714</v>
      </c>
      <c r="AF43" s="90">
        <f>INDEX(图鉴!AR:AR,MATCH($N43,图鉴!$S:$S,0))*34</f>
        <v>510</v>
      </c>
      <c r="AG43" s="90">
        <f>INDEX(图鉴!AS:AS,MATCH($N43,图鉴!$S:$S,0))*34</f>
        <v>204</v>
      </c>
      <c r="AH43" s="129">
        <f ca="1">INDEX(图鉴!AT:AT,MATCH($N43,图鉴!$S:$S,0))*34</f>
        <v>49980</v>
      </c>
      <c r="AI43" s="128">
        <f>SUM($AE$7:AE43)</f>
        <v>24514</v>
      </c>
      <c r="AJ43" s="90">
        <f>SUM(AF$7:AF43)</f>
        <v>15402</v>
      </c>
      <c r="AK43" s="90">
        <f>SUM(AG$7:AG43)</f>
        <v>5610</v>
      </c>
      <c r="AL43" s="130">
        <f ca="1">SUM(AH$7:AH43)</f>
        <v>1265616</v>
      </c>
      <c r="AM43" s="133">
        <f>IF(M43=0,0,INDEX(关卡产出!$AU$11:$AU$15,MATCH(玩家节奏2!N43,关卡产出!$AW$11:$AW$15,1))*M43)</f>
        <v>61000</v>
      </c>
      <c r="AN43" s="126">
        <f>IF(L43=0,0,$L43*关卡产出!AU$21)</f>
        <v>16000</v>
      </c>
      <c r="AO43" s="90">
        <f>IF(M43=0,0,$L43*关卡产出!AV$21)</f>
        <v>800</v>
      </c>
      <c r="AP43" s="129">
        <f>IF(N43=0,0,$L43*关卡产出!AW$21)</f>
        <v>16</v>
      </c>
      <c r="AQ43" s="138">
        <f>SUM(AN$7:AN43)</f>
        <v>544000</v>
      </c>
      <c r="AR43" s="126">
        <f>SUM(AO$7:AO43)</f>
        <v>27200</v>
      </c>
      <c r="AS43" s="129">
        <f>SUM(AP$7:AP43)</f>
        <v>544</v>
      </c>
      <c r="AT43" s="128">
        <v>3000</v>
      </c>
      <c r="AU43" s="129">
        <v>600</v>
      </c>
      <c r="AV43" s="128">
        <f>SUM(AT$7:AT43)</f>
        <v>111000</v>
      </c>
      <c r="AW43" s="90">
        <f>SUM(AU$7:AU43)</f>
        <v>22200</v>
      </c>
      <c r="AY43" s="128">
        <f t="shared" si="20"/>
        <v>29900</v>
      </c>
      <c r="AZ43" s="90">
        <f t="shared" si="21"/>
        <v>27200</v>
      </c>
      <c r="BA43" s="90">
        <f t="shared" si="22"/>
        <v>22200</v>
      </c>
      <c r="BB43" s="90">
        <f t="shared" ca="1" si="57"/>
        <v>16200</v>
      </c>
      <c r="BC43" s="90">
        <f t="shared" ca="1" si="60"/>
        <v>49925</v>
      </c>
      <c r="BD43" s="90">
        <f t="shared" ca="1" si="61"/>
        <v>45575</v>
      </c>
      <c r="BE43" s="90">
        <f t="shared" ca="1" si="24"/>
        <v>95500</v>
      </c>
      <c r="BF43" s="142">
        <f t="shared" ca="1" si="64"/>
        <v>0.5988983475212819</v>
      </c>
      <c r="BG43" s="142">
        <f t="shared" ca="1" si="65"/>
        <v>0.54481722583875813</v>
      </c>
      <c r="BH43" s="142">
        <f t="shared" ca="1" si="66"/>
        <v>0.44466700050075114</v>
      </c>
      <c r="BI43" s="142">
        <f t="shared" ca="1" si="67"/>
        <v>0.32448673009514273</v>
      </c>
      <c r="BJ43" s="143"/>
      <c r="BK43" s="128">
        <f ca="1">INDEX(商城宝箱!$L:$L,MATCH(BC43,商城宝箱!$N:$N,1))</f>
        <v>9</v>
      </c>
      <c r="BL43" s="90">
        <f ca="1">_xlfn.IFNA(INDEX(商城宝箱!T:T,MATCH(玩家节奏2!$BK43,商城宝箱!$L:$L,0)),0)+($BC43-INDEX(商城宝箱!$N:$N,MATCH(玩家节奏2!$BK43,商城宝箱!$L:$L,0)))/$BK$5*INDEX(商城宝箱!E$23:E$42,MATCH(玩家节奏2!$BK43+1,商城宝箱!$C$23:$C$42,0))</f>
        <v>124812.5</v>
      </c>
      <c r="BM43" s="90">
        <f ca="1">_xlfn.IFNA(INDEX(商城宝箱!U:U,MATCH(玩家节奏2!$BK43,商城宝箱!$L:$L,0)),0)+($BC43-INDEX(商城宝箱!$N:$N,MATCH(玩家节奏2!$BK43,商城宝箱!$L:$L,0)))/$BK$5*INDEX(商城宝箱!F$23:F$42,MATCH(玩家节奏2!$BK43+1,商城宝箱!$C$23:$C$42,0))</f>
        <v>78290</v>
      </c>
      <c r="BN43" s="90">
        <f ca="1">_xlfn.IFNA(INDEX(商城宝箱!V:V,MATCH(玩家节奏2!$BK43,商城宝箱!$L:$L,0)),0)+($BC43-INDEX(商城宝箱!$N:$N,MATCH(玩家节奏2!$BK43,商城宝箱!$L:$L,0)))/$BK$5*INDEX(商城宝箱!G$23:G$42,MATCH(玩家节奏2!$BK43+1,商城宝箱!$C$23:$C$42,0))</f>
        <v>49168.25</v>
      </c>
      <c r="BO43" s="90">
        <f ca="1">_xlfn.IFNA(INDEX(商城宝箱!W:W,MATCH(玩家节奏2!$BK43,商城宝箱!$L:$L,0)),0)+($BC43-INDEX(商城宝箱!$N:$N,MATCH(玩家节奏2!$BK43,商城宝箱!$L:$L,0)))/$BK$5*INDEX(商城宝箱!H$23:H$42,MATCH(玩家节奏2!$BK43+1,商城宝箱!$C$23:$C$42,0))</f>
        <v>6396.5</v>
      </c>
      <c r="BQ43" s="128">
        <f t="shared" si="4"/>
        <v>7090700</v>
      </c>
      <c r="BR43" s="90">
        <f t="shared" si="5"/>
        <v>517530</v>
      </c>
      <c r="BS43" s="90">
        <f t="shared" ca="1" si="68"/>
        <v>1265616</v>
      </c>
      <c r="BT43" s="90">
        <f t="shared" si="69"/>
        <v>61000</v>
      </c>
      <c r="BU43" s="90">
        <f t="shared" si="8"/>
        <v>544000</v>
      </c>
      <c r="BV43" s="90">
        <f t="shared" si="9"/>
        <v>111000</v>
      </c>
      <c r="BW43" s="90">
        <f t="shared" ca="1" si="25"/>
        <v>124812.5</v>
      </c>
      <c r="BX43" s="90">
        <f t="shared" ca="1" si="26"/>
        <v>9714658.5</v>
      </c>
      <c r="BY43" s="142">
        <f t="shared" ca="1" si="27"/>
        <v>0.72989699020300092</v>
      </c>
      <c r="BZ43" s="142">
        <f t="shared" ca="1" si="27"/>
        <v>5.3273102703507283E-2</v>
      </c>
      <c r="CA43" s="142">
        <f t="shared" ca="1" si="27"/>
        <v>0.13027900054335415</v>
      </c>
      <c r="CB43" s="142">
        <f t="shared" ca="1" si="27"/>
        <v>6.2791708015263736E-3</v>
      </c>
      <c r="CC43" s="142">
        <f t="shared" ca="1" si="27"/>
        <v>5.599785108246471E-2</v>
      </c>
      <c r="CD43" s="142">
        <f t="shared" ca="1" si="27"/>
        <v>1.142603211425291E-2</v>
      </c>
      <c r="CE43" s="142">
        <f t="shared" ca="1" si="27"/>
        <v>1.2847852551893616E-2</v>
      </c>
      <c r="CG43" s="128">
        <f t="shared" si="28"/>
        <v>157</v>
      </c>
      <c r="CH43" s="90">
        <f ca="1">INDEX(角色升级!$A:$A,MATCH(玩家节奏2!$BX43,角色升级!$J:$J,1))</f>
        <v>719</v>
      </c>
      <c r="CI43" s="90">
        <f ca="1">INDEX(角色升级!$O:$O,MATCH(玩家节奏2!$BX43,角色升级!$J:$J,1))</f>
        <v>41399.128259999998</v>
      </c>
      <c r="CJ43" s="90">
        <f>INDEX(关卡对比!$J:$J,MATCH(玩家节奏2!N43,关卡对比!$A:$A,0))</f>
        <v>64700</v>
      </c>
      <c r="CK43" s="147">
        <f t="shared" ca="1" si="29"/>
        <v>1.5628348402329379</v>
      </c>
      <c r="CL43" s="128">
        <f ca="1">INDEX(角色升级!$P:$P,MATCH(玩家节奏2!$CH43,角色升级!$A:$A,0))</f>
        <v>16200</v>
      </c>
      <c r="CM43" s="90">
        <f ca="1">INDEX(角色升级!Q:Q,MATCH(玩家节奏2!$CH43,角色升级!$A:$A,0))</f>
        <v>1.3</v>
      </c>
      <c r="CO43" s="128">
        <f t="shared" si="30"/>
        <v>48422</v>
      </c>
      <c r="CP43" s="90">
        <f t="shared" si="31"/>
        <v>37822</v>
      </c>
      <c r="CQ43" s="90">
        <f t="shared" si="32"/>
        <v>24514</v>
      </c>
      <c r="CR43" s="90">
        <f t="shared" ca="1" si="33"/>
        <v>78290</v>
      </c>
      <c r="CS43" s="90">
        <f t="shared" ca="1" si="34"/>
        <v>189048</v>
      </c>
      <c r="CT43" s="142">
        <f t="shared" ca="1" si="35"/>
        <v>0.25613600778638229</v>
      </c>
      <c r="CU43" s="142">
        <f t="shared" ca="1" si="35"/>
        <v>0.20006559180737168</v>
      </c>
      <c r="CV43" s="142">
        <f t="shared" ca="1" si="35"/>
        <v>0.12967077144428929</v>
      </c>
      <c r="CW43" s="142">
        <f t="shared" ca="1" si="35"/>
        <v>0.41412762896195676</v>
      </c>
      <c r="CY43" s="128">
        <f t="shared" si="36"/>
        <v>24212</v>
      </c>
      <c r="CZ43" s="90">
        <f t="shared" si="37"/>
        <v>18787</v>
      </c>
      <c r="DA43" s="90">
        <f t="shared" si="38"/>
        <v>15402</v>
      </c>
      <c r="DB43" s="90">
        <f t="shared" ca="1" si="58"/>
        <v>49168.25</v>
      </c>
      <c r="DC43" s="90">
        <f t="shared" ca="1" si="39"/>
        <v>107569.25</v>
      </c>
      <c r="DD43" s="142">
        <f t="shared" ca="1" si="40"/>
        <v>0.22508291170571515</v>
      </c>
      <c r="DE43" s="142">
        <f t="shared" ca="1" si="40"/>
        <v>0.17465028342207461</v>
      </c>
      <c r="DF43" s="142">
        <f t="shared" ca="1" si="40"/>
        <v>0.14318218264048507</v>
      </c>
      <c r="DG43" s="142">
        <f t="shared" ca="1" si="40"/>
        <v>0.45708462223172514</v>
      </c>
      <c r="DI43" s="128">
        <f t="shared" si="41"/>
        <v>11631</v>
      </c>
      <c r="DJ43" s="90">
        <f t="shared" si="42"/>
        <v>9059</v>
      </c>
      <c r="DK43" s="90">
        <f t="shared" si="43"/>
        <v>5610</v>
      </c>
      <c r="DL43" s="90">
        <f t="shared" ca="1" si="44"/>
        <v>6396.5</v>
      </c>
      <c r="DM43" s="90">
        <f t="shared" ca="1" si="45"/>
        <v>32696.5</v>
      </c>
      <c r="DN43" s="142">
        <f t="shared" ca="1" si="46"/>
        <v>0.35572614805866071</v>
      </c>
      <c r="DO43" s="142">
        <f t="shared" ca="1" si="46"/>
        <v>0.27706329423638615</v>
      </c>
      <c r="DP43" s="142">
        <f t="shared" ca="1" si="46"/>
        <v>0.17157799764500786</v>
      </c>
      <c r="DQ43" s="142">
        <f t="shared" ca="1" si="46"/>
        <v>0.19563256005994525</v>
      </c>
      <c r="DS43" s="128">
        <f t="shared" ca="1" si="47"/>
        <v>189048</v>
      </c>
      <c r="DT43" s="90">
        <f t="shared" ca="1" si="48"/>
        <v>107569.25</v>
      </c>
      <c r="DU43" s="90">
        <f t="shared" ca="1" si="49"/>
        <v>32696.5</v>
      </c>
      <c r="DV43" s="90">
        <f t="shared" si="50"/>
        <v>544</v>
      </c>
      <c r="DW43" s="90">
        <f ca="1">_xlfn.IFNA(INDEX(武器升级消耗!$H:$H,MATCH(玩家节奏2!DS43/玩家节奏2!DS$5,武器升级消耗!M:M,1)),0)</f>
        <v>39</v>
      </c>
      <c r="DX43" s="90">
        <f ca="1">_xlfn.IFNA(INDEX(武器升级消耗!$H:$H,MATCH(玩家节奏2!DT43/玩家节奏2!DT$5,武器升级消耗!N:N,1)),0)</f>
        <v>35</v>
      </c>
      <c r="DY43" s="90">
        <f ca="1">_xlfn.IFNA(INDEX(武器升级消耗!$H:$H,MATCH(玩家节奏2!DU43/玩家节奏2!DU$5,武器升级消耗!O:O,1)),0)</f>
        <v>25</v>
      </c>
      <c r="DZ43" s="90">
        <f>_xlfn.IFNA(INDEX(武器升级消耗!$H:$H,MATCH(玩家节奏2!DV43/玩家节奏2!DV$5,武器升级消耗!P:P,1)),0)</f>
        <v>17</v>
      </c>
      <c r="EA43" s="90">
        <f ca="1">_xlfn.IFNA(INDEX(武器升级消耗!$Q:$Q,MATCH(玩家节奏2!DW43,武器升级消耗!$H:$H,0))*2*EA$4,0)</f>
        <v>5.1599999999999993</v>
      </c>
      <c r="EB43" s="90">
        <f ca="1">_xlfn.IFNA(INDEX(武器升级消耗!$Q:$Q,MATCH(玩家节奏2!DX43,武器升级消耗!$H:$H,0))*2*EB$4,0)</f>
        <v>5.85</v>
      </c>
      <c r="EC43" s="90">
        <f ca="1">_xlfn.IFNA(INDEX(武器升级消耗!$Q:$Q,MATCH(玩家节奏2!DY43,武器升级消耗!$H:$H,0))*2*EC$4,0)</f>
        <v>6.38</v>
      </c>
      <c r="ED43" s="90">
        <f>_xlfn.IFNA(INDEX(武器升级消耗!$Q:$Q,MATCH(玩家节奏2!DZ43,武器升级消耗!$H:$H,0))*2*ED$4,0)</f>
        <v>6.3000000000000007</v>
      </c>
      <c r="EF43" s="128">
        <f t="shared" si="70"/>
        <v>0</v>
      </c>
      <c r="EG43" s="90">
        <f t="shared" si="71"/>
        <v>0</v>
      </c>
      <c r="EH43" s="90">
        <v>111</v>
      </c>
      <c r="EI43" s="90">
        <v>111</v>
      </c>
      <c r="EJ43" s="90">
        <f>_xlfn.IFNA(INDEX(皮肤宠物!$J$4:$J$13,MATCH(EF43+EH43,皮肤宠物!$L$4:$L$13,1)),0)</f>
        <v>5</v>
      </c>
      <c r="EK43" s="90">
        <f>_xlfn.IFNA(INDEX(皮肤宠物!$J$4:$J$13,MATCH(EG43+EI43,皮肤宠物!$L$4:$L$13,1)),0)</f>
        <v>5</v>
      </c>
      <c r="EL43" s="90">
        <f>_xlfn.IFNA(INDEX(皮肤宠物!$N$4:$N$13,MATCH(EF43+EH43,皮肤宠物!$L$4:$L$13,1)),1)</f>
        <v>1.6500000000000001</v>
      </c>
      <c r="EM43" s="90">
        <f>_xlfn.IFNA(INDEX(皮肤宠物!$N$4:$N$13,MATCH(EG43+EI43,皮肤宠物!$L$4:$L$13,1)),1)</f>
        <v>1.6500000000000001</v>
      </c>
      <c r="EO43" s="128">
        <v>111</v>
      </c>
      <c r="EP43" s="90">
        <v>37</v>
      </c>
      <c r="EQ43" s="90">
        <f t="shared" ca="1" si="51"/>
        <v>45575</v>
      </c>
      <c r="ER43" s="90">
        <f t="shared" si="72"/>
        <v>0</v>
      </c>
      <c r="ES43" s="90">
        <f t="shared" ca="1" si="52"/>
        <v>492.75</v>
      </c>
      <c r="ET43" s="90">
        <f ca="1">$ES43*ET$5*皮肤宠物!$J$75/4</f>
        <v>1626.5677499999999</v>
      </c>
      <c r="EU43" s="90">
        <f ca="1">$ES43*EU$5*皮肤宠物!$J$76/4</f>
        <v>271.50524999999999</v>
      </c>
      <c r="EV43" s="90">
        <f ca="1">$ES43*EV$5*皮肤宠物!$J$77/4</f>
        <v>73.542937500000008</v>
      </c>
      <c r="EW43" s="90">
        <f ca="1">_xlfn.IFNA(INDEX(皮肤宠物!$H$18:$H$67,MATCH(ET43,皮肤宠物!L$18:L$67,1)),0)</f>
        <v>14</v>
      </c>
      <c r="EX43" s="90">
        <f ca="1">_xlfn.IFNA(INDEX(皮肤宠物!$H$18:$H$67,MATCH(EU43,皮肤宠物!M$18:M$67,1)),0)</f>
        <v>11</v>
      </c>
      <c r="EY43" s="90">
        <f ca="1">_xlfn.IFNA(INDEX(皮肤宠物!$H$18:$H$67,MATCH(EV43,皮肤宠物!N$18:N$67,1)),0)</f>
        <v>8</v>
      </c>
      <c r="EZ43" s="90">
        <f ca="1">_xlfn.IFNA(INDEX(皮肤宠物!C$18:C$67,MATCH(EW43,皮肤宠物!$A$18:$A$67,0))+1,1)</f>
        <v>1.1400000000000001</v>
      </c>
      <c r="FA43" s="90">
        <f ca="1">_xlfn.IFNA(INDEX(皮肤宠物!D$18:D$67,MATCH(EX43,皮肤宠物!$A$18:$A$67,0))+1,1)</f>
        <v>1.22</v>
      </c>
      <c r="FB43" s="90">
        <f ca="1">_xlfn.IFNA(INDEX(皮肤宠物!E$18:E$67,MATCH(EY43,皮肤宠物!$A$18:$A$67,0))+1,1)</f>
        <v>1.32</v>
      </c>
      <c r="FD43" s="90">
        <f t="shared" ca="1" si="53"/>
        <v>6.38</v>
      </c>
      <c r="FE43" s="90">
        <f t="shared" si="54"/>
        <v>1.6500000000000001</v>
      </c>
      <c r="FF43" s="90">
        <f t="shared" ca="1" si="55"/>
        <v>1.32</v>
      </c>
      <c r="FG43" s="90">
        <f t="shared" ca="1" si="56"/>
        <v>13.895640000000002</v>
      </c>
    </row>
    <row r="44" spans="1:163" x14ac:dyDescent="0.25">
      <c r="A44" s="123">
        <v>38</v>
      </c>
      <c r="B44" s="123">
        <f>INDEX(关卡对比!$Y:$Y,MATCH(关卡对比!Z44,关卡对比!$AA:$AA,1))</f>
        <v>26</v>
      </c>
      <c r="C44" s="124">
        <f>INDEX(关卡对比!$Y:$Y,MATCH(关卡对比!Z44,关卡对比!$AB:$AB,1))</f>
        <v>21</v>
      </c>
      <c r="D44" s="125">
        <f t="shared" si="63"/>
        <v>139.5</v>
      </c>
      <c r="E44" s="125">
        <v>2</v>
      </c>
      <c r="F44" s="128">
        <v>16</v>
      </c>
      <c r="G44" s="90">
        <v>16</v>
      </c>
      <c r="H44" s="90">
        <v>5</v>
      </c>
      <c r="J44" s="128">
        <v>38</v>
      </c>
      <c r="K44" s="90">
        <f t="shared" si="17"/>
        <v>16</v>
      </c>
      <c r="L44" s="90">
        <f t="shared" si="18"/>
        <v>16</v>
      </c>
      <c r="M44" s="90">
        <f t="shared" si="19"/>
        <v>5</v>
      </c>
      <c r="N44" s="140">
        <f>INDEX($A:$A,MATCH(SUM($K$7:K44),$D:$D,1))</f>
        <v>161</v>
      </c>
      <c r="O44" s="140">
        <v>0</v>
      </c>
      <c r="P44" s="141">
        <v>0</v>
      </c>
      <c r="Q44" s="126">
        <f>_xlfn.MAXIFS(关卡产出!X:X,关卡产出!$A:$A,玩家节奏2!$N$6,关卡产出!$B:$B,玩家节奏2!$N44)+_xlfn.MAXIFS(关卡产出!X:X,关卡产出!$A:$A,玩家节奏2!$O$6,关卡产出!$B:$B,玩家节奏2!$O44)+_xlfn.MAXIFS(关卡产出!X:X,关卡产出!$A:$A,玩家节奏2!$P$6,关卡产出!$B:$B,玩家节奏2!$P44)</f>
        <v>30700</v>
      </c>
      <c r="R44" s="90">
        <f>_xlfn.MAXIFS(关卡产出!Y:Y,关卡产出!$A:$A,玩家节奏2!$N$6,关卡产出!$B:$B,玩家节奏2!$N44)+_xlfn.MAXIFS(关卡产出!Y:Y,关卡产出!$A:$A,玩家节奏2!$O$6,关卡产出!$B:$B,玩家节奏2!$O44)+_xlfn.MAXIFS(关卡产出!Y:Y,关卡产出!$A:$A,玩家节奏2!$P$6,关卡产出!$B:$B,玩家节奏2!$P44)</f>
        <v>7464300</v>
      </c>
      <c r="S44" s="90">
        <f>_xlfn.MAXIFS(关卡产出!Z:Z,关卡产出!$A:$A,玩家节奏2!$N$6,关卡产出!$B:$B,玩家节奏2!$N44)+_xlfn.MAXIFS(关卡产出!Z:Z,关卡产出!$A:$A,玩家节奏2!$O$6,关卡产出!$B:$B,玩家节奏2!$O44)+_xlfn.MAXIFS(关卡产出!Z:Z,关卡产出!$A:$A,玩家节奏2!$P$6,关卡产出!$B:$B,玩家节奏2!$P44)</f>
        <v>50942</v>
      </c>
      <c r="T44" s="90">
        <f>_xlfn.MAXIFS(关卡产出!AA:AA,关卡产出!$A:$A,玩家节奏2!$N$6,关卡产出!$B:$B,玩家节奏2!$N44)+_xlfn.MAXIFS(关卡产出!AA:AA,关卡产出!$A:$A,玩家节奏2!$O$6,关卡产出!$B:$B,玩家节奏2!$O44)+_xlfn.MAXIFS(关卡产出!AA:AA,关卡产出!$A:$A,玩家节奏2!$P$6,关卡产出!$B:$B,玩家节奏2!$P44)</f>
        <v>25472</v>
      </c>
      <c r="U44" s="90">
        <f>_xlfn.MAXIFS(关卡产出!AB:AB,关卡产出!$A:$A,玩家节奏2!$N$6,关卡产出!$B:$B,玩家节奏2!$N44)+_xlfn.MAXIFS(关卡产出!AB:AB,关卡产出!$A:$A,玩家节奏2!$O$6,关卡产出!$B:$B,玩家节奏2!$O44)+_xlfn.MAXIFS(关卡产出!AB:AB,关卡产出!$A:$A,玩家节奏2!$P$6,关卡产出!$B:$B,玩家节奏2!$P44)</f>
        <v>12249</v>
      </c>
      <c r="V44" s="130">
        <f>_xlfn.MAXIFS(关卡产出!AC:AC,关卡产出!$A:$A,玩家节奏2!$N$6,关卡产出!$B:$B,玩家节奏2!$N44)+_xlfn.MAXIFS(关卡产出!AC:AC,关卡产出!$A:$A,玩家节奏2!$O$6,关卡产出!$B:$B,玩家节奏2!$O44)+_xlfn.MAXIFS(关卡产出!AC:AC,关卡产出!$A:$A,玩家节奏2!$P$6,关卡产出!$B:$B,玩家节奏2!$P44)</f>
        <v>966</v>
      </c>
      <c r="W44" s="126">
        <f>INDEX(关卡产出!C$8:C$207,MATCH(玩家节奏2!$N44,关卡产出!$B$8:$B$207,0))*$K44</f>
        <v>2032</v>
      </c>
      <c r="X44" s="126">
        <f>INDEX(关卡产出!D$8:D$207,MATCH(玩家节奏2!$N44,关卡产出!$B$8:$B$207,0))*$K44</f>
        <v>1008</v>
      </c>
      <c r="Y44" s="126">
        <f>INDEX(关卡产出!E$8:E$207,MATCH(玩家节奏2!$N44,关卡产出!$B$8:$B$207,0))*$K44</f>
        <v>496</v>
      </c>
      <c r="Z44" s="144">
        <f>INDEX(关卡产出!F$8:F$207,MATCH(玩家节奏2!$N44,关卡产出!$B$8:$B$207,0))*$K44</f>
        <v>26720</v>
      </c>
      <c r="AA44" s="126">
        <f>SUM(W$7:W44)</f>
        <v>39854</v>
      </c>
      <c r="AB44" s="126">
        <f>SUM(X$7:X44)</f>
        <v>19795</v>
      </c>
      <c r="AC44" s="126">
        <f>SUM(Y$7:Y44)</f>
        <v>9555</v>
      </c>
      <c r="AD44" s="177">
        <f>SUM(Z$7:Z44)</f>
        <v>544250</v>
      </c>
      <c r="AE44" s="128">
        <f>INDEX(图鉴!AQ:AQ,MATCH($N44,图鉴!$S:$S,0))*34</f>
        <v>714</v>
      </c>
      <c r="AF44" s="90">
        <f>INDEX(图鉴!AR:AR,MATCH($N44,图鉴!$S:$S,0))*34</f>
        <v>510</v>
      </c>
      <c r="AG44" s="90">
        <f>INDEX(图鉴!AS:AS,MATCH($N44,图鉴!$S:$S,0))*34</f>
        <v>204</v>
      </c>
      <c r="AH44" s="129">
        <f ca="1">INDEX(图鉴!AT:AT,MATCH($N44,图鉴!$S:$S,0))*34</f>
        <v>49980</v>
      </c>
      <c r="AI44" s="128">
        <f>SUM($AE$7:AE44)</f>
        <v>25228</v>
      </c>
      <c r="AJ44" s="90">
        <f>SUM(AF$7:AF44)</f>
        <v>15912</v>
      </c>
      <c r="AK44" s="90">
        <f>SUM(AG$7:AG44)</f>
        <v>5814</v>
      </c>
      <c r="AL44" s="130">
        <f ca="1">SUM(AH$7:AH44)</f>
        <v>1315596</v>
      </c>
      <c r="AM44" s="133">
        <f>IF(M44=0,0,INDEX(关卡产出!$AU$11:$AU$15,MATCH(玩家节奏2!N44,关卡产出!$AW$11:$AW$15,1))*M44)</f>
        <v>61000</v>
      </c>
      <c r="AN44" s="126">
        <f>IF(L44=0,0,$L44*关卡产出!AU$21)</f>
        <v>16000</v>
      </c>
      <c r="AO44" s="90">
        <f>IF(M44=0,0,$L44*关卡产出!AV$21)</f>
        <v>800</v>
      </c>
      <c r="AP44" s="129">
        <f>IF(N44=0,0,$L44*关卡产出!AW$21)</f>
        <v>16</v>
      </c>
      <c r="AQ44" s="138">
        <f>SUM(AN$7:AN44)</f>
        <v>560000</v>
      </c>
      <c r="AR44" s="126">
        <f>SUM(AO$7:AO44)</f>
        <v>28000</v>
      </c>
      <c r="AS44" s="129">
        <f>SUM(AP$7:AP44)</f>
        <v>560</v>
      </c>
      <c r="AT44" s="128">
        <v>3000</v>
      </c>
      <c r="AU44" s="129">
        <v>600</v>
      </c>
      <c r="AV44" s="128">
        <f>SUM(AT$7:AT44)</f>
        <v>114000</v>
      </c>
      <c r="AW44" s="90">
        <f>SUM(AU$7:AU44)</f>
        <v>22800</v>
      </c>
      <c r="AY44" s="128">
        <f t="shared" si="20"/>
        <v>30700</v>
      </c>
      <c r="AZ44" s="90">
        <f t="shared" si="21"/>
        <v>28000</v>
      </c>
      <c r="BA44" s="90">
        <f t="shared" si="22"/>
        <v>22800</v>
      </c>
      <c r="BB44" s="90">
        <f t="shared" ca="1" si="57"/>
        <v>16200</v>
      </c>
      <c r="BC44" s="90">
        <f t="shared" ca="1" si="60"/>
        <v>51025</v>
      </c>
      <c r="BD44" s="90">
        <f t="shared" ca="1" si="61"/>
        <v>46675</v>
      </c>
      <c r="BE44" s="90">
        <f t="shared" ca="1" si="24"/>
        <v>97700</v>
      </c>
      <c r="BF44" s="142">
        <f t="shared" ca="1" si="64"/>
        <v>0.60166585007349338</v>
      </c>
      <c r="BG44" s="142">
        <f t="shared" ca="1" si="65"/>
        <v>0.54875061244487999</v>
      </c>
      <c r="BH44" s="142">
        <f t="shared" ca="1" si="66"/>
        <v>0.44683978441940225</v>
      </c>
      <c r="BI44" s="142">
        <f t="shared" ca="1" si="67"/>
        <v>0.31749142577168055</v>
      </c>
      <c r="BJ44" s="143"/>
      <c r="BK44" s="128">
        <f ca="1">INDEX(商城宝箱!$L:$L,MATCH(BC44,商城宝箱!$N:$N,1))</f>
        <v>9</v>
      </c>
      <c r="BL44" s="90">
        <f ca="1">_xlfn.IFNA(INDEX(商城宝箱!T:T,MATCH(玩家节奏2!$BK44,商城宝箱!$L:$L,0)),0)+($BC44-INDEX(商城宝箱!$N:$N,MATCH(玩家节奏2!$BK44,商城宝箱!$L:$L,0)))/$BK$5*INDEX(商城宝箱!E$23:E$42,MATCH(玩家节奏2!$BK44+1,商城宝箱!$C$23:$C$42,0))</f>
        <v>127562.5</v>
      </c>
      <c r="BM44" s="90">
        <f ca="1">_xlfn.IFNA(INDEX(商城宝箱!U:U,MATCH(玩家节奏2!$BK44,商城宝箱!$L:$L,0)),0)+($BC44-INDEX(商城宝箱!$N:$N,MATCH(玩家节奏2!$BK44,商城宝箱!$L:$L,0)))/$BK$5*INDEX(商城宝箱!F$23:F$42,MATCH(玩家节奏2!$BK44+1,商城宝箱!$C$23:$C$42,0))</f>
        <v>81260</v>
      </c>
      <c r="BN44" s="90">
        <f ca="1">_xlfn.IFNA(INDEX(商城宝箱!V:V,MATCH(玩家节奏2!$BK44,商城宝箱!$L:$L,0)),0)+($BC44-INDEX(商城宝箱!$N:$N,MATCH(玩家节奏2!$BK44,商城宝箱!$L:$L,0)))/$BK$5*INDEX(商城宝箱!G$23:G$42,MATCH(玩家节奏2!$BK44+1,商城宝箱!$C$23:$C$42,0))</f>
        <v>50543.25</v>
      </c>
      <c r="BO44" s="90">
        <f ca="1">_xlfn.IFNA(INDEX(商城宝箱!W:W,MATCH(玩家节奏2!$BK44,商城宝箱!$L:$L,0)),0)+($BC44-INDEX(商城宝箱!$N:$N,MATCH(玩家节奏2!$BK44,商城宝箱!$L:$L,0)))/$BK$5*INDEX(商城宝箱!H$23:H$42,MATCH(玩家节奏2!$BK44+1,商城宝箱!$C$23:$C$42,0))</f>
        <v>6616.5</v>
      </c>
      <c r="BQ44" s="128">
        <f t="shared" si="4"/>
        <v>7464300</v>
      </c>
      <c r="BR44" s="90">
        <f t="shared" si="5"/>
        <v>544250</v>
      </c>
      <c r="BS44" s="90">
        <f t="shared" ca="1" si="68"/>
        <v>1315596</v>
      </c>
      <c r="BT44" s="90">
        <f t="shared" si="69"/>
        <v>61000</v>
      </c>
      <c r="BU44" s="90">
        <f t="shared" si="8"/>
        <v>560000</v>
      </c>
      <c r="BV44" s="90">
        <f t="shared" si="9"/>
        <v>114000</v>
      </c>
      <c r="BW44" s="90">
        <f t="shared" ca="1" si="25"/>
        <v>127562.5</v>
      </c>
      <c r="BX44" s="90">
        <f t="shared" ca="1" si="26"/>
        <v>10186708.5</v>
      </c>
      <c r="BY44" s="142">
        <f t="shared" ca="1" si="27"/>
        <v>0.73274895418868613</v>
      </c>
      <c r="BZ44" s="142">
        <f t="shared" ca="1" si="27"/>
        <v>5.3427463836822266E-2</v>
      </c>
      <c r="CA44" s="142">
        <f t="shared" ca="1" si="27"/>
        <v>0.1291482916194176</v>
      </c>
      <c r="CB44" s="142">
        <f t="shared" ca="1" si="27"/>
        <v>5.9881953037136575E-3</v>
      </c>
      <c r="CC44" s="142">
        <f t="shared" ca="1" si="27"/>
        <v>5.4973596230813909E-2</v>
      </c>
      <c r="CD44" s="142">
        <f t="shared" ca="1" si="27"/>
        <v>1.1191053518415688E-2</v>
      </c>
      <c r="CE44" s="142">
        <f t="shared" ca="1" si="27"/>
        <v>1.2522445302130713E-2</v>
      </c>
      <c r="CG44" s="128">
        <f t="shared" si="28"/>
        <v>161</v>
      </c>
      <c r="CH44" s="90">
        <f ca="1">INDEX(角色升级!$A:$A,MATCH(玩家节奏2!$BX44,角色升级!$J:$J,1))</f>
        <v>729</v>
      </c>
      <c r="CI44" s="90">
        <f ca="1">INDEX(角色升级!$O:$O,MATCH(玩家节奏2!$BX44,角色升级!$J:$J,1))</f>
        <v>44524.642049999988</v>
      </c>
      <c r="CJ44" s="90">
        <f>INDEX(关卡对比!$J:$J,MATCH(玩家节奏2!N44,关卡对比!$A:$A,0))</f>
        <v>66700</v>
      </c>
      <c r="CK44" s="147">
        <f t="shared" ca="1" si="29"/>
        <v>1.4980468551571438</v>
      </c>
      <c r="CL44" s="128">
        <f ca="1">INDEX(角色升级!$P:$P,MATCH(玩家节奏2!$CH44,角色升级!$A:$A,0))</f>
        <v>16200</v>
      </c>
      <c r="CM44" s="90">
        <f ca="1">INDEX(角色升级!Q:Q,MATCH(玩家节奏2!$CH44,角色升级!$A:$A,0))</f>
        <v>1.3</v>
      </c>
      <c r="CO44" s="128">
        <f t="shared" si="30"/>
        <v>50942</v>
      </c>
      <c r="CP44" s="90">
        <f t="shared" si="31"/>
        <v>39854</v>
      </c>
      <c r="CQ44" s="90">
        <f t="shared" si="32"/>
        <v>25228</v>
      </c>
      <c r="CR44" s="90">
        <f t="shared" ca="1" si="33"/>
        <v>81260</v>
      </c>
      <c r="CS44" s="90">
        <f t="shared" ca="1" si="34"/>
        <v>197284</v>
      </c>
      <c r="CT44" s="142">
        <f t="shared" ca="1" si="35"/>
        <v>0.2582165811723201</v>
      </c>
      <c r="CU44" s="142">
        <f t="shared" ca="1" si="35"/>
        <v>0.20201334117313113</v>
      </c>
      <c r="CV44" s="142">
        <f t="shared" ca="1" si="35"/>
        <v>0.12787656373552847</v>
      </c>
      <c r="CW44" s="142">
        <f t="shared" ca="1" si="35"/>
        <v>0.41189351391902029</v>
      </c>
      <c r="CY44" s="128">
        <f t="shared" si="36"/>
        <v>25472</v>
      </c>
      <c r="CZ44" s="90">
        <f t="shared" si="37"/>
        <v>19795</v>
      </c>
      <c r="DA44" s="90">
        <f t="shared" si="38"/>
        <v>15912</v>
      </c>
      <c r="DB44" s="90">
        <f t="shared" ca="1" si="58"/>
        <v>50543.25</v>
      </c>
      <c r="DC44" s="90">
        <f t="shared" ca="1" si="39"/>
        <v>111722.25</v>
      </c>
      <c r="DD44" s="142">
        <f t="shared" ca="1" si="40"/>
        <v>0.22799397613277569</v>
      </c>
      <c r="DE44" s="142">
        <f t="shared" ca="1" si="40"/>
        <v>0.17718046315751787</v>
      </c>
      <c r="DF44" s="142">
        <f t="shared" ca="1" si="40"/>
        <v>0.1424246289347019</v>
      </c>
      <c r="DG44" s="142">
        <f t="shared" ca="1" si="40"/>
        <v>0.45240093177500451</v>
      </c>
      <c r="DI44" s="128">
        <f t="shared" si="41"/>
        <v>12249</v>
      </c>
      <c r="DJ44" s="90">
        <f t="shared" si="42"/>
        <v>9555</v>
      </c>
      <c r="DK44" s="90">
        <f t="shared" si="43"/>
        <v>5814</v>
      </c>
      <c r="DL44" s="90">
        <f t="shared" ca="1" si="44"/>
        <v>6616.5</v>
      </c>
      <c r="DM44" s="90">
        <f t="shared" ca="1" si="45"/>
        <v>34234.5</v>
      </c>
      <c r="DN44" s="142">
        <f t="shared" ca="1" si="46"/>
        <v>0.35779695920781668</v>
      </c>
      <c r="DO44" s="142">
        <f t="shared" ca="1" si="46"/>
        <v>0.27910441221574728</v>
      </c>
      <c r="DP44" s="142">
        <f t="shared" ca="1" si="46"/>
        <v>0.16982868159312975</v>
      </c>
      <c r="DQ44" s="142">
        <f t="shared" ca="1" si="46"/>
        <v>0.19326994698330632</v>
      </c>
      <c r="DS44" s="128">
        <f t="shared" ca="1" si="47"/>
        <v>197284</v>
      </c>
      <c r="DT44" s="90">
        <f t="shared" ca="1" si="48"/>
        <v>111722.25</v>
      </c>
      <c r="DU44" s="90">
        <f t="shared" ca="1" si="49"/>
        <v>34234.5</v>
      </c>
      <c r="DV44" s="90">
        <f t="shared" si="50"/>
        <v>560</v>
      </c>
      <c r="DW44" s="90">
        <f ca="1">_xlfn.IFNA(INDEX(武器升级消耗!$H:$H,MATCH(玩家节奏2!DS44/玩家节奏2!DS$5,武器升级消耗!M:M,1)),0)</f>
        <v>40</v>
      </c>
      <c r="DX44" s="90">
        <f ca="1">_xlfn.IFNA(INDEX(武器升级消耗!$H:$H,MATCH(玩家节奏2!DT44/玩家节奏2!DT$5,武器升级消耗!N:N,1)),0)</f>
        <v>36</v>
      </c>
      <c r="DY44" s="90">
        <f ca="1">_xlfn.IFNA(INDEX(武器升级消耗!$H:$H,MATCH(玩家节奏2!DU44/玩家节奏2!DU$5,武器升级消耗!O:O,1)),0)</f>
        <v>26</v>
      </c>
      <c r="DZ44" s="90">
        <f>_xlfn.IFNA(INDEX(武器升级消耗!$H:$H,MATCH(玩家节奏2!DV44/玩家节奏2!DV$5,武器升级消耗!P:P,1)),0)</f>
        <v>17</v>
      </c>
      <c r="EA44" s="90">
        <f ca="1">_xlfn.IFNA(INDEX(武器升级消耗!$Q:$Q,MATCH(玩家节奏2!DW44,武器升级消耗!$H:$H,0))*2*EA$4,0)</f>
        <v>5.28</v>
      </c>
      <c r="EB44" s="90">
        <f ca="1">_xlfn.IFNA(INDEX(武器升级消耗!$Q:$Q,MATCH(玩家节奏2!DX44,武器升级消耗!$H:$H,0))*2*EB$4,0)</f>
        <v>6</v>
      </c>
      <c r="EC44" s="90">
        <f ca="1">_xlfn.IFNA(INDEX(武器升级消耗!$Q:$Q,MATCH(玩家节奏2!DY44,武器升级消耗!$H:$H,0))*2*EC$4,0)</f>
        <v>6.6000000000000005</v>
      </c>
      <c r="ED44" s="90">
        <f>_xlfn.IFNA(INDEX(武器升级消耗!$Q:$Q,MATCH(玩家节奏2!DZ44,武器升级消耗!$H:$H,0))*2*ED$4,0)</f>
        <v>6.3000000000000007</v>
      </c>
      <c r="EF44" s="128">
        <f t="shared" si="70"/>
        <v>0</v>
      </c>
      <c r="EG44" s="90">
        <f t="shared" si="71"/>
        <v>0</v>
      </c>
      <c r="EH44" s="90">
        <v>114</v>
      </c>
      <c r="EI44" s="90">
        <v>114</v>
      </c>
      <c r="EJ44" s="90">
        <f>_xlfn.IFNA(INDEX(皮肤宠物!$J$4:$J$13,MATCH(EF44+EH44,皮肤宠物!$L$4:$L$13,1)),0)</f>
        <v>5</v>
      </c>
      <c r="EK44" s="90">
        <f>_xlfn.IFNA(INDEX(皮肤宠物!$J$4:$J$13,MATCH(EG44+EI44,皮肤宠物!$L$4:$L$13,1)),0)</f>
        <v>5</v>
      </c>
      <c r="EL44" s="90">
        <f>_xlfn.IFNA(INDEX(皮肤宠物!$N$4:$N$13,MATCH(EF44+EH44,皮肤宠物!$L$4:$L$13,1)),1)</f>
        <v>1.6500000000000001</v>
      </c>
      <c r="EM44" s="90">
        <f>_xlfn.IFNA(INDEX(皮肤宠物!$N$4:$N$13,MATCH(EG44+EI44,皮肤宠物!$L$4:$L$13,1)),1)</f>
        <v>1.6500000000000001</v>
      </c>
      <c r="EO44" s="128">
        <v>114</v>
      </c>
      <c r="EP44" s="90">
        <v>38</v>
      </c>
      <c r="EQ44" s="90">
        <f t="shared" ca="1" si="51"/>
        <v>46675</v>
      </c>
      <c r="ER44" s="90">
        <f t="shared" si="72"/>
        <v>0</v>
      </c>
      <c r="ES44" s="90">
        <f t="shared" ca="1" si="52"/>
        <v>504.75</v>
      </c>
      <c r="ET44" s="90">
        <f ca="1">$ES44*ET$5*皮肤宠物!$J$75/4</f>
        <v>1666.17975</v>
      </c>
      <c r="EU44" s="90">
        <f ca="1">$ES44*EU$5*皮肤宠物!$J$76/4</f>
        <v>278.11725000000001</v>
      </c>
      <c r="EV44" s="90">
        <f ca="1">$ES44*EV$5*皮肤宠物!$J$77/4</f>
        <v>75.333937500000005</v>
      </c>
      <c r="EW44" s="90">
        <f ca="1">_xlfn.IFNA(INDEX(皮肤宠物!$H$18:$H$67,MATCH(ET44,皮肤宠物!L$18:L$67,1)),0)</f>
        <v>14</v>
      </c>
      <c r="EX44" s="90">
        <f ca="1">_xlfn.IFNA(INDEX(皮肤宠物!$H$18:$H$67,MATCH(EU44,皮肤宠物!M$18:M$67,1)),0)</f>
        <v>11</v>
      </c>
      <c r="EY44" s="90">
        <f ca="1">_xlfn.IFNA(INDEX(皮肤宠物!$H$18:$H$67,MATCH(EV44,皮肤宠物!N$18:N$67,1)),0)</f>
        <v>8</v>
      </c>
      <c r="EZ44" s="90">
        <f ca="1">_xlfn.IFNA(INDEX(皮肤宠物!C$18:C$67,MATCH(EW44,皮肤宠物!$A$18:$A$67,0))+1,1)</f>
        <v>1.1400000000000001</v>
      </c>
      <c r="FA44" s="90">
        <f ca="1">_xlfn.IFNA(INDEX(皮肤宠物!D$18:D$67,MATCH(EX44,皮肤宠物!$A$18:$A$67,0))+1,1)</f>
        <v>1.22</v>
      </c>
      <c r="FB44" s="90">
        <f ca="1">_xlfn.IFNA(INDEX(皮肤宠物!E$18:E$67,MATCH(EY44,皮肤宠物!$A$18:$A$67,0))+1,1)</f>
        <v>1.32</v>
      </c>
      <c r="FD44" s="90">
        <f t="shared" ca="1" si="53"/>
        <v>6.6000000000000005</v>
      </c>
      <c r="FE44" s="90">
        <f t="shared" si="54"/>
        <v>1.6500000000000001</v>
      </c>
      <c r="FF44" s="90">
        <f t="shared" ca="1" si="55"/>
        <v>1.32</v>
      </c>
      <c r="FG44" s="90">
        <f t="shared" ca="1" si="56"/>
        <v>14.374800000000004</v>
      </c>
    </row>
    <row r="45" spans="1:163" x14ac:dyDescent="0.25">
      <c r="A45" s="123">
        <v>39</v>
      </c>
      <c r="B45" s="123">
        <f>INDEX(关卡对比!$Y:$Y,MATCH(关卡对比!Z45,关卡对比!$AA:$AA,1))</f>
        <v>27</v>
      </c>
      <c r="C45" s="124">
        <f>INDEX(关卡对比!$Y:$Y,MATCH(关卡对比!Z45,关卡对比!$AB:$AB,1))</f>
        <v>21</v>
      </c>
      <c r="D45" s="125">
        <f t="shared" si="63"/>
        <v>143.5</v>
      </c>
      <c r="E45" s="125">
        <v>2</v>
      </c>
      <c r="F45" s="128">
        <v>16</v>
      </c>
      <c r="G45" s="90">
        <v>16</v>
      </c>
      <c r="H45" s="90">
        <v>5</v>
      </c>
      <c r="J45" s="128">
        <v>39</v>
      </c>
      <c r="K45" s="90">
        <f t="shared" si="17"/>
        <v>16</v>
      </c>
      <c r="L45" s="90">
        <f t="shared" si="18"/>
        <v>16</v>
      </c>
      <c r="M45" s="90">
        <f t="shared" si="19"/>
        <v>5</v>
      </c>
      <c r="N45" s="140">
        <f>INDEX($A:$A,MATCH(SUM($K$7:K45),$D:$D,1))</f>
        <v>166</v>
      </c>
      <c r="O45" s="140">
        <v>0</v>
      </c>
      <c r="P45" s="141">
        <v>0</v>
      </c>
      <c r="Q45" s="126">
        <f>_xlfn.MAXIFS(关卡产出!X:X,关卡产出!$A:$A,玩家节奏2!$N$6,关卡产出!$B:$B,玩家节奏2!$N45)+_xlfn.MAXIFS(关卡产出!X:X,关卡产出!$A:$A,玩家节奏2!$O$6,关卡产出!$B:$B,玩家节奏2!$O45)+_xlfn.MAXIFS(关卡产出!X:X,关卡产出!$A:$A,玩家节奏2!$P$6,关卡产出!$B:$B,玩家节奏2!$P45)</f>
        <v>31700</v>
      </c>
      <c r="R45" s="90">
        <f>_xlfn.MAXIFS(关卡产出!Y:Y,关卡产出!$A:$A,玩家节奏2!$N$6,关卡产出!$B:$B,玩家节奏2!$N45)+_xlfn.MAXIFS(关卡产出!Y:Y,关卡产出!$A:$A,玩家节奏2!$O$6,关卡产出!$B:$B,玩家节奏2!$O45)+_xlfn.MAXIFS(关卡产出!Y:Y,关卡产出!$A:$A,玩家节奏2!$P$6,关卡产出!$B:$B,玩家节奏2!$P45)</f>
        <v>7944800</v>
      </c>
      <c r="S45" s="90">
        <f>_xlfn.MAXIFS(关卡产出!Z:Z,关卡产出!$A:$A,玩家节奏2!$N$6,关卡产出!$B:$B,玩家节奏2!$N45)+_xlfn.MAXIFS(关卡产出!Z:Z,关卡产出!$A:$A,玩家节奏2!$O$6,关卡产出!$B:$B,玩家节奏2!$O45)+_xlfn.MAXIFS(关卡产出!Z:Z,关卡产出!$A:$A,玩家节奏2!$P$6,关卡产出!$B:$B,玩家节奏2!$P45)</f>
        <v>54182</v>
      </c>
      <c r="T45" s="90">
        <f>_xlfn.MAXIFS(关卡产出!AA:AA,关卡产出!$A:$A,玩家节奏2!$N$6,关卡产出!$B:$B,玩家节奏2!$N45)+_xlfn.MAXIFS(关卡产出!AA:AA,关卡产出!$A:$A,玩家节奏2!$O$6,关卡产出!$B:$B,玩家节奏2!$O45)+_xlfn.MAXIFS(关卡产出!AA:AA,关卡产出!$A:$A,玩家节奏2!$P$6,关卡产出!$B:$B,玩家节奏2!$P45)</f>
        <v>27092</v>
      </c>
      <c r="U45" s="90">
        <f>_xlfn.MAXIFS(关卡产出!AB:AB,关卡产出!$A:$A,玩家节奏2!$N$6,关卡产出!$B:$B,玩家节奏2!$N45)+_xlfn.MAXIFS(关卡产出!AB:AB,关卡产出!$A:$A,玩家节奏2!$O$6,关卡产出!$B:$B,玩家节奏2!$O45)+_xlfn.MAXIFS(关卡产出!AB:AB,关卡产出!$A:$A,玩家节奏2!$P$6,关卡产出!$B:$B,玩家节奏2!$P45)</f>
        <v>13044</v>
      </c>
      <c r="V45" s="130">
        <f>_xlfn.MAXIFS(关卡产出!AC:AC,关卡产出!$A:$A,玩家节奏2!$N$6,关卡产出!$B:$B,玩家节奏2!$N45)+_xlfn.MAXIFS(关卡产出!AC:AC,关卡产出!$A:$A,玩家节奏2!$O$6,关卡产出!$B:$B,玩家节奏2!$O45)+_xlfn.MAXIFS(关卡产出!AC:AC,关卡产出!$A:$A,玩家节奏2!$P$6,关卡产出!$B:$B,玩家节奏2!$P45)</f>
        <v>996</v>
      </c>
      <c r="W45" s="126">
        <f>INDEX(关卡产出!C$8:C$207,MATCH(玩家节奏2!$N45,关卡产出!$B$8:$B$207,0))*$K45</f>
        <v>2096</v>
      </c>
      <c r="X45" s="126">
        <f>INDEX(关卡产出!D$8:D$207,MATCH(玩家节奏2!$N45,关卡产出!$B$8:$B$207,0))*$K45</f>
        <v>1040</v>
      </c>
      <c r="Y45" s="126">
        <f>INDEX(关卡产出!E$8:E$207,MATCH(玩家节奏2!$N45,关卡产出!$B$8:$B$207,0))*$K45</f>
        <v>512</v>
      </c>
      <c r="Z45" s="144">
        <f>INDEX(关卡产出!F$8:F$207,MATCH(玩家节奏2!$N45,关卡产出!$B$8:$B$207,0))*$K45</f>
        <v>27360</v>
      </c>
      <c r="AA45" s="126">
        <f>SUM(W$7:W45)</f>
        <v>41950</v>
      </c>
      <c r="AB45" s="126">
        <f>SUM(X$7:X45)</f>
        <v>20835</v>
      </c>
      <c r="AC45" s="126">
        <f>SUM(Y$7:Y45)</f>
        <v>10067</v>
      </c>
      <c r="AD45" s="177">
        <f>SUM(Z$7:Z45)</f>
        <v>571610</v>
      </c>
      <c r="AE45" s="128">
        <f>INDEX(图鉴!AQ:AQ,MATCH($N45,图鉴!$S:$S,0))*34</f>
        <v>714</v>
      </c>
      <c r="AF45" s="90">
        <f>INDEX(图鉴!AR:AR,MATCH($N45,图鉴!$S:$S,0))*34</f>
        <v>510</v>
      </c>
      <c r="AG45" s="90">
        <f>INDEX(图鉴!AS:AS,MATCH($N45,图鉴!$S:$S,0))*34</f>
        <v>204</v>
      </c>
      <c r="AH45" s="129">
        <f ca="1">INDEX(图鉴!AT:AT,MATCH($N45,图鉴!$S:$S,0))*34</f>
        <v>51510</v>
      </c>
      <c r="AI45" s="128">
        <f>SUM($AE$7:AE45)</f>
        <v>25942</v>
      </c>
      <c r="AJ45" s="90">
        <f>SUM(AF$7:AF45)</f>
        <v>16422</v>
      </c>
      <c r="AK45" s="90">
        <f>SUM(AG$7:AG45)</f>
        <v>6018</v>
      </c>
      <c r="AL45" s="130">
        <f ca="1">SUM(AH$7:AH45)</f>
        <v>1367106</v>
      </c>
      <c r="AM45" s="133">
        <f>IF(M45=0,0,INDEX(关卡产出!$AU$11:$AU$15,MATCH(玩家节奏2!N45,关卡产出!$AW$11:$AW$15,1))*M45)</f>
        <v>61000</v>
      </c>
      <c r="AN45" s="126">
        <f>IF(L45=0,0,$L45*关卡产出!AU$21)</f>
        <v>16000</v>
      </c>
      <c r="AO45" s="90">
        <f>IF(M45=0,0,$L45*关卡产出!AV$21)</f>
        <v>800</v>
      </c>
      <c r="AP45" s="129">
        <f>IF(N45=0,0,$L45*关卡产出!AW$21)</f>
        <v>16</v>
      </c>
      <c r="AQ45" s="138">
        <f>SUM(AN$7:AN45)</f>
        <v>576000</v>
      </c>
      <c r="AR45" s="126">
        <f>SUM(AO$7:AO45)</f>
        <v>28800</v>
      </c>
      <c r="AS45" s="129">
        <f>SUM(AP$7:AP45)</f>
        <v>576</v>
      </c>
      <c r="AT45" s="128">
        <v>3000</v>
      </c>
      <c r="AU45" s="129">
        <v>600</v>
      </c>
      <c r="AV45" s="128">
        <f>SUM(AT$7:AT45)</f>
        <v>117000</v>
      </c>
      <c r="AW45" s="90">
        <f>SUM(AU$7:AU45)</f>
        <v>23400</v>
      </c>
      <c r="AY45" s="128">
        <f t="shared" si="20"/>
        <v>31700</v>
      </c>
      <c r="AZ45" s="90">
        <f t="shared" si="21"/>
        <v>28800</v>
      </c>
      <c r="BA45" s="90">
        <f t="shared" si="22"/>
        <v>23400</v>
      </c>
      <c r="BB45" s="90">
        <f t="shared" ca="1" si="57"/>
        <v>16200</v>
      </c>
      <c r="BC45" s="90">
        <f t="shared" ca="1" si="60"/>
        <v>52225</v>
      </c>
      <c r="BD45" s="90">
        <f t="shared" ca="1" si="61"/>
        <v>47875</v>
      </c>
      <c r="BE45" s="90">
        <f t="shared" ca="1" si="24"/>
        <v>100100</v>
      </c>
      <c r="BF45" s="142">
        <f t="shared" ca="1" si="64"/>
        <v>0.60698898994734318</v>
      </c>
      <c r="BG45" s="142">
        <f t="shared" ca="1" si="65"/>
        <v>0.55146002872187649</v>
      </c>
      <c r="BH45" s="142">
        <f t="shared" ca="1" si="66"/>
        <v>0.44806127333652468</v>
      </c>
      <c r="BI45" s="142">
        <f t="shared" ca="1" si="67"/>
        <v>0.31019626615605556</v>
      </c>
      <c r="BJ45" s="143"/>
      <c r="BK45" s="128">
        <f ca="1">INDEX(商城宝箱!$L:$L,MATCH(BC45,商城宝箱!$N:$N,1))</f>
        <v>9</v>
      </c>
      <c r="BL45" s="90">
        <f ca="1">_xlfn.IFNA(INDEX(商城宝箱!T:T,MATCH(玩家节奏2!$BK45,商城宝箱!$L:$L,0)),0)+($BC45-INDEX(商城宝箱!$N:$N,MATCH(玩家节奏2!$BK45,商城宝箱!$L:$L,0)))/$BK$5*INDEX(商城宝箱!E$23:E$42,MATCH(玩家节奏2!$BK45+1,商城宝箱!$C$23:$C$42,0))</f>
        <v>130562.5</v>
      </c>
      <c r="BM45" s="90">
        <f ca="1">_xlfn.IFNA(INDEX(商城宝箱!U:U,MATCH(玩家节奏2!$BK45,商城宝箱!$L:$L,0)),0)+($BC45-INDEX(商城宝箱!$N:$N,MATCH(玩家节奏2!$BK45,商城宝箱!$L:$L,0)))/$BK$5*INDEX(商城宝箱!F$23:F$42,MATCH(玩家节奏2!$BK45+1,商城宝箱!$C$23:$C$42,0))</f>
        <v>84500</v>
      </c>
      <c r="BN45" s="90">
        <f ca="1">_xlfn.IFNA(INDEX(商城宝箱!V:V,MATCH(玩家节奏2!$BK45,商城宝箱!$L:$L,0)),0)+($BC45-INDEX(商城宝箱!$N:$N,MATCH(玩家节奏2!$BK45,商城宝箱!$L:$L,0)))/$BK$5*INDEX(商城宝箱!G$23:G$42,MATCH(玩家节奏2!$BK45+1,商城宝箱!$C$23:$C$42,0))</f>
        <v>52043.25</v>
      </c>
      <c r="BO45" s="90">
        <f ca="1">_xlfn.IFNA(INDEX(商城宝箱!W:W,MATCH(玩家节奏2!$BK45,商城宝箱!$L:$L,0)),0)+($BC45-INDEX(商城宝箱!$N:$N,MATCH(玩家节奏2!$BK45,商城宝箱!$L:$L,0)))/$BK$5*INDEX(商城宝箱!H$23:H$42,MATCH(玩家节奏2!$BK45+1,商城宝箱!$C$23:$C$42,0))</f>
        <v>6856.5</v>
      </c>
      <c r="BQ45" s="128">
        <f t="shared" si="4"/>
        <v>7944800</v>
      </c>
      <c r="BR45" s="90">
        <f t="shared" si="5"/>
        <v>571610</v>
      </c>
      <c r="BS45" s="90">
        <f t="shared" ca="1" si="68"/>
        <v>1367106</v>
      </c>
      <c r="BT45" s="90">
        <f t="shared" si="69"/>
        <v>61000</v>
      </c>
      <c r="BU45" s="90">
        <f t="shared" si="8"/>
        <v>576000</v>
      </c>
      <c r="BV45" s="90">
        <f t="shared" si="9"/>
        <v>117000</v>
      </c>
      <c r="BW45" s="90">
        <f t="shared" ca="1" si="25"/>
        <v>130562.5</v>
      </c>
      <c r="BX45" s="90">
        <f t="shared" ca="1" si="26"/>
        <v>10768078.5</v>
      </c>
      <c r="BY45" s="142">
        <f t="shared" ca="1" si="27"/>
        <v>0.7378103716461577</v>
      </c>
      <c r="BZ45" s="142">
        <f t="shared" ca="1" si="27"/>
        <v>5.3083751200365042E-2</v>
      </c>
      <c r="CA45" s="142">
        <f t="shared" ca="1" si="27"/>
        <v>0.12695914131755262</v>
      </c>
      <c r="CB45" s="142">
        <f t="shared" ca="1" si="27"/>
        <v>5.6648918374805684E-3</v>
      </c>
      <c r="CC45" s="142">
        <f t="shared" ca="1" si="27"/>
        <v>5.349143767850504E-2</v>
      </c>
      <c r="CD45" s="142">
        <f t="shared" ca="1" si="27"/>
        <v>1.0865448278446335E-2</v>
      </c>
      <c r="CE45" s="142">
        <f t="shared" ca="1" si="27"/>
        <v>1.2124958041492733E-2</v>
      </c>
      <c r="CG45" s="128">
        <f t="shared" si="28"/>
        <v>166</v>
      </c>
      <c r="CH45" s="90">
        <f ca="1">INDEX(角色升级!$A:$A,MATCH(玩家节奏2!$BX45,角色升级!$J:$J,1))</f>
        <v>747</v>
      </c>
      <c r="CI45" s="90">
        <f ca="1">INDEX(角色升级!$O:$O,MATCH(玩家节奏2!$BX45,角色升级!$J:$J,1))</f>
        <v>45374.98345</v>
      </c>
      <c r="CJ45" s="90">
        <f>INDEX(关卡对比!$J:$J,MATCH(玩家节奏2!N45,关卡对比!$A:$A,0))</f>
        <v>69200</v>
      </c>
      <c r="CK45" s="147">
        <f t="shared" ca="1" si="29"/>
        <v>1.5250694267746339</v>
      </c>
      <c r="CL45" s="128">
        <f ca="1">INDEX(角色升级!$P:$P,MATCH(玩家节奏2!$CH45,角色升级!$A:$A,0))</f>
        <v>18200</v>
      </c>
      <c r="CM45" s="90">
        <f ca="1">INDEX(角色升级!Q:Q,MATCH(玩家节奏2!$CH45,角色升级!$A:$A,0))</f>
        <v>1.4</v>
      </c>
      <c r="CO45" s="128">
        <f t="shared" si="30"/>
        <v>54182</v>
      </c>
      <c r="CP45" s="90">
        <f t="shared" si="31"/>
        <v>41950</v>
      </c>
      <c r="CQ45" s="90">
        <f t="shared" si="32"/>
        <v>25942</v>
      </c>
      <c r="CR45" s="90">
        <f t="shared" ca="1" si="33"/>
        <v>84500</v>
      </c>
      <c r="CS45" s="90">
        <f t="shared" ca="1" si="34"/>
        <v>206574</v>
      </c>
      <c r="CT45" s="142">
        <f t="shared" ca="1" si="35"/>
        <v>0.26228857455439697</v>
      </c>
      <c r="CU45" s="142">
        <f t="shared" ca="1" si="35"/>
        <v>0.203074927144752</v>
      </c>
      <c r="CV45" s="142">
        <f t="shared" ca="1" si="35"/>
        <v>0.12558211585194651</v>
      </c>
      <c r="CW45" s="142">
        <f t="shared" ca="1" si="35"/>
        <v>0.40905438244890452</v>
      </c>
      <c r="CY45" s="128">
        <f t="shared" si="36"/>
        <v>27092</v>
      </c>
      <c r="CZ45" s="90">
        <f t="shared" si="37"/>
        <v>20835</v>
      </c>
      <c r="DA45" s="90">
        <f t="shared" si="38"/>
        <v>16422</v>
      </c>
      <c r="DB45" s="90">
        <f t="shared" ca="1" si="58"/>
        <v>52043.25</v>
      </c>
      <c r="DC45" s="90">
        <f t="shared" ca="1" si="39"/>
        <v>116392.25</v>
      </c>
      <c r="DD45" s="142">
        <f t="shared" ca="1" si="40"/>
        <v>0.232764638539078</v>
      </c>
      <c r="DE45" s="142">
        <f t="shared" ca="1" si="40"/>
        <v>0.17900676376648789</v>
      </c>
      <c r="DF45" s="142">
        <f t="shared" ca="1" si="40"/>
        <v>0.14109186823005826</v>
      </c>
      <c r="DG45" s="142">
        <f t="shared" ca="1" si="40"/>
        <v>0.44713672946437583</v>
      </c>
      <c r="DI45" s="128">
        <f t="shared" si="41"/>
        <v>13044</v>
      </c>
      <c r="DJ45" s="90">
        <f t="shared" si="42"/>
        <v>10067</v>
      </c>
      <c r="DK45" s="90">
        <f t="shared" si="43"/>
        <v>6018</v>
      </c>
      <c r="DL45" s="90">
        <f t="shared" ca="1" si="44"/>
        <v>6856.5</v>
      </c>
      <c r="DM45" s="90">
        <f t="shared" ca="1" si="45"/>
        <v>35985.5</v>
      </c>
      <c r="DN45" s="142">
        <f t="shared" ca="1" si="46"/>
        <v>0.3624793319531478</v>
      </c>
      <c r="DO45" s="142">
        <f t="shared" ca="1" si="46"/>
        <v>0.27975156660321521</v>
      </c>
      <c r="DP45" s="142">
        <f t="shared" ca="1" si="46"/>
        <v>0.16723402481555072</v>
      </c>
      <c r="DQ45" s="142">
        <f t="shared" ca="1" si="46"/>
        <v>0.1905350766280863</v>
      </c>
      <c r="DS45" s="128">
        <f t="shared" ca="1" si="47"/>
        <v>206574</v>
      </c>
      <c r="DT45" s="90">
        <f t="shared" ca="1" si="48"/>
        <v>116392.25</v>
      </c>
      <c r="DU45" s="90">
        <f t="shared" ca="1" si="49"/>
        <v>35985.5</v>
      </c>
      <c r="DV45" s="90">
        <f t="shared" si="50"/>
        <v>576</v>
      </c>
      <c r="DW45" s="90">
        <f ca="1">_xlfn.IFNA(INDEX(武器升级消耗!$H:$H,MATCH(玩家节奏2!DS45/玩家节奏2!DS$5,武器升级消耗!M:M,1)),0)</f>
        <v>41</v>
      </c>
      <c r="DX45" s="90">
        <f ca="1">_xlfn.IFNA(INDEX(武器升级消耗!$H:$H,MATCH(玩家节奏2!DT45/玩家节奏2!DT$5,武器升级消耗!N:N,1)),0)</f>
        <v>37</v>
      </c>
      <c r="DY45" s="90">
        <f ca="1">_xlfn.IFNA(INDEX(武器升级消耗!$H:$H,MATCH(玩家节奏2!DU45/玩家节奏2!DU$5,武器升级消耗!O:O,1)),0)</f>
        <v>26</v>
      </c>
      <c r="DZ45" s="90">
        <f>_xlfn.IFNA(INDEX(武器升级消耗!$H:$H,MATCH(玩家节奏2!DV45/玩家节奏2!DV$5,武器升级消耗!P:P,1)),0)</f>
        <v>17</v>
      </c>
      <c r="EA45" s="90">
        <f ca="1">_xlfn.IFNA(INDEX(武器升级消耗!$Q:$Q,MATCH(玩家节奏2!DW45,武器升级消耗!$H:$H,0))*2*EA$4,0)</f>
        <v>5.3999999999999995</v>
      </c>
      <c r="EB45" s="90">
        <f ca="1">_xlfn.IFNA(INDEX(武器升级消耗!$Q:$Q,MATCH(玩家节奏2!DX45,武器升级消耗!$H:$H,0))*2*EB$4,0)</f>
        <v>6.1499999999999995</v>
      </c>
      <c r="EC45" s="90">
        <f ca="1">_xlfn.IFNA(INDEX(武器升级消耗!$Q:$Q,MATCH(玩家节奏2!DY45,武器升级消耗!$H:$H,0))*2*EC$4,0)</f>
        <v>6.6000000000000005</v>
      </c>
      <c r="ED45" s="90">
        <f>_xlfn.IFNA(INDEX(武器升级消耗!$Q:$Q,MATCH(玩家节奏2!DZ45,武器升级消耗!$H:$H,0))*2*ED$4,0)</f>
        <v>6.3000000000000007</v>
      </c>
      <c r="EF45" s="128">
        <f t="shared" si="70"/>
        <v>0</v>
      </c>
      <c r="EG45" s="90">
        <f t="shared" si="71"/>
        <v>0</v>
      </c>
      <c r="EH45" s="90">
        <v>117</v>
      </c>
      <c r="EI45" s="90">
        <v>117</v>
      </c>
      <c r="EJ45" s="90">
        <f>_xlfn.IFNA(INDEX(皮肤宠物!$J$4:$J$13,MATCH(EF45+EH45,皮肤宠物!$L$4:$L$13,1)),0)</f>
        <v>6</v>
      </c>
      <c r="EK45" s="90">
        <f>_xlfn.IFNA(INDEX(皮肤宠物!$J$4:$J$13,MATCH(EG45+EI45,皮肤宠物!$L$4:$L$13,1)),0)</f>
        <v>6</v>
      </c>
      <c r="EL45" s="90">
        <f>_xlfn.IFNA(INDEX(皮肤宠物!$N$4:$N$13,MATCH(EF45+EH45,皮肤宠物!$L$4:$L$13,1)),1)</f>
        <v>1.7600000000000002</v>
      </c>
      <c r="EM45" s="90">
        <f>_xlfn.IFNA(INDEX(皮肤宠物!$N$4:$N$13,MATCH(EG45+EI45,皮肤宠物!$L$4:$L$13,1)),1)</f>
        <v>1.7600000000000002</v>
      </c>
      <c r="EO45" s="128">
        <v>117</v>
      </c>
      <c r="EP45" s="90">
        <v>39</v>
      </c>
      <c r="EQ45" s="90">
        <f t="shared" ca="1" si="51"/>
        <v>47875</v>
      </c>
      <c r="ER45" s="90">
        <f t="shared" si="72"/>
        <v>0</v>
      </c>
      <c r="ES45" s="90">
        <f t="shared" ca="1" si="52"/>
        <v>517.75</v>
      </c>
      <c r="ET45" s="90">
        <f ca="1">$ES45*ET$5*皮肤宠物!$J$75/4</f>
        <v>1709.09275</v>
      </c>
      <c r="EU45" s="90">
        <f ca="1">$ES45*EU$5*皮肤宠物!$J$76/4</f>
        <v>285.28025000000002</v>
      </c>
      <c r="EV45" s="90">
        <f ca="1">$ES45*EV$5*皮肤宠物!$J$77/4</f>
        <v>77.274187500000011</v>
      </c>
      <c r="EW45" s="90">
        <f ca="1">_xlfn.IFNA(INDEX(皮肤宠物!$H$18:$H$67,MATCH(ET45,皮肤宠物!L$18:L$67,1)),0)</f>
        <v>14</v>
      </c>
      <c r="EX45" s="90">
        <f ca="1">_xlfn.IFNA(INDEX(皮肤宠物!$H$18:$H$67,MATCH(EU45,皮肤宠物!M$18:M$67,1)),0)</f>
        <v>11</v>
      </c>
      <c r="EY45" s="90">
        <f ca="1">_xlfn.IFNA(INDEX(皮肤宠物!$H$18:$H$67,MATCH(EV45,皮肤宠物!N$18:N$67,1)),0)</f>
        <v>8</v>
      </c>
      <c r="EZ45" s="90">
        <f ca="1">_xlfn.IFNA(INDEX(皮肤宠物!C$18:C$67,MATCH(EW45,皮肤宠物!$A$18:$A$67,0))+1,1)</f>
        <v>1.1400000000000001</v>
      </c>
      <c r="FA45" s="90">
        <f ca="1">_xlfn.IFNA(INDEX(皮肤宠物!D$18:D$67,MATCH(EX45,皮肤宠物!$A$18:$A$67,0))+1,1)</f>
        <v>1.22</v>
      </c>
      <c r="FB45" s="90">
        <f ca="1">_xlfn.IFNA(INDEX(皮肤宠物!E$18:E$67,MATCH(EY45,皮肤宠物!$A$18:$A$67,0))+1,1)</f>
        <v>1.32</v>
      </c>
      <c r="FD45" s="90">
        <f t="shared" ca="1" si="53"/>
        <v>6.6000000000000005</v>
      </c>
      <c r="FE45" s="90">
        <f t="shared" si="54"/>
        <v>1.7600000000000002</v>
      </c>
      <c r="FF45" s="90">
        <f t="shared" ca="1" si="55"/>
        <v>1.32</v>
      </c>
      <c r="FG45" s="90">
        <f t="shared" ca="1" si="56"/>
        <v>15.333120000000005</v>
      </c>
    </row>
    <row r="46" spans="1:163" x14ac:dyDescent="0.25">
      <c r="A46" s="123">
        <v>40</v>
      </c>
      <c r="B46" s="123">
        <f>INDEX(关卡对比!$Y:$Y,MATCH(关卡对比!Z46,关卡对比!$AA:$AA,1))</f>
        <v>28</v>
      </c>
      <c r="C46" s="124">
        <f>INDEX(关卡对比!$Y:$Y,MATCH(关卡对比!Z46,关卡对比!$AB:$AB,1))</f>
        <v>22</v>
      </c>
      <c r="D46" s="125">
        <f t="shared" si="63"/>
        <v>149.5</v>
      </c>
      <c r="E46" s="125">
        <v>2</v>
      </c>
      <c r="F46" s="128">
        <v>16</v>
      </c>
      <c r="G46" s="90">
        <v>16</v>
      </c>
      <c r="H46" s="90">
        <v>5</v>
      </c>
      <c r="J46" s="128">
        <v>40</v>
      </c>
      <c r="K46" s="90">
        <f t="shared" si="17"/>
        <v>16</v>
      </c>
      <c r="L46" s="90">
        <f t="shared" si="18"/>
        <v>16</v>
      </c>
      <c r="M46" s="90">
        <f t="shared" si="19"/>
        <v>5</v>
      </c>
      <c r="N46" s="140">
        <f>INDEX($A:$A,MATCH(SUM($K$7:K46),$D:$D,1))</f>
        <v>170</v>
      </c>
      <c r="O46" s="140">
        <v>0</v>
      </c>
      <c r="P46" s="141">
        <v>0</v>
      </c>
      <c r="Q46" s="126">
        <f>_xlfn.MAXIFS(关卡产出!X:X,关卡产出!$A:$A,玩家节奏2!$N$6,关卡产出!$B:$B,玩家节奏2!$N46)+_xlfn.MAXIFS(关卡产出!X:X,关卡产出!$A:$A,玩家节奏2!$O$6,关卡产出!$B:$B,玩家节奏2!$O46)+_xlfn.MAXIFS(关卡产出!X:X,关卡产出!$A:$A,玩家节奏2!$P$6,关卡产出!$B:$B,玩家节奏2!$P46)</f>
        <v>32500</v>
      </c>
      <c r="R46" s="90">
        <f>_xlfn.MAXIFS(关卡产出!Y:Y,关卡产出!$A:$A,玩家节奏2!$N$6,关卡产出!$B:$B,玩家节奏2!$N46)+_xlfn.MAXIFS(关卡产出!Y:Y,关卡产出!$A:$A,玩家节奏2!$O$6,关卡产出!$B:$B,玩家节奏2!$O46)+_xlfn.MAXIFS(关卡产出!Y:Y,关卡产出!$A:$A,玩家节奏2!$P$6,关卡产出!$B:$B,玩家节奏2!$P46)</f>
        <v>8340000</v>
      </c>
      <c r="S46" s="90">
        <f>_xlfn.MAXIFS(关卡产出!Z:Z,关卡产出!$A:$A,玩家节奏2!$N$6,关卡产出!$B:$B,玩家节奏2!$N46)+_xlfn.MAXIFS(关卡产出!Z:Z,关卡产出!$A:$A,玩家节奏2!$O$6,关卡产出!$B:$B,玩家节奏2!$O46)+_xlfn.MAXIFS(关卡产出!Z:Z,关卡产出!$A:$A,玩家节奏2!$P$6,关卡产出!$B:$B,玩家节奏2!$P46)</f>
        <v>56846</v>
      </c>
      <c r="T46" s="90">
        <f>_xlfn.MAXIFS(关卡产出!AA:AA,关卡产出!$A:$A,玩家节奏2!$N$6,关卡产出!$B:$B,玩家节奏2!$N46)+_xlfn.MAXIFS(关卡产出!AA:AA,关卡产出!$A:$A,玩家节奏2!$O$6,关卡产出!$B:$B,玩家节奏2!$O46)+_xlfn.MAXIFS(关卡产出!AA:AA,关卡产出!$A:$A,玩家节奏2!$P$6,关卡产出!$B:$B,玩家节奏2!$P46)</f>
        <v>28424</v>
      </c>
      <c r="U46" s="90">
        <f>_xlfn.MAXIFS(关卡产出!AB:AB,关卡产出!$A:$A,玩家节奏2!$N$6,关卡产出!$B:$B,玩家节奏2!$N46)+_xlfn.MAXIFS(关卡产出!AB:AB,关卡产出!$A:$A,玩家节奏2!$O$6,关卡产出!$B:$B,玩家节奏2!$O46)+_xlfn.MAXIFS(关卡产出!AB:AB,关卡产出!$A:$A,玩家节奏2!$P$6,关卡产出!$B:$B,玩家节奏2!$P46)</f>
        <v>13698</v>
      </c>
      <c r="V46" s="130">
        <f>_xlfn.MAXIFS(关卡产出!AC:AC,关卡产出!$A:$A,玩家节奏2!$N$6,关卡产出!$B:$B,玩家节奏2!$N46)+_xlfn.MAXIFS(关卡产出!AC:AC,关卡产出!$A:$A,玩家节奏2!$O$6,关卡产出!$B:$B,玩家节奏2!$O46)+_xlfn.MAXIFS(关卡产出!AC:AC,关卡产出!$A:$A,玩家节奏2!$P$6,关卡产出!$B:$B,玩家节奏2!$P46)</f>
        <v>1020</v>
      </c>
      <c r="W46" s="126">
        <f>INDEX(关卡产出!C$8:C$207,MATCH(玩家节奏2!$N46,关卡产出!$B$8:$B$207,0))*$K46</f>
        <v>2144</v>
      </c>
      <c r="X46" s="126">
        <f>INDEX(关卡产出!D$8:D$207,MATCH(玩家节奏2!$N46,关卡产出!$B$8:$B$207,0))*$K46</f>
        <v>1072</v>
      </c>
      <c r="Y46" s="126">
        <f>INDEX(关卡产出!E$8:E$207,MATCH(玩家节奏2!$N46,关卡产出!$B$8:$B$207,0))*$K46</f>
        <v>528</v>
      </c>
      <c r="Z46" s="144">
        <f>INDEX(关卡产出!F$8:F$207,MATCH(玩家节奏2!$N46,关卡产出!$B$8:$B$207,0))*$K46</f>
        <v>28000</v>
      </c>
      <c r="AA46" s="126">
        <f>SUM(W$7:W46)</f>
        <v>44094</v>
      </c>
      <c r="AB46" s="126">
        <f>SUM(X$7:X46)</f>
        <v>21907</v>
      </c>
      <c r="AC46" s="126">
        <f>SUM(Y$7:Y46)</f>
        <v>10595</v>
      </c>
      <c r="AD46" s="177">
        <f>SUM(Z$7:Z46)</f>
        <v>599610</v>
      </c>
      <c r="AE46" s="128">
        <f>INDEX(图鉴!AQ:AQ,MATCH($N46,图鉴!$S:$S,0))*34</f>
        <v>714</v>
      </c>
      <c r="AF46" s="90">
        <f>INDEX(图鉴!AR:AR,MATCH($N46,图鉴!$S:$S,0))*34</f>
        <v>510</v>
      </c>
      <c r="AG46" s="90">
        <f>INDEX(图鉴!AS:AS,MATCH($N46,图鉴!$S:$S,0))*34</f>
        <v>204</v>
      </c>
      <c r="AH46" s="129">
        <f ca="1">INDEX(图鉴!AT:AT,MATCH($N46,图鉴!$S:$S,0))*34</f>
        <v>53720</v>
      </c>
      <c r="AI46" s="128">
        <f>SUM($AE$7:AE46)</f>
        <v>26656</v>
      </c>
      <c r="AJ46" s="90">
        <f>SUM(AF$7:AF46)</f>
        <v>16932</v>
      </c>
      <c r="AK46" s="90">
        <f>SUM(AG$7:AG46)</f>
        <v>6222</v>
      </c>
      <c r="AL46" s="130">
        <f ca="1">SUM(AH$7:AH46)</f>
        <v>1420826</v>
      </c>
      <c r="AM46" s="133">
        <f>IF(M46=0,0,INDEX(关卡产出!$AU$11:$AU$15,MATCH(玩家节奏2!N46,关卡产出!$AW$11:$AW$15,1))*M46)</f>
        <v>61000</v>
      </c>
      <c r="AN46" s="126">
        <f>IF(L46=0,0,$L46*关卡产出!AU$21)</f>
        <v>16000</v>
      </c>
      <c r="AO46" s="90">
        <f>IF(M46=0,0,$L46*关卡产出!AV$21)</f>
        <v>800</v>
      </c>
      <c r="AP46" s="129">
        <f>IF(N46=0,0,$L46*关卡产出!AW$21)</f>
        <v>16</v>
      </c>
      <c r="AQ46" s="138">
        <f>SUM(AN$7:AN46)</f>
        <v>592000</v>
      </c>
      <c r="AR46" s="126">
        <f>SUM(AO$7:AO46)</f>
        <v>29600</v>
      </c>
      <c r="AS46" s="129">
        <f>SUM(AP$7:AP46)</f>
        <v>592</v>
      </c>
      <c r="AT46" s="128">
        <v>3000</v>
      </c>
      <c r="AU46" s="129">
        <v>600</v>
      </c>
      <c r="AV46" s="128">
        <f>SUM(AT$7:AT46)</f>
        <v>120000</v>
      </c>
      <c r="AW46" s="90">
        <f>SUM(AU$7:AU46)</f>
        <v>24000</v>
      </c>
      <c r="AY46" s="128">
        <f t="shared" si="20"/>
        <v>32500</v>
      </c>
      <c r="AZ46" s="90">
        <f t="shared" si="21"/>
        <v>29600</v>
      </c>
      <c r="BA46" s="90">
        <f t="shared" si="22"/>
        <v>24000</v>
      </c>
      <c r="BB46" s="90">
        <f t="shared" ca="1" si="57"/>
        <v>18200</v>
      </c>
      <c r="BC46" s="90">
        <f t="shared" ca="1" si="60"/>
        <v>54325</v>
      </c>
      <c r="BD46" s="90">
        <f t="shared" ca="1" si="61"/>
        <v>49975</v>
      </c>
      <c r="BE46" s="90">
        <f t="shared" ca="1" si="24"/>
        <v>104300</v>
      </c>
      <c r="BF46" s="142">
        <f t="shared" ca="1" si="64"/>
        <v>0.59825126553152319</v>
      </c>
      <c r="BG46" s="142">
        <f t="shared" ca="1" si="65"/>
        <v>0.5448688449148642</v>
      </c>
      <c r="BH46" s="142">
        <f t="shared" ca="1" si="66"/>
        <v>0.44178554993097102</v>
      </c>
      <c r="BI46" s="142">
        <f t="shared" ca="1" si="67"/>
        <v>0.33502070869765299</v>
      </c>
      <c r="BJ46" s="143"/>
      <c r="BK46" s="128">
        <f ca="1">INDEX(商城宝箱!$L:$L,MATCH(BC46,商城宝箱!$N:$N,1))</f>
        <v>9</v>
      </c>
      <c r="BL46" s="90">
        <f ca="1">_xlfn.IFNA(INDEX(商城宝箱!T:T,MATCH(玩家节奏2!$BK46,商城宝箱!$L:$L,0)),0)+($BC46-INDEX(商城宝箱!$N:$N,MATCH(玩家节奏2!$BK46,商城宝箱!$L:$L,0)))/$BK$5*INDEX(商城宝箱!E$23:E$42,MATCH(玩家节奏2!$BK46+1,商城宝箱!$C$23:$C$42,0))</f>
        <v>135812.5</v>
      </c>
      <c r="BM46" s="90">
        <f ca="1">_xlfn.IFNA(INDEX(商城宝箱!U:U,MATCH(玩家节奏2!$BK46,商城宝箱!$L:$L,0)),0)+($BC46-INDEX(商城宝箱!$N:$N,MATCH(玩家节奏2!$BK46,商城宝箱!$L:$L,0)))/$BK$5*INDEX(商城宝箱!F$23:F$42,MATCH(玩家节奏2!$BK46+1,商城宝箱!$C$23:$C$42,0))</f>
        <v>90170</v>
      </c>
      <c r="BN46" s="90">
        <f ca="1">_xlfn.IFNA(INDEX(商城宝箱!V:V,MATCH(玩家节奏2!$BK46,商城宝箱!$L:$L,0)),0)+($BC46-INDEX(商城宝箱!$N:$N,MATCH(玩家节奏2!$BK46,商城宝箱!$L:$L,0)))/$BK$5*INDEX(商城宝箱!G$23:G$42,MATCH(玩家节奏2!$BK46+1,商城宝箱!$C$23:$C$42,0))</f>
        <v>54668.25</v>
      </c>
      <c r="BO46" s="90">
        <f ca="1">_xlfn.IFNA(INDEX(商城宝箱!W:W,MATCH(玩家节奏2!$BK46,商城宝箱!$L:$L,0)),0)+($BC46-INDEX(商城宝箱!$N:$N,MATCH(玩家节奏2!$BK46,商城宝箱!$L:$L,0)))/$BK$5*INDEX(商城宝箱!H$23:H$42,MATCH(玩家节奏2!$BK46+1,商城宝箱!$C$23:$C$42,0))</f>
        <v>7276.5</v>
      </c>
      <c r="BQ46" s="128">
        <f t="shared" si="4"/>
        <v>8340000</v>
      </c>
      <c r="BR46" s="90">
        <f t="shared" si="5"/>
        <v>599610</v>
      </c>
      <c r="BS46" s="90">
        <f t="shared" ca="1" si="68"/>
        <v>1420826</v>
      </c>
      <c r="BT46" s="90">
        <f t="shared" si="69"/>
        <v>61000</v>
      </c>
      <c r="BU46" s="90">
        <f t="shared" si="8"/>
        <v>592000</v>
      </c>
      <c r="BV46" s="90">
        <f t="shared" si="9"/>
        <v>120000</v>
      </c>
      <c r="BW46" s="90">
        <f t="shared" ca="1" si="25"/>
        <v>135812.5</v>
      </c>
      <c r="BX46" s="90">
        <f t="shared" ca="1" si="26"/>
        <v>11269248.5</v>
      </c>
      <c r="BY46" s="142">
        <f t="shared" ca="1" si="27"/>
        <v>0.74006709497975842</v>
      </c>
      <c r="BZ46" s="142">
        <f t="shared" ca="1" si="27"/>
        <v>5.3207629594821698E-2</v>
      </c>
      <c r="CA46" s="142">
        <f t="shared" ca="1" si="27"/>
        <v>0.12607992449540889</v>
      </c>
      <c r="CB46" s="142">
        <f t="shared" ca="1" si="27"/>
        <v>5.4129607666385205E-3</v>
      </c>
      <c r="CC46" s="142">
        <f t="shared" ca="1" si="27"/>
        <v>5.2532340554918101E-2</v>
      </c>
      <c r="CD46" s="142">
        <f t="shared" ca="1" si="27"/>
        <v>1.0648447409780697E-2</v>
      </c>
      <c r="CE46" s="142">
        <f t="shared" ca="1" si="27"/>
        <v>1.2051602198673675E-2</v>
      </c>
      <c r="CG46" s="128">
        <f t="shared" si="28"/>
        <v>170</v>
      </c>
      <c r="CH46" s="90">
        <f ca="1">INDEX(角色升级!$A:$A,MATCH(玩家节奏2!$BX46,角色升级!$J:$J,1))</f>
        <v>757</v>
      </c>
      <c r="CI46" s="90">
        <f ca="1">INDEX(角色升级!$O:$O,MATCH(玩家节奏2!$BX46,角色升级!$J:$J,1))</f>
        <v>47977.737080000006</v>
      </c>
      <c r="CJ46" s="90">
        <f>INDEX(关卡对比!$J:$J,MATCH(玩家节奏2!N46,关卡对比!$A:$A,0))</f>
        <v>71200</v>
      </c>
      <c r="CK46" s="147">
        <f t="shared" ca="1" si="29"/>
        <v>1.4840216386462384</v>
      </c>
      <c r="CL46" s="128">
        <f ca="1">INDEX(角色升级!$P:$P,MATCH(玩家节奏2!$CH46,角色升级!$A:$A,0))</f>
        <v>18200</v>
      </c>
      <c r="CM46" s="90">
        <f ca="1">INDEX(角色升级!Q:Q,MATCH(玩家节奏2!$CH46,角色升级!$A:$A,0))</f>
        <v>1.4</v>
      </c>
      <c r="CO46" s="128">
        <f t="shared" si="30"/>
        <v>56846</v>
      </c>
      <c r="CP46" s="90">
        <f t="shared" si="31"/>
        <v>44094</v>
      </c>
      <c r="CQ46" s="90">
        <f t="shared" si="32"/>
        <v>26656</v>
      </c>
      <c r="CR46" s="90">
        <f t="shared" ca="1" si="33"/>
        <v>90170</v>
      </c>
      <c r="CS46" s="90">
        <f t="shared" ca="1" si="34"/>
        <v>217766</v>
      </c>
      <c r="CT46" s="142">
        <f t="shared" ca="1" si="35"/>
        <v>0.26104166858003547</v>
      </c>
      <c r="CU46" s="142">
        <f t="shared" ca="1" si="35"/>
        <v>0.20248339961242801</v>
      </c>
      <c r="CV46" s="142">
        <f t="shared" ca="1" si="35"/>
        <v>0.12240661994985443</v>
      </c>
      <c r="CW46" s="142">
        <f t="shared" ca="1" si="35"/>
        <v>0.41406831185768211</v>
      </c>
      <c r="CY46" s="128">
        <f t="shared" si="36"/>
        <v>28424</v>
      </c>
      <c r="CZ46" s="90">
        <f t="shared" si="37"/>
        <v>21907</v>
      </c>
      <c r="DA46" s="90">
        <f t="shared" si="38"/>
        <v>16932</v>
      </c>
      <c r="DB46" s="90">
        <f t="shared" ca="1" si="58"/>
        <v>54668.25</v>
      </c>
      <c r="DC46" s="90">
        <f t="shared" ca="1" si="39"/>
        <v>121931.25</v>
      </c>
      <c r="DD46" s="142">
        <f t="shared" ca="1" si="40"/>
        <v>0.23311497257675945</v>
      </c>
      <c r="DE46" s="142">
        <f t="shared" ca="1" si="40"/>
        <v>0.17966682044184734</v>
      </c>
      <c r="DF46" s="142">
        <f t="shared" ca="1" si="40"/>
        <v>0.13886513916653853</v>
      </c>
      <c r="DG46" s="142">
        <f t="shared" ca="1" si="40"/>
        <v>0.44835306781485468</v>
      </c>
      <c r="DI46" s="128">
        <f t="shared" si="41"/>
        <v>13698</v>
      </c>
      <c r="DJ46" s="90">
        <f t="shared" si="42"/>
        <v>10595</v>
      </c>
      <c r="DK46" s="90">
        <f t="shared" si="43"/>
        <v>6222</v>
      </c>
      <c r="DL46" s="90">
        <f t="shared" ca="1" si="44"/>
        <v>7276.5</v>
      </c>
      <c r="DM46" s="90">
        <f t="shared" ca="1" si="45"/>
        <v>37791.5</v>
      </c>
      <c r="DN46" s="142">
        <f t="shared" ca="1" si="46"/>
        <v>0.36246245848934283</v>
      </c>
      <c r="DO46" s="142">
        <f t="shared" ca="1" si="46"/>
        <v>0.2803540478679068</v>
      </c>
      <c r="DP46" s="142">
        <f t="shared" ca="1" si="46"/>
        <v>0.16464019686966647</v>
      </c>
      <c r="DQ46" s="142">
        <f t="shared" ca="1" si="46"/>
        <v>0.19254329677308391</v>
      </c>
      <c r="DS46" s="128">
        <f t="shared" ca="1" si="47"/>
        <v>217766</v>
      </c>
      <c r="DT46" s="90">
        <f t="shared" ca="1" si="48"/>
        <v>121931.25</v>
      </c>
      <c r="DU46" s="90">
        <f t="shared" ca="1" si="49"/>
        <v>37791.5</v>
      </c>
      <c r="DV46" s="90">
        <f t="shared" si="50"/>
        <v>592</v>
      </c>
      <c r="DW46" s="90">
        <f ca="1">_xlfn.IFNA(INDEX(武器升级消耗!$H:$H,MATCH(玩家节奏2!DS46/玩家节奏2!DS$5,武器升级消耗!M:M,1)),0)</f>
        <v>42</v>
      </c>
      <c r="DX46" s="90">
        <f ca="1">_xlfn.IFNA(INDEX(武器升级消耗!$H:$H,MATCH(玩家节奏2!DT46/玩家节奏2!DT$5,武器升级消耗!N:N,1)),0)</f>
        <v>37</v>
      </c>
      <c r="DY46" s="90">
        <f ca="1">_xlfn.IFNA(INDEX(武器升级消耗!$H:$H,MATCH(玩家节奏2!DU46/玩家节奏2!DU$5,武器升级消耗!O:O,1)),0)</f>
        <v>27</v>
      </c>
      <c r="DZ46" s="90">
        <f>_xlfn.IFNA(INDEX(武器升级消耗!$H:$H,MATCH(玩家节奏2!DV46/玩家节奏2!DV$5,武器升级消耗!P:P,1)),0)</f>
        <v>18</v>
      </c>
      <c r="EA46" s="90">
        <f ca="1">_xlfn.IFNA(INDEX(武器升级消耗!$Q:$Q,MATCH(玩家节奏2!DW46,武器升级消耗!$H:$H,0))*2*EA$4,0)</f>
        <v>5.52</v>
      </c>
      <c r="EB46" s="90">
        <f ca="1">_xlfn.IFNA(INDEX(武器升级消耗!$Q:$Q,MATCH(玩家节奏2!DX46,武器升级消耗!$H:$H,0))*2*EB$4,0)</f>
        <v>6.1499999999999995</v>
      </c>
      <c r="EC46" s="90">
        <f ca="1">_xlfn.IFNA(INDEX(武器升级消耗!$Q:$Q,MATCH(玩家节奏2!DY46,武器升级消耗!$H:$H,0))*2*EC$4,0)</f>
        <v>6.8200000000000012</v>
      </c>
      <c r="ED46" s="90">
        <f>_xlfn.IFNA(INDEX(武器升级消耗!$Q:$Q,MATCH(玩家节奏2!DZ46,武器升级消耗!$H:$H,0))*2*ED$4,0)</f>
        <v>6.6000000000000005</v>
      </c>
      <c r="EF46" s="128">
        <f t="shared" si="70"/>
        <v>0</v>
      </c>
      <c r="EG46" s="90">
        <f t="shared" si="71"/>
        <v>0</v>
      </c>
      <c r="EH46" s="90">
        <v>120</v>
      </c>
      <c r="EI46" s="90">
        <v>120</v>
      </c>
      <c r="EJ46" s="90">
        <f>_xlfn.IFNA(INDEX(皮肤宠物!$J$4:$J$13,MATCH(EF46+EH46,皮肤宠物!$L$4:$L$13,1)),0)</f>
        <v>6</v>
      </c>
      <c r="EK46" s="90">
        <f>_xlfn.IFNA(INDEX(皮肤宠物!$J$4:$J$13,MATCH(EG46+EI46,皮肤宠物!$L$4:$L$13,1)),0)</f>
        <v>6</v>
      </c>
      <c r="EL46" s="90">
        <f>_xlfn.IFNA(INDEX(皮肤宠物!$N$4:$N$13,MATCH(EF46+EH46,皮肤宠物!$L$4:$L$13,1)),1)</f>
        <v>1.7600000000000002</v>
      </c>
      <c r="EM46" s="90">
        <f>_xlfn.IFNA(INDEX(皮肤宠物!$N$4:$N$13,MATCH(EG46+EI46,皮肤宠物!$L$4:$L$13,1)),1)</f>
        <v>1.7600000000000002</v>
      </c>
      <c r="EO46" s="128">
        <v>120</v>
      </c>
      <c r="EP46" s="90">
        <v>40</v>
      </c>
      <c r="EQ46" s="90">
        <f t="shared" ca="1" si="51"/>
        <v>49975</v>
      </c>
      <c r="ER46" s="90">
        <f t="shared" si="72"/>
        <v>0</v>
      </c>
      <c r="ES46" s="90">
        <f t="shared" ca="1" si="52"/>
        <v>539.75</v>
      </c>
      <c r="ET46" s="90">
        <f ca="1">$ES46*ET$5*皮肤宠物!$J$75/4</f>
        <v>1781.7147500000001</v>
      </c>
      <c r="EU46" s="90">
        <f ca="1">$ES46*EU$5*皮肤宠物!$J$76/4</f>
        <v>297.40225000000004</v>
      </c>
      <c r="EV46" s="90">
        <f ca="1">$ES46*EV$5*皮肤宠物!$J$77/4</f>
        <v>80.5576875</v>
      </c>
      <c r="EW46" s="90">
        <f ca="1">_xlfn.IFNA(INDEX(皮肤宠物!$H$18:$H$67,MATCH(ET46,皮肤宠物!L$18:L$67,1)),0)</f>
        <v>14</v>
      </c>
      <c r="EX46" s="90">
        <f ca="1">_xlfn.IFNA(INDEX(皮肤宠物!$H$18:$H$67,MATCH(EU46,皮肤宠物!M$18:M$67,1)),0)</f>
        <v>11</v>
      </c>
      <c r="EY46" s="90">
        <f ca="1">_xlfn.IFNA(INDEX(皮肤宠物!$H$18:$H$67,MATCH(EV46,皮肤宠物!N$18:N$67,1)),0)</f>
        <v>8</v>
      </c>
      <c r="EZ46" s="90">
        <f ca="1">_xlfn.IFNA(INDEX(皮肤宠物!C$18:C$67,MATCH(EW46,皮肤宠物!$A$18:$A$67,0))+1,1)</f>
        <v>1.1400000000000001</v>
      </c>
      <c r="FA46" s="90">
        <f ca="1">_xlfn.IFNA(INDEX(皮肤宠物!D$18:D$67,MATCH(EX46,皮肤宠物!$A$18:$A$67,0))+1,1)</f>
        <v>1.22</v>
      </c>
      <c r="FB46" s="90">
        <f ca="1">_xlfn.IFNA(INDEX(皮肤宠物!E$18:E$67,MATCH(EY46,皮肤宠物!$A$18:$A$67,0))+1,1)</f>
        <v>1.32</v>
      </c>
      <c r="FD46" s="90">
        <f t="shared" ca="1" si="53"/>
        <v>6.8200000000000012</v>
      </c>
      <c r="FE46" s="90">
        <f t="shared" si="54"/>
        <v>1.7600000000000002</v>
      </c>
      <c r="FF46" s="90">
        <f t="shared" ca="1" si="55"/>
        <v>1.32</v>
      </c>
      <c r="FG46" s="90">
        <f t="shared" ca="1" si="56"/>
        <v>15.844224000000006</v>
      </c>
    </row>
    <row r="47" spans="1:163" x14ac:dyDescent="0.25">
      <c r="A47" s="123">
        <v>41</v>
      </c>
      <c r="B47" s="123">
        <f>INDEX(关卡对比!$Y:$Y,MATCH(关卡对比!Z47,关卡对比!$AA:$AA,1))</f>
        <v>28</v>
      </c>
      <c r="C47" s="124">
        <f>INDEX(关卡对比!$Y:$Y,MATCH(关卡对比!Z47,关卡对比!$AB:$AB,1))</f>
        <v>22</v>
      </c>
      <c r="D47" s="125">
        <f t="shared" si="63"/>
        <v>151.5</v>
      </c>
      <c r="E47" s="125">
        <v>2</v>
      </c>
      <c r="F47" s="128">
        <v>16</v>
      </c>
      <c r="G47" s="90">
        <v>16</v>
      </c>
      <c r="H47" s="90">
        <v>5</v>
      </c>
      <c r="J47" s="128">
        <v>41</v>
      </c>
      <c r="K47" s="90">
        <f t="shared" si="17"/>
        <v>16</v>
      </c>
      <c r="L47" s="90">
        <f t="shared" si="18"/>
        <v>16</v>
      </c>
      <c r="M47" s="90">
        <f t="shared" si="19"/>
        <v>5</v>
      </c>
      <c r="N47" s="140">
        <f>INDEX($A:$A,MATCH(SUM($K$7:K47),$D:$D,1))</f>
        <v>174</v>
      </c>
      <c r="O47" s="140">
        <v>0</v>
      </c>
      <c r="P47" s="141">
        <v>0</v>
      </c>
      <c r="Q47" s="126">
        <f>_xlfn.MAXIFS(关卡产出!X:X,关卡产出!$A:$A,玩家节奏2!$N$6,关卡产出!$B:$B,玩家节奏2!$N47)+_xlfn.MAXIFS(关卡产出!X:X,关卡产出!$A:$A,玩家节奏2!$O$6,关卡产出!$B:$B,玩家节奏2!$O47)+_xlfn.MAXIFS(关卡产出!X:X,关卡产出!$A:$A,玩家节奏2!$P$6,关卡产出!$B:$B,玩家节奏2!$P47)</f>
        <v>33300</v>
      </c>
      <c r="R47" s="90">
        <f>_xlfn.MAXIFS(关卡产出!Y:Y,关卡产出!$A:$A,玩家节奏2!$N$6,关卡产出!$B:$B,玩家节奏2!$N47)+_xlfn.MAXIFS(关卡产出!Y:Y,关卡产出!$A:$A,玩家节奏2!$O$6,关卡产出!$B:$B,玩家节奏2!$O47)+_xlfn.MAXIFS(关卡产出!Y:Y,关卡产出!$A:$A,玩家节奏2!$P$6,关卡产出!$B:$B,玩家节奏2!$P47)</f>
        <v>8744800</v>
      </c>
      <c r="S47" s="90">
        <f>_xlfn.MAXIFS(关卡产出!Z:Z,关卡产出!$A:$A,玩家节奏2!$N$6,关卡产出!$B:$B,玩家节奏2!$N47)+_xlfn.MAXIFS(关卡产出!Z:Z,关卡产出!$A:$A,玩家节奏2!$O$6,关卡产出!$B:$B,玩家节奏2!$O47)+_xlfn.MAXIFS(关卡产出!Z:Z,关卡产出!$A:$A,玩家节奏2!$P$6,关卡产出!$B:$B,玩家节奏2!$P47)</f>
        <v>59574</v>
      </c>
      <c r="T47" s="90">
        <f>_xlfn.MAXIFS(关卡产出!AA:AA,关卡产出!$A:$A,玩家节奏2!$N$6,关卡产出!$B:$B,玩家节奏2!$N47)+_xlfn.MAXIFS(关卡产出!AA:AA,关卡产出!$A:$A,玩家节奏2!$O$6,关卡产出!$B:$B,玩家节奏2!$O47)+_xlfn.MAXIFS(关卡产出!AA:AA,关卡产出!$A:$A,玩家节奏2!$P$6,关卡产出!$B:$B,玩家节奏2!$P47)</f>
        <v>29788</v>
      </c>
      <c r="U47" s="90">
        <f>_xlfn.MAXIFS(关卡产出!AB:AB,关卡产出!$A:$A,玩家节奏2!$N$6,关卡产出!$B:$B,玩家节奏2!$N47)+_xlfn.MAXIFS(关卡产出!AB:AB,关卡产出!$A:$A,玩家节奏2!$O$6,关卡产出!$B:$B,玩家节奏2!$O47)+_xlfn.MAXIFS(关卡产出!AB:AB,关卡产出!$A:$A,玩家节奏2!$P$6,关卡产出!$B:$B,玩家节奏2!$P47)</f>
        <v>14368</v>
      </c>
      <c r="V47" s="130">
        <f>_xlfn.MAXIFS(关卡产出!AC:AC,关卡产出!$A:$A,玩家节奏2!$N$6,关卡产出!$B:$B,玩家节奏2!$N47)+_xlfn.MAXIFS(关卡产出!AC:AC,关卡产出!$A:$A,玩家节奏2!$O$6,关卡产出!$B:$B,玩家节奏2!$O47)+_xlfn.MAXIFS(关卡产出!AC:AC,关卡产出!$A:$A,玩家节奏2!$P$6,关卡产出!$B:$B,玩家节奏2!$P47)</f>
        <v>1044</v>
      </c>
      <c r="W47" s="126">
        <f>INDEX(关卡产出!C$8:C$207,MATCH(玩家节奏2!$N47,关卡产出!$B$8:$B$207,0))*$K47</f>
        <v>2208</v>
      </c>
      <c r="X47" s="126">
        <f>INDEX(关卡产出!D$8:D$207,MATCH(玩家节奏2!$N47,关卡产出!$B$8:$B$207,0))*$K47</f>
        <v>1104</v>
      </c>
      <c r="Y47" s="126">
        <f>INDEX(关卡产出!E$8:E$207,MATCH(玩家节奏2!$N47,关卡产出!$B$8:$B$207,0))*$K47</f>
        <v>544</v>
      </c>
      <c r="Z47" s="144">
        <f>INDEX(关卡产出!F$8:F$207,MATCH(玩家节奏2!$N47,关卡产出!$B$8:$B$207,0))*$K47</f>
        <v>28640</v>
      </c>
      <c r="AA47" s="126">
        <f>SUM(W$7:W47)</f>
        <v>46302</v>
      </c>
      <c r="AB47" s="126">
        <f>SUM(X$7:X47)</f>
        <v>23011</v>
      </c>
      <c r="AC47" s="126">
        <f>SUM(Y$7:Y47)</f>
        <v>11139</v>
      </c>
      <c r="AD47" s="177">
        <f>SUM(Z$7:Z47)</f>
        <v>628250</v>
      </c>
      <c r="AE47" s="128">
        <f>INDEX(图鉴!AQ:AQ,MATCH($N47,图鉴!$S:$S,0))*34</f>
        <v>714</v>
      </c>
      <c r="AF47" s="90">
        <f>INDEX(图鉴!AR:AR,MATCH($N47,图鉴!$S:$S,0))*34</f>
        <v>510</v>
      </c>
      <c r="AG47" s="90">
        <f>INDEX(图鉴!AS:AS,MATCH($N47,图鉴!$S:$S,0))*34</f>
        <v>204</v>
      </c>
      <c r="AH47" s="129">
        <f ca="1">INDEX(图鉴!AT:AT,MATCH($N47,图鉴!$S:$S,0))*34</f>
        <v>53720</v>
      </c>
      <c r="AI47" s="128">
        <f>SUM($AE$7:AE47)</f>
        <v>27370</v>
      </c>
      <c r="AJ47" s="90">
        <f>SUM(AF$7:AF47)</f>
        <v>17442</v>
      </c>
      <c r="AK47" s="90">
        <f>SUM(AG$7:AG47)</f>
        <v>6426</v>
      </c>
      <c r="AL47" s="130">
        <f ca="1">SUM(AH$7:AH47)</f>
        <v>1474546</v>
      </c>
      <c r="AM47" s="133">
        <f>IF(M47=0,0,INDEX(关卡产出!$AU$11:$AU$15,MATCH(玩家节奏2!N47,关卡产出!$AW$11:$AW$15,1))*M47)</f>
        <v>61000</v>
      </c>
      <c r="AN47" s="126">
        <f>IF(L47=0,0,$L47*关卡产出!AU$21)</f>
        <v>16000</v>
      </c>
      <c r="AO47" s="90">
        <f>IF(M47=0,0,$L47*关卡产出!AV$21)</f>
        <v>800</v>
      </c>
      <c r="AP47" s="129">
        <f>IF(N47=0,0,$L47*关卡产出!AW$21)</f>
        <v>16</v>
      </c>
      <c r="AQ47" s="138">
        <f>SUM(AN$7:AN47)</f>
        <v>608000</v>
      </c>
      <c r="AR47" s="126">
        <f>SUM(AO$7:AO47)</f>
        <v>30400</v>
      </c>
      <c r="AS47" s="129">
        <f>SUM(AP$7:AP47)</f>
        <v>608</v>
      </c>
      <c r="AT47" s="128">
        <v>3000</v>
      </c>
      <c r="AU47" s="129">
        <v>600</v>
      </c>
      <c r="AV47" s="128">
        <f>SUM(AT$7:AT47)</f>
        <v>123000</v>
      </c>
      <c r="AW47" s="90">
        <f>SUM(AU$7:AU47)</f>
        <v>24600</v>
      </c>
      <c r="AY47" s="128">
        <f t="shared" si="20"/>
        <v>33300</v>
      </c>
      <c r="AZ47" s="90">
        <f t="shared" si="21"/>
        <v>30400</v>
      </c>
      <c r="BA47" s="90">
        <f t="shared" si="22"/>
        <v>24600</v>
      </c>
      <c r="BB47" s="90">
        <f t="shared" ca="1" si="57"/>
        <v>18200</v>
      </c>
      <c r="BC47" s="90">
        <f t="shared" ca="1" si="60"/>
        <v>55425</v>
      </c>
      <c r="BD47" s="90">
        <f t="shared" ca="1" si="61"/>
        <v>51075</v>
      </c>
      <c r="BE47" s="90">
        <f t="shared" ca="1" si="24"/>
        <v>106500</v>
      </c>
      <c r="BF47" s="142">
        <f t="shared" ca="1" si="64"/>
        <v>0.60081190798376183</v>
      </c>
      <c r="BG47" s="142">
        <f t="shared" ca="1" si="65"/>
        <v>0.54848894903022105</v>
      </c>
      <c r="BH47" s="142">
        <f t="shared" ca="1" si="66"/>
        <v>0.44384303112313939</v>
      </c>
      <c r="BI47" s="142">
        <f t="shared" ca="1" si="67"/>
        <v>0.32837167343256651</v>
      </c>
      <c r="BJ47" s="143"/>
      <c r="BK47" s="128">
        <f ca="1">INDEX(商城宝箱!$L:$L,MATCH(BC47,商城宝箱!$N:$N,1))</f>
        <v>9</v>
      </c>
      <c r="BL47" s="90">
        <f ca="1">_xlfn.IFNA(INDEX(商城宝箱!T:T,MATCH(玩家节奏2!$BK47,商城宝箱!$L:$L,0)),0)+($BC47-INDEX(商城宝箱!$N:$N,MATCH(玩家节奏2!$BK47,商城宝箱!$L:$L,0)))/$BK$5*INDEX(商城宝箱!E$23:E$42,MATCH(玩家节奏2!$BK47+1,商城宝箱!$C$23:$C$42,0))</f>
        <v>138562.5</v>
      </c>
      <c r="BM47" s="90">
        <f ca="1">_xlfn.IFNA(INDEX(商城宝箱!U:U,MATCH(玩家节奏2!$BK47,商城宝箱!$L:$L,0)),0)+($BC47-INDEX(商城宝箱!$N:$N,MATCH(玩家节奏2!$BK47,商城宝箱!$L:$L,0)))/$BK$5*INDEX(商城宝箱!F$23:F$42,MATCH(玩家节奏2!$BK47+1,商城宝箱!$C$23:$C$42,0))</f>
        <v>93140</v>
      </c>
      <c r="BN47" s="90">
        <f ca="1">_xlfn.IFNA(INDEX(商城宝箱!V:V,MATCH(玩家节奏2!$BK47,商城宝箱!$L:$L,0)),0)+($BC47-INDEX(商城宝箱!$N:$N,MATCH(玩家节奏2!$BK47,商城宝箱!$L:$L,0)))/$BK$5*INDEX(商城宝箱!G$23:G$42,MATCH(玩家节奏2!$BK47+1,商城宝箱!$C$23:$C$42,0))</f>
        <v>56043.25</v>
      </c>
      <c r="BO47" s="90">
        <f ca="1">_xlfn.IFNA(INDEX(商城宝箱!W:W,MATCH(玩家节奏2!$BK47,商城宝箱!$L:$L,0)),0)+($BC47-INDEX(商城宝箱!$N:$N,MATCH(玩家节奏2!$BK47,商城宝箱!$L:$L,0)))/$BK$5*INDEX(商城宝箱!H$23:H$42,MATCH(玩家节奏2!$BK47+1,商城宝箱!$C$23:$C$42,0))</f>
        <v>7496.5</v>
      </c>
      <c r="BQ47" s="128">
        <f t="shared" si="4"/>
        <v>8744800</v>
      </c>
      <c r="BR47" s="90">
        <f t="shared" si="5"/>
        <v>628250</v>
      </c>
      <c r="BS47" s="90">
        <f t="shared" ca="1" si="68"/>
        <v>1474546</v>
      </c>
      <c r="BT47" s="90">
        <f t="shared" si="69"/>
        <v>61000</v>
      </c>
      <c r="BU47" s="90">
        <f t="shared" si="8"/>
        <v>608000</v>
      </c>
      <c r="BV47" s="90">
        <f t="shared" si="9"/>
        <v>123000</v>
      </c>
      <c r="BW47" s="90">
        <f t="shared" ca="1" si="25"/>
        <v>138562.5</v>
      </c>
      <c r="BX47" s="90">
        <f t="shared" ca="1" si="26"/>
        <v>11778158.5</v>
      </c>
      <c r="BY47" s="142">
        <f t="shared" ca="1" si="27"/>
        <v>0.74245901852993401</v>
      </c>
      <c r="BZ47" s="142">
        <f t="shared" ca="1" si="27"/>
        <v>5.3340256883111226E-2</v>
      </c>
      <c r="CA47" s="142">
        <f t="shared" ca="1" si="27"/>
        <v>0.12519325495577258</v>
      </c>
      <c r="CB47" s="142">
        <f t="shared" ca="1" si="27"/>
        <v>5.1790778668838596E-3</v>
      </c>
      <c r="CC47" s="142">
        <f t="shared" ca="1" si="27"/>
        <v>5.1620972837137485E-2</v>
      </c>
      <c r="CD47" s="142">
        <f t="shared" ca="1" si="27"/>
        <v>1.0443058649618274E-2</v>
      </c>
      <c r="CE47" s="142">
        <f t="shared" ca="1" si="27"/>
        <v>1.1764360277542537E-2</v>
      </c>
      <c r="CG47" s="128">
        <f t="shared" si="28"/>
        <v>174</v>
      </c>
      <c r="CH47" s="90">
        <f ca="1">INDEX(角色升级!$A:$A,MATCH(玩家节奏2!$BX47,角色升级!$J:$J,1))</f>
        <v>771</v>
      </c>
      <c r="CI47" s="90">
        <f ca="1">INDEX(角色升级!$O:$O,MATCH(玩家节奏2!$BX47,角色升级!$J:$J,1))</f>
        <v>49488.142500000002</v>
      </c>
      <c r="CJ47" s="90">
        <f>INDEX(关卡对比!$J:$J,MATCH(玩家节奏2!N47,关卡对比!$A:$A,0))</f>
        <v>73200</v>
      </c>
      <c r="CK47" s="147">
        <f t="shared" ca="1" si="29"/>
        <v>1.4791422005786536</v>
      </c>
      <c r="CL47" s="128">
        <f ca="1">INDEX(角色升级!$P:$P,MATCH(玩家节奏2!$CH47,角色升级!$A:$A,0))</f>
        <v>20300</v>
      </c>
      <c r="CM47" s="90">
        <f ca="1">INDEX(角色升级!Q:Q,MATCH(玩家节奏2!$CH47,角色升级!$A:$A,0))</f>
        <v>1.5</v>
      </c>
      <c r="CO47" s="128">
        <f t="shared" si="30"/>
        <v>59574</v>
      </c>
      <c r="CP47" s="90">
        <f t="shared" si="31"/>
        <v>46302</v>
      </c>
      <c r="CQ47" s="90">
        <f t="shared" si="32"/>
        <v>27370</v>
      </c>
      <c r="CR47" s="90">
        <f t="shared" ca="1" si="33"/>
        <v>93140</v>
      </c>
      <c r="CS47" s="90">
        <f t="shared" ca="1" si="34"/>
        <v>226386</v>
      </c>
      <c r="CT47" s="142">
        <f t="shared" ca="1" si="35"/>
        <v>0.26315231507248682</v>
      </c>
      <c r="CU47" s="142">
        <f t="shared" ca="1" si="35"/>
        <v>0.20452678169144736</v>
      </c>
      <c r="CV47" s="142">
        <f t="shared" ca="1" si="35"/>
        <v>0.12089970227840945</v>
      </c>
      <c r="CW47" s="142">
        <f t="shared" ca="1" si="35"/>
        <v>0.41142120095765639</v>
      </c>
      <c r="CY47" s="128">
        <f t="shared" si="36"/>
        <v>29788</v>
      </c>
      <c r="CZ47" s="90">
        <f t="shared" si="37"/>
        <v>23011</v>
      </c>
      <c r="DA47" s="90">
        <f t="shared" si="38"/>
        <v>17442</v>
      </c>
      <c r="DB47" s="90">
        <f t="shared" ca="1" si="58"/>
        <v>56043.25</v>
      </c>
      <c r="DC47" s="90">
        <f t="shared" ca="1" si="39"/>
        <v>126284.25</v>
      </c>
      <c r="DD47" s="142">
        <f t="shared" ca="1" si="40"/>
        <v>0.23588056309476438</v>
      </c>
      <c r="DE47" s="142">
        <f t="shared" ca="1" si="40"/>
        <v>0.1822159137026193</v>
      </c>
      <c r="DF47" s="142">
        <f t="shared" ca="1" si="40"/>
        <v>0.13811698608496309</v>
      </c>
      <c r="DG47" s="142">
        <f t="shared" ca="1" si="40"/>
        <v>0.44378653711765326</v>
      </c>
      <c r="DI47" s="128">
        <f t="shared" si="41"/>
        <v>14368</v>
      </c>
      <c r="DJ47" s="90">
        <f t="shared" si="42"/>
        <v>11139</v>
      </c>
      <c r="DK47" s="90">
        <f t="shared" si="43"/>
        <v>6426</v>
      </c>
      <c r="DL47" s="90">
        <f t="shared" ca="1" si="44"/>
        <v>7496.5</v>
      </c>
      <c r="DM47" s="90">
        <f t="shared" ca="1" si="45"/>
        <v>39429.5</v>
      </c>
      <c r="DN47" s="142">
        <f t="shared" ca="1" si="46"/>
        <v>0.36439721528297342</v>
      </c>
      <c r="DO47" s="142">
        <f t="shared" ca="1" si="46"/>
        <v>0.28250421638620832</v>
      </c>
      <c r="DP47" s="142">
        <f t="shared" ca="1" si="46"/>
        <v>0.16297442270381313</v>
      </c>
      <c r="DQ47" s="142">
        <f t="shared" ca="1" si="46"/>
        <v>0.19012414562700516</v>
      </c>
      <c r="DS47" s="128">
        <f t="shared" ca="1" si="47"/>
        <v>226386</v>
      </c>
      <c r="DT47" s="90">
        <f t="shared" ca="1" si="48"/>
        <v>126284.25</v>
      </c>
      <c r="DU47" s="90">
        <f t="shared" ca="1" si="49"/>
        <v>39429.5</v>
      </c>
      <c r="DV47" s="90">
        <f t="shared" si="50"/>
        <v>608</v>
      </c>
      <c r="DW47" s="90">
        <f ca="1">_xlfn.IFNA(INDEX(武器升级消耗!$H:$H,MATCH(玩家节奏2!DS47/玩家节奏2!DS$5,武器升级消耗!M:M,1)),0)</f>
        <v>42</v>
      </c>
      <c r="DX47" s="90">
        <f ca="1">_xlfn.IFNA(INDEX(武器升级消耗!$H:$H,MATCH(玩家节奏2!DT47/玩家节奏2!DT$5,武器升级消耗!N:N,1)),0)</f>
        <v>38</v>
      </c>
      <c r="DY47" s="90">
        <f ca="1">_xlfn.IFNA(INDEX(武器升级消耗!$H:$H,MATCH(玩家节奏2!DU47/玩家节奏2!DU$5,武器升级消耗!O:O,1)),0)</f>
        <v>28</v>
      </c>
      <c r="DZ47" s="90">
        <f>_xlfn.IFNA(INDEX(武器升级消耗!$H:$H,MATCH(玩家节奏2!DV47/玩家节奏2!DV$5,武器升级消耗!P:P,1)),0)</f>
        <v>18</v>
      </c>
      <c r="EA47" s="90">
        <f ca="1">_xlfn.IFNA(INDEX(武器升级消耗!$Q:$Q,MATCH(玩家节奏2!DW47,武器升级消耗!$H:$H,0))*2*EA$4,0)</f>
        <v>5.52</v>
      </c>
      <c r="EB47" s="90">
        <f ca="1">_xlfn.IFNA(INDEX(武器升级消耗!$Q:$Q,MATCH(玩家节奏2!DX47,武器升级消耗!$H:$H,0))*2*EB$4,0)</f>
        <v>6.3000000000000007</v>
      </c>
      <c r="EC47" s="90">
        <f ca="1">_xlfn.IFNA(INDEX(武器升级消耗!$Q:$Q,MATCH(玩家节奏2!DY47,武器升级消耗!$H:$H,0))*2*EC$4,0)</f>
        <v>7.0400000000000009</v>
      </c>
      <c r="ED47" s="90">
        <f>_xlfn.IFNA(INDEX(武器升级消耗!$Q:$Q,MATCH(玩家节奏2!DZ47,武器升级消耗!$H:$H,0))*2*ED$4,0)</f>
        <v>6.6000000000000005</v>
      </c>
      <c r="EF47" s="128">
        <f t="shared" si="70"/>
        <v>0</v>
      </c>
      <c r="EG47" s="90">
        <f t="shared" si="71"/>
        <v>0</v>
      </c>
      <c r="EH47" s="90">
        <v>123</v>
      </c>
      <c r="EI47" s="90">
        <v>123</v>
      </c>
      <c r="EJ47" s="90">
        <f>_xlfn.IFNA(INDEX(皮肤宠物!$J$4:$J$13,MATCH(EF47+EH47,皮肤宠物!$L$4:$L$13,1)),0)</f>
        <v>6</v>
      </c>
      <c r="EK47" s="90">
        <f>_xlfn.IFNA(INDEX(皮肤宠物!$J$4:$J$13,MATCH(EG47+EI47,皮肤宠物!$L$4:$L$13,1)),0)</f>
        <v>6</v>
      </c>
      <c r="EL47" s="90">
        <f>_xlfn.IFNA(INDEX(皮肤宠物!$N$4:$N$13,MATCH(EF47+EH47,皮肤宠物!$L$4:$L$13,1)),1)</f>
        <v>1.7600000000000002</v>
      </c>
      <c r="EM47" s="90">
        <f>_xlfn.IFNA(INDEX(皮肤宠物!$N$4:$N$13,MATCH(EG47+EI47,皮肤宠物!$L$4:$L$13,1)),1)</f>
        <v>1.7600000000000002</v>
      </c>
      <c r="EO47" s="128">
        <v>123</v>
      </c>
      <c r="EP47" s="90">
        <v>41</v>
      </c>
      <c r="EQ47" s="90">
        <f t="shared" ca="1" si="51"/>
        <v>51075</v>
      </c>
      <c r="ER47" s="90">
        <f t="shared" si="72"/>
        <v>0</v>
      </c>
      <c r="ES47" s="90">
        <f t="shared" ca="1" si="52"/>
        <v>551.75</v>
      </c>
      <c r="ET47" s="90">
        <f ca="1">$ES47*ET$5*皮肤宠物!$J$75/4</f>
        <v>1821.3267499999999</v>
      </c>
      <c r="EU47" s="90">
        <f ca="1">$ES47*EU$5*皮肤宠物!$J$76/4</f>
        <v>304.01425</v>
      </c>
      <c r="EV47" s="90">
        <f ca="1">$ES47*EV$5*皮肤宠物!$J$77/4</f>
        <v>82.348687500000011</v>
      </c>
      <c r="EW47" s="90">
        <f ca="1">_xlfn.IFNA(INDEX(皮肤宠物!$H$18:$H$67,MATCH(ET47,皮肤宠物!L$18:L$67,1)),0)</f>
        <v>15</v>
      </c>
      <c r="EX47" s="90">
        <f ca="1">_xlfn.IFNA(INDEX(皮肤宠物!$H$18:$H$67,MATCH(EU47,皮肤宠物!M$18:M$67,1)),0)</f>
        <v>11</v>
      </c>
      <c r="EY47" s="90">
        <f ca="1">_xlfn.IFNA(INDEX(皮肤宠物!$H$18:$H$67,MATCH(EV47,皮肤宠物!N$18:N$67,1)),0)</f>
        <v>8</v>
      </c>
      <c r="EZ47" s="90">
        <f ca="1">_xlfn.IFNA(INDEX(皮肤宠物!C$18:C$67,MATCH(EW47,皮肤宠物!$A$18:$A$67,0))+1,1)</f>
        <v>1.1499999999999999</v>
      </c>
      <c r="FA47" s="90">
        <f ca="1">_xlfn.IFNA(INDEX(皮肤宠物!D$18:D$67,MATCH(EX47,皮肤宠物!$A$18:$A$67,0))+1,1)</f>
        <v>1.22</v>
      </c>
      <c r="FB47" s="90">
        <f ca="1">_xlfn.IFNA(INDEX(皮肤宠物!E$18:E$67,MATCH(EY47,皮肤宠物!$A$18:$A$67,0))+1,1)</f>
        <v>1.32</v>
      </c>
      <c r="FD47" s="90">
        <f t="shared" ca="1" si="53"/>
        <v>7.0400000000000009</v>
      </c>
      <c r="FE47" s="90">
        <f t="shared" si="54"/>
        <v>1.7600000000000002</v>
      </c>
      <c r="FF47" s="90">
        <f t="shared" ca="1" si="55"/>
        <v>1.32</v>
      </c>
      <c r="FG47" s="90">
        <f t="shared" ca="1" si="56"/>
        <v>16.355328000000004</v>
      </c>
    </row>
    <row r="48" spans="1:163" x14ac:dyDescent="0.25">
      <c r="A48" s="123">
        <v>42</v>
      </c>
      <c r="B48" s="123">
        <f>INDEX(关卡对比!$Y:$Y,MATCH(关卡对比!Z48,关卡对比!$AA:$AA,1))</f>
        <v>29</v>
      </c>
      <c r="C48" s="124">
        <f>INDEX(关卡对比!$Y:$Y,MATCH(关卡对比!Z48,关卡对比!$AB:$AB,1))</f>
        <v>23</v>
      </c>
      <c r="D48" s="125">
        <f t="shared" si="63"/>
        <v>157.5</v>
      </c>
      <c r="E48" s="125">
        <v>2</v>
      </c>
      <c r="F48" s="128">
        <v>16</v>
      </c>
      <c r="G48" s="90">
        <v>16</v>
      </c>
      <c r="H48" s="90">
        <v>5</v>
      </c>
      <c r="J48" s="128">
        <v>42</v>
      </c>
      <c r="K48" s="90">
        <f t="shared" si="17"/>
        <v>16</v>
      </c>
      <c r="L48" s="90">
        <f t="shared" si="18"/>
        <v>16</v>
      </c>
      <c r="M48" s="90">
        <f t="shared" si="19"/>
        <v>5</v>
      </c>
      <c r="N48" s="140">
        <f>INDEX($A:$A,MATCH(SUM($K$7:K48),$D:$D,1))</f>
        <v>178</v>
      </c>
      <c r="O48" s="140">
        <v>0</v>
      </c>
      <c r="P48" s="141">
        <v>0</v>
      </c>
      <c r="Q48" s="126">
        <f>_xlfn.MAXIFS(关卡产出!X:X,关卡产出!$A:$A,玩家节奏2!$N$6,关卡产出!$B:$B,玩家节奏2!$N48)+_xlfn.MAXIFS(关卡产出!X:X,关卡产出!$A:$A,玩家节奏2!$O$6,关卡产出!$B:$B,玩家节奏2!$O48)+_xlfn.MAXIFS(关卡产出!X:X,关卡产出!$A:$A,玩家节奏2!$P$6,关卡产出!$B:$B,玩家节奏2!$P48)</f>
        <v>34100</v>
      </c>
      <c r="R48" s="90">
        <f>_xlfn.MAXIFS(关卡产出!Y:Y,关卡产出!$A:$A,玩家节奏2!$N$6,关卡产出!$B:$B,玩家节奏2!$N48)+_xlfn.MAXIFS(关卡产出!Y:Y,关卡产出!$A:$A,玩家节奏2!$O$6,关卡产出!$B:$B,玩家节奏2!$O48)+_xlfn.MAXIFS(关卡产出!Y:Y,关卡产出!$A:$A,玩家节奏2!$P$6,关卡产出!$B:$B,玩家节奏2!$P48)</f>
        <v>9159200</v>
      </c>
      <c r="S48" s="90">
        <f>_xlfn.MAXIFS(关卡产出!Z:Z,关卡产出!$A:$A,玩家节奏2!$N$6,关卡产出!$B:$B,玩家节奏2!$N48)+_xlfn.MAXIFS(关卡产出!Z:Z,关卡产出!$A:$A,玩家节奏2!$O$6,关卡产出!$B:$B,玩家节奏2!$O48)+_xlfn.MAXIFS(关卡产出!Z:Z,关卡产出!$A:$A,玩家节奏2!$P$6,关卡产出!$B:$B,玩家节奏2!$P48)</f>
        <v>62366</v>
      </c>
      <c r="T48" s="90">
        <f>_xlfn.MAXIFS(关卡产出!AA:AA,关卡产出!$A:$A,玩家节奏2!$N$6,关卡产出!$B:$B,玩家节奏2!$N48)+_xlfn.MAXIFS(关卡产出!AA:AA,关卡产出!$A:$A,玩家节奏2!$O$6,关卡产出!$B:$B,玩家节奏2!$O48)+_xlfn.MAXIFS(关卡产出!AA:AA,关卡产出!$A:$A,玩家节奏2!$P$6,关卡产出!$B:$B,玩家节奏2!$P48)</f>
        <v>31184</v>
      </c>
      <c r="U48" s="90">
        <f>_xlfn.MAXIFS(关卡产出!AB:AB,关卡产出!$A:$A,玩家节奏2!$N$6,关卡产出!$B:$B,玩家节奏2!$N48)+_xlfn.MAXIFS(关卡产出!AB:AB,关卡产出!$A:$A,玩家节奏2!$O$6,关卡产出!$B:$B,玩家节奏2!$O48)+_xlfn.MAXIFS(关卡产出!AB:AB,关卡产出!$A:$A,玩家节奏2!$P$6,关卡产出!$B:$B,玩家节奏2!$P48)</f>
        <v>15054</v>
      </c>
      <c r="V48" s="130">
        <f>_xlfn.MAXIFS(关卡产出!AC:AC,关卡产出!$A:$A,玩家节奏2!$N$6,关卡产出!$B:$B,玩家节奏2!$N48)+_xlfn.MAXIFS(关卡产出!AC:AC,关卡产出!$A:$A,玩家节奏2!$O$6,关卡产出!$B:$B,玩家节奏2!$O48)+_xlfn.MAXIFS(关卡产出!AC:AC,关卡产出!$A:$A,玩家节奏2!$P$6,关卡产出!$B:$B,玩家节奏2!$P48)</f>
        <v>1068</v>
      </c>
      <c r="W48" s="126">
        <f>INDEX(关卡产出!C$8:C$207,MATCH(玩家节奏2!$N48,关卡产出!$B$8:$B$207,0))*$K48</f>
        <v>2256</v>
      </c>
      <c r="X48" s="126">
        <f>INDEX(关卡产出!D$8:D$207,MATCH(玩家节奏2!$N48,关卡产出!$B$8:$B$207,0))*$K48</f>
        <v>1120</v>
      </c>
      <c r="Y48" s="126">
        <f>INDEX(关卡产出!E$8:E$207,MATCH(玩家节奏2!$N48,关卡产出!$B$8:$B$207,0))*$K48</f>
        <v>560</v>
      </c>
      <c r="Z48" s="144">
        <f>INDEX(关卡产出!F$8:F$207,MATCH(玩家节奏2!$N48,关卡产出!$B$8:$B$207,0))*$K48</f>
        <v>29280</v>
      </c>
      <c r="AA48" s="126">
        <f>SUM(W$7:W48)</f>
        <v>48558</v>
      </c>
      <c r="AB48" s="126">
        <f>SUM(X$7:X48)</f>
        <v>24131</v>
      </c>
      <c r="AC48" s="126">
        <f>SUM(Y$7:Y48)</f>
        <v>11699</v>
      </c>
      <c r="AD48" s="177">
        <f>SUM(Z$7:Z48)</f>
        <v>657530</v>
      </c>
      <c r="AE48" s="128">
        <f>INDEX(图鉴!AQ:AQ,MATCH($N48,图鉴!$S:$S,0))*34</f>
        <v>714</v>
      </c>
      <c r="AF48" s="90">
        <f>INDEX(图鉴!AR:AR,MATCH($N48,图鉴!$S:$S,0))*34</f>
        <v>510</v>
      </c>
      <c r="AG48" s="90">
        <f>INDEX(图鉴!AS:AS,MATCH($N48,图鉴!$S:$S,0))*34</f>
        <v>204</v>
      </c>
      <c r="AH48" s="129">
        <f ca="1">INDEX(图鉴!AT:AT,MATCH($N48,图鉴!$S:$S,0))*34</f>
        <v>53720</v>
      </c>
      <c r="AI48" s="128">
        <f>SUM($AE$7:AE48)</f>
        <v>28084</v>
      </c>
      <c r="AJ48" s="90">
        <f>SUM(AF$7:AF48)</f>
        <v>17952</v>
      </c>
      <c r="AK48" s="90">
        <f>SUM(AG$7:AG48)</f>
        <v>6630</v>
      </c>
      <c r="AL48" s="130">
        <f ca="1">SUM(AH$7:AH48)</f>
        <v>1528266</v>
      </c>
      <c r="AM48" s="133">
        <f>IF(M48=0,0,INDEX(关卡产出!$AU$11:$AU$15,MATCH(玩家节奏2!N48,关卡产出!$AW$11:$AW$15,1))*M48)</f>
        <v>61000</v>
      </c>
      <c r="AN48" s="126">
        <f>IF(L48=0,0,$L48*关卡产出!AU$21)</f>
        <v>16000</v>
      </c>
      <c r="AO48" s="90">
        <f>IF(M48=0,0,$L48*关卡产出!AV$21)</f>
        <v>800</v>
      </c>
      <c r="AP48" s="129">
        <f>IF(N48=0,0,$L48*关卡产出!AW$21)</f>
        <v>16</v>
      </c>
      <c r="AQ48" s="138">
        <f>SUM(AN$7:AN48)</f>
        <v>624000</v>
      </c>
      <c r="AR48" s="126">
        <f>SUM(AO$7:AO48)</f>
        <v>31200</v>
      </c>
      <c r="AS48" s="129">
        <f>SUM(AP$7:AP48)</f>
        <v>624</v>
      </c>
      <c r="AT48" s="128">
        <v>3000</v>
      </c>
      <c r="AU48" s="129">
        <v>600</v>
      </c>
      <c r="AV48" s="128">
        <f>SUM(AT$7:AT48)</f>
        <v>126000</v>
      </c>
      <c r="AW48" s="90">
        <f>SUM(AU$7:AU48)</f>
        <v>25200</v>
      </c>
      <c r="AY48" s="128">
        <f t="shared" si="20"/>
        <v>34100</v>
      </c>
      <c r="AZ48" s="90">
        <f t="shared" si="21"/>
        <v>31200</v>
      </c>
      <c r="BA48" s="90">
        <f t="shared" si="22"/>
        <v>25200</v>
      </c>
      <c r="BB48" s="90">
        <f t="shared" ca="1" si="57"/>
        <v>20300</v>
      </c>
      <c r="BC48" s="90">
        <f t="shared" ca="1" si="60"/>
        <v>57575</v>
      </c>
      <c r="BD48" s="90">
        <f t="shared" ca="1" si="61"/>
        <v>53225</v>
      </c>
      <c r="BE48" s="90">
        <f t="shared" ca="1" si="24"/>
        <v>110800</v>
      </c>
      <c r="BF48" s="142">
        <f t="shared" ca="1" si="64"/>
        <v>0.59227095093356497</v>
      </c>
      <c r="BG48" s="142">
        <f t="shared" ca="1" si="65"/>
        <v>0.54190186712983068</v>
      </c>
      <c r="BH48" s="142">
        <f t="shared" ca="1" si="66"/>
        <v>0.43768996960486323</v>
      </c>
      <c r="BI48" s="142">
        <f t="shared" ca="1" si="67"/>
        <v>0.35258358662613981</v>
      </c>
      <c r="BJ48" s="143"/>
      <c r="BK48" s="128">
        <f ca="1">INDEX(商城宝箱!$L:$L,MATCH(BC48,商城宝箱!$N:$N,1))</f>
        <v>9</v>
      </c>
      <c r="BL48" s="90">
        <f ca="1">_xlfn.IFNA(INDEX(商城宝箱!T:T,MATCH(玩家节奏2!$BK48,商城宝箱!$L:$L,0)),0)+($BC48-INDEX(商城宝箱!$N:$N,MATCH(玩家节奏2!$BK48,商城宝箱!$L:$L,0)))/$BK$5*INDEX(商城宝箱!E$23:E$42,MATCH(玩家节奏2!$BK48+1,商城宝箱!$C$23:$C$42,0))</f>
        <v>143937.5</v>
      </c>
      <c r="BM48" s="90">
        <f ca="1">_xlfn.IFNA(INDEX(商城宝箱!U:U,MATCH(玩家节奏2!$BK48,商城宝箱!$L:$L,0)),0)+($BC48-INDEX(商城宝箱!$N:$N,MATCH(玩家节奏2!$BK48,商城宝箱!$L:$L,0)))/$BK$5*INDEX(商城宝箱!F$23:F$42,MATCH(玩家节奏2!$BK48+1,商城宝箱!$C$23:$C$42,0))</f>
        <v>98945</v>
      </c>
      <c r="BN48" s="90">
        <f ca="1">_xlfn.IFNA(INDEX(商城宝箱!V:V,MATCH(玩家节奏2!$BK48,商城宝箱!$L:$L,0)),0)+($BC48-INDEX(商城宝箱!$N:$N,MATCH(玩家节奏2!$BK48,商城宝箱!$L:$L,0)))/$BK$5*INDEX(商城宝箱!G$23:G$42,MATCH(玩家节奏2!$BK48+1,商城宝箱!$C$23:$C$42,0))</f>
        <v>58730.75</v>
      </c>
      <c r="BO48" s="90">
        <f ca="1">_xlfn.IFNA(INDEX(商城宝箱!W:W,MATCH(玩家节奏2!$BK48,商城宝箱!$L:$L,0)),0)+($BC48-INDEX(商城宝箱!$N:$N,MATCH(玩家节奏2!$BK48,商城宝箱!$L:$L,0)))/$BK$5*INDEX(商城宝箱!H$23:H$42,MATCH(玩家节奏2!$BK48+1,商城宝箱!$C$23:$C$42,0))</f>
        <v>7926.5</v>
      </c>
      <c r="BQ48" s="128">
        <f t="shared" si="4"/>
        <v>9159200</v>
      </c>
      <c r="BR48" s="90">
        <f t="shared" si="5"/>
        <v>657530</v>
      </c>
      <c r="BS48" s="90">
        <f t="shared" ca="1" si="68"/>
        <v>1528266</v>
      </c>
      <c r="BT48" s="90">
        <f t="shared" si="69"/>
        <v>61000</v>
      </c>
      <c r="BU48" s="90">
        <f t="shared" si="8"/>
        <v>624000</v>
      </c>
      <c r="BV48" s="90">
        <f t="shared" si="9"/>
        <v>126000</v>
      </c>
      <c r="BW48" s="90">
        <f t="shared" ca="1" si="25"/>
        <v>143937.5</v>
      </c>
      <c r="BX48" s="90">
        <f t="shared" ca="1" si="26"/>
        <v>12299933.5</v>
      </c>
      <c r="BY48" s="142">
        <f t="shared" ca="1" si="27"/>
        <v>0.74465443248128127</v>
      </c>
      <c r="BZ48" s="142">
        <f t="shared" ca="1" si="27"/>
        <v>5.3458012598198192E-2</v>
      </c>
      <c r="CA48" s="142">
        <f t="shared" ca="1" si="27"/>
        <v>0.12424994005048889</v>
      </c>
      <c r="CB48" s="142">
        <f t="shared" ca="1" si="27"/>
        <v>4.9593764063846357E-3</v>
      </c>
      <c r="CC48" s="142">
        <f t="shared" ca="1" si="27"/>
        <v>5.0731981599737914E-2</v>
      </c>
      <c r="CD48" s="142">
        <f t="shared" ca="1" si="27"/>
        <v>1.0243957823024003E-2</v>
      </c>
      <c r="CE48" s="142">
        <f t="shared" ca="1" si="27"/>
        <v>1.1702299040885059E-2</v>
      </c>
      <c r="CG48" s="128">
        <f t="shared" si="28"/>
        <v>178</v>
      </c>
      <c r="CH48" s="90">
        <f ca="1">INDEX(角色升级!$A:$A,MATCH(玩家节奏2!$BX48,角色升级!$J:$J,1))</f>
        <v>785</v>
      </c>
      <c r="CI48" s="90">
        <f ca="1">INDEX(角色升级!$O:$O,MATCH(玩家节奏2!$BX48,角色升级!$J:$J,1))</f>
        <v>51591.629339999992</v>
      </c>
      <c r="CJ48" s="90">
        <f>INDEX(关卡对比!$J:$J,MATCH(玩家节奏2!N48,关卡对比!$A:$A,0))</f>
        <v>75200</v>
      </c>
      <c r="CK48" s="147">
        <f t="shared" ca="1" si="29"/>
        <v>1.4576007961372133</v>
      </c>
      <c r="CL48" s="128">
        <f ca="1">INDEX(角色升级!$P:$P,MATCH(玩家节奏2!$CH48,角色升级!$A:$A,0))</f>
        <v>20300</v>
      </c>
      <c r="CM48" s="90">
        <f ca="1">INDEX(角色升级!Q:Q,MATCH(玩家节奏2!$CH48,角色升级!$A:$A,0))</f>
        <v>1.5</v>
      </c>
      <c r="CO48" s="128">
        <f t="shared" si="30"/>
        <v>62366</v>
      </c>
      <c r="CP48" s="90">
        <f t="shared" si="31"/>
        <v>48558</v>
      </c>
      <c r="CQ48" s="90">
        <f t="shared" si="32"/>
        <v>28084</v>
      </c>
      <c r="CR48" s="90">
        <f t="shared" ca="1" si="33"/>
        <v>98945</v>
      </c>
      <c r="CS48" s="90">
        <f t="shared" ca="1" si="34"/>
        <v>237953</v>
      </c>
      <c r="CT48" s="142">
        <f t="shared" ca="1" si="35"/>
        <v>0.2620937748210781</v>
      </c>
      <c r="CU48" s="142">
        <f t="shared" ca="1" si="35"/>
        <v>0.20406550873491824</v>
      </c>
      <c r="CV48" s="142">
        <f t="shared" ca="1" si="35"/>
        <v>0.11802330712367569</v>
      </c>
      <c r="CW48" s="142">
        <f t="shared" ca="1" si="35"/>
        <v>0.41581740932032796</v>
      </c>
      <c r="CY48" s="128">
        <f t="shared" si="36"/>
        <v>31184</v>
      </c>
      <c r="CZ48" s="90">
        <f t="shared" si="37"/>
        <v>24131</v>
      </c>
      <c r="DA48" s="90">
        <f t="shared" si="38"/>
        <v>17952</v>
      </c>
      <c r="DB48" s="90">
        <f t="shared" ca="1" si="58"/>
        <v>58730.75</v>
      </c>
      <c r="DC48" s="90">
        <f t="shared" ca="1" si="39"/>
        <v>131997.75</v>
      </c>
      <c r="DD48" s="142">
        <f t="shared" ca="1" si="40"/>
        <v>0.23624645117056919</v>
      </c>
      <c r="DE48" s="142">
        <f t="shared" ca="1" si="40"/>
        <v>0.18281372220359818</v>
      </c>
      <c r="DF48" s="142">
        <f t="shared" ca="1" si="40"/>
        <v>0.13600231822133332</v>
      </c>
      <c r="DG48" s="142">
        <f t="shared" ca="1" si="40"/>
        <v>0.4449375084044993</v>
      </c>
      <c r="DI48" s="128">
        <f t="shared" si="41"/>
        <v>15054</v>
      </c>
      <c r="DJ48" s="90">
        <f t="shared" si="42"/>
        <v>11699</v>
      </c>
      <c r="DK48" s="90">
        <f t="shared" si="43"/>
        <v>6630</v>
      </c>
      <c r="DL48" s="90">
        <f t="shared" ca="1" si="44"/>
        <v>7926.5</v>
      </c>
      <c r="DM48" s="90">
        <f t="shared" ca="1" si="45"/>
        <v>41309.5</v>
      </c>
      <c r="DN48" s="142">
        <f t="shared" ca="1" si="46"/>
        <v>0.36441980658202111</v>
      </c>
      <c r="DO48" s="142">
        <f t="shared" ca="1" si="46"/>
        <v>0.28320362144300948</v>
      </c>
      <c r="DP48" s="142">
        <f t="shared" ca="1" si="46"/>
        <v>0.16049576973819582</v>
      </c>
      <c r="DQ48" s="142">
        <f t="shared" ca="1" si="46"/>
        <v>0.19188080223677362</v>
      </c>
      <c r="DS48" s="128">
        <f t="shared" ca="1" si="47"/>
        <v>237953</v>
      </c>
      <c r="DT48" s="90">
        <f t="shared" ca="1" si="48"/>
        <v>131997.75</v>
      </c>
      <c r="DU48" s="90">
        <f t="shared" ca="1" si="49"/>
        <v>41309.5</v>
      </c>
      <c r="DV48" s="90">
        <f t="shared" si="50"/>
        <v>624</v>
      </c>
      <c r="DW48" s="90">
        <f ca="1">_xlfn.IFNA(INDEX(武器升级消耗!$H:$H,MATCH(玩家节奏2!DS48/玩家节奏2!DS$5,武器升级消耗!M:M,1)),0)</f>
        <v>43</v>
      </c>
      <c r="DX48" s="90">
        <f ca="1">_xlfn.IFNA(INDEX(武器升级消耗!$H:$H,MATCH(玩家节奏2!DT48/玩家节奏2!DT$5,武器升级消耗!N:N,1)),0)</f>
        <v>39</v>
      </c>
      <c r="DY48" s="90">
        <f ca="1">_xlfn.IFNA(INDEX(武器升级消耗!$H:$H,MATCH(玩家节奏2!DU48/玩家节奏2!DU$5,武器升级消耗!O:O,1)),0)</f>
        <v>28</v>
      </c>
      <c r="DZ48" s="90">
        <f>_xlfn.IFNA(INDEX(武器升级消耗!$H:$H,MATCH(玩家节奏2!DV48/玩家节奏2!DV$5,武器升级消耗!P:P,1)),0)</f>
        <v>18</v>
      </c>
      <c r="EA48" s="90">
        <f ca="1">_xlfn.IFNA(INDEX(武器升级消耗!$Q:$Q,MATCH(玩家节奏2!DW48,武器升级消耗!$H:$H,0))*2*EA$4,0)</f>
        <v>5.64</v>
      </c>
      <c r="EB48" s="90">
        <f ca="1">_xlfn.IFNA(INDEX(武器升级消耗!$Q:$Q,MATCH(玩家节奏2!DX48,武器升级消耗!$H:$H,0))*2*EB$4,0)</f>
        <v>6.4499999999999993</v>
      </c>
      <c r="EC48" s="90">
        <f ca="1">_xlfn.IFNA(INDEX(武器升级消耗!$Q:$Q,MATCH(玩家节奏2!DY48,武器升级消耗!$H:$H,0))*2*EC$4,0)</f>
        <v>7.0400000000000009</v>
      </c>
      <c r="ED48" s="90">
        <f>_xlfn.IFNA(INDEX(武器升级消耗!$Q:$Q,MATCH(玩家节奏2!DZ48,武器升级消耗!$H:$H,0))*2*ED$4,0)</f>
        <v>6.6000000000000005</v>
      </c>
      <c r="EF48" s="128">
        <f t="shared" si="70"/>
        <v>0</v>
      </c>
      <c r="EG48" s="90">
        <f t="shared" si="71"/>
        <v>0</v>
      </c>
      <c r="EH48" s="90">
        <v>126</v>
      </c>
      <c r="EI48" s="90">
        <v>126</v>
      </c>
      <c r="EJ48" s="90">
        <f>_xlfn.IFNA(INDEX(皮肤宠物!$J$4:$J$13,MATCH(EF48+EH48,皮肤宠物!$L$4:$L$13,1)),0)</f>
        <v>6</v>
      </c>
      <c r="EK48" s="90">
        <f>_xlfn.IFNA(INDEX(皮肤宠物!$J$4:$J$13,MATCH(EG48+EI48,皮肤宠物!$L$4:$L$13,1)),0)</f>
        <v>6</v>
      </c>
      <c r="EL48" s="90">
        <f>_xlfn.IFNA(INDEX(皮肤宠物!$N$4:$N$13,MATCH(EF48+EH48,皮肤宠物!$L$4:$L$13,1)),1)</f>
        <v>1.7600000000000002</v>
      </c>
      <c r="EM48" s="90">
        <f>_xlfn.IFNA(INDEX(皮肤宠物!$N$4:$N$13,MATCH(EG48+EI48,皮肤宠物!$L$4:$L$13,1)),1)</f>
        <v>1.7600000000000002</v>
      </c>
      <c r="EO48" s="128">
        <v>126</v>
      </c>
      <c r="EP48" s="90">
        <v>42</v>
      </c>
      <c r="EQ48" s="90">
        <f t="shared" ca="1" si="51"/>
        <v>53225</v>
      </c>
      <c r="ER48" s="90">
        <f t="shared" si="72"/>
        <v>0</v>
      </c>
      <c r="ES48" s="90">
        <f t="shared" ca="1" si="52"/>
        <v>574.25</v>
      </c>
      <c r="ET48" s="90">
        <f ca="1">$ES48*ET$5*皮肤宠物!$J$75/4</f>
        <v>1895.59925</v>
      </c>
      <c r="EU48" s="90">
        <f ca="1">$ES48*EU$5*皮肤宠物!$J$76/4</f>
        <v>316.41175000000004</v>
      </c>
      <c r="EV48" s="90">
        <f ca="1">$ES48*EV$5*皮肤宠物!$J$77/4</f>
        <v>85.706812499999998</v>
      </c>
      <c r="EW48" s="90">
        <f ca="1">_xlfn.IFNA(INDEX(皮肤宠物!$H$18:$H$67,MATCH(ET48,皮肤宠物!L$18:L$67,1)),0)</f>
        <v>15</v>
      </c>
      <c r="EX48" s="90">
        <f ca="1">_xlfn.IFNA(INDEX(皮肤宠物!$H$18:$H$67,MATCH(EU48,皮肤宠物!M$18:M$67,1)),0)</f>
        <v>12</v>
      </c>
      <c r="EY48" s="90">
        <f ca="1">_xlfn.IFNA(INDEX(皮肤宠物!$H$18:$H$67,MATCH(EV48,皮肤宠物!N$18:N$67,1)),0)</f>
        <v>8</v>
      </c>
      <c r="EZ48" s="90">
        <f ca="1">_xlfn.IFNA(INDEX(皮肤宠物!C$18:C$67,MATCH(EW48,皮肤宠物!$A$18:$A$67,0))+1,1)</f>
        <v>1.1499999999999999</v>
      </c>
      <c r="FA48" s="90">
        <f ca="1">_xlfn.IFNA(INDEX(皮肤宠物!D$18:D$67,MATCH(EX48,皮肤宠物!$A$18:$A$67,0))+1,1)</f>
        <v>1.24</v>
      </c>
      <c r="FB48" s="90">
        <f ca="1">_xlfn.IFNA(INDEX(皮肤宠物!E$18:E$67,MATCH(EY48,皮肤宠物!$A$18:$A$67,0))+1,1)</f>
        <v>1.32</v>
      </c>
      <c r="FD48" s="90">
        <f t="shared" ca="1" si="53"/>
        <v>7.0400000000000009</v>
      </c>
      <c r="FE48" s="90">
        <f t="shared" si="54"/>
        <v>1.7600000000000002</v>
      </c>
      <c r="FF48" s="90">
        <f t="shared" ca="1" si="55"/>
        <v>1.32</v>
      </c>
      <c r="FG48" s="90">
        <f t="shared" ca="1" si="56"/>
        <v>16.355328000000004</v>
      </c>
    </row>
    <row r="49" spans="1:163" x14ac:dyDescent="0.25">
      <c r="A49" s="123">
        <v>43</v>
      </c>
      <c r="B49" s="123">
        <f>INDEX(关卡对比!$Y:$Y,MATCH(关卡对比!Z49,关卡对比!$AA:$AA,1))</f>
        <v>29</v>
      </c>
      <c r="C49" s="124">
        <f>INDEX(关卡对比!$Y:$Y,MATCH(关卡对比!Z49,关卡对比!$AB:$AB,1))</f>
        <v>23</v>
      </c>
      <c r="D49" s="125">
        <f t="shared" si="63"/>
        <v>159.5</v>
      </c>
      <c r="E49" s="125">
        <v>2</v>
      </c>
      <c r="F49" s="128">
        <v>16</v>
      </c>
      <c r="G49" s="90">
        <v>16</v>
      </c>
      <c r="H49" s="90">
        <v>5</v>
      </c>
      <c r="J49" s="128">
        <v>43</v>
      </c>
      <c r="K49" s="90">
        <f t="shared" si="17"/>
        <v>16</v>
      </c>
      <c r="L49" s="90">
        <f t="shared" si="18"/>
        <v>16</v>
      </c>
      <c r="M49" s="90">
        <f t="shared" si="19"/>
        <v>5</v>
      </c>
      <c r="N49" s="140">
        <f>INDEX($A:$A,MATCH(SUM($K$7:K49),$D:$D,1))</f>
        <v>183</v>
      </c>
      <c r="O49" s="140">
        <v>0</v>
      </c>
      <c r="P49" s="141">
        <v>0</v>
      </c>
      <c r="Q49" s="126">
        <f>_xlfn.MAXIFS(关卡产出!X:X,关卡产出!$A:$A,玩家节奏2!$N$6,关卡产出!$B:$B,玩家节奏2!$N49)+_xlfn.MAXIFS(关卡产出!X:X,关卡产出!$A:$A,玩家节奏2!$O$6,关卡产出!$B:$B,玩家节奏2!$O49)+_xlfn.MAXIFS(关卡产出!X:X,关卡产出!$A:$A,玩家节奏2!$P$6,关卡产出!$B:$B,玩家节奏2!$P49)</f>
        <v>35100</v>
      </c>
      <c r="R49" s="90">
        <f>_xlfn.MAXIFS(关卡产出!Y:Y,关卡产出!$A:$A,玩家节奏2!$N$6,关卡产出!$B:$B,玩家节奏2!$N49)+_xlfn.MAXIFS(关卡产出!Y:Y,关卡产出!$A:$A,玩家节奏2!$O$6,关卡产出!$B:$B,玩家节奏2!$O49)+_xlfn.MAXIFS(关卡产出!Y:Y,关卡产出!$A:$A,玩家节奏2!$P$6,关卡产出!$B:$B,玩家节奏2!$P49)</f>
        <v>9690700</v>
      </c>
      <c r="S49" s="90">
        <f>_xlfn.MAXIFS(关卡产出!Z:Z,关卡产出!$A:$A,玩家节奏2!$N$6,关卡产出!$B:$B,玩家节奏2!$N49)+_xlfn.MAXIFS(关卡产出!Z:Z,关卡产出!$A:$A,玩家节奏2!$O$6,关卡产出!$B:$B,玩家节奏2!$O49)+_xlfn.MAXIFS(关卡产出!Z:Z,关卡产出!$A:$A,玩家节奏2!$P$6,关卡产出!$B:$B,玩家节奏2!$P49)</f>
        <v>65946</v>
      </c>
      <c r="T49" s="90">
        <f>_xlfn.MAXIFS(关卡产出!AA:AA,关卡产出!$A:$A,玩家节奏2!$N$6,关卡产出!$B:$B,玩家节奏2!$N49)+_xlfn.MAXIFS(关卡产出!AA:AA,关卡产出!$A:$A,玩家节奏2!$O$6,关卡产出!$B:$B,玩家节奏2!$O49)+_xlfn.MAXIFS(关卡产出!AA:AA,关卡产出!$A:$A,玩家节奏2!$P$6,关卡产出!$B:$B,玩家节奏2!$P49)</f>
        <v>32974</v>
      </c>
      <c r="U49" s="90">
        <f>_xlfn.MAXIFS(关卡产出!AB:AB,关卡产出!$A:$A,玩家节奏2!$N$6,关卡产出!$B:$B,玩家节奏2!$N49)+_xlfn.MAXIFS(关卡产出!AB:AB,关卡产出!$A:$A,玩家节奏2!$O$6,关卡产出!$B:$B,玩家节奏2!$O49)+_xlfn.MAXIFS(关卡产出!AB:AB,关卡产出!$A:$A,玩家节奏2!$P$6,关卡产出!$B:$B,玩家节奏2!$P49)</f>
        <v>15934</v>
      </c>
      <c r="V49" s="130">
        <f>_xlfn.MAXIFS(关卡产出!AC:AC,关卡产出!$A:$A,玩家节奏2!$N$6,关卡产出!$B:$B,玩家节奏2!$N49)+_xlfn.MAXIFS(关卡产出!AC:AC,关卡产出!$A:$A,玩家节奏2!$O$6,关卡产出!$B:$B,玩家节奏2!$O49)+_xlfn.MAXIFS(关卡产出!AC:AC,关卡产出!$A:$A,玩家节奏2!$P$6,关卡产出!$B:$B,玩家节奏2!$P49)</f>
        <v>1098</v>
      </c>
      <c r="W49" s="126">
        <f>INDEX(关卡产出!C$8:C$207,MATCH(玩家节奏2!$N49,关卡产出!$B$8:$B$207,0))*$K49</f>
        <v>2320</v>
      </c>
      <c r="X49" s="126">
        <f>INDEX(关卡产出!D$8:D$207,MATCH(玩家节奏2!$N49,关卡产出!$B$8:$B$207,0))*$K49</f>
        <v>1152</v>
      </c>
      <c r="Y49" s="126">
        <f>INDEX(关卡产出!E$8:E$207,MATCH(玩家节奏2!$N49,关卡产出!$B$8:$B$207,0))*$K49</f>
        <v>576</v>
      </c>
      <c r="Z49" s="144">
        <f>INDEX(关卡产出!F$8:F$207,MATCH(玩家节奏2!$N49,关卡产出!$B$8:$B$207,0))*$K49</f>
        <v>30240</v>
      </c>
      <c r="AA49" s="126">
        <f>SUM(W$7:W49)</f>
        <v>50878</v>
      </c>
      <c r="AB49" s="126">
        <f>SUM(X$7:X49)</f>
        <v>25283</v>
      </c>
      <c r="AC49" s="126">
        <f>SUM(Y$7:Y49)</f>
        <v>12275</v>
      </c>
      <c r="AD49" s="177">
        <f>SUM(Z$7:Z49)</f>
        <v>687770</v>
      </c>
      <c r="AE49" s="128">
        <f>INDEX(图鉴!AQ:AQ,MATCH($N49,图鉴!$S:$S,0))*34</f>
        <v>714</v>
      </c>
      <c r="AF49" s="90">
        <f>INDEX(图鉴!AR:AR,MATCH($N49,图鉴!$S:$S,0))*34</f>
        <v>510</v>
      </c>
      <c r="AG49" s="90">
        <f>INDEX(图鉴!AS:AS,MATCH($N49,图鉴!$S:$S,0))*34</f>
        <v>204</v>
      </c>
      <c r="AH49" s="129">
        <f ca="1">INDEX(图鉴!AT:AT,MATCH($N49,图鉴!$S:$S,0))*34</f>
        <v>53720</v>
      </c>
      <c r="AI49" s="128">
        <f>SUM($AE$7:AE49)</f>
        <v>28798</v>
      </c>
      <c r="AJ49" s="90">
        <f>SUM(AF$7:AF49)</f>
        <v>18462</v>
      </c>
      <c r="AK49" s="90">
        <f>SUM(AG$7:AG49)</f>
        <v>6834</v>
      </c>
      <c r="AL49" s="130">
        <f ca="1">SUM(AH$7:AH49)</f>
        <v>1581986</v>
      </c>
      <c r="AM49" s="133">
        <f>IF(M49=0,0,INDEX(关卡产出!$AU$11:$AU$15,MATCH(玩家节奏2!N49,关卡产出!$AW$11:$AW$15,1))*M49)</f>
        <v>61000</v>
      </c>
      <c r="AN49" s="126">
        <f>IF(L49=0,0,$L49*关卡产出!AU$21)</f>
        <v>16000</v>
      </c>
      <c r="AO49" s="90">
        <f>IF(M49=0,0,$L49*关卡产出!AV$21)</f>
        <v>800</v>
      </c>
      <c r="AP49" s="129">
        <f>IF(N49=0,0,$L49*关卡产出!AW$21)</f>
        <v>16</v>
      </c>
      <c r="AQ49" s="138">
        <f>SUM(AN$7:AN49)</f>
        <v>640000</v>
      </c>
      <c r="AR49" s="126">
        <f>SUM(AO$7:AO49)</f>
        <v>32000</v>
      </c>
      <c r="AS49" s="129">
        <f>SUM(AP$7:AP49)</f>
        <v>640</v>
      </c>
      <c r="AT49" s="128">
        <v>3000</v>
      </c>
      <c r="AU49" s="129">
        <v>600</v>
      </c>
      <c r="AV49" s="128">
        <f>SUM(AT$7:AT49)</f>
        <v>129000</v>
      </c>
      <c r="AW49" s="90">
        <f>SUM(AU$7:AU49)</f>
        <v>25800</v>
      </c>
      <c r="AY49" s="128">
        <f t="shared" si="20"/>
        <v>35100</v>
      </c>
      <c r="AZ49" s="90">
        <f t="shared" si="21"/>
        <v>32000</v>
      </c>
      <c r="BA49" s="90">
        <f t="shared" si="22"/>
        <v>25800</v>
      </c>
      <c r="BB49" s="90">
        <f t="shared" ca="1" si="57"/>
        <v>20300</v>
      </c>
      <c r="BC49" s="90">
        <f t="shared" ca="1" si="60"/>
        <v>58775</v>
      </c>
      <c r="BD49" s="90">
        <f t="shared" ca="1" si="61"/>
        <v>54425</v>
      </c>
      <c r="BE49" s="90">
        <f t="shared" ca="1" si="24"/>
        <v>113200</v>
      </c>
      <c r="BF49" s="142">
        <f t="shared" ca="1" si="64"/>
        <v>0.5971926839642705</v>
      </c>
      <c r="BG49" s="142">
        <f t="shared" ca="1" si="65"/>
        <v>0.54444917056571673</v>
      </c>
      <c r="BH49" s="142">
        <f t="shared" ca="1" si="66"/>
        <v>0.43896214376860909</v>
      </c>
      <c r="BI49" s="142">
        <f t="shared" ca="1" si="67"/>
        <v>0.34538494257762653</v>
      </c>
      <c r="BJ49" s="143"/>
      <c r="BK49" s="128">
        <f ca="1">INDEX(商城宝箱!$L:$L,MATCH(BC49,商城宝箱!$N:$N,1))</f>
        <v>9</v>
      </c>
      <c r="BL49" s="90">
        <f ca="1">_xlfn.IFNA(INDEX(商城宝箱!T:T,MATCH(玩家节奏2!$BK49,商城宝箱!$L:$L,0)),0)+($BC49-INDEX(商城宝箱!$N:$N,MATCH(玩家节奏2!$BK49,商城宝箱!$L:$L,0)))/$BK$5*INDEX(商城宝箱!E$23:E$42,MATCH(玩家节奏2!$BK49+1,商城宝箱!$C$23:$C$42,0))</f>
        <v>146937.5</v>
      </c>
      <c r="BM49" s="90">
        <f ca="1">_xlfn.IFNA(INDEX(商城宝箱!U:U,MATCH(玩家节奏2!$BK49,商城宝箱!$L:$L,0)),0)+($BC49-INDEX(商城宝箱!$N:$N,MATCH(玩家节奏2!$BK49,商城宝箱!$L:$L,0)))/$BK$5*INDEX(商城宝箱!F$23:F$42,MATCH(玩家节奏2!$BK49+1,商城宝箱!$C$23:$C$42,0))</f>
        <v>102185</v>
      </c>
      <c r="BN49" s="90">
        <f ca="1">_xlfn.IFNA(INDEX(商城宝箱!V:V,MATCH(玩家节奏2!$BK49,商城宝箱!$L:$L,0)),0)+($BC49-INDEX(商城宝箱!$N:$N,MATCH(玩家节奏2!$BK49,商城宝箱!$L:$L,0)))/$BK$5*INDEX(商城宝箱!G$23:G$42,MATCH(玩家节奏2!$BK49+1,商城宝箱!$C$23:$C$42,0))</f>
        <v>60230.75</v>
      </c>
      <c r="BO49" s="90">
        <f ca="1">_xlfn.IFNA(INDEX(商城宝箱!W:W,MATCH(玩家节奏2!$BK49,商城宝箱!$L:$L,0)),0)+($BC49-INDEX(商城宝箱!$N:$N,MATCH(玩家节奏2!$BK49,商城宝箱!$L:$L,0)))/$BK$5*INDEX(商城宝箱!H$23:H$42,MATCH(玩家节奏2!$BK49+1,商城宝箱!$C$23:$C$42,0))</f>
        <v>8166.5</v>
      </c>
      <c r="BQ49" s="128">
        <f t="shared" si="4"/>
        <v>9690700</v>
      </c>
      <c r="BR49" s="90">
        <f t="shared" si="5"/>
        <v>687770</v>
      </c>
      <c r="BS49" s="90">
        <f t="shared" ca="1" si="68"/>
        <v>1581986</v>
      </c>
      <c r="BT49" s="90">
        <f t="shared" si="69"/>
        <v>61000</v>
      </c>
      <c r="BU49" s="90">
        <f t="shared" si="8"/>
        <v>640000</v>
      </c>
      <c r="BV49" s="90">
        <f t="shared" si="9"/>
        <v>129000</v>
      </c>
      <c r="BW49" s="90">
        <f t="shared" ca="1" si="25"/>
        <v>146937.5</v>
      </c>
      <c r="BX49" s="90">
        <f t="shared" ca="1" si="26"/>
        <v>12937393.5</v>
      </c>
      <c r="BY49" s="142">
        <f t="shared" ca="1" si="27"/>
        <v>0.74904577958458174</v>
      </c>
      <c r="BZ49" s="142">
        <f t="shared" ca="1" si="27"/>
        <v>5.3161403802087337E-2</v>
      </c>
      <c r="CA49" s="142">
        <f t="shared" ca="1" si="27"/>
        <v>0.12228011770686267</v>
      </c>
      <c r="CB49" s="142">
        <f t="shared" ca="1" si="27"/>
        <v>4.7150146588646313E-3</v>
      </c>
      <c r="CC49" s="142">
        <f t="shared" ca="1" si="27"/>
        <v>4.9469006256940395E-2</v>
      </c>
      <c r="CD49" s="142">
        <f t="shared" ca="1" si="27"/>
        <v>9.9710965736645486E-3</v>
      </c>
      <c r="CE49" s="142">
        <f t="shared" ca="1" si="27"/>
        <v>1.1357581416998717E-2</v>
      </c>
      <c r="CG49" s="128">
        <f t="shared" si="28"/>
        <v>183</v>
      </c>
      <c r="CH49" s="90">
        <f ca="1">INDEX(角色升级!$A:$A,MATCH(玩家节奏2!$BX49,角色升级!$J:$J,1))</f>
        <v>799</v>
      </c>
      <c r="CI49" s="90">
        <f ca="1">INDEX(角色升级!$O:$O,MATCH(玩家节奏2!$BX49,角色升级!$J:$J,1))</f>
        <v>53893.911780000002</v>
      </c>
      <c r="CJ49" s="90">
        <f>INDEX(关卡对比!$J:$J,MATCH(玩家节奏2!N49,关卡对比!$A:$A,0))</f>
        <v>77700</v>
      </c>
      <c r="CK49" s="147">
        <f t="shared" ca="1" si="29"/>
        <v>1.4417212897289526</v>
      </c>
      <c r="CL49" s="128">
        <f ca="1">INDEX(角色升级!$P:$P,MATCH(玩家节奏2!$CH49,角色升级!$A:$A,0))</f>
        <v>22500</v>
      </c>
      <c r="CM49" s="90">
        <f ca="1">INDEX(角色升级!Q:Q,MATCH(玩家节奏2!$CH49,角色升级!$A:$A,0))</f>
        <v>1.5</v>
      </c>
      <c r="CO49" s="128">
        <f t="shared" si="30"/>
        <v>65946</v>
      </c>
      <c r="CP49" s="90">
        <f t="shared" si="31"/>
        <v>50878</v>
      </c>
      <c r="CQ49" s="90">
        <f t="shared" si="32"/>
        <v>28798</v>
      </c>
      <c r="CR49" s="90">
        <f t="shared" ca="1" si="33"/>
        <v>102185</v>
      </c>
      <c r="CS49" s="90">
        <f t="shared" ca="1" si="34"/>
        <v>247807</v>
      </c>
      <c r="CT49" s="142">
        <f t="shared" ca="1" si="35"/>
        <v>0.26611839052165598</v>
      </c>
      <c r="CU49" s="142">
        <f t="shared" ca="1" si="35"/>
        <v>0.20531300568587652</v>
      </c>
      <c r="CV49" s="142">
        <f t="shared" ca="1" si="35"/>
        <v>0.11621140645744471</v>
      </c>
      <c r="CW49" s="142">
        <f t="shared" ca="1" si="35"/>
        <v>0.4123571973350228</v>
      </c>
      <c r="CY49" s="128">
        <f t="shared" si="36"/>
        <v>32974</v>
      </c>
      <c r="CZ49" s="90">
        <f t="shared" si="37"/>
        <v>25283</v>
      </c>
      <c r="DA49" s="90">
        <f t="shared" si="38"/>
        <v>18462</v>
      </c>
      <c r="DB49" s="90">
        <f t="shared" ca="1" si="58"/>
        <v>60230.75</v>
      </c>
      <c r="DC49" s="90">
        <f t="shared" ca="1" si="39"/>
        <v>136949.75</v>
      </c>
      <c r="DD49" s="142">
        <f t="shared" ca="1" si="40"/>
        <v>0.24077444464119138</v>
      </c>
      <c r="DE49" s="142">
        <f t="shared" ca="1" si="40"/>
        <v>0.18461515994005101</v>
      </c>
      <c r="DF49" s="142">
        <f t="shared" ca="1" si="40"/>
        <v>0.13480857029676943</v>
      </c>
      <c r="DG49" s="142">
        <f t="shared" ca="1" si="40"/>
        <v>0.43980182512198818</v>
      </c>
      <c r="DI49" s="128">
        <f t="shared" si="41"/>
        <v>15934</v>
      </c>
      <c r="DJ49" s="90">
        <f t="shared" si="42"/>
        <v>12275</v>
      </c>
      <c r="DK49" s="90">
        <f t="shared" si="43"/>
        <v>6834</v>
      </c>
      <c r="DL49" s="90">
        <f t="shared" ca="1" si="44"/>
        <v>8166.5</v>
      </c>
      <c r="DM49" s="90">
        <f t="shared" ca="1" si="45"/>
        <v>43209.5</v>
      </c>
      <c r="DN49" s="142">
        <f t="shared" ca="1" si="46"/>
        <v>0.36876149920735024</v>
      </c>
      <c r="DO49" s="142">
        <f t="shared" ca="1" si="46"/>
        <v>0.28408104699198095</v>
      </c>
      <c r="DP49" s="142">
        <f t="shared" ca="1" si="46"/>
        <v>0.15815966396278597</v>
      </c>
      <c r="DQ49" s="142">
        <f t="shared" ca="1" si="46"/>
        <v>0.18899778983788287</v>
      </c>
      <c r="DS49" s="128">
        <f t="shared" ca="1" si="47"/>
        <v>247807</v>
      </c>
      <c r="DT49" s="90">
        <f t="shared" ca="1" si="48"/>
        <v>136949.75</v>
      </c>
      <c r="DU49" s="90">
        <f t="shared" ca="1" si="49"/>
        <v>43209.5</v>
      </c>
      <c r="DV49" s="90">
        <f t="shared" si="50"/>
        <v>640</v>
      </c>
      <c r="DW49" s="90">
        <f ca="1">_xlfn.IFNA(INDEX(武器升级消耗!$H:$H,MATCH(玩家节奏2!DS49/玩家节奏2!DS$5,武器升级消耗!M:M,1)),0)</f>
        <v>44</v>
      </c>
      <c r="DX49" s="90">
        <f ca="1">_xlfn.IFNA(INDEX(武器升级消耗!$H:$H,MATCH(玩家节奏2!DT49/玩家节奏2!DT$5,武器升级消耗!N:N,1)),0)</f>
        <v>40</v>
      </c>
      <c r="DY49" s="90">
        <f ca="1">_xlfn.IFNA(INDEX(武器升级消耗!$H:$H,MATCH(玩家节奏2!DU49/玩家节奏2!DU$5,武器升级消耗!O:O,1)),0)</f>
        <v>29</v>
      </c>
      <c r="DZ49" s="90">
        <f>_xlfn.IFNA(INDEX(武器升级消耗!$H:$H,MATCH(玩家节奏2!DV49/玩家节奏2!DV$5,武器升级消耗!P:P,1)),0)</f>
        <v>18</v>
      </c>
      <c r="EA49" s="90">
        <f ca="1">_xlfn.IFNA(INDEX(武器升级消耗!$Q:$Q,MATCH(玩家节奏2!DW49,武器升级消耗!$H:$H,0))*2*EA$4,0)</f>
        <v>5.76</v>
      </c>
      <c r="EB49" s="90">
        <f ca="1">_xlfn.IFNA(INDEX(武器升级消耗!$Q:$Q,MATCH(玩家节奏2!DX49,武器升级消耗!$H:$H,0))*2*EB$4,0)</f>
        <v>6.6000000000000005</v>
      </c>
      <c r="EC49" s="90">
        <f ca="1">_xlfn.IFNA(INDEX(武器升级消耗!$Q:$Q,MATCH(玩家节奏2!DY49,武器升级消耗!$H:$H,0))*2*EC$4,0)</f>
        <v>7.26</v>
      </c>
      <c r="ED49" s="90">
        <f>_xlfn.IFNA(INDEX(武器升级消耗!$Q:$Q,MATCH(玩家节奏2!DZ49,武器升级消耗!$H:$H,0))*2*ED$4,0)</f>
        <v>6.6000000000000005</v>
      </c>
      <c r="EF49" s="128">
        <f t="shared" si="70"/>
        <v>0</v>
      </c>
      <c r="EG49" s="90">
        <f t="shared" si="71"/>
        <v>0</v>
      </c>
      <c r="EH49" s="90">
        <v>129</v>
      </c>
      <c r="EI49" s="90">
        <v>129</v>
      </c>
      <c r="EJ49" s="90">
        <f>_xlfn.IFNA(INDEX(皮肤宠物!$J$4:$J$13,MATCH(EF49+EH49,皮肤宠物!$L$4:$L$13,1)),0)</f>
        <v>6</v>
      </c>
      <c r="EK49" s="90">
        <f>_xlfn.IFNA(INDEX(皮肤宠物!$J$4:$J$13,MATCH(EG49+EI49,皮肤宠物!$L$4:$L$13,1)),0)</f>
        <v>6</v>
      </c>
      <c r="EL49" s="90">
        <f>_xlfn.IFNA(INDEX(皮肤宠物!$N$4:$N$13,MATCH(EF49+EH49,皮肤宠物!$L$4:$L$13,1)),1)</f>
        <v>1.7600000000000002</v>
      </c>
      <c r="EM49" s="90">
        <f>_xlfn.IFNA(INDEX(皮肤宠物!$N$4:$N$13,MATCH(EG49+EI49,皮肤宠物!$L$4:$L$13,1)),1)</f>
        <v>1.7600000000000002</v>
      </c>
      <c r="EO49" s="128">
        <v>129</v>
      </c>
      <c r="EP49" s="90">
        <v>43</v>
      </c>
      <c r="EQ49" s="90">
        <f t="shared" ca="1" si="51"/>
        <v>54425</v>
      </c>
      <c r="ER49" s="90">
        <f t="shared" si="72"/>
        <v>0</v>
      </c>
      <c r="ES49" s="90">
        <f t="shared" ca="1" si="52"/>
        <v>587.25</v>
      </c>
      <c r="ET49" s="90">
        <f ca="1">$ES49*ET$5*皮肤宠物!$J$75/4</f>
        <v>1938.51225</v>
      </c>
      <c r="EU49" s="90">
        <f ca="1">$ES49*EU$5*皮肤宠物!$J$76/4</f>
        <v>323.57474999999999</v>
      </c>
      <c r="EV49" s="90">
        <f ca="1">$ES49*EV$5*皮肤宠物!$J$77/4</f>
        <v>87.647062500000004</v>
      </c>
      <c r="EW49" s="90">
        <f ca="1">_xlfn.IFNA(INDEX(皮肤宠物!$H$18:$H$67,MATCH(ET49,皮肤宠物!L$18:L$67,1)),0)</f>
        <v>15</v>
      </c>
      <c r="EX49" s="90">
        <f ca="1">_xlfn.IFNA(INDEX(皮肤宠物!$H$18:$H$67,MATCH(EU49,皮肤宠物!M$18:M$67,1)),0)</f>
        <v>12</v>
      </c>
      <c r="EY49" s="90">
        <f ca="1">_xlfn.IFNA(INDEX(皮肤宠物!$H$18:$H$67,MATCH(EV49,皮肤宠物!N$18:N$67,1)),0)</f>
        <v>8</v>
      </c>
      <c r="EZ49" s="90">
        <f ca="1">_xlfn.IFNA(INDEX(皮肤宠物!C$18:C$67,MATCH(EW49,皮肤宠物!$A$18:$A$67,0))+1,1)</f>
        <v>1.1499999999999999</v>
      </c>
      <c r="FA49" s="90">
        <f ca="1">_xlfn.IFNA(INDEX(皮肤宠物!D$18:D$67,MATCH(EX49,皮肤宠物!$A$18:$A$67,0))+1,1)</f>
        <v>1.24</v>
      </c>
      <c r="FB49" s="90">
        <f ca="1">_xlfn.IFNA(INDEX(皮肤宠物!E$18:E$67,MATCH(EY49,皮肤宠物!$A$18:$A$67,0))+1,1)</f>
        <v>1.32</v>
      </c>
      <c r="FD49" s="90">
        <f t="shared" ca="1" si="53"/>
        <v>7.26</v>
      </c>
      <c r="FE49" s="90">
        <f t="shared" si="54"/>
        <v>1.7600000000000002</v>
      </c>
      <c r="FF49" s="90">
        <f t="shared" ca="1" si="55"/>
        <v>1.32</v>
      </c>
      <c r="FG49" s="90">
        <f t="shared" ca="1" si="56"/>
        <v>16.866432000000003</v>
      </c>
    </row>
    <row r="50" spans="1:163" x14ac:dyDescent="0.25">
      <c r="A50" s="123">
        <v>44</v>
      </c>
      <c r="B50" s="123">
        <f>INDEX(关卡对比!$Y:$Y,MATCH(关卡对比!Z50,关卡对比!$AA:$AA,1))</f>
        <v>30</v>
      </c>
      <c r="C50" s="124">
        <f>INDEX(关卡对比!$Y:$Y,MATCH(关卡对比!Z50,关卡对比!$AB:$AB,1))</f>
        <v>24</v>
      </c>
      <c r="D50" s="125">
        <f t="shared" si="63"/>
        <v>165.5</v>
      </c>
      <c r="E50" s="125">
        <v>2</v>
      </c>
      <c r="F50" s="128">
        <v>16</v>
      </c>
      <c r="G50" s="90">
        <v>16</v>
      </c>
      <c r="H50" s="90">
        <v>5</v>
      </c>
      <c r="J50" s="128">
        <v>44</v>
      </c>
      <c r="K50" s="90">
        <f t="shared" si="17"/>
        <v>16</v>
      </c>
      <c r="L50" s="90">
        <f t="shared" si="18"/>
        <v>16</v>
      </c>
      <c r="M50" s="90">
        <f t="shared" si="19"/>
        <v>5</v>
      </c>
      <c r="N50" s="140">
        <f>INDEX($A:$A,MATCH(SUM($K$7:K50),$D:$D,1))</f>
        <v>187</v>
      </c>
      <c r="O50" s="140">
        <v>0</v>
      </c>
      <c r="P50" s="141">
        <v>0</v>
      </c>
      <c r="Q50" s="126">
        <f>_xlfn.MAXIFS(关卡产出!X:X,关卡产出!$A:$A,玩家节奏2!$N$6,关卡产出!$B:$B,玩家节奏2!$N50)+_xlfn.MAXIFS(关卡产出!X:X,关卡产出!$A:$A,玩家节奏2!$O$6,关卡产出!$B:$B,玩家节奏2!$O50)+_xlfn.MAXIFS(关卡产出!X:X,关卡产出!$A:$A,玩家节奏2!$P$6,关卡产出!$B:$B,玩家节奏2!$P50)</f>
        <v>35900</v>
      </c>
      <c r="R50" s="90">
        <f>_xlfn.MAXIFS(关卡产出!Y:Y,关卡产出!$A:$A,玩家节奏2!$N$6,关卡产出!$B:$B,玩家节奏2!$N50)+_xlfn.MAXIFS(关卡产出!Y:Y,关卡产出!$A:$A,玩家节奏2!$O$6,关卡产出!$B:$B,玩家节奏2!$O50)+_xlfn.MAXIFS(关卡产出!Y:Y,关卡产出!$A:$A,玩家节奏2!$P$6,关卡产出!$B:$B,玩家节奏2!$P50)</f>
        <v>10126700</v>
      </c>
      <c r="S50" s="90">
        <f>_xlfn.MAXIFS(关卡产出!Z:Z,关卡产出!$A:$A,玩家节奏2!$N$6,关卡产出!$B:$B,玩家节奏2!$N50)+_xlfn.MAXIFS(关卡产出!Z:Z,关卡产出!$A:$A,玩家节奏2!$O$6,关卡产出!$B:$B,玩家节奏2!$O50)+_xlfn.MAXIFS(关卡产出!Z:Z,关卡产出!$A:$A,玩家节奏2!$P$6,关卡产出!$B:$B,玩家节奏2!$P50)</f>
        <v>68882</v>
      </c>
      <c r="T50" s="90">
        <f>_xlfn.MAXIFS(关卡产出!AA:AA,关卡产出!$A:$A,玩家节奏2!$N$6,关卡产出!$B:$B,玩家节奏2!$N50)+_xlfn.MAXIFS(关卡产出!AA:AA,关卡产出!$A:$A,玩家节奏2!$O$6,关卡产出!$B:$B,玩家节奏2!$O50)+_xlfn.MAXIFS(关卡产出!AA:AA,关卡产出!$A:$A,玩家节奏2!$P$6,关卡产出!$B:$B,玩家节奏2!$P50)</f>
        <v>34442</v>
      </c>
      <c r="U50" s="90">
        <f>_xlfn.MAXIFS(关卡产出!AB:AB,关卡产出!$A:$A,玩家节奏2!$N$6,关卡产出!$B:$B,玩家节奏2!$N50)+_xlfn.MAXIFS(关卡产出!AB:AB,关卡产出!$A:$A,玩家节奏2!$O$6,关卡产出!$B:$B,玩家节奏2!$O50)+_xlfn.MAXIFS(关卡产出!AB:AB,关卡产出!$A:$A,玩家节奏2!$P$6,关卡产出!$B:$B,玩家节奏2!$P50)</f>
        <v>16656</v>
      </c>
      <c r="V50" s="130">
        <f>_xlfn.MAXIFS(关卡产出!AC:AC,关卡产出!$A:$A,玩家节奏2!$N$6,关卡产出!$B:$B,玩家节奏2!$N50)+_xlfn.MAXIFS(关卡产出!AC:AC,关卡产出!$A:$A,玩家节奏2!$O$6,关卡产出!$B:$B,玩家节奏2!$O50)+_xlfn.MAXIFS(关卡产出!AC:AC,关卡产出!$A:$A,玩家节奏2!$P$6,关卡产出!$B:$B,玩家节奏2!$P50)</f>
        <v>1122</v>
      </c>
      <c r="W50" s="126">
        <f>INDEX(关卡产出!C$8:C$207,MATCH(玩家节奏2!$N50,关卡产出!$B$8:$B$207,0))*$K50</f>
        <v>2368</v>
      </c>
      <c r="X50" s="126">
        <f>INDEX(关卡产出!D$8:D$207,MATCH(玩家节奏2!$N50,关卡产出!$B$8:$B$207,0))*$K50</f>
        <v>1184</v>
      </c>
      <c r="Y50" s="126">
        <f>INDEX(关卡产出!E$8:E$207,MATCH(玩家节奏2!$N50,关卡产出!$B$8:$B$207,0))*$K50</f>
        <v>576</v>
      </c>
      <c r="Z50" s="144">
        <f>INDEX(关卡产出!F$8:F$207,MATCH(玩家节奏2!$N50,关卡产出!$B$8:$B$207,0))*$K50</f>
        <v>30880</v>
      </c>
      <c r="AA50" s="126">
        <f>SUM(W$7:W50)</f>
        <v>53246</v>
      </c>
      <c r="AB50" s="126">
        <f>SUM(X$7:X50)</f>
        <v>26467</v>
      </c>
      <c r="AC50" s="126">
        <f>SUM(Y$7:Y50)</f>
        <v>12851</v>
      </c>
      <c r="AD50" s="177">
        <f>SUM(Z$7:Z50)</f>
        <v>718650</v>
      </c>
      <c r="AE50" s="128">
        <f>INDEX(图鉴!AQ:AQ,MATCH($N50,图鉴!$S:$S,0))*34</f>
        <v>714</v>
      </c>
      <c r="AF50" s="90">
        <f>INDEX(图鉴!AR:AR,MATCH($N50,图鉴!$S:$S,0))*34</f>
        <v>510</v>
      </c>
      <c r="AG50" s="90">
        <f>INDEX(图鉴!AS:AS,MATCH($N50,图鉴!$S:$S,0))*34</f>
        <v>204</v>
      </c>
      <c r="AH50" s="129">
        <f ca="1">INDEX(图鉴!AT:AT,MATCH($N50,图鉴!$S:$S,0))*34</f>
        <v>53720</v>
      </c>
      <c r="AI50" s="128">
        <f>SUM($AE$7:AE50)</f>
        <v>29512</v>
      </c>
      <c r="AJ50" s="90">
        <f>SUM(AF$7:AF50)</f>
        <v>18972</v>
      </c>
      <c r="AK50" s="90">
        <f>SUM(AG$7:AG50)</f>
        <v>7038</v>
      </c>
      <c r="AL50" s="130">
        <f ca="1">SUM(AH$7:AH50)</f>
        <v>1635706</v>
      </c>
      <c r="AM50" s="133">
        <f>IF(M50=0,0,INDEX(关卡产出!$AU$11:$AU$15,MATCH(玩家节奏2!N50,关卡产出!$AW$11:$AW$15,1))*M50)</f>
        <v>61000</v>
      </c>
      <c r="AN50" s="126">
        <f>IF(L50=0,0,$L50*关卡产出!AU$21)</f>
        <v>16000</v>
      </c>
      <c r="AO50" s="90">
        <f>IF(M50=0,0,$L50*关卡产出!AV$21)</f>
        <v>800</v>
      </c>
      <c r="AP50" s="129">
        <f>IF(N50=0,0,$L50*关卡产出!AW$21)</f>
        <v>16</v>
      </c>
      <c r="AQ50" s="138">
        <f>SUM(AN$7:AN50)</f>
        <v>656000</v>
      </c>
      <c r="AR50" s="126">
        <f>SUM(AO$7:AO50)</f>
        <v>32800</v>
      </c>
      <c r="AS50" s="129">
        <f>SUM(AP$7:AP50)</f>
        <v>656</v>
      </c>
      <c r="AT50" s="128">
        <v>3000</v>
      </c>
      <c r="AU50" s="129">
        <v>600</v>
      </c>
      <c r="AV50" s="128">
        <f>SUM(AT$7:AT50)</f>
        <v>132000</v>
      </c>
      <c r="AW50" s="90">
        <f>SUM(AU$7:AU50)</f>
        <v>26400</v>
      </c>
      <c r="AY50" s="128">
        <f t="shared" si="20"/>
        <v>35900</v>
      </c>
      <c r="AZ50" s="90">
        <f t="shared" si="21"/>
        <v>32800</v>
      </c>
      <c r="BA50" s="90">
        <f t="shared" si="22"/>
        <v>26400</v>
      </c>
      <c r="BB50" s="90">
        <f t="shared" ca="1" si="57"/>
        <v>22500</v>
      </c>
      <c r="BC50" s="90">
        <f t="shared" ca="1" si="60"/>
        <v>60975</v>
      </c>
      <c r="BD50" s="90">
        <f t="shared" ca="1" si="61"/>
        <v>56625</v>
      </c>
      <c r="BE50" s="90">
        <f t="shared" ca="1" si="24"/>
        <v>117600</v>
      </c>
      <c r="BF50" s="142">
        <f t="shared" ca="1" si="64"/>
        <v>0.58876588765887661</v>
      </c>
      <c r="BG50" s="142">
        <f t="shared" ca="1" si="65"/>
        <v>0.53792537925379258</v>
      </c>
      <c r="BH50" s="142">
        <f t="shared" ca="1" si="66"/>
        <v>0.43296432964329645</v>
      </c>
      <c r="BI50" s="142">
        <f t="shared" ca="1" si="67"/>
        <v>0.36900369003690037</v>
      </c>
      <c r="BJ50" s="143"/>
      <c r="BK50" s="128">
        <f ca="1">INDEX(商城宝箱!$L:$L,MATCH(BC50,商城宝箱!$N:$N,1))</f>
        <v>10</v>
      </c>
      <c r="BL50" s="90">
        <f ca="1">_xlfn.IFNA(INDEX(商城宝箱!T:T,MATCH(玩家节奏2!$BK50,商城宝箱!$L:$L,0)),0)+($BC50-INDEX(商城宝箱!$N:$N,MATCH(玩家节奏2!$BK50,商城宝箱!$L:$L,0)))/$BK$5*INDEX(商城宝箱!E$23:E$42,MATCH(玩家节奏2!$BK50+1,商城宝箱!$C$23:$C$42,0))</f>
        <v>152437.5</v>
      </c>
      <c r="BM50" s="90">
        <f ca="1">_xlfn.IFNA(INDEX(商城宝箱!U:U,MATCH(玩家节奏2!$BK50,商城宝箱!$L:$L,0)),0)+($BC50-INDEX(商城宝箱!$N:$N,MATCH(玩家节奏2!$BK50,商城宝箱!$L:$L,0)))/$BK$5*INDEX(商城宝箱!F$23:F$42,MATCH(玩家节奏2!$BK50+1,商城宝箱!$C$23:$C$42,0))</f>
        <v>109062.5</v>
      </c>
      <c r="BN50" s="90">
        <f ca="1">_xlfn.IFNA(INDEX(商城宝箱!V:V,MATCH(玩家节奏2!$BK50,商城宝箱!$L:$L,0)),0)+($BC50-INDEX(商城宝箱!$N:$N,MATCH(玩家节奏2!$BK50,商城宝箱!$L:$L,0)))/$BK$5*INDEX(商城宝箱!G$23:G$42,MATCH(玩家节奏2!$BK50+1,商城宝箱!$C$23:$C$42,0))</f>
        <v>63449.5</v>
      </c>
      <c r="BO50" s="90">
        <f ca="1">_xlfn.IFNA(INDEX(商城宝箱!W:W,MATCH(玩家节奏2!$BK50,商城宝箱!$L:$L,0)),0)+($BC50-INDEX(商城宝箱!$N:$N,MATCH(玩家节奏2!$BK50,商城宝箱!$L:$L,0)))/$BK$5*INDEX(商城宝箱!H$23:H$42,MATCH(玩家节奏2!$BK50+1,商城宝箱!$C$23:$C$42,0))</f>
        <v>8700.25</v>
      </c>
      <c r="BQ50" s="128">
        <f t="shared" si="4"/>
        <v>10126700</v>
      </c>
      <c r="BR50" s="90">
        <f t="shared" si="5"/>
        <v>718650</v>
      </c>
      <c r="BS50" s="90">
        <f t="shared" ca="1" si="68"/>
        <v>1635706</v>
      </c>
      <c r="BT50" s="90">
        <f t="shared" si="69"/>
        <v>61000</v>
      </c>
      <c r="BU50" s="90">
        <f t="shared" si="8"/>
        <v>656000</v>
      </c>
      <c r="BV50" s="90">
        <f t="shared" si="9"/>
        <v>132000</v>
      </c>
      <c r="BW50" s="90">
        <f t="shared" ca="1" si="25"/>
        <v>152437.5</v>
      </c>
      <c r="BX50" s="90">
        <f t="shared" ca="1" si="26"/>
        <v>13482493.5</v>
      </c>
      <c r="BY50" s="142">
        <f t="shared" ca="1" si="27"/>
        <v>0.75109993563134292</v>
      </c>
      <c r="BZ50" s="142">
        <f t="shared" ca="1" si="27"/>
        <v>5.3302454772182907E-2</v>
      </c>
      <c r="CA50" s="142">
        <f t="shared" ca="1" si="27"/>
        <v>0.12132073343851417</v>
      </c>
      <c r="CB50" s="142">
        <f t="shared" ca="1" si="27"/>
        <v>4.5243856412762228E-3</v>
      </c>
      <c r="CC50" s="142">
        <f t="shared" ca="1" si="27"/>
        <v>4.8655688207822984E-2</v>
      </c>
      <c r="CD50" s="142">
        <f t="shared" ca="1" si="27"/>
        <v>9.7904738466960874E-3</v>
      </c>
      <c r="CE50" s="142">
        <f t="shared" ca="1" si="27"/>
        <v>1.1306328462164658E-2</v>
      </c>
      <c r="CG50" s="128">
        <f t="shared" si="28"/>
        <v>187</v>
      </c>
      <c r="CH50" s="90">
        <f ca="1">INDEX(角色升级!$A:$A,MATCH(玩家节奏2!$BX50,角色升级!$J:$J,1))</f>
        <v>814</v>
      </c>
      <c r="CI50" s="90">
        <f ca="1">INDEX(角色升级!$O:$O,MATCH(玩家节奏2!$BX50,角色升级!$J:$J,1))</f>
        <v>55773.222570000005</v>
      </c>
      <c r="CJ50" s="90">
        <f>INDEX(关卡对比!$J:$J,MATCH(玩家节奏2!N50,关卡对比!$A:$A,0))</f>
        <v>79700</v>
      </c>
      <c r="CK50" s="147">
        <f t="shared" ca="1" si="29"/>
        <v>1.4290011644919731</v>
      </c>
      <c r="CL50" s="128">
        <f ca="1">INDEX(角色升级!$P:$P,MATCH(玩家节奏2!$CH50,角色升级!$A:$A,0))</f>
        <v>22500</v>
      </c>
      <c r="CM50" s="90">
        <f ca="1">INDEX(角色升级!Q:Q,MATCH(玩家节奏2!$CH50,角色升级!$A:$A,0))</f>
        <v>1.6</v>
      </c>
      <c r="CO50" s="128">
        <f t="shared" si="30"/>
        <v>68882</v>
      </c>
      <c r="CP50" s="90">
        <f t="shared" si="31"/>
        <v>53246</v>
      </c>
      <c r="CQ50" s="90">
        <f t="shared" si="32"/>
        <v>29512</v>
      </c>
      <c r="CR50" s="90">
        <f t="shared" ca="1" si="33"/>
        <v>109062.5</v>
      </c>
      <c r="CS50" s="90">
        <f t="shared" ca="1" si="34"/>
        <v>260702.5</v>
      </c>
      <c r="CT50" s="142">
        <f t="shared" ca="1" si="35"/>
        <v>0.26421687555738821</v>
      </c>
      <c r="CU50" s="142">
        <f t="shared" ca="1" si="35"/>
        <v>0.20424046566488621</v>
      </c>
      <c r="CV50" s="142">
        <f t="shared" ca="1" si="35"/>
        <v>0.11320182967175228</v>
      </c>
      <c r="CW50" s="142">
        <f t="shared" ca="1" si="35"/>
        <v>0.41834082910597331</v>
      </c>
      <c r="CY50" s="128">
        <f t="shared" si="36"/>
        <v>34442</v>
      </c>
      <c r="CZ50" s="90">
        <f t="shared" si="37"/>
        <v>26467</v>
      </c>
      <c r="DA50" s="90">
        <f t="shared" si="38"/>
        <v>18972</v>
      </c>
      <c r="DB50" s="90">
        <f t="shared" ca="1" si="58"/>
        <v>63449.5</v>
      </c>
      <c r="DC50" s="90">
        <f t="shared" ca="1" si="39"/>
        <v>143330.5</v>
      </c>
      <c r="DD50" s="142">
        <f t="shared" ca="1" si="40"/>
        <v>0.24029777332807742</v>
      </c>
      <c r="DE50" s="142">
        <f t="shared" ca="1" si="40"/>
        <v>0.18465713857134386</v>
      </c>
      <c r="DF50" s="142">
        <f t="shared" ca="1" si="40"/>
        <v>0.13236540722316603</v>
      </c>
      <c r="DG50" s="142">
        <f t="shared" ca="1" si="40"/>
        <v>0.44267968087741272</v>
      </c>
      <c r="DI50" s="128">
        <f t="shared" si="41"/>
        <v>16656</v>
      </c>
      <c r="DJ50" s="90">
        <f t="shared" si="42"/>
        <v>12851</v>
      </c>
      <c r="DK50" s="90">
        <f t="shared" si="43"/>
        <v>7038</v>
      </c>
      <c r="DL50" s="90">
        <f t="shared" ca="1" si="44"/>
        <v>8700.25</v>
      </c>
      <c r="DM50" s="90">
        <f t="shared" ca="1" si="45"/>
        <v>45245.25</v>
      </c>
      <c r="DN50" s="142">
        <f t="shared" ca="1" si="46"/>
        <v>0.36812704096010079</v>
      </c>
      <c r="DO50" s="142">
        <f t="shared" ca="1" si="46"/>
        <v>0.28402981528447735</v>
      </c>
      <c r="DP50" s="142">
        <f t="shared" ca="1" si="46"/>
        <v>0.15555224029041723</v>
      </c>
      <c r="DQ50" s="142">
        <f t="shared" ca="1" si="46"/>
        <v>0.1922909034650046</v>
      </c>
      <c r="DS50" s="128">
        <f t="shared" ca="1" si="47"/>
        <v>260702.5</v>
      </c>
      <c r="DT50" s="90">
        <f t="shared" ca="1" si="48"/>
        <v>143330.5</v>
      </c>
      <c r="DU50" s="90">
        <f t="shared" ca="1" si="49"/>
        <v>45245.25</v>
      </c>
      <c r="DV50" s="90">
        <f t="shared" si="50"/>
        <v>656</v>
      </c>
      <c r="DW50" s="90">
        <f ca="1">_xlfn.IFNA(INDEX(武器升级消耗!$H:$H,MATCH(玩家节奏2!DS50/玩家节奏2!DS$5,武器升级消耗!M:M,1)),0)</f>
        <v>45</v>
      </c>
      <c r="DX50" s="90">
        <f ca="1">_xlfn.IFNA(INDEX(武器升级消耗!$H:$H,MATCH(玩家节奏2!DT50/玩家节奏2!DT$5,武器升级消耗!N:N,1)),0)</f>
        <v>40</v>
      </c>
      <c r="DY50" s="90">
        <f ca="1">_xlfn.IFNA(INDEX(武器升级消耗!$H:$H,MATCH(玩家节奏2!DU50/玩家节奏2!DU$5,武器升级消耗!O:O,1)),0)</f>
        <v>29</v>
      </c>
      <c r="DZ50" s="90">
        <f>_xlfn.IFNA(INDEX(武器升级消耗!$H:$H,MATCH(玩家节奏2!DV50/玩家节奏2!DV$5,武器升级消耗!P:P,1)),0)</f>
        <v>19</v>
      </c>
      <c r="EA50" s="90">
        <f ca="1">_xlfn.IFNA(INDEX(武器升级消耗!$Q:$Q,MATCH(玩家节奏2!DW50,武器升级消耗!$H:$H,0))*2*EA$4,0)</f>
        <v>5.88</v>
      </c>
      <c r="EB50" s="90">
        <f ca="1">_xlfn.IFNA(INDEX(武器升级消耗!$Q:$Q,MATCH(玩家节奏2!DX50,武器升级消耗!$H:$H,0))*2*EB$4,0)</f>
        <v>6.6000000000000005</v>
      </c>
      <c r="EC50" s="90">
        <f ca="1">_xlfn.IFNA(INDEX(武器升级消耗!$Q:$Q,MATCH(玩家节奏2!DY50,武器升级消耗!$H:$H,0))*2*EC$4,0)</f>
        <v>7.26</v>
      </c>
      <c r="ED50" s="90">
        <f>_xlfn.IFNA(INDEX(武器升级消耗!$Q:$Q,MATCH(玩家节奏2!DZ50,武器升级消耗!$H:$H,0))*2*ED$4,0)</f>
        <v>6.8999999999999995</v>
      </c>
      <c r="EF50" s="128">
        <f t="shared" si="70"/>
        <v>0</v>
      </c>
      <c r="EG50" s="90">
        <f t="shared" si="71"/>
        <v>0</v>
      </c>
      <c r="EH50" s="90">
        <v>132</v>
      </c>
      <c r="EI50" s="90">
        <v>132</v>
      </c>
      <c r="EJ50" s="90">
        <f>_xlfn.IFNA(INDEX(皮肤宠物!$J$4:$J$13,MATCH(EF50+EH50,皮肤宠物!$L$4:$L$13,1)),0)</f>
        <v>6</v>
      </c>
      <c r="EK50" s="90">
        <f>_xlfn.IFNA(INDEX(皮肤宠物!$J$4:$J$13,MATCH(EG50+EI50,皮肤宠物!$L$4:$L$13,1)),0)</f>
        <v>6</v>
      </c>
      <c r="EL50" s="90">
        <f>_xlfn.IFNA(INDEX(皮肤宠物!$N$4:$N$13,MATCH(EF50+EH50,皮肤宠物!$L$4:$L$13,1)),1)</f>
        <v>1.7600000000000002</v>
      </c>
      <c r="EM50" s="90">
        <f>_xlfn.IFNA(INDEX(皮肤宠物!$N$4:$N$13,MATCH(EG50+EI50,皮肤宠物!$L$4:$L$13,1)),1)</f>
        <v>1.7600000000000002</v>
      </c>
      <c r="EO50" s="128">
        <v>132</v>
      </c>
      <c r="EP50" s="90">
        <v>44</v>
      </c>
      <c r="EQ50" s="90">
        <f t="shared" ca="1" si="51"/>
        <v>56625</v>
      </c>
      <c r="ER50" s="90">
        <f t="shared" si="72"/>
        <v>0</v>
      </c>
      <c r="ES50" s="90">
        <f t="shared" ca="1" si="52"/>
        <v>610.25</v>
      </c>
      <c r="ET50" s="90">
        <f ca="1">$ES50*ET$5*皮肤宠物!$J$75/4</f>
        <v>2014.43525</v>
      </c>
      <c r="EU50" s="90">
        <f ca="1">$ES50*EU$5*皮肤宠物!$J$76/4</f>
        <v>336.24775</v>
      </c>
      <c r="EV50" s="90">
        <f ca="1">$ES50*EV$5*皮肤宠物!$J$77/4</f>
        <v>91.079812500000003</v>
      </c>
      <c r="EW50" s="90">
        <f ca="1">_xlfn.IFNA(INDEX(皮肤宠物!$H$18:$H$67,MATCH(ET50,皮肤宠物!L$18:L$67,1)),0)</f>
        <v>15</v>
      </c>
      <c r="EX50" s="90">
        <f ca="1">_xlfn.IFNA(INDEX(皮肤宠物!$H$18:$H$67,MATCH(EU50,皮肤宠物!M$18:M$67,1)),0)</f>
        <v>12</v>
      </c>
      <c r="EY50" s="90">
        <f ca="1">_xlfn.IFNA(INDEX(皮肤宠物!$H$18:$H$67,MATCH(EV50,皮肤宠物!N$18:N$67,1)),0)</f>
        <v>9</v>
      </c>
      <c r="EZ50" s="90">
        <f ca="1">_xlfn.IFNA(INDEX(皮肤宠物!C$18:C$67,MATCH(EW50,皮肤宠物!$A$18:$A$67,0))+1,1)</f>
        <v>1.1499999999999999</v>
      </c>
      <c r="FA50" s="90">
        <f ca="1">_xlfn.IFNA(INDEX(皮肤宠物!D$18:D$67,MATCH(EX50,皮肤宠物!$A$18:$A$67,0))+1,1)</f>
        <v>1.24</v>
      </c>
      <c r="FB50" s="90">
        <f ca="1">_xlfn.IFNA(INDEX(皮肤宠物!E$18:E$67,MATCH(EY50,皮肤宠物!$A$18:$A$67,0))+1,1)</f>
        <v>1.3599999999999999</v>
      </c>
      <c r="FD50" s="90">
        <f t="shared" ca="1" si="53"/>
        <v>7.26</v>
      </c>
      <c r="FE50" s="90">
        <f t="shared" si="54"/>
        <v>1.7600000000000002</v>
      </c>
      <c r="FF50" s="90">
        <f t="shared" ca="1" si="55"/>
        <v>1.3599999999999999</v>
      </c>
      <c r="FG50" s="90">
        <f t="shared" ca="1" si="56"/>
        <v>17.377535999999999</v>
      </c>
    </row>
    <row r="51" spans="1:163" x14ac:dyDescent="0.25">
      <c r="A51" s="123">
        <v>45</v>
      </c>
      <c r="B51" s="123">
        <f>INDEX(关卡对比!$Y:$Y,MATCH(关卡对比!Z51,关卡对比!$AA:$AA,1))</f>
        <v>31</v>
      </c>
      <c r="C51" s="124">
        <f>INDEX(关卡对比!$Y:$Y,MATCH(关卡对比!Z51,关卡对比!$AB:$AB,1))</f>
        <v>25</v>
      </c>
      <c r="D51" s="125">
        <f t="shared" si="63"/>
        <v>171.5</v>
      </c>
      <c r="E51" s="125">
        <v>2</v>
      </c>
      <c r="F51" s="128">
        <v>16</v>
      </c>
      <c r="G51" s="90">
        <v>16</v>
      </c>
      <c r="H51" s="90">
        <v>5</v>
      </c>
      <c r="J51" s="128">
        <v>45</v>
      </c>
      <c r="K51" s="90">
        <f t="shared" si="17"/>
        <v>16</v>
      </c>
      <c r="L51" s="90">
        <f t="shared" si="18"/>
        <v>16</v>
      </c>
      <c r="M51" s="90">
        <f t="shared" si="19"/>
        <v>5</v>
      </c>
      <c r="N51" s="140">
        <f>INDEX($A:$A,MATCH(SUM($K$7:K51),$D:$D,1))</f>
        <v>192</v>
      </c>
      <c r="O51" s="140">
        <v>0</v>
      </c>
      <c r="P51" s="141">
        <v>0</v>
      </c>
      <c r="Q51" s="126">
        <f>_xlfn.MAXIFS(关卡产出!X:X,关卡产出!$A:$A,玩家节奏2!$N$6,关卡产出!$B:$B,玩家节奏2!$N51)+_xlfn.MAXIFS(关卡产出!X:X,关卡产出!$A:$A,玩家节奏2!$O$6,关卡产出!$B:$B,玩家节奏2!$O51)+_xlfn.MAXIFS(关卡产出!X:X,关卡产出!$A:$A,玩家节奏2!$P$6,关卡产出!$B:$B,玩家节奏2!$P51)</f>
        <v>36900</v>
      </c>
      <c r="R51" s="90">
        <f>_xlfn.MAXIFS(关卡产出!Y:Y,关卡产出!$A:$A,玩家节奏2!$N$6,关卡产出!$B:$B,玩家节奏2!$N51)+_xlfn.MAXIFS(关卡产出!Y:Y,关卡产出!$A:$A,玩家节奏2!$O$6,关卡产出!$B:$B,玩家节奏2!$O51)+_xlfn.MAXIFS(关卡产出!Y:Y,关卡产出!$A:$A,玩家节奏2!$P$6,关卡产出!$B:$B,玩家节奏2!$P51)</f>
        <v>10685200</v>
      </c>
      <c r="S51" s="90">
        <f>_xlfn.MAXIFS(关卡产出!Z:Z,关卡产出!$A:$A,玩家节奏2!$N$6,关卡产出!$B:$B,玩家节奏2!$N51)+_xlfn.MAXIFS(关卡产出!Z:Z,关卡产出!$A:$A,玩家节奏2!$O$6,关卡产出!$B:$B,玩家节奏2!$O51)+_xlfn.MAXIFS(关卡产出!Z:Z,关卡产出!$A:$A,玩家节奏2!$P$6,关卡产出!$B:$B,玩家节奏2!$P51)</f>
        <v>72642</v>
      </c>
      <c r="T51" s="90">
        <f>_xlfn.MAXIFS(关卡产出!AA:AA,关卡产出!$A:$A,玩家节奏2!$N$6,关卡产出!$B:$B,玩家节奏2!$N51)+_xlfn.MAXIFS(关卡产出!AA:AA,关卡产出!$A:$A,玩家节奏2!$O$6,关卡产出!$B:$B,玩家节奏2!$O51)+_xlfn.MAXIFS(关卡产出!AA:AA,关卡产出!$A:$A,玩家节奏2!$P$6,关卡产出!$B:$B,玩家节奏2!$P51)</f>
        <v>36322</v>
      </c>
      <c r="U51" s="90">
        <f>_xlfn.MAXIFS(关卡产出!AB:AB,关卡产出!$A:$A,玩家节奏2!$N$6,关卡产出!$B:$B,玩家节奏2!$N51)+_xlfn.MAXIFS(关卡产出!AB:AB,关卡产出!$A:$A,玩家节奏2!$O$6,关卡产出!$B:$B,玩家节奏2!$O51)+_xlfn.MAXIFS(关卡产出!AB:AB,关卡产出!$A:$A,玩家节奏2!$P$6,关卡产出!$B:$B,玩家节奏2!$P51)</f>
        <v>17581</v>
      </c>
      <c r="V51" s="130">
        <f>_xlfn.MAXIFS(关卡产出!AC:AC,关卡产出!$A:$A,玩家节奏2!$N$6,关卡产出!$B:$B,玩家节奏2!$N51)+_xlfn.MAXIFS(关卡产出!AC:AC,关卡产出!$A:$A,玩家节奏2!$O$6,关卡产出!$B:$B,玩家节奏2!$O51)+_xlfn.MAXIFS(关卡产出!AC:AC,关卡产出!$A:$A,玩家节奏2!$P$6,关卡产出!$B:$B,玩家节奏2!$P51)</f>
        <v>1152</v>
      </c>
      <c r="W51" s="126">
        <f>INDEX(关卡产出!C$8:C$207,MATCH(玩家节奏2!$N51,关卡产出!$B$8:$B$207,0))*$K51</f>
        <v>2432</v>
      </c>
      <c r="X51" s="126">
        <f>INDEX(关卡产出!D$8:D$207,MATCH(玩家节奏2!$N51,关卡产出!$B$8:$B$207,0))*$K51</f>
        <v>1216</v>
      </c>
      <c r="Y51" s="126">
        <f>INDEX(关卡产出!E$8:E$207,MATCH(玩家节奏2!$N51,关卡产出!$B$8:$B$207,0))*$K51</f>
        <v>592</v>
      </c>
      <c r="Z51" s="144">
        <f>INDEX(关卡产出!F$8:F$207,MATCH(玩家节奏2!$N51,关卡产出!$B$8:$B$207,0))*$K51</f>
        <v>31520</v>
      </c>
      <c r="AA51" s="126">
        <f>SUM(W$7:W51)</f>
        <v>55678</v>
      </c>
      <c r="AB51" s="126">
        <f>SUM(X$7:X51)</f>
        <v>27683</v>
      </c>
      <c r="AC51" s="126">
        <f>SUM(Y$7:Y51)</f>
        <v>13443</v>
      </c>
      <c r="AD51" s="177">
        <f>SUM(Z$7:Z51)</f>
        <v>750170</v>
      </c>
      <c r="AE51" s="128">
        <f>INDEX(图鉴!AQ:AQ,MATCH($N51,图鉴!$S:$S,0))*34</f>
        <v>714</v>
      </c>
      <c r="AF51" s="90">
        <f>INDEX(图鉴!AR:AR,MATCH($N51,图鉴!$S:$S,0))*34</f>
        <v>510</v>
      </c>
      <c r="AG51" s="90">
        <f>INDEX(图鉴!AS:AS,MATCH($N51,图鉴!$S:$S,0))*34</f>
        <v>204</v>
      </c>
      <c r="AH51" s="129">
        <f ca="1">INDEX(图鉴!AT:AT,MATCH($N51,图鉴!$S:$S,0))*34</f>
        <v>53720</v>
      </c>
      <c r="AI51" s="128">
        <f>SUM($AE$7:AE51)</f>
        <v>30226</v>
      </c>
      <c r="AJ51" s="90">
        <f>SUM(AF$7:AF51)</f>
        <v>19482</v>
      </c>
      <c r="AK51" s="90">
        <f>SUM(AG$7:AG51)</f>
        <v>7242</v>
      </c>
      <c r="AL51" s="130">
        <f ca="1">SUM(AH$7:AH51)</f>
        <v>1689426</v>
      </c>
      <c r="AM51" s="133">
        <f>IF(M51=0,0,INDEX(关卡产出!$AU$11:$AU$15,MATCH(玩家节奏2!N51,关卡产出!$AW$11:$AW$15,1))*M51)</f>
        <v>61000</v>
      </c>
      <c r="AN51" s="126">
        <f>IF(L51=0,0,$L51*关卡产出!AU$21)</f>
        <v>16000</v>
      </c>
      <c r="AO51" s="90">
        <f>IF(M51=0,0,$L51*关卡产出!AV$21)</f>
        <v>800</v>
      </c>
      <c r="AP51" s="129">
        <f>IF(N51=0,0,$L51*关卡产出!AW$21)</f>
        <v>16</v>
      </c>
      <c r="AQ51" s="138">
        <f>SUM(AN$7:AN51)</f>
        <v>672000</v>
      </c>
      <c r="AR51" s="126">
        <f>SUM(AO$7:AO51)</f>
        <v>33600</v>
      </c>
      <c r="AS51" s="129">
        <f>SUM(AP$7:AP51)</f>
        <v>672</v>
      </c>
      <c r="AT51" s="128">
        <v>3000</v>
      </c>
      <c r="AU51" s="129">
        <v>600</v>
      </c>
      <c r="AV51" s="128">
        <f>SUM(AT$7:AT51)</f>
        <v>135000</v>
      </c>
      <c r="AW51" s="90">
        <f>SUM(AU$7:AU51)</f>
        <v>27000</v>
      </c>
      <c r="AY51" s="128">
        <f t="shared" si="20"/>
        <v>36900</v>
      </c>
      <c r="AZ51" s="90">
        <f t="shared" si="21"/>
        <v>33600</v>
      </c>
      <c r="BA51" s="90">
        <f t="shared" si="22"/>
        <v>27000</v>
      </c>
      <c r="BB51" s="90">
        <f t="shared" ca="1" si="57"/>
        <v>22500</v>
      </c>
      <c r="BC51" s="90">
        <f t="shared" ca="1" si="60"/>
        <v>62175</v>
      </c>
      <c r="BD51" s="90">
        <f t="shared" ca="1" si="61"/>
        <v>57825</v>
      </c>
      <c r="BE51" s="90">
        <f t="shared" ca="1" si="24"/>
        <v>120000</v>
      </c>
      <c r="BF51" s="142">
        <f t="shared" ca="1" si="64"/>
        <v>0.59348612786489752</v>
      </c>
      <c r="BG51" s="142">
        <f t="shared" ca="1" si="65"/>
        <v>0.54041013268998794</v>
      </c>
      <c r="BH51" s="142">
        <f t="shared" ca="1" si="66"/>
        <v>0.43425814234016885</v>
      </c>
      <c r="BI51" s="142">
        <f t="shared" ca="1" si="67"/>
        <v>0.36188178528347409</v>
      </c>
      <c r="BJ51" s="143"/>
      <c r="BK51" s="128">
        <f ca="1">INDEX(商城宝箱!$L:$L,MATCH(BC51,商城宝箱!$N:$N,1))</f>
        <v>10</v>
      </c>
      <c r="BL51" s="90">
        <f ca="1">_xlfn.IFNA(INDEX(商城宝箱!T:T,MATCH(玩家节奏2!$BK51,商城宝箱!$L:$L,0)),0)+($BC51-INDEX(商城宝箱!$N:$N,MATCH(玩家节奏2!$BK51,商城宝箱!$L:$L,0)))/$BK$5*INDEX(商城宝箱!E$23:E$42,MATCH(玩家节奏2!$BK51+1,商城宝箱!$C$23:$C$42,0))</f>
        <v>155437.5</v>
      </c>
      <c r="BM51" s="90">
        <f ca="1">_xlfn.IFNA(INDEX(商城宝箱!U:U,MATCH(玩家节奏2!$BK51,商城宝箱!$L:$L,0)),0)+($BC51-INDEX(商城宝箱!$N:$N,MATCH(玩家节奏2!$BK51,商城宝箱!$L:$L,0)))/$BK$5*INDEX(商城宝箱!F$23:F$42,MATCH(玩家节奏2!$BK51+1,商城宝箱!$C$23:$C$42,0))</f>
        <v>112902.5</v>
      </c>
      <c r="BN51" s="90">
        <f ca="1">_xlfn.IFNA(INDEX(商城宝箱!V:V,MATCH(玩家节奏2!$BK51,商城宝箱!$L:$L,0)),0)+($BC51-INDEX(商城宝箱!$N:$N,MATCH(玩家节奏2!$BK51,商城宝箱!$L:$L,0)))/$BK$5*INDEX(商城宝箱!G$23:G$42,MATCH(玩家节奏2!$BK51+1,商城宝箱!$C$23:$C$42,0))</f>
        <v>65249.5</v>
      </c>
      <c r="BO51" s="90">
        <f ca="1">_xlfn.IFNA(INDEX(商城宝箱!W:W,MATCH(玩家节奏2!$BK51,商城宝箱!$L:$L,0)),0)+($BC51-INDEX(商城宝箱!$N:$N,MATCH(玩家节奏2!$BK51,商城宝箱!$L:$L,0)))/$BK$5*INDEX(商城宝箱!H$23:H$42,MATCH(玩家节奏2!$BK51+1,商城宝箱!$C$23:$C$42,0))</f>
        <v>9000.25</v>
      </c>
      <c r="BQ51" s="128">
        <f t="shared" si="4"/>
        <v>10685200</v>
      </c>
      <c r="BR51" s="90">
        <f t="shared" si="5"/>
        <v>750170</v>
      </c>
      <c r="BS51" s="90">
        <f t="shared" ca="1" si="68"/>
        <v>1689426</v>
      </c>
      <c r="BT51" s="90">
        <f t="shared" si="69"/>
        <v>61000</v>
      </c>
      <c r="BU51" s="90">
        <f t="shared" si="8"/>
        <v>672000</v>
      </c>
      <c r="BV51" s="90">
        <f t="shared" si="9"/>
        <v>135000</v>
      </c>
      <c r="BW51" s="90">
        <f t="shared" ca="1" si="25"/>
        <v>155437.5</v>
      </c>
      <c r="BX51" s="90">
        <f t="shared" ca="1" si="26"/>
        <v>14148233.5</v>
      </c>
      <c r="BY51" s="142">
        <f t="shared" ca="1" si="27"/>
        <v>0.75523209310900896</v>
      </c>
      <c r="BZ51" s="142">
        <f t="shared" ca="1" si="27"/>
        <v>5.3022167042973953E-2</v>
      </c>
      <c r="CA51" s="142">
        <f t="shared" ca="1" si="27"/>
        <v>0.1194089707382904</v>
      </c>
      <c r="CB51" s="142">
        <f t="shared" ca="1" si="27"/>
        <v>4.3114923145705789E-3</v>
      </c>
      <c r="CC51" s="142">
        <f t="shared" ca="1" si="27"/>
        <v>4.749709566215457E-2</v>
      </c>
      <c r="CD51" s="142">
        <f t="shared" ca="1" si="27"/>
        <v>9.5418272535578389E-3</v>
      </c>
      <c r="CE51" s="142">
        <f t="shared" ca="1" si="27"/>
        <v>1.0986353879443678E-2</v>
      </c>
      <c r="CG51" s="128">
        <f t="shared" si="28"/>
        <v>192</v>
      </c>
      <c r="CH51" s="90">
        <f ca="1">INDEX(角色升级!$A:$A,MATCH(玩家节奏2!$BX51,角色升级!$J:$J,1))</f>
        <v>828</v>
      </c>
      <c r="CI51" s="90">
        <f ca="1">INDEX(角色升级!$O:$O,MATCH(玩家节奏2!$BX51,角色升级!$J:$J,1))</f>
        <v>58558.737730000008</v>
      </c>
      <c r="CJ51" s="90">
        <f>INDEX(关卡对比!$J:$J,MATCH(玩家节奏2!N51,关卡对比!$A:$A,0))</f>
        <v>82200</v>
      </c>
      <c r="CK51" s="147">
        <f t="shared" ca="1" si="29"/>
        <v>1.4037187819690387</v>
      </c>
      <c r="CL51" s="128">
        <f ca="1">INDEX(角色升级!$P:$P,MATCH(玩家节奏2!$CH51,角色升级!$A:$A,0))</f>
        <v>24800</v>
      </c>
      <c r="CM51" s="90">
        <f ca="1">INDEX(角色升级!Q:Q,MATCH(玩家节奏2!$CH51,角色升级!$A:$A,0))</f>
        <v>1.6</v>
      </c>
      <c r="CO51" s="128">
        <f t="shared" si="30"/>
        <v>72642</v>
      </c>
      <c r="CP51" s="90">
        <f t="shared" si="31"/>
        <v>55678</v>
      </c>
      <c r="CQ51" s="90">
        <f t="shared" si="32"/>
        <v>30226</v>
      </c>
      <c r="CR51" s="90">
        <f t="shared" ca="1" si="33"/>
        <v>112902.5</v>
      </c>
      <c r="CS51" s="90">
        <f t="shared" ca="1" si="34"/>
        <v>271448.5</v>
      </c>
      <c r="CT51" s="142">
        <f t="shared" ca="1" si="35"/>
        <v>0.26760877293482926</v>
      </c>
      <c r="CU51" s="142">
        <f t="shared" ca="1" si="35"/>
        <v>0.20511441396802707</v>
      </c>
      <c r="CV51" s="142">
        <f t="shared" ca="1" si="35"/>
        <v>0.11135077187753846</v>
      </c>
      <c r="CW51" s="142">
        <f t="shared" ca="1" si="35"/>
        <v>0.41592604121960519</v>
      </c>
      <c r="CY51" s="128">
        <f t="shared" si="36"/>
        <v>36322</v>
      </c>
      <c r="CZ51" s="90">
        <f t="shared" si="37"/>
        <v>27683</v>
      </c>
      <c r="DA51" s="90">
        <f t="shared" si="38"/>
        <v>19482</v>
      </c>
      <c r="DB51" s="90">
        <f t="shared" ca="1" si="58"/>
        <v>65249.5</v>
      </c>
      <c r="DC51" s="90">
        <f t="shared" ca="1" si="39"/>
        <v>148736.5</v>
      </c>
      <c r="DD51" s="142">
        <f t="shared" ca="1" si="40"/>
        <v>0.24420367562770404</v>
      </c>
      <c r="DE51" s="142">
        <f t="shared" ca="1" si="40"/>
        <v>0.18612109334292523</v>
      </c>
      <c r="DF51" s="142">
        <f t="shared" ca="1" si="40"/>
        <v>0.13098331613289274</v>
      </c>
      <c r="DG51" s="142">
        <f t="shared" ca="1" si="40"/>
        <v>0.43869191489647802</v>
      </c>
      <c r="DI51" s="128">
        <f t="shared" si="41"/>
        <v>17581</v>
      </c>
      <c r="DJ51" s="90">
        <f t="shared" si="42"/>
        <v>13443</v>
      </c>
      <c r="DK51" s="90">
        <f t="shared" si="43"/>
        <v>7242</v>
      </c>
      <c r="DL51" s="90">
        <f t="shared" ca="1" si="44"/>
        <v>9000.25</v>
      </c>
      <c r="DM51" s="90">
        <f t="shared" ca="1" si="45"/>
        <v>47266.25</v>
      </c>
      <c r="DN51" s="142">
        <f t="shared" ca="1" si="46"/>
        <v>0.37195673445640387</v>
      </c>
      <c r="DO51" s="142">
        <f t="shared" ca="1" si="46"/>
        <v>0.28441012350249917</v>
      </c>
      <c r="DP51" s="142">
        <f t="shared" ca="1" si="46"/>
        <v>0.15321714754185067</v>
      </c>
      <c r="DQ51" s="142">
        <f t="shared" ca="1" si="46"/>
        <v>0.19041599449924629</v>
      </c>
      <c r="DS51" s="128">
        <f t="shared" ca="1" si="47"/>
        <v>271448.5</v>
      </c>
      <c r="DT51" s="90">
        <f t="shared" ca="1" si="48"/>
        <v>148736.5</v>
      </c>
      <c r="DU51" s="90">
        <f t="shared" ca="1" si="49"/>
        <v>47266.25</v>
      </c>
      <c r="DV51" s="90">
        <f t="shared" si="50"/>
        <v>672</v>
      </c>
      <c r="DW51" s="90">
        <f ca="1">_xlfn.IFNA(INDEX(武器升级消耗!$H:$H,MATCH(玩家节奏2!DS51/玩家节奏2!DS$5,武器升级消耗!M:M,1)),0)</f>
        <v>46</v>
      </c>
      <c r="DX51" s="90">
        <f ca="1">_xlfn.IFNA(INDEX(武器升级消耗!$H:$H,MATCH(玩家节奏2!DT51/玩家节奏2!DT$5,武器升级消耗!N:N,1)),0)</f>
        <v>41</v>
      </c>
      <c r="DY51" s="90">
        <f ca="1">_xlfn.IFNA(INDEX(武器升级消耗!$H:$H,MATCH(玩家节奏2!DU51/玩家节奏2!DU$5,武器升级消耗!O:O,1)),0)</f>
        <v>30</v>
      </c>
      <c r="DZ51" s="90">
        <f>_xlfn.IFNA(INDEX(武器升级消耗!$H:$H,MATCH(玩家节奏2!DV51/玩家节奏2!DV$5,武器升级消耗!P:P,1)),0)</f>
        <v>19</v>
      </c>
      <c r="EA51" s="90">
        <f ca="1">_xlfn.IFNA(INDEX(武器升级消耗!$Q:$Q,MATCH(玩家节奏2!DW51,武器升级消耗!$H:$H,0))*2*EA$4,0)</f>
        <v>6</v>
      </c>
      <c r="EB51" s="90">
        <f ca="1">_xlfn.IFNA(INDEX(武器升级消耗!$Q:$Q,MATCH(玩家节奏2!DX51,武器升级消耗!$H:$H,0))*2*EB$4,0)</f>
        <v>6.75</v>
      </c>
      <c r="EC51" s="90">
        <f ca="1">_xlfn.IFNA(INDEX(武器升级消耗!$Q:$Q,MATCH(玩家节奏2!DY51,武器升级消耗!$H:$H,0))*2*EC$4,0)</f>
        <v>7.48</v>
      </c>
      <c r="ED51" s="90">
        <f>_xlfn.IFNA(INDEX(武器升级消耗!$Q:$Q,MATCH(玩家节奏2!DZ51,武器升级消耗!$H:$H,0))*2*ED$4,0)</f>
        <v>6.8999999999999995</v>
      </c>
      <c r="EF51" s="128">
        <f t="shared" si="70"/>
        <v>0</v>
      </c>
      <c r="EG51" s="90">
        <f t="shared" si="71"/>
        <v>0</v>
      </c>
      <c r="EH51" s="90">
        <v>135</v>
      </c>
      <c r="EI51" s="90">
        <v>135</v>
      </c>
      <c r="EJ51" s="90">
        <f>_xlfn.IFNA(INDEX(皮肤宠物!$J$4:$J$13,MATCH(EF51+EH51,皮肤宠物!$L$4:$L$13,1)),0)</f>
        <v>6</v>
      </c>
      <c r="EK51" s="90">
        <f>_xlfn.IFNA(INDEX(皮肤宠物!$J$4:$J$13,MATCH(EG51+EI51,皮肤宠物!$L$4:$L$13,1)),0)</f>
        <v>6</v>
      </c>
      <c r="EL51" s="90">
        <f>_xlfn.IFNA(INDEX(皮肤宠物!$N$4:$N$13,MATCH(EF51+EH51,皮肤宠物!$L$4:$L$13,1)),1)</f>
        <v>1.7600000000000002</v>
      </c>
      <c r="EM51" s="90">
        <f>_xlfn.IFNA(INDEX(皮肤宠物!$N$4:$N$13,MATCH(EG51+EI51,皮肤宠物!$L$4:$L$13,1)),1)</f>
        <v>1.7600000000000002</v>
      </c>
      <c r="EO51" s="128">
        <v>135</v>
      </c>
      <c r="EP51" s="90">
        <v>45</v>
      </c>
      <c r="EQ51" s="90">
        <f t="shared" ca="1" si="51"/>
        <v>57825</v>
      </c>
      <c r="ER51" s="90">
        <f t="shared" si="72"/>
        <v>0</v>
      </c>
      <c r="ES51" s="90">
        <f t="shared" ca="1" si="52"/>
        <v>623.25</v>
      </c>
      <c r="ET51" s="90">
        <f ca="1">$ES51*ET$5*皮肤宠物!$J$75/4</f>
        <v>2057.34825</v>
      </c>
      <c r="EU51" s="90">
        <f ca="1">$ES51*EU$5*皮肤宠物!$J$76/4</f>
        <v>343.41075000000001</v>
      </c>
      <c r="EV51" s="90">
        <f ca="1">$ES51*EV$5*皮肤宠物!$J$77/4</f>
        <v>93.020062500000009</v>
      </c>
      <c r="EW51" s="90">
        <f ca="1">_xlfn.IFNA(INDEX(皮肤宠物!$H$18:$H$67,MATCH(ET51,皮肤宠物!L$18:L$67,1)),0)</f>
        <v>16</v>
      </c>
      <c r="EX51" s="90">
        <f ca="1">_xlfn.IFNA(INDEX(皮肤宠物!$H$18:$H$67,MATCH(EU51,皮肤宠物!M$18:M$67,1)),0)</f>
        <v>12</v>
      </c>
      <c r="EY51" s="90">
        <f ca="1">_xlfn.IFNA(INDEX(皮肤宠物!$H$18:$H$67,MATCH(EV51,皮肤宠物!N$18:N$67,1)),0)</f>
        <v>9</v>
      </c>
      <c r="EZ51" s="90">
        <f ca="1">_xlfn.IFNA(INDEX(皮肤宠物!C$18:C$67,MATCH(EW51,皮肤宠物!$A$18:$A$67,0))+1,1)</f>
        <v>1.1599999999999999</v>
      </c>
      <c r="FA51" s="90">
        <f ca="1">_xlfn.IFNA(INDEX(皮肤宠物!D$18:D$67,MATCH(EX51,皮肤宠物!$A$18:$A$67,0))+1,1)</f>
        <v>1.24</v>
      </c>
      <c r="FB51" s="90">
        <f ca="1">_xlfn.IFNA(INDEX(皮肤宠物!E$18:E$67,MATCH(EY51,皮肤宠物!$A$18:$A$67,0))+1,1)</f>
        <v>1.3599999999999999</v>
      </c>
      <c r="FD51" s="90">
        <f t="shared" ca="1" si="53"/>
        <v>7.48</v>
      </c>
      <c r="FE51" s="90">
        <f t="shared" si="54"/>
        <v>1.7600000000000002</v>
      </c>
      <c r="FF51" s="90">
        <f t="shared" ca="1" si="55"/>
        <v>1.3599999999999999</v>
      </c>
      <c r="FG51" s="90">
        <f t="shared" ca="1" si="56"/>
        <v>17.904128000000004</v>
      </c>
    </row>
    <row r="52" spans="1:163" x14ac:dyDescent="0.25">
      <c r="A52" s="123">
        <v>46</v>
      </c>
      <c r="B52" s="123">
        <f>INDEX(关卡对比!$Y:$Y,MATCH(关卡对比!Z52,关卡对比!$AA:$AA,1))</f>
        <v>32</v>
      </c>
      <c r="C52" s="124">
        <f>INDEX(关卡对比!$Y:$Y,MATCH(关卡对比!Z52,关卡对比!$AB:$AB,1))</f>
        <v>25</v>
      </c>
      <c r="D52" s="125">
        <f t="shared" si="63"/>
        <v>175.5</v>
      </c>
      <c r="E52" s="125">
        <v>2</v>
      </c>
      <c r="F52" s="128">
        <v>16</v>
      </c>
      <c r="G52" s="90">
        <v>16</v>
      </c>
      <c r="H52" s="90">
        <v>5</v>
      </c>
      <c r="J52" s="128">
        <v>46</v>
      </c>
      <c r="K52" s="90">
        <f t="shared" si="17"/>
        <v>16</v>
      </c>
      <c r="L52" s="90">
        <f t="shared" si="18"/>
        <v>16</v>
      </c>
      <c r="M52" s="90">
        <f t="shared" si="19"/>
        <v>5</v>
      </c>
      <c r="N52" s="140">
        <f>INDEX($A:$A,MATCH(SUM($K$7:K52),$D:$D,1))</f>
        <v>196</v>
      </c>
      <c r="O52" s="140">
        <v>0</v>
      </c>
      <c r="P52" s="141">
        <v>0</v>
      </c>
      <c r="Q52" s="126">
        <f>_xlfn.MAXIFS(关卡产出!X:X,关卡产出!$A:$A,玩家节奏2!$N$6,关卡产出!$B:$B,玩家节奏2!$N52)+_xlfn.MAXIFS(关卡产出!X:X,关卡产出!$A:$A,玩家节奏2!$O$6,关卡产出!$B:$B,玩家节奏2!$O52)+_xlfn.MAXIFS(关卡产出!X:X,关卡产出!$A:$A,玩家节奏2!$P$6,关卡产出!$B:$B,玩家节奏2!$P52)</f>
        <v>37700</v>
      </c>
      <c r="R52" s="90">
        <f>_xlfn.MAXIFS(关卡产出!Y:Y,关卡产出!$A:$A,玩家节奏2!$N$6,关卡产出!$B:$B,玩家节奏2!$N52)+_xlfn.MAXIFS(关卡产出!Y:Y,关卡产出!$A:$A,玩家节奏2!$O$6,关卡产出!$B:$B,玩家节奏2!$O52)+_xlfn.MAXIFS(关卡产出!Y:Y,关卡产出!$A:$A,玩家节奏2!$P$6,关卡产出!$B:$B,玩家节奏2!$P52)</f>
        <v>11142800</v>
      </c>
      <c r="S52" s="90">
        <f>_xlfn.MAXIFS(关卡产出!Z:Z,关卡产出!$A:$A,玩家节奏2!$N$6,关卡产出!$B:$B,玩家节奏2!$N52)+_xlfn.MAXIFS(关卡产出!Z:Z,关卡产出!$A:$A,玩家节奏2!$O$6,关卡产出!$B:$B,玩家节奏2!$O52)+_xlfn.MAXIFS(关卡产出!Z:Z,关卡产出!$A:$A,玩家节奏2!$P$6,关卡产出!$B:$B,玩家节奏2!$P52)</f>
        <v>75722</v>
      </c>
      <c r="T52" s="90">
        <f>_xlfn.MAXIFS(关卡产出!AA:AA,关卡产出!$A:$A,玩家节奏2!$N$6,关卡产出!$B:$B,玩家节奏2!$N52)+_xlfn.MAXIFS(关卡产出!AA:AA,关卡产出!$A:$A,玩家节奏2!$O$6,关卡产出!$B:$B,玩家节奏2!$O52)+_xlfn.MAXIFS(关卡产出!AA:AA,关卡产出!$A:$A,玩家节奏2!$P$6,关卡产出!$B:$B,玩家节奏2!$P52)</f>
        <v>37862</v>
      </c>
      <c r="U52" s="90">
        <f>_xlfn.MAXIFS(关卡产出!AB:AB,关卡产出!$A:$A,玩家节奏2!$N$6,关卡产出!$B:$B,玩家节奏2!$N52)+_xlfn.MAXIFS(关卡产出!AB:AB,关卡产出!$A:$A,玩家节奏2!$O$6,关卡产出!$B:$B,玩家节奏2!$O52)+_xlfn.MAXIFS(关卡产出!AB:AB,关卡产出!$A:$A,玩家节奏2!$P$6,关卡产出!$B:$B,玩家节奏2!$P52)</f>
        <v>18339</v>
      </c>
      <c r="V52" s="130">
        <f>_xlfn.MAXIFS(关卡产出!AC:AC,关卡产出!$A:$A,玩家节奏2!$N$6,关卡产出!$B:$B,玩家节奏2!$N52)+_xlfn.MAXIFS(关卡产出!AC:AC,关卡产出!$A:$A,玩家节奏2!$O$6,关卡产出!$B:$B,玩家节奏2!$O52)+_xlfn.MAXIFS(关卡产出!AC:AC,关卡产出!$A:$A,玩家节奏2!$P$6,关卡产出!$B:$B,玩家节奏2!$P52)</f>
        <v>1176</v>
      </c>
      <c r="W52" s="126">
        <f>INDEX(关卡产出!C$8:C$207,MATCH(玩家节奏2!$N52,关卡产出!$B$8:$B$207,0))*$K52</f>
        <v>2480</v>
      </c>
      <c r="X52" s="126">
        <f>INDEX(关卡产出!D$8:D$207,MATCH(玩家节奏2!$N52,关卡产出!$B$8:$B$207,0))*$K52</f>
        <v>1232</v>
      </c>
      <c r="Y52" s="126">
        <f>INDEX(关卡产出!E$8:E$207,MATCH(玩家节奏2!$N52,关卡产出!$B$8:$B$207,0))*$K52</f>
        <v>608</v>
      </c>
      <c r="Z52" s="144">
        <f>INDEX(关卡产出!F$8:F$207,MATCH(玩家节奏2!$N52,关卡产出!$B$8:$B$207,0))*$K52</f>
        <v>32160</v>
      </c>
      <c r="AA52" s="126">
        <f>SUM(W$7:W52)</f>
        <v>58158</v>
      </c>
      <c r="AB52" s="126">
        <f>SUM(X$7:X52)</f>
        <v>28915</v>
      </c>
      <c r="AC52" s="126">
        <f>SUM(Y$7:Y52)</f>
        <v>14051</v>
      </c>
      <c r="AD52" s="177">
        <f>SUM(Z$7:Z52)</f>
        <v>782330</v>
      </c>
      <c r="AE52" s="128">
        <f>INDEX(图鉴!AQ:AQ,MATCH($N52,图鉴!$S:$S,0))*34</f>
        <v>714</v>
      </c>
      <c r="AF52" s="90">
        <f>INDEX(图鉴!AR:AR,MATCH($N52,图鉴!$S:$S,0))*34</f>
        <v>510</v>
      </c>
      <c r="AG52" s="90">
        <f>INDEX(图鉴!AS:AS,MATCH($N52,图鉴!$S:$S,0))*34</f>
        <v>204</v>
      </c>
      <c r="AH52" s="129">
        <f ca="1">INDEX(图鉴!AT:AT,MATCH($N52,图鉴!$S:$S,0))*34</f>
        <v>53720</v>
      </c>
      <c r="AI52" s="128">
        <f>SUM($AE$7:AE52)</f>
        <v>30940</v>
      </c>
      <c r="AJ52" s="90">
        <f>SUM(AF$7:AF52)</f>
        <v>19992</v>
      </c>
      <c r="AK52" s="90">
        <f>SUM(AG$7:AG52)</f>
        <v>7446</v>
      </c>
      <c r="AL52" s="130">
        <f ca="1">SUM(AH$7:AH52)</f>
        <v>1743146</v>
      </c>
      <c r="AM52" s="133">
        <f>IF(M52=0,0,INDEX(关卡产出!$AU$11:$AU$15,MATCH(玩家节奏2!N52,关卡产出!$AW$11:$AW$15,1))*M52)</f>
        <v>61000</v>
      </c>
      <c r="AN52" s="126">
        <f>IF(L52=0,0,$L52*关卡产出!AU$21)</f>
        <v>16000</v>
      </c>
      <c r="AO52" s="90">
        <f>IF(M52=0,0,$L52*关卡产出!AV$21)</f>
        <v>800</v>
      </c>
      <c r="AP52" s="129">
        <f>IF(N52=0,0,$L52*关卡产出!AW$21)</f>
        <v>16</v>
      </c>
      <c r="AQ52" s="138">
        <f>SUM(AN$7:AN52)</f>
        <v>688000</v>
      </c>
      <c r="AR52" s="126">
        <f>SUM(AO$7:AO52)</f>
        <v>34400</v>
      </c>
      <c r="AS52" s="129">
        <f>SUM(AP$7:AP52)</f>
        <v>688</v>
      </c>
      <c r="AT52" s="128">
        <v>3000</v>
      </c>
      <c r="AU52" s="129">
        <v>600</v>
      </c>
      <c r="AV52" s="128">
        <f>SUM(AT$7:AT52)</f>
        <v>138000</v>
      </c>
      <c r="AW52" s="90">
        <f>SUM(AU$7:AU52)</f>
        <v>27600</v>
      </c>
      <c r="AY52" s="128">
        <f t="shared" si="20"/>
        <v>37700</v>
      </c>
      <c r="AZ52" s="90">
        <f t="shared" si="21"/>
        <v>34400</v>
      </c>
      <c r="BA52" s="90">
        <f t="shared" si="22"/>
        <v>27600</v>
      </c>
      <c r="BB52" s="90">
        <f t="shared" ca="1" si="57"/>
        <v>24800</v>
      </c>
      <c r="BC52" s="90">
        <f t="shared" ca="1" si="60"/>
        <v>64425</v>
      </c>
      <c r="BD52" s="90">
        <f t="shared" ca="1" si="61"/>
        <v>60075</v>
      </c>
      <c r="BE52" s="90">
        <f t="shared" ca="1" si="24"/>
        <v>124500</v>
      </c>
      <c r="BF52" s="142">
        <f t="shared" ca="1" si="64"/>
        <v>0.58517656189367484</v>
      </c>
      <c r="BG52" s="142">
        <f t="shared" ca="1" si="65"/>
        <v>0.5339542103220799</v>
      </c>
      <c r="BH52" s="142">
        <f t="shared" ca="1" si="66"/>
        <v>0.42840512223515714</v>
      </c>
      <c r="BI52" s="142">
        <f t="shared" ca="1" si="67"/>
        <v>0.38494373302289486</v>
      </c>
      <c r="BJ52" s="143"/>
      <c r="BK52" s="128">
        <f ca="1">INDEX(商城宝箱!$L:$L,MATCH(BC52,商城宝箱!$N:$N,1))</f>
        <v>10</v>
      </c>
      <c r="BL52" s="90">
        <f ca="1">_xlfn.IFNA(INDEX(商城宝箱!T:T,MATCH(玩家节奏2!$BK52,商城宝箱!$L:$L,0)),0)+($BC52-INDEX(商城宝箱!$N:$N,MATCH(玩家节奏2!$BK52,商城宝箱!$L:$L,0)))/$BK$5*INDEX(商城宝箱!E$23:E$42,MATCH(玩家节奏2!$BK52+1,商城宝箱!$C$23:$C$42,0))</f>
        <v>161062.5</v>
      </c>
      <c r="BM52" s="90">
        <f ca="1">_xlfn.IFNA(INDEX(商城宝箱!U:U,MATCH(玩家节奏2!$BK52,商城宝箱!$L:$L,0)),0)+($BC52-INDEX(商城宝箱!$N:$N,MATCH(玩家节奏2!$BK52,商城宝箱!$L:$L,0)))/$BK$5*INDEX(商城宝箱!F$23:F$42,MATCH(玩家节奏2!$BK52+1,商城宝箱!$C$23:$C$42,0))</f>
        <v>120102.5</v>
      </c>
      <c r="BN52" s="90">
        <f ca="1">_xlfn.IFNA(INDEX(商城宝箱!V:V,MATCH(玩家节奏2!$BK52,商城宝箱!$L:$L,0)),0)+($BC52-INDEX(商城宝箱!$N:$N,MATCH(玩家节奏2!$BK52,商城宝箱!$L:$L,0)))/$BK$5*INDEX(商城宝箱!G$23:G$42,MATCH(玩家节奏2!$BK52+1,商城宝箱!$C$23:$C$42,0))</f>
        <v>68624.5</v>
      </c>
      <c r="BO52" s="90">
        <f ca="1">_xlfn.IFNA(INDEX(商城宝箱!W:W,MATCH(玩家节奏2!$BK52,商城宝箱!$L:$L,0)),0)+($BC52-INDEX(商城宝箱!$N:$N,MATCH(玩家节奏2!$BK52,商城宝箱!$L:$L,0)))/$BK$5*INDEX(商城宝箱!H$23:H$42,MATCH(玩家节奏2!$BK52+1,商城宝箱!$C$23:$C$42,0))</f>
        <v>9562.75</v>
      </c>
      <c r="BQ52" s="128">
        <f t="shared" si="4"/>
        <v>11142800</v>
      </c>
      <c r="BR52" s="90">
        <f t="shared" si="5"/>
        <v>782330</v>
      </c>
      <c r="BS52" s="90">
        <f t="shared" ca="1" si="68"/>
        <v>1743146</v>
      </c>
      <c r="BT52" s="90">
        <f t="shared" si="69"/>
        <v>61000</v>
      </c>
      <c r="BU52" s="90">
        <f t="shared" si="8"/>
        <v>688000</v>
      </c>
      <c r="BV52" s="90">
        <f t="shared" si="9"/>
        <v>138000</v>
      </c>
      <c r="BW52" s="90">
        <f t="shared" ca="1" si="25"/>
        <v>161062.5</v>
      </c>
      <c r="BX52" s="90">
        <f t="shared" ca="1" si="26"/>
        <v>14716338.5</v>
      </c>
      <c r="BY52" s="142">
        <f t="shared" ca="1" si="27"/>
        <v>0.75717203705255898</v>
      </c>
      <c r="BZ52" s="142">
        <f t="shared" ca="1" si="27"/>
        <v>5.3160641826769613E-2</v>
      </c>
      <c r="CA52" s="142">
        <f t="shared" ca="1" si="27"/>
        <v>0.11844970812542807</v>
      </c>
      <c r="CB52" s="142">
        <f t="shared" ca="1" si="27"/>
        <v>4.1450527928533314E-3</v>
      </c>
      <c r="CC52" s="142">
        <f t="shared" ca="1" si="27"/>
        <v>4.6750759368575277E-2</v>
      </c>
      <c r="CD52" s="142">
        <f t="shared" ca="1" si="27"/>
        <v>9.377332547766553E-3</v>
      </c>
      <c r="CE52" s="142">
        <f t="shared" ca="1" si="27"/>
        <v>1.0944468286048191E-2</v>
      </c>
      <c r="CG52" s="128">
        <f t="shared" si="28"/>
        <v>196</v>
      </c>
      <c r="CH52" s="90">
        <f ca="1">INDEX(角色升级!$A:$A,MATCH(玩家节奏2!$BX52,角色升级!$J:$J,1))</f>
        <v>843</v>
      </c>
      <c r="CI52" s="90">
        <f ca="1">INDEX(角色升级!$O:$O,MATCH(玩家节奏2!$BX52,角色升级!$J:$J,1))</f>
        <v>60162.318239999993</v>
      </c>
      <c r="CJ52" s="90">
        <f>INDEX(关卡对比!$J:$J,MATCH(玩家节奏2!N52,关卡对比!$A:$A,0))</f>
        <v>84200</v>
      </c>
      <c r="CK52" s="147">
        <f t="shared" ca="1" si="29"/>
        <v>1.3995471328765741</v>
      </c>
      <c r="CL52" s="128">
        <f ca="1">INDEX(角色升级!$P:$P,MATCH(玩家节奏2!$CH52,角色升级!$A:$A,0))</f>
        <v>24800</v>
      </c>
      <c r="CM52" s="90">
        <f ca="1">INDEX(角色升级!Q:Q,MATCH(玩家节奏2!$CH52,角色升级!$A:$A,0))</f>
        <v>1.7</v>
      </c>
      <c r="CO52" s="128">
        <f t="shared" si="30"/>
        <v>75722</v>
      </c>
      <c r="CP52" s="90">
        <f t="shared" si="31"/>
        <v>58158</v>
      </c>
      <c r="CQ52" s="90">
        <f t="shared" si="32"/>
        <v>30940</v>
      </c>
      <c r="CR52" s="90">
        <f t="shared" ca="1" si="33"/>
        <v>120102.5</v>
      </c>
      <c r="CS52" s="90">
        <f t="shared" ca="1" si="34"/>
        <v>284922.5</v>
      </c>
      <c r="CT52" s="142">
        <f t="shared" ca="1" si="35"/>
        <v>0.2657634970913143</v>
      </c>
      <c r="CU52" s="142">
        <f t="shared" ca="1" si="35"/>
        <v>0.20411866384718652</v>
      </c>
      <c r="CV52" s="142">
        <f t="shared" ca="1" si="35"/>
        <v>0.10859093262202879</v>
      </c>
      <c r="CW52" s="142">
        <f t="shared" ca="1" si="35"/>
        <v>0.42152690643947038</v>
      </c>
      <c r="CY52" s="128">
        <f t="shared" si="36"/>
        <v>37862</v>
      </c>
      <c r="CZ52" s="90">
        <f t="shared" si="37"/>
        <v>28915</v>
      </c>
      <c r="DA52" s="90">
        <f t="shared" si="38"/>
        <v>19992</v>
      </c>
      <c r="DB52" s="90">
        <f t="shared" ca="1" si="58"/>
        <v>68624.5</v>
      </c>
      <c r="DC52" s="90">
        <f t="shared" ca="1" si="39"/>
        <v>155393.5</v>
      </c>
      <c r="DD52" s="142">
        <f t="shared" ca="1" si="40"/>
        <v>0.24365240502337615</v>
      </c>
      <c r="DE52" s="142">
        <f t="shared" ca="1" si="40"/>
        <v>0.1860759941696403</v>
      </c>
      <c r="DF52" s="142">
        <f t="shared" ca="1" si="40"/>
        <v>0.12865402993046685</v>
      </c>
      <c r="DG52" s="142">
        <f t="shared" ca="1" si="40"/>
        <v>0.44161757087651671</v>
      </c>
      <c r="DI52" s="128">
        <f t="shared" si="41"/>
        <v>18339</v>
      </c>
      <c r="DJ52" s="90">
        <f t="shared" si="42"/>
        <v>14051</v>
      </c>
      <c r="DK52" s="90">
        <f t="shared" si="43"/>
        <v>7446</v>
      </c>
      <c r="DL52" s="90">
        <f t="shared" ca="1" si="44"/>
        <v>9562.75</v>
      </c>
      <c r="DM52" s="90">
        <f t="shared" ca="1" si="45"/>
        <v>49398.75</v>
      </c>
      <c r="DN52" s="142">
        <f t="shared" ca="1" si="46"/>
        <v>0.37124421164503152</v>
      </c>
      <c r="DO52" s="142">
        <f t="shared" ca="1" si="46"/>
        <v>0.28444039575900198</v>
      </c>
      <c r="DP52" s="142">
        <f t="shared" ca="1" si="46"/>
        <v>0.15073255902224247</v>
      </c>
      <c r="DQ52" s="142">
        <f t="shared" ca="1" si="46"/>
        <v>0.19358283357372402</v>
      </c>
      <c r="DS52" s="128">
        <f t="shared" ca="1" si="47"/>
        <v>284922.5</v>
      </c>
      <c r="DT52" s="90">
        <f t="shared" ca="1" si="48"/>
        <v>155393.5</v>
      </c>
      <c r="DU52" s="90">
        <f t="shared" ca="1" si="49"/>
        <v>49398.75</v>
      </c>
      <c r="DV52" s="90">
        <f t="shared" si="50"/>
        <v>688</v>
      </c>
      <c r="DW52" s="90">
        <f ca="1">_xlfn.IFNA(INDEX(武器升级消耗!$H:$H,MATCH(玩家节奏2!DS52/玩家节奏2!DS$5,武器升级消耗!M:M,1)),0)</f>
        <v>47</v>
      </c>
      <c r="DX52" s="90">
        <f ca="1">_xlfn.IFNA(INDEX(武器升级消耗!$H:$H,MATCH(玩家节奏2!DT52/玩家节奏2!DT$5,武器升级消耗!N:N,1)),0)</f>
        <v>42</v>
      </c>
      <c r="DY52" s="90">
        <f ca="1">_xlfn.IFNA(INDEX(武器升级消耗!$H:$H,MATCH(玩家节奏2!DU52/玩家节奏2!DU$5,武器升级消耗!O:O,1)),0)</f>
        <v>31</v>
      </c>
      <c r="DZ52" s="90">
        <f>_xlfn.IFNA(INDEX(武器升级消耗!$H:$H,MATCH(玩家节奏2!DV52/玩家节奏2!DV$5,武器升级消耗!P:P,1)),0)</f>
        <v>19</v>
      </c>
      <c r="EA52" s="90">
        <f ca="1">_xlfn.IFNA(INDEX(武器升级消耗!$Q:$Q,MATCH(玩家节奏2!DW52,武器升级消耗!$H:$H,0))*2*EA$4,0)</f>
        <v>6.1199999999999992</v>
      </c>
      <c r="EB52" s="90">
        <f ca="1">_xlfn.IFNA(INDEX(武器升级消耗!$Q:$Q,MATCH(玩家节奏2!DX52,武器升级消耗!$H:$H,0))*2*EB$4,0)</f>
        <v>6.8999999999999995</v>
      </c>
      <c r="EC52" s="90">
        <f ca="1">_xlfn.IFNA(INDEX(武器升级消耗!$Q:$Q,MATCH(玩家节奏2!DY52,武器升级消耗!$H:$H,0))*2*EC$4,0)</f>
        <v>7.7000000000000011</v>
      </c>
      <c r="ED52" s="90">
        <f>_xlfn.IFNA(INDEX(武器升级消耗!$Q:$Q,MATCH(玩家节奏2!DZ52,武器升级消耗!$H:$H,0))*2*ED$4,0)</f>
        <v>6.8999999999999995</v>
      </c>
      <c r="EF52" s="128">
        <f t="shared" si="70"/>
        <v>0</v>
      </c>
      <c r="EG52" s="90">
        <f t="shared" si="71"/>
        <v>0</v>
      </c>
      <c r="EH52" s="90">
        <v>138</v>
      </c>
      <c r="EI52" s="90">
        <v>138</v>
      </c>
      <c r="EJ52" s="90">
        <f>_xlfn.IFNA(INDEX(皮肤宠物!$J$4:$J$13,MATCH(EF52+EH52,皮肤宠物!$L$4:$L$13,1)),0)</f>
        <v>6</v>
      </c>
      <c r="EK52" s="90">
        <f>_xlfn.IFNA(INDEX(皮肤宠物!$J$4:$J$13,MATCH(EG52+EI52,皮肤宠物!$L$4:$L$13,1)),0)</f>
        <v>6</v>
      </c>
      <c r="EL52" s="90">
        <f>_xlfn.IFNA(INDEX(皮肤宠物!$N$4:$N$13,MATCH(EF52+EH52,皮肤宠物!$L$4:$L$13,1)),1)</f>
        <v>1.7600000000000002</v>
      </c>
      <c r="EM52" s="90">
        <f>_xlfn.IFNA(INDEX(皮肤宠物!$N$4:$N$13,MATCH(EG52+EI52,皮肤宠物!$L$4:$L$13,1)),1)</f>
        <v>1.7600000000000002</v>
      </c>
      <c r="EO52" s="128">
        <v>138</v>
      </c>
      <c r="EP52" s="90">
        <v>46</v>
      </c>
      <c r="EQ52" s="90">
        <f t="shared" ca="1" si="51"/>
        <v>60075</v>
      </c>
      <c r="ER52" s="90">
        <f t="shared" si="72"/>
        <v>0</v>
      </c>
      <c r="ES52" s="90">
        <f t="shared" ca="1" si="52"/>
        <v>646.75</v>
      </c>
      <c r="ET52" s="90">
        <f ca="1">$ES52*ET$5*皮肤宠物!$J$75/4</f>
        <v>2134.92175</v>
      </c>
      <c r="EU52" s="90">
        <f ca="1">$ES52*EU$5*皮肤宠物!$J$76/4</f>
        <v>356.35925000000003</v>
      </c>
      <c r="EV52" s="90">
        <f ca="1">$ES52*EV$5*皮肤宠物!$J$77/4</f>
        <v>96.527437500000005</v>
      </c>
      <c r="EW52" s="90">
        <f ca="1">_xlfn.IFNA(INDEX(皮肤宠物!$H$18:$H$67,MATCH(ET52,皮肤宠物!L$18:L$67,1)),0)</f>
        <v>16</v>
      </c>
      <c r="EX52" s="90">
        <f ca="1">_xlfn.IFNA(INDEX(皮肤宠物!$H$18:$H$67,MATCH(EU52,皮肤宠物!M$18:M$67,1)),0)</f>
        <v>12</v>
      </c>
      <c r="EY52" s="90">
        <f ca="1">_xlfn.IFNA(INDEX(皮肤宠物!$H$18:$H$67,MATCH(EV52,皮肤宠物!N$18:N$67,1)),0)</f>
        <v>9</v>
      </c>
      <c r="EZ52" s="90">
        <f ca="1">_xlfn.IFNA(INDEX(皮肤宠物!C$18:C$67,MATCH(EW52,皮肤宠物!$A$18:$A$67,0))+1,1)</f>
        <v>1.1599999999999999</v>
      </c>
      <c r="FA52" s="90">
        <f ca="1">_xlfn.IFNA(INDEX(皮肤宠物!D$18:D$67,MATCH(EX52,皮肤宠物!$A$18:$A$67,0))+1,1)</f>
        <v>1.24</v>
      </c>
      <c r="FB52" s="90">
        <f ca="1">_xlfn.IFNA(INDEX(皮肤宠物!E$18:E$67,MATCH(EY52,皮肤宠物!$A$18:$A$67,0))+1,1)</f>
        <v>1.3599999999999999</v>
      </c>
      <c r="FD52" s="90">
        <f t="shared" ca="1" si="53"/>
        <v>7.7000000000000011</v>
      </c>
      <c r="FE52" s="90">
        <f t="shared" si="54"/>
        <v>1.7600000000000002</v>
      </c>
      <c r="FF52" s="90">
        <f t="shared" ca="1" si="55"/>
        <v>1.3599999999999999</v>
      </c>
      <c r="FG52" s="90">
        <f t="shared" ca="1" si="56"/>
        <v>18.430720000000004</v>
      </c>
    </row>
    <row r="53" spans="1:163" x14ac:dyDescent="0.25">
      <c r="A53" s="123">
        <v>47</v>
      </c>
      <c r="B53" s="123">
        <f>INDEX(关卡对比!$Y:$Y,MATCH(关卡对比!Z53,关卡对比!$AA:$AA,1))</f>
        <v>32</v>
      </c>
      <c r="C53" s="124">
        <f>INDEX(关卡对比!$Y:$Y,MATCH(关卡对比!Z53,关卡对比!$AB:$AB,1))</f>
        <v>26</v>
      </c>
      <c r="D53" s="125">
        <f t="shared" si="63"/>
        <v>179.5</v>
      </c>
      <c r="E53" s="125">
        <v>2</v>
      </c>
      <c r="F53" s="128">
        <v>16</v>
      </c>
      <c r="G53" s="90">
        <v>16</v>
      </c>
      <c r="H53" s="90">
        <v>5</v>
      </c>
      <c r="J53" s="128">
        <v>47</v>
      </c>
      <c r="K53" s="90">
        <f t="shared" si="17"/>
        <v>16</v>
      </c>
      <c r="L53" s="90">
        <f t="shared" si="18"/>
        <v>16</v>
      </c>
      <c r="M53" s="90">
        <f t="shared" si="19"/>
        <v>5</v>
      </c>
      <c r="N53" s="140">
        <f>INDEX($A:$A,MATCH(SUM($K$7:K53),$D:$D,1))</f>
        <v>200</v>
      </c>
      <c r="O53" s="140">
        <v>0</v>
      </c>
      <c r="P53" s="141">
        <v>0</v>
      </c>
      <c r="Q53" s="126">
        <f>_xlfn.MAXIFS(关卡产出!X:X,关卡产出!$A:$A,玩家节奏2!$N$6,关卡产出!$B:$B,玩家节奏2!$N53)+_xlfn.MAXIFS(关卡产出!X:X,关卡产出!$A:$A,玩家节奏2!$O$6,关卡产出!$B:$B,玩家节奏2!$O53)+_xlfn.MAXIFS(关卡产出!X:X,关卡产出!$A:$A,玩家节奏2!$P$6,关卡产出!$B:$B,玩家节奏2!$P53)</f>
        <v>38500</v>
      </c>
      <c r="R53" s="90">
        <f>_xlfn.MAXIFS(关卡产出!Y:Y,关卡产出!$A:$A,玩家节奏2!$N$6,关卡产出!$B:$B,玩家节奏2!$N53)+_xlfn.MAXIFS(关卡产出!Y:Y,关卡产出!$A:$A,玩家节奏2!$O$6,关卡产出!$B:$B,玩家节奏2!$O53)+_xlfn.MAXIFS(关卡产出!Y:Y,关卡产出!$A:$A,玩家节奏2!$P$6,关卡产出!$B:$B,玩家节奏2!$P53)</f>
        <v>11610000</v>
      </c>
      <c r="S53" s="90">
        <f>_xlfn.MAXIFS(关卡产出!Z:Z,关卡产出!$A:$A,玩家节奏2!$N$6,关卡产出!$B:$B,玩家节奏2!$N53)+_xlfn.MAXIFS(关卡产出!Z:Z,关卡产出!$A:$A,玩家节奏2!$O$6,关卡产出!$B:$B,玩家节奏2!$O53)+_xlfn.MAXIFS(关卡产出!Z:Z,关卡产出!$A:$A,玩家节奏2!$P$6,关卡产出!$B:$B,玩家节奏2!$P53)</f>
        <v>78866</v>
      </c>
      <c r="T53" s="90">
        <f>_xlfn.MAXIFS(关卡产出!AA:AA,关卡产出!$A:$A,玩家节奏2!$N$6,关卡产出!$B:$B,玩家节奏2!$N53)+_xlfn.MAXIFS(关卡产出!AA:AA,关卡产出!$A:$A,玩家节奏2!$O$6,关卡产出!$B:$B,玩家节奏2!$O53)+_xlfn.MAXIFS(关卡产出!AA:AA,关卡产出!$A:$A,玩家节奏2!$P$6,关卡产出!$B:$B,玩家节奏2!$P53)</f>
        <v>39434</v>
      </c>
      <c r="U53" s="90">
        <f>_xlfn.MAXIFS(关卡产出!AB:AB,关卡产出!$A:$A,玩家节奏2!$N$6,关卡产出!$B:$B,玩家节奏2!$N53)+_xlfn.MAXIFS(关卡产出!AB:AB,关卡产出!$A:$A,玩家节奏2!$O$6,关卡产出!$B:$B,玩家节奏2!$O53)+_xlfn.MAXIFS(关卡产出!AB:AB,关卡产出!$A:$A,玩家节奏2!$P$6,关卡产出!$B:$B,玩家节奏2!$P53)</f>
        <v>19113</v>
      </c>
      <c r="V53" s="130">
        <f>_xlfn.MAXIFS(关卡产出!AC:AC,关卡产出!$A:$A,玩家节奏2!$N$6,关卡产出!$B:$B,玩家节奏2!$N53)+_xlfn.MAXIFS(关卡产出!AC:AC,关卡产出!$A:$A,玩家节奏2!$O$6,关卡产出!$B:$B,玩家节奏2!$O53)+_xlfn.MAXIFS(关卡产出!AC:AC,关卡产出!$A:$A,玩家节奏2!$P$6,关卡产出!$B:$B,玩家节奏2!$P53)</f>
        <v>1200</v>
      </c>
      <c r="W53" s="126">
        <f>INDEX(关卡产出!C$8:C$207,MATCH(玩家节奏2!$N53,关卡产出!$B$8:$B$207,0))*$K53</f>
        <v>2528</v>
      </c>
      <c r="X53" s="126">
        <f>INDEX(关卡产出!D$8:D$207,MATCH(玩家节奏2!$N53,关卡产出!$B$8:$B$207,0))*$K53</f>
        <v>1264</v>
      </c>
      <c r="Y53" s="126">
        <f>INDEX(关卡产出!E$8:E$207,MATCH(玩家节奏2!$N53,关卡产出!$B$8:$B$207,0))*$K53</f>
        <v>624</v>
      </c>
      <c r="Z53" s="144">
        <f>INDEX(关卡产出!F$8:F$207,MATCH(玩家节奏2!$N53,关卡产出!$B$8:$B$207,0))*$K53</f>
        <v>32800</v>
      </c>
      <c r="AA53" s="126">
        <f>SUM(W$7:W53)</f>
        <v>60686</v>
      </c>
      <c r="AB53" s="126">
        <f>SUM(X$7:X53)</f>
        <v>30179</v>
      </c>
      <c r="AC53" s="126">
        <f>SUM(Y$7:Y53)</f>
        <v>14675</v>
      </c>
      <c r="AD53" s="177">
        <f>SUM(Z$7:Z53)</f>
        <v>815130</v>
      </c>
      <c r="AE53" s="128">
        <f>INDEX(图鉴!AQ:AQ,MATCH($N53,图鉴!$S:$S,0))*34</f>
        <v>714</v>
      </c>
      <c r="AF53" s="90">
        <f>INDEX(图鉴!AR:AR,MATCH($N53,图鉴!$S:$S,0))*34</f>
        <v>510</v>
      </c>
      <c r="AG53" s="90">
        <f>INDEX(图鉴!AS:AS,MATCH($N53,图鉴!$S:$S,0))*34</f>
        <v>204</v>
      </c>
      <c r="AH53" s="129">
        <f ca="1">INDEX(图鉴!AT:AT,MATCH($N53,图鉴!$S:$S,0))*34</f>
        <v>55930</v>
      </c>
      <c r="AI53" s="128">
        <f>SUM($AE$7:AE53)</f>
        <v>31654</v>
      </c>
      <c r="AJ53" s="90">
        <f>SUM(AF$7:AF53)</f>
        <v>20502</v>
      </c>
      <c r="AK53" s="90">
        <f>SUM(AG$7:AG53)</f>
        <v>7650</v>
      </c>
      <c r="AL53" s="130">
        <f ca="1">SUM(AH$7:AH53)</f>
        <v>1799076</v>
      </c>
      <c r="AM53" s="133">
        <f>IF(M53=0,0,INDEX(关卡产出!$AU$11:$AU$15,MATCH(玩家节奏2!N53,关卡产出!$AW$11:$AW$15,1))*M53)</f>
        <v>61000</v>
      </c>
      <c r="AN53" s="126">
        <f>IF(L53=0,0,$L53*关卡产出!AU$21)</f>
        <v>16000</v>
      </c>
      <c r="AO53" s="90">
        <f>IF(M53=0,0,$L53*关卡产出!AV$21)</f>
        <v>800</v>
      </c>
      <c r="AP53" s="129">
        <f>IF(N53=0,0,$L53*关卡产出!AW$21)</f>
        <v>16</v>
      </c>
      <c r="AQ53" s="138">
        <f>SUM(AN$7:AN53)</f>
        <v>704000</v>
      </c>
      <c r="AR53" s="126">
        <f>SUM(AO$7:AO53)</f>
        <v>35200</v>
      </c>
      <c r="AS53" s="129">
        <f>SUM(AP$7:AP53)</f>
        <v>704</v>
      </c>
      <c r="AT53" s="128">
        <v>3000</v>
      </c>
      <c r="AU53" s="129">
        <v>600</v>
      </c>
      <c r="AV53" s="128">
        <f>SUM(AT$7:AT53)</f>
        <v>141000</v>
      </c>
      <c r="AW53" s="90">
        <f>SUM(AU$7:AU53)</f>
        <v>28200</v>
      </c>
      <c r="AY53" s="128">
        <f t="shared" si="20"/>
        <v>38500</v>
      </c>
      <c r="AZ53" s="90">
        <f t="shared" si="21"/>
        <v>35200</v>
      </c>
      <c r="BA53" s="90">
        <f t="shared" si="22"/>
        <v>28200</v>
      </c>
      <c r="BB53" s="90">
        <f t="shared" ca="1" si="57"/>
        <v>24800</v>
      </c>
      <c r="BC53" s="90">
        <f t="shared" ca="1" si="60"/>
        <v>65525</v>
      </c>
      <c r="BD53" s="90">
        <f t="shared" ca="1" si="61"/>
        <v>61175</v>
      </c>
      <c r="BE53" s="90">
        <f t="shared" ca="1" si="24"/>
        <v>126700</v>
      </c>
      <c r="BF53" s="142">
        <f t="shared" ca="1" si="64"/>
        <v>0.58756199923693242</v>
      </c>
      <c r="BG53" s="142">
        <f t="shared" ca="1" si="65"/>
        <v>0.53719954215948107</v>
      </c>
      <c r="BH53" s="142">
        <f t="shared" ca="1" si="66"/>
        <v>0.43037008775276614</v>
      </c>
      <c r="BI53" s="142">
        <f t="shared" ca="1" si="67"/>
        <v>0.37848149561236172</v>
      </c>
      <c r="BJ53" s="143"/>
      <c r="BK53" s="128">
        <f ca="1">INDEX(商城宝箱!$L:$L,MATCH(BC53,商城宝箱!$N:$N,1))</f>
        <v>10</v>
      </c>
      <c r="BL53" s="90">
        <f ca="1">_xlfn.IFNA(INDEX(商城宝箱!T:T,MATCH(玩家节奏2!$BK53,商城宝箱!$L:$L,0)),0)+($BC53-INDEX(商城宝箱!$N:$N,MATCH(玩家节奏2!$BK53,商城宝箱!$L:$L,0)))/$BK$5*INDEX(商城宝箱!E$23:E$42,MATCH(玩家节奏2!$BK53+1,商城宝箱!$C$23:$C$42,0))</f>
        <v>163812.5</v>
      </c>
      <c r="BM53" s="90">
        <f ca="1">_xlfn.IFNA(INDEX(商城宝箱!U:U,MATCH(玩家节奏2!$BK53,商城宝箱!$L:$L,0)),0)+($BC53-INDEX(商城宝箱!$N:$N,MATCH(玩家节奏2!$BK53,商城宝箱!$L:$L,0)))/$BK$5*INDEX(商城宝箱!F$23:F$42,MATCH(玩家节奏2!$BK53+1,商城宝箱!$C$23:$C$42,0))</f>
        <v>123622.5</v>
      </c>
      <c r="BN53" s="90">
        <f ca="1">_xlfn.IFNA(INDEX(商城宝箱!V:V,MATCH(玩家节奏2!$BK53,商城宝箱!$L:$L,0)),0)+($BC53-INDEX(商城宝箱!$N:$N,MATCH(玩家节奏2!$BK53,商城宝箱!$L:$L,0)))/$BK$5*INDEX(商城宝箱!G$23:G$42,MATCH(玩家节奏2!$BK53+1,商城宝箱!$C$23:$C$42,0))</f>
        <v>70274.5</v>
      </c>
      <c r="BO53" s="90">
        <f ca="1">_xlfn.IFNA(INDEX(商城宝箱!W:W,MATCH(玩家节奏2!$BK53,商城宝箱!$L:$L,0)),0)+($BC53-INDEX(商城宝箱!$N:$N,MATCH(玩家节奏2!$BK53,商城宝箱!$L:$L,0)))/$BK$5*INDEX(商城宝箱!H$23:H$42,MATCH(玩家节奏2!$BK53+1,商城宝箱!$C$23:$C$42,0))</f>
        <v>9837.75</v>
      </c>
      <c r="BQ53" s="128">
        <f t="shared" si="4"/>
        <v>11610000</v>
      </c>
      <c r="BR53" s="90">
        <f t="shared" si="5"/>
        <v>815130</v>
      </c>
      <c r="BS53" s="90">
        <f t="shared" ca="1" si="68"/>
        <v>1799076</v>
      </c>
      <c r="BT53" s="90">
        <f t="shared" si="69"/>
        <v>61000</v>
      </c>
      <c r="BU53" s="90">
        <f t="shared" si="8"/>
        <v>704000</v>
      </c>
      <c r="BV53" s="90">
        <f t="shared" si="9"/>
        <v>141000</v>
      </c>
      <c r="BW53" s="90">
        <f t="shared" ca="1" si="25"/>
        <v>163812.5</v>
      </c>
      <c r="BX53" s="90">
        <f t="shared" ca="1" si="26"/>
        <v>15294018.5</v>
      </c>
      <c r="BY53" s="142">
        <f t="shared" ca="1" si="27"/>
        <v>0.75912030575875133</v>
      </c>
      <c r="BZ53" s="142">
        <f t="shared" ca="1" si="27"/>
        <v>5.329730704850396E-2</v>
      </c>
      <c r="CA53" s="142">
        <f t="shared" ca="1" si="27"/>
        <v>0.11763265488399925</v>
      </c>
      <c r="CB53" s="142">
        <f t="shared" ca="1" si="27"/>
        <v>3.9884873945980909E-3</v>
      </c>
      <c r="CC53" s="142">
        <f t="shared" ca="1" si="27"/>
        <v>4.603106763601731E-2</v>
      </c>
      <c r="CD53" s="142">
        <f t="shared" ca="1" si="27"/>
        <v>9.2192905350546028E-3</v>
      </c>
      <c r="CE53" s="142">
        <f t="shared" ca="1" si="27"/>
        <v>1.0710886743075406E-2</v>
      </c>
      <c r="CG53" s="128">
        <f t="shared" si="28"/>
        <v>200</v>
      </c>
      <c r="CH53" s="90">
        <f ca="1">INDEX(角色升级!$A:$A,MATCH(玩家节奏2!$BX53,角色升级!$J:$J,1))</f>
        <v>854</v>
      </c>
      <c r="CI53" s="90">
        <f ca="1">INDEX(角色升级!$O:$O,MATCH(玩家节奏2!$BX53,角色升级!$J:$J,1))</f>
        <v>63318.288834999992</v>
      </c>
      <c r="CJ53" s="90">
        <f>INDEX(关卡对比!$J:$J,MATCH(玩家节奏2!N53,关卡对比!$A:$A,0))</f>
        <v>86200</v>
      </c>
      <c r="CK53" s="147">
        <f ca="1">CJ53/CI53</f>
        <v>1.361376019251358</v>
      </c>
      <c r="CL53" s="128">
        <f ca="1">INDEX(角色升级!$P:$P,MATCH(玩家节奏2!$CH53,角色升级!$A:$A,0))</f>
        <v>27200</v>
      </c>
      <c r="CM53" s="90">
        <f ca="1">INDEX(角色升级!Q:Q,MATCH(玩家节奏2!$CH53,角色升级!$A:$A,0))</f>
        <v>1.7</v>
      </c>
      <c r="CO53" s="128">
        <f t="shared" si="30"/>
        <v>78866</v>
      </c>
      <c r="CP53" s="90">
        <f t="shared" si="31"/>
        <v>60686</v>
      </c>
      <c r="CQ53" s="90">
        <f t="shared" si="32"/>
        <v>31654</v>
      </c>
      <c r="CR53" s="90">
        <f t="shared" ca="1" si="33"/>
        <v>123622.5</v>
      </c>
      <c r="CS53" s="90">
        <f t="shared" ca="1" si="34"/>
        <v>294828.5</v>
      </c>
      <c r="CT53" s="142">
        <f t="shared" ca="1" si="35"/>
        <v>0.26749788436328237</v>
      </c>
      <c r="CU53" s="142">
        <f t="shared" ca="1" si="35"/>
        <v>0.20583491758768233</v>
      </c>
      <c r="CV53" s="142">
        <f t="shared" ca="1" si="35"/>
        <v>0.10736411167848427</v>
      </c>
      <c r="CW53" s="142">
        <f t="shared" ca="1" si="35"/>
        <v>0.41930308637055103</v>
      </c>
      <c r="CY53" s="128">
        <f t="shared" si="36"/>
        <v>39434</v>
      </c>
      <c r="CZ53" s="90">
        <f t="shared" si="37"/>
        <v>30179</v>
      </c>
      <c r="DA53" s="90">
        <f t="shared" si="38"/>
        <v>20502</v>
      </c>
      <c r="DB53" s="90">
        <f t="shared" ca="1" si="58"/>
        <v>70274.5</v>
      </c>
      <c r="DC53" s="90">
        <f t="shared" ca="1" si="39"/>
        <v>160389.5</v>
      </c>
      <c r="DD53" s="142">
        <f t="shared" ca="1" si="40"/>
        <v>0.24586397488613657</v>
      </c>
      <c r="DE53" s="142">
        <f t="shared" ca="1" si="40"/>
        <v>0.18816069630493268</v>
      </c>
      <c r="DF53" s="142">
        <f t="shared" ca="1" si="40"/>
        <v>0.12782632279544484</v>
      </c>
      <c r="DG53" s="142">
        <f t="shared" ca="1" si="40"/>
        <v>0.43814900601348594</v>
      </c>
      <c r="DI53" s="128">
        <f t="shared" si="41"/>
        <v>19113</v>
      </c>
      <c r="DJ53" s="90">
        <f t="shared" si="42"/>
        <v>14675</v>
      </c>
      <c r="DK53" s="90">
        <f t="shared" si="43"/>
        <v>7650</v>
      </c>
      <c r="DL53" s="90">
        <f t="shared" ca="1" si="44"/>
        <v>9837.75</v>
      </c>
      <c r="DM53" s="90">
        <f t="shared" ca="1" si="45"/>
        <v>51275.75</v>
      </c>
      <c r="DN53" s="142">
        <f t="shared" ca="1" si="46"/>
        <v>0.37274930157043046</v>
      </c>
      <c r="DO53" s="142">
        <f t="shared" ca="1" si="46"/>
        <v>0.28619766653827589</v>
      </c>
      <c r="DP53" s="142">
        <f t="shared" ca="1" si="46"/>
        <v>0.14919333213068556</v>
      </c>
      <c r="DQ53" s="142">
        <f t="shared" ca="1" si="46"/>
        <v>0.19185969976060807</v>
      </c>
      <c r="DS53" s="128">
        <f t="shared" ca="1" si="47"/>
        <v>294828.5</v>
      </c>
      <c r="DT53" s="90">
        <f t="shared" ca="1" si="48"/>
        <v>160389.5</v>
      </c>
      <c r="DU53" s="90">
        <f t="shared" ca="1" si="49"/>
        <v>51275.75</v>
      </c>
      <c r="DV53" s="90">
        <f t="shared" si="50"/>
        <v>704</v>
      </c>
      <c r="DW53" s="90">
        <f ca="1">_xlfn.IFNA(INDEX(武器升级消耗!$H:$H,MATCH(玩家节奏2!DS53/玩家节奏2!DS$5,武器升级消耗!M:M,1)),0)</f>
        <v>48</v>
      </c>
      <c r="DX53" s="90">
        <f ca="1">_xlfn.IFNA(INDEX(武器升级消耗!$H:$H,MATCH(玩家节奏2!DT53/玩家节奏2!DT$5,武器升级消耗!N:N,1)),0)</f>
        <v>43</v>
      </c>
      <c r="DY53" s="90">
        <f ca="1">_xlfn.IFNA(INDEX(武器升级消耗!$H:$H,MATCH(玩家节奏2!DU53/玩家节奏2!DU$5,武器升级消耗!O:O,1)),0)</f>
        <v>31</v>
      </c>
      <c r="DZ53" s="90">
        <f>_xlfn.IFNA(INDEX(武器升级消耗!$H:$H,MATCH(玩家节奏2!DV53/玩家节奏2!DV$5,武器升级消耗!P:P,1)),0)</f>
        <v>19</v>
      </c>
      <c r="EA53" s="90">
        <f ca="1">_xlfn.IFNA(INDEX(武器升级消耗!$Q:$Q,MATCH(玩家节奏2!DW53,武器升级消耗!$H:$H,0))*2*EA$4,0)</f>
        <v>6.24</v>
      </c>
      <c r="EB53" s="90">
        <f ca="1">_xlfn.IFNA(INDEX(武器升级消耗!$Q:$Q,MATCH(玩家节奏2!DX53,武器升级消耗!$H:$H,0))*2*EB$4,0)</f>
        <v>7.0500000000000007</v>
      </c>
      <c r="EC53" s="90">
        <f ca="1">_xlfn.IFNA(INDEX(武器升级消耗!$Q:$Q,MATCH(玩家节奏2!DY53,武器升级消耗!$H:$H,0))*2*EC$4,0)</f>
        <v>7.7000000000000011</v>
      </c>
      <c r="ED53" s="90">
        <f>_xlfn.IFNA(INDEX(武器升级消耗!$Q:$Q,MATCH(玩家节奏2!DZ53,武器升级消耗!$H:$H,0))*2*ED$4,0)</f>
        <v>6.8999999999999995</v>
      </c>
      <c r="EF53" s="128">
        <f t="shared" si="70"/>
        <v>0</v>
      </c>
      <c r="EG53" s="90">
        <f t="shared" si="71"/>
        <v>0</v>
      </c>
      <c r="EH53" s="90">
        <v>141</v>
      </c>
      <c r="EI53" s="90">
        <v>141</v>
      </c>
      <c r="EJ53" s="90">
        <f>_xlfn.IFNA(INDEX(皮肤宠物!$J$4:$J$13,MATCH(EF53+EH53,皮肤宠物!$L$4:$L$13,1)),0)</f>
        <v>6</v>
      </c>
      <c r="EK53" s="90">
        <f>_xlfn.IFNA(INDEX(皮肤宠物!$J$4:$J$13,MATCH(EG53+EI53,皮肤宠物!$L$4:$L$13,1)),0)</f>
        <v>6</v>
      </c>
      <c r="EL53" s="90">
        <f>_xlfn.IFNA(INDEX(皮肤宠物!$N$4:$N$13,MATCH(EF53+EH53,皮肤宠物!$L$4:$L$13,1)),1)</f>
        <v>1.7600000000000002</v>
      </c>
      <c r="EM53" s="90">
        <f>_xlfn.IFNA(INDEX(皮肤宠物!$N$4:$N$13,MATCH(EG53+EI53,皮肤宠物!$L$4:$L$13,1)),1)</f>
        <v>1.7600000000000002</v>
      </c>
      <c r="EO53" s="128">
        <v>141</v>
      </c>
      <c r="EP53" s="90">
        <v>47</v>
      </c>
      <c r="EQ53" s="90">
        <f t="shared" ca="1" si="51"/>
        <v>61175</v>
      </c>
      <c r="ER53" s="90">
        <f t="shared" si="72"/>
        <v>0</v>
      </c>
      <c r="ES53" s="90">
        <f t="shared" ca="1" si="52"/>
        <v>658.75</v>
      </c>
      <c r="ET53" s="90">
        <f ca="1">$ES53*ET$5*皮肤宠物!$J$75/4</f>
        <v>2174.5337500000001</v>
      </c>
      <c r="EU53" s="90">
        <f ca="1">$ES53*EU$5*皮肤宠物!$J$76/4</f>
        <v>362.97125</v>
      </c>
      <c r="EV53" s="90">
        <f ca="1">$ES53*EV$5*皮肤宠物!$J$77/4</f>
        <v>98.318437500000002</v>
      </c>
      <c r="EW53" s="90">
        <f ca="1">_xlfn.IFNA(INDEX(皮肤宠物!$H$18:$H$67,MATCH(ET53,皮肤宠物!L$18:L$67,1)),0)</f>
        <v>16</v>
      </c>
      <c r="EX53" s="90">
        <f ca="1">_xlfn.IFNA(INDEX(皮肤宠物!$H$18:$H$67,MATCH(EU53,皮肤宠物!M$18:M$67,1)),0)</f>
        <v>12</v>
      </c>
      <c r="EY53" s="90">
        <f ca="1">_xlfn.IFNA(INDEX(皮肤宠物!$H$18:$H$67,MATCH(EV53,皮肤宠物!N$18:N$67,1)),0)</f>
        <v>9</v>
      </c>
      <c r="EZ53" s="90">
        <f ca="1">_xlfn.IFNA(INDEX(皮肤宠物!C$18:C$67,MATCH(EW53,皮肤宠物!$A$18:$A$67,0))+1,1)</f>
        <v>1.1599999999999999</v>
      </c>
      <c r="FA53" s="90">
        <f ca="1">_xlfn.IFNA(INDEX(皮肤宠物!D$18:D$67,MATCH(EX53,皮肤宠物!$A$18:$A$67,0))+1,1)</f>
        <v>1.24</v>
      </c>
      <c r="FB53" s="90">
        <f ca="1">_xlfn.IFNA(INDEX(皮肤宠物!E$18:E$67,MATCH(EY53,皮肤宠物!$A$18:$A$67,0))+1,1)</f>
        <v>1.3599999999999999</v>
      </c>
      <c r="FD53" s="90">
        <f t="shared" ca="1" si="53"/>
        <v>7.7000000000000011</v>
      </c>
      <c r="FE53" s="90">
        <f t="shared" si="54"/>
        <v>1.7600000000000002</v>
      </c>
      <c r="FF53" s="90">
        <f t="shared" ca="1" si="55"/>
        <v>1.3599999999999999</v>
      </c>
      <c r="FG53" s="90">
        <f t="shared" ca="1" si="56"/>
        <v>18.430720000000004</v>
      </c>
    </row>
    <row r="54" spans="1:163" x14ac:dyDescent="0.25">
      <c r="A54" s="123">
        <v>48</v>
      </c>
      <c r="B54" s="123">
        <f>INDEX(关卡对比!$Y:$Y,MATCH(关卡对比!Z54,关卡对比!$AA:$AA,1))</f>
        <v>33</v>
      </c>
      <c r="C54" s="124">
        <f>INDEX(关卡对比!$Y:$Y,MATCH(关卡对比!Z54,关卡对比!$AB:$AB,1))</f>
        <v>27</v>
      </c>
      <c r="D54" s="125">
        <f t="shared" si="63"/>
        <v>185.5</v>
      </c>
      <c r="E54" s="125">
        <v>2</v>
      </c>
      <c r="F54" s="128">
        <v>16</v>
      </c>
      <c r="G54" s="90">
        <v>16</v>
      </c>
      <c r="H54" s="90">
        <v>5</v>
      </c>
      <c r="J54" s="128">
        <v>48</v>
      </c>
      <c r="K54" s="90">
        <f t="shared" si="17"/>
        <v>16</v>
      </c>
      <c r="L54" s="90">
        <f t="shared" si="18"/>
        <v>16</v>
      </c>
      <c r="M54" s="90">
        <f t="shared" si="19"/>
        <v>5</v>
      </c>
      <c r="N54" s="140">
        <f>INDEX($A:$A,MATCH(SUM($K$7:K54),$D:$D,1))</f>
        <v>200</v>
      </c>
      <c r="O54" s="140">
        <v>0</v>
      </c>
      <c r="P54" s="141">
        <v>0</v>
      </c>
      <c r="Q54" s="126">
        <f>_xlfn.MAXIFS(关卡产出!X:X,关卡产出!$A:$A,玩家节奏2!$N$6,关卡产出!$B:$B,玩家节奏2!$N54)+_xlfn.MAXIFS(关卡产出!X:X,关卡产出!$A:$A,玩家节奏2!$O$6,关卡产出!$B:$B,玩家节奏2!$O54)+_xlfn.MAXIFS(关卡产出!X:X,关卡产出!$A:$A,玩家节奏2!$P$6,关卡产出!$B:$B,玩家节奏2!$P54)</f>
        <v>38500</v>
      </c>
      <c r="R54" s="90">
        <f>_xlfn.MAXIFS(关卡产出!Y:Y,关卡产出!$A:$A,玩家节奏2!$N$6,关卡产出!$B:$B,玩家节奏2!$N54)+_xlfn.MAXIFS(关卡产出!Y:Y,关卡产出!$A:$A,玩家节奏2!$O$6,关卡产出!$B:$B,玩家节奏2!$O54)+_xlfn.MAXIFS(关卡产出!Y:Y,关卡产出!$A:$A,玩家节奏2!$P$6,关卡产出!$B:$B,玩家节奏2!$P54)</f>
        <v>11610000</v>
      </c>
      <c r="S54" s="90">
        <f>_xlfn.MAXIFS(关卡产出!Z:Z,关卡产出!$A:$A,玩家节奏2!$N$6,关卡产出!$B:$B,玩家节奏2!$N54)+_xlfn.MAXIFS(关卡产出!Z:Z,关卡产出!$A:$A,玩家节奏2!$O$6,关卡产出!$B:$B,玩家节奏2!$O54)+_xlfn.MAXIFS(关卡产出!Z:Z,关卡产出!$A:$A,玩家节奏2!$P$6,关卡产出!$B:$B,玩家节奏2!$P54)</f>
        <v>78866</v>
      </c>
      <c r="T54" s="90">
        <f>_xlfn.MAXIFS(关卡产出!AA:AA,关卡产出!$A:$A,玩家节奏2!$N$6,关卡产出!$B:$B,玩家节奏2!$N54)+_xlfn.MAXIFS(关卡产出!AA:AA,关卡产出!$A:$A,玩家节奏2!$O$6,关卡产出!$B:$B,玩家节奏2!$O54)+_xlfn.MAXIFS(关卡产出!AA:AA,关卡产出!$A:$A,玩家节奏2!$P$6,关卡产出!$B:$B,玩家节奏2!$P54)</f>
        <v>39434</v>
      </c>
      <c r="U54" s="90">
        <f>_xlfn.MAXIFS(关卡产出!AB:AB,关卡产出!$A:$A,玩家节奏2!$N$6,关卡产出!$B:$B,玩家节奏2!$N54)+_xlfn.MAXIFS(关卡产出!AB:AB,关卡产出!$A:$A,玩家节奏2!$O$6,关卡产出!$B:$B,玩家节奏2!$O54)+_xlfn.MAXIFS(关卡产出!AB:AB,关卡产出!$A:$A,玩家节奏2!$P$6,关卡产出!$B:$B,玩家节奏2!$P54)</f>
        <v>19113</v>
      </c>
      <c r="V54" s="130">
        <f>_xlfn.MAXIFS(关卡产出!AC:AC,关卡产出!$A:$A,玩家节奏2!$N$6,关卡产出!$B:$B,玩家节奏2!$N54)+_xlfn.MAXIFS(关卡产出!AC:AC,关卡产出!$A:$A,玩家节奏2!$O$6,关卡产出!$B:$B,玩家节奏2!$O54)+_xlfn.MAXIFS(关卡产出!AC:AC,关卡产出!$A:$A,玩家节奏2!$P$6,关卡产出!$B:$B,玩家节奏2!$P54)</f>
        <v>1200</v>
      </c>
      <c r="W54" s="126">
        <f>INDEX(关卡产出!C$8:C$207,MATCH(玩家节奏2!$N54,关卡产出!$B$8:$B$207,0))*$K54</f>
        <v>2528</v>
      </c>
      <c r="X54" s="126">
        <f>INDEX(关卡产出!D$8:D$207,MATCH(玩家节奏2!$N54,关卡产出!$B$8:$B$207,0))*$K54</f>
        <v>1264</v>
      </c>
      <c r="Y54" s="126">
        <f>INDEX(关卡产出!E$8:E$207,MATCH(玩家节奏2!$N54,关卡产出!$B$8:$B$207,0))*$K54</f>
        <v>624</v>
      </c>
      <c r="Z54" s="144">
        <f>INDEX(关卡产出!F$8:F$207,MATCH(玩家节奏2!$N54,关卡产出!$B$8:$B$207,0))*$K54</f>
        <v>32800</v>
      </c>
      <c r="AA54" s="126">
        <f>SUM(W$7:W54)</f>
        <v>63214</v>
      </c>
      <c r="AB54" s="126">
        <f>SUM(X$7:X54)</f>
        <v>31443</v>
      </c>
      <c r="AC54" s="126">
        <f>SUM(Y$7:Y54)</f>
        <v>15299</v>
      </c>
      <c r="AD54" s="177">
        <f>SUM(Z$7:Z54)</f>
        <v>847930</v>
      </c>
      <c r="AE54" s="128">
        <f>INDEX(图鉴!AQ:AQ,MATCH($N54,图鉴!$S:$S,0))*34</f>
        <v>714</v>
      </c>
      <c r="AF54" s="90">
        <f>INDEX(图鉴!AR:AR,MATCH($N54,图鉴!$S:$S,0))*34</f>
        <v>510</v>
      </c>
      <c r="AG54" s="90">
        <f>INDEX(图鉴!AS:AS,MATCH($N54,图鉴!$S:$S,0))*34</f>
        <v>204</v>
      </c>
      <c r="AH54" s="129">
        <f ca="1">INDEX(图鉴!AT:AT,MATCH($N54,图鉴!$S:$S,0))*34</f>
        <v>55930</v>
      </c>
      <c r="AI54" s="128">
        <f>SUM($AE$7:AE54)</f>
        <v>32368</v>
      </c>
      <c r="AJ54" s="90">
        <f>SUM(AF$7:AF54)</f>
        <v>21012</v>
      </c>
      <c r="AK54" s="90">
        <f>SUM(AG$7:AG54)</f>
        <v>7854</v>
      </c>
      <c r="AL54" s="130">
        <f ca="1">SUM(AH$7:AH54)</f>
        <v>1855006</v>
      </c>
      <c r="AM54" s="133">
        <f>IF(M54=0,0,INDEX(关卡产出!$AU$11:$AU$15,MATCH(玩家节奏2!N54,关卡产出!$AW$11:$AW$15,1))*M54)</f>
        <v>61000</v>
      </c>
      <c r="AN54" s="126">
        <f>IF(L54=0,0,$L54*关卡产出!AU$21)</f>
        <v>16000</v>
      </c>
      <c r="AO54" s="90">
        <f>IF(M54=0,0,$L54*关卡产出!AV$21)</f>
        <v>800</v>
      </c>
      <c r="AP54" s="129">
        <f>IF(N54=0,0,$L54*关卡产出!AW$21)</f>
        <v>16</v>
      </c>
      <c r="AQ54" s="138">
        <f>SUM(AN$7:AN54)</f>
        <v>720000</v>
      </c>
      <c r="AR54" s="126">
        <f>SUM(AO$7:AO54)</f>
        <v>36000</v>
      </c>
      <c r="AS54" s="129">
        <f>SUM(AP$7:AP54)</f>
        <v>720</v>
      </c>
      <c r="AT54" s="128">
        <v>3000</v>
      </c>
      <c r="AU54" s="129">
        <v>600</v>
      </c>
      <c r="AV54" s="128">
        <f>SUM(AT$7:AT54)</f>
        <v>144000</v>
      </c>
      <c r="AW54" s="90">
        <f>SUM(AU$7:AU54)</f>
        <v>28800</v>
      </c>
      <c r="AY54" s="128">
        <f t="shared" si="20"/>
        <v>38500</v>
      </c>
      <c r="AZ54" s="90">
        <f t="shared" si="21"/>
        <v>36000</v>
      </c>
      <c r="BA54" s="90">
        <f t="shared" si="22"/>
        <v>28800</v>
      </c>
      <c r="BB54" s="90">
        <f t="shared" ca="1" si="57"/>
        <v>27200</v>
      </c>
      <c r="BC54" s="90">
        <f t="shared" ca="1" si="60"/>
        <v>67425</v>
      </c>
      <c r="BD54" s="90">
        <f t="shared" ca="1" si="61"/>
        <v>63075</v>
      </c>
      <c r="BE54" s="90">
        <f t="shared" ca="1" si="24"/>
        <v>130500</v>
      </c>
      <c r="BF54" s="142">
        <f t="shared" ca="1" si="64"/>
        <v>0.57100482017055987</v>
      </c>
      <c r="BG54" s="142">
        <f t="shared" ca="1" si="65"/>
        <v>0.53392658509454949</v>
      </c>
      <c r="BH54" s="142">
        <f t="shared" ca="1" si="66"/>
        <v>0.42714126807563962</v>
      </c>
      <c r="BI54" s="142">
        <f t="shared" ca="1" si="67"/>
        <v>0.40341119762699296</v>
      </c>
      <c r="BJ54" s="143"/>
      <c r="BK54" s="128">
        <f ca="1">INDEX(商城宝箱!$L:$L,MATCH(BC54,商城宝箱!$N:$N,1))</f>
        <v>10</v>
      </c>
      <c r="BL54" s="90">
        <f ca="1">_xlfn.IFNA(INDEX(商城宝箱!T:T,MATCH(玩家节奏2!$BK54,商城宝箱!$L:$L,0)),0)+($BC54-INDEX(商城宝箱!$N:$N,MATCH(玩家节奏2!$BK54,商城宝箱!$L:$L,0)))/$BK$5*INDEX(商城宝箱!E$23:E$42,MATCH(玩家节奏2!$BK54+1,商城宝箱!$C$23:$C$42,0))</f>
        <v>168562.5</v>
      </c>
      <c r="BM54" s="90">
        <f ca="1">_xlfn.IFNA(INDEX(商城宝箱!U:U,MATCH(玩家节奏2!$BK54,商城宝箱!$L:$L,0)),0)+($BC54-INDEX(商城宝箱!$N:$N,MATCH(玩家节奏2!$BK54,商城宝箱!$L:$L,0)))/$BK$5*INDEX(商城宝箱!F$23:F$42,MATCH(玩家节奏2!$BK54+1,商城宝箱!$C$23:$C$42,0))</f>
        <v>129702.5</v>
      </c>
      <c r="BN54" s="90">
        <f ca="1">_xlfn.IFNA(INDEX(商城宝箱!V:V,MATCH(玩家节奏2!$BK54,商城宝箱!$L:$L,0)),0)+($BC54-INDEX(商城宝箱!$N:$N,MATCH(玩家节奏2!$BK54,商城宝箱!$L:$L,0)))/$BK$5*INDEX(商城宝箱!G$23:G$42,MATCH(玩家节奏2!$BK54+1,商城宝箱!$C$23:$C$42,0))</f>
        <v>73124.5</v>
      </c>
      <c r="BO54" s="90">
        <f ca="1">_xlfn.IFNA(INDEX(商城宝箱!W:W,MATCH(玩家节奏2!$BK54,商城宝箱!$L:$L,0)),0)+($BC54-INDEX(商城宝箱!$N:$N,MATCH(玩家节奏2!$BK54,商城宝箱!$L:$L,0)))/$BK$5*INDEX(商城宝箱!H$23:H$42,MATCH(玩家节奏2!$BK54+1,商城宝箱!$C$23:$C$42,0))</f>
        <v>10312.75</v>
      </c>
      <c r="BQ54" s="128">
        <f t="shared" si="4"/>
        <v>11610000</v>
      </c>
      <c r="BR54" s="90">
        <f t="shared" si="5"/>
        <v>847930</v>
      </c>
      <c r="BS54" s="90">
        <f t="shared" ca="1" si="68"/>
        <v>1855006</v>
      </c>
      <c r="BT54" s="90">
        <f t="shared" si="69"/>
        <v>61000</v>
      </c>
      <c r="BU54" s="90">
        <f t="shared" si="8"/>
        <v>720000</v>
      </c>
      <c r="BV54" s="90">
        <f t="shared" si="9"/>
        <v>144000</v>
      </c>
      <c r="BW54" s="90">
        <f t="shared" ca="1" si="25"/>
        <v>168562.5</v>
      </c>
      <c r="BX54" s="90">
        <f t="shared" ca="1" si="26"/>
        <v>15406498.5</v>
      </c>
      <c r="BY54" s="142">
        <f t="shared" ca="1" si="27"/>
        <v>0.7535781086143617</v>
      </c>
      <c r="BZ54" s="142">
        <f t="shared" ca="1" si="27"/>
        <v>5.5037164998912633E-2</v>
      </c>
      <c r="CA54" s="142">
        <f t="shared" ca="1" si="27"/>
        <v>0.12040412686893132</v>
      </c>
      <c r="CB54" s="142">
        <f t="shared" ca="1" si="27"/>
        <v>3.9593681847955265E-3</v>
      </c>
      <c r="CC54" s="142">
        <f t="shared" ca="1" si="27"/>
        <v>4.6733526115619331E-2</v>
      </c>
      <c r="CD54" s="142">
        <f t="shared" ca="1" si="27"/>
        <v>9.3467052231238652E-3</v>
      </c>
      <c r="CE54" s="142">
        <f t="shared" ca="1" si="27"/>
        <v>1.0940999994255671E-2</v>
      </c>
      <c r="CG54" s="128">
        <f t="shared" si="28"/>
        <v>200</v>
      </c>
      <c r="CH54" s="90">
        <f ca="1">INDEX(角色升级!$A:$A,MATCH(玩家节奏2!$BX54,角色升级!$J:$J,1))</f>
        <v>857</v>
      </c>
      <c r="CI54" s="90">
        <f ca="1">INDEX(角色升级!$O:$O,MATCH(玩家节奏2!$BX54,角色升级!$J:$J,1))</f>
        <v>63466.344069999999</v>
      </c>
      <c r="CJ54" s="90">
        <f>INDEX(关卡对比!$J:$J,MATCH(玩家节奏2!N54,关卡对比!$A:$A,0))</f>
        <v>86200</v>
      </c>
      <c r="CK54" s="147">
        <f t="shared" ca="1" si="29"/>
        <v>1.3582001809482833</v>
      </c>
      <c r="CL54" s="128">
        <f ca="1">INDEX(角色升级!$P:$P,MATCH(玩家节奏2!$CH54,角色升级!$A:$A,0))</f>
        <v>27200</v>
      </c>
      <c r="CM54" s="90">
        <f ca="1">INDEX(角色升级!Q:Q,MATCH(玩家节奏2!$CH54,角色升级!$A:$A,0))</f>
        <v>1.7</v>
      </c>
      <c r="CO54" s="128">
        <f t="shared" si="30"/>
        <v>78866</v>
      </c>
      <c r="CP54" s="90">
        <f t="shared" si="31"/>
        <v>63214</v>
      </c>
      <c r="CQ54" s="90">
        <f t="shared" si="32"/>
        <v>32368</v>
      </c>
      <c r="CR54" s="90">
        <f t="shared" ca="1" si="33"/>
        <v>129702.5</v>
      </c>
      <c r="CS54" s="90">
        <f t="shared" ca="1" si="34"/>
        <v>304150.5</v>
      </c>
      <c r="CT54" s="142">
        <f t="shared" ca="1" si="35"/>
        <v>0.25929926138539966</v>
      </c>
      <c r="CU54" s="142">
        <f t="shared" ca="1" si="35"/>
        <v>0.20783789604159783</v>
      </c>
      <c r="CV54" s="142">
        <f t="shared" ca="1" si="35"/>
        <v>0.10642099881473152</v>
      </c>
      <c r="CW54" s="142">
        <f t="shared" ca="1" si="35"/>
        <v>0.42644184375827099</v>
      </c>
      <c r="CY54" s="128">
        <f t="shared" si="36"/>
        <v>39434</v>
      </c>
      <c r="CZ54" s="90">
        <f t="shared" si="37"/>
        <v>31443</v>
      </c>
      <c r="DA54" s="90">
        <f t="shared" si="38"/>
        <v>21012</v>
      </c>
      <c r="DB54" s="90">
        <f t="shared" ca="1" si="58"/>
        <v>73124.5</v>
      </c>
      <c r="DC54" s="90">
        <f t="shared" ca="1" si="39"/>
        <v>165013.5</v>
      </c>
      <c r="DD54" s="142">
        <f t="shared" ca="1" si="40"/>
        <v>0.2389743869440985</v>
      </c>
      <c r="DE54" s="142">
        <f t="shared" ca="1" si="40"/>
        <v>0.190548046068958</v>
      </c>
      <c r="DF54" s="142">
        <f t="shared" ca="1" si="40"/>
        <v>0.12733503622430892</v>
      </c>
      <c r="DG54" s="142">
        <f t="shared" ca="1" si="40"/>
        <v>0.44314253076263455</v>
      </c>
      <c r="DI54" s="128">
        <f t="shared" si="41"/>
        <v>19113</v>
      </c>
      <c r="DJ54" s="90">
        <f t="shared" si="42"/>
        <v>15299</v>
      </c>
      <c r="DK54" s="90">
        <f t="shared" si="43"/>
        <v>7854</v>
      </c>
      <c r="DL54" s="90">
        <f t="shared" ca="1" si="44"/>
        <v>10312.75</v>
      </c>
      <c r="DM54" s="90">
        <f t="shared" ca="1" si="45"/>
        <v>52578.75</v>
      </c>
      <c r="DN54" s="142">
        <f t="shared" ca="1" si="46"/>
        <v>0.36351187504457599</v>
      </c>
      <c r="DO54" s="142">
        <f t="shared" ca="1" si="46"/>
        <v>0.29097306421320401</v>
      </c>
      <c r="DP54" s="142">
        <f t="shared" ca="1" si="46"/>
        <v>0.14937593609585623</v>
      </c>
      <c r="DQ54" s="142">
        <f t="shared" ca="1" si="46"/>
        <v>0.19613912464636379</v>
      </c>
      <c r="DS54" s="128">
        <f t="shared" ca="1" si="47"/>
        <v>304150.5</v>
      </c>
      <c r="DT54" s="90">
        <f t="shared" ca="1" si="48"/>
        <v>165013.5</v>
      </c>
      <c r="DU54" s="90">
        <f t="shared" ca="1" si="49"/>
        <v>52578.75</v>
      </c>
      <c r="DV54" s="90">
        <f t="shared" si="50"/>
        <v>720</v>
      </c>
      <c r="DW54" s="90">
        <f ca="1">_xlfn.IFNA(INDEX(武器升级消耗!$H:$H,MATCH(玩家节奏2!DS54/玩家节奏2!DS$5,武器升级消耗!M:M,1)),0)</f>
        <v>49</v>
      </c>
      <c r="DX54" s="90">
        <f ca="1">_xlfn.IFNA(INDEX(武器升级消耗!$H:$H,MATCH(玩家节奏2!DT54/玩家节奏2!DT$5,武器升级消耗!N:N,1)),0)</f>
        <v>43</v>
      </c>
      <c r="DY54" s="90">
        <f ca="1">_xlfn.IFNA(INDEX(武器升级消耗!$H:$H,MATCH(玩家节奏2!DU54/玩家节奏2!DU$5,武器升级消耗!O:O,1)),0)</f>
        <v>32</v>
      </c>
      <c r="DZ54" s="90">
        <f>_xlfn.IFNA(INDEX(武器升级消耗!$H:$H,MATCH(玩家节奏2!DV54/玩家节奏2!DV$5,武器升级消耗!P:P,1)),0)</f>
        <v>19</v>
      </c>
      <c r="EA54" s="90">
        <f ca="1">_xlfn.IFNA(INDEX(武器升级消耗!$Q:$Q,MATCH(玩家节奏2!DW54,武器升级消耗!$H:$H,0))*2*EA$4,0)</f>
        <v>6.3599999999999994</v>
      </c>
      <c r="EB54" s="90">
        <f ca="1">_xlfn.IFNA(INDEX(武器升级消耗!$Q:$Q,MATCH(玩家节奏2!DX54,武器升级消耗!$H:$H,0))*2*EB$4,0)</f>
        <v>7.0500000000000007</v>
      </c>
      <c r="EC54" s="90">
        <f ca="1">_xlfn.IFNA(INDEX(武器升级消耗!$Q:$Q,MATCH(玩家节奏2!DY54,武器升级消耗!$H:$H,0))*2*EC$4,0)</f>
        <v>7.9200000000000008</v>
      </c>
      <c r="ED54" s="90">
        <f>_xlfn.IFNA(INDEX(武器升级消耗!$Q:$Q,MATCH(玩家节奏2!DZ54,武器升级消耗!$H:$H,0))*2*ED$4,0)</f>
        <v>6.8999999999999995</v>
      </c>
      <c r="EF54" s="128">
        <f t="shared" si="70"/>
        <v>0</v>
      </c>
      <c r="EG54" s="90">
        <f t="shared" si="71"/>
        <v>0</v>
      </c>
      <c r="EH54" s="90">
        <v>144</v>
      </c>
      <c r="EI54" s="90">
        <v>144</v>
      </c>
      <c r="EJ54" s="90">
        <f>_xlfn.IFNA(INDEX(皮肤宠物!$J$4:$J$13,MATCH(EF54+EH54,皮肤宠物!$L$4:$L$13,1)),0)</f>
        <v>6</v>
      </c>
      <c r="EK54" s="90">
        <f>_xlfn.IFNA(INDEX(皮肤宠物!$J$4:$J$13,MATCH(EG54+EI54,皮肤宠物!$L$4:$L$13,1)),0)</f>
        <v>6</v>
      </c>
      <c r="EL54" s="90">
        <f>_xlfn.IFNA(INDEX(皮肤宠物!$N$4:$N$13,MATCH(EF54+EH54,皮肤宠物!$L$4:$L$13,1)),1)</f>
        <v>1.7600000000000002</v>
      </c>
      <c r="EM54" s="90">
        <f>_xlfn.IFNA(INDEX(皮肤宠物!$N$4:$N$13,MATCH(EG54+EI54,皮肤宠物!$L$4:$L$13,1)),1)</f>
        <v>1.7600000000000002</v>
      </c>
      <c r="EO54" s="128">
        <v>144</v>
      </c>
      <c r="EP54" s="90">
        <v>48</v>
      </c>
      <c r="EQ54" s="90">
        <f t="shared" ca="1" si="51"/>
        <v>63075</v>
      </c>
      <c r="ER54" s="90">
        <f t="shared" si="72"/>
        <v>0</v>
      </c>
      <c r="ES54" s="90">
        <f t="shared" ca="1" si="52"/>
        <v>678.75</v>
      </c>
      <c r="ET54" s="90">
        <f ca="1">$ES54*ET$5*皮肤宠物!$J$75/4</f>
        <v>2240.55375</v>
      </c>
      <c r="EU54" s="90">
        <f ca="1">$ES54*EU$5*皮肤宠物!$J$76/4</f>
        <v>373.99125000000004</v>
      </c>
      <c r="EV54" s="90">
        <f ca="1">$ES54*EV$5*皮肤宠物!$J$77/4</f>
        <v>101.3034375</v>
      </c>
      <c r="EW54" s="90">
        <f ca="1">_xlfn.IFNA(INDEX(皮肤宠物!$H$18:$H$67,MATCH(ET54,皮肤宠物!L$18:L$67,1)),0)</f>
        <v>16</v>
      </c>
      <c r="EX54" s="90">
        <f ca="1">_xlfn.IFNA(INDEX(皮肤宠物!$H$18:$H$67,MATCH(EU54,皮肤宠物!M$18:M$67,1)),0)</f>
        <v>13</v>
      </c>
      <c r="EY54" s="90">
        <f ca="1">_xlfn.IFNA(INDEX(皮肤宠物!$H$18:$H$67,MATCH(EV54,皮肤宠物!N$18:N$67,1)),0)</f>
        <v>9</v>
      </c>
      <c r="EZ54" s="90">
        <f ca="1">_xlfn.IFNA(INDEX(皮肤宠物!C$18:C$67,MATCH(EW54,皮肤宠物!$A$18:$A$67,0))+1,1)</f>
        <v>1.1599999999999999</v>
      </c>
      <c r="FA54" s="90">
        <f ca="1">_xlfn.IFNA(INDEX(皮肤宠物!D$18:D$67,MATCH(EX54,皮肤宠物!$A$18:$A$67,0))+1,1)</f>
        <v>1.26</v>
      </c>
      <c r="FB54" s="90">
        <f ca="1">_xlfn.IFNA(INDEX(皮肤宠物!E$18:E$67,MATCH(EY54,皮肤宠物!$A$18:$A$67,0))+1,1)</f>
        <v>1.3599999999999999</v>
      </c>
      <c r="FD54" s="90">
        <f t="shared" ca="1" si="53"/>
        <v>7.9200000000000008</v>
      </c>
      <c r="FE54" s="90">
        <f t="shared" si="54"/>
        <v>1.7600000000000002</v>
      </c>
      <c r="FF54" s="90">
        <f t="shared" ca="1" si="55"/>
        <v>1.3599999999999999</v>
      </c>
      <c r="FG54" s="90">
        <f t="shared" ca="1" si="56"/>
        <v>18.957312000000002</v>
      </c>
    </row>
    <row r="55" spans="1:163" x14ac:dyDescent="0.25">
      <c r="A55" s="123">
        <v>49</v>
      </c>
      <c r="B55" s="123">
        <f>INDEX(关卡对比!$Y:$Y,MATCH(关卡对比!Z55,关卡对比!$AA:$AA,1))</f>
        <v>34</v>
      </c>
      <c r="C55" s="124">
        <f>INDEX(关卡对比!$Y:$Y,MATCH(关卡对比!Z55,关卡对比!$AB:$AB,1))</f>
        <v>28</v>
      </c>
      <c r="D55" s="125">
        <f t="shared" si="63"/>
        <v>191.5</v>
      </c>
      <c r="E55" s="125">
        <v>2</v>
      </c>
      <c r="F55" s="128">
        <v>16</v>
      </c>
      <c r="G55" s="90">
        <v>16</v>
      </c>
      <c r="H55" s="90">
        <v>5</v>
      </c>
      <c r="J55" s="128">
        <v>49</v>
      </c>
      <c r="K55" s="90">
        <f t="shared" si="17"/>
        <v>16</v>
      </c>
      <c r="L55" s="90">
        <f t="shared" si="18"/>
        <v>16</v>
      </c>
      <c r="M55" s="90">
        <f t="shared" si="19"/>
        <v>5</v>
      </c>
      <c r="N55" s="140">
        <f>INDEX($A:$A,MATCH(SUM($K$7:K55),$D:$D,1))</f>
        <v>200</v>
      </c>
      <c r="O55" s="140">
        <v>0</v>
      </c>
      <c r="P55" s="141">
        <v>0</v>
      </c>
      <c r="Q55" s="126">
        <f>_xlfn.MAXIFS(关卡产出!X:X,关卡产出!$A:$A,玩家节奏2!$N$6,关卡产出!$B:$B,玩家节奏2!$N55)+_xlfn.MAXIFS(关卡产出!X:X,关卡产出!$A:$A,玩家节奏2!$O$6,关卡产出!$B:$B,玩家节奏2!$O55)+_xlfn.MAXIFS(关卡产出!X:X,关卡产出!$A:$A,玩家节奏2!$P$6,关卡产出!$B:$B,玩家节奏2!$P55)</f>
        <v>38500</v>
      </c>
      <c r="R55" s="90">
        <f>_xlfn.MAXIFS(关卡产出!Y:Y,关卡产出!$A:$A,玩家节奏2!$N$6,关卡产出!$B:$B,玩家节奏2!$N55)+_xlfn.MAXIFS(关卡产出!Y:Y,关卡产出!$A:$A,玩家节奏2!$O$6,关卡产出!$B:$B,玩家节奏2!$O55)+_xlfn.MAXIFS(关卡产出!Y:Y,关卡产出!$A:$A,玩家节奏2!$P$6,关卡产出!$B:$B,玩家节奏2!$P55)</f>
        <v>11610000</v>
      </c>
      <c r="S55" s="90">
        <f>_xlfn.MAXIFS(关卡产出!Z:Z,关卡产出!$A:$A,玩家节奏2!$N$6,关卡产出!$B:$B,玩家节奏2!$N55)+_xlfn.MAXIFS(关卡产出!Z:Z,关卡产出!$A:$A,玩家节奏2!$O$6,关卡产出!$B:$B,玩家节奏2!$O55)+_xlfn.MAXIFS(关卡产出!Z:Z,关卡产出!$A:$A,玩家节奏2!$P$6,关卡产出!$B:$B,玩家节奏2!$P55)</f>
        <v>78866</v>
      </c>
      <c r="T55" s="90">
        <f>_xlfn.MAXIFS(关卡产出!AA:AA,关卡产出!$A:$A,玩家节奏2!$N$6,关卡产出!$B:$B,玩家节奏2!$N55)+_xlfn.MAXIFS(关卡产出!AA:AA,关卡产出!$A:$A,玩家节奏2!$O$6,关卡产出!$B:$B,玩家节奏2!$O55)+_xlfn.MAXIFS(关卡产出!AA:AA,关卡产出!$A:$A,玩家节奏2!$P$6,关卡产出!$B:$B,玩家节奏2!$P55)</f>
        <v>39434</v>
      </c>
      <c r="U55" s="90">
        <f>_xlfn.MAXIFS(关卡产出!AB:AB,关卡产出!$A:$A,玩家节奏2!$N$6,关卡产出!$B:$B,玩家节奏2!$N55)+_xlfn.MAXIFS(关卡产出!AB:AB,关卡产出!$A:$A,玩家节奏2!$O$6,关卡产出!$B:$B,玩家节奏2!$O55)+_xlfn.MAXIFS(关卡产出!AB:AB,关卡产出!$A:$A,玩家节奏2!$P$6,关卡产出!$B:$B,玩家节奏2!$P55)</f>
        <v>19113</v>
      </c>
      <c r="V55" s="130">
        <f>_xlfn.MAXIFS(关卡产出!AC:AC,关卡产出!$A:$A,玩家节奏2!$N$6,关卡产出!$B:$B,玩家节奏2!$N55)+_xlfn.MAXIFS(关卡产出!AC:AC,关卡产出!$A:$A,玩家节奏2!$O$6,关卡产出!$B:$B,玩家节奏2!$O55)+_xlfn.MAXIFS(关卡产出!AC:AC,关卡产出!$A:$A,玩家节奏2!$P$6,关卡产出!$B:$B,玩家节奏2!$P55)</f>
        <v>1200</v>
      </c>
      <c r="W55" s="126">
        <f>INDEX(关卡产出!C$8:C$207,MATCH(玩家节奏2!$N55,关卡产出!$B$8:$B$207,0))*$K55</f>
        <v>2528</v>
      </c>
      <c r="X55" s="126">
        <f>INDEX(关卡产出!D$8:D$207,MATCH(玩家节奏2!$N55,关卡产出!$B$8:$B$207,0))*$K55</f>
        <v>1264</v>
      </c>
      <c r="Y55" s="126">
        <f>INDEX(关卡产出!E$8:E$207,MATCH(玩家节奏2!$N55,关卡产出!$B$8:$B$207,0))*$K55</f>
        <v>624</v>
      </c>
      <c r="Z55" s="144">
        <f>INDEX(关卡产出!F$8:F$207,MATCH(玩家节奏2!$N55,关卡产出!$B$8:$B$207,0))*$K55</f>
        <v>32800</v>
      </c>
      <c r="AA55" s="126">
        <f>SUM(W$7:W55)</f>
        <v>65742</v>
      </c>
      <c r="AB55" s="126">
        <f>SUM(X$7:X55)</f>
        <v>32707</v>
      </c>
      <c r="AC55" s="126">
        <f>SUM(Y$7:Y55)</f>
        <v>15923</v>
      </c>
      <c r="AD55" s="177">
        <f>SUM(Z$7:Z55)</f>
        <v>880730</v>
      </c>
      <c r="AE55" s="128">
        <f>INDEX(图鉴!AQ:AQ,MATCH($N55,图鉴!$S:$S,0))*34</f>
        <v>714</v>
      </c>
      <c r="AF55" s="90">
        <f>INDEX(图鉴!AR:AR,MATCH($N55,图鉴!$S:$S,0))*34</f>
        <v>510</v>
      </c>
      <c r="AG55" s="90">
        <f>INDEX(图鉴!AS:AS,MATCH($N55,图鉴!$S:$S,0))*34</f>
        <v>204</v>
      </c>
      <c r="AH55" s="129">
        <f ca="1">INDEX(图鉴!AT:AT,MATCH($N55,图鉴!$S:$S,0))*34</f>
        <v>55930</v>
      </c>
      <c r="AI55" s="128">
        <f>SUM($AE$7:AE55)</f>
        <v>33082</v>
      </c>
      <c r="AJ55" s="90">
        <f>SUM(AF$7:AF55)</f>
        <v>21522</v>
      </c>
      <c r="AK55" s="90">
        <f>SUM(AG$7:AG55)</f>
        <v>8058</v>
      </c>
      <c r="AL55" s="130">
        <f ca="1">SUM(AH$7:AH55)</f>
        <v>1910936</v>
      </c>
      <c r="AM55" s="133">
        <f>IF(M55=0,0,INDEX(关卡产出!$AU$11:$AU$15,MATCH(玩家节奏2!N55,关卡产出!$AW$11:$AW$15,1))*M55)</f>
        <v>61000</v>
      </c>
      <c r="AN55" s="126">
        <f>IF(L55=0,0,$L55*关卡产出!AU$21)</f>
        <v>16000</v>
      </c>
      <c r="AO55" s="90">
        <f>IF(M55=0,0,$L55*关卡产出!AV$21)</f>
        <v>800</v>
      </c>
      <c r="AP55" s="129">
        <f>IF(N55=0,0,$L55*关卡产出!AW$21)</f>
        <v>16</v>
      </c>
      <c r="AQ55" s="138">
        <f>SUM(AN$7:AN55)</f>
        <v>736000</v>
      </c>
      <c r="AR55" s="126">
        <f>SUM(AO$7:AO55)</f>
        <v>36800</v>
      </c>
      <c r="AS55" s="129">
        <f>SUM(AP$7:AP55)</f>
        <v>736</v>
      </c>
      <c r="AT55" s="128">
        <v>3000</v>
      </c>
      <c r="AU55" s="129">
        <v>600</v>
      </c>
      <c r="AV55" s="128">
        <f>SUM(AT$7:AT55)</f>
        <v>147000</v>
      </c>
      <c r="AW55" s="90">
        <f>SUM(AU$7:AU55)</f>
        <v>29400</v>
      </c>
      <c r="AY55" s="128">
        <f t="shared" si="20"/>
        <v>38500</v>
      </c>
      <c r="AZ55" s="90">
        <f t="shared" si="21"/>
        <v>36800</v>
      </c>
      <c r="BA55" s="90">
        <f t="shared" si="22"/>
        <v>29400</v>
      </c>
      <c r="BB55" s="90">
        <f t="shared" ca="1" si="57"/>
        <v>27200</v>
      </c>
      <c r="BC55" s="90">
        <f t="shared" ca="1" si="60"/>
        <v>68125</v>
      </c>
      <c r="BD55" s="90">
        <f t="shared" ca="1" si="61"/>
        <v>63775</v>
      </c>
      <c r="BE55" s="90">
        <f t="shared" ca="1" si="24"/>
        <v>131900</v>
      </c>
      <c r="BF55" s="142">
        <f t="shared" ca="1" si="64"/>
        <v>0.56513761467889911</v>
      </c>
      <c r="BG55" s="142">
        <f t="shared" ca="1" si="65"/>
        <v>0.54018348623853207</v>
      </c>
      <c r="BH55" s="142">
        <f t="shared" ca="1" si="66"/>
        <v>0.43155963302752293</v>
      </c>
      <c r="BI55" s="142">
        <f t="shared" ca="1" si="67"/>
        <v>0.39926605504587154</v>
      </c>
      <c r="BJ55" s="143"/>
      <c r="BK55" s="128">
        <f ca="1">INDEX(商城宝箱!$L:$L,MATCH(BC55,商城宝箱!$N:$N,1))</f>
        <v>10</v>
      </c>
      <c r="BL55" s="90">
        <f ca="1">_xlfn.IFNA(INDEX(商城宝箱!T:T,MATCH(玩家节奏2!$BK55,商城宝箱!$L:$L,0)),0)+($BC55-INDEX(商城宝箱!$N:$N,MATCH(玩家节奏2!$BK55,商城宝箱!$L:$L,0)))/$BK$5*INDEX(商城宝箱!E$23:E$42,MATCH(玩家节奏2!$BK55+1,商城宝箱!$C$23:$C$42,0))</f>
        <v>170312.5</v>
      </c>
      <c r="BM55" s="90">
        <f ca="1">_xlfn.IFNA(INDEX(商城宝箱!U:U,MATCH(玩家节奏2!$BK55,商城宝箱!$L:$L,0)),0)+($BC55-INDEX(商城宝箱!$N:$N,MATCH(玩家节奏2!$BK55,商城宝箱!$L:$L,0)))/$BK$5*INDEX(商城宝箱!F$23:F$42,MATCH(玩家节奏2!$BK55+1,商城宝箱!$C$23:$C$42,0))</f>
        <v>131942.5</v>
      </c>
      <c r="BN55" s="90">
        <f ca="1">_xlfn.IFNA(INDEX(商城宝箱!V:V,MATCH(玩家节奏2!$BK55,商城宝箱!$L:$L,0)),0)+($BC55-INDEX(商城宝箱!$N:$N,MATCH(玩家节奏2!$BK55,商城宝箱!$L:$L,0)))/$BK$5*INDEX(商城宝箱!G$23:G$42,MATCH(玩家节奏2!$BK55+1,商城宝箱!$C$23:$C$42,0))</f>
        <v>74174.5</v>
      </c>
      <c r="BO55" s="90">
        <f ca="1">_xlfn.IFNA(INDEX(商城宝箱!W:W,MATCH(玩家节奏2!$BK55,商城宝箱!$L:$L,0)),0)+($BC55-INDEX(商城宝箱!$N:$N,MATCH(玩家节奏2!$BK55,商城宝箱!$L:$L,0)))/$BK$5*INDEX(商城宝箱!H$23:H$42,MATCH(玩家节奏2!$BK55+1,商城宝箱!$C$23:$C$42,0))</f>
        <v>10487.75</v>
      </c>
      <c r="BQ55" s="128">
        <f t="shared" si="4"/>
        <v>11610000</v>
      </c>
      <c r="BR55" s="90">
        <f t="shared" si="5"/>
        <v>880730</v>
      </c>
      <c r="BS55" s="90">
        <f t="shared" ca="1" si="68"/>
        <v>1910936</v>
      </c>
      <c r="BT55" s="90">
        <f t="shared" si="69"/>
        <v>61000</v>
      </c>
      <c r="BU55" s="90">
        <f t="shared" si="8"/>
        <v>736000</v>
      </c>
      <c r="BV55" s="90">
        <f t="shared" si="9"/>
        <v>147000</v>
      </c>
      <c r="BW55" s="90">
        <f t="shared" ca="1" si="25"/>
        <v>170312.5</v>
      </c>
      <c r="BX55" s="90">
        <f t="shared" ca="1" si="26"/>
        <v>15515978.5</v>
      </c>
      <c r="BY55" s="142">
        <f t="shared" ca="1" si="27"/>
        <v>0.74826089762885406</v>
      </c>
      <c r="BZ55" s="142">
        <f t="shared" ca="1" si="27"/>
        <v>5.6762775225552162E-2</v>
      </c>
      <c r="CA55" s="142">
        <f t="shared" ca="1" si="27"/>
        <v>0.12315923227142909</v>
      </c>
      <c r="CB55" s="142">
        <f t="shared" ca="1" si="27"/>
        <v>3.9314310728131002E-3</v>
      </c>
      <c r="CC55" s="142">
        <f t="shared" ca="1" si="27"/>
        <v>4.7434971632630198E-2</v>
      </c>
      <c r="CD55" s="142">
        <f t="shared" ca="1" si="27"/>
        <v>9.474104388582389E-3</v>
      </c>
      <c r="CE55" s="142">
        <f t="shared" ca="1" si="27"/>
        <v>1.0976587780139036E-2</v>
      </c>
      <c r="CG55" s="128">
        <f t="shared" si="28"/>
        <v>200</v>
      </c>
      <c r="CH55" s="90">
        <f ca="1">INDEX(角色升级!$A:$A,MATCH(玩家节奏2!$BX55,角色升级!$J:$J,1))</f>
        <v>859</v>
      </c>
      <c r="CI55" s="90">
        <f ca="1">INDEX(角色升级!$O:$O,MATCH(玩家节奏2!$BX55,角色升级!$J:$J,1))</f>
        <v>63565.047559999999</v>
      </c>
      <c r="CJ55" s="90">
        <f>INDEX(关卡对比!$J:$J,MATCH(玩家节奏2!N55,关卡对比!$A:$A,0))</f>
        <v>86200</v>
      </c>
      <c r="CK55" s="147">
        <f t="shared" ca="1" si="29"/>
        <v>1.3560911744561275</v>
      </c>
      <c r="CL55" s="128">
        <f ca="1">INDEX(角色升级!$P:$P,MATCH(玩家节奏2!$CH55,角色升级!$A:$A,0))</f>
        <v>27200</v>
      </c>
      <c r="CM55" s="90">
        <f ca="1">INDEX(角色升级!Q:Q,MATCH(玩家节奏2!$CH55,角色升级!$A:$A,0))</f>
        <v>1.7</v>
      </c>
      <c r="CO55" s="128">
        <f t="shared" si="30"/>
        <v>78866</v>
      </c>
      <c r="CP55" s="90">
        <f t="shared" si="31"/>
        <v>65742</v>
      </c>
      <c r="CQ55" s="90">
        <f t="shared" si="32"/>
        <v>33082</v>
      </c>
      <c r="CR55" s="90">
        <f t="shared" ca="1" si="33"/>
        <v>131942.5</v>
      </c>
      <c r="CS55" s="90">
        <f t="shared" ca="1" si="34"/>
        <v>309632.5</v>
      </c>
      <c r="CT55" s="142">
        <f t="shared" ca="1" si="35"/>
        <v>0.25470840431802216</v>
      </c>
      <c r="CU55" s="142">
        <f t="shared" ca="1" si="35"/>
        <v>0.21232267284603523</v>
      </c>
      <c r="CV55" s="142">
        <f t="shared" ca="1" si="35"/>
        <v>0.10684278943586348</v>
      </c>
      <c r="CW55" s="142">
        <f t="shared" ca="1" si="35"/>
        <v>0.4261261334000791</v>
      </c>
      <c r="CY55" s="128">
        <f t="shared" si="36"/>
        <v>39434</v>
      </c>
      <c r="CZ55" s="90">
        <f t="shared" si="37"/>
        <v>32707</v>
      </c>
      <c r="DA55" s="90">
        <f t="shared" si="38"/>
        <v>21522</v>
      </c>
      <c r="DB55" s="90">
        <f t="shared" ca="1" si="58"/>
        <v>74174.5</v>
      </c>
      <c r="DC55" s="90">
        <f t="shared" ca="1" si="39"/>
        <v>167837.5</v>
      </c>
      <c r="DD55" s="142">
        <f t="shared" ca="1" si="40"/>
        <v>0.23495345199970211</v>
      </c>
      <c r="DE55" s="142">
        <f t="shared" ca="1" si="40"/>
        <v>0.19487301705518731</v>
      </c>
      <c r="DF55" s="142">
        <f t="shared" ca="1" si="40"/>
        <v>0.12823117598867953</v>
      </c>
      <c r="DG55" s="142">
        <f t="shared" ca="1" si="40"/>
        <v>0.44194235495643108</v>
      </c>
      <c r="DI55" s="128">
        <f t="shared" si="41"/>
        <v>19113</v>
      </c>
      <c r="DJ55" s="90">
        <f t="shared" si="42"/>
        <v>15923</v>
      </c>
      <c r="DK55" s="90">
        <f t="shared" si="43"/>
        <v>8058</v>
      </c>
      <c r="DL55" s="90">
        <f t="shared" ca="1" si="44"/>
        <v>10487.75</v>
      </c>
      <c r="DM55" s="90">
        <f t="shared" ca="1" si="45"/>
        <v>53581.75</v>
      </c>
      <c r="DN55" s="142">
        <f t="shared" ca="1" si="46"/>
        <v>0.35670727439846589</v>
      </c>
      <c r="DO55" s="142">
        <f t="shared" ca="1" si="46"/>
        <v>0.29717207817960406</v>
      </c>
      <c r="DP55" s="142">
        <f t="shared" ca="1" si="46"/>
        <v>0.1503870254330999</v>
      </c>
      <c r="DQ55" s="142">
        <f t="shared" ca="1" si="46"/>
        <v>0.19573362198883015</v>
      </c>
      <c r="DS55" s="128">
        <f t="shared" ca="1" si="47"/>
        <v>309632.5</v>
      </c>
      <c r="DT55" s="90">
        <f t="shared" ca="1" si="48"/>
        <v>167837.5</v>
      </c>
      <c r="DU55" s="90">
        <f t="shared" ca="1" si="49"/>
        <v>53581.75</v>
      </c>
      <c r="DV55" s="90">
        <f t="shared" si="50"/>
        <v>736</v>
      </c>
      <c r="DW55" s="90">
        <f ca="1">_xlfn.IFNA(INDEX(武器升级消耗!$H:$H,MATCH(玩家节奏2!DS55/玩家节奏2!DS$5,武器升级消耗!M:M,1)),0)</f>
        <v>49</v>
      </c>
      <c r="DX55" s="90">
        <f ca="1">_xlfn.IFNA(INDEX(武器升级消耗!$H:$H,MATCH(玩家节奏2!DT55/玩家节奏2!DT$5,武器升级消耗!N:N,1)),0)</f>
        <v>44</v>
      </c>
      <c r="DY55" s="90">
        <f ca="1">_xlfn.IFNA(INDEX(武器升级消耗!$H:$H,MATCH(玩家节奏2!DU55/玩家节奏2!DU$5,武器升级消耗!O:O,1)),0)</f>
        <v>32</v>
      </c>
      <c r="DZ55" s="90">
        <f>_xlfn.IFNA(INDEX(武器升级消耗!$H:$H,MATCH(玩家节奏2!DV55/玩家节奏2!DV$5,武器升级消耗!P:P,1)),0)</f>
        <v>20</v>
      </c>
      <c r="EA55" s="90">
        <f ca="1">_xlfn.IFNA(INDEX(武器升级消耗!$Q:$Q,MATCH(玩家节奏2!DW55,武器升级消耗!$H:$H,0))*2*EA$4,0)</f>
        <v>6.3599999999999994</v>
      </c>
      <c r="EB55" s="90">
        <f ca="1">_xlfn.IFNA(INDEX(武器升级消耗!$Q:$Q,MATCH(玩家节奏2!DX55,武器升级消耗!$H:$H,0))*2*EB$4,0)</f>
        <v>7.1999999999999993</v>
      </c>
      <c r="EC55" s="90">
        <f ca="1">_xlfn.IFNA(INDEX(武器升级消耗!$Q:$Q,MATCH(玩家节奏2!DY55,武器升级消耗!$H:$H,0))*2*EC$4,0)</f>
        <v>7.9200000000000008</v>
      </c>
      <c r="ED55" s="90">
        <f>_xlfn.IFNA(INDEX(武器升级消耗!$Q:$Q,MATCH(玩家节奏2!DZ55,武器升级消耗!$H:$H,0))*2*ED$4,0)</f>
        <v>7.1999999999999993</v>
      </c>
      <c r="EF55" s="128">
        <f t="shared" si="70"/>
        <v>0</v>
      </c>
      <c r="EG55" s="90">
        <f t="shared" si="71"/>
        <v>0</v>
      </c>
      <c r="EH55" s="90">
        <v>147</v>
      </c>
      <c r="EI55" s="90">
        <v>147</v>
      </c>
      <c r="EJ55" s="90">
        <f>_xlfn.IFNA(INDEX(皮肤宠物!$J$4:$J$13,MATCH(EF55+EH55,皮肤宠物!$L$4:$L$13,1)),0)</f>
        <v>6</v>
      </c>
      <c r="EK55" s="90">
        <f>_xlfn.IFNA(INDEX(皮肤宠物!$J$4:$J$13,MATCH(EG55+EI55,皮肤宠物!$L$4:$L$13,1)),0)</f>
        <v>6</v>
      </c>
      <c r="EL55" s="90">
        <f>_xlfn.IFNA(INDEX(皮肤宠物!$N$4:$N$13,MATCH(EF55+EH55,皮肤宠物!$L$4:$L$13,1)),1)</f>
        <v>1.7600000000000002</v>
      </c>
      <c r="EM55" s="90">
        <f>_xlfn.IFNA(INDEX(皮肤宠物!$N$4:$N$13,MATCH(EG55+EI55,皮肤宠物!$L$4:$L$13,1)),1)</f>
        <v>1.7600000000000002</v>
      </c>
      <c r="EO55" s="128">
        <v>147</v>
      </c>
      <c r="EP55" s="90">
        <v>49</v>
      </c>
      <c r="EQ55" s="90">
        <f t="shared" ca="1" si="51"/>
        <v>63775</v>
      </c>
      <c r="ER55" s="90">
        <f t="shared" si="72"/>
        <v>0</v>
      </c>
      <c r="ES55" s="90">
        <f t="shared" ca="1" si="52"/>
        <v>686.75</v>
      </c>
      <c r="ET55" s="90">
        <f ca="1">$ES55*ET$5*皮肤宠物!$J$75/4</f>
        <v>2266.9617499999999</v>
      </c>
      <c r="EU55" s="90">
        <f ca="1">$ES55*EU$5*皮肤宠物!$J$76/4</f>
        <v>378.39924999999999</v>
      </c>
      <c r="EV55" s="90">
        <f ca="1">$ES55*EV$5*皮肤宠物!$J$77/4</f>
        <v>102.4974375</v>
      </c>
      <c r="EW55" s="90">
        <f ca="1">_xlfn.IFNA(INDEX(皮肤宠物!$H$18:$H$67,MATCH(ET55,皮肤宠物!L$18:L$67,1)),0)</f>
        <v>16</v>
      </c>
      <c r="EX55" s="90">
        <f ca="1">_xlfn.IFNA(INDEX(皮肤宠物!$H$18:$H$67,MATCH(EU55,皮肤宠物!M$18:M$67,1)),0)</f>
        <v>13</v>
      </c>
      <c r="EY55" s="90">
        <f ca="1">_xlfn.IFNA(INDEX(皮肤宠物!$H$18:$H$67,MATCH(EV55,皮肤宠物!N$18:N$67,1)),0)</f>
        <v>9</v>
      </c>
      <c r="EZ55" s="90">
        <f ca="1">_xlfn.IFNA(INDEX(皮肤宠物!C$18:C$67,MATCH(EW55,皮肤宠物!$A$18:$A$67,0))+1,1)</f>
        <v>1.1599999999999999</v>
      </c>
      <c r="FA55" s="90">
        <f ca="1">_xlfn.IFNA(INDEX(皮肤宠物!D$18:D$67,MATCH(EX55,皮肤宠物!$A$18:$A$67,0))+1,1)</f>
        <v>1.26</v>
      </c>
      <c r="FB55" s="90">
        <f ca="1">_xlfn.IFNA(INDEX(皮肤宠物!E$18:E$67,MATCH(EY55,皮肤宠物!$A$18:$A$67,0))+1,1)</f>
        <v>1.3599999999999999</v>
      </c>
      <c r="FD55" s="90">
        <f t="shared" ca="1" si="53"/>
        <v>7.9200000000000008</v>
      </c>
      <c r="FE55" s="90">
        <f t="shared" si="54"/>
        <v>1.7600000000000002</v>
      </c>
      <c r="FF55" s="90">
        <f t="shared" ca="1" si="55"/>
        <v>1.3599999999999999</v>
      </c>
      <c r="FG55" s="90">
        <f t="shared" ca="1" si="56"/>
        <v>18.957312000000002</v>
      </c>
    </row>
    <row r="56" spans="1:163" x14ac:dyDescent="0.25">
      <c r="A56" s="123">
        <v>50</v>
      </c>
      <c r="B56" s="123">
        <f>INDEX(关卡对比!$Y:$Y,MATCH(关卡对比!Z56,关卡对比!$AA:$AA,1))</f>
        <v>35</v>
      </c>
      <c r="C56" s="124">
        <f>INDEX(关卡对比!$Y:$Y,MATCH(关卡对比!Z56,关卡对比!$AB:$AB,1))</f>
        <v>29</v>
      </c>
      <c r="D56" s="125">
        <f t="shared" si="63"/>
        <v>197.5</v>
      </c>
      <c r="E56" s="125">
        <v>2</v>
      </c>
      <c r="F56" s="128">
        <v>16</v>
      </c>
      <c r="G56" s="90">
        <v>16</v>
      </c>
      <c r="H56" s="90">
        <v>5</v>
      </c>
      <c r="J56" s="128">
        <v>50</v>
      </c>
      <c r="K56" s="90">
        <f t="shared" si="17"/>
        <v>16</v>
      </c>
      <c r="L56" s="90">
        <f t="shared" si="18"/>
        <v>16</v>
      </c>
      <c r="M56" s="90">
        <f t="shared" si="19"/>
        <v>5</v>
      </c>
      <c r="N56" s="140">
        <f>INDEX($A:$A,MATCH(SUM($K$7:K56),$D:$D,1))</f>
        <v>200</v>
      </c>
      <c r="O56" s="140">
        <v>0</v>
      </c>
      <c r="P56" s="141">
        <v>0</v>
      </c>
      <c r="Q56" s="126">
        <f>_xlfn.MAXIFS(关卡产出!X:X,关卡产出!$A:$A,玩家节奏2!$N$6,关卡产出!$B:$B,玩家节奏2!$N56)+_xlfn.MAXIFS(关卡产出!X:X,关卡产出!$A:$A,玩家节奏2!$O$6,关卡产出!$B:$B,玩家节奏2!$O56)+_xlfn.MAXIFS(关卡产出!X:X,关卡产出!$A:$A,玩家节奏2!$P$6,关卡产出!$B:$B,玩家节奏2!$P56)</f>
        <v>38500</v>
      </c>
      <c r="R56" s="90">
        <f>_xlfn.MAXIFS(关卡产出!Y:Y,关卡产出!$A:$A,玩家节奏2!$N$6,关卡产出!$B:$B,玩家节奏2!$N56)+_xlfn.MAXIFS(关卡产出!Y:Y,关卡产出!$A:$A,玩家节奏2!$O$6,关卡产出!$B:$B,玩家节奏2!$O56)+_xlfn.MAXIFS(关卡产出!Y:Y,关卡产出!$A:$A,玩家节奏2!$P$6,关卡产出!$B:$B,玩家节奏2!$P56)</f>
        <v>11610000</v>
      </c>
      <c r="S56" s="90">
        <f>_xlfn.MAXIFS(关卡产出!Z:Z,关卡产出!$A:$A,玩家节奏2!$N$6,关卡产出!$B:$B,玩家节奏2!$N56)+_xlfn.MAXIFS(关卡产出!Z:Z,关卡产出!$A:$A,玩家节奏2!$O$6,关卡产出!$B:$B,玩家节奏2!$O56)+_xlfn.MAXIFS(关卡产出!Z:Z,关卡产出!$A:$A,玩家节奏2!$P$6,关卡产出!$B:$B,玩家节奏2!$P56)</f>
        <v>78866</v>
      </c>
      <c r="T56" s="90">
        <f>_xlfn.MAXIFS(关卡产出!AA:AA,关卡产出!$A:$A,玩家节奏2!$N$6,关卡产出!$B:$B,玩家节奏2!$N56)+_xlfn.MAXIFS(关卡产出!AA:AA,关卡产出!$A:$A,玩家节奏2!$O$6,关卡产出!$B:$B,玩家节奏2!$O56)+_xlfn.MAXIFS(关卡产出!AA:AA,关卡产出!$A:$A,玩家节奏2!$P$6,关卡产出!$B:$B,玩家节奏2!$P56)</f>
        <v>39434</v>
      </c>
      <c r="U56" s="90">
        <f>_xlfn.MAXIFS(关卡产出!AB:AB,关卡产出!$A:$A,玩家节奏2!$N$6,关卡产出!$B:$B,玩家节奏2!$N56)+_xlfn.MAXIFS(关卡产出!AB:AB,关卡产出!$A:$A,玩家节奏2!$O$6,关卡产出!$B:$B,玩家节奏2!$O56)+_xlfn.MAXIFS(关卡产出!AB:AB,关卡产出!$A:$A,玩家节奏2!$P$6,关卡产出!$B:$B,玩家节奏2!$P56)</f>
        <v>19113</v>
      </c>
      <c r="V56" s="130">
        <f>_xlfn.MAXIFS(关卡产出!AC:AC,关卡产出!$A:$A,玩家节奏2!$N$6,关卡产出!$B:$B,玩家节奏2!$N56)+_xlfn.MAXIFS(关卡产出!AC:AC,关卡产出!$A:$A,玩家节奏2!$O$6,关卡产出!$B:$B,玩家节奏2!$O56)+_xlfn.MAXIFS(关卡产出!AC:AC,关卡产出!$A:$A,玩家节奏2!$P$6,关卡产出!$B:$B,玩家节奏2!$P56)</f>
        <v>1200</v>
      </c>
      <c r="W56" s="126">
        <f>INDEX(关卡产出!C$8:C$207,MATCH(玩家节奏2!$N56,关卡产出!$B$8:$B$207,0))*$K56</f>
        <v>2528</v>
      </c>
      <c r="X56" s="126">
        <f>INDEX(关卡产出!D$8:D$207,MATCH(玩家节奏2!$N56,关卡产出!$B$8:$B$207,0))*$K56</f>
        <v>1264</v>
      </c>
      <c r="Y56" s="126">
        <f>INDEX(关卡产出!E$8:E$207,MATCH(玩家节奏2!$N56,关卡产出!$B$8:$B$207,0))*$K56</f>
        <v>624</v>
      </c>
      <c r="Z56" s="144">
        <f>INDEX(关卡产出!F$8:F$207,MATCH(玩家节奏2!$N56,关卡产出!$B$8:$B$207,0))*$K56</f>
        <v>32800</v>
      </c>
      <c r="AA56" s="126">
        <f>SUM(W$7:W56)</f>
        <v>68270</v>
      </c>
      <c r="AB56" s="126">
        <f>SUM(X$7:X56)</f>
        <v>33971</v>
      </c>
      <c r="AC56" s="126">
        <f>SUM(Y$7:Y56)</f>
        <v>16547</v>
      </c>
      <c r="AD56" s="177">
        <f>SUM(Z$7:Z56)</f>
        <v>913530</v>
      </c>
      <c r="AE56" s="128">
        <f>INDEX(图鉴!AQ:AQ,MATCH($N56,图鉴!$S:$S,0))*34</f>
        <v>714</v>
      </c>
      <c r="AF56" s="90">
        <f>INDEX(图鉴!AR:AR,MATCH($N56,图鉴!$S:$S,0))*34</f>
        <v>510</v>
      </c>
      <c r="AG56" s="90">
        <f>INDEX(图鉴!AS:AS,MATCH($N56,图鉴!$S:$S,0))*34</f>
        <v>204</v>
      </c>
      <c r="AH56" s="129">
        <f ca="1">INDEX(图鉴!AT:AT,MATCH($N56,图鉴!$S:$S,0))*34</f>
        <v>55930</v>
      </c>
      <c r="AI56" s="128">
        <f>SUM($AE$7:AE56)</f>
        <v>33796</v>
      </c>
      <c r="AJ56" s="90">
        <f>SUM(AF$7:AF56)</f>
        <v>22032</v>
      </c>
      <c r="AK56" s="90">
        <f>SUM(AG$7:AG56)</f>
        <v>8262</v>
      </c>
      <c r="AL56" s="130">
        <f ca="1">SUM(AH$7:AH56)</f>
        <v>1966866</v>
      </c>
      <c r="AM56" s="133">
        <f>IF(M56=0,0,INDEX(关卡产出!$AU$11:$AU$15,MATCH(玩家节奏2!N56,关卡产出!$AW$11:$AW$15,1))*M56)</f>
        <v>61000</v>
      </c>
      <c r="AN56" s="126">
        <f>IF(L56=0,0,$L56*关卡产出!AU$21)</f>
        <v>16000</v>
      </c>
      <c r="AO56" s="90">
        <f>IF(M56=0,0,$L56*关卡产出!AV$21)</f>
        <v>800</v>
      </c>
      <c r="AP56" s="129">
        <f>IF(N56=0,0,$L56*关卡产出!AW$21)</f>
        <v>16</v>
      </c>
      <c r="AQ56" s="138">
        <f>SUM(AN$7:AN56)</f>
        <v>752000</v>
      </c>
      <c r="AR56" s="126">
        <f>SUM(AO$7:AO56)</f>
        <v>37600</v>
      </c>
      <c r="AS56" s="129">
        <f>SUM(AP$7:AP56)</f>
        <v>752</v>
      </c>
      <c r="AT56" s="128">
        <v>3000</v>
      </c>
      <c r="AU56" s="129">
        <v>600</v>
      </c>
      <c r="AV56" s="128">
        <f>SUM(AT$7:AT56)</f>
        <v>150000</v>
      </c>
      <c r="AW56" s="90">
        <f>SUM(AU$7:AU56)</f>
        <v>30000</v>
      </c>
      <c r="AY56" s="128">
        <f t="shared" si="20"/>
        <v>38500</v>
      </c>
      <c r="AZ56" s="90">
        <f t="shared" si="21"/>
        <v>37600</v>
      </c>
      <c r="BA56" s="90">
        <f t="shared" si="22"/>
        <v>30000</v>
      </c>
      <c r="BB56" s="90">
        <f t="shared" ca="1" si="57"/>
        <v>27200</v>
      </c>
      <c r="BC56" s="90">
        <f t="shared" ca="1" si="60"/>
        <v>68825</v>
      </c>
      <c r="BD56" s="90">
        <f t="shared" ca="1" si="61"/>
        <v>64475</v>
      </c>
      <c r="BE56" s="90">
        <f t="shared" ca="1" si="24"/>
        <v>133300</v>
      </c>
      <c r="BF56" s="142">
        <f t="shared" ca="1" si="64"/>
        <v>0.55938975662913182</v>
      </c>
      <c r="BG56" s="142">
        <f t="shared" ca="1" si="65"/>
        <v>0.5463131129676716</v>
      </c>
      <c r="BH56" s="142">
        <f t="shared" ca="1" si="66"/>
        <v>0.43588812204867416</v>
      </c>
      <c r="BI56" s="142">
        <f t="shared" ca="1" si="67"/>
        <v>0.3952052306574646</v>
      </c>
      <c r="BJ56" s="143"/>
      <c r="BK56" s="128">
        <f ca="1">INDEX(商城宝箱!$L:$L,MATCH(BC56,商城宝箱!$N:$N,1))</f>
        <v>10</v>
      </c>
      <c r="BL56" s="90">
        <f ca="1">_xlfn.IFNA(INDEX(商城宝箱!T:T,MATCH(玩家节奏2!$BK56,商城宝箱!$L:$L,0)),0)+($BC56-INDEX(商城宝箱!$N:$N,MATCH(玩家节奏2!$BK56,商城宝箱!$L:$L,0)))/$BK$5*INDEX(商城宝箱!E$23:E$42,MATCH(玩家节奏2!$BK56+1,商城宝箱!$C$23:$C$42,0))</f>
        <v>172062.5</v>
      </c>
      <c r="BM56" s="90">
        <f ca="1">_xlfn.IFNA(INDEX(商城宝箱!U:U,MATCH(玩家节奏2!$BK56,商城宝箱!$L:$L,0)),0)+($BC56-INDEX(商城宝箱!$N:$N,MATCH(玩家节奏2!$BK56,商城宝箱!$L:$L,0)))/$BK$5*INDEX(商城宝箱!F$23:F$42,MATCH(玩家节奏2!$BK56+1,商城宝箱!$C$23:$C$42,0))</f>
        <v>134182.5</v>
      </c>
      <c r="BN56" s="90">
        <f ca="1">_xlfn.IFNA(INDEX(商城宝箱!V:V,MATCH(玩家节奏2!$BK56,商城宝箱!$L:$L,0)),0)+($BC56-INDEX(商城宝箱!$N:$N,MATCH(玩家节奏2!$BK56,商城宝箱!$L:$L,0)))/$BK$5*INDEX(商城宝箱!G$23:G$42,MATCH(玩家节奏2!$BK56+1,商城宝箱!$C$23:$C$42,0))</f>
        <v>75224.5</v>
      </c>
      <c r="BO56" s="90">
        <f ca="1">_xlfn.IFNA(INDEX(商城宝箱!W:W,MATCH(玩家节奏2!$BK56,商城宝箱!$L:$L,0)),0)+($BC56-INDEX(商城宝箱!$N:$N,MATCH(玩家节奏2!$BK56,商城宝箱!$L:$L,0)))/$BK$5*INDEX(商城宝箱!H$23:H$42,MATCH(玩家节奏2!$BK56+1,商城宝箱!$C$23:$C$42,0))</f>
        <v>10662.75</v>
      </c>
      <c r="BQ56" s="128">
        <f t="shared" si="4"/>
        <v>11610000</v>
      </c>
      <c r="BR56" s="90">
        <f t="shared" si="5"/>
        <v>913530</v>
      </c>
      <c r="BS56" s="90">
        <f t="shared" ca="1" si="68"/>
        <v>1966866</v>
      </c>
      <c r="BT56" s="90">
        <f t="shared" si="69"/>
        <v>61000</v>
      </c>
      <c r="BU56" s="90">
        <f t="shared" si="8"/>
        <v>752000</v>
      </c>
      <c r="BV56" s="90">
        <f t="shared" si="9"/>
        <v>150000</v>
      </c>
      <c r="BW56" s="90">
        <f t="shared" ca="1" si="25"/>
        <v>172062.5</v>
      </c>
      <c r="BX56" s="90">
        <f t="shared" ca="1" si="26"/>
        <v>15625458.5</v>
      </c>
      <c r="BY56" s="142">
        <f t="shared" ca="1" si="27"/>
        <v>0.74301819687403092</v>
      </c>
      <c r="BZ56" s="142">
        <f t="shared" ca="1" si="27"/>
        <v>5.8464204426385315E-2</v>
      </c>
      <c r="CA56" s="142">
        <f t="shared" ca="1" si="27"/>
        <v>0.12587573030256999</v>
      </c>
      <c r="CB56" s="142">
        <f t="shared" ca="1" si="27"/>
        <v>3.9038854443855199E-3</v>
      </c>
      <c r="CC56" s="142">
        <f t="shared" ca="1" si="27"/>
        <v>4.8126587773408377E-2</v>
      </c>
      <c r="CD56" s="142">
        <f t="shared" ca="1" si="27"/>
        <v>9.5997183058660323E-3</v>
      </c>
      <c r="CE56" s="142">
        <f t="shared" ca="1" si="27"/>
        <v>1.1011676873353828E-2</v>
      </c>
      <c r="CG56" s="128">
        <f t="shared" si="28"/>
        <v>200</v>
      </c>
      <c r="CH56" s="90">
        <f ca="1">INDEX(角色升级!$A:$A,MATCH(玩家节奏2!$BX56,角色升级!$J:$J,1))</f>
        <v>863</v>
      </c>
      <c r="CI56" s="90">
        <f ca="1">INDEX(角色升级!$O:$O,MATCH(玩家节奏2!$BX56,角色升级!$J:$J,1))</f>
        <v>63698.139189999994</v>
      </c>
      <c r="CJ56" s="90">
        <f>INDEX(关卡对比!$J:$J,MATCH(玩家节奏2!N56,关卡对比!$A:$A,0))</f>
        <v>86200</v>
      </c>
      <c r="CK56" s="147">
        <f t="shared" ca="1" si="29"/>
        <v>1.3532577418451901</v>
      </c>
      <c r="CL56" s="128">
        <f ca="1">INDEX(角色升级!$P:$P,MATCH(玩家节奏2!$CH56,角色升级!$A:$A,0))</f>
        <v>27200</v>
      </c>
      <c r="CM56" s="90">
        <f ca="1">INDEX(角色升级!Q:Q,MATCH(玩家节奏2!$CH56,角色升级!$A:$A,0))</f>
        <v>1.8</v>
      </c>
      <c r="CO56" s="128">
        <f t="shared" si="30"/>
        <v>78866</v>
      </c>
      <c r="CP56" s="90">
        <f t="shared" si="31"/>
        <v>68270</v>
      </c>
      <c r="CQ56" s="90">
        <f t="shared" si="32"/>
        <v>33796</v>
      </c>
      <c r="CR56" s="90">
        <f t="shared" ca="1" si="33"/>
        <v>134182.5</v>
      </c>
      <c r="CS56" s="90">
        <f t="shared" ca="1" si="34"/>
        <v>315114.5</v>
      </c>
      <c r="CT56" s="142">
        <f t="shared" ca="1" si="35"/>
        <v>0.25027728016324224</v>
      </c>
      <c r="CU56" s="142">
        <f t="shared" ca="1" si="35"/>
        <v>0.21665140766292887</v>
      </c>
      <c r="CV56" s="142">
        <f t="shared" ca="1" si="35"/>
        <v>0.10724990439982927</v>
      </c>
      <c r="CW56" s="142">
        <f t="shared" ca="1" si="35"/>
        <v>0.42582140777399963</v>
      </c>
      <c r="CY56" s="128">
        <f t="shared" si="36"/>
        <v>39434</v>
      </c>
      <c r="CZ56" s="90">
        <f t="shared" si="37"/>
        <v>33971</v>
      </c>
      <c r="DA56" s="90">
        <f t="shared" si="38"/>
        <v>22032</v>
      </c>
      <c r="DB56" s="90">
        <f t="shared" ca="1" si="58"/>
        <v>75224.5</v>
      </c>
      <c r="DC56" s="90">
        <f t="shared" ca="1" si="39"/>
        <v>170661.5</v>
      </c>
      <c r="DD56" s="142">
        <f t="shared" ca="1" si="40"/>
        <v>0.23106558889966394</v>
      </c>
      <c r="DE56" s="142">
        <f t="shared" ca="1" si="40"/>
        <v>0.19905485419968769</v>
      </c>
      <c r="DF56" s="142">
        <f t="shared" ca="1" si="40"/>
        <v>0.12909765822988781</v>
      </c>
      <c r="DG56" s="142">
        <f t="shared" ca="1" si="40"/>
        <v>0.44078189867076056</v>
      </c>
      <c r="DI56" s="128">
        <f t="shared" si="41"/>
        <v>19113</v>
      </c>
      <c r="DJ56" s="90">
        <f t="shared" si="42"/>
        <v>16547</v>
      </c>
      <c r="DK56" s="90">
        <f t="shared" si="43"/>
        <v>8262</v>
      </c>
      <c r="DL56" s="90">
        <f t="shared" ca="1" si="44"/>
        <v>10662.75</v>
      </c>
      <c r="DM56" s="90">
        <f t="shared" ca="1" si="45"/>
        <v>54584.75</v>
      </c>
      <c r="DN56" s="142">
        <f t="shared" ca="1" si="46"/>
        <v>0.35015274412725167</v>
      </c>
      <c r="DO56" s="142">
        <f t="shared" ca="1" si="46"/>
        <v>0.30314327719738571</v>
      </c>
      <c r="DP56" s="142">
        <f t="shared" ca="1" si="46"/>
        <v>0.15136095704386299</v>
      </c>
      <c r="DQ56" s="142">
        <f t="shared" ca="1" si="46"/>
        <v>0.19534302163149964</v>
      </c>
      <c r="DS56" s="128">
        <f t="shared" ca="1" si="47"/>
        <v>315114.5</v>
      </c>
      <c r="DT56" s="90">
        <f t="shared" ca="1" si="48"/>
        <v>170661.5</v>
      </c>
      <c r="DU56" s="90">
        <f t="shared" ca="1" si="49"/>
        <v>54584.75</v>
      </c>
      <c r="DV56" s="90">
        <f t="shared" si="50"/>
        <v>752</v>
      </c>
      <c r="DW56" s="90">
        <f ca="1">_xlfn.IFNA(INDEX(武器升级消耗!$H:$H,MATCH(玩家节奏2!DS56/玩家节奏2!DS$5,武器升级消耗!M:M,1)),0)</f>
        <v>50</v>
      </c>
      <c r="DX56" s="90">
        <f ca="1">_xlfn.IFNA(INDEX(武器升级消耗!$H:$H,MATCH(玩家节奏2!DT56/玩家节奏2!DT$5,武器升级消耗!N:N,1)),0)</f>
        <v>44</v>
      </c>
      <c r="DY56" s="90">
        <f ca="1">_xlfn.IFNA(INDEX(武器升级消耗!$H:$H,MATCH(玩家节奏2!DU56/玩家节奏2!DU$5,武器升级消耗!O:O,1)),0)</f>
        <v>32</v>
      </c>
      <c r="DZ56" s="90">
        <f>_xlfn.IFNA(INDEX(武器升级消耗!$H:$H,MATCH(玩家节奏2!DV56/玩家节奏2!DV$5,武器升级消耗!P:P,1)),0)</f>
        <v>20</v>
      </c>
      <c r="EA56" s="90">
        <f ca="1">_xlfn.IFNA(INDEX(武器升级消耗!$Q:$Q,MATCH(玩家节奏2!DW56,武器升级消耗!$H:$H,0))*2*EA$4,0)</f>
        <v>6.48</v>
      </c>
      <c r="EB56" s="90">
        <f ca="1">_xlfn.IFNA(INDEX(武器升级消耗!$Q:$Q,MATCH(玩家节奏2!DX56,武器升级消耗!$H:$H,0))*2*EB$4,0)</f>
        <v>7.1999999999999993</v>
      </c>
      <c r="EC56" s="90">
        <f ca="1">_xlfn.IFNA(INDEX(武器升级消耗!$Q:$Q,MATCH(玩家节奏2!DY56,武器升级消耗!$H:$H,0))*2*EC$4,0)</f>
        <v>7.9200000000000008</v>
      </c>
      <c r="ED56" s="90">
        <f>_xlfn.IFNA(INDEX(武器升级消耗!$Q:$Q,MATCH(玩家节奏2!DZ56,武器升级消耗!$H:$H,0))*2*ED$4,0)</f>
        <v>7.1999999999999993</v>
      </c>
      <c r="EF56" s="128">
        <f t="shared" si="70"/>
        <v>0</v>
      </c>
      <c r="EG56" s="90">
        <f t="shared" si="71"/>
        <v>0</v>
      </c>
      <c r="EH56" s="90">
        <v>150</v>
      </c>
      <c r="EI56" s="90">
        <v>150</v>
      </c>
      <c r="EJ56" s="90">
        <f>_xlfn.IFNA(INDEX(皮肤宠物!$J$4:$J$13,MATCH(EF56+EH56,皮肤宠物!$L$4:$L$13,1)),0)</f>
        <v>6</v>
      </c>
      <c r="EK56" s="90">
        <f>_xlfn.IFNA(INDEX(皮肤宠物!$J$4:$J$13,MATCH(EG56+EI56,皮肤宠物!$L$4:$L$13,1)),0)</f>
        <v>6</v>
      </c>
      <c r="EL56" s="90">
        <f>_xlfn.IFNA(INDEX(皮肤宠物!$N$4:$N$13,MATCH(EF56+EH56,皮肤宠物!$L$4:$L$13,1)),1)</f>
        <v>1.7600000000000002</v>
      </c>
      <c r="EM56" s="90">
        <f>_xlfn.IFNA(INDEX(皮肤宠物!$N$4:$N$13,MATCH(EG56+EI56,皮肤宠物!$L$4:$L$13,1)),1)</f>
        <v>1.7600000000000002</v>
      </c>
      <c r="EO56" s="128">
        <v>150</v>
      </c>
      <c r="EP56" s="90">
        <v>50</v>
      </c>
      <c r="EQ56" s="90">
        <f t="shared" ca="1" si="51"/>
        <v>64475</v>
      </c>
      <c r="ER56" s="90">
        <f t="shared" si="72"/>
        <v>0</v>
      </c>
      <c r="ES56" s="90">
        <f t="shared" ca="1" si="52"/>
        <v>694.75</v>
      </c>
      <c r="ET56" s="90">
        <f ca="1">$ES56*ET$5*皮肤宠物!$J$75/4</f>
        <v>2293.3697499999998</v>
      </c>
      <c r="EU56" s="90">
        <f ca="1">$ES56*EU$5*皮肤宠物!$J$76/4</f>
        <v>382.80725000000001</v>
      </c>
      <c r="EV56" s="90">
        <f ca="1">$ES56*EV$5*皮肤宠物!$J$77/4</f>
        <v>103.69143750000001</v>
      </c>
      <c r="EW56" s="90">
        <f ca="1">_xlfn.IFNA(INDEX(皮肤宠物!$H$18:$H$67,MATCH(ET56,皮肤宠物!L$18:L$67,1)),0)</f>
        <v>16</v>
      </c>
      <c r="EX56" s="90">
        <f ca="1">_xlfn.IFNA(INDEX(皮肤宠物!$H$18:$H$67,MATCH(EU56,皮肤宠物!M$18:M$67,1)),0)</f>
        <v>13</v>
      </c>
      <c r="EY56" s="90">
        <f ca="1">_xlfn.IFNA(INDEX(皮肤宠物!$H$18:$H$67,MATCH(EV56,皮肤宠物!N$18:N$67,1)),0)</f>
        <v>9</v>
      </c>
      <c r="EZ56" s="90">
        <f ca="1">_xlfn.IFNA(INDEX(皮肤宠物!C$18:C$67,MATCH(EW56,皮肤宠物!$A$18:$A$67,0))+1,1)</f>
        <v>1.1599999999999999</v>
      </c>
      <c r="FA56" s="90">
        <f ca="1">_xlfn.IFNA(INDEX(皮肤宠物!D$18:D$67,MATCH(EX56,皮肤宠物!$A$18:$A$67,0))+1,1)</f>
        <v>1.26</v>
      </c>
      <c r="FB56" s="90">
        <f ca="1">_xlfn.IFNA(INDEX(皮肤宠物!E$18:E$67,MATCH(EY56,皮肤宠物!$A$18:$A$67,0))+1,1)</f>
        <v>1.3599999999999999</v>
      </c>
      <c r="FD56" s="90">
        <f t="shared" ca="1" si="53"/>
        <v>7.9200000000000008</v>
      </c>
      <c r="FE56" s="90">
        <f t="shared" si="54"/>
        <v>1.7600000000000002</v>
      </c>
      <c r="FF56" s="90">
        <f t="shared" ca="1" si="55"/>
        <v>1.3599999999999999</v>
      </c>
      <c r="FG56" s="90">
        <f t="shared" ca="1" si="56"/>
        <v>18.957312000000002</v>
      </c>
    </row>
    <row r="57" spans="1:163" x14ac:dyDescent="0.25">
      <c r="A57" s="123">
        <v>51</v>
      </c>
      <c r="B57" s="123">
        <f>INDEX(关卡对比!$Y:$Y,MATCH(关卡对比!Z57,关卡对比!$AA:$AA,1))</f>
        <v>36</v>
      </c>
      <c r="C57" s="124">
        <f>INDEX(关卡对比!$Y:$Y,MATCH(关卡对比!Z57,关卡对比!$AB:$AB,1))</f>
        <v>29</v>
      </c>
      <c r="D57" s="125">
        <f t="shared" si="63"/>
        <v>201.5</v>
      </c>
      <c r="E57" s="125">
        <v>2</v>
      </c>
      <c r="F57" s="128">
        <v>16</v>
      </c>
      <c r="G57" s="90">
        <v>16</v>
      </c>
      <c r="H57" s="90">
        <v>5</v>
      </c>
      <c r="J57" s="128">
        <v>51</v>
      </c>
      <c r="K57" s="90">
        <f t="shared" si="17"/>
        <v>16</v>
      </c>
      <c r="L57" s="90">
        <f t="shared" si="18"/>
        <v>16</v>
      </c>
      <c r="M57" s="90">
        <f t="shared" si="19"/>
        <v>5</v>
      </c>
      <c r="N57" s="140">
        <f>INDEX($A:$A,MATCH(SUM($K$7:K57),$D:$D,1))</f>
        <v>200</v>
      </c>
      <c r="O57" s="140">
        <v>0</v>
      </c>
      <c r="P57" s="141">
        <v>0</v>
      </c>
      <c r="Q57" s="126">
        <f>_xlfn.MAXIFS(关卡产出!X:X,关卡产出!$A:$A,玩家节奏2!$N$6,关卡产出!$B:$B,玩家节奏2!$N57)+_xlfn.MAXIFS(关卡产出!X:X,关卡产出!$A:$A,玩家节奏2!$O$6,关卡产出!$B:$B,玩家节奏2!$O57)+_xlfn.MAXIFS(关卡产出!X:X,关卡产出!$A:$A,玩家节奏2!$P$6,关卡产出!$B:$B,玩家节奏2!$P57)</f>
        <v>38500</v>
      </c>
      <c r="R57" s="90">
        <f>_xlfn.MAXIFS(关卡产出!Y:Y,关卡产出!$A:$A,玩家节奏2!$N$6,关卡产出!$B:$B,玩家节奏2!$N57)+_xlfn.MAXIFS(关卡产出!Y:Y,关卡产出!$A:$A,玩家节奏2!$O$6,关卡产出!$B:$B,玩家节奏2!$O57)+_xlfn.MAXIFS(关卡产出!Y:Y,关卡产出!$A:$A,玩家节奏2!$P$6,关卡产出!$B:$B,玩家节奏2!$P57)</f>
        <v>11610000</v>
      </c>
      <c r="S57" s="90">
        <f>_xlfn.MAXIFS(关卡产出!Z:Z,关卡产出!$A:$A,玩家节奏2!$N$6,关卡产出!$B:$B,玩家节奏2!$N57)+_xlfn.MAXIFS(关卡产出!Z:Z,关卡产出!$A:$A,玩家节奏2!$O$6,关卡产出!$B:$B,玩家节奏2!$O57)+_xlfn.MAXIFS(关卡产出!Z:Z,关卡产出!$A:$A,玩家节奏2!$P$6,关卡产出!$B:$B,玩家节奏2!$P57)</f>
        <v>78866</v>
      </c>
      <c r="T57" s="90">
        <f>_xlfn.MAXIFS(关卡产出!AA:AA,关卡产出!$A:$A,玩家节奏2!$N$6,关卡产出!$B:$B,玩家节奏2!$N57)+_xlfn.MAXIFS(关卡产出!AA:AA,关卡产出!$A:$A,玩家节奏2!$O$6,关卡产出!$B:$B,玩家节奏2!$O57)+_xlfn.MAXIFS(关卡产出!AA:AA,关卡产出!$A:$A,玩家节奏2!$P$6,关卡产出!$B:$B,玩家节奏2!$P57)</f>
        <v>39434</v>
      </c>
      <c r="U57" s="90">
        <f>_xlfn.MAXIFS(关卡产出!AB:AB,关卡产出!$A:$A,玩家节奏2!$N$6,关卡产出!$B:$B,玩家节奏2!$N57)+_xlfn.MAXIFS(关卡产出!AB:AB,关卡产出!$A:$A,玩家节奏2!$O$6,关卡产出!$B:$B,玩家节奏2!$O57)+_xlfn.MAXIFS(关卡产出!AB:AB,关卡产出!$A:$A,玩家节奏2!$P$6,关卡产出!$B:$B,玩家节奏2!$P57)</f>
        <v>19113</v>
      </c>
      <c r="V57" s="130">
        <f>_xlfn.MAXIFS(关卡产出!AC:AC,关卡产出!$A:$A,玩家节奏2!$N$6,关卡产出!$B:$B,玩家节奏2!$N57)+_xlfn.MAXIFS(关卡产出!AC:AC,关卡产出!$A:$A,玩家节奏2!$O$6,关卡产出!$B:$B,玩家节奏2!$O57)+_xlfn.MAXIFS(关卡产出!AC:AC,关卡产出!$A:$A,玩家节奏2!$P$6,关卡产出!$B:$B,玩家节奏2!$P57)</f>
        <v>1200</v>
      </c>
      <c r="W57" s="126">
        <f>INDEX(关卡产出!C$8:C$207,MATCH(玩家节奏2!$N57,关卡产出!$B$8:$B$207,0))*$K57</f>
        <v>2528</v>
      </c>
      <c r="X57" s="126">
        <f>INDEX(关卡产出!D$8:D$207,MATCH(玩家节奏2!$N57,关卡产出!$B$8:$B$207,0))*$K57</f>
        <v>1264</v>
      </c>
      <c r="Y57" s="126">
        <f>INDEX(关卡产出!E$8:E$207,MATCH(玩家节奏2!$N57,关卡产出!$B$8:$B$207,0))*$K57</f>
        <v>624</v>
      </c>
      <c r="Z57" s="144">
        <f>INDEX(关卡产出!F$8:F$207,MATCH(玩家节奏2!$N57,关卡产出!$B$8:$B$207,0))*$K57</f>
        <v>32800</v>
      </c>
      <c r="AA57" s="126">
        <f>SUM(W$7:W57)</f>
        <v>70798</v>
      </c>
      <c r="AB57" s="126">
        <f>SUM(X$7:X57)</f>
        <v>35235</v>
      </c>
      <c r="AC57" s="126">
        <f>SUM(Y$7:Y57)</f>
        <v>17171</v>
      </c>
      <c r="AD57" s="177">
        <f>SUM(Z$7:Z57)</f>
        <v>946330</v>
      </c>
      <c r="AE57" s="128">
        <f>INDEX(图鉴!AQ:AQ,MATCH($N57,图鉴!$S:$S,0))*34</f>
        <v>714</v>
      </c>
      <c r="AF57" s="90">
        <f>INDEX(图鉴!AR:AR,MATCH($N57,图鉴!$S:$S,0))*34</f>
        <v>510</v>
      </c>
      <c r="AG57" s="90">
        <f>INDEX(图鉴!AS:AS,MATCH($N57,图鉴!$S:$S,0))*34</f>
        <v>204</v>
      </c>
      <c r="AH57" s="129">
        <f ca="1">INDEX(图鉴!AT:AT,MATCH($N57,图鉴!$S:$S,0))*34</f>
        <v>55930</v>
      </c>
      <c r="AI57" s="128">
        <f>SUM($AE$7:AE57)</f>
        <v>34510</v>
      </c>
      <c r="AJ57" s="90">
        <f>SUM(AF$7:AF57)</f>
        <v>22542</v>
      </c>
      <c r="AK57" s="90">
        <f>SUM(AG$7:AG57)</f>
        <v>8466</v>
      </c>
      <c r="AL57" s="130">
        <f ca="1">SUM(AH$7:AH57)</f>
        <v>2022796</v>
      </c>
      <c r="AM57" s="133">
        <f>IF(M57=0,0,INDEX(关卡产出!$AU$11:$AU$15,MATCH(玩家节奏2!N57,关卡产出!$AW$11:$AW$15,1))*M57)</f>
        <v>61000</v>
      </c>
      <c r="AN57" s="126">
        <f>IF(L57=0,0,$L57*关卡产出!AU$21)</f>
        <v>16000</v>
      </c>
      <c r="AO57" s="90">
        <f>IF(M57=0,0,$L57*关卡产出!AV$21)</f>
        <v>800</v>
      </c>
      <c r="AP57" s="129">
        <f>IF(N57=0,0,$L57*关卡产出!AW$21)</f>
        <v>16</v>
      </c>
      <c r="AQ57" s="138">
        <f>SUM(AN$7:AN57)</f>
        <v>768000</v>
      </c>
      <c r="AR57" s="126">
        <f>SUM(AO$7:AO57)</f>
        <v>38400</v>
      </c>
      <c r="AS57" s="129">
        <f>SUM(AP$7:AP57)</f>
        <v>768</v>
      </c>
      <c r="AT57" s="128">
        <v>3000</v>
      </c>
      <c r="AU57" s="129">
        <v>600</v>
      </c>
      <c r="AV57" s="128">
        <f>SUM(AT$7:AT57)</f>
        <v>153000</v>
      </c>
      <c r="AW57" s="90">
        <f>SUM(AU$7:AU57)</f>
        <v>30600</v>
      </c>
      <c r="AY57" s="128">
        <f t="shared" si="20"/>
        <v>38500</v>
      </c>
      <c r="AZ57" s="90">
        <f t="shared" si="21"/>
        <v>38400</v>
      </c>
      <c r="BA57" s="90">
        <f t="shared" si="22"/>
        <v>30600</v>
      </c>
      <c r="BB57" s="90">
        <f t="shared" ca="1" si="57"/>
        <v>27200</v>
      </c>
      <c r="BC57" s="90">
        <f t="shared" ca="1" si="60"/>
        <v>69525</v>
      </c>
      <c r="BD57" s="90">
        <f t="shared" ca="1" si="61"/>
        <v>65175</v>
      </c>
      <c r="BE57" s="90">
        <f t="shared" ca="1" si="24"/>
        <v>134700</v>
      </c>
      <c r="BF57" s="142">
        <f t="shared" ca="1" si="64"/>
        <v>0.5537576411362819</v>
      </c>
      <c r="BG57" s="142">
        <f t="shared" ca="1" si="65"/>
        <v>0.55231930960086295</v>
      </c>
      <c r="BH57" s="142">
        <f t="shared" ca="1" si="66"/>
        <v>0.44012944983818769</v>
      </c>
      <c r="BI57" s="142">
        <f t="shared" ca="1" si="67"/>
        <v>0.39122617763394463</v>
      </c>
      <c r="BJ57" s="143"/>
      <c r="BK57" s="128">
        <f ca="1">INDEX(商城宝箱!$L:$L,MATCH(BC57,商城宝箱!$N:$N,1))</f>
        <v>10</v>
      </c>
      <c r="BL57" s="90">
        <f ca="1">_xlfn.IFNA(INDEX(商城宝箱!T:T,MATCH(玩家节奏2!$BK57,商城宝箱!$L:$L,0)),0)+($BC57-INDEX(商城宝箱!$N:$N,MATCH(玩家节奏2!$BK57,商城宝箱!$L:$L,0)))/$BK$5*INDEX(商城宝箱!E$23:E$42,MATCH(玩家节奏2!$BK57+1,商城宝箱!$C$23:$C$42,0))</f>
        <v>173812.5</v>
      </c>
      <c r="BM57" s="90">
        <f ca="1">_xlfn.IFNA(INDEX(商城宝箱!U:U,MATCH(玩家节奏2!$BK57,商城宝箱!$L:$L,0)),0)+($BC57-INDEX(商城宝箱!$N:$N,MATCH(玩家节奏2!$BK57,商城宝箱!$L:$L,0)))/$BK$5*INDEX(商城宝箱!F$23:F$42,MATCH(玩家节奏2!$BK57+1,商城宝箱!$C$23:$C$42,0))</f>
        <v>136422.5</v>
      </c>
      <c r="BN57" s="90">
        <f ca="1">_xlfn.IFNA(INDEX(商城宝箱!V:V,MATCH(玩家节奏2!$BK57,商城宝箱!$L:$L,0)),0)+($BC57-INDEX(商城宝箱!$N:$N,MATCH(玩家节奏2!$BK57,商城宝箱!$L:$L,0)))/$BK$5*INDEX(商城宝箱!G$23:G$42,MATCH(玩家节奏2!$BK57+1,商城宝箱!$C$23:$C$42,0))</f>
        <v>76274.5</v>
      </c>
      <c r="BO57" s="90">
        <f ca="1">_xlfn.IFNA(INDEX(商城宝箱!W:W,MATCH(玩家节奏2!$BK57,商城宝箱!$L:$L,0)),0)+($BC57-INDEX(商城宝箱!$N:$N,MATCH(玩家节奏2!$BK57,商城宝箱!$L:$L,0)))/$BK$5*INDEX(商城宝箱!H$23:H$42,MATCH(玩家节奏2!$BK57+1,商城宝箱!$C$23:$C$42,0))</f>
        <v>10837.75</v>
      </c>
      <c r="BQ57" s="128">
        <f t="shared" si="4"/>
        <v>11610000</v>
      </c>
      <c r="BR57" s="90">
        <f t="shared" si="5"/>
        <v>946330</v>
      </c>
      <c r="BS57" s="90">
        <f t="shared" ca="1" si="68"/>
        <v>2022796</v>
      </c>
      <c r="BT57" s="90">
        <f t="shared" si="69"/>
        <v>61000</v>
      </c>
      <c r="BU57" s="90">
        <f t="shared" si="8"/>
        <v>768000</v>
      </c>
      <c r="BV57" s="90">
        <f t="shared" si="9"/>
        <v>153000</v>
      </c>
      <c r="BW57" s="90">
        <f t="shared" ca="1" si="25"/>
        <v>173812.5</v>
      </c>
      <c r="BX57" s="90">
        <f t="shared" ca="1" si="26"/>
        <v>15734938.5</v>
      </c>
      <c r="BY57" s="142">
        <f t="shared" ca="1" si="27"/>
        <v>0.73784845107592889</v>
      </c>
      <c r="BZ57" s="142">
        <f t="shared" ca="1" si="27"/>
        <v>6.0141957339076985E-2</v>
      </c>
      <c r="CA57" s="142">
        <f t="shared" ref="CA57:CE107" ca="1" si="73">BS57/$BX57</f>
        <v>0.12855442682537335</v>
      </c>
      <c r="CB57" s="142">
        <f t="shared" ca="1" si="73"/>
        <v>3.8767231279613836E-3</v>
      </c>
      <c r="CC57" s="142">
        <f t="shared" ca="1" si="73"/>
        <v>4.8808579709415455E-2</v>
      </c>
      <c r="CD57" s="142">
        <f t="shared" ca="1" si="73"/>
        <v>9.7235842389851099E-3</v>
      </c>
      <c r="CE57" s="142">
        <f t="shared" ca="1" si="73"/>
        <v>1.1046277683258819E-2</v>
      </c>
      <c r="CG57" s="128">
        <f t="shared" si="28"/>
        <v>200</v>
      </c>
      <c r="CH57" s="90">
        <f ca="1">INDEX(角色升级!$A:$A,MATCH(玩家节奏2!$BX57,角色升级!$J:$J,1))</f>
        <v>867</v>
      </c>
      <c r="CI57" s="90">
        <f ca="1">INDEX(角色升级!$O:$O,MATCH(玩家节奏2!$BX57,角色升级!$J:$J,1))</f>
        <v>63809.792369999996</v>
      </c>
      <c r="CJ57" s="90">
        <f>INDEX(关卡对比!$J:$J,MATCH(玩家节奏2!N57,关卡对比!$A:$A,0))</f>
        <v>86200</v>
      </c>
      <c r="CK57" s="147">
        <f t="shared" ca="1" si="29"/>
        <v>1.3508898367850934</v>
      </c>
      <c r="CL57" s="128">
        <f ca="1">INDEX(角色升级!$P:$P,MATCH(玩家节奏2!$CH57,角色升级!$A:$A,0))</f>
        <v>27200</v>
      </c>
      <c r="CM57" s="90">
        <f ca="1">INDEX(角色升级!Q:Q,MATCH(玩家节奏2!$CH57,角色升级!$A:$A,0))</f>
        <v>1.8</v>
      </c>
      <c r="CO57" s="128">
        <f t="shared" si="30"/>
        <v>78866</v>
      </c>
      <c r="CP57" s="90">
        <f t="shared" si="31"/>
        <v>70798</v>
      </c>
      <c r="CQ57" s="90">
        <f t="shared" si="32"/>
        <v>34510</v>
      </c>
      <c r="CR57" s="90">
        <f t="shared" ca="1" si="33"/>
        <v>136422.5</v>
      </c>
      <c r="CS57" s="90">
        <f t="shared" ca="1" si="34"/>
        <v>320596.5</v>
      </c>
      <c r="CT57" s="142">
        <f t="shared" ca="1" si="35"/>
        <v>0.24599769492180981</v>
      </c>
      <c r="CU57" s="142">
        <f t="shared" ca="1" si="35"/>
        <v>0.22083210515398641</v>
      </c>
      <c r="CV57" s="142">
        <f t="shared" ca="1" si="35"/>
        <v>0.10764309654035524</v>
      </c>
      <c r="CW57" s="142">
        <f t="shared" ca="1" si="35"/>
        <v>0.42552710338384853</v>
      </c>
      <c r="CY57" s="128">
        <f t="shared" si="36"/>
        <v>39434</v>
      </c>
      <c r="CZ57" s="90">
        <f t="shared" si="37"/>
        <v>35235</v>
      </c>
      <c r="DA57" s="90">
        <f t="shared" si="38"/>
        <v>22542</v>
      </c>
      <c r="DB57" s="90">
        <f t="shared" ca="1" si="58"/>
        <v>76274.5</v>
      </c>
      <c r="DC57" s="90">
        <f t="shared" ca="1" si="39"/>
        <v>173485.5</v>
      </c>
      <c r="DD57" s="142">
        <f t="shared" ca="1" si="40"/>
        <v>0.22730429920656192</v>
      </c>
      <c r="DE57" s="142">
        <f t="shared" ca="1" si="40"/>
        <v>0.20310054730798827</v>
      </c>
      <c r="DF57" s="142">
        <f t="shared" ca="1" si="40"/>
        <v>0.12993593124497435</v>
      </c>
      <c r="DG57" s="142">
        <f t="shared" ca="1" si="40"/>
        <v>0.43965922224047543</v>
      </c>
      <c r="DI57" s="128">
        <f t="shared" si="41"/>
        <v>19113</v>
      </c>
      <c r="DJ57" s="90">
        <f t="shared" si="42"/>
        <v>17171</v>
      </c>
      <c r="DK57" s="90">
        <f t="shared" si="43"/>
        <v>8466</v>
      </c>
      <c r="DL57" s="90">
        <f t="shared" ca="1" si="44"/>
        <v>10837.75</v>
      </c>
      <c r="DM57" s="90">
        <f t="shared" ca="1" si="45"/>
        <v>55587.75</v>
      </c>
      <c r="DN57" s="142">
        <f t="shared" ca="1" si="46"/>
        <v>0.34383474776367096</v>
      </c>
      <c r="DO57" s="142">
        <f t="shared" ca="1" si="46"/>
        <v>0.30889899303353707</v>
      </c>
      <c r="DP57" s="142">
        <f t="shared" ca="1" si="46"/>
        <v>0.15229974229933754</v>
      </c>
      <c r="DQ57" s="142">
        <f t="shared" ca="1" si="46"/>
        <v>0.19496651690345446</v>
      </c>
      <c r="DS57" s="128">
        <f t="shared" ca="1" si="47"/>
        <v>320596.5</v>
      </c>
      <c r="DT57" s="90">
        <f t="shared" ca="1" si="48"/>
        <v>173485.5</v>
      </c>
      <c r="DU57" s="90">
        <f t="shared" ca="1" si="49"/>
        <v>55587.75</v>
      </c>
      <c r="DV57" s="90">
        <f t="shared" si="50"/>
        <v>768</v>
      </c>
      <c r="DW57" s="90">
        <f ca="1">_xlfn.IFNA(INDEX(武器升级消耗!$H:$H,MATCH(玩家节奏2!DS57/玩家节奏2!DS$5,武器升级消耗!M:M,1)),0)</f>
        <v>50</v>
      </c>
      <c r="DX57" s="90">
        <f ca="1">_xlfn.IFNA(INDEX(武器升级消耗!$H:$H,MATCH(玩家节奏2!DT57/玩家节奏2!DT$5,武器升级消耗!N:N,1)),0)</f>
        <v>44</v>
      </c>
      <c r="DY57" s="90">
        <f ca="1">_xlfn.IFNA(INDEX(武器升级消耗!$H:$H,MATCH(玩家节奏2!DU57/玩家节奏2!DU$5,武器升级消耗!O:O,1)),0)</f>
        <v>33</v>
      </c>
      <c r="DZ57" s="90">
        <f>_xlfn.IFNA(INDEX(武器升级消耗!$H:$H,MATCH(玩家节奏2!DV57/玩家节奏2!DV$5,武器升级消耗!P:P,1)),0)</f>
        <v>20</v>
      </c>
      <c r="EA57" s="90">
        <f ca="1">_xlfn.IFNA(INDEX(武器升级消耗!$Q:$Q,MATCH(玩家节奏2!DW57,武器升级消耗!$H:$H,0))*2*EA$4,0)</f>
        <v>6.48</v>
      </c>
      <c r="EB57" s="90">
        <f ca="1">_xlfn.IFNA(INDEX(武器升级消耗!$Q:$Q,MATCH(玩家节奏2!DX57,武器升级消耗!$H:$H,0))*2*EB$4,0)</f>
        <v>7.1999999999999993</v>
      </c>
      <c r="EC57" s="90">
        <f ca="1">_xlfn.IFNA(INDEX(武器升级消耗!$Q:$Q,MATCH(玩家节奏2!DY57,武器升级消耗!$H:$H,0))*2*EC$4,0)</f>
        <v>8.14</v>
      </c>
      <c r="ED57" s="90">
        <f>_xlfn.IFNA(INDEX(武器升级消耗!$Q:$Q,MATCH(玩家节奏2!DZ57,武器升级消耗!$H:$H,0))*2*ED$4,0)</f>
        <v>7.1999999999999993</v>
      </c>
      <c r="EF57" s="128">
        <f t="shared" si="70"/>
        <v>0</v>
      </c>
      <c r="EG57" s="90">
        <f t="shared" si="71"/>
        <v>0</v>
      </c>
      <c r="EH57" s="90">
        <v>153</v>
      </c>
      <c r="EI57" s="90">
        <v>153</v>
      </c>
      <c r="EJ57" s="90">
        <f>_xlfn.IFNA(INDEX(皮肤宠物!$J$4:$J$13,MATCH(EF57+EH57,皮肤宠物!$L$4:$L$13,1)),0)</f>
        <v>6</v>
      </c>
      <c r="EK57" s="90">
        <f>_xlfn.IFNA(INDEX(皮肤宠物!$J$4:$J$13,MATCH(EG57+EI57,皮肤宠物!$L$4:$L$13,1)),0)</f>
        <v>6</v>
      </c>
      <c r="EL57" s="90">
        <f>_xlfn.IFNA(INDEX(皮肤宠物!$N$4:$N$13,MATCH(EF57+EH57,皮肤宠物!$L$4:$L$13,1)),1)</f>
        <v>1.7600000000000002</v>
      </c>
      <c r="EM57" s="90">
        <f>_xlfn.IFNA(INDEX(皮肤宠物!$N$4:$N$13,MATCH(EG57+EI57,皮肤宠物!$L$4:$L$13,1)),1)</f>
        <v>1.7600000000000002</v>
      </c>
      <c r="EO57" s="128">
        <v>153</v>
      </c>
      <c r="EP57" s="90">
        <v>51</v>
      </c>
      <c r="EQ57" s="90">
        <f t="shared" ca="1" si="51"/>
        <v>65175</v>
      </c>
      <c r="ER57" s="90">
        <f t="shared" si="72"/>
        <v>0</v>
      </c>
      <c r="ES57" s="90">
        <f t="shared" ca="1" si="52"/>
        <v>702.75</v>
      </c>
      <c r="ET57" s="90">
        <f ca="1">$ES57*ET$5*皮肤宠物!$J$75/4</f>
        <v>2319.7777500000002</v>
      </c>
      <c r="EU57" s="90">
        <f ca="1">$ES57*EU$5*皮肤宠物!$J$76/4</f>
        <v>387.21525000000003</v>
      </c>
      <c r="EV57" s="90">
        <f ca="1">$ES57*EV$5*皮肤宠物!$J$77/4</f>
        <v>104.88543750000001</v>
      </c>
      <c r="EW57" s="90">
        <f ca="1">_xlfn.IFNA(INDEX(皮肤宠物!$H$18:$H$67,MATCH(ET57,皮肤宠物!L$18:L$67,1)),0)</f>
        <v>17</v>
      </c>
      <c r="EX57" s="90">
        <f ca="1">_xlfn.IFNA(INDEX(皮肤宠物!$H$18:$H$67,MATCH(EU57,皮肤宠物!M$18:M$67,1)),0)</f>
        <v>13</v>
      </c>
      <c r="EY57" s="90">
        <f ca="1">_xlfn.IFNA(INDEX(皮肤宠物!$H$18:$H$67,MATCH(EV57,皮肤宠物!N$18:N$67,1)),0)</f>
        <v>9</v>
      </c>
      <c r="EZ57" s="90">
        <f ca="1">_xlfn.IFNA(INDEX(皮肤宠物!C$18:C$67,MATCH(EW57,皮肤宠物!$A$18:$A$67,0))+1,1)</f>
        <v>1.17</v>
      </c>
      <c r="FA57" s="90">
        <f ca="1">_xlfn.IFNA(INDEX(皮肤宠物!D$18:D$67,MATCH(EX57,皮肤宠物!$A$18:$A$67,0))+1,1)</f>
        <v>1.26</v>
      </c>
      <c r="FB57" s="90">
        <f ca="1">_xlfn.IFNA(INDEX(皮肤宠物!E$18:E$67,MATCH(EY57,皮肤宠物!$A$18:$A$67,0))+1,1)</f>
        <v>1.3599999999999999</v>
      </c>
      <c r="FD57" s="90">
        <f t="shared" ca="1" si="53"/>
        <v>8.14</v>
      </c>
      <c r="FE57" s="90">
        <f t="shared" si="54"/>
        <v>1.7600000000000002</v>
      </c>
      <c r="FF57" s="90">
        <f t="shared" ca="1" si="55"/>
        <v>1.3599999999999999</v>
      </c>
      <c r="FG57" s="90">
        <f t="shared" ca="1" si="56"/>
        <v>19.483904000000003</v>
      </c>
    </row>
    <row r="58" spans="1:163" x14ac:dyDescent="0.25">
      <c r="A58" s="123">
        <v>52</v>
      </c>
      <c r="B58" s="123">
        <f>INDEX(关卡对比!$Y:$Y,MATCH(关卡对比!Z58,关卡对比!$AA:$AA,1))</f>
        <v>37</v>
      </c>
      <c r="C58" s="124">
        <f>INDEX(关卡对比!$Y:$Y,MATCH(关卡对比!Z58,关卡对比!$AB:$AB,1))</f>
        <v>30</v>
      </c>
      <c r="D58" s="125">
        <f t="shared" si="63"/>
        <v>207.5</v>
      </c>
      <c r="E58" s="125">
        <v>2</v>
      </c>
      <c r="F58" s="128">
        <v>16</v>
      </c>
      <c r="G58" s="90">
        <v>16</v>
      </c>
      <c r="H58" s="90">
        <v>5</v>
      </c>
      <c r="J58" s="128">
        <v>52</v>
      </c>
      <c r="K58" s="90">
        <f t="shared" si="17"/>
        <v>16</v>
      </c>
      <c r="L58" s="90">
        <f t="shared" si="18"/>
        <v>16</v>
      </c>
      <c r="M58" s="90">
        <f t="shared" si="19"/>
        <v>5</v>
      </c>
      <c r="N58" s="140">
        <f>INDEX($A:$A,MATCH(SUM($K$7:K58),$D:$D,1))</f>
        <v>200</v>
      </c>
      <c r="O58" s="140">
        <v>0</v>
      </c>
      <c r="P58" s="141">
        <v>0</v>
      </c>
      <c r="Q58" s="126">
        <f>_xlfn.MAXIFS(关卡产出!X:X,关卡产出!$A:$A,玩家节奏2!$N$6,关卡产出!$B:$B,玩家节奏2!$N58)+_xlfn.MAXIFS(关卡产出!X:X,关卡产出!$A:$A,玩家节奏2!$O$6,关卡产出!$B:$B,玩家节奏2!$O58)+_xlfn.MAXIFS(关卡产出!X:X,关卡产出!$A:$A,玩家节奏2!$P$6,关卡产出!$B:$B,玩家节奏2!$P58)</f>
        <v>38500</v>
      </c>
      <c r="R58" s="90">
        <f>_xlfn.MAXIFS(关卡产出!Y:Y,关卡产出!$A:$A,玩家节奏2!$N$6,关卡产出!$B:$B,玩家节奏2!$N58)+_xlfn.MAXIFS(关卡产出!Y:Y,关卡产出!$A:$A,玩家节奏2!$O$6,关卡产出!$B:$B,玩家节奏2!$O58)+_xlfn.MAXIFS(关卡产出!Y:Y,关卡产出!$A:$A,玩家节奏2!$P$6,关卡产出!$B:$B,玩家节奏2!$P58)</f>
        <v>11610000</v>
      </c>
      <c r="S58" s="90">
        <f>_xlfn.MAXIFS(关卡产出!Z:Z,关卡产出!$A:$A,玩家节奏2!$N$6,关卡产出!$B:$B,玩家节奏2!$N58)+_xlfn.MAXIFS(关卡产出!Z:Z,关卡产出!$A:$A,玩家节奏2!$O$6,关卡产出!$B:$B,玩家节奏2!$O58)+_xlfn.MAXIFS(关卡产出!Z:Z,关卡产出!$A:$A,玩家节奏2!$P$6,关卡产出!$B:$B,玩家节奏2!$P58)</f>
        <v>78866</v>
      </c>
      <c r="T58" s="90">
        <f>_xlfn.MAXIFS(关卡产出!AA:AA,关卡产出!$A:$A,玩家节奏2!$N$6,关卡产出!$B:$B,玩家节奏2!$N58)+_xlfn.MAXIFS(关卡产出!AA:AA,关卡产出!$A:$A,玩家节奏2!$O$6,关卡产出!$B:$B,玩家节奏2!$O58)+_xlfn.MAXIFS(关卡产出!AA:AA,关卡产出!$A:$A,玩家节奏2!$P$6,关卡产出!$B:$B,玩家节奏2!$P58)</f>
        <v>39434</v>
      </c>
      <c r="U58" s="90">
        <f>_xlfn.MAXIFS(关卡产出!AB:AB,关卡产出!$A:$A,玩家节奏2!$N$6,关卡产出!$B:$B,玩家节奏2!$N58)+_xlfn.MAXIFS(关卡产出!AB:AB,关卡产出!$A:$A,玩家节奏2!$O$6,关卡产出!$B:$B,玩家节奏2!$O58)+_xlfn.MAXIFS(关卡产出!AB:AB,关卡产出!$A:$A,玩家节奏2!$P$6,关卡产出!$B:$B,玩家节奏2!$P58)</f>
        <v>19113</v>
      </c>
      <c r="V58" s="130">
        <f>_xlfn.MAXIFS(关卡产出!AC:AC,关卡产出!$A:$A,玩家节奏2!$N$6,关卡产出!$B:$B,玩家节奏2!$N58)+_xlfn.MAXIFS(关卡产出!AC:AC,关卡产出!$A:$A,玩家节奏2!$O$6,关卡产出!$B:$B,玩家节奏2!$O58)+_xlfn.MAXIFS(关卡产出!AC:AC,关卡产出!$A:$A,玩家节奏2!$P$6,关卡产出!$B:$B,玩家节奏2!$P58)</f>
        <v>1200</v>
      </c>
      <c r="W58" s="126">
        <f>INDEX(关卡产出!C$8:C$207,MATCH(玩家节奏2!$N58,关卡产出!$B$8:$B$207,0))*$K58</f>
        <v>2528</v>
      </c>
      <c r="X58" s="126">
        <f>INDEX(关卡产出!D$8:D$207,MATCH(玩家节奏2!$N58,关卡产出!$B$8:$B$207,0))*$K58</f>
        <v>1264</v>
      </c>
      <c r="Y58" s="126">
        <f>INDEX(关卡产出!E$8:E$207,MATCH(玩家节奏2!$N58,关卡产出!$B$8:$B$207,0))*$K58</f>
        <v>624</v>
      </c>
      <c r="Z58" s="144">
        <f>INDEX(关卡产出!F$8:F$207,MATCH(玩家节奏2!$N58,关卡产出!$B$8:$B$207,0))*$K58</f>
        <v>32800</v>
      </c>
      <c r="AA58" s="126">
        <f>SUM(W$7:W58)</f>
        <v>73326</v>
      </c>
      <c r="AB58" s="126">
        <f>SUM(X$7:X58)</f>
        <v>36499</v>
      </c>
      <c r="AC58" s="126">
        <f>SUM(Y$7:Y58)</f>
        <v>17795</v>
      </c>
      <c r="AD58" s="177">
        <f>SUM(Z$7:Z58)</f>
        <v>979130</v>
      </c>
      <c r="AE58" s="128">
        <f>INDEX(图鉴!AQ:AQ,MATCH($N58,图鉴!$S:$S,0))*34</f>
        <v>714</v>
      </c>
      <c r="AF58" s="90">
        <f>INDEX(图鉴!AR:AR,MATCH($N58,图鉴!$S:$S,0))*34</f>
        <v>510</v>
      </c>
      <c r="AG58" s="90">
        <f>INDEX(图鉴!AS:AS,MATCH($N58,图鉴!$S:$S,0))*34</f>
        <v>204</v>
      </c>
      <c r="AH58" s="129">
        <f ca="1">INDEX(图鉴!AT:AT,MATCH($N58,图鉴!$S:$S,0))*34</f>
        <v>55930</v>
      </c>
      <c r="AI58" s="128">
        <f>SUM($AE$7:AE58)</f>
        <v>35224</v>
      </c>
      <c r="AJ58" s="90">
        <f>SUM(AF$7:AF58)</f>
        <v>23052</v>
      </c>
      <c r="AK58" s="90">
        <f>SUM(AG$7:AG58)</f>
        <v>8670</v>
      </c>
      <c r="AL58" s="130">
        <f ca="1">SUM(AH$7:AH58)</f>
        <v>2078726</v>
      </c>
      <c r="AM58" s="133">
        <f>IF(M58=0,0,INDEX(关卡产出!$AU$11:$AU$15,MATCH(玩家节奏2!N58,关卡产出!$AW$11:$AW$15,1))*M58)</f>
        <v>61000</v>
      </c>
      <c r="AN58" s="126">
        <f>IF(L58=0,0,$L58*关卡产出!AU$21)</f>
        <v>16000</v>
      </c>
      <c r="AO58" s="90">
        <f>IF(M58=0,0,$L58*关卡产出!AV$21)</f>
        <v>800</v>
      </c>
      <c r="AP58" s="129">
        <f>IF(N58=0,0,$L58*关卡产出!AW$21)</f>
        <v>16</v>
      </c>
      <c r="AQ58" s="138">
        <f>SUM(AN$7:AN58)</f>
        <v>784000</v>
      </c>
      <c r="AR58" s="126">
        <f>SUM(AO$7:AO58)</f>
        <v>39200</v>
      </c>
      <c r="AS58" s="129">
        <f>SUM(AP$7:AP58)</f>
        <v>784</v>
      </c>
      <c r="AT58" s="128">
        <v>3000</v>
      </c>
      <c r="AU58" s="129">
        <v>600</v>
      </c>
      <c r="AV58" s="128">
        <f>SUM(AT$7:AT58)</f>
        <v>156000</v>
      </c>
      <c r="AW58" s="90">
        <f>SUM(AU$7:AU58)</f>
        <v>31200</v>
      </c>
      <c r="AY58" s="128">
        <f t="shared" si="20"/>
        <v>38500</v>
      </c>
      <c r="AZ58" s="90">
        <f t="shared" si="21"/>
        <v>39200</v>
      </c>
      <c r="BA58" s="90">
        <f t="shared" si="22"/>
        <v>31200</v>
      </c>
      <c r="BB58" s="90">
        <f t="shared" ca="1" si="57"/>
        <v>27200</v>
      </c>
      <c r="BC58" s="90">
        <f ca="1">BE58-BD58</f>
        <v>70225</v>
      </c>
      <c r="BD58" s="90">
        <f t="shared" ca="1" si="61"/>
        <v>65875</v>
      </c>
      <c r="BE58" s="90">
        <f t="shared" ca="1" si="24"/>
        <v>136100</v>
      </c>
      <c r="BF58" s="142">
        <f t="shared" ca="1" si="64"/>
        <v>0.54823780704877179</v>
      </c>
      <c r="BG58" s="142">
        <f t="shared" ca="1" si="65"/>
        <v>0.55820576717693127</v>
      </c>
      <c r="BH58" s="142">
        <f t="shared" ca="1" si="66"/>
        <v>0.4442862228551086</v>
      </c>
      <c r="BI58" s="142">
        <f t="shared" ca="1" si="67"/>
        <v>0.38732645069419724</v>
      </c>
      <c r="BJ58" s="143"/>
      <c r="BK58" s="128">
        <f ca="1">INDEX(商城宝箱!$L:$L,MATCH(BC58,商城宝箱!$N:$N,1))</f>
        <v>10</v>
      </c>
      <c r="BL58" s="90">
        <f ca="1">_xlfn.IFNA(INDEX(商城宝箱!T:T,MATCH(玩家节奏2!$BK58,商城宝箱!$L:$L,0)),0)+($BC58-INDEX(商城宝箱!$N:$N,MATCH(玩家节奏2!$BK58,商城宝箱!$L:$L,0)))/$BK$5*INDEX(商城宝箱!E$23:E$42,MATCH(玩家节奏2!$BK58+1,商城宝箱!$C$23:$C$42,0))</f>
        <v>175562.5</v>
      </c>
      <c r="BM58" s="90">
        <f ca="1">_xlfn.IFNA(INDEX(商城宝箱!U:U,MATCH(玩家节奏2!$BK58,商城宝箱!$L:$L,0)),0)+($BC58-INDEX(商城宝箱!$N:$N,MATCH(玩家节奏2!$BK58,商城宝箱!$L:$L,0)))/$BK$5*INDEX(商城宝箱!F$23:F$42,MATCH(玩家节奏2!$BK58+1,商城宝箱!$C$23:$C$42,0))</f>
        <v>138662.5</v>
      </c>
      <c r="BN58" s="90">
        <f ca="1">_xlfn.IFNA(INDEX(商城宝箱!V:V,MATCH(玩家节奏2!$BK58,商城宝箱!$L:$L,0)),0)+($BC58-INDEX(商城宝箱!$N:$N,MATCH(玩家节奏2!$BK58,商城宝箱!$L:$L,0)))/$BK$5*INDEX(商城宝箱!G$23:G$42,MATCH(玩家节奏2!$BK58+1,商城宝箱!$C$23:$C$42,0))</f>
        <v>77324.5</v>
      </c>
      <c r="BO58" s="90">
        <f ca="1">_xlfn.IFNA(INDEX(商城宝箱!W:W,MATCH(玩家节奏2!$BK58,商城宝箱!$L:$L,0)),0)+($BC58-INDEX(商城宝箱!$N:$N,MATCH(玩家节奏2!$BK58,商城宝箱!$L:$L,0)))/$BK$5*INDEX(商城宝箱!H$23:H$42,MATCH(玩家节奏2!$BK58+1,商城宝箱!$C$23:$C$42,0))</f>
        <v>11012.75</v>
      </c>
      <c r="BQ58" s="128">
        <f t="shared" si="4"/>
        <v>11610000</v>
      </c>
      <c r="BR58" s="90">
        <f t="shared" si="5"/>
        <v>979130</v>
      </c>
      <c r="BS58" s="90">
        <f t="shared" ca="1" si="68"/>
        <v>2078726</v>
      </c>
      <c r="BT58" s="90">
        <f t="shared" si="69"/>
        <v>61000</v>
      </c>
      <c r="BU58" s="90">
        <f t="shared" si="8"/>
        <v>784000</v>
      </c>
      <c r="BV58" s="90">
        <f t="shared" si="9"/>
        <v>156000</v>
      </c>
      <c r="BW58" s="90">
        <f t="shared" ca="1" si="25"/>
        <v>175562.5</v>
      </c>
      <c r="BX58" s="90">
        <f t="shared" ca="1" si="26"/>
        <v>15844418.5</v>
      </c>
      <c r="BY58" s="142">
        <f t="shared" ref="BY58:CE121" ca="1" si="74">BQ58/$BX58</f>
        <v>0.73275014794642035</v>
      </c>
      <c r="BZ58" s="142">
        <f t="shared" ca="1" si="74"/>
        <v>6.1796524750971457E-2</v>
      </c>
      <c r="CA58" s="142">
        <f t="shared" ca="1" si="73"/>
        <v>0.13119610542980797</v>
      </c>
      <c r="CB58" s="142">
        <f t="shared" ca="1" si="73"/>
        <v>3.8499361778407963E-3</v>
      </c>
      <c r="CC58" s="142">
        <f t="shared" ca="1" si="73"/>
        <v>4.9481146941429251E-2</v>
      </c>
      <c r="CD58" s="142">
        <f t="shared" ca="1" si="73"/>
        <v>9.8457384220190843E-3</v>
      </c>
      <c r="CE58" s="142">
        <f t="shared" ca="1" si="73"/>
        <v>1.1080400331511062E-2</v>
      </c>
      <c r="CG58" s="128">
        <f t="shared" si="28"/>
        <v>200</v>
      </c>
      <c r="CH58" s="90">
        <f ca="1">INDEX(角色升级!$A:$A,MATCH(玩家节奏2!$BX58,角色升级!$J:$J,1))</f>
        <v>870</v>
      </c>
      <c r="CI58" s="90">
        <f ca="1">INDEX(角色升级!$O:$O,MATCH(玩家节奏2!$BX58,角色升级!$J:$J,1))</f>
        <v>63893.532254999998</v>
      </c>
      <c r="CJ58" s="90">
        <f>INDEX(关卡对比!$J:$J,MATCH(玩家节奏2!N58,关卡对比!$A:$A,0))</f>
        <v>86200</v>
      </c>
      <c r="CK58" s="147">
        <f t="shared" ca="1" si="29"/>
        <v>1.3491193389649294</v>
      </c>
      <c r="CL58" s="128">
        <f ca="1">INDEX(角色升级!$P:$P,MATCH(玩家节奏2!$CH58,角色升级!$A:$A,0))</f>
        <v>27200</v>
      </c>
      <c r="CM58" s="90">
        <f ca="1">INDEX(角色升级!Q:Q,MATCH(玩家节奏2!$CH58,角色升级!$A:$A,0))</f>
        <v>1.8</v>
      </c>
      <c r="CO58" s="128">
        <f t="shared" si="30"/>
        <v>78866</v>
      </c>
      <c r="CP58" s="90">
        <f t="shared" si="31"/>
        <v>73326</v>
      </c>
      <c r="CQ58" s="90">
        <f t="shared" si="32"/>
        <v>35224</v>
      </c>
      <c r="CR58" s="90">
        <f t="shared" ca="1" si="33"/>
        <v>138662.5</v>
      </c>
      <c r="CS58" s="90">
        <f t="shared" ca="1" si="34"/>
        <v>326078.5</v>
      </c>
      <c r="CT58" s="142">
        <f t="shared" ca="1" si="35"/>
        <v>0.24186200562134577</v>
      </c>
      <c r="CU58" s="142">
        <f t="shared" ca="1" si="35"/>
        <v>0.22487223168654175</v>
      </c>
      <c r="CV58" s="142">
        <f t="shared" ca="1" si="35"/>
        <v>0.10802306806489849</v>
      </c>
      <c r="CW58" s="142">
        <f t="shared" ca="1" si="35"/>
        <v>0.42524269462721398</v>
      </c>
      <c r="CY58" s="128">
        <f t="shared" si="36"/>
        <v>39434</v>
      </c>
      <c r="CZ58" s="90">
        <f t="shared" si="37"/>
        <v>36499</v>
      </c>
      <c r="DA58" s="90">
        <f t="shared" si="38"/>
        <v>23052</v>
      </c>
      <c r="DB58" s="90">
        <f t="shared" ca="1" si="58"/>
        <v>77324.5</v>
      </c>
      <c r="DC58" s="90">
        <f t="shared" ca="1" si="39"/>
        <v>176309.5</v>
      </c>
      <c r="DD58" s="142">
        <f t="shared" ca="1" si="40"/>
        <v>0.22366350083234313</v>
      </c>
      <c r="DE58" s="142">
        <f t="shared" ca="1" si="40"/>
        <v>0.20701663835471146</v>
      </c>
      <c r="DF58" s="142">
        <f t="shared" ca="1" si="40"/>
        <v>0.13074735053981776</v>
      </c>
      <c r="DG58" s="142">
        <f t="shared" ca="1" si="40"/>
        <v>0.43857251027312766</v>
      </c>
      <c r="DI58" s="128">
        <f t="shared" si="41"/>
        <v>19113</v>
      </c>
      <c r="DJ58" s="90">
        <f t="shared" si="42"/>
        <v>17795</v>
      </c>
      <c r="DK58" s="90">
        <f t="shared" si="43"/>
        <v>8670</v>
      </c>
      <c r="DL58" s="90">
        <f t="shared" ca="1" si="44"/>
        <v>11012.75</v>
      </c>
      <c r="DM58" s="90">
        <f t="shared" ca="1" si="45"/>
        <v>56590.75</v>
      </c>
      <c r="DN58" s="142">
        <f t="shared" ca="1" si="46"/>
        <v>0.33774070850801591</v>
      </c>
      <c r="DO58" s="142">
        <f t="shared" ca="1" si="46"/>
        <v>0.31445068319469172</v>
      </c>
      <c r="DP58" s="142">
        <f t="shared" ca="1" si="46"/>
        <v>0.15320524997459833</v>
      </c>
      <c r="DQ58" s="142">
        <f t="shared" ca="1" si="46"/>
        <v>0.19460335832269407</v>
      </c>
      <c r="DS58" s="128">
        <f t="shared" ca="1" si="47"/>
        <v>326078.5</v>
      </c>
      <c r="DT58" s="90">
        <f t="shared" ca="1" si="48"/>
        <v>176309.5</v>
      </c>
      <c r="DU58" s="90">
        <f t="shared" ca="1" si="49"/>
        <v>56590.75</v>
      </c>
      <c r="DV58" s="90">
        <f t="shared" si="50"/>
        <v>784</v>
      </c>
      <c r="DW58" s="90">
        <f ca="1">_xlfn.IFNA(INDEX(武器升级消耗!$H:$H,MATCH(玩家节奏2!DS58/玩家节奏2!DS$5,武器升级消耗!M:M,1)),0)</f>
        <v>50</v>
      </c>
      <c r="DX58" s="90">
        <f ca="1">_xlfn.IFNA(INDEX(武器升级消耗!$H:$H,MATCH(玩家节奏2!DT58/玩家节奏2!DT$5,武器升级消耗!N:N,1)),0)</f>
        <v>45</v>
      </c>
      <c r="DY58" s="90">
        <f ca="1">_xlfn.IFNA(INDEX(武器升级消耗!$H:$H,MATCH(玩家节奏2!DU58/玩家节奏2!DU$5,武器升级消耗!O:O,1)),0)</f>
        <v>33</v>
      </c>
      <c r="DZ58" s="90">
        <f>_xlfn.IFNA(INDEX(武器升级消耗!$H:$H,MATCH(玩家节奏2!DV58/玩家节奏2!DV$5,武器升级消耗!P:P,1)),0)</f>
        <v>20</v>
      </c>
      <c r="EA58" s="90">
        <f ca="1">_xlfn.IFNA(INDEX(武器升级消耗!$Q:$Q,MATCH(玩家节奏2!DW58,武器升级消耗!$H:$H,0))*2*EA$4,0)</f>
        <v>6.48</v>
      </c>
      <c r="EB58" s="90">
        <f ca="1">_xlfn.IFNA(INDEX(武器升级消耗!$Q:$Q,MATCH(玩家节奏2!DX58,武器升级消耗!$H:$H,0))*2*EB$4,0)</f>
        <v>7.3500000000000005</v>
      </c>
      <c r="EC58" s="90">
        <f ca="1">_xlfn.IFNA(INDEX(武器升级消耗!$Q:$Q,MATCH(玩家节奏2!DY58,武器升级消耗!$H:$H,0))*2*EC$4,0)</f>
        <v>8.14</v>
      </c>
      <c r="ED58" s="90">
        <f>_xlfn.IFNA(INDEX(武器升级消耗!$Q:$Q,MATCH(玩家节奏2!DZ58,武器升级消耗!$H:$H,0))*2*ED$4,0)</f>
        <v>7.1999999999999993</v>
      </c>
      <c r="EF58" s="128">
        <f t="shared" si="70"/>
        <v>0</v>
      </c>
      <c r="EG58" s="90">
        <f t="shared" si="71"/>
        <v>0</v>
      </c>
      <c r="EH58" s="90">
        <v>156</v>
      </c>
      <c r="EI58" s="90">
        <v>156</v>
      </c>
      <c r="EJ58" s="90">
        <f>_xlfn.IFNA(INDEX(皮肤宠物!$J$4:$J$13,MATCH(EF58+EH58,皮肤宠物!$L$4:$L$13,1)),0)</f>
        <v>7</v>
      </c>
      <c r="EK58" s="90">
        <f>_xlfn.IFNA(INDEX(皮肤宠物!$J$4:$J$13,MATCH(EG58+EI58,皮肤宠物!$L$4:$L$13,1)),0)</f>
        <v>7</v>
      </c>
      <c r="EL58" s="90">
        <f>_xlfn.IFNA(INDEX(皮肤宠物!$N$4:$N$13,MATCH(EF58+EH58,皮肤宠物!$L$4:$L$13,1)),1)</f>
        <v>1.87</v>
      </c>
      <c r="EM58" s="90">
        <f>_xlfn.IFNA(INDEX(皮肤宠物!$N$4:$N$13,MATCH(EG58+EI58,皮肤宠物!$L$4:$L$13,1)),1)</f>
        <v>1.87</v>
      </c>
      <c r="EO58" s="128">
        <v>156</v>
      </c>
      <c r="EP58" s="90">
        <v>52</v>
      </c>
      <c r="EQ58" s="90">
        <f t="shared" ca="1" si="51"/>
        <v>65875</v>
      </c>
      <c r="ER58" s="90">
        <f t="shared" si="72"/>
        <v>0</v>
      </c>
      <c r="ES58" s="90">
        <f t="shared" ca="1" si="52"/>
        <v>710.75</v>
      </c>
      <c r="ET58" s="90">
        <f ca="1">$ES58*ET$5*皮肤宠物!$J$75/4</f>
        <v>2346.1857500000001</v>
      </c>
      <c r="EU58" s="90">
        <f ca="1">$ES58*EU$5*皮肤宠物!$J$76/4</f>
        <v>391.62325000000004</v>
      </c>
      <c r="EV58" s="90">
        <f ca="1">$ES58*EV$5*皮肤宠物!$J$77/4</f>
        <v>106.07943750000001</v>
      </c>
      <c r="EW58" s="90">
        <f ca="1">_xlfn.IFNA(INDEX(皮肤宠物!$H$18:$H$67,MATCH(ET58,皮肤宠物!L$18:L$67,1)),0)</f>
        <v>17</v>
      </c>
      <c r="EX58" s="90">
        <f ca="1">_xlfn.IFNA(INDEX(皮肤宠物!$H$18:$H$67,MATCH(EU58,皮肤宠物!M$18:M$67,1)),0)</f>
        <v>13</v>
      </c>
      <c r="EY58" s="90">
        <f ca="1">_xlfn.IFNA(INDEX(皮肤宠物!$H$18:$H$67,MATCH(EV58,皮肤宠物!N$18:N$67,1)),0)</f>
        <v>9</v>
      </c>
      <c r="EZ58" s="90">
        <f ca="1">_xlfn.IFNA(INDEX(皮肤宠物!C$18:C$67,MATCH(EW58,皮肤宠物!$A$18:$A$67,0))+1,1)</f>
        <v>1.17</v>
      </c>
      <c r="FA58" s="90">
        <f ca="1">_xlfn.IFNA(INDEX(皮肤宠物!D$18:D$67,MATCH(EX58,皮肤宠物!$A$18:$A$67,0))+1,1)</f>
        <v>1.26</v>
      </c>
      <c r="FB58" s="90">
        <f ca="1">_xlfn.IFNA(INDEX(皮肤宠物!E$18:E$67,MATCH(EY58,皮肤宠物!$A$18:$A$67,0))+1,1)</f>
        <v>1.3599999999999999</v>
      </c>
      <c r="FD58" s="90">
        <f t="shared" ca="1" si="53"/>
        <v>8.14</v>
      </c>
      <c r="FE58" s="90">
        <f t="shared" si="54"/>
        <v>1.87</v>
      </c>
      <c r="FF58" s="90">
        <f t="shared" ca="1" si="55"/>
        <v>1.3599999999999999</v>
      </c>
      <c r="FG58" s="90">
        <f t="shared" ca="1" si="56"/>
        <v>20.701648000000002</v>
      </c>
    </row>
    <row r="59" spans="1:163" x14ac:dyDescent="0.25">
      <c r="A59" s="123">
        <v>53</v>
      </c>
      <c r="B59" s="123">
        <f>INDEX(关卡对比!$Y:$Y,MATCH(关卡对比!Z59,关卡对比!$AA:$AA,1))</f>
        <v>37</v>
      </c>
      <c r="C59" s="124">
        <f>INDEX(关卡对比!$Y:$Y,MATCH(关卡对比!Z59,关卡对比!$AB:$AB,1))</f>
        <v>30</v>
      </c>
      <c r="D59" s="125">
        <f t="shared" si="63"/>
        <v>209.5</v>
      </c>
      <c r="E59" s="125">
        <v>2</v>
      </c>
      <c r="F59" s="128">
        <v>16</v>
      </c>
      <c r="G59" s="90">
        <v>16</v>
      </c>
      <c r="H59" s="90">
        <v>5</v>
      </c>
      <c r="J59" s="128">
        <v>53</v>
      </c>
      <c r="K59" s="90">
        <f t="shared" si="17"/>
        <v>16</v>
      </c>
      <c r="L59" s="90">
        <f t="shared" si="18"/>
        <v>16</v>
      </c>
      <c r="M59" s="90">
        <f t="shared" si="19"/>
        <v>5</v>
      </c>
      <c r="N59" s="140">
        <f>INDEX($A:$A,MATCH(SUM($K$7:K59),$D:$D,1))</f>
        <v>200</v>
      </c>
      <c r="O59" s="140">
        <v>0</v>
      </c>
      <c r="P59" s="141">
        <v>0</v>
      </c>
      <c r="Q59" s="126">
        <f>_xlfn.MAXIFS(关卡产出!X:X,关卡产出!$A:$A,玩家节奏2!$N$6,关卡产出!$B:$B,玩家节奏2!$N59)+_xlfn.MAXIFS(关卡产出!X:X,关卡产出!$A:$A,玩家节奏2!$O$6,关卡产出!$B:$B,玩家节奏2!$O59)+_xlfn.MAXIFS(关卡产出!X:X,关卡产出!$A:$A,玩家节奏2!$P$6,关卡产出!$B:$B,玩家节奏2!$P59)</f>
        <v>38500</v>
      </c>
      <c r="R59" s="90">
        <f>_xlfn.MAXIFS(关卡产出!Y:Y,关卡产出!$A:$A,玩家节奏2!$N$6,关卡产出!$B:$B,玩家节奏2!$N59)+_xlfn.MAXIFS(关卡产出!Y:Y,关卡产出!$A:$A,玩家节奏2!$O$6,关卡产出!$B:$B,玩家节奏2!$O59)+_xlfn.MAXIFS(关卡产出!Y:Y,关卡产出!$A:$A,玩家节奏2!$P$6,关卡产出!$B:$B,玩家节奏2!$P59)</f>
        <v>11610000</v>
      </c>
      <c r="S59" s="90">
        <f>_xlfn.MAXIFS(关卡产出!Z:Z,关卡产出!$A:$A,玩家节奏2!$N$6,关卡产出!$B:$B,玩家节奏2!$N59)+_xlfn.MAXIFS(关卡产出!Z:Z,关卡产出!$A:$A,玩家节奏2!$O$6,关卡产出!$B:$B,玩家节奏2!$O59)+_xlfn.MAXIFS(关卡产出!Z:Z,关卡产出!$A:$A,玩家节奏2!$P$6,关卡产出!$B:$B,玩家节奏2!$P59)</f>
        <v>78866</v>
      </c>
      <c r="T59" s="90">
        <f>_xlfn.MAXIFS(关卡产出!AA:AA,关卡产出!$A:$A,玩家节奏2!$N$6,关卡产出!$B:$B,玩家节奏2!$N59)+_xlfn.MAXIFS(关卡产出!AA:AA,关卡产出!$A:$A,玩家节奏2!$O$6,关卡产出!$B:$B,玩家节奏2!$O59)+_xlfn.MAXIFS(关卡产出!AA:AA,关卡产出!$A:$A,玩家节奏2!$P$6,关卡产出!$B:$B,玩家节奏2!$P59)</f>
        <v>39434</v>
      </c>
      <c r="U59" s="90">
        <f>_xlfn.MAXIFS(关卡产出!AB:AB,关卡产出!$A:$A,玩家节奏2!$N$6,关卡产出!$B:$B,玩家节奏2!$N59)+_xlfn.MAXIFS(关卡产出!AB:AB,关卡产出!$A:$A,玩家节奏2!$O$6,关卡产出!$B:$B,玩家节奏2!$O59)+_xlfn.MAXIFS(关卡产出!AB:AB,关卡产出!$A:$A,玩家节奏2!$P$6,关卡产出!$B:$B,玩家节奏2!$P59)</f>
        <v>19113</v>
      </c>
      <c r="V59" s="130">
        <f>_xlfn.MAXIFS(关卡产出!AC:AC,关卡产出!$A:$A,玩家节奏2!$N$6,关卡产出!$B:$B,玩家节奏2!$N59)+_xlfn.MAXIFS(关卡产出!AC:AC,关卡产出!$A:$A,玩家节奏2!$O$6,关卡产出!$B:$B,玩家节奏2!$O59)+_xlfn.MAXIFS(关卡产出!AC:AC,关卡产出!$A:$A,玩家节奏2!$P$6,关卡产出!$B:$B,玩家节奏2!$P59)</f>
        <v>1200</v>
      </c>
      <c r="W59" s="126">
        <f>INDEX(关卡产出!C$8:C$207,MATCH(玩家节奏2!$N59,关卡产出!$B$8:$B$207,0))*$K59</f>
        <v>2528</v>
      </c>
      <c r="X59" s="126">
        <f>INDEX(关卡产出!D$8:D$207,MATCH(玩家节奏2!$N59,关卡产出!$B$8:$B$207,0))*$K59</f>
        <v>1264</v>
      </c>
      <c r="Y59" s="126">
        <f>INDEX(关卡产出!E$8:E$207,MATCH(玩家节奏2!$N59,关卡产出!$B$8:$B$207,0))*$K59</f>
        <v>624</v>
      </c>
      <c r="Z59" s="144">
        <f>INDEX(关卡产出!F$8:F$207,MATCH(玩家节奏2!$N59,关卡产出!$B$8:$B$207,0))*$K59</f>
        <v>32800</v>
      </c>
      <c r="AA59" s="126">
        <f>SUM(W$7:W59)</f>
        <v>75854</v>
      </c>
      <c r="AB59" s="126">
        <f>SUM(X$7:X59)</f>
        <v>37763</v>
      </c>
      <c r="AC59" s="126">
        <f>SUM(Y$7:Y59)</f>
        <v>18419</v>
      </c>
      <c r="AD59" s="177">
        <f>SUM(Z$7:Z59)</f>
        <v>1011930</v>
      </c>
      <c r="AE59" s="128">
        <f>INDEX(图鉴!AQ:AQ,MATCH($N59,图鉴!$S:$S,0))*34</f>
        <v>714</v>
      </c>
      <c r="AF59" s="90">
        <f>INDEX(图鉴!AR:AR,MATCH($N59,图鉴!$S:$S,0))*34</f>
        <v>510</v>
      </c>
      <c r="AG59" s="90">
        <f>INDEX(图鉴!AS:AS,MATCH($N59,图鉴!$S:$S,0))*34</f>
        <v>204</v>
      </c>
      <c r="AH59" s="129">
        <f ca="1">INDEX(图鉴!AT:AT,MATCH($N59,图鉴!$S:$S,0))*34</f>
        <v>55930</v>
      </c>
      <c r="AI59" s="128">
        <f>SUM($AE$7:AE59)</f>
        <v>35938</v>
      </c>
      <c r="AJ59" s="90">
        <f>SUM(AF$7:AF59)</f>
        <v>23562</v>
      </c>
      <c r="AK59" s="90">
        <f>SUM(AG$7:AG59)</f>
        <v>8874</v>
      </c>
      <c r="AL59" s="130">
        <f ca="1">SUM(AH$7:AH59)</f>
        <v>2134656</v>
      </c>
      <c r="AM59" s="133">
        <f>IF(M59=0,0,INDEX(关卡产出!$AU$11:$AU$15,MATCH(玩家节奏2!N59,关卡产出!$AW$11:$AW$15,1))*M59)</f>
        <v>61000</v>
      </c>
      <c r="AN59" s="126">
        <f>IF(L59=0,0,$L59*关卡产出!AU$21)</f>
        <v>16000</v>
      </c>
      <c r="AO59" s="90">
        <f>IF(M59=0,0,$L59*关卡产出!AV$21)</f>
        <v>800</v>
      </c>
      <c r="AP59" s="129">
        <f>IF(N59=0,0,$L59*关卡产出!AW$21)</f>
        <v>16</v>
      </c>
      <c r="AQ59" s="138">
        <f>SUM(AN$7:AN59)</f>
        <v>800000</v>
      </c>
      <c r="AR59" s="126">
        <f>SUM(AO$7:AO59)</f>
        <v>40000</v>
      </c>
      <c r="AS59" s="129">
        <f>SUM(AP$7:AP59)</f>
        <v>800</v>
      </c>
      <c r="AT59" s="128">
        <v>3000</v>
      </c>
      <c r="AU59" s="129">
        <v>600</v>
      </c>
      <c r="AV59" s="128">
        <f>SUM(AT$7:AT59)</f>
        <v>159000</v>
      </c>
      <c r="AW59" s="90">
        <f>SUM(AU$7:AU59)</f>
        <v>31800</v>
      </c>
      <c r="AY59" s="128">
        <f t="shared" si="20"/>
        <v>38500</v>
      </c>
      <c r="AZ59" s="90">
        <f t="shared" si="21"/>
        <v>40000</v>
      </c>
      <c r="BA59" s="90">
        <f t="shared" si="22"/>
        <v>31800</v>
      </c>
      <c r="BB59" s="90">
        <f t="shared" ca="1" si="57"/>
        <v>27200</v>
      </c>
      <c r="BC59" s="90">
        <f t="shared" ca="1" si="60"/>
        <v>70925</v>
      </c>
      <c r="BD59" s="90">
        <f t="shared" ca="1" si="61"/>
        <v>66575</v>
      </c>
      <c r="BE59" s="90">
        <f t="shared" ca="1" si="24"/>
        <v>137500</v>
      </c>
      <c r="BF59" s="142">
        <f t="shared" ca="1" si="64"/>
        <v>0.54282692985548109</v>
      </c>
      <c r="BG59" s="142">
        <f t="shared" ca="1" si="65"/>
        <v>0.56397603101868166</v>
      </c>
      <c r="BH59" s="142">
        <f t="shared" ca="1" si="66"/>
        <v>0.44836094465985193</v>
      </c>
      <c r="BI59" s="142">
        <f t="shared" ca="1" si="67"/>
        <v>0.38350370109270354</v>
      </c>
      <c r="BJ59" s="143"/>
      <c r="BK59" s="128">
        <f ca="1">INDEX(商城宝箱!$L:$L,MATCH(BC59,商城宝箱!$N:$N,1))</f>
        <v>10</v>
      </c>
      <c r="BL59" s="90">
        <f ca="1">_xlfn.IFNA(INDEX(商城宝箱!T:T,MATCH(玩家节奏2!$BK59,商城宝箱!$L:$L,0)),0)+($BC59-INDEX(商城宝箱!$N:$N,MATCH(玩家节奏2!$BK59,商城宝箱!$L:$L,0)))/$BK$5*INDEX(商城宝箱!E$23:E$42,MATCH(玩家节奏2!$BK59+1,商城宝箱!$C$23:$C$42,0))</f>
        <v>177312.5</v>
      </c>
      <c r="BM59" s="90">
        <f ca="1">_xlfn.IFNA(INDEX(商城宝箱!U:U,MATCH(玩家节奏2!$BK59,商城宝箱!$L:$L,0)),0)+($BC59-INDEX(商城宝箱!$N:$N,MATCH(玩家节奏2!$BK59,商城宝箱!$L:$L,0)))/$BK$5*INDEX(商城宝箱!F$23:F$42,MATCH(玩家节奏2!$BK59+1,商城宝箱!$C$23:$C$42,0))</f>
        <v>140902.5</v>
      </c>
      <c r="BN59" s="90">
        <f ca="1">_xlfn.IFNA(INDEX(商城宝箱!V:V,MATCH(玩家节奏2!$BK59,商城宝箱!$L:$L,0)),0)+($BC59-INDEX(商城宝箱!$N:$N,MATCH(玩家节奏2!$BK59,商城宝箱!$L:$L,0)))/$BK$5*INDEX(商城宝箱!G$23:G$42,MATCH(玩家节奏2!$BK59+1,商城宝箱!$C$23:$C$42,0))</f>
        <v>78374.5</v>
      </c>
      <c r="BO59" s="90">
        <f ca="1">_xlfn.IFNA(INDEX(商城宝箱!W:W,MATCH(玩家节奏2!$BK59,商城宝箱!$L:$L,0)),0)+($BC59-INDEX(商城宝箱!$N:$N,MATCH(玩家节奏2!$BK59,商城宝箱!$L:$L,0)))/$BK$5*INDEX(商城宝箱!H$23:H$42,MATCH(玩家节奏2!$BK59+1,商城宝箱!$C$23:$C$42,0))</f>
        <v>11187.75</v>
      </c>
      <c r="BQ59" s="128">
        <f t="shared" si="4"/>
        <v>11610000</v>
      </c>
      <c r="BR59" s="90">
        <f t="shared" si="5"/>
        <v>1011930</v>
      </c>
      <c r="BS59" s="90">
        <f t="shared" ca="1" si="68"/>
        <v>2134656</v>
      </c>
      <c r="BT59" s="90">
        <f t="shared" si="69"/>
        <v>61000</v>
      </c>
      <c r="BU59" s="90">
        <f t="shared" si="8"/>
        <v>800000</v>
      </c>
      <c r="BV59" s="90">
        <f t="shared" si="9"/>
        <v>159000</v>
      </c>
      <c r="BW59" s="90">
        <f t="shared" ca="1" si="25"/>
        <v>177312.5</v>
      </c>
      <c r="BX59" s="90">
        <f t="shared" ca="1" si="26"/>
        <v>15953898.5</v>
      </c>
      <c r="BY59" s="142">
        <f t="shared" ca="1" si="74"/>
        <v>0.72772181670831115</v>
      </c>
      <c r="BZ59" s="142">
        <f t="shared" ca="1" si="74"/>
        <v>6.3428383977746874E-2</v>
      </c>
      <c r="CA59" s="142">
        <f t="shared" ca="1" si="73"/>
        <v>0.13380152819701091</v>
      </c>
      <c r="CB59" s="142">
        <f t="shared" ca="1" si="73"/>
        <v>3.8235168664260966E-3</v>
      </c>
      <c r="CC59" s="142">
        <f t="shared" ca="1" si="73"/>
        <v>5.014448349411274E-2</v>
      </c>
      <c r="CD59" s="142">
        <f t="shared" ca="1" si="73"/>
        <v>9.9662160944549074E-3</v>
      </c>
      <c r="CE59" s="142">
        <f t="shared" ca="1" si="73"/>
        <v>1.1114054661937331E-2</v>
      </c>
      <c r="CG59" s="128">
        <f t="shared" si="28"/>
        <v>200</v>
      </c>
      <c r="CH59" s="90">
        <f ca="1">INDEX(角色升级!$A:$A,MATCH(玩家节奏2!$BX59,角色升级!$J:$J,1))</f>
        <v>872</v>
      </c>
      <c r="CI59" s="90">
        <f ca="1">INDEX(角色升级!$O:$O,MATCH(玩家节奏2!$BX59,角色升级!$J:$J,1))</f>
        <v>64763.935949999999</v>
      </c>
      <c r="CJ59" s="90">
        <f>INDEX(关卡对比!$J:$J,MATCH(玩家节奏2!N59,关卡对比!$A:$A,0))</f>
        <v>86200</v>
      </c>
      <c r="CK59" s="147">
        <f t="shared" ca="1" si="29"/>
        <v>1.3309876667556058</v>
      </c>
      <c r="CL59" s="128">
        <f ca="1">INDEX(角色升级!$P:$P,MATCH(玩家节奏2!$CH59,角色升级!$A:$A,0))</f>
        <v>27200</v>
      </c>
      <c r="CM59" s="90">
        <f ca="1">INDEX(角色升级!Q:Q,MATCH(玩家节奏2!$CH59,角色升级!$A:$A,0))</f>
        <v>1.8</v>
      </c>
      <c r="CO59" s="128">
        <f t="shared" si="30"/>
        <v>78866</v>
      </c>
      <c r="CP59" s="90">
        <f t="shared" si="31"/>
        <v>75854</v>
      </c>
      <c r="CQ59" s="90">
        <f t="shared" si="32"/>
        <v>35938</v>
      </c>
      <c r="CR59" s="90">
        <f t="shared" ca="1" si="33"/>
        <v>140902.5</v>
      </c>
      <c r="CS59" s="90">
        <f t="shared" ca="1" si="34"/>
        <v>331560.5</v>
      </c>
      <c r="CT59" s="142">
        <f t="shared" ca="1" si="35"/>
        <v>0.23786307476312771</v>
      </c>
      <c r="CU59" s="142">
        <f t="shared" ca="1" si="35"/>
        <v>0.22877875983417809</v>
      </c>
      <c r="CV59" s="142">
        <f t="shared" ca="1" si="35"/>
        <v>0.10839047473990418</v>
      </c>
      <c r="CW59" s="142">
        <f t="shared" ca="1" si="35"/>
        <v>0.42496769066279005</v>
      </c>
      <c r="CY59" s="128">
        <f t="shared" si="36"/>
        <v>39434</v>
      </c>
      <c r="CZ59" s="90">
        <f t="shared" si="37"/>
        <v>37763</v>
      </c>
      <c r="DA59" s="90">
        <f t="shared" si="38"/>
        <v>23562</v>
      </c>
      <c r="DB59" s="90">
        <f t="shared" ca="1" si="58"/>
        <v>78374.5</v>
      </c>
      <c r="DC59" s="90">
        <f t="shared" ca="1" si="39"/>
        <v>179133.5</v>
      </c>
      <c r="DD59" s="142">
        <f t="shared" ca="1" si="40"/>
        <v>0.22013749522004539</v>
      </c>
      <c r="DE59" s="142">
        <f t="shared" ca="1" si="40"/>
        <v>0.21080925678334872</v>
      </c>
      <c r="DF59" s="142">
        <f t="shared" ca="1" si="40"/>
        <v>0.13153318614329537</v>
      </c>
      <c r="DG59" s="142">
        <f t="shared" ca="1" si="40"/>
        <v>0.43752006185331049</v>
      </c>
      <c r="DI59" s="128">
        <f t="shared" si="41"/>
        <v>19113</v>
      </c>
      <c r="DJ59" s="90">
        <f t="shared" si="42"/>
        <v>18419</v>
      </c>
      <c r="DK59" s="90">
        <f t="shared" si="43"/>
        <v>8874</v>
      </c>
      <c r="DL59" s="90">
        <f t="shared" ca="1" si="44"/>
        <v>11187.75</v>
      </c>
      <c r="DM59" s="90">
        <f t="shared" ca="1" si="45"/>
        <v>57593.75</v>
      </c>
      <c r="DN59" s="142">
        <f t="shared" ca="1" si="46"/>
        <v>0.33185892566467717</v>
      </c>
      <c r="DO59" s="142">
        <f t="shared" ca="1" si="46"/>
        <v>0.31980900705371679</v>
      </c>
      <c r="DP59" s="142">
        <f t="shared" ca="1" si="46"/>
        <v>0.15407921866521976</v>
      </c>
      <c r="DQ59" s="142">
        <f t="shared" ca="1" si="46"/>
        <v>0.19425284861638634</v>
      </c>
      <c r="DS59" s="128">
        <f t="shared" ca="1" si="47"/>
        <v>331560.5</v>
      </c>
      <c r="DT59" s="90">
        <f t="shared" ca="1" si="48"/>
        <v>179133.5</v>
      </c>
      <c r="DU59" s="90">
        <f t="shared" ca="1" si="49"/>
        <v>57593.75</v>
      </c>
      <c r="DV59" s="90">
        <f t="shared" si="50"/>
        <v>800</v>
      </c>
      <c r="DW59" s="90">
        <f ca="1">_xlfn.IFNA(INDEX(武器升级消耗!$H:$H,MATCH(玩家节奏2!DS59/玩家节奏2!DS$5,武器升级消耗!M:M,1)),0)</f>
        <v>51</v>
      </c>
      <c r="DX59" s="90">
        <f ca="1">_xlfn.IFNA(INDEX(武器升级消耗!$H:$H,MATCH(玩家节奏2!DT59/玩家节奏2!DT$5,武器升级消耗!N:N,1)),0)</f>
        <v>45</v>
      </c>
      <c r="DY59" s="90">
        <f ca="1">_xlfn.IFNA(INDEX(武器升级消耗!$H:$H,MATCH(玩家节奏2!DU59/玩家节奏2!DU$5,武器升级消耗!O:O,1)),0)</f>
        <v>33</v>
      </c>
      <c r="DZ59" s="90">
        <f>_xlfn.IFNA(INDEX(武器升级消耗!$H:$H,MATCH(玩家节奏2!DV59/玩家节奏2!DV$5,武器升级消耗!P:P,1)),0)</f>
        <v>20</v>
      </c>
      <c r="EA59" s="90">
        <f ca="1">_xlfn.IFNA(INDEX(武器升级消耗!$Q:$Q,MATCH(玩家节奏2!DW59,武器升级消耗!$H:$H,0))*2*EA$4,0)</f>
        <v>6.6</v>
      </c>
      <c r="EB59" s="90">
        <f ca="1">_xlfn.IFNA(INDEX(武器升级消耗!$Q:$Q,MATCH(玩家节奏2!DX59,武器升级消耗!$H:$H,0))*2*EB$4,0)</f>
        <v>7.3500000000000005</v>
      </c>
      <c r="EC59" s="90">
        <f ca="1">_xlfn.IFNA(INDEX(武器升级消耗!$Q:$Q,MATCH(玩家节奏2!DY59,武器升级消耗!$H:$H,0))*2*EC$4,0)</f>
        <v>8.14</v>
      </c>
      <c r="ED59" s="90">
        <f>_xlfn.IFNA(INDEX(武器升级消耗!$Q:$Q,MATCH(玩家节奏2!DZ59,武器升级消耗!$H:$H,0))*2*ED$4,0)</f>
        <v>7.1999999999999993</v>
      </c>
      <c r="EF59" s="128">
        <f t="shared" si="70"/>
        <v>0</v>
      </c>
      <c r="EG59" s="90">
        <f t="shared" si="71"/>
        <v>0</v>
      </c>
      <c r="EH59" s="90">
        <v>159</v>
      </c>
      <c r="EI59" s="90">
        <v>159</v>
      </c>
      <c r="EJ59" s="90">
        <f>_xlfn.IFNA(INDEX(皮肤宠物!$J$4:$J$13,MATCH(EF59+EH59,皮肤宠物!$L$4:$L$13,1)),0)</f>
        <v>7</v>
      </c>
      <c r="EK59" s="90">
        <f>_xlfn.IFNA(INDEX(皮肤宠物!$J$4:$J$13,MATCH(EG59+EI59,皮肤宠物!$L$4:$L$13,1)),0)</f>
        <v>7</v>
      </c>
      <c r="EL59" s="90">
        <f>_xlfn.IFNA(INDEX(皮肤宠物!$N$4:$N$13,MATCH(EF59+EH59,皮肤宠物!$L$4:$L$13,1)),1)</f>
        <v>1.87</v>
      </c>
      <c r="EM59" s="90">
        <f>_xlfn.IFNA(INDEX(皮肤宠物!$N$4:$N$13,MATCH(EG59+EI59,皮肤宠物!$L$4:$L$13,1)),1)</f>
        <v>1.87</v>
      </c>
      <c r="EO59" s="128">
        <v>159</v>
      </c>
      <c r="EP59" s="90">
        <v>53</v>
      </c>
      <c r="EQ59" s="90">
        <f t="shared" ca="1" si="51"/>
        <v>66575</v>
      </c>
      <c r="ER59" s="90">
        <f t="shared" si="72"/>
        <v>0</v>
      </c>
      <c r="ES59" s="90">
        <f t="shared" ca="1" si="52"/>
        <v>718.75</v>
      </c>
      <c r="ET59" s="90">
        <f ca="1">$ES59*ET$5*皮肤宠物!$J$75/4</f>
        <v>2372.59375</v>
      </c>
      <c r="EU59" s="90">
        <f ca="1">$ES59*EU$5*皮肤宠物!$J$76/4</f>
        <v>396.03125</v>
      </c>
      <c r="EV59" s="90">
        <f ca="1">$ES59*EV$5*皮肤宠物!$J$77/4</f>
        <v>107.2734375</v>
      </c>
      <c r="EW59" s="90">
        <f ca="1">_xlfn.IFNA(INDEX(皮肤宠物!$H$18:$H$67,MATCH(ET59,皮肤宠物!L$18:L$67,1)),0)</f>
        <v>17</v>
      </c>
      <c r="EX59" s="90">
        <f ca="1">_xlfn.IFNA(INDEX(皮肤宠物!$H$18:$H$67,MATCH(EU59,皮肤宠物!M$18:M$67,1)),0)</f>
        <v>13</v>
      </c>
      <c r="EY59" s="90">
        <f ca="1">_xlfn.IFNA(INDEX(皮肤宠物!$H$18:$H$67,MATCH(EV59,皮肤宠物!N$18:N$67,1)),0)</f>
        <v>9</v>
      </c>
      <c r="EZ59" s="90">
        <f ca="1">_xlfn.IFNA(INDEX(皮肤宠物!C$18:C$67,MATCH(EW59,皮肤宠物!$A$18:$A$67,0))+1,1)</f>
        <v>1.17</v>
      </c>
      <c r="FA59" s="90">
        <f ca="1">_xlfn.IFNA(INDEX(皮肤宠物!D$18:D$67,MATCH(EX59,皮肤宠物!$A$18:$A$67,0))+1,1)</f>
        <v>1.26</v>
      </c>
      <c r="FB59" s="90">
        <f ca="1">_xlfn.IFNA(INDEX(皮肤宠物!E$18:E$67,MATCH(EY59,皮肤宠物!$A$18:$A$67,0))+1,1)</f>
        <v>1.3599999999999999</v>
      </c>
      <c r="FD59" s="90">
        <f t="shared" ca="1" si="53"/>
        <v>8.14</v>
      </c>
      <c r="FE59" s="90">
        <f t="shared" si="54"/>
        <v>1.87</v>
      </c>
      <c r="FF59" s="90">
        <f t="shared" ca="1" si="55"/>
        <v>1.3599999999999999</v>
      </c>
      <c r="FG59" s="90">
        <f t="shared" ca="1" si="56"/>
        <v>20.701648000000002</v>
      </c>
    </row>
    <row r="60" spans="1:163" x14ac:dyDescent="0.25">
      <c r="A60" s="123">
        <v>54</v>
      </c>
      <c r="B60" s="123">
        <f>INDEX(关卡对比!$Y:$Y,MATCH(关卡对比!Z60,关卡对比!$AA:$AA,1))</f>
        <v>38</v>
      </c>
      <c r="C60" s="124">
        <f>INDEX(关卡对比!$Y:$Y,MATCH(关卡对比!Z60,关卡对比!$AB:$AB,1))</f>
        <v>31</v>
      </c>
      <c r="D60" s="125">
        <f t="shared" si="63"/>
        <v>215.5</v>
      </c>
      <c r="E60" s="125">
        <v>2</v>
      </c>
      <c r="F60" s="128">
        <v>16</v>
      </c>
      <c r="G60" s="90">
        <v>16</v>
      </c>
      <c r="H60" s="90">
        <v>5</v>
      </c>
      <c r="J60" s="128">
        <v>54</v>
      </c>
      <c r="K60" s="90">
        <f t="shared" si="17"/>
        <v>16</v>
      </c>
      <c r="L60" s="90">
        <f t="shared" si="18"/>
        <v>16</v>
      </c>
      <c r="M60" s="90">
        <f t="shared" si="19"/>
        <v>5</v>
      </c>
      <c r="N60" s="140">
        <f>INDEX($A:$A,MATCH(SUM($K$7:K60),$D:$D,1))</f>
        <v>200</v>
      </c>
      <c r="O60" s="140">
        <v>0</v>
      </c>
      <c r="P60" s="141">
        <v>0</v>
      </c>
      <c r="Q60" s="126">
        <f>_xlfn.MAXIFS(关卡产出!X:X,关卡产出!$A:$A,玩家节奏2!$N$6,关卡产出!$B:$B,玩家节奏2!$N60)+_xlfn.MAXIFS(关卡产出!X:X,关卡产出!$A:$A,玩家节奏2!$O$6,关卡产出!$B:$B,玩家节奏2!$O60)+_xlfn.MAXIFS(关卡产出!X:X,关卡产出!$A:$A,玩家节奏2!$P$6,关卡产出!$B:$B,玩家节奏2!$P60)</f>
        <v>38500</v>
      </c>
      <c r="R60" s="90">
        <f>_xlfn.MAXIFS(关卡产出!Y:Y,关卡产出!$A:$A,玩家节奏2!$N$6,关卡产出!$B:$B,玩家节奏2!$N60)+_xlfn.MAXIFS(关卡产出!Y:Y,关卡产出!$A:$A,玩家节奏2!$O$6,关卡产出!$B:$B,玩家节奏2!$O60)+_xlfn.MAXIFS(关卡产出!Y:Y,关卡产出!$A:$A,玩家节奏2!$P$6,关卡产出!$B:$B,玩家节奏2!$P60)</f>
        <v>11610000</v>
      </c>
      <c r="S60" s="90">
        <f>_xlfn.MAXIFS(关卡产出!Z:Z,关卡产出!$A:$A,玩家节奏2!$N$6,关卡产出!$B:$B,玩家节奏2!$N60)+_xlfn.MAXIFS(关卡产出!Z:Z,关卡产出!$A:$A,玩家节奏2!$O$6,关卡产出!$B:$B,玩家节奏2!$O60)+_xlfn.MAXIFS(关卡产出!Z:Z,关卡产出!$A:$A,玩家节奏2!$P$6,关卡产出!$B:$B,玩家节奏2!$P60)</f>
        <v>78866</v>
      </c>
      <c r="T60" s="90">
        <f>_xlfn.MAXIFS(关卡产出!AA:AA,关卡产出!$A:$A,玩家节奏2!$N$6,关卡产出!$B:$B,玩家节奏2!$N60)+_xlfn.MAXIFS(关卡产出!AA:AA,关卡产出!$A:$A,玩家节奏2!$O$6,关卡产出!$B:$B,玩家节奏2!$O60)+_xlfn.MAXIFS(关卡产出!AA:AA,关卡产出!$A:$A,玩家节奏2!$P$6,关卡产出!$B:$B,玩家节奏2!$P60)</f>
        <v>39434</v>
      </c>
      <c r="U60" s="90">
        <f>_xlfn.MAXIFS(关卡产出!AB:AB,关卡产出!$A:$A,玩家节奏2!$N$6,关卡产出!$B:$B,玩家节奏2!$N60)+_xlfn.MAXIFS(关卡产出!AB:AB,关卡产出!$A:$A,玩家节奏2!$O$6,关卡产出!$B:$B,玩家节奏2!$O60)+_xlfn.MAXIFS(关卡产出!AB:AB,关卡产出!$A:$A,玩家节奏2!$P$6,关卡产出!$B:$B,玩家节奏2!$P60)</f>
        <v>19113</v>
      </c>
      <c r="V60" s="130">
        <f>_xlfn.MAXIFS(关卡产出!AC:AC,关卡产出!$A:$A,玩家节奏2!$N$6,关卡产出!$B:$B,玩家节奏2!$N60)+_xlfn.MAXIFS(关卡产出!AC:AC,关卡产出!$A:$A,玩家节奏2!$O$6,关卡产出!$B:$B,玩家节奏2!$O60)+_xlfn.MAXIFS(关卡产出!AC:AC,关卡产出!$A:$A,玩家节奏2!$P$6,关卡产出!$B:$B,玩家节奏2!$P60)</f>
        <v>1200</v>
      </c>
      <c r="W60" s="126">
        <f>INDEX(关卡产出!C$8:C$207,MATCH(玩家节奏2!$N60,关卡产出!$B$8:$B$207,0))*$K60</f>
        <v>2528</v>
      </c>
      <c r="X60" s="126">
        <f>INDEX(关卡产出!D$8:D$207,MATCH(玩家节奏2!$N60,关卡产出!$B$8:$B$207,0))*$K60</f>
        <v>1264</v>
      </c>
      <c r="Y60" s="126">
        <f>INDEX(关卡产出!E$8:E$207,MATCH(玩家节奏2!$N60,关卡产出!$B$8:$B$207,0))*$K60</f>
        <v>624</v>
      </c>
      <c r="Z60" s="144">
        <f>INDEX(关卡产出!F$8:F$207,MATCH(玩家节奏2!$N60,关卡产出!$B$8:$B$207,0))*$K60</f>
        <v>32800</v>
      </c>
      <c r="AA60" s="126">
        <f>SUM(W$7:W60)</f>
        <v>78382</v>
      </c>
      <c r="AB60" s="126">
        <f>SUM(X$7:X60)</f>
        <v>39027</v>
      </c>
      <c r="AC60" s="126">
        <f>SUM(Y$7:Y60)</f>
        <v>19043</v>
      </c>
      <c r="AD60" s="177">
        <f>SUM(Z$7:Z60)</f>
        <v>1044730</v>
      </c>
      <c r="AE60" s="128">
        <f>INDEX(图鉴!AQ:AQ,MATCH($N60,图鉴!$S:$S,0))*34</f>
        <v>714</v>
      </c>
      <c r="AF60" s="90">
        <f>INDEX(图鉴!AR:AR,MATCH($N60,图鉴!$S:$S,0))*34</f>
        <v>510</v>
      </c>
      <c r="AG60" s="90">
        <f>INDEX(图鉴!AS:AS,MATCH($N60,图鉴!$S:$S,0))*34</f>
        <v>204</v>
      </c>
      <c r="AH60" s="129">
        <f ca="1">INDEX(图鉴!AT:AT,MATCH($N60,图鉴!$S:$S,0))*34</f>
        <v>55930</v>
      </c>
      <c r="AI60" s="128">
        <f>SUM($AE$7:AE60)</f>
        <v>36652</v>
      </c>
      <c r="AJ60" s="90">
        <f>SUM(AF$7:AF60)</f>
        <v>24072</v>
      </c>
      <c r="AK60" s="90">
        <f>SUM(AG$7:AG60)</f>
        <v>9078</v>
      </c>
      <c r="AL60" s="130">
        <f ca="1">SUM(AH$7:AH60)</f>
        <v>2190586</v>
      </c>
      <c r="AM60" s="133">
        <f>IF(M60=0,0,INDEX(关卡产出!$AU$11:$AU$15,MATCH(玩家节奏2!N60,关卡产出!$AW$11:$AW$15,1))*M60)</f>
        <v>61000</v>
      </c>
      <c r="AN60" s="126">
        <f>IF(L60=0,0,$L60*关卡产出!AU$21)</f>
        <v>16000</v>
      </c>
      <c r="AO60" s="90">
        <f>IF(M60=0,0,$L60*关卡产出!AV$21)</f>
        <v>800</v>
      </c>
      <c r="AP60" s="129">
        <f>IF(N60=0,0,$L60*关卡产出!AW$21)</f>
        <v>16</v>
      </c>
      <c r="AQ60" s="138">
        <f>SUM(AN$7:AN60)</f>
        <v>816000</v>
      </c>
      <c r="AR60" s="126">
        <f>SUM(AO$7:AO60)</f>
        <v>40800</v>
      </c>
      <c r="AS60" s="129">
        <f>SUM(AP$7:AP60)</f>
        <v>816</v>
      </c>
      <c r="AT60" s="128">
        <v>3000</v>
      </c>
      <c r="AU60" s="129">
        <v>600</v>
      </c>
      <c r="AV60" s="128">
        <f>SUM(AT$7:AT60)</f>
        <v>162000</v>
      </c>
      <c r="AW60" s="90">
        <f>SUM(AU$7:AU60)</f>
        <v>32400</v>
      </c>
      <c r="AY60" s="128">
        <f t="shared" si="20"/>
        <v>38500</v>
      </c>
      <c r="AZ60" s="90">
        <f t="shared" si="21"/>
        <v>40800</v>
      </c>
      <c r="BA60" s="90">
        <f t="shared" si="22"/>
        <v>32400</v>
      </c>
      <c r="BB60" s="90">
        <f t="shared" ca="1" si="57"/>
        <v>27200</v>
      </c>
      <c r="BC60" s="90">
        <f t="shared" ca="1" si="60"/>
        <v>71625</v>
      </c>
      <c r="BD60" s="90">
        <f t="shared" ca="1" si="61"/>
        <v>67275</v>
      </c>
      <c r="BE60" s="90">
        <f t="shared" ca="1" si="24"/>
        <v>138900</v>
      </c>
      <c r="BF60" s="142">
        <f t="shared" ca="1" si="64"/>
        <v>0.53752181500872598</v>
      </c>
      <c r="BG60" s="142">
        <f t="shared" ca="1" si="65"/>
        <v>0.56963350785340316</v>
      </c>
      <c r="BH60" s="142">
        <f t="shared" ca="1" si="66"/>
        <v>0.4523560209424084</v>
      </c>
      <c r="BI60" s="142">
        <f t="shared" ca="1" si="67"/>
        <v>0.37975567190226878</v>
      </c>
      <c r="BJ60" s="143"/>
      <c r="BK60" s="128">
        <f ca="1">INDEX(商城宝箱!$L:$L,MATCH(BC60,商城宝箱!$N:$N,1))</f>
        <v>10</v>
      </c>
      <c r="BL60" s="90">
        <f ca="1">_xlfn.IFNA(INDEX(商城宝箱!T:T,MATCH(玩家节奏2!$BK60,商城宝箱!$L:$L,0)),0)+($BC60-INDEX(商城宝箱!$N:$N,MATCH(玩家节奏2!$BK60,商城宝箱!$L:$L,0)))/$BK$5*INDEX(商城宝箱!E$23:E$42,MATCH(玩家节奏2!$BK60+1,商城宝箱!$C$23:$C$42,0))</f>
        <v>179062.5</v>
      </c>
      <c r="BM60" s="90">
        <f ca="1">_xlfn.IFNA(INDEX(商城宝箱!U:U,MATCH(玩家节奏2!$BK60,商城宝箱!$L:$L,0)),0)+($BC60-INDEX(商城宝箱!$N:$N,MATCH(玩家节奏2!$BK60,商城宝箱!$L:$L,0)))/$BK$5*INDEX(商城宝箱!F$23:F$42,MATCH(玩家节奏2!$BK60+1,商城宝箱!$C$23:$C$42,0))</f>
        <v>143142.5</v>
      </c>
      <c r="BN60" s="90">
        <f ca="1">_xlfn.IFNA(INDEX(商城宝箱!V:V,MATCH(玩家节奏2!$BK60,商城宝箱!$L:$L,0)),0)+($BC60-INDEX(商城宝箱!$N:$N,MATCH(玩家节奏2!$BK60,商城宝箱!$L:$L,0)))/$BK$5*INDEX(商城宝箱!G$23:G$42,MATCH(玩家节奏2!$BK60+1,商城宝箱!$C$23:$C$42,0))</f>
        <v>79424.5</v>
      </c>
      <c r="BO60" s="90">
        <f ca="1">_xlfn.IFNA(INDEX(商城宝箱!W:W,MATCH(玩家节奏2!$BK60,商城宝箱!$L:$L,0)),0)+($BC60-INDEX(商城宝箱!$N:$N,MATCH(玩家节奏2!$BK60,商城宝箱!$L:$L,0)))/$BK$5*INDEX(商城宝箱!H$23:H$42,MATCH(玩家节奏2!$BK60+1,商城宝箱!$C$23:$C$42,0))</f>
        <v>11362.75</v>
      </c>
      <c r="BQ60" s="128">
        <f t="shared" si="4"/>
        <v>11610000</v>
      </c>
      <c r="BR60" s="90">
        <f t="shared" si="5"/>
        <v>1044730</v>
      </c>
      <c r="BS60" s="90">
        <f t="shared" ca="1" si="68"/>
        <v>2190586</v>
      </c>
      <c r="BT60" s="90">
        <f t="shared" si="69"/>
        <v>61000</v>
      </c>
      <c r="BU60" s="90">
        <f t="shared" si="8"/>
        <v>816000</v>
      </c>
      <c r="BV60" s="90">
        <f t="shared" si="9"/>
        <v>162000</v>
      </c>
      <c r="BW60" s="90">
        <f t="shared" ca="1" si="25"/>
        <v>179062.5</v>
      </c>
      <c r="BX60" s="90">
        <f t="shared" ca="1" si="26"/>
        <v>16063378.5</v>
      </c>
      <c r="BY60" s="142">
        <f t="shared" ca="1" si="74"/>
        <v>0.72276202668075085</v>
      </c>
      <c r="BZ60" s="142">
        <f t="shared" ca="1" si="74"/>
        <v>6.5037999322496196E-2</v>
      </c>
      <c r="CA60" s="142">
        <f t="shared" ca="1" si="73"/>
        <v>0.13637143643225488</v>
      </c>
      <c r="CB60" s="142">
        <f t="shared" ca="1" si="73"/>
        <v>3.7974576767894749E-3</v>
      </c>
      <c r="CC60" s="142">
        <f t="shared" ca="1" si="73"/>
        <v>5.0798778102626417E-2</v>
      </c>
      <c r="CD60" s="142">
        <f t="shared" ca="1" si="73"/>
        <v>1.0085051535080245E-2</v>
      </c>
      <c r="CE60" s="142">
        <f t="shared" ca="1" si="73"/>
        <v>1.1147250250001892E-2</v>
      </c>
      <c r="CG60" s="128">
        <f t="shared" si="28"/>
        <v>200</v>
      </c>
      <c r="CH60" s="90">
        <f ca="1">INDEX(角色升级!$A:$A,MATCH(玩家节奏2!$BX60,角色升级!$J:$J,1))</f>
        <v>873</v>
      </c>
      <c r="CI60" s="90">
        <f ca="1">INDEX(角色升级!$O:$O,MATCH(玩家节奏2!$BX60,角色升级!$J:$J,1))</f>
        <v>65206.5141</v>
      </c>
      <c r="CJ60" s="90">
        <f>INDEX(关卡对比!$J:$J,MATCH(玩家节奏2!N60,关卡对比!$A:$A,0))</f>
        <v>86200</v>
      </c>
      <c r="CK60" s="147">
        <f t="shared" ca="1" si="29"/>
        <v>1.3219538138138256</v>
      </c>
      <c r="CL60" s="128">
        <f ca="1">INDEX(角色升级!$P:$P,MATCH(玩家节奏2!$CH60,角色升级!$A:$A,0))</f>
        <v>27200</v>
      </c>
      <c r="CM60" s="90">
        <f ca="1">INDEX(角色升级!Q:Q,MATCH(玩家节奏2!$CH60,角色升级!$A:$A,0))</f>
        <v>1.8</v>
      </c>
      <c r="CO60" s="128">
        <f t="shared" si="30"/>
        <v>78866</v>
      </c>
      <c r="CP60" s="90">
        <f t="shared" si="31"/>
        <v>78382</v>
      </c>
      <c r="CQ60" s="90">
        <f t="shared" si="32"/>
        <v>36652</v>
      </c>
      <c r="CR60" s="90">
        <f t="shared" ca="1" si="33"/>
        <v>143142.5</v>
      </c>
      <c r="CS60" s="90">
        <f t="shared" ca="1" si="34"/>
        <v>337042.5</v>
      </c>
      <c r="CT60" s="142">
        <f t="shared" ca="1" si="35"/>
        <v>0.23399422921441657</v>
      </c>
      <c r="CU60" s="142">
        <f t="shared" ca="1" si="35"/>
        <v>0.23255820853453199</v>
      </c>
      <c r="CV60" s="142">
        <f t="shared" ca="1" si="35"/>
        <v>0.10874592966762352</v>
      </c>
      <c r="CW60" s="142">
        <f t="shared" ca="1" si="35"/>
        <v>0.42470163258342791</v>
      </c>
      <c r="CY60" s="128">
        <f t="shared" si="36"/>
        <v>39434</v>
      </c>
      <c r="CZ60" s="90">
        <f t="shared" si="37"/>
        <v>39027</v>
      </c>
      <c r="DA60" s="90">
        <f t="shared" si="38"/>
        <v>24072</v>
      </c>
      <c r="DB60" s="90">
        <f t="shared" ca="1" si="58"/>
        <v>79424.5</v>
      </c>
      <c r="DC60" s="90">
        <f t="shared" ca="1" si="39"/>
        <v>181957.5</v>
      </c>
      <c r="DD60" s="142">
        <f t="shared" ca="1" si="40"/>
        <v>0.21672093758157812</v>
      </c>
      <c r="DE60" s="142">
        <f t="shared" ca="1" si="40"/>
        <v>0.21448415151889863</v>
      </c>
      <c r="DF60" s="142">
        <f t="shared" ca="1" si="40"/>
        <v>0.13229462924034457</v>
      </c>
      <c r="DG60" s="142">
        <f t="shared" ca="1" si="40"/>
        <v>0.43650028165917865</v>
      </c>
      <c r="DI60" s="128">
        <f t="shared" si="41"/>
        <v>19113</v>
      </c>
      <c r="DJ60" s="90">
        <f t="shared" si="42"/>
        <v>19043</v>
      </c>
      <c r="DK60" s="90">
        <f t="shared" si="43"/>
        <v>9078</v>
      </c>
      <c r="DL60" s="90">
        <f t="shared" ca="1" si="44"/>
        <v>11362.75</v>
      </c>
      <c r="DM60" s="90">
        <f t="shared" ca="1" si="45"/>
        <v>58596.75</v>
      </c>
      <c r="DN60" s="142">
        <f t="shared" ca="1" si="46"/>
        <v>0.32617849966081736</v>
      </c>
      <c r="DO60" s="142">
        <f t="shared" ca="1" si="46"/>
        <v>0.32498389415795242</v>
      </c>
      <c r="DP60" s="142">
        <f t="shared" ca="1" si="46"/>
        <v>0.15492326792868205</v>
      </c>
      <c r="DQ60" s="142">
        <f t="shared" ca="1" si="46"/>
        <v>0.19391433825254814</v>
      </c>
      <c r="DS60" s="128">
        <f t="shared" ca="1" si="47"/>
        <v>337042.5</v>
      </c>
      <c r="DT60" s="90">
        <f t="shared" ca="1" si="48"/>
        <v>181957.5</v>
      </c>
      <c r="DU60" s="90">
        <f t="shared" ca="1" si="49"/>
        <v>58596.75</v>
      </c>
      <c r="DV60" s="90">
        <f t="shared" si="50"/>
        <v>816</v>
      </c>
      <c r="DW60" s="90">
        <f ca="1">_xlfn.IFNA(INDEX(武器升级消耗!$H:$H,MATCH(玩家节奏2!DS60/玩家节奏2!DS$5,武器升级消耗!M:M,1)),0)</f>
        <v>51</v>
      </c>
      <c r="DX60" s="90">
        <f ca="1">_xlfn.IFNA(INDEX(武器升级消耗!$H:$H,MATCH(玩家节奏2!DT60/玩家节奏2!DT$5,武器升级消耗!N:N,1)),0)</f>
        <v>45</v>
      </c>
      <c r="DY60" s="90">
        <f ca="1">_xlfn.IFNA(INDEX(武器升级消耗!$H:$H,MATCH(玩家节奏2!DU60/玩家节奏2!DU$5,武器升级消耗!O:O,1)),0)</f>
        <v>33</v>
      </c>
      <c r="DZ60" s="90">
        <f>_xlfn.IFNA(INDEX(武器升级消耗!$H:$H,MATCH(玩家节奏2!DV60/玩家节奏2!DV$5,武器升级消耗!P:P,1)),0)</f>
        <v>21</v>
      </c>
      <c r="EA60" s="90">
        <f ca="1">_xlfn.IFNA(INDEX(武器升级消耗!$Q:$Q,MATCH(玩家节奏2!DW60,武器升级消耗!$H:$H,0))*2*EA$4,0)</f>
        <v>6.6</v>
      </c>
      <c r="EB60" s="90">
        <f ca="1">_xlfn.IFNA(INDEX(武器升级消耗!$Q:$Q,MATCH(玩家节奏2!DX60,武器升级消耗!$H:$H,0))*2*EB$4,0)</f>
        <v>7.3500000000000005</v>
      </c>
      <c r="EC60" s="90">
        <f ca="1">_xlfn.IFNA(INDEX(武器升级消耗!$Q:$Q,MATCH(玩家节奏2!DY60,武器升级消耗!$H:$H,0))*2*EC$4,0)</f>
        <v>8.14</v>
      </c>
      <c r="ED60" s="90">
        <f>_xlfn.IFNA(INDEX(武器升级消耗!$Q:$Q,MATCH(玩家节奏2!DZ60,武器升级消耗!$H:$H,0))*2*ED$4,0)</f>
        <v>7.5</v>
      </c>
      <c r="EF60" s="128">
        <f t="shared" si="70"/>
        <v>0</v>
      </c>
      <c r="EG60" s="90">
        <f t="shared" si="71"/>
        <v>0</v>
      </c>
      <c r="EH60" s="90">
        <v>162</v>
      </c>
      <c r="EI60" s="90">
        <v>162</v>
      </c>
      <c r="EJ60" s="90">
        <f>_xlfn.IFNA(INDEX(皮肤宠物!$J$4:$J$13,MATCH(EF60+EH60,皮肤宠物!$L$4:$L$13,1)),0)</f>
        <v>7</v>
      </c>
      <c r="EK60" s="90">
        <f>_xlfn.IFNA(INDEX(皮肤宠物!$J$4:$J$13,MATCH(EG60+EI60,皮肤宠物!$L$4:$L$13,1)),0)</f>
        <v>7</v>
      </c>
      <c r="EL60" s="90">
        <f>_xlfn.IFNA(INDEX(皮肤宠物!$N$4:$N$13,MATCH(EF60+EH60,皮肤宠物!$L$4:$L$13,1)),1)</f>
        <v>1.87</v>
      </c>
      <c r="EM60" s="90">
        <f>_xlfn.IFNA(INDEX(皮肤宠物!$N$4:$N$13,MATCH(EG60+EI60,皮肤宠物!$L$4:$L$13,1)),1)</f>
        <v>1.87</v>
      </c>
      <c r="EO60" s="128">
        <v>162</v>
      </c>
      <c r="EP60" s="90">
        <v>54</v>
      </c>
      <c r="EQ60" s="90">
        <f t="shared" ca="1" si="51"/>
        <v>67275</v>
      </c>
      <c r="ER60" s="90">
        <f t="shared" si="72"/>
        <v>0</v>
      </c>
      <c r="ES60" s="90">
        <f t="shared" ca="1" si="52"/>
        <v>726.75</v>
      </c>
      <c r="ET60" s="90">
        <f ca="1">$ES60*ET$5*皮肤宠物!$J$75/4</f>
        <v>2399.0017499999999</v>
      </c>
      <c r="EU60" s="90">
        <f ca="1">$ES60*EU$5*皮肤宠物!$J$76/4</f>
        <v>400.43925000000002</v>
      </c>
      <c r="EV60" s="90">
        <f ca="1">$ES60*EV$5*皮肤宠物!$J$77/4</f>
        <v>108.4674375</v>
      </c>
      <c r="EW60" s="90">
        <f ca="1">_xlfn.IFNA(INDEX(皮肤宠物!$H$18:$H$67,MATCH(ET60,皮肤宠物!L$18:L$67,1)),0)</f>
        <v>17</v>
      </c>
      <c r="EX60" s="90">
        <f ca="1">_xlfn.IFNA(INDEX(皮肤宠物!$H$18:$H$67,MATCH(EU60,皮肤宠物!M$18:M$67,1)),0)</f>
        <v>13</v>
      </c>
      <c r="EY60" s="90">
        <f ca="1">_xlfn.IFNA(INDEX(皮肤宠物!$H$18:$H$67,MATCH(EV60,皮肤宠物!N$18:N$67,1)),0)</f>
        <v>9</v>
      </c>
      <c r="EZ60" s="90">
        <f ca="1">_xlfn.IFNA(INDEX(皮肤宠物!C$18:C$67,MATCH(EW60,皮肤宠物!$A$18:$A$67,0))+1,1)</f>
        <v>1.17</v>
      </c>
      <c r="FA60" s="90">
        <f ca="1">_xlfn.IFNA(INDEX(皮肤宠物!D$18:D$67,MATCH(EX60,皮肤宠物!$A$18:$A$67,0))+1,1)</f>
        <v>1.26</v>
      </c>
      <c r="FB60" s="90">
        <f ca="1">_xlfn.IFNA(INDEX(皮肤宠物!E$18:E$67,MATCH(EY60,皮肤宠物!$A$18:$A$67,0))+1,1)</f>
        <v>1.3599999999999999</v>
      </c>
      <c r="FD60" s="90">
        <f t="shared" ca="1" si="53"/>
        <v>8.14</v>
      </c>
      <c r="FE60" s="90">
        <f t="shared" si="54"/>
        <v>1.87</v>
      </c>
      <c r="FF60" s="90">
        <f t="shared" ca="1" si="55"/>
        <v>1.3599999999999999</v>
      </c>
      <c r="FG60" s="90">
        <f t="shared" ca="1" si="56"/>
        <v>20.701648000000002</v>
      </c>
    </row>
    <row r="61" spans="1:163" x14ac:dyDescent="0.25">
      <c r="A61" s="123">
        <v>55</v>
      </c>
      <c r="B61" s="123">
        <f>INDEX(关卡对比!$Y:$Y,MATCH(关卡对比!Z61,关卡对比!$AA:$AA,1))</f>
        <v>39</v>
      </c>
      <c r="C61" s="124">
        <f>INDEX(关卡对比!$Y:$Y,MATCH(关卡对比!Z61,关卡对比!$AB:$AB,1))</f>
        <v>31</v>
      </c>
      <c r="D61" s="125">
        <f t="shared" si="63"/>
        <v>219.5</v>
      </c>
      <c r="E61" s="125">
        <v>2</v>
      </c>
      <c r="F61" s="128">
        <v>16</v>
      </c>
      <c r="G61" s="90">
        <v>16</v>
      </c>
      <c r="H61" s="90">
        <v>5</v>
      </c>
      <c r="J61" s="128">
        <v>55</v>
      </c>
      <c r="K61" s="90">
        <f t="shared" si="17"/>
        <v>16</v>
      </c>
      <c r="L61" s="90">
        <f t="shared" si="18"/>
        <v>16</v>
      </c>
      <c r="M61" s="90">
        <f t="shared" si="19"/>
        <v>5</v>
      </c>
      <c r="N61" s="140">
        <f>INDEX($A:$A,MATCH(SUM($K$7:K61),$D:$D,1))</f>
        <v>200</v>
      </c>
      <c r="O61" s="140">
        <v>0</v>
      </c>
      <c r="P61" s="141">
        <v>0</v>
      </c>
      <c r="Q61" s="126">
        <f>_xlfn.MAXIFS(关卡产出!X:X,关卡产出!$A:$A,玩家节奏2!$N$6,关卡产出!$B:$B,玩家节奏2!$N61)+_xlfn.MAXIFS(关卡产出!X:X,关卡产出!$A:$A,玩家节奏2!$O$6,关卡产出!$B:$B,玩家节奏2!$O61)+_xlfn.MAXIFS(关卡产出!X:X,关卡产出!$A:$A,玩家节奏2!$P$6,关卡产出!$B:$B,玩家节奏2!$P61)</f>
        <v>38500</v>
      </c>
      <c r="R61" s="90">
        <f>_xlfn.MAXIFS(关卡产出!Y:Y,关卡产出!$A:$A,玩家节奏2!$N$6,关卡产出!$B:$B,玩家节奏2!$N61)+_xlfn.MAXIFS(关卡产出!Y:Y,关卡产出!$A:$A,玩家节奏2!$O$6,关卡产出!$B:$B,玩家节奏2!$O61)+_xlfn.MAXIFS(关卡产出!Y:Y,关卡产出!$A:$A,玩家节奏2!$P$6,关卡产出!$B:$B,玩家节奏2!$P61)</f>
        <v>11610000</v>
      </c>
      <c r="S61" s="90">
        <f>_xlfn.MAXIFS(关卡产出!Z:Z,关卡产出!$A:$A,玩家节奏2!$N$6,关卡产出!$B:$B,玩家节奏2!$N61)+_xlfn.MAXIFS(关卡产出!Z:Z,关卡产出!$A:$A,玩家节奏2!$O$6,关卡产出!$B:$B,玩家节奏2!$O61)+_xlfn.MAXIFS(关卡产出!Z:Z,关卡产出!$A:$A,玩家节奏2!$P$6,关卡产出!$B:$B,玩家节奏2!$P61)</f>
        <v>78866</v>
      </c>
      <c r="T61" s="90">
        <f>_xlfn.MAXIFS(关卡产出!AA:AA,关卡产出!$A:$A,玩家节奏2!$N$6,关卡产出!$B:$B,玩家节奏2!$N61)+_xlfn.MAXIFS(关卡产出!AA:AA,关卡产出!$A:$A,玩家节奏2!$O$6,关卡产出!$B:$B,玩家节奏2!$O61)+_xlfn.MAXIFS(关卡产出!AA:AA,关卡产出!$A:$A,玩家节奏2!$P$6,关卡产出!$B:$B,玩家节奏2!$P61)</f>
        <v>39434</v>
      </c>
      <c r="U61" s="90">
        <f>_xlfn.MAXIFS(关卡产出!AB:AB,关卡产出!$A:$A,玩家节奏2!$N$6,关卡产出!$B:$B,玩家节奏2!$N61)+_xlfn.MAXIFS(关卡产出!AB:AB,关卡产出!$A:$A,玩家节奏2!$O$6,关卡产出!$B:$B,玩家节奏2!$O61)+_xlfn.MAXIFS(关卡产出!AB:AB,关卡产出!$A:$A,玩家节奏2!$P$6,关卡产出!$B:$B,玩家节奏2!$P61)</f>
        <v>19113</v>
      </c>
      <c r="V61" s="130">
        <f>_xlfn.MAXIFS(关卡产出!AC:AC,关卡产出!$A:$A,玩家节奏2!$N$6,关卡产出!$B:$B,玩家节奏2!$N61)+_xlfn.MAXIFS(关卡产出!AC:AC,关卡产出!$A:$A,玩家节奏2!$O$6,关卡产出!$B:$B,玩家节奏2!$O61)+_xlfn.MAXIFS(关卡产出!AC:AC,关卡产出!$A:$A,玩家节奏2!$P$6,关卡产出!$B:$B,玩家节奏2!$P61)</f>
        <v>1200</v>
      </c>
      <c r="W61" s="126">
        <f>INDEX(关卡产出!C$8:C$207,MATCH(玩家节奏2!$N61,关卡产出!$B$8:$B$207,0))*$K61</f>
        <v>2528</v>
      </c>
      <c r="X61" s="126">
        <f>INDEX(关卡产出!D$8:D$207,MATCH(玩家节奏2!$N61,关卡产出!$B$8:$B$207,0))*$K61</f>
        <v>1264</v>
      </c>
      <c r="Y61" s="126">
        <f>INDEX(关卡产出!E$8:E$207,MATCH(玩家节奏2!$N61,关卡产出!$B$8:$B$207,0))*$K61</f>
        <v>624</v>
      </c>
      <c r="Z61" s="144">
        <f>INDEX(关卡产出!F$8:F$207,MATCH(玩家节奏2!$N61,关卡产出!$B$8:$B$207,0))*$K61</f>
        <v>32800</v>
      </c>
      <c r="AA61" s="126">
        <f>SUM(W$7:W61)</f>
        <v>80910</v>
      </c>
      <c r="AB61" s="126">
        <f>SUM(X$7:X61)</f>
        <v>40291</v>
      </c>
      <c r="AC61" s="126">
        <f>SUM(Y$7:Y61)</f>
        <v>19667</v>
      </c>
      <c r="AD61" s="177">
        <f>SUM(Z$7:Z61)</f>
        <v>1077530</v>
      </c>
      <c r="AE61" s="128">
        <f>INDEX(图鉴!AQ:AQ,MATCH($N61,图鉴!$S:$S,0))*34</f>
        <v>714</v>
      </c>
      <c r="AF61" s="90">
        <f>INDEX(图鉴!AR:AR,MATCH($N61,图鉴!$S:$S,0))*34</f>
        <v>510</v>
      </c>
      <c r="AG61" s="90">
        <f>INDEX(图鉴!AS:AS,MATCH($N61,图鉴!$S:$S,0))*34</f>
        <v>204</v>
      </c>
      <c r="AH61" s="129">
        <f ca="1">INDEX(图鉴!AT:AT,MATCH($N61,图鉴!$S:$S,0))*34</f>
        <v>55930</v>
      </c>
      <c r="AI61" s="128">
        <f>SUM($AE$7:AE61)</f>
        <v>37366</v>
      </c>
      <c r="AJ61" s="90">
        <f>SUM(AF$7:AF61)</f>
        <v>24582</v>
      </c>
      <c r="AK61" s="90">
        <f>SUM(AG$7:AG61)</f>
        <v>9282</v>
      </c>
      <c r="AL61" s="130">
        <f ca="1">SUM(AH$7:AH61)</f>
        <v>2246516</v>
      </c>
      <c r="AM61" s="133">
        <f>IF(M61=0,0,INDEX(关卡产出!$AU$11:$AU$15,MATCH(玩家节奏2!N61,关卡产出!$AW$11:$AW$15,1))*M61)</f>
        <v>61000</v>
      </c>
      <c r="AN61" s="126">
        <f>IF(L61=0,0,$L61*关卡产出!AU$21)</f>
        <v>16000</v>
      </c>
      <c r="AO61" s="90">
        <f>IF(M61=0,0,$L61*关卡产出!AV$21)</f>
        <v>800</v>
      </c>
      <c r="AP61" s="129">
        <f>IF(N61=0,0,$L61*关卡产出!AW$21)</f>
        <v>16</v>
      </c>
      <c r="AQ61" s="138">
        <f>SUM(AN$7:AN61)</f>
        <v>832000</v>
      </c>
      <c r="AR61" s="126">
        <f>SUM(AO$7:AO61)</f>
        <v>41600</v>
      </c>
      <c r="AS61" s="129">
        <f>SUM(AP$7:AP61)</f>
        <v>832</v>
      </c>
      <c r="AT61" s="128">
        <v>3000</v>
      </c>
      <c r="AU61" s="129">
        <v>600</v>
      </c>
      <c r="AV61" s="128">
        <f>SUM(AT$7:AT61)</f>
        <v>165000</v>
      </c>
      <c r="AW61" s="90">
        <f>SUM(AU$7:AU61)</f>
        <v>33000</v>
      </c>
      <c r="AY61" s="128">
        <f t="shared" si="20"/>
        <v>38500</v>
      </c>
      <c r="AZ61" s="90">
        <f t="shared" si="21"/>
        <v>41600</v>
      </c>
      <c r="BA61" s="90">
        <f t="shared" si="22"/>
        <v>33000</v>
      </c>
      <c r="BB61" s="90">
        <f t="shared" ca="1" si="57"/>
        <v>27200</v>
      </c>
      <c r="BC61" s="90">
        <f t="shared" ca="1" si="60"/>
        <v>72325</v>
      </c>
      <c r="BD61" s="90">
        <f t="shared" ca="1" si="61"/>
        <v>67975</v>
      </c>
      <c r="BE61" s="90">
        <f t="shared" ca="1" si="24"/>
        <v>140300</v>
      </c>
      <c r="BF61" s="142">
        <f t="shared" ca="1" si="64"/>
        <v>0.53231939163498099</v>
      </c>
      <c r="BG61" s="142">
        <f t="shared" ca="1" si="65"/>
        <v>0.57518147251987561</v>
      </c>
      <c r="BH61" s="142">
        <f t="shared" ca="1" si="66"/>
        <v>0.45627376425855515</v>
      </c>
      <c r="BI61" s="142">
        <f t="shared" ca="1" si="67"/>
        <v>0.37608019357068789</v>
      </c>
      <c r="BJ61" s="143"/>
      <c r="BK61" s="128">
        <f ca="1">INDEX(商城宝箱!$L:$L,MATCH(BC61,商城宝箱!$N:$N,1))</f>
        <v>10</v>
      </c>
      <c r="BL61" s="90">
        <f ca="1">_xlfn.IFNA(INDEX(商城宝箱!T:T,MATCH(玩家节奏2!$BK61,商城宝箱!$L:$L,0)),0)+($BC61-INDEX(商城宝箱!$N:$N,MATCH(玩家节奏2!$BK61,商城宝箱!$L:$L,0)))/$BK$5*INDEX(商城宝箱!E$23:E$42,MATCH(玩家节奏2!$BK61+1,商城宝箱!$C$23:$C$42,0))</f>
        <v>180812.5</v>
      </c>
      <c r="BM61" s="90">
        <f ca="1">_xlfn.IFNA(INDEX(商城宝箱!U:U,MATCH(玩家节奏2!$BK61,商城宝箱!$L:$L,0)),0)+($BC61-INDEX(商城宝箱!$N:$N,MATCH(玩家节奏2!$BK61,商城宝箱!$L:$L,0)))/$BK$5*INDEX(商城宝箱!F$23:F$42,MATCH(玩家节奏2!$BK61+1,商城宝箱!$C$23:$C$42,0))</f>
        <v>145382.5</v>
      </c>
      <c r="BN61" s="90">
        <f ca="1">_xlfn.IFNA(INDEX(商城宝箱!V:V,MATCH(玩家节奏2!$BK61,商城宝箱!$L:$L,0)),0)+($BC61-INDEX(商城宝箱!$N:$N,MATCH(玩家节奏2!$BK61,商城宝箱!$L:$L,0)))/$BK$5*INDEX(商城宝箱!G$23:G$42,MATCH(玩家节奏2!$BK61+1,商城宝箱!$C$23:$C$42,0))</f>
        <v>80474.5</v>
      </c>
      <c r="BO61" s="90">
        <f ca="1">_xlfn.IFNA(INDEX(商城宝箱!W:W,MATCH(玩家节奏2!$BK61,商城宝箱!$L:$L,0)),0)+($BC61-INDEX(商城宝箱!$N:$N,MATCH(玩家节奏2!$BK61,商城宝箱!$L:$L,0)))/$BK$5*INDEX(商城宝箱!H$23:H$42,MATCH(玩家节奏2!$BK61+1,商城宝箱!$C$23:$C$42,0))</f>
        <v>11537.75</v>
      </c>
      <c r="BQ61" s="128">
        <f t="shared" si="4"/>
        <v>11610000</v>
      </c>
      <c r="BR61" s="90">
        <f t="shared" si="5"/>
        <v>1077530</v>
      </c>
      <c r="BS61" s="90">
        <f t="shared" ca="1" si="68"/>
        <v>2246516</v>
      </c>
      <c r="BT61" s="90">
        <f t="shared" si="69"/>
        <v>61000</v>
      </c>
      <c r="BU61" s="90">
        <f t="shared" si="8"/>
        <v>832000</v>
      </c>
      <c r="BV61" s="90">
        <f t="shared" si="9"/>
        <v>165000</v>
      </c>
      <c r="BW61" s="90">
        <f t="shared" ca="1" si="25"/>
        <v>180812.5</v>
      </c>
      <c r="BX61" s="90">
        <f t="shared" ca="1" si="26"/>
        <v>16172858.5</v>
      </c>
      <c r="BY61" s="142">
        <f t="shared" ca="1" si="74"/>
        <v>0.71786938592209903</v>
      </c>
      <c r="BZ61" s="142">
        <f t="shared" ca="1" si="74"/>
        <v>6.6625822516161878E-2</v>
      </c>
      <c r="CA61" s="142">
        <f t="shared" ca="1" si="73"/>
        <v>0.13890655136814559</v>
      </c>
      <c r="CB61" s="142">
        <f t="shared" ca="1" si="73"/>
        <v>3.7717512955424671E-3</v>
      </c>
      <c r="CC61" s="142">
        <f t="shared" ca="1" si="73"/>
        <v>5.1444214391661192E-2</v>
      </c>
      <c r="CD61" s="142">
        <f t="shared" ca="1" si="73"/>
        <v>1.0202278094500116E-2</v>
      </c>
      <c r="CE61" s="142">
        <f t="shared" ca="1" si="73"/>
        <v>1.1179996411889711E-2</v>
      </c>
      <c r="CG61" s="128">
        <f t="shared" si="28"/>
        <v>200</v>
      </c>
      <c r="CH61" s="90">
        <f ca="1">INDEX(角色升级!$A:$A,MATCH(玩家节奏2!$BX61,角色升级!$J:$J,1))</f>
        <v>875</v>
      </c>
      <c r="CI61" s="90">
        <f ca="1">INDEX(角色升级!$O:$O,MATCH(玩家节奏2!$BX61,角色升级!$J:$J,1))</f>
        <v>66091.670400000003</v>
      </c>
      <c r="CJ61" s="90">
        <f>INDEX(关卡对比!$J:$J,MATCH(玩家节奏2!N61,关卡对比!$A:$A,0))</f>
        <v>86200</v>
      </c>
      <c r="CK61" s="147">
        <f t="shared" ca="1" si="29"/>
        <v>1.3042490752359619</v>
      </c>
      <c r="CL61" s="128">
        <f ca="1">INDEX(角色升级!$P:$P,MATCH(玩家节奏2!$CH61,角色升级!$A:$A,0))</f>
        <v>27200</v>
      </c>
      <c r="CM61" s="90">
        <f ca="1">INDEX(角色升级!Q:Q,MATCH(玩家节奏2!$CH61,角色升级!$A:$A,0))</f>
        <v>1.8</v>
      </c>
      <c r="CO61" s="128">
        <f t="shared" si="30"/>
        <v>78866</v>
      </c>
      <c r="CP61" s="90">
        <f t="shared" si="31"/>
        <v>80910</v>
      </c>
      <c r="CQ61" s="90">
        <f t="shared" si="32"/>
        <v>37366</v>
      </c>
      <c r="CR61" s="90">
        <f t="shared" ca="1" si="33"/>
        <v>145382.5</v>
      </c>
      <c r="CS61" s="90">
        <f t="shared" ca="1" si="34"/>
        <v>342524.5</v>
      </c>
      <c r="CT61" s="142">
        <f t="shared" ca="1" si="35"/>
        <v>0.2302492230482783</v>
      </c>
      <c r="CU61" s="142">
        <f t="shared" ca="1" si="35"/>
        <v>0.23621667939081731</v>
      </c>
      <c r="CV61" s="142">
        <f t="shared" ca="1" si="35"/>
        <v>0.10909000670025064</v>
      </c>
      <c r="CW61" s="142">
        <f t="shared" ca="1" si="35"/>
        <v>0.42444409086065377</v>
      </c>
      <c r="CY61" s="128">
        <f t="shared" si="36"/>
        <v>39434</v>
      </c>
      <c r="CZ61" s="90">
        <f t="shared" si="37"/>
        <v>40291</v>
      </c>
      <c r="DA61" s="90">
        <f t="shared" si="38"/>
        <v>24582</v>
      </c>
      <c r="DB61" s="90">
        <f t="shared" ca="1" si="58"/>
        <v>80474.5</v>
      </c>
      <c r="DC61" s="90">
        <f t="shared" ca="1" si="39"/>
        <v>184781.5</v>
      </c>
      <c r="DD61" s="142">
        <f t="shared" ca="1" si="40"/>
        <v>0.21340880986462391</v>
      </c>
      <c r="DE61" s="142">
        <f t="shared" ca="1" si="40"/>
        <v>0.21804672004502615</v>
      </c>
      <c r="DF61" s="142">
        <f t="shared" ca="1" si="40"/>
        <v>0.13303279819678918</v>
      </c>
      <c r="DG61" s="142">
        <f t="shared" ca="1" si="40"/>
        <v>0.43551167189356077</v>
      </c>
      <c r="DI61" s="128">
        <f t="shared" si="41"/>
        <v>19113</v>
      </c>
      <c r="DJ61" s="90">
        <f t="shared" si="42"/>
        <v>19667</v>
      </c>
      <c r="DK61" s="90">
        <f t="shared" si="43"/>
        <v>9282</v>
      </c>
      <c r="DL61" s="90">
        <f t="shared" ca="1" si="44"/>
        <v>11537.75</v>
      </c>
      <c r="DM61" s="90">
        <f t="shared" ca="1" si="45"/>
        <v>59599.75</v>
      </c>
      <c r="DN61" s="142">
        <f t="shared" ca="1" si="46"/>
        <v>0.32068926463617714</v>
      </c>
      <c r="DO61" s="142">
        <f t="shared" ca="1" si="46"/>
        <v>0.32998460564012433</v>
      </c>
      <c r="DP61" s="142">
        <f t="shared" ca="1" si="46"/>
        <v>0.15573890830078985</v>
      </c>
      <c r="DQ61" s="142">
        <f t="shared" ca="1" si="46"/>
        <v>0.19358722142290866</v>
      </c>
      <c r="DS61" s="128">
        <f t="shared" ca="1" si="47"/>
        <v>342524.5</v>
      </c>
      <c r="DT61" s="90">
        <f t="shared" ca="1" si="48"/>
        <v>184781.5</v>
      </c>
      <c r="DU61" s="90">
        <f t="shared" ca="1" si="49"/>
        <v>59599.75</v>
      </c>
      <c r="DV61" s="90">
        <f t="shared" si="50"/>
        <v>832</v>
      </c>
      <c r="DW61" s="90">
        <f ca="1">_xlfn.IFNA(INDEX(武器升级消耗!$H:$H,MATCH(玩家节奏2!DS61/玩家节奏2!DS$5,武器升级消耗!M:M,1)),0)</f>
        <v>52</v>
      </c>
      <c r="DX61" s="90">
        <f ca="1">_xlfn.IFNA(INDEX(武器升级消耗!$H:$H,MATCH(玩家节奏2!DT61/玩家节奏2!DT$5,武器升级消耗!N:N,1)),0)</f>
        <v>46</v>
      </c>
      <c r="DY61" s="90">
        <f ca="1">_xlfn.IFNA(INDEX(武器升级消耗!$H:$H,MATCH(玩家节奏2!DU61/玩家节奏2!DU$5,武器升级消耗!O:O,1)),0)</f>
        <v>34</v>
      </c>
      <c r="DZ61" s="90">
        <f>_xlfn.IFNA(INDEX(武器升级消耗!$H:$H,MATCH(玩家节奏2!DV61/玩家节奏2!DV$5,武器升级消耗!P:P,1)),0)</f>
        <v>21</v>
      </c>
      <c r="EA61" s="90">
        <f ca="1">_xlfn.IFNA(INDEX(武器升级消耗!$Q:$Q,MATCH(玩家节奏2!DW61,武器升级消耗!$H:$H,0))*2*EA$4,0)</f>
        <v>6.72</v>
      </c>
      <c r="EB61" s="90">
        <f ca="1">_xlfn.IFNA(INDEX(武器升级消耗!$Q:$Q,MATCH(玩家节奏2!DX61,武器升级消耗!$H:$H,0))*2*EB$4,0)</f>
        <v>7.5</v>
      </c>
      <c r="EC61" s="90">
        <f ca="1">_xlfn.IFNA(INDEX(武器升级消耗!$Q:$Q,MATCH(玩家节奏2!DY61,武器升级消耗!$H:$H,0))*2*EC$4,0)</f>
        <v>8.36</v>
      </c>
      <c r="ED61" s="90">
        <f>_xlfn.IFNA(INDEX(武器升级消耗!$Q:$Q,MATCH(玩家节奏2!DZ61,武器升级消耗!$H:$H,0))*2*ED$4,0)</f>
        <v>7.5</v>
      </c>
      <c r="EF61" s="128">
        <f t="shared" si="70"/>
        <v>0</v>
      </c>
      <c r="EG61" s="90">
        <f t="shared" si="71"/>
        <v>0</v>
      </c>
      <c r="EH61" s="90">
        <v>165</v>
      </c>
      <c r="EI61" s="90">
        <v>165</v>
      </c>
      <c r="EJ61" s="90">
        <f>_xlfn.IFNA(INDEX(皮肤宠物!$J$4:$J$13,MATCH(EF61+EH61,皮肤宠物!$L$4:$L$13,1)),0)</f>
        <v>7</v>
      </c>
      <c r="EK61" s="90">
        <f>_xlfn.IFNA(INDEX(皮肤宠物!$J$4:$J$13,MATCH(EG61+EI61,皮肤宠物!$L$4:$L$13,1)),0)</f>
        <v>7</v>
      </c>
      <c r="EL61" s="90">
        <f>_xlfn.IFNA(INDEX(皮肤宠物!$N$4:$N$13,MATCH(EF61+EH61,皮肤宠物!$L$4:$L$13,1)),1)</f>
        <v>1.87</v>
      </c>
      <c r="EM61" s="90">
        <f>_xlfn.IFNA(INDEX(皮肤宠物!$N$4:$N$13,MATCH(EG61+EI61,皮肤宠物!$L$4:$L$13,1)),1)</f>
        <v>1.87</v>
      </c>
      <c r="EO61" s="128">
        <v>165</v>
      </c>
      <c r="EP61" s="90">
        <v>55</v>
      </c>
      <c r="EQ61" s="90">
        <f t="shared" ca="1" si="51"/>
        <v>67975</v>
      </c>
      <c r="ER61" s="90">
        <f t="shared" si="72"/>
        <v>0</v>
      </c>
      <c r="ES61" s="90">
        <f t="shared" ca="1" si="52"/>
        <v>734.75</v>
      </c>
      <c r="ET61" s="90">
        <f ca="1">$ES61*ET$5*皮肤宠物!$J$75/4</f>
        <v>2425.4097500000003</v>
      </c>
      <c r="EU61" s="90">
        <f ca="1">$ES61*EU$5*皮肤宠物!$J$76/4</f>
        <v>404.84725000000003</v>
      </c>
      <c r="EV61" s="90">
        <f ca="1">$ES61*EV$5*皮肤宠物!$J$77/4</f>
        <v>109.66143750000001</v>
      </c>
      <c r="EW61" s="90">
        <f ca="1">_xlfn.IFNA(INDEX(皮肤宠物!$H$18:$H$67,MATCH(ET61,皮肤宠物!L$18:L$67,1)),0)</f>
        <v>17</v>
      </c>
      <c r="EX61" s="90">
        <f ca="1">_xlfn.IFNA(INDEX(皮肤宠物!$H$18:$H$67,MATCH(EU61,皮肤宠物!M$18:M$67,1)),0)</f>
        <v>13</v>
      </c>
      <c r="EY61" s="90">
        <f ca="1">_xlfn.IFNA(INDEX(皮肤宠物!$H$18:$H$67,MATCH(EV61,皮肤宠物!N$18:N$67,1)),0)</f>
        <v>9</v>
      </c>
      <c r="EZ61" s="90">
        <f ca="1">_xlfn.IFNA(INDEX(皮肤宠物!C$18:C$67,MATCH(EW61,皮肤宠物!$A$18:$A$67,0))+1,1)</f>
        <v>1.17</v>
      </c>
      <c r="FA61" s="90">
        <f ca="1">_xlfn.IFNA(INDEX(皮肤宠物!D$18:D$67,MATCH(EX61,皮肤宠物!$A$18:$A$67,0))+1,1)</f>
        <v>1.26</v>
      </c>
      <c r="FB61" s="90">
        <f ca="1">_xlfn.IFNA(INDEX(皮肤宠物!E$18:E$67,MATCH(EY61,皮肤宠物!$A$18:$A$67,0))+1,1)</f>
        <v>1.3599999999999999</v>
      </c>
      <c r="FD61" s="90">
        <f t="shared" ca="1" si="53"/>
        <v>8.36</v>
      </c>
      <c r="FE61" s="90">
        <f t="shared" si="54"/>
        <v>1.87</v>
      </c>
      <c r="FF61" s="90">
        <f t="shared" ca="1" si="55"/>
        <v>1.3599999999999999</v>
      </c>
      <c r="FG61" s="90">
        <f t="shared" ca="1" si="56"/>
        <v>21.261151999999999</v>
      </c>
    </row>
    <row r="62" spans="1:163" x14ac:dyDescent="0.25">
      <c r="A62" s="123">
        <v>56</v>
      </c>
      <c r="B62" s="123">
        <f>INDEX(关卡对比!$Y:$Y,MATCH(关卡对比!Z62,关卡对比!$AA:$AA,1))</f>
        <v>40</v>
      </c>
      <c r="C62" s="124">
        <f>INDEX(关卡对比!$Y:$Y,MATCH(关卡对比!Z62,关卡对比!$AB:$AB,1))</f>
        <v>32</v>
      </c>
      <c r="D62" s="125">
        <f t="shared" si="63"/>
        <v>225.5</v>
      </c>
      <c r="E62" s="125">
        <v>2</v>
      </c>
      <c r="F62" s="128">
        <v>16</v>
      </c>
      <c r="G62" s="90">
        <v>16</v>
      </c>
      <c r="H62" s="90">
        <v>5</v>
      </c>
      <c r="J62" s="128">
        <v>56</v>
      </c>
      <c r="K62" s="90">
        <f t="shared" si="17"/>
        <v>16</v>
      </c>
      <c r="L62" s="90">
        <f t="shared" si="18"/>
        <v>16</v>
      </c>
      <c r="M62" s="90">
        <f t="shared" si="19"/>
        <v>5</v>
      </c>
      <c r="N62" s="140">
        <f>INDEX($A:$A,MATCH(SUM($K$7:K62),$D:$D,1))</f>
        <v>200</v>
      </c>
      <c r="O62" s="140">
        <v>0</v>
      </c>
      <c r="P62" s="141">
        <v>0</v>
      </c>
      <c r="Q62" s="126">
        <f>_xlfn.MAXIFS(关卡产出!X:X,关卡产出!$A:$A,玩家节奏2!$N$6,关卡产出!$B:$B,玩家节奏2!$N62)+_xlfn.MAXIFS(关卡产出!X:X,关卡产出!$A:$A,玩家节奏2!$O$6,关卡产出!$B:$B,玩家节奏2!$O62)+_xlfn.MAXIFS(关卡产出!X:X,关卡产出!$A:$A,玩家节奏2!$P$6,关卡产出!$B:$B,玩家节奏2!$P62)</f>
        <v>38500</v>
      </c>
      <c r="R62" s="90">
        <f>_xlfn.MAXIFS(关卡产出!Y:Y,关卡产出!$A:$A,玩家节奏2!$N$6,关卡产出!$B:$B,玩家节奏2!$N62)+_xlfn.MAXIFS(关卡产出!Y:Y,关卡产出!$A:$A,玩家节奏2!$O$6,关卡产出!$B:$B,玩家节奏2!$O62)+_xlfn.MAXIFS(关卡产出!Y:Y,关卡产出!$A:$A,玩家节奏2!$P$6,关卡产出!$B:$B,玩家节奏2!$P62)</f>
        <v>11610000</v>
      </c>
      <c r="S62" s="90">
        <f>_xlfn.MAXIFS(关卡产出!Z:Z,关卡产出!$A:$A,玩家节奏2!$N$6,关卡产出!$B:$B,玩家节奏2!$N62)+_xlfn.MAXIFS(关卡产出!Z:Z,关卡产出!$A:$A,玩家节奏2!$O$6,关卡产出!$B:$B,玩家节奏2!$O62)+_xlfn.MAXIFS(关卡产出!Z:Z,关卡产出!$A:$A,玩家节奏2!$P$6,关卡产出!$B:$B,玩家节奏2!$P62)</f>
        <v>78866</v>
      </c>
      <c r="T62" s="90">
        <f>_xlfn.MAXIFS(关卡产出!AA:AA,关卡产出!$A:$A,玩家节奏2!$N$6,关卡产出!$B:$B,玩家节奏2!$N62)+_xlfn.MAXIFS(关卡产出!AA:AA,关卡产出!$A:$A,玩家节奏2!$O$6,关卡产出!$B:$B,玩家节奏2!$O62)+_xlfn.MAXIFS(关卡产出!AA:AA,关卡产出!$A:$A,玩家节奏2!$P$6,关卡产出!$B:$B,玩家节奏2!$P62)</f>
        <v>39434</v>
      </c>
      <c r="U62" s="90">
        <f>_xlfn.MAXIFS(关卡产出!AB:AB,关卡产出!$A:$A,玩家节奏2!$N$6,关卡产出!$B:$B,玩家节奏2!$N62)+_xlfn.MAXIFS(关卡产出!AB:AB,关卡产出!$A:$A,玩家节奏2!$O$6,关卡产出!$B:$B,玩家节奏2!$O62)+_xlfn.MAXIFS(关卡产出!AB:AB,关卡产出!$A:$A,玩家节奏2!$P$6,关卡产出!$B:$B,玩家节奏2!$P62)</f>
        <v>19113</v>
      </c>
      <c r="V62" s="130">
        <f>_xlfn.MAXIFS(关卡产出!AC:AC,关卡产出!$A:$A,玩家节奏2!$N$6,关卡产出!$B:$B,玩家节奏2!$N62)+_xlfn.MAXIFS(关卡产出!AC:AC,关卡产出!$A:$A,玩家节奏2!$O$6,关卡产出!$B:$B,玩家节奏2!$O62)+_xlfn.MAXIFS(关卡产出!AC:AC,关卡产出!$A:$A,玩家节奏2!$P$6,关卡产出!$B:$B,玩家节奏2!$P62)</f>
        <v>1200</v>
      </c>
      <c r="W62" s="126">
        <f>INDEX(关卡产出!C$8:C$207,MATCH(玩家节奏2!$N62,关卡产出!$B$8:$B$207,0))*$K62</f>
        <v>2528</v>
      </c>
      <c r="X62" s="126">
        <f>INDEX(关卡产出!D$8:D$207,MATCH(玩家节奏2!$N62,关卡产出!$B$8:$B$207,0))*$K62</f>
        <v>1264</v>
      </c>
      <c r="Y62" s="126">
        <f>INDEX(关卡产出!E$8:E$207,MATCH(玩家节奏2!$N62,关卡产出!$B$8:$B$207,0))*$K62</f>
        <v>624</v>
      </c>
      <c r="Z62" s="144">
        <f>INDEX(关卡产出!F$8:F$207,MATCH(玩家节奏2!$N62,关卡产出!$B$8:$B$207,0))*$K62</f>
        <v>32800</v>
      </c>
      <c r="AA62" s="126">
        <f>SUM(W$7:W62)</f>
        <v>83438</v>
      </c>
      <c r="AB62" s="126">
        <f>SUM(X$7:X62)</f>
        <v>41555</v>
      </c>
      <c r="AC62" s="126">
        <f>SUM(Y$7:Y62)</f>
        <v>20291</v>
      </c>
      <c r="AD62" s="177">
        <f>SUM(Z$7:Z62)</f>
        <v>1110330</v>
      </c>
      <c r="AE62" s="128">
        <f>INDEX(图鉴!AQ:AQ,MATCH($N62,图鉴!$S:$S,0))*34</f>
        <v>714</v>
      </c>
      <c r="AF62" s="90">
        <f>INDEX(图鉴!AR:AR,MATCH($N62,图鉴!$S:$S,0))*34</f>
        <v>510</v>
      </c>
      <c r="AG62" s="90">
        <f>INDEX(图鉴!AS:AS,MATCH($N62,图鉴!$S:$S,0))*34</f>
        <v>204</v>
      </c>
      <c r="AH62" s="129">
        <f ca="1">INDEX(图鉴!AT:AT,MATCH($N62,图鉴!$S:$S,0))*34</f>
        <v>55930</v>
      </c>
      <c r="AI62" s="128">
        <f>SUM($AE$7:AE62)</f>
        <v>38080</v>
      </c>
      <c r="AJ62" s="90">
        <f>SUM(AF$7:AF62)</f>
        <v>25092</v>
      </c>
      <c r="AK62" s="90">
        <f>SUM(AG$7:AG62)</f>
        <v>9486</v>
      </c>
      <c r="AL62" s="130">
        <f ca="1">SUM(AH$7:AH62)</f>
        <v>2302446</v>
      </c>
      <c r="AM62" s="133">
        <f>IF(M62=0,0,INDEX(关卡产出!$AU$11:$AU$15,MATCH(玩家节奏2!N62,关卡产出!$AW$11:$AW$15,1))*M62)</f>
        <v>61000</v>
      </c>
      <c r="AN62" s="126">
        <f>IF(L62=0,0,$L62*关卡产出!AU$21)</f>
        <v>16000</v>
      </c>
      <c r="AO62" s="90">
        <f>IF(M62=0,0,$L62*关卡产出!AV$21)</f>
        <v>800</v>
      </c>
      <c r="AP62" s="129">
        <f>IF(N62=0,0,$L62*关卡产出!AW$21)</f>
        <v>16</v>
      </c>
      <c r="AQ62" s="138">
        <f>SUM(AN$7:AN62)</f>
        <v>848000</v>
      </c>
      <c r="AR62" s="126">
        <f>SUM(AO$7:AO62)</f>
        <v>42400</v>
      </c>
      <c r="AS62" s="129">
        <f>SUM(AP$7:AP62)</f>
        <v>848</v>
      </c>
      <c r="AT62" s="128">
        <v>3000</v>
      </c>
      <c r="AU62" s="129">
        <v>600</v>
      </c>
      <c r="AV62" s="128">
        <f>SUM(AT$7:AT62)</f>
        <v>168000</v>
      </c>
      <c r="AW62" s="90">
        <f>SUM(AU$7:AU62)</f>
        <v>33600</v>
      </c>
      <c r="AY62" s="128">
        <f t="shared" si="20"/>
        <v>38500</v>
      </c>
      <c r="AZ62" s="90">
        <f t="shared" si="21"/>
        <v>42400</v>
      </c>
      <c r="BA62" s="90">
        <f t="shared" si="22"/>
        <v>33600</v>
      </c>
      <c r="BB62" s="90">
        <f t="shared" ca="1" si="57"/>
        <v>27200</v>
      </c>
      <c r="BC62" s="90">
        <f t="shared" ca="1" si="60"/>
        <v>73025</v>
      </c>
      <c r="BD62" s="90">
        <f t="shared" ca="1" si="61"/>
        <v>68675</v>
      </c>
      <c r="BE62" s="90">
        <f t="shared" ca="1" si="24"/>
        <v>141700</v>
      </c>
      <c r="BF62" s="142">
        <f t="shared" ca="1" si="64"/>
        <v>0.52721670660732622</v>
      </c>
      <c r="BG62" s="142">
        <f t="shared" ca="1" si="65"/>
        <v>0.58062307428962689</v>
      </c>
      <c r="BH62" s="142">
        <f t="shared" ca="1" si="66"/>
        <v>0.46011639849366653</v>
      </c>
      <c r="BI62" s="142">
        <f t="shared" ca="1" si="67"/>
        <v>0.37247517973296818</v>
      </c>
      <c r="BJ62" s="143"/>
      <c r="BK62" s="128">
        <f ca="1">INDEX(商城宝箱!$L:$L,MATCH(BC62,商城宝箱!$N:$N,1))</f>
        <v>10</v>
      </c>
      <c r="BL62" s="90">
        <f ca="1">_xlfn.IFNA(INDEX(商城宝箱!T:T,MATCH(玩家节奏2!$BK62,商城宝箱!$L:$L,0)),0)+($BC62-INDEX(商城宝箱!$N:$N,MATCH(玩家节奏2!$BK62,商城宝箱!$L:$L,0)))/$BK$5*INDEX(商城宝箱!E$23:E$42,MATCH(玩家节奏2!$BK62+1,商城宝箱!$C$23:$C$42,0))</f>
        <v>182562.5</v>
      </c>
      <c r="BM62" s="90">
        <f ca="1">_xlfn.IFNA(INDEX(商城宝箱!U:U,MATCH(玩家节奏2!$BK62,商城宝箱!$L:$L,0)),0)+($BC62-INDEX(商城宝箱!$N:$N,MATCH(玩家节奏2!$BK62,商城宝箱!$L:$L,0)))/$BK$5*INDEX(商城宝箱!F$23:F$42,MATCH(玩家节奏2!$BK62+1,商城宝箱!$C$23:$C$42,0))</f>
        <v>147622.5</v>
      </c>
      <c r="BN62" s="90">
        <f ca="1">_xlfn.IFNA(INDEX(商城宝箱!V:V,MATCH(玩家节奏2!$BK62,商城宝箱!$L:$L,0)),0)+($BC62-INDEX(商城宝箱!$N:$N,MATCH(玩家节奏2!$BK62,商城宝箱!$L:$L,0)))/$BK$5*INDEX(商城宝箱!G$23:G$42,MATCH(玩家节奏2!$BK62+1,商城宝箱!$C$23:$C$42,0))</f>
        <v>81524.5</v>
      </c>
      <c r="BO62" s="90">
        <f ca="1">_xlfn.IFNA(INDEX(商城宝箱!W:W,MATCH(玩家节奏2!$BK62,商城宝箱!$L:$L,0)),0)+($BC62-INDEX(商城宝箱!$N:$N,MATCH(玩家节奏2!$BK62,商城宝箱!$L:$L,0)))/$BK$5*INDEX(商城宝箱!H$23:H$42,MATCH(玩家节奏2!$BK62+1,商城宝箱!$C$23:$C$42,0))</f>
        <v>11712.75</v>
      </c>
      <c r="BQ62" s="128">
        <f t="shared" si="4"/>
        <v>11610000</v>
      </c>
      <c r="BR62" s="90">
        <f t="shared" si="5"/>
        <v>1110330</v>
      </c>
      <c r="BS62" s="90">
        <f t="shared" ca="1" si="68"/>
        <v>2302446</v>
      </c>
      <c r="BT62" s="90">
        <f t="shared" si="69"/>
        <v>61000</v>
      </c>
      <c r="BU62" s="90">
        <f t="shared" si="8"/>
        <v>848000</v>
      </c>
      <c r="BV62" s="90">
        <f t="shared" si="9"/>
        <v>168000</v>
      </c>
      <c r="BW62" s="90">
        <f t="shared" ca="1" si="25"/>
        <v>182562.5</v>
      </c>
      <c r="BX62" s="90">
        <f t="shared" ca="1" si="26"/>
        <v>16282338.5</v>
      </c>
      <c r="BY62" s="142">
        <f t="shared" ca="1" si="74"/>
        <v>0.71304253992754174</v>
      </c>
      <c r="BZ62" s="142">
        <f t="shared" ca="1" si="74"/>
        <v>6.8192293140202184E-2</v>
      </c>
      <c r="CA62" s="142">
        <f t="shared" ca="1" si="73"/>
        <v>0.14140757483944952</v>
      </c>
      <c r="CB62" s="142">
        <f t="shared" ca="1" si="73"/>
        <v>3.7463906059931134E-3</v>
      </c>
      <c r="CC62" s="142">
        <f t="shared" ca="1" si="73"/>
        <v>5.2080971047248528E-2</v>
      </c>
      <c r="CD62" s="142">
        <f t="shared" ca="1" si="73"/>
        <v>1.0317928226341689E-2</v>
      </c>
      <c r="CE62" s="142">
        <f t="shared" ca="1" si="73"/>
        <v>1.1212302213223242E-2</v>
      </c>
      <c r="CG62" s="128">
        <f t="shared" si="28"/>
        <v>200</v>
      </c>
      <c r="CH62" s="90">
        <f ca="1">INDEX(角色升级!$A:$A,MATCH(玩家节奏2!$BX62,角色升级!$J:$J,1))</f>
        <v>877</v>
      </c>
      <c r="CI62" s="90">
        <f ca="1">INDEX(角色升级!$O:$O,MATCH(玩家节奏2!$BX62,角色升级!$J:$J,1))</f>
        <v>66976.826700000005</v>
      </c>
      <c r="CJ62" s="90">
        <f>INDEX(关卡对比!$J:$J,MATCH(玩家节奏2!N62,关卡对比!$A:$A,0))</f>
        <v>86200</v>
      </c>
      <c r="CK62" s="147">
        <f t="shared" ca="1" si="29"/>
        <v>1.2870123033165439</v>
      </c>
      <c r="CL62" s="128">
        <f ca="1">INDEX(角色升级!$P:$P,MATCH(玩家节奏2!$CH62,角色升级!$A:$A,0))</f>
        <v>27200</v>
      </c>
      <c r="CM62" s="90">
        <f ca="1">INDEX(角色升级!Q:Q,MATCH(玩家节奏2!$CH62,角色升级!$A:$A,0))</f>
        <v>1.8</v>
      </c>
      <c r="CO62" s="128">
        <f t="shared" si="30"/>
        <v>78866</v>
      </c>
      <c r="CP62" s="90">
        <f t="shared" si="31"/>
        <v>83438</v>
      </c>
      <c r="CQ62" s="90">
        <f t="shared" si="32"/>
        <v>38080</v>
      </c>
      <c r="CR62" s="90">
        <f t="shared" ca="1" si="33"/>
        <v>147622.5</v>
      </c>
      <c r="CS62" s="90">
        <f t="shared" ca="1" si="34"/>
        <v>348006.5</v>
      </c>
      <c r="CT62" s="142">
        <f t="shared" ca="1" si="35"/>
        <v>0.22662220389561688</v>
      </c>
      <c r="CU62" s="142">
        <f t="shared" ca="1" si="35"/>
        <v>0.23975988954229302</v>
      </c>
      <c r="CV62" s="142">
        <f t="shared" ca="1" si="35"/>
        <v>0.10942324353137083</v>
      </c>
      <c r="CW62" s="142">
        <f t="shared" ca="1" si="35"/>
        <v>0.42419466303071923</v>
      </c>
      <c r="CY62" s="128">
        <f t="shared" si="36"/>
        <v>39434</v>
      </c>
      <c r="CZ62" s="90">
        <f t="shared" si="37"/>
        <v>41555</v>
      </c>
      <c r="DA62" s="90">
        <f t="shared" si="38"/>
        <v>25092</v>
      </c>
      <c r="DB62" s="90">
        <f t="shared" ca="1" si="58"/>
        <v>81524.5</v>
      </c>
      <c r="DC62" s="90">
        <f t="shared" ca="1" si="39"/>
        <v>187605.5</v>
      </c>
      <c r="DD62" s="142">
        <f t="shared" ca="1" si="40"/>
        <v>0.21019639616109337</v>
      </c>
      <c r="DE62" s="142">
        <f t="shared" ca="1" si="40"/>
        <v>0.2215020348550549</v>
      </c>
      <c r="DF62" s="142">
        <f t="shared" ca="1" si="40"/>
        <v>0.13374874404002016</v>
      </c>
      <c r="DG62" s="142">
        <f t="shared" ca="1" si="40"/>
        <v>0.43455282494383163</v>
      </c>
      <c r="DI62" s="128">
        <f t="shared" si="41"/>
        <v>19113</v>
      </c>
      <c r="DJ62" s="90">
        <f t="shared" si="42"/>
        <v>20291</v>
      </c>
      <c r="DK62" s="90">
        <f t="shared" si="43"/>
        <v>9486</v>
      </c>
      <c r="DL62" s="90">
        <f t="shared" ca="1" si="44"/>
        <v>11712.75</v>
      </c>
      <c r="DM62" s="90">
        <f t="shared" ca="1" si="45"/>
        <v>60602.75</v>
      </c>
      <c r="DN62" s="142">
        <f t="shared" ca="1" si="46"/>
        <v>0.31538172772687706</v>
      </c>
      <c r="DO62" s="142">
        <f t="shared" ca="1" si="46"/>
        <v>0.33481978953100311</v>
      </c>
      <c r="DP62" s="142">
        <f t="shared" ca="1" si="46"/>
        <v>0.15652755031743609</v>
      </c>
      <c r="DQ62" s="142">
        <f t="shared" ca="1" si="46"/>
        <v>0.19327093242468371</v>
      </c>
      <c r="DS62" s="128">
        <f t="shared" ca="1" si="47"/>
        <v>348006.5</v>
      </c>
      <c r="DT62" s="90">
        <f t="shared" ca="1" si="48"/>
        <v>187605.5</v>
      </c>
      <c r="DU62" s="90">
        <f t="shared" ca="1" si="49"/>
        <v>60602.75</v>
      </c>
      <c r="DV62" s="90">
        <f t="shared" si="50"/>
        <v>848</v>
      </c>
      <c r="DW62" s="90">
        <f ca="1">_xlfn.IFNA(INDEX(武器升级消耗!$H:$H,MATCH(玩家节奏2!DS62/玩家节奏2!DS$5,武器升级消耗!M:M,1)),0)</f>
        <v>52</v>
      </c>
      <c r="DX62" s="90">
        <f ca="1">_xlfn.IFNA(INDEX(武器升级消耗!$H:$H,MATCH(玩家节奏2!DT62/玩家节奏2!DT$5,武器升级消耗!N:N,1)),0)</f>
        <v>46</v>
      </c>
      <c r="DY62" s="90">
        <f ca="1">_xlfn.IFNA(INDEX(武器升级消耗!$H:$H,MATCH(玩家节奏2!DU62/玩家节奏2!DU$5,武器升级消耗!O:O,1)),0)</f>
        <v>34</v>
      </c>
      <c r="DZ62" s="90">
        <f>_xlfn.IFNA(INDEX(武器升级消耗!$H:$H,MATCH(玩家节奏2!DV62/玩家节奏2!DV$5,武器升级消耗!P:P,1)),0)</f>
        <v>21</v>
      </c>
      <c r="EA62" s="90">
        <f ca="1">_xlfn.IFNA(INDEX(武器升级消耗!$Q:$Q,MATCH(玩家节奏2!DW62,武器升级消耗!$H:$H,0))*2*EA$4,0)</f>
        <v>6.72</v>
      </c>
      <c r="EB62" s="90">
        <f ca="1">_xlfn.IFNA(INDEX(武器升级消耗!$Q:$Q,MATCH(玩家节奏2!DX62,武器升级消耗!$H:$H,0))*2*EB$4,0)</f>
        <v>7.5</v>
      </c>
      <c r="EC62" s="90">
        <f ca="1">_xlfn.IFNA(INDEX(武器升级消耗!$Q:$Q,MATCH(玩家节奏2!DY62,武器升级消耗!$H:$H,0))*2*EC$4,0)</f>
        <v>8.36</v>
      </c>
      <c r="ED62" s="90">
        <f>_xlfn.IFNA(INDEX(武器升级消耗!$Q:$Q,MATCH(玩家节奏2!DZ62,武器升级消耗!$H:$H,0))*2*ED$4,0)</f>
        <v>7.5</v>
      </c>
      <c r="EF62" s="128">
        <f t="shared" si="70"/>
        <v>0</v>
      </c>
      <c r="EG62" s="90">
        <f t="shared" si="71"/>
        <v>0</v>
      </c>
      <c r="EH62" s="90">
        <v>168</v>
      </c>
      <c r="EI62" s="90">
        <v>168</v>
      </c>
      <c r="EJ62" s="90">
        <f>_xlfn.IFNA(INDEX(皮肤宠物!$J$4:$J$13,MATCH(EF62+EH62,皮肤宠物!$L$4:$L$13,1)),0)</f>
        <v>7</v>
      </c>
      <c r="EK62" s="90">
        <f>_xlfn.IFNA(INDEX(皮肤宠物!$J$4:$J$13,MATCH(EG62+EI62,皮肤宠物!$L$4:$L$13,1)),0)</f>
        <v>7</v>
      </c>
      <c r="EL62" s="90">
        <f>_xlfn.IFNA(INDEX(皮肤宠物!$N$4:$N$13,MATCH(EF62+EH62,皮肤宠物!$L$4:$L$13,1)),1)</f>
        <v>1.87</v>
      </c>
      <c r="EM62" s="90">
        <f>_xlfn.IFNA(INDEX(皮肤宠物!$N$4:$N$13,MATCH(EG62+EI62,皮肤宠物!$L$4:$L$13,1)),1)</f>
        <v>1.87</v>
      </c>
      <c r="EO62" s="128">
        <v>168</v>
      </c>
      <c r="EP62" s="90">
        <v>56</v>
      </c>
      <c r="EQ62" s="90">
        <f t="shared" ca="1" si="51"/>
        <v>68675</v>
      </c>
      <c r="ER62" s="90">
        <f t="shared" si="72"/>
        <v>0</v>
      </c>
      <c r="ES62" s="90">
        <f t="shared" ca="1" si="52"/>
        <v>742.75</v>
      </c>
      <c r="ET62" s="90">
        <f ca="1">$ES62*ET$5*皮肤宠物!$J$75/4</f>
        <v>2451.8177500000002</v>
      </c>
      <c r="EU62" s="90">
        <f ca="1">$ES62*EU$5*皮肤宠物!$J$76/4</f>
        <v>409.25525000000005</v>
      </c>
      <c r="EV62" s="90">
        <f ca="1">$ES62*EV$5*皮肤宠物!$J$77/4</f>
        <v>110.85543750000001</v>
      </c>
      <c r="EW62" s="90">
        <f ca="1">_xlfn.IFNA(INDEX(皮肤宠物!$H$18:$H$67,MATCH(ET62,皮肤宠物!L$18:L$67,1)),0)</f>
        <v>17</v>
      </c>
      <c r="EX62" s="90">
        <f ca="1">_xlfn.IFNA(INDEX(皮肤宠物!$H$18:$H$67,MATCH(EU62,皮肤宠物!M$18:M$67,1)),0)</f>
        <v>13</v>
      </c>
      <c r="EY62" s="90">
        <f ca="1">_xlfn.IFNA(INDEX(皮肤宠物!$H$18:$H$67,MATCH(EV62,皮肤宠物!N$18:N$67,1)),0)</f>
        <v>10</v>
      </c>
      <c r="EZ62" s="90">
        <f ca="1">_xlfn.IFNA(INDEX(皮肤宠物!C$18:C$67,MATCH(EW62,皮肤宠物!$A$18:$A$67,0))+1,1)</f>
        <v>1.17</v>
      </c>
      <c r="FA62" s="90">
        <f ca="1">_xlfn.IFNA(INDEX(皮肤宠物!D$18:D$67,MATCH(EX62,皮肤宠物!$A$18:$A$67,0))+1,1)</f>
        <v>1.26</v>
      </c>
      <c r="FB62" s="90">
        <f ca="1">_xlfn.IFNA(INDEX(皮肤宠物!E$18:E$67,MATCH(EY62,皮肤宠物!$A$18:$A$67,0))+1,1)</f>
        <v>1.4</v>
      </c>
      <c r="FD62" s="90">
        <f t="shared" ca="1" si="53"/>
        <v>8.36</v>
      </c>
      <c r="FE62" s="90">
        <f t="shared" si="54"/>
        <v>1.87</v>
      </c>
      <c r="FF62" s="90">
        <f t="shared" ca="1" si="55"/>
        <v>1.4</v>
      </c>
      <c r="FG62" s="90">
        <f t="shared" ca="1" si="56"/>
        <v>21.886479999999999</v>
      </c>
    </row>
    <row r="63" spans="1:163" x14ac:dyDescent="0.25">
      <c r="A63" s="123">
        <v>57</v>
      </c>
      <c r="B63" s="123">
        <f>INDEX(关卡对比!$Y:$Y,MATCH(关卡对比!Z63,关卡对比!$AA:$AA,1))</f>
        <v>41</v>
      </c>
      <c r="C63" s="124">
        <f>INDEX(关卡对比!$Y:$Y,MATCH(关卡对比!Z63,关卡对比!$AB:$AB,1))</f>
        <v>33</v>
      </c>
      <c r="D63" s="125">
        <f t="shared" si="63"/>
        <v>231.5</v>
      </c>
      <c r="E63" s="125">
        <v>2</v>
      </c>
      <c r="F63" s="128">
        <v>16</v>
      </c>
      <c r="G63" s="90">
        <v>16</v>
      </c>
      <c r="H63" s="90">
        <v>5</v>
      </c>
      <c r="J63" s="128">
        <v>57</v>
      </c>
      <c r="K63" s="90">
        <f t="shared" si="17"/>
        <v>16</v>
      </c>
      <c r="L63" s="90">
        <f t="shared" si="18"/>
        <v>16</v>
      </c>
      <c r="M63" s="90">
        <f t="shared" si="19"/>
        <v>5</v>
      </c>
      <c r="N63" s="140">
        <f>INDEX($A:$A,MATCH(SUM($K$7:K63),$D:$D,1))</f>
        <v>200</v>
      </c>
      <c r="O63" s="140">
        <v>0</v>
      </c>
      <c r="P63" s="141">
        <v>0</v>
      </c>
      <c r="Q63" s="126">
        <f>_xlfn.MAXIFS(关卡产出!X:X,关卡产出!$A:$A,玩家节奏2!$N$6,关卡产出!$B:$B,玩家节奏2!$N63)+_xlfn.MAXIFS(关卡产出!X:X,关卡产出!$A:$A,玩家节奏2!$O$6,关卡产出!$B:$B,玩家节奏2!$O63)+_xlfn.MAXIFS(关卡产出!X:X,关卡产出!$A:$A,玩家节奏2!$P$6,关卡产出!$B:$B,玩家节奏2!$P63)</f>
        <v>38500</v>
      </c>
      <c r="R63" s="90">
        <f>_xlfn.MAXIFS(关卡产出!Y:Y,关卡产出!$A:$A,玩家节奏2!$N$6,关卡产出!$B:$B,玩家节奏2!$N63)+_xlfn.MAXIFS(关卡产出!Y:Y,关卡产出!$A:$A,玩家节奏2!$O$6,关卡产出!$B:$B,玩家节奏2!$O63)+_xlfn.MAXIFS(关卡产出!Y:Y,关卡产出!$A:$A,玩家节奏2!$P$6,关卡产出!$B:$B,玩家节奏2!$P63)</f>
        <v>11610000</v>
      </c>
      <c r="S63" s="90">
        <f>_xlfn.MAXIFS(关卡产出!Z:Z,关卡产出!$A:$A,玩家节奏2!$N$6,关卡产出!$B:$B,玩家节奏2!$N63)+_xlfn.MAXIFS(关卡产出!Z:Z,关卡产出!$A:$A,玩家节奏2!$O$6,关卡产出!$B:$B,玩家节奏2!$O63)+_xlfn.MAXIFS(关卡产出!Z:Z,关卡产出!$A:$A,玩家节奏2!$P$6,关卡产出!$B:$B,玩家节奏2!$P63)</f>
        <v>78866</v>
      </c>
      <c r="T63" s="90">
        <f>_xlfn.MAXIFS(关卡产出!AA:AA,关卡产出!$A:$A,玩家节奏2!$N$6,关卡产出!$B:$B,玩家节奏2!$N63)+_xlfn.MAXIFS(关卡产出!AA:AA,关卡产出!$A:$A,玩家节奏2!$O$6,关卡产出!$B:$B,玩家节奏2!$O63)+_xlfn.MAXIFS(关卡产出!AA:AA,关卡产出!$A:$A,玩家节奏2!$P$6,关卡产出!$B:$B,玩家节奏2!$P63)</f>
        <v>39434</v>
      </c>
      <c r="U63" s="90">
        <f>_xlfn.MAXIFS(关卡产出!AB:AB,关卡产出!$A:$A,玩家节奏2!$N$6,关卡产出!$B:$B,玩家节奏2!$N63)+_xlfn.MAXIFS(关卡产出!AB:AB,关卡产出!$A:$A,玩家节奏2!$O$6,关卡产出!$B:$B,玩家节奏2!$O63)+_xlfn.MAXIFS(关卡产出!AB:AB,关卡产出!$A:$A,玩家节奏2!$P$6,关卡产出!$B:$B,玩家节奏2!$P63)</f>
        <v>19113</v>
      </c>
      <c r="V63" s="130">
        <f>_xlfn.MAXIFS(关卡产出!AC:AC,关卡产出!$A:$A,玩家节奏2!$N$6,关卡产出!$B:$B,玩家节奏2!$N63)+_xlfn.MAXIFS(关卡产出!AC:AC,关卡产出!$A:$A,玩家节奏2!$O$6,关卡产出!$B:$B,玩家节奏2!$O63)+_xlfn.MAXIFS(关卡产出!AC:AC,关卡产出!$A:$A,玩家节奏2!$P$6,关卡产出!$B:$B,玩家节奏2!$P63)</f>
        <v>1200</v>
      </c>
      <c r="W63" s="126">
        <f>INDEX(关卡产出!C$8:C$207,MATCH(玩家节奏2!$N63,关卡产出!$B$8:$B$207,0))*$K63</f>
        <v>2528</v>
      </c>
      <c r="X63" s="126">
        <f>INDEX(关卡产出!D$8:D$207,MATCH(玩家节奏2!$N63,关卡产出!$B$8:$B$207,0))*$K63</f>
        <v>1264</v>
      </c>
      <c r="Y63" s="126">
        <f>INDEX(关卡产出!E$8:E$207,MATCH(玩家节奏2!$N63,关卡产出!$B$8:$B$207,0))*$K63</f>
        <v>624</v>
      </c>
      <c r="Z63" s="144">
        <f>INDEX(关卡产出!F$8:F$207,MATCH(玩家节奏2!$N63,关卡产出!$B$8:$B$207,0))*$K63</f>
        <v>32800</v>
      </c>
      <c r="AA63" s="126">
        <f>SUM(W$7:W63)</f>
        <v>85966</v>
      </c>
      <c r="AB63" s="126">
        <f>SUM(X$7:X63)</f>
        <v>42819</v>
      </c>
      <c r="AC63" s="126">
        <f>SUM(Y$7:Y63)</f>
        <v>20915</v>
      </c>
      <c r="AD63" s="177">
        <f>SUM(Z$7:Z63)</f>
        <v>1143130</v>
      </c>
      <c r="AE63" s="128">
        <f>INDEX(图鉴!AQ:AQ,MATCH($N63,图鉴!$S:$S,0))*34</f>
        <v>714</v>
      </c>
      <c r="AF63" s="90">
        <f>INDEX(图鉴!AR:AR,MATCH($N63,图鉴!$S:$S,0))*34</f>
        <v>510</v>
      </c>
      <c r="AG63" s="90">
        <f>INDEX(图鉴!AS:AS,MATCH($N63,图鉴!$S:$S,0))*34</f>
        <v>204</v>
      </c>
      <c r="AH63" s="129">
        <f ca="1">INDEX(图鉴!AT:AT,MATCH($N63,图鉴!$S:$S,0))*34</f>
        <v>55930</v>
      </c>
      <c r="AI63" s="128">
        <f>SUM($AE$7:AE63)</f>
        <v>38794</v>
      </c>
      <c r="AJ63" s="90">
        <f>SUM(AF$7:AF63)</f>
        <v>25602</v>
      </c>
      <c r="AK63" s="90">
        <f>SUM(AG$7:AG63)</f>
        <v>9690</v>
      </c>
      <c r="AL63" s="130">
        <f ca="1">SUM(AH$7:AH63)</f>
        <v>2358376</v>
      </c>
      <c r="AM63" s="133">
        <f>IF(M63=0,0,INDEX(关卡产出!$AU$11:$AU$15,MATCH(玩家节奏2!N63,关卡产出!$AW$11:$AW$15,1))*M63)</f>
        <v>61000</v>
      </c>
      <c r="AN63" s="126">
        <f>IF(L63=0,0,$L63*关卡产出!AU$21)</f>
        <v>16000</v>
      </c>
      <c r="AO63" s="90">
        <f>IF(M63=0,0,$L63*关卡产出!AV$21)</f>
        <v>800</v>
      </c>
      <c r="AP63" s="129">
        <f>IF(N63=0,0,$L63*关卡产出!AW$21)</f>
        <v>16</v>
      </c>
      <c r="AQ63" s="138">
        <f>SUM(AN$7:AN63)</f>
        <v>864000</v>
      </c>
      <c r="AR63" s="126">
        <f>SUM(AO$7:AO63)</f>
        <v>43200</v>
      </c>
      <c r="AS63" s="129">
        <f>SUM(AP$7:AP63)</f>
        <v>864</v>
      </c>
      <c r="AT63" s="128">
        <v>3000</v>
      </c>
      <c r="AU63" s="129">
        <v>600</v>
      </c>
      <c r="AV63" s="128">
        <f>SUM(AT$7:AT63)</f>
        <v>171000</v>
      </c>
      <c r="AW63" s="90">
        <f>SUM(AU$7:AU63)</f>
        <v>34200</v>
      </c>
      <c r="AY63" s="128">
        <f t="shared" si="20"/>
        <v>38500</v>
      </c>
      <c r="AZ63" s="90">
        <f t="shared" si="21"/>
        <v>43200</v>
      </c>
      <c r="BA63" s="90">
        <f t="shared" si="22"/>
        <v>34200</v>
      </c>
      <c r="BB63" s="90">
        <f t="shared" ca="1" si="57"/>
        <v>27200</v>
      </c>
      <c r="BC63" s="90">
        <f t="shared" ca="1" si="60"/>
        <v>73725</v>
      </c>
      <c r="BD63" s="90">
        <f t="shared" ca="1" si="61"/>
        <v>69375</v>
      </c>
      <c r="BE63" s="90">
        <f t="shared" ca="1" si="24"/>
        <v>143100</v>
      </c>
      <c r="BF63" s="142">
        <f t="shared" ca="1" si="64"/>
        <v>0.52221091895557814</v>
      </c>
      <c r="BG63" s="142">
        <f t="shared" ca="1" si="65"/>
        <v>0.58596134282807733</v>
      </c>
      <c r="BH63" s="142">
        <f t="shared" ca="1" si="66"/>
        <v>0.46388606307222785</v>
      </c>
      <c r="BI63" s="142">
        <f t="shared" ca="1" si="67"/>
        <v>0.36893862326212273</v>
      </c>
      <c r="BJ63" s="143"/>
      <c r="BK63" s="128">
        <f ca="1">INDEX(商城宝箱!$L:$L,MATCH(BC63,商城宝箱!$N:$N,1))</f>
        <v>10</v>
      </c>
      <c r="BL63" s="90">
        <f ca="1">_xlfn.IFNA(INDEX(商城宝箱!T:T,MATCH(玩家节奏2!$BK63,商城宝箱!$L:$L,0)),0)+($BC63-INDEX(商城宝箱!$N:$N,MATCH(玩家节奏2!$BK63,商城宝箱!$L:$L,0)))/$BK$5*INDEX(商城宝箱!E$23:E$42,MATCH(玩家节奏2!$BK63+1,商城宝箱!$C$23:$C$42,0))</f>
        <v>184312.5</v>
      </c>
      <c r="BM63" s="90">
        <f ca="1">_xlfn.IFNA(INDEX(商城宝箱!U:U,MATCH(玩家节奏2!$BK63,商城宝箱!$L:$L,0)),0)+($BC63-INDEX(商城宝箱!$N:$N,MATCH(玩家节奏2!$BK63,商城宝箱!$L:$L,0)))/$BK$5*INDEX(商城宝箱!F$23:F$42,MATCH(玩家节奏2!$BK63+1,商城宝箱!$C$23:$C$42,0))</f>
        <v>149862.5</v>
      </c>
      <c r="BN63" s="90">
        <f ca="1">_xlfn.IFNA(INDEX(商城宝箱!V:V,MATCH(玩家节奏2!$BK63,商城宝箱!$L:$L,0)),0)+($BC63-INDEX(商城宝箱!$N:$N,MATCH(玩家节奏2!$BK63,商城宝箱!$L:$L,0)))/$BK$5*INDEX(商城宝箱!G$23:G$42,MATCH(玩家节奏2!$BK63+1,商城宝箱!$C$23:$C$42,0))</f>
        <v>82574.5</v>
      </c>
      <c r="BO63" s="90">
        <f ca="1">_xlfn.IFNA(INDEX(商城宝箱!W:W,MATCH(玩家节奏2!$BK63,商城宝箱!$L:$L,0)),0)+($BC63-INDEX(商城宝箱!$N:$N,MATCH(玩家节奏2!$BK63,商城宝箱!$L:$L,0)))/$BK$5*INDEX(商城宝箱!H$23:H$42,MATCH(玩家节奏2!$BK63+1,商城宝箱!$C$23:$C$42,0))</f>
        <v>11887.75</v>
      </c>
      <c r="BQ63" s="128">
        <f t="shared" si="4"/>
        <v>11610000</v>
      </c>
      <c r="BR63" s="90">
        <f t="shared" si="5"/>
        <v>1143130</v>
      </c>
      <c r="BS63" s="90">
        <f t="shared" ca="1" si="68"/>
        <v>2358376</v>
      </c>
      <c r="BT63" s="90">
        <f t="shared" si="69"/>
        <v>61000</v>
      </c>
      <c r="BU63" s="90">
        <f t="shared" si="8"/>
        <v>864000</v>
      </c>
      <c r="BV63" s="90">
        <f t="shared" si="9"/>
        <v>171000</v>
      </c>
      <c r="BW63" s="90">
        <f t="shared" ca="1" si="25"/>
        <v>184312.5</v>
      </c>
      <c r="BX63" s="90">
        <f t="shared" ca="1" si="26"/>
        <v>16391818.5</v>
      </c>
      <c r="BY63" s="142">
        <f t="shared" ca="1" si="74"/>
        <v>0.70828017037889968</v>
      </c>
      <c r="BZ63" s="142">
        <f t="shared" ca="1" si="74"/>
        <v>6.9737839032319685E-2</v>
      </c>
      <c r="CA63" s="142">
        <f t="shared" ca="1" si="73"/>
        <v>0.14387518993087925</v>
      </c>
      <c r="CB63" s="142">
        <f t="shared" ca="1" si="73"/>
        <v>3.7213686815773367E-3</v>
      </c>
      <c r="CC63" s="142">
        <f t="shared" ca="1" si="73"/>
        <v>5.270922198168556E-2</v>
      </c>
      <c r="CD63" s="142">
        <f t="shared" ca="1" si="73"/>
        <v>1.0432033517208601E-2</v>
      </c>
      <c r="CE63" s="142">
        <f t="shared" ca="1" si="73"/>
        <v>1.1244176477429884E-2</v>
      </c>
      <c r="CG63" s="128">
        <f t="shared" si="28"/>
        <v>200</v>
      </c>
      <c r="CH63" s="90">
        <f ca="1">INDEX(角色升级!$A:$A,MATCH(玩家节奏2!$BX63,角色升级!$J:$J,1))</f>
        <v>879</v>
      </c>
      <c r="CI63" s="90">
        <f ca="1">INDEX(角色升级!$O:$O,MATCH(玩家节奏2!$BX63,角色升级!$J:$J,1))</f>
        <v>67861.983000000007</v>
      </c>
      <c r="CJ63" s="90">
        <f>INDEX(关卡对比!$J:$J,MATCH(玩家节奏2!N63,关卡对比!$A:$A,0))</f>
        <v>86200</v>
      </c>
      <c r="CK63" s="147">
        <f t="shared" ca="1" si="29"/>
        <v>1.2702251863167628</v>
      </c>
      <c r="CL63" s="128">
        <f ca="1">INDEX(角色升级!$P:$P,MATCH(玩家节奏2!$CH63,角色升级!$A:$A,0))</f>
        <v>27200</v>
      </c>
      <c r="CM63" s="90">
        <f ca="1">INDEX(角色升级!Q:Q,MATCH(玩家节奏2!$CH63,角色升级!$A:$A,0))</f>
        <v>1.8</v>
      </c>
      <c r="CO63" s="128">
        <f t="shared" si="30"/>
        <v>78866</v>
      </c>
      <c r="CP63" s="90">
        <f t="shared" si="31"/>
        <v>85966</v>
      </c>
      <c r="CQ63" s="90">
        <f t="shared" si="32"/>
        <v>38794</v>
      </c>
      <c r="CR63" s="90">
        <f t="shared" ca="1" si="33"/>
        <v>149862.5</v>
      </c>
      <c r="CS63" s="90">
        <f t="shared" ca="1" si="34"/>
        <v>353488.5</v>
      </c>
      <c r="CT63" s="142">
        <f t="shared" ca="1" si="35"/>
        <v>0.22310768242814122</v>
      </c>
      <c r="CU63" s="142">
        <f t="shared" ca="1" si="35"/>
        <v>0.24319320147614421</v>
      </c>
      <c r="CV63" s="142">
        <f t="shared" ca="1" si="35"/>
        <v>0.10974614449975034</v>
      </c>
      <c r="CW63" s="142">
        <f t="shared" ca="1" si="35"/>
        <v>0.42395297159596423</v>
      </c>
      <c r="CY63" s="128">
        <f t="shared" si="36"/>
        <v>39434</v>
      </c>
      <c r="CZ63" s="90">
        <f t="shared" si="37"/>
        <v>42819</v>
      </c>
      <c r="DA63" s="90">
        <f t="shared" si="38"/>
        <v>25602</v>
      </c>
      <c r="DB63" s="90">
        <f t="shared" ca="1" si="58"/>
        <v>82574.5</v>
      </c>
      <c r="DC63" s="90">
        <f t="shared" ca="1" si="39"/>
        <v>190429.5</v>
      </c>
      <c r="DD63" s="142">
        <f t="shared" ca="1" si="40"/>
        <v>0.20707926030368193</v>
      </c>
      <c r="DE63" s="142">
        <f t="shared" ca="1" si="40"/>
        <v>0.22485486754940806</v>
      </c>
      <c r="DF63" s="142">
        <f t="shared" ca="1" si="40"/>
        <v>0.13444345545201766</v>
      </c>
      <c r="DG63" s="142">
        <f t="shared" ca="1" si="40"/>
        <v>0.43362241669489232</v>
      </c>
      <c r="DI63" s="128">
        <f t="shared" si="41"/>
        <v>19113</v>
      </c>
      <c r="DJ63" s="90">
        <f t="shared" si="42"/>
        <v>20915</v>
      </c>
      <c r="DK63" s="90">
        <f t="shared" si="43"/>
        <v>9690</v>
      </c>
      <c r="DL63" s="90">
        <f t="shared" ca="1" si="44"/>
        <v>11887.75</v>
      </c>
      <c r="DM63" s="90">
        <f t="shared" ca="1" si="45"/>
        <v>61605.75</v>
      </c>
      <c r="DN63" s="142">
        <f t="shared" ca="1" si="46"/>
        <v>0.31024701428032286</v>
      </c>
      <c r="DO63" s="142">
        <f t="shared" ca="1" si="46"/>
        <v>0.33949753066880933</v>
      </c>
      <c r="DP63" s="142">
        <f t="shared" ca="1" si="46"/>
        <v>0.15729051265506871</v>
      </c>
      <c r="DQ63" s="142">
        <f t="shared" ca="1" si="46"/>
        <v>0.19296494239579909</v>
      </c>
      <c r="DS63" s="128">
        <f t="shared" ca="1" si="47"/>
        <v>353488.5</v>
      </c>
      <c r="DT63" s="90">
        <f t="shared" ca="1" si="48"/>
        <v>190429.5</v>
      </c>
      <c r="DU63" s="90">
        <f t="shared" ca="1" si="49"/>
        <v>61605.75</v>
      </c>
      <c r="DV63" s="90">
        <f t="shared" si="50"/>
        <v>864</v>
      </c>
      <c r="DW63" s="90">
        <f ca="1">_xlfn.IFNA(INDEX(武器升级消耗!$H:$H,MATCH(玩家节奏2!DS63/玩家节奏2!DS$5,武器升级消耗!M:M,1)),0)</f>
        <v>52</v>
      </c>
      <c r="DX63" s="90">
        <f ca="1">_xlfn.IFNA(INDEX(武器升级消耗!$H:$H,MATCH(玩家节奏2!DT63/玩家节奏2!DT$5,武器升级消耗!N:N,1)),0)</f>
        <v>46</v>
      </c>
      <c r="DY63" s="90">
        <f ca="1">_xlfn.IFNA(INDEX(武器升级消耗!$H:$H,MATCH(玩家节奏2!DU63/玩家节奏2!DU$5,武器升级消耗!O:O,1)),0)</f>
        <v>34</v>
      </c>
      <c r="DZ63" s="90">
        <f>_xlfn.IFNA(INDEX(武器升级消耗!$H:$H,MATCH(玩家节奏2!DV63/玩家节奏2!DV$5,武器升级消耗!P:P,1)),0)</f>
        <v>21</v>
      </c>
      <c r="EA63" s="90">
        <f ca="1">_xlfn.IFNA(INDEX(武器升级消耗!$Q:$Q,MATCH(玩家节奏2!DW63,武器升级消耗!$H:$H,0))*2*EA$4,0)</f>
        <v>6.72</v>
      </c>
      <c r="EB63" s="90">
        <f ca="1">_xlfn.IFNA(INDEX(武器升级消耗!$Q:$Q,MATCH(玩家节奏2!DX63,武器升级消耗!$H:$H,0))*2*EB$4,0)</f>
        <v>7.5</v>
      </c>
      <c r="EC63" s="90">
        <f ca="1">_xlfn.IFNA(INDEX(武器升级消耗!$Q:$Q,MATCH(玩家节奏2!DY63,武器升级消耗!$H:$H,0))*2*EC$4,0)</f>
        <v>8.36</v>
      </c>
      <c r="ED63" s="90">
        <f>_xlfn.IFNA(INDEX(武器升级消耗!$Q:$Q,MATCH(玩家节奏2!DZ63,武器升级消耗!$H:$H,0))*2*ED$4,0)</f>
        <v>7.5</v>
      </c>
      <c r="EF63" s="128">
        <f t="shared" si="70"/>
        <v>0</v>
      </c>
      <c r="EG63" s="90">
        <f t="shared" si="71"/>
        <v>0</v>
      </c>
      <c r="EH63" s="90">
        <v>171</v>
      </c>
      <c r="EI63" s="90">
        <v>171</v>
      </c>
      <c r="EJ63" s="90">
        <f>_xlfn.IFNA(INDEX(皮肤宠物!$J$4:$J$13,MATCH(EF63+EH63,皮肤宠物!$L$4:$L$13,1)),0)</f>
        <v>7</v>
      </c>
      <c r="EK63" s="90">
        <f>_xlfn.IFNA(INDEX(皮肤宠物!$J$4:$J$13,MATCH(EG63+EI63,皮肤宠物!$L$4:$L$13,1)),0)</f>
        <v>7</v>
      </c>
      <c r="EL63" s="90">
        <f>_xlfn.IFNA(INDEX(皮肤宠物!$N$4:$N$13,MATCH(EF63+EH63,皮肤宠物!$L$4:$L$13,1)),1)</f>
        <v>1.87</v>
      </c>
      <c r="EM63" s="90">
        <f>_xlfn.IFNA(INDEX(皮肤宠物!$N$4:$N$13,MATCH(EG63+EI63,皮肤宠物!$L$4:$L$13,1)),1)</f>
        <v>1.87</v>
      </c>
      <c r="EO63" s="128">
        <v>171</v>
      </c>
      <c r="EP63" s="90">
        <v>57</v>
      </c>
      <c r="EQ63" s="90">
        <f t="shared" ca="1" si="51"/>
        <v>69375</v>
      </c>
      <c r="ER63" s="90">
        <f t="shared" si="72"/>
        <v>0</v>
      </c>
      <c r="ES63" s="90">
        <f t="shared" ca="1" si="52"/>
        <v>750.75</v>
      </c>
      <c r="ET63" s="90">
        <f ca="1">$ES63*ET$5*皮肤宠物!$J$75/4</f>
        <v>2478.2257500000001</v>
      </c>
      <c r="EU63" s="90">
        <f ca="1">$ES63*EU$5*皮肤宠物!$J$76/4</f>
        <v>413.66325000000001</v>
      </c>
      <c r="EV63" s="90">
        <f ca="1">$ES63*EV$5*皮肤宠物!$J$77/4</f>
        <v>112.04943750000001</v>
      </c>
      <c r="EW63" s="90">
        <f ca="1">_xlfn.IFNA(INDEX(皮肤宠物!$H$18:$H$67,MATCH(ET63,皮肤宠物!L$18:L$67,1)),0)</f>
        <v>17</v>
      </c>
      <c r="EX63" s="90">
        <f ca="1">_xlfn.IFNA(INDEX(皮肤宠物!$H$18:$H$67,MATCH(EU63,皮肤宠物!M$18:M$67,1)),0)</f>
        <v>13</v>
      </c>
      <c r="EY63" s="90">
        <f ca="1">_xlfn.IFNA(INDEX(皮肤宠物!$H$18:$H$67,MATCH(EV63,皮肤宠物!N$18:N$67,1)),0)</f>
        <v>10</v>
      </c>
      <c r="EZ63" s="90">
        <f ca="1">_xlfn.IFNA(INDEX(皮肤宠物!C$18:C$67,MATCH(EW63,皮肤宠物!$A$18:$A$67,0))+1,1)</f>
        <v>1.17</v>
      </c>
      <c r="FA63" s="90">
        <f ca="1">_xlfn.IFNA(INDEX(皮肤宠物!D$18:D$67,MATCH(EX63,皮肤宠物!$A$18:$A$67,0))+1,1)</f>
        <v>1.26</v>
      </c>
      <c r="FB63" s="90">
        <f ca="1">_xlfn.IFNA(INDEX(皮肤宠物!E$18:E$67,MATCH(EY63,皮肤宠物!$A$18:$A$67,0))+1,1)</f>
        <v>1.4</v>
      </c>
      <c r="FD63" s="90">
        <f t="shared" ca="1" si="53"/>
        <v>8.36</v>
      </c>
      <c r="FE63" s="90">
        <f t="shared" si="54"/>
        <v>1.87</v>
      </c>
      <c r="FF63" s="90">
        <f t="shared" ca="1" si="55"/>
        <v>1.4</v>
      </c>
      <c r="FG63" s="90">
        <f t="shared" ca="1" si="56"/>
        <v>21.886479999999999</v>
      </c>
    </row>
    <row r="64" spans="1:163" x14ac:dyDescent="0.25">
      <c r="A64" s="123">
        <v>58</v>
      </c>
      <c r="B64" s="123">
        <f>INDEX(关卡对比!$Y:$Y,MATCH(关卡对比!Z64,关卡对比!$AA:$AA,1))</f>
        <v>42</v>
      </c>
      <c r="C64" s="124">
        <f>INDEX(关卡对比!$Y:$Y,MATCH(关卡对比!Z64,关卡对比!$AB:$AB,1))</f>
        <v>33</v>
      </c>
      <c r="D64" s="125">
        <f t="shared" si="63"/>
        <v>235.5</v>
      </c>
      <c r="E64" s="125">
        <v>2</v>
      </c>
      <c r="F64" s="128">
        <v>16</v>
      </c>
      <c r="G64" s="90">
        <v>16</v>
      </c>
      <c r="H64" s="90">
        <v>5</v>
      </c>
      <c r="J64" s="128">
        <v>58</v>
      </c>
      <c r="K64" s="90">
        <f t="shared" si="17"/>
        <v>16</v>
      </c>
      <c r="L64" s="90">
        <f t="shared" si="18"/>
        <v>16</v>
      </c>
      <c r="M64" s="90">
        <f t="shared" si="19"/>
        <v>5</v>
      </c>
      <c r="N64" s="140">
        <f>INDEX($A:$A,MATCH(SUM($K$7:K64),$D:$D,1))</f>
        <v>200</v>
      </c>
      <c r="O64" s="140">
        <v>0</v>
      </c>
      <c r="P64" s="141">
        <v>0</v>
      </c>
      <c r="Q64" s="126">
        <f>_xlfn.MAXIFS(关卡产出!X:X,关卡产出!$A:$A,玩家节奏2!$N$6,关卡产出!$B:$B,玩家节奏2!$N64)+_xlfn.MAXIFS(关卡产出!X:X,关卡产出!$A:$A,玩家节奏2!$O$6,关卡产出!$B:$B,玩家节奏2!$O64)+_xlfn.MAXIFS(关卡产出!X:X,关卡产出!$A:$A,玩家节奏2!$P$6,关卡产出!$B:$B,玩家节奏2!$P64)</f>
        <v>38500</v>
      </c>
      <c r="R64" s="90">
        <f>_xlfn.MAXIFS(关卡产出!Y:Y,关卡产出!$A:$A,玩家节奏2!$N$6,关卡产出!$B:$B,玩家节奏2!$N64)+_xlfn.MAXIFS(关卡产出!Y:Y,关卡产出!$A:$A,玩家节奏2!$O$6,关卡产出!$B:$B,玩家节奏2!$O64)+_xlfn.MAXIFS(关卡产出!Y:Y,关卡产出!$A:$A,玩家节奏2!$P$6,关卡产出!$B:$B,玩家节奏2!$P64)</f>
        <v>11610000</v>
      </c>
      <c r="S64" s="90">
        <f>_xlfn.MAXIFS(关卡产出!Z:Z,关卡产出!$A:$A,玩家节奏2!$N$6,关卡产出!$B:$B,玩家节奏2!$N64)+_xlfn.MAXIFS(关卡产出!Z:Z,关卡产出!$A:$A,玩家节奏2!$O$6,关卡产出!$B:$B,玩家节奏2!$O64)+_xlfn.MAXIFS(关卡产出!Z:Z,关卡产出!$A:$A,玩家节奏2!$P$6,关卡产出!$B:$B,玩家节奏2!$P64)</f>
        <v>78866</v>
      </c>
      <c r="T64" s="90">
        <f>_xlfn.MAXIFS(关卡产出!AA:AA,关卡产出!$A:$A,玩家节奏2!$N$6,关卡产出!$B:$B,玩家节奏2!$N64)+_xlfn.MAXIFS(关卡产出!AA:AA,关卡产出!$A:$A,玩家节奏2!$O$6,关卡产出!$B:$B,玩家节奏2!$O64)+_xlfn.MAXIFS(关卡产出!AA:AA,关卡产出!$A:$A,玩家节奏2!$P$6,关卡产出!$B:$B,玩家节奏2!$P64)</f>
        <v>39434</v>
      </c>
      <c r="U64" s="90">
        <f>_xlfn.MAXIFS(关卡产出!AB:AB,关卡产出!$A:$A,玩家节奏2!$N$6,关卡产出!$B:$B,玩家节奏2!$N64)+_xlfn.MAXIFS(关卡产出!AB:AB,关卡产出!$A:$A,玩家节奏2!$O$6,关卡产出!$B:$B,玩家节奏2!$O64)+_xlfn.MAXIFS(关卡产出!AB:AB,关卡产出!$A:$A,玩家节奏2!$P$6,关卡产出!$B:$B,玩家节奏2!$P64)</f>
        <v>19113</v>
      </c>
      <c r="V64" s="130">
        <f>_xlfn.MAXIFS(关卡产出!AC:AC,关卡产出!$A:$A,玩家节奏2!$N$6,关卡产出!$B:$B,玩家节奏2!$N64)+_xlfn.MAXIFS(关卡产出!AC:AC,关卡产出!$A:$A,玩家节奏2!$O$6,关卡产出!$B:$B,玩家节奏2!$O64)+_xlfn.MAXIFS(关卡产出!AC:AC,关卡产出!$A:$A,玩家节奏2!$P$6,关卡产出!$B:$B,玩家节奏2!$P64)</f>
        <v>1200</v>
      </c>
      <c r="W64" s="126">
        <f>INDEX(关卡产出!C$8:C$207,MATCH(玩家节奏2!$N64,关卡产出!$B$8:$B$207,0))*$K64</f>
        <v>2528</v>
      </c>
      <c r="X64" s="126">
        <f>INDEX(关卡产出!D$8:D$207,MATCH(玩家节奏2!$N64,关卡产出!$B$8:$B$207,0))*$K64</f>
        <v>1264</v>
      </c>
      <c r="Y64" s="126">
        <f>INDEX(关卡产出!E$8:E$207,MATCH(玩家节奏2!$N64,关卡产出!$B$8:$B$207,0))*$K64</f>
        <v>624</v>
      </c>
      <c r="Z64" s="144">
        <f>INDEX(关卡产出!F$8:F$207,MATCH(玩家节奏2!$N64,关卡产出!$B$8:$B$207,0))*$K64</f>
        <v>32800</v>
      </c>
      <c r="AA64" s="126">
        <f>SUM(W$7:W64)</f>
        <v>88494</v>
      </c>
      <c r="AB64" s="126">
        <f>SUM(X$7:X64)</f>
        <v>44083</v>
      </c>
      <c r="AC64" s="126">
        <f>SUM(Y$7:Y64)</f>
        <v>21539</v>
      </c>
      <c r="AD64" s="177">
        <f>SUM(Z$7:Z64)</f>
        <v>1175930</v>
      </c>
      <c r="AE64" s="128">
        <f>INDEX(图鉴!AQ:AQ,MATCH($N64,图鉴!$S:$S,0))*34</f>
        <v>714</v>
      </c>
      <c r="AF64" s="90">
        <f>INDEX(图鉴!AR:AR,MATCH($N64,图鉴!$S:$S,0))*34</f>
        <v>510</v>
      </c>
      <c r="AG64" s="90">
        <f>INDEX(图鉴!AS:AS,MATCH($N64,图鉴!$S:$S,0))*34</f>
        <v>204</v>
      </c>
      <c r="AH64" s="129">
        <f ca="1">INDEX(图鉴!AT:AT,MATCH($N64,图鉴!$S:$S,0))*34</f>
        <v>55930</v>
      </c>
      <c r="AI64" s="128">
        <f>SUM($AE$7:AE64)</f>
        <v>39508</v>
      </c>
      <c r="AJ64" s="90">
        <f>SUM(AF$7:AF64)</f>
        <v>26112</v>
      </c>
      <c r="AK64" s="90">
        <f>SUM(AG$7:AG64)</f>
        <v>9894</v>
      </c>
      <c r="AL64" s="130">
        <f ca="1">SUM(AH$7:AH64)</f>
        <v>2414306</v>
      </c>
      <c r="AM64" s="133">
        <f>IF(M64=0,0,INDEX(关卡产出!$AU$11:$AU$15,MATCH(玩家节奏2!N64,关卡产出!$AW$11:$AW$15,1))*M64)</f>
        <v>61000</v>
      </c>
      <c r="AN64" s="126">
        <f>IF(L64=0,0,$L64*关卡产出!AU$21)</f>
        <v>16000</v>
      </c>
      <c r="AO64" s="90">
        <f>IF(M64=0,0,$L64*关卡产出!AV$21)</f>
        <v>800</v>
      </c>
      <c r="AP64" s="129">
        <f>IF(N64=0,0,$L64*关卡产出!AW$21)</f>
        <v>16</v>
      </c>
      <c r="AQ64" s="138">
        <f>SUM(AN$7:AN64)</f>
        <v>880000</v>
      </c>
      <c r="AR64" s="126">
        <f>SUM(AO$7:AO64)</f>
        <v>44000</v>
      </c>
      <c r="AS64" s="129">
        <f>SUM(AP$7:AP64)</f>
        <v>880</v>
      </c>
      <c r="AT64" s="128">
        <v>3000</v>
      </c>
      <c r="AU64" s="129">
        <v>600</v>
      </c>
      <c r="AV64" s="128">
        <f>SUM(AT$7:AT64)</f>
        <v>174000</v>
      </c>
      <c r="AW64" s="90">
        <f>SUM(AU$7:AU64)</f>
        <v>34800</v>
      </c>
      <c r="AY64" s="128">
        <f t="shared" si="20"/>
        <v>38500</v>
      </c>
      <c r="AZ64" s="90">
        <f t="shared" si="21"/>
        <v>44000</v>
      </c>
      <c r="BA64" s="90">
        <f t="shared" si="22"/>
        <v>34800</v>
      </c>
      <c r="BB64" s="90">
        <f t="shared" ca="1" si="57"/>
        <v>27200</v>
      </c>
      <c r="BC64" s="90">
        <f t="shared" ca="1" si="60"/>
        <v>74425</v>
      </c>
      <c r="BD64" s="90">
        <f t="shared" ca="1" si="61"/>
        <v>70075</v>
      </c>
      <c r="BE64" s="90">
        <f t="shared" ca="1" si="24"/>
        <v>144500</v>
      </c>
      <c r="BF64" s="142">
        <f t="shared" ca="1" si="64"/>
        <v>0.51729929459187096</v>
      </c>
      <c r="BG64" s="142">
        <f t="shared" ca="1" si="65"/>
        <v>0.59119919381928121</v>
      </c>
      <c r="BH64" s="142">
        <f t="shared" ca="1" si="66"/>
        <v>0.46758481692979509</v>
      </c>
      <c r="BI64" s="142">
        <f t="shared" ca="1" si="67"/>
        <v>0.36546859254282837</v>
      </c>
      <c r="BJ64" s="143"/>
      <c r="BK64" s="128">
        <f ca="1">INDEX(商城宝箱!$L:$L,MATCH(BC64,商城宝箱!$N:$N,1))</f>
        <v>10</v>
      </c>
      <c r="BL64" s="90">
        <f ca="1">_xlfn.IFNA(INDEX(商城宝箱!T:T,MATCH(玩家节奏2!$BK64,商城宝箱!$L:$L,0)),0)+($BC64-INDEX(商城宝箱!$N:$N,MATCH(玩家节奏2!$BK64,商城宝箱!$L:$L,0)))/$BK$5*INDEX(商城宝箱!E$23:E$42,MATCH(玩家节奏2!$BK64+1,商城宝箱!$C$23:$C$42,0))</f>
        <v>186062.5</v>
      </c>
      <c r="BM64" s="90">
        <f ca="1">_xlfn.IFNA(INDEX(商城宝箱!U:U,MATCH(玩家节奏2!$BK64,商城宝箱!$L:$L,0)),0)+($BC64-INDEX(商城宝箱!$N:$N,MATCH(玩家节奏2!$BK64,商城宝箱!$L:$L,0)))/$BK$5*INDEX(商城宝箱!F$23:F$42,MATCH(玩家节奏2!$BK64+1,商城宝箱!$C$23:$C$42,0))</f>
        <v>152102.5</v>
      </c>
      <c r="BN64" s="90">
        <f ca="1">_xlfn.IFNA(INDEX(商城宝箱!V:V,MATCH(玩家节奏2!$BK64,商城宝箱!$L:$L,0)),0)+($BC64-INDEX(商城宝箱!$N:$N,MATCH(玩家节奏2!$BK64,商城宝箱!$L:$L,0)))/$BK$5*INDEX(商城宝箱!G$23:G$42,MATCH(玩家节奏2!$BK64+1,商城宝箱!$C$23:$C$42,0))</f>
        <v>83624.5</v>
      </c>
      <c r="BO64" s="90">
        <f ca="1">_xlfn.IFNA(INDEX(商城宝箱!W:W,MATCH(玩家节奏2!$BK64,商城宝箱!$L:$L,0)),0)+($BC64-INDEX(商城宝箱!$N:$N,MATCH(玩家节奏2!$BK64,商城宝箱!$L:$L,0)))/$BK$5*INDEX(商城宝箱!H$23:H$42,MATCH(玩家节奏2!$BK64+1,商城宝箱!$C$23:$C$42,0))</f>
        <v>12062.75</v>
      </c>
      <c r="BQ64" s="128">
        <f t="shared" si="4"/>
        <v>11610000</v>
      </c>
      <c r="BR64" s="90">
        <f t="shared" si="5"/>
        <v>1175930</v>
      </c>
      <c r="BS64" s="90">
        <f t="shared" ca="1" si="68"/>
        <v>2414306</v>
      </c>
      <c r="BT64" s="90">
        <f t="shared" si="69"/>
        <v>61000</v>
      </c>
      <c r="BU64" s="90">
        <f t="shared" si="8"/>
        <v>880000</v>
      </c>
      <c r="BV64" s="90">
        <f t="shared" si="9"/>
        <v>174000</v>
      </c>
      <c r="BW64" s="90">
        <f t="shared" ca="1" si="25"/>
        <v>186062.5</v>
      </c>
      <c r="BX64" s="90">
        <f t="shared" ca="1" si="26"/>
        <v>16501298.5</v>
      </c>
      <c r="BY64" s="142">
        <f t="shared" ca="1" si="74"/>
        <v>0.70358099394420381</v>
      </c>
      <c r="BZ64" s="142">
        <f t="shared" ca="1" si="74"/>
        <v>7.1262876676038561E-2</v>
      </c>
      <c r="CA64" s="142">
        <f t="shared" ca="1" si="73"/>
        <v>0.14631006159909174</v>
      </c>
      <c r="CB64" s="142">
        <f t="shared" ca="1" si="73"/>
        <v>3.696678779551803E-3</v>
      </c>
      <c r="CC64" s="142">
        <f t="shared" ca="1" si="73"/>
        <v>5.3329136491894864E-2</v>
      </c>
      <c r="CD64" s="142">
        <f t="shared" ca="1" si="73"/>
        <v>1.0544624715442848E-2</v>
      </c>
      <c r="CE64" s="142">
        <f t="shared" ca="1" si="73"/>
        <v>1.127562779377635E-2</v>
      </c>
      <c r="CG64" s="128">
        <f t="shared" si="28"/>
        <v>200</v>
      </c>
      <c r="CH64" s="90">
        <f ca="1">INDEX(角色升级!$A:$A,MATCH(玩家节奏2!$BX64,角色升级!$J:$J,1))</f>
        <v>881</v>
      </c>
      <c r="CI64" s="90">
        <f ca="1">INDEX(角色升级!$O:$O,MATCH(玩家节奏2!$BX64,角色升级!$J:$J,1))</f>
        <v>68357.551500000001</v>
      </c>
      <c r="CJ64" s="90">
        <f>INDEX(关卡对比!$J:$J,MATCH(玩家节奏2!N64,关卡对比!$A:$A,0))</f>
        <v>86200</v>
      </c>
      <c r="CK64" s="147">
        <f t="shared" ca="1" si="29"/>
        <v>1.2610164950100649</v>
      </c>
      <c r="CL64" s="128">
        <f ca="1">INDEX(角色升级!$P:$P,MATCH(玩家节奏2!$CH64,角色升级!$A:$A,0))</f>
        <v>29700</v>
      </c>
      <c r="CM64" s="90">
        <f ca="1">INDEX(角色升级!Q:Q,MATCH(玩家节奏2!$CH64,角色升级!$A:$A,0))</f>
        <v>1.8</v>
      </c>
      <c r="CO64" s="128">
        <f t="shared" si="30"/>
        <v>78866</v>
      </c>
      <c r="CP64" s="90">
        <f t="shared" si="31"/>
        <v>88494</v>
      </c>
      <c r="CQ64" s="90">
        <f t="shared" si="32"/>
        <v>39508</v>
      </c>
      <c r="CR64" s="90">
        <f t="shared" ca="1" si="33"/>
        <v>152102.5</v>
      </c>
      <c r="CS64" s="90">
        <f t="shared" ca="1" si="34"/>
        <v>358970.5</v>
      </c>
      <c r="CT64" s="142">
        <f t="shared" ca="1" si="35"/>
        <v>0.21970050463756771</v>
      </c>
      <c r="CU64" s="142">
        <f t="shared" ca="1" si="35"/>
        <v>0.24652165010773866</v>
      </c>
      <c r="CV64" s="142">
        <f t="shared" ca="1" si="35"/>
        <v>0.11005918313621871</v>
      </c>
      <c r="CW64" s="142">
        <f t="shared" ca="1" si="35"/>
        <v>0.42371866211847492</v>
      </c>
      <c r="CY64" s="128">
        <f t="shared" si="36"/>
        <v>39434</v>
      </c>
      <c r="CZ64" s="90">
        <f t="shared" si="37"/>
        <v>44083</v>
      </c>
      <c r="DA64" s="90">
        <f t="shared" si="38"/>
        <v>26112</v>
      </c>
      <c r="DB64" s="90">
        <f t="shared" ca="1" si="58"/>
        <v>83624.5</v>
      </c>
      <c r="DC64" s="90">
        <f t="shared" ca="1" si="39"/>
        <v>193253.5</v>
      </c>
      <c r="DD64" s="142">
        <f t="shared" ca="1" si="40"/>
        <v>0.20405322542670637</v>
      </c>
      <c r="DE64" s="142">
        <f t="shared" ca="1" si="40"/>
        <v>0.22810971082024387</v>
      </c>
      <c r="DF64" s="142">
        <f t="shared" ca="1" si="40"/>
        <v>0.13511786332459697</v>
      </c>
      <c r="DG64" s="142">
        <f t="shared" ca="1" si="40"/>
        <v>0.4327192004284528</v>
      </c>
      <c r="DI64" s="128">
        <f t="shared" si="41"/>
        <v>19113</v>
      </c>
      <c r="DJ64" s="90">
        <f t="shared" si="42"/>
        <v>21539</v>
      </c>
      <c r="DK64" s="90">
        <f t="shared" si="43"/>
        <v>9894</v>
      </c>
      <c r="DL64" s="90">
        <f t="shared" ca="1" si="44"/>
        <v>12062.75</v>
      </c>
      <c r="DM64" s="90">
        <f t="shared" ca="1" si="45"/>
        <v>62608.75</v>
      </c>
      <c r="DN64" s="142">
        <f t="shared" ca="1" si="46"/>
        <v>0.30527681833609521</v>
      </c>
      <c r="DO64" s="142">
        <f t="shared" ca="1" si="46"/>
        <v>0.34402539581128838</v>
      </c>
      <c r="DP64" s="142">
        <f t="shared" ca="1" si="46"/>
        <v>0.15802902948868969</v>
      </c>
      <c r="DQ64" s="142">
        <f t="shared" ca="1" si="46"/>
        <v>0.19266875636392677</v>
      </c>
      <c r="DS64" s="128">
        <f t="shared" ca="1" si="47"/>
        <v>358970.5</v>
      </c>
      <c r="DT64" s="90">
        <f t="shared" ca="1" si="48"/>
        <v>193253.5</v>
      </c>
      <c r="DU64" s="90">
        <f t="shared" ca="1" si="49"/>
        <v>62608.75</v>
      </c>
      <c r="DV64" s="90">
        <f t="shared" si="50"/>
        <v>880</v>
      </c>
      <c r="DW64" s="90">
        <f ca="1">_xlfn.IFNA(INDEX(武器升级消耗!$H:$H,MATCH(玩家节奏2!DS64/玩家节奏2!DS$5,武器升级消耗!M:M,1)),0)</f>
        <v>53</v>
      </c>
      <c r="DX64" s="90">
        <f ca="1">_xlfn.IFNA(INDEX(武器升级消耗!$H:$H,MATCH(玩家节奏2!DT64/玩家节奏2!DT$5,武器升级消耗!N:N,1)),0)</f>
        <v>47</v>
      </c>
      <c r="DY64" s="90">
        <f ca="1">_xlfn.IFNA(INDEX(武器升级消耗!$H:$H,MATCH(玩家节奏2!DU64/玩家节奏2!DU$5,武器升级消耗!O:O,1)),0)</f>
        <v>35</v>
      </c>
      <c r="DZ64" s="90">
        <f>_xlfn.IFNA(INDEX(武器升级消耗!$H:$H,MATCH(玩家节奏2!DV64/玩家节奏2!DV$5,武器升级消耗!P:P,1)),0)</f>
        <v>21</v>
      </c>
      <c r="EA64" s="90">
        <f ca="1">_xlfn.IFNA(INDEX(武器升级消耗!$Q:$Q,MATCH(玩家节奏2!DW64,武器升级消耗!$H:$H,0))*2*EA$4,0)</f>
        <v>6.84</v>
      </c>
      <c r="EB64" s="90">
        <f ca="1">_xlfn.IFNA(INDEX(武器升级消耗!$Q:$Q,MATCH(玩家节奏2!DX64,武器升级消耗!$H:$H,0))*2*EB$4,0)</f>
        <v>7.6499999999999995</v>
      </c>
      <c r="EC64" s="90">
        <f ca="1">_xlfn.IFNA(INDEX(武器升级消耗!$Q:$Q,MATCH(玩家节奏2!DY64,武器升级消耗!$H:$H,0))*2*EC$4,0)</f>
        <v>8.58</v>
      </c>
      <c r="ED64" s="90">
        <f>_xlfn.IFNA(INDEX(武器升级消耗!$Q:$Q,MATCH(玩家节奏2!DZ64,武器升级消耗!$H:$H,0))*2*ED$4,0)</f>
        <v>7.5</v>
      </c>
      <c r="EF64" s="128">
        <f t="shared" si="70"/>
        <v>0</v>
      </c>
      <c r="EG64" s="90">
        <f t="shared" si="71"/>
        <v>0</v>
      </c>
      <c r="EH64" s="90">
        <v>174</v>
      </c>
      <c r="EI64" s="90">
        <v>174</v>
      </c>
      <c r="EJ64" s="90">
        <f>_xlfn.IFNA(INDEX(皮肤宠物!$J$4:$J$13,MATCH(EF64+EH64,皮肤宠物!$L$4:$L$13,1)),0)</f>
        <v>7</v>
      </c>
      <c r="EK64" s="90">
        <f>_xlfn.IFNA(INDEX(皮肤宠物!$J$4:$J$13,MATCH(EG64+EI64,皮肤宠物!$L$4:$L$13,1)),0)</f>
        <v>7</v>
      </c>
      <c r="EL64" s="90">
        <f>_xlfn.IFNA(INDEX(皮肤宠物!$N$4:$N$13,MATCH(EF64+EH64,皮肤宠物!$L$4:$L$13,1)),1)</f>
        <v>1.87</v>
      </c>
      <c r="EM64" s="90">
        <f>_xlfn.IFNA(INDEX(皮肤宠物!$N$4:$N$13,MATCH(EG64+EI64,皮肤宠物!$L$4:$L$13,1)),1)</f>
        <v>1.87</v>
      </c>
      <c r="EO64" s="128">
        <v>174</v>
      </c>
      <c r="EP64" s="90">
        <v>58</v>
      </c>
      <c r="EQ64" s="90">
        <f t="shared" ca="1" si="51"/>
        <v>70075</v>
      </c>
      <c r="ER64" s="90">
        <f t="shared" si="72"/>
        <v>0</v>
      </c>
      <c r="ES64" s="90">
        <f t="shared" ca="1" si="52"/>
        <v>758.75</v>
      </c>
      <c r="ET64" s="90">
        <f ca="1">$ES64*ET$5*皮肤宠物!$J$75/4</f>
        <v>2504.63375</v>
      </c>
      <c r="EU64" s="90">
        <f ca="1">$ES64*EU$5*皮肤宠物!$J$76/4</f>
        <v>418.07125000000002</v>
      </c>
      <c r="EV64" s="90">
        <f ca="1">$ES64*EV$5*皮肤宠物!$J$77/4</f>
        <v>113.2434375</v>
      </c>
      <c r="EW64" s="90">
        <f ca="1">_xlfn.IFNA(INDEX(皮肤宠物!$H$18:$H$67,MATCH(ET64,皮肤宠物!L$18:L$67,1)),0)</f>
        <v>17</v>
      </c>
      <c r="EX64" s="90">
        <f ca="1">_xlfn.IFNA(INDEX(皮肤宠物!$H$18:$H$67,MATCH(EU64,皮肤宠物!M$18:M$67,1)),0)</f>
        <v>13</v>
      </c>
      <c r="EY64" s="90">
        <f ca="1">_xlfn.IFNA(INDEX(皮肤宠物!$H$18:$H$67,MATCH(EV64,皮肤宠物!N$18:N$67,1)),0)</f>
        <v>10</v>
      </c>
      <c r="EZ64" s="90">
        <f ca="1">_xlfn.IFNA(INDEX(皮肤宠物!C$18:C$67,MATCH(EW64,皮肤宠物!$A$18:$A$67,0))+1,1)</f>
        <v>1.17</v>
      </c>
      <c r="FA64" s="90">
        <f ca="1">_xlfn.IFNA(INDEX(皮肤宠物!D$18:D$67,MATCH(EX64,皮肤宠物!$A$18:$A$67,0))+1,1)</f>
        <v>1.26</v>
      </c>
      <c r="FB64" s="90">
        <f ca="1">_xlfn.IFNA(INDEX(皮肤宠物!E$18:E$67,MATCH(EY64,皮肤宠物!$A$18:$A$67,0))+1,1)</f>
        <v>1.4</v>
      </c>
      <c r="FD64" s="90">
        <f t="shared" ca="1" si="53"/>
        <v>8.58</v>
      </c>
      <c r="FE64" s="90">
        <f t="shared" si="54"/>
        <v>1.87</v>
      </c>
      <c r="FF64" s="90">
        <f t="shared" ca="1" si="55"/>
        <v>1.4</v>
      </c>
      <c r="FG64" s="90">
        <f t="shared" ca="1" si="56"/>
        <v>22.462440000000001</v>
      </c>
    </row>
    <row r="65" spans="1:163" x14ac:dyDescent="0.25">
      <c r="A65" s="123">
        <v>59</v>
      </c>
      <c r="B65" s="123">
        <f>INDEX(关卡对比!$Y:$Y,MATCH(关卡对比!Z65,关卡对比!$AA:$AA,1))</f>
        <v>42</v>
      </c>
      <c r="C65" s="124">
        <f>INDEX(关卡对比!$Y:$Y,MATCH(关卡对比!Z65,关卡对比!$AB:$AB,1))</f>
        <v>34</v>
      </c>
      <c r="D65" s="125">
        <f t="shared" si="63"/>
        <v>239.5</v>
      </c>
      <c r="E65" s="125">
        <v>2</v>
      </c>
      <c r="F65" s="128">
        <v>16</v>
      </c>
      <c r="G65" s="90">
        <v>16</v>
      </c>
      <c r="H65" s="90">
        <v>5</v>
      </c>
      <c r="J65" s="128">
        <v>59</v>
      </c>
      <c r="K65" s="90">
        <f t="shared" si="17"/>
        <v>16</v>
      </c>
      <c r="L65" s="90">
        <f t="shared" si="18"/>
        <v>16</v>
      </c>
      <c r="M65" s="90">
        <f t="shared" si="19"/>
        <v>5</v>
      </c>
      <c r="N65" s="140">
        <f>INDEX($A:$A,MATCH(SUM($K$7:K65),$D:$D,1))</f>
        <v>200</v>
      </c>
      <c r="O65" s="140">
        <v>0</v>
      </c>
      <c r="P65" s="141">
        <v>0</v>
      </c>
      <c r="Q65" s="126">
        <f>_xlfn.MAXIFS(关卡产出!X:X,关卡产出!$A:$A,玩家节奏2!$N$6,关卡产出!$B:$B,玩家节奏2!$N65)+_xlfn.MAXIFS(关卡产出!X:X,关卡产出!$A:$A,玩家节奏2!$O$6,关卡产出!$B:$B,玩家节奏2!$O65)+_xlfn.MAXIFS(关卡产出!X:X,关卡产出!$A:$A,玩家节奏2!$P$6,关卡产出!$B:$B,玩家节奏2!$P65)</f>
        <v>38500</v>
      </c>
      <c r="R65" s="90">
        <f>_xlfn.MAXIFS(关卡产出!Y:Y,关卡产出!$A:$A,玩家节奏2!$N$6,关卡产出!$B:$B,玩家节奏2!$N65)+_xlfn.MAXIFS(关卡产出!Y:Y,关卡产出!$A:$A,玩家节奏2!$O$6,关卡产出!$B:$B,玩家节奏2!$O65)+_xlfn.MAXIFS(关卡产出!Y:Y,关卡产出!$A:$A,玩家节奏2!$P$6,关卡产出!$B:$B,玩家节奏2!$P65)</f>
        <v>11610000</v>
      </c>
      <c r="S65" s="90">
        <f>_xlfn.MAXIFS(关卡产出!Z:Z,关卡产出!$A:$A,玩家节奏2!$N$6,关卡产出!$B:$B,玩家节奏2!$N65)+_xlfn.MAXIFS(关卡产出!Z:Z,关卡产出!$A:$A,玩家节奏2!$O$6,关卡产出!$B:$B,玩家节奏2!$O65)+_xlfn.MAXIFS(关卡产出!Z:Z,关卡产出!$A:$A,玩家节奏2!$P$6,关卡产出!$B:$B,玩家节奏2!$P65)</f>
        <v>78866</v>
      </c>
      <c r="T65" s="90">
        <f>_xlfn.MAXIFS(关卡产出!AA:AA,关卡产出!$A:$A,玩家节奏2!$N$6,关卡产出!$B:$B,玩家节奏2!$N65)+_xlfn.MAXIFS(关卡产出!AA:AA,关卡产出!$A:$A,玩家节奏2!$O$6,关卡产出!$B:$B,玩家节奏2!$O65)+_xlfn.MAXIFS(关卡产出!AA:AA,关卡产出!$A:$A,玩家节奏2!$P$6,关卡产出!$B:$B,玩家节奏2!$P65)</f>
        <v>39434</v>
      </c>
      <c r="U65" s="90">
        <f>_xlfn.MAXIFS(关卡产出!AB:AB,关卡产出!$A:$A,玩家节奏2!$N$6,关卡产出!$B:$B,玩家节奏2!$N65)+_xlfn.MAXIFS(关卡产出!AB:AB,关卡产出!$A:$A,玩家节奏2!$O$6,关卡产出!$B:$B,玩家节奏2!$O65)+_xlfn.MAXIFS(关卡产出!AB:AB,关卡产出!$A:$A,玩家节奏2!$P$6,关卡产出!$B:$B,玩家节奏2!$P65)</f>
        <v>19113</v>
      </c>
      <c r="V65" s="130">
        <f>_xlfn.MAXIFS(关卡产出!AC:AC,关卡产出!$A:$A,玩家节奏2!$N$6,关卡产出!$B:$B,玩家节奏2!$N65)+_xlfn.MAXIFS(关卡产出!AC:AC,关卡产出!$A:$A,玩家节奏2!$O$6,关卡产出!$B:$B,玩家节奏2!$O65)+_xlfn.MAXIFS(关卡产出!AC:AC,关卡产出!$A:$A,玩家节奏2!$P$6,关卡产出!$B:$B,玩家节奏2!$P65)</f>
        <v>1200</v>
      </c>
      <c r="W65" s="126">
        <f>INDEX(关卡产出!C$8:C$207,MATCH(玩家节奏2!$N65,关卡产出!$B$8:$B$207,0))*$K65</f>
        <v>2528</v>
      </c>
      <c r="X65" s="126">
        <f>INDEX(关卡产出!D$8:D$207,MATCH(玩家节奏2!$N65,关卡产出!$B$8:$B$207,0))*$K65</f>
        <v>1264</v>
      </c>
      <c r="Y65" s="126">
        <f>INDEX(关卡产出!E$8:E$207,MATCH(玩家节奏2!$N65,关卡产出!$B$8:$B$207,0))*$K65</f>
        <v>624</v>
      </c>
      <c r="Z65" s="144">
        <f>INDEX(关卡产出!F$8:F$207,MATCH(玩家节奏2!$N65,关卡产出!$B$8:$B$207,0))*$K65</f>
        <v>32800</v>
      </c>
      <c r="AA65" s="126">
        <f>SUM(W$7:W65)</f>
        <v>91022</v>
      </c>
      <c r="AB65" s="126">
        <f>SUM(X$7:X65)</f>
        <v>45347</v>
      </c>
      <c r="AC65" s="126">
        <f>SUM(Y$7:Y65)</f>
        <v>22163</v>
      </c>
      <c r="AD65" s="177">
        <f>SUM(Z$7:Z65)</f>
        <v>1208730</v>
      </c>
      <c r="AE65" s="128">
        <f>INDEX(图鉴!AQ:AQ,MATCH($N65,图鉴!$S:$S,0))*34</f>
        <v>714</v>
      </c>
      <c r="AF65" s="90">
        <f>INDEX(图鉴!AR:AR,MATCH($N65,图鉴!$S:$S,0))*34</f>
        <v>510</v>
      </c>
      <c r="AG65" s="90">
        <f>INDEX(图鉴!AS:AS,MATCH($N65,图鉴!$S:$S,0))*34</f>
        <v>204</v>
      </c>
      <c r="AH65" s="129">
        <f ca="1">INDEX(图鉴!AT:AT,MATCH($N65,图鉴!$S:$S,0))*34</f>
        <v>55930</v>
      </c>
      <c r="AI65" s="128">
        <f>SUM($AE$7:AE65)</f>
        <v>40222</v>
      </c>
      <c r="AJ65" s="90">
        <f>SUM(AF$7:AF65)</f>
        <v>26622</v>
      </c>
      <c r="AK65" s="90">
        <f>SUM(AG$7:AG65)</f>
        <v>10098</v>
      </c>
      <c r="AL65" s="130">
        <f ca="1">SUM(AH$7:AH65)</f>
        <v>2470236</v>
      </c>
      <c r="AM65" s="133">
        <f>IF(M65=0,0,INDEX(关卡产出!$AU$11:$AU$15,MATCH(玩家节奏2!N65,关卡产出!$AW$11:$AW$15,1))*M65)</f>
        <v>61000</v>
      </c>
      <c r="AN65" s="126">
        <f>IF(L65=0,0,$L65*关卡产出!AU$21)</f>
        <v>16000</v>
      </c>
      <c r="AO65" s="90">
        <f>IF(M65=0,0,$L65*关卡产出!AV$21)</f>
        <v>800</v>
      </c>
      <c r="AP65" s="129">
        <f>IF(N65=0,0,$L65*关卡产出!AW$21)</f>
        <v>16</v>
      </c>
      <c r="AQ65" s="138">
        <f>SUM(AN$7:AN65)</f>
        <v>896000</v>
      </c>
      <c r="AR65" s="126">
        <f>SUM(AO$7:AO65)</f>
        <v>44800</v>
      </c>
      <c r="AS65" s="129">
        <f>SUM(AP$7:AP65)</f>
        <v>896</v>
      </c>
      <c r="AT65" s="128">
        <v>3000</v>
      </c>
      <c r="AU65" s="129">
        <v>600</v>
      </c>
      <c r="AV65" s="128">
        <f>SUM(AT$7:AT65)</f>
        <v>177000</v>
      </c>
      <c r="AW65" s="90">
        <f>SUM(AU$7:AU65)</f>
        <v>35400</v>
      </c>
      <c r="AY65" s="128">
        <f t="shared" si="20"/>
        <v>38500</v>
      </c>
      <c r="AZ65" s="90">
        <f t="shared" si="21"/>
        <v>44800</v>
      </c>
      <c r="BA65" s="90">
        <f t="shared" si="22"/>
        <v>35400</v>
      </c>
      <c r="BB65" s="90">
        <f t="shared" ca="1" si="57"/>
        <v>29700</v>
      </c>
      <c r="BC65" s="90">
        <f t="shared" ca="1" si="60"/>
        <v>76375</v>
      </c>
      <c r="BD65" s="90">
        <f t="shared" ca="1" si="61"/>
        <v>72025</v>
      </c>
      <c r="BE65" s="90">
        <f t="shared" ca="1" si="24"/>
        <v>148400</v>
      </c>
      <c r="BF65" s="142">
        <f t="shared" ca="1" si="64"/>
        <v>0.50409165302782322</v>
      </c>
      <c r="BG65" s="142">
        <f t="shared" ca="1" si="65"/>
        <v>0.58657937806873972</v>
      </c>
      <c r="BH65" s="142">
        <f t="shared" ca="1" si="66"/>
        <v>0.46350245499181669</v>
      </c>
      <c r="BI65" s="142">
        <f t="shared" ca="1" si="67"/>
        <v>0.38887070376432081</v>
      </c>
      <c r="BJ65" s="143"/>
      <c r="BK65" s="128">
        <f ca="1">INDEX(商城宝箱!$L:$L,MATCH(BC65,商城宝箱!$N:$N,1))</f>
        <v>10</v>
      </c>
      <c r="BL65" s="90">
        <f ca="1">_xlfn.IFNA(INDEX(商城宝箱!T:T,MATCH(玩家节奏2!$BK65,商城宝箱!$L:$L,0)),0)+($BC65-INDEX(商城宝箱!$N:$N,MATCH(玩家节奏2!$BK65,商城宝箱!$L:$L,0)))/$BK$5*INDEX(商城宝箱!E$23:E$42,MATCH(玩家节奏2!$BK65+1,商城宝箱!$C$23:$C$42,0))</f>
        <v>190937.5</v>
      </c>
      <c r="BM65" s="90">
        <f ca="1">_xlfn.IFNA(INDEX(商城宝箱!U:U,MATCH(玩家节奏2!$BK65,商城宝箱!$L:$L,0)),0)+($BC65-INDEX(商城宝箱!$N:$N,MATCH(玩家节奏2!$BK65,商城宝箱!$L:$L,0)))/$BK$5*INDEX(商城宝箱!F$23:F$42,MATCH(玩家节奏2!$BK65+1,商城宝箱!$C$23:$C$42,0))</f>
        <v>158342.5</v>
      </c>
      <c r="BN65" s="90">
        <f ca="1">_xlfn.IFNA(INDEX(商城宝箱!V:V,MATCH(玩家节奏2!$BK65,商城宝箱!$L:$L,0)),0)+($BC65-INDEX(商城宝箱!$N:$N,MATCH(玩家节奏2!$BK65,商城宝箱!$L:$L,0)))/$BK$5*INDEX(商城宝箱!G$23:G$42,MATCH(玩家节奏2!$BK65+1,商城宝箱!$C$23:$C$42,0))</f>
        <v>86549.5</v>
      </c>
      <c r="BO65" s="90">
        <f ca="1">_xlfn.IFNA(INDEX(商城宝箱!W:W,MATCH(玩家节奏2!$BK65,商城宝箱!$L:$L,0)),0)+($BC65-INDEX(商城宝箱!$N:$N,MATCH(玩家节奏2!$BK65,商城宝箱!$L:$L,0)))/$BK$5*INDEX(商城宝箱!H$23:H$42,MATCH(玩家节奏2!$BK65+1,商城宝箱!$C$23:$C$42,0))</f>
        <v>12550.25</v>
      </c>
      <c r="BQ65" s="128">
        <f t="shared" si="4"/>
        <v>11610000</v>
      </c>
      <c r="BR65" s="90">
        <f t="shared" si="5"/>
        <v>1208730</v>
      </c>
      <c r="BS65" s="90">
        <f t="shared" ca="1" si="68"/>
        <v>2470236</v>
      </c>
      <c r="BT65" s="90">
        <f t="shared" si="69"/>
        <v>61000</v>
      </c>
      <c r="BU65" s="90">
        <f t="shared" si="8"/>
        <v>896000</v>
      </c>
      <c r="BV65" s="90">
        <f t="shared" si="9"/>
        <v>177000</v>
      </c>
      <c r="BW65" s="90">
        <f t="shared" ca="1" si="25"/>
        <v>190937.5</v>
      </c>
      <c r="BX65" s="90">
        <f t="shared" ca="1" si="26"/>
        <v>16613903.5</v>
      </c>
      <c r="BY65" s="142">
        <f t="shared" ca="1" si="74"/>
        <v>0.69881229296895819</v>
      </c>
      <c r="BZ65" s="142">
        <f t="shared" ca="1" si="74"/>
        <v>7.2754124279101537E-2</v>
      </c>
      <c r="CA65" s="142">
        <f t="shared" ca="1" si="73"/>
        <v>0.14868486505895498</v>
      </c>
      <c r="CB65" s="142">
        <f t="shared" ca="1" si="73"/>
        <v>3.6716235892425885E-3</v>
      </c>
      <c r="CC65" s="142">
        <f t="shared" ca="1" si="73"/>
        <v>5.3930733376415727E-2</v>
      </c>
      <c r="CD65" s="142">
        <f t="shared" ca="1" si="73"/>
        <v>1.0653727463867838E-2</v>
      </c>
      <c r="CE65" s="142">
        <f t="shared" ca="1" si="73"/>
        <v>1.1492633263459126E-2</v>
      </c>
      <c r="CG65" s="128">
        <f t="shared" si="28"/>
        <v>200</v>
      </c>
      <c r="CH65" s="90">
        <f ca="1">INDEX(角色升级!$A:$A,MATCH(玩家节奏2!$BX65,角色升级!$J:$J,1))</f>
        <v>883</v>
      </c>
      <c r="CI65" s="90">
        <f ca="1">INDEX(角色升级!$O:$O,MATCH(玩家节奏2!$BX65,角色升级!$J:$J,1))</f>
        <v>68463.532200000001</v>
      </c>
      <c r="CJ65" s="90">
        <f>INDEX(关卡对比!$J:$J,MATCH(玩家节奏2!N65,关卡对比!$A:$A,0))</f>
        <v>86200</v>
      </c>
      <c r="CK65" s="147">
        <f t="shared" ca="1" si="29"/>
        <v>1.2590644570920926</v>
      </c>
      <c r="CL65" s="128">
        <f ca="1">INDEX(角色升级!$P:$P,MATCH(玩家节奏2!$CH65,角色升级!$A:$A,0))</f>
        <v>29700</v>
      </c>
      <c r="CM65" s="90">
        <f ca="1">INDEX(角色升级!Q:Q,MATCH(玩家节奏2!$CH65,角色升级!$A:$A,0))</f>
        <v>1.8</v>
      </c>
      <c r="CO65" s="128">
        <f t="shared" si="30"/>
        <v>78866</v>
      </c>
      <c r="CP65" s="90">
        <f t="shared" si="31"/>
        <v>91022</v>
      </c>
      <c r="CQ65" s="90">
        <f t="shared" si="32"/>
        <v>40222</v>
      </c>
      <c r="CR65" s="90">
        <f t="shared" ca="1" si="33"/>
        <v>158342.5</v>
      </c>
      <c r="CS65" s="90">
        <f t="shared" ca="1" si="34"/>
        <v>368452.5</v>
      </c>
      <c r="CT65" s="142">
        <f t="shared" ca="1" si="35"/>
        <v>0.21404658673777488</v>
      </c>
      <c r="CU65" s="142">
        <f t="shared" ca="1" si="35"/>
        <v>0.24703862777427213</v>
      </c>
      <c r="CV65" s="142">
        <f t="shared" ca="1" si="35"/>
        <v>0.10916468201464233</v>
      </c>
      <c r="CW65" s="142">
        <f t="shared" ca="1" si="35"/>
        <v>0.42975010347331066</v>
      </c>
      <c r="CY65" s="128">
        <f t="shared" si="36"/>
        <v>39434</v>
      </c>
      <c r="CZ65" s="90">
        <f t="shared" si="37"/>
        <v>45347</v>
      </c>
      <c r="DA65" s="90">
        <f t="shared" si="38"/>
        <v>26622</v>
      </c>
      <c r="DB65" s="90">
        <f t="shared" ca="1" si="58"/>
        <v>86549.5</v>
      </c>
      <c r="DC65" s="90">
        <f t="shared" ca="1" si="39"/>
        <v>197952.5</v>
      </c>
      <c r="DD65" s="142">
        <f t="shared" ca="1" si="40"/>
        <v>0.19920940629696518</v>
      </c>
      <c r="DE65" s="142">
        <f t="shared" ca="1" si="40"/>
        <v>0.22908020863591014</v>
      </c>
      <c r="DF65" s="142">
        <f t="shared" ca="1" si="40"/>
        <v>0.13448680870410831</v>
      </c>
      <c r="DG65" s="142">
        <f t="shared" ca="1" si="40"/>
        <v>0.4372235763630164</v>
      </c>
      <c r="DI65" s="128">
        <f t="shared" si="41"/>
        <v>19113</v>
      </c>
      <c r="DJ65" s="90">
        <f t="shared" si="42"/>
        <v>22163</v>
      </c>
      <c r="DK65" s="90">
        <f t="shared" si="43"/>
        <v>10098</v>
      </c>
      <c r="DL65" s="90">
        <f t="shared" ca="1" si="44"/>
        <v>12550.25</v>
      </c>
      <c r="DM65" s="90">
        <f t="shared" ca="1" si="45"/>
        <v>63924.25</v>
      </c>
      <c r="DN65" s="142">
        <f t="shared" ca="1" si="46"/>
        <v>0.29899451303691477</v>
      </c>
      <c r="DO65" s="142">
        <f t="shared" ca="1" si="46"/>
        <v>0.34670723551703775</v>
      </c>
      <c r="DP65" s="142">
        <f t="shared" ca="1" si="46"/>
        <v>0.15796822019812512</v>
      </c>
      <c r="DQ65" s="142">
        <f t="shared" ca="1" si="46"/>
        <v>0.19633003124792234</v>
      </c>
      <c r="DS65" s="128">
        <f t="shared" ca="1" si="47"/>
        <v>368452.5</v>
      </c>
      <c r="DT65" s="90">
        <f t="shared" ca="1" si="48"/>
        <v>197952.5</v>
      </c>
      <c r="DU65" s="90">
        <f t="shared" ca="1" si="49"/>
        <v>63924.25</v>
      </c>
      <c r="DV65" s="90">
        <f t="shared" si="50"/>
        <v>896</v>
      </c>
      <c r="DW65" s="90">
        <f ca="1">_xlfn.IFNA(INDEX(武器升级消耗!$H:$H,MATCH(玩家节奏2!DS65/玩家节奏2!DS$5,武器升级消耗!M:M,1)),0)</f>
        <v>53</v>
      </c>
      <c r="DX65" s="90">
        <f ca="1">_xlfn.IFNA(INDEX(武器升级消耗!$H:$H,MATCH(玩家节奏2!DT65/玩家节奏2!DT$5,武器升级消耗!N:N,1)),0)</f>
        <v>47</v>
      </c>
      <c r="DY65" s="90">
        <f ca="1">_xlfn.IFNA(INDEX(武器升级消耗!$H:$H,MATCH(玩家节奏2!DU65/玩家节奏2!DU$5,武器升级消耗!O:O,1)),0)</f>
        <v>35</v>
      </c>
      <c r="DZ65" s="90">
        <f>_xlfn.IFNA(INDEX(武器升级消耗!$H:$H,MATCH(玩家节奏2!DV65/玩家节奏2!DV$5,武器升级消耗!P:P,1)),0)</f>
        <v>22</v>
      </c>
      <c r="EA65" s="90">
        <f ca="1">_xlfn.IFNA(INDEX(武器升级消耗!$Q:$Q,MATCH(玩家节奏2!DW65,武器升级消耗!$H:$H,0))*2*EA$4,0)</f>
        <v>6.84</v>
      </c>
      <c r="EB65" s="90">
        <f ca="1">_xlfn.IFNA(INDEX(武器升级消耗!$Q:$Q,MATCH(玩家节奏2!DX65,武器升级消耗!$H:$H,0))*2*EB$4,0)</f>
        <v>7.6499999999999995</v>
      </c>
      <c r="EC65" s="90">
        <f ca="1">_xlfn.IFNA(INDEX(武器升级消耗!$Q:$Q,MATCH(玩家节奏2!DY65,武器升级消耗!$H:$H,0))*2*EC$4,0)</f>
        <v>8.58</v>
      </c>
      <c r="ED65" s="90">
        <f>_xlfn.IFNA(INDEX(武器升级消耗!$Q:$Q,MATCH(玩家节奏2!DZ65,武器升级消耗!$H:$H,0))*2*ED$4,0)</f>
        <v>7.8000000000000007</v>
      </c>
      <c r="EF65" s="128">
        <f t="shared" si="70"/>
        <v>0</v>
      </c>
      <c r="EG65" s="90">
        <f t="shared" si="71"/>
        <v>0</v>
      </c>
      <c r="EH65" s="90">
        <v>177</v>
      </c>
      <c r="EI65" s="90">
        <v>177</v>
      </c>
      <c r="EJ65" s="90">
        <f>_xlfn.IFNA(INDEX(皮肤宠物!$J$4:$J$13,MATCH(EF65+EH65,皮肤宠物!$L$4:$L$13,1)),0)</f>
        <v>7</v>
      </c>
      <c r="EK65" s="90">
        <f>_xlfn.IFNA(INDEX(皮肤宠物!$J$4:$J$13,MATCH(EG65+EI65,皮肤宠物!$L$4:$L$13,1)),0)</f>
        <v>7</v>
      </c>
      <c r="EL65" s="90">
        <f>_xlfn.IFNA(INDEX(皮肤宠物!$N$4:$N$13,MATCH(EF65+EH65,皮肤宠物!$L$4:$L$13,1)),1)</f>
        <v>1.87</v>
      </c>
      <c r="EM65" s="90">
        <f>_xlfn.IFNA(INDEX(皮肤宠物!$N$4:$N$13,MATCH(EG65+EI65,皮肤宠物!$L$4:$L$13,1)),1)</f>
        <v>1.87</v>
      </c>
      <c r="EO65" s="128">
        <v>177</v>
      </c>
      <c r="EP65" s="90">
        <v>59</v>
      </c>
      <c r="EQ65" s="90">
        <f t="shared" ca="1" si="51"/>
        <v>72025</v>
      </c>
      <c r="ER65" s="90">
        <f t="shared" si="72"/>
        <v>0</v>
      </c>
      <c r="ES65" s="90">
        <f t="shared" ca="1" si="52"/>
        <v>779.25</v>
      </c>
      <c r="ET65" s="90">
        <f ca="1">$ES65*ET$5*皮肤宠物!$J$75/4</f>
        <v>2572.3042500000001</v>
      </c>
      <c r="EU65" s="90">
        <f ca="1">$ES65*EU$5*皮肤宠物!$J$76/4</f>
        <v>429.36675000000002</v>
      </c>
      <c r="EV65" s="90">
        <f ca="1">$ES65*EV$5*皮肤宠物!$J$77/4</f>
        <v>116.30306250000001</v>
      </c>
      <c r="EW65" s="90">
        <f ca="1">_xlfn.IFNA(INDEX(皮肤宠物!$H$18:$H$67,MATCH(ET65,皮肤宠物!L$18:L$67,1)),0)</f>
        <v>18</v>
      </c>
      <c r="EX65" s="90">
        <f ca="1">_xlfn.IFNA(INDEX(皮肤宠物!$H$18:$H$67,MATCH(EU65,皮肤宠物!M$18:M$67,1)),0)</f>
        <v>14</v>
      </c>
      <c r="EY65" s="90">
        <f ca="1">_xlfn.IFNA(INDEX(皮肤宠物!$H$18:$H$67,MATCH(EV65,皮肤宠物!N$18:N$67,1)),0)</f>
        <v>10</v>
      </c>
      <c r="EZ65" s="90">
        <f ca="1">_xlfn.IFNA(INDEX(皮肤宠物!C$18:C$67,MATCH(EW65,皮肤宠物!$A$18:$A$67,0))+1,1)</f>
        <v>1.18</v>
      </c>
      <c r="FA65" s="90">
        <f ca="1">_xlfn.IFNA(INDEX(皮肤宠物!D$18:D$67,MATCH(EX65,皮肤宠物!$A$18:$A$67,0))+1,1)</f>
        <v>1.28</v>
      </c>
      <c r="FB65" s="90">
        <f ca="1">_xlfn.IFNA(INDEX(皮肤宠物!E$18:E$67,MATCH(EY65,皮肤宠物!$A$18:$A$67,0))+1,1)</f>
        <v>1.4</v>
      </c>
      <c r="FD65" s="90">
        <f t="shared" ca="1" si="53"/>
        <v>8.58</v>
      </c>
      <c r="FE65" s="90">
        <f t="shared" si="54"/>
        <v>1.87</v>
      </c>
      <c r="FF65" s="90">
        <f t="shared" ca="1" si="55"/>
        <v>1.4</v>
      </c>
      <c r="FG65" s="90">
        <f t="shared" ca="1" si="56"/>
        <v>22.462440000000001</v>
      </c>
    </row>
    <row r="66" spans="1:163" x14ac:dyDescent="0.25">
      <c r="A66" s="123">
        <v>60</v>
      </c>
      <c r="B66" s="123">
        <f>INDEX(关卡对比!$Y:$Y,MATCH(关卡对比!Z66,关卡对比!$AA:$AA,1))</f>
        <v>43</v>
      </c>
      <c r="C66" s="124">
        <f>INDEX(关卡对比!$Y:$Y,MATCH(关卡对比!Z66,关卡对比!$AB:$AB,1))</f>
        <v>34</v>
      </c>
      <c r="D66" s="125">
        <f t="shared" si="63"/>
        <v>243.5</v>
      </c>
      <c r="E66" s="125">
        <v>2</v>
      </c>
      <c r="F66" s="128">
        <v>16</v>
      </c>
      <c r="G66" s="90">
        <v>16</v>
      </c>
      <c r="H66" s="90">
        <v>5</v>
      </c>
      <c r="J66" s="128">
        <v>60</v>
      </c>
      <c r="K66" s="90">
        <f t="shared" si="17"/>
        <v>16</v>
      </c>
      <c r="L66" s="90">
        <f t="shared" si="18"/>
        <v>16</v>
      </c>
      <c r="M66" s="90">
        <f t="shared" si="19"/>
        <v>5</v>
      </c>
      <c r="N66" s="140">
        <f>INDEX($A:$A,MATCH(SUM($K$7:K66),$D:$D,1))</f>
        <v>200</v>
      </c>
      <c r="O66" s="140">
        <v>0</v>
      </c>
      <c r="P66" s="141">
        <v>0</v>
      </c>
      <c r="Q66" s="126">
        <f>_xlfn.MAXIFS(关卡产出!X:X,关卡产出!$A:$A,玩家节奏2!$N$6,关卡产出!$B:$B,玩家节奏2!$N66)+_xlfn.MAXIFS(关卡产出!X:X,关卡产出!$A:$A,玩家节奏2!$O$6,关卡产出!$B:$B,玩家节奏2!$O66)+_xlfn.MAXIFS(关卡产出!X:X,关卡产出!$A:$A,玩家节奏2!$P$6,关卡产出!$B:$B,玩家节奏2!$P66)</f>
        <v>38500</v>
      </c>
      <c r="R66" s="90">
        <f>_xlfn.MAXIFS(关卡产出!Y:Y,关卡产出!$A:$A,玩家节奏2!$N$6,关卡产出!$B:$B,玩家节奏2!$N66)+_xlfn.MAXIFS(关卡产出!Y:Y,关卡产出!$A:$A,玩家节奏2!$O$6,关卡产出!$B:$B,玩家节奏2!$O66)+_xlfn.MAXIFS(关卡产出!Y:Y,关卡产出!$A:$A,玩家节奏2!$P$6,关卡产出!$B:$B,玩家节奏2!$P66)</f>
        <v>11610000</v>
      </c>
      <c r="S66" s="90">
        <f>_xlfn.MAXIFS(关卡产出!Z:Z,关卡产出!$A:$A,玩家节奏2!$N$6,关卡产出!$B:$B,玩家节奏2!$N66)+_xlfn.MAXIFS(关卡产出!Z:Z,关卡产出!$A:$A,玩家节奏2!$O$6,关卡产出!$B:$B,玩家节奏2!$O66)+_xlfn.MAXIFS(关卡产出!Z:Z,关卡产出!$A:$A,玩家节奏2!$P$6,关卡产出!$B:$B,玩家节奏2!$P66)</f>
        <v>78866</v>
      </c>
      <c r="T66" s="90">
        <f>_xlfn.MAXIFS(关卡产出!AA:AA,关卡产出!$A:$A,玩家节奏2!$N$6,关卡产出!$B:$B,玩家节奏2!$N66)+_xlfn.MAXIFS(关卡产出!AA:AA,关卡产出!$A:$A,玩家节奏2!$O$6,关卡产出!$B:$B,玩家节奏2!$O66)+_xlfn.MAXIFS(关卡产出!AA:AA,关卡产出!$A:$A,玩家节奏2!$P$6,关卡产出!$B:$B,玩家节奏2!$P66)</f>
        <v>39434</v>
      </c>
      <c r="U66" s="90">
        <f>_xlfn.MAXIFS(关卡产出!AB:AB,关卡产出!$A:$A,玩家节奏2!$N$6,关卡产出!$B:$B,玩家节奏2!$N66)+_xlfn.MAXIFS(关卡产出!AB:AB,关卡产出!$A:$A,玩家节奏2!$O$6,关卡产出!$B:$B,玩家节奏2!$O66)+_xlfn.MAXIFS(关卡产出!AB:AB,关卡产出!$A:$A,玩家节奏2!$P$6,关卡产出!$B:$B,玩家节奏2!$P66)</f>
        <v>19113</v>
      </c>
      <c r="V66" s="130">
        <f>_xlfn.MAXIFS(关卡产出!AC:AC,关卡产出!$A:$A,玩家节奏2!$N$6,关卡产出!$B:$B,玩家节奏2!$N66)+_xlfn.MAXIFS(关卡产出!AC:AC,关卡产出!$A:$A,玩家节奏2!$O$6,关卡产出!$B:$B,玩家节奏2!$O66)+_xlfn.MAXIFS(关卡产出!AC:AC,关卡产出!$A:$A,玩家节奏2!$P$6,关卡产出!$B:$B,玩家节奏2!$P66)</f>
        <v>1200</v>
      </c>
      <c r="W66" s="126">
        <f>INDEX(关卡产出!C$8:C$207,MATCH(玩家节奏2!$N66,关卡产出!$B$8:$B$207,0))*$K66</f>
        <v>2528</v>
      </c>
      <c r="X66" s="126">
        <f>INDEX(关卡产出!D$8:D$207,MATCH(玩家节奏2!$N66,关卡产出!$B$8:$B$207,0))*$K66</f>
        <v>1264</v>
      </c>
      <c r="Y66" s="126">
        <f>INDEX(关卡产出!E$8:E$207,MATCH(玩家节奏2!$N66,关卡产出!$B$8:$B$207,0))*$K66</f>
        <v>624</v>
      </c>
      <c r="Z66" s="144">
        <f>INDEX(关卡产出!F$8:F$207,MATCH(玩家节奏2!$N66,关卡产出!$B$8:$B$207,0))*$K66</f>
        <v>32800</v>
      </c>
      <c r="AA66" s="126">
        <f>SUM(W$7:W66)</f>
        <v>93550</v>
      </c>
      <c r="AB66" s="126">
        <f>SUM(X$7:X66)</f>
        <v>46611</v>
      </c>
      <c r="AC66" s="126">
        <f>SUM(Y$7:Y66)</f>
        <v>22787</v>
      </c>
      <c r="AD66" s="177">
        <f>SUM(Z$7:Z66)</f>
        <v>1241530</v>
      </c>
      <c r="AE66" s="128">
        <f>INDEX(图鉴!AQ:AQ,MATCH($N66,图鉴!$S:$S,0))*34</f>
        <v>714</v>
      </c>
      <c r="AF66" s="90">
        <f>INDEX(图鉴!AR:AR,MATCH($N66,图鉴!$S:$S,0))*34</f>
        <v>510</v>
      </c>
      <c r="AG66" s="90">
        <f>INDEX(图鉴!AS:AS,MATCH($N66,图鉴!$S:$S,0))*34</f>
        <v>204</v>
      </c>
      <c r="AH66" s="129">
        <f ca="1">INDEX(图鉴!AT:AT,MATCH($N66,图鉴!$S:$S,0))*34</f>
        <v>55930</v>
      </c>
      <c r="AI66" s="128">
        <f>SUM($AE$7:AE66)</f>
        <v>40936</v>
      </c>
      <c r="AJ66" s="90">
        <f>SUM(AF$7:AF66)</f>
        <v>27132</v>
      </c>
      <c r="AK66" s="90">
        <f>SUM(AG$7:AG66)</f>
        <v>10302</v>
      </c>
      <c r="AL66" s="130">
        <f ca="1">SUM(AH$7:AH66)</f>
        <v>2526166</v>
      </c>
      <c r="AM66" s="133">
        <f>IF(M66=0,0,INDEX(关卡产出!$AU$11:$AU$15,MATCH(玩家节奏2!N66,关卡产出!$AW$11:$AW$15,1))*M66)</f>
        <v>61000</v>
      </c>
      <c r="AN66" s="126">
        <f>IF(L66=0,0,$L66*关卡产出!AU$21)</f>
        <v>16000</v>
      </c>
      <c r="AO66" s="90">
        <f>IF(M66=0,0,$L66*关卡产出!AV$21)</f>
        <v>800</v>
      </c>
      <c r="AP66" s="129">
        <f>IF(N66=0,0,$L66*关卡产出!AW$21)</f>
        <v>16</v>
      </c>
      <c r="AQ66" s="138">
        <f>SUM(AN$7:AN66)</f>
        <v>912000</v>
      </c>
      <c r="AR66" s="126">
        <f>SUM(AO$7:AO66)</f>
        <v>45600</v>
      </c>
      <c r="AS66" s="129">
        <f>SUM(AP$7:AP66)</f>
        <v>912</v>
      </c>
      <c r="AT66" s="128">
        <v>3000</v>
      </c>
      <c r="AU66" s="129">
        <v>600</v>
      </c>
      <c r="AV66" s="128">
        <f>SUM(AT$7:AT66)</f>
        <v>180000</v>
      </c>
      <c r="AW66" s="90">
        <f>SUM(AU$7:AU66)</f>
        <v>36000</v>
      </c>
      <c r="AY66" s="128">
        <f t="shared" si="20"/>
        <v>38500</v>
      </c>
      <c r="AZ66" s="90">
        <f t="shared" si="21"/>
        <v>45600</v>
      </c>
      <c r="BA66" s="90">
        <f t="shared" si="22"/>
        <v>36000</v>
      </c>
      <c r="BB66" s="90">
        <f t="shared" ca="1" si="57"/>
        <v>29700</v>
      </c>
      <c r="BC66" s="90">
        <f t="shared" ca="1" si="60"/>
        <v>77075</v>
      </c>
      <c r="BD66" s="90">
        <f t="shared" ca="1" si="61"/>
        <v>72725</v>
      </c>
      <c r="BE66" s="90">
        <f t="shared" ca="1" si="24"/>
        <v>149800</v>
      </c>
      <c r="BF66" s="142">
        <f t="shared" ca="1" si="64"/>
        <v>0.49951346091469351</v>
      </c>
      <c r="BG66" s="142">
        <f t="shared" ca="1" si="65"/>
        <v>0.59163152773272787</v>
      </c>
      <c r="BH66" s="142">
        <f t="shared" ca="1" si="66"/>
        <v>0.46707752189425883</v>
      </c>
      <c r="BI66" s="142">
        <f t="shared" ca="1" si="67"/>
        <v>0.38533895556276354</v>
      </c>
      <c r="BJ66" s="143"/>
      <c r="BK66" s="128">
        <f ca="1">INDEX(商城宝箱!$L:$L,MATCH(BC66,商城宝箱!$N:$N,1))</f>
        <v>10</v>
      </c>
      <c r="BL66" s="90">
        <f ca="1">_xlfn.IFNA(INDEX(商城宝箱!T:T,MATCH(玩家节奏2!$BK66,商城宝箱!$L:$L,0)),0)+($BC66-INDEX(商城宝箱!$N:$N,MATCH(玩家节奏2!$BK66,商城宝箱!$L:$L,0)))/$BK$5*INDEX(商城宝箱!E$23:E$42,MATCH(玩家节奏2!$BK66+1,商城宝箱!$C$23:$C$42,0))</f>
        <v>192687.5</v>
      </c>
      <c r="BM66" s="90">
        <f ca="1">_xlfn.IFNA(INDEX(商城宝箱!U:U,MATCH(玩家节奏2!$BK66,商城宝箱!$L:$L,0)),0)+($BC66-INDEX(商城宝箱!$N:$N,MATCH(玩家节奏2!$BK66,商城宝箱!$L:$L,0)))/$BK$5*INDEX(商城宝箱!F$23:F$42,MATCH(玩家节奏2!$BK66+1,商城宝箱!$C$23:$C$42,0))</f>
        <v>160582.5</v>
      </c>
      <c r="BN66" s="90">
        <f ca="1">_xlfn.IFNA(INDEX(商城宝箱!V:V,MATCH(玩家节奏2!$BK66,商城宝箱!$L:$L,0)),0)+($BC66-INDEX(商城宝箱!$N:$N,MATCH(玩家节奏2!$BK66,商城宝箱!$L:$L,0)))/$BK$5*INDEX(商城宝箱!G$23:G$42,MATCH(玩家节奏2!$BK66+1,商城宝箱!$C$23:$C$42,0))</f>
        <v>87599.5</v>
      </c>
      <c r="BO66" s="90">
        <f ca="1">_xlfn.IFNA(INDEX(商城宝箱!W:W,MATCH(玩家节奏2!$BK66,商城宝箱!$L:$L,0)),0)+($BC66-INDEX(商城宝箱!$N:$N,MATCH(玩家节奏2!$BK66,商城宝箱!$L:$L,0)))/$BK$5*INDEX(商城宝箱!H$23:H$42,MATCH(玩家节奏2!$BK66+1,商城宝箱!$C$23:$C$42,0))</f>
        <v>12725.25</v>
      </c>
      <c r="BQ66" s="128">
        <f t="shared" si="4"/>
        <v>11610000</v>
      </c>
      <c r="BR66" s="90">
        <f t="shared" si="5"/>
        <v>1241530</v>
      </c>
      <c r="BS66" s="90">
        <f t="shared" ca="1" si="68"/>
        <v>2526166</v>
      </c>
      <c r="BT66" s="90">
        <f t="shared" si="69"/>
        <v>61000</v>
      </c>
      <c r="BU66" s="90">
        <f t="shared" si="8"/>
        <v>912000</v>
      </c>
      <c r="BV66" s="90">
        <f t="shared" si="9"/>
        <v>180000</v>
      </c>
      <c r="BW66" s="90">
        <f t="shared" ca="1" si="25"/>
        <v>192687.5</v>
      </c>
      <c r="BX66" s="90">
        <f t="shared" ca="1" si="26"/>
        <v>16723383.5</v>
      </c>
      <c r="BY66" s="142">
        <f t="shared" ca="1" si="74"/>
        <v>0.69423750283547581</v>
      </c>
      <c r="BZ66" s="142">
        <f t="shared" ca="1" si="74"/>
        <v>7.4239163384610535E-2</v>
      </c>
      <c r="CA66" s="142">
        <f t="shared" ca="1" si="73"/>
        <v>0.1510559152099813</v>
      </c>
      <c r="CB66" s="142">
        <f t="shared" ca="1" si="73"/>
        <v>3.6475872242001744E-3</v>
      </c>
      <c r="CC66" s="142">
        <f t="shared" ca="1" si="73"/>
        <v>5.4534418827386216E-2</v>
      </c>
      <c r="CD66" s="142">
        <f t="shared" ca="1" si="73"/>
        <v>1.0763372136984122E-2</v>
      </c>
      <c r="CE66" s="142">
        <f t="shared" ca="1" si="73"/>
        <v>1.1522040381361821E-2</v>
      </c>
      <c r="CG66" s="128">
        <f t="shared" si="28"/>
        <v>200</v>
      </c>
      <c r="CH66" s="90">
        <f ca="1">INDEX(角色升级!$A:$A,MATCH(玩家节奏2!$BX66,角色升级!$J:$J,1))</f>
        <v>886</v>
      </c>
      <c r="CI66" s="90">
        <f ca="1">INDEX(角色升级!$O:$O,MATCH(玩家节奏2!$BX66,角色升级!$J:$J,1))</f>
        <v>68622.503250000009</v>
      </c>
      <c r="CJ66" s="90">
        <f>INDEX(关卡对比!$J:$J,MATCH(玩家节奏2!N66,关卡对比!$A:$A,0))</f>
        <v>86200</v>
      </c>
      <c r="CK66" s="147">
        <f t="shared" ca="1" si="29"/>
        <v>1.2561477054540413</v>
      </c>
      <c r="CL66" s="128">
        <f ca="1">INDEX(角色升级!$P:$P,MATCH(玩家节奏2!$CH66,角色升级!$A:$A,0))</f>
        <v>29700</v>
      </c>
      <c r="CM66" s="90">
        <f ca="1">INDEX(角色升级!Q:Q,MATCH(玩家节奏2!$CH66,角色升级!$A:$A,0))</f>
        <v>1.8</v>
      </c>
      <c r="CO66" s="128">
        <f t="shared" si="30"/>
        <v>78866</v>
      </c>
      <c r="CP66" s="90">
        <f t="shared" si="31"/>
        <v>93550</v>
      </c>
      <c r="CQ66" s="90">
        <f t="shared" si="32"/>
        <v>40936</v>
      </c>
      <c r="CR66" s="90">
        <f t="shared" ca="1" si="33"/>
        <v>160582.5</v>
      </c>
      <c r="CS66" s="90">
        <f t="shared" ca="1" si="34"/>
        <v>373934.5</v>
      </c>
      <c r="CT66" s="142">
        <f t="shared" ca="1" si="35"/>
        <v>0.21090859495446396</v>
      </c>
      <c r="CU66" s="142">
        <f t="shared" ca="1" si="35"/>
        <v>0.25017750434902369</v>
      </c>
      <c r="CV66" s="142">
        <f t="shared" ca="1" si="35"/>
        <v>0.10947371799071763</v>
      </c>
      <c r="CW66" s="142">
        <f t="shared" ca="1" si="35"/>
        <v>0.4294401827057947</v>
      </c>
      <c r="CY66" s="128">
        <f t="shared" si="36"/>
        <v>39434</v>
      </c>
      <c r="CZ66" s="90">
        <f t="shared" si="37"/>
        <v>46611</v>
      </c>
      <c r="DA66" s="90">
        <f t="shared" si="38"/>
        <v>27132</v>
      </c>
      <c r="DB66" s="90">
        <f t="shared" ca="1" si="58"/>
        <v>87599.5</v>
      </c>
      <c r="DC66" s="90">
        <f t="shared" ca="1" si="39"/>
        <v>200776.5</v>
      </c>
      <c r="DD66" s="142">
        <f t="shared" ca="1" si="40"/>
        <v>0.19640744808281846</v>
      </c>
      <c r="DE66" s="142">
        <f t="shared" ca="1" si="40"/>
        <v>0.23215366340184235</v>
      </c>
      <c r="DF66" s="142">
        <f t="shared" ca="1" si="40"/>
        <v>0.13513533705388828</v>
      </c>
      <c r="DG66" s="142">
        <f t="shared" ca="1" si="40"/>
        <v>0.43630355146145089</v>
      </c>
      <c r="DI66" s="128">
        <f t="shared" si="41"/>
        <v>19113</v>
      </c>
      <c r="DJ66" s="90">
        <f t="shared" si="42"/>
        <v>22787</v>
      </c>
      <c r="DK66" s="90">
        <f t="shared" si="43"/>
        <v>10302</v>
      </c>
      <c r="DL66" s="90">
        <f t="shared" ca="1" si="44"/>
        <v>12725.25</v>
      </c>
      <c r="DM66" s="90">
        <f t="shared" ca="1" si="45"/>
        <v>64927.25</v>
      </c>
      <c r="DN66" s="142">
        <f t="shared" ca="1" si="46"/>
        <v>0.29437562810684265</v>
      </c>
      <c r="DO66" s="142">
        <f t="shared" ca="1" si="46"/>
        <v>0.35096203828130718</v>
      </c>
      <c r="DP66" s="142">
        <f t="shared" ca="1" si="46"/>
        <v>0.1586698959219742</v>
      </c>
      <c r="DQ66" s="142">
        <f t="shared" ca="1" si="46"/>
        <v>0.19599243768987598</v>
      </c>
      <c r="DS66" s="128">
        <f t="shared" ca="1" si="47"/>
        <v>373934.5</v>
      </c>
      <c r="DT66" s="90">
        <f t="shared" ca="1" si="48"/>
        <v>200776.5</v>
      </c>
      <c r="DU66" s="90">
        <f t="shared" ca="1" si="49"/>
        <v>64927.25</v>
      </c>
      <c r="DV66" s="90">
        <f t="shared" si="50"/>
        <v>912</v>
      </c>
      <c r="DW66" s="90">
        <f ca="1">_xlfn.IFNA(INDEX(武器升级消耗!$H:$H,MATCH(玩家节奏2!DS66/玩家节奏2!DS$5,武器升级消耗!M:M,1)),0)</f>
        <v>54</v>
      </c>
      <c r="DX66" s="90">
        <f ca="1">_xlfn.IFNA(INDEX(武器升级消耗!$H:$H,MATCH(玩家节奏2!DT66/玩家节奏2!DT$5,武器升级消耗!N:N,1)),0)</f>
        <v>47</v>
      </c>
      <c r="DY66" s="90">
        <f ca="1">_xlfn.IFNA(INDEX(武器升级消耗!$H:$H,MATCH(玩家节奏2!DU66/玩家节奏2!DU$5,武器升级消耗!O:O,1)),0)</f>
        <v>35</v>
      </c>
      <c r="DZ66" s="90">
        <f>_xlfn.IFNA(INDEX(武器升级消耗!$H:$H,MATCH(玩家节奏2!DV66/玩家节奏2!DV$5,武器升级消耗!P:P,1)),0)</f>
        <v>22</v>
      </c>
      <c r="EA66" s="90">
        <f ca="1">_xlfn.IFNA(INDEX(武器升级消耗!$Q:$Q,MATCH(玩家节奏2!DW66,武器升级消耗!$H:$H,0))*2*EA$4,0)</f>
        <v>6.96</v>
      </c>
      <c r="EB66" s="90">
        <f ca="1">_xlfn.IFNA(INDEX(武器升级消耗!$Q:$Q,MATCH(玩家节奏2!DX66,武器升级消耗!$H:$H,0))*2*EB$4,0)</f>
        <v>7.6499999999999995</v>
      </c>
      <c r="EC66" s="90">
        <f ca="1">_xlfn.IFNA(INDEX(武器升级消耗!$Q:$Q,MATCH(玩家节奏2!DY66,武器升级消耗!$H:$H,0))*2*EC$4,0)</f>
        <v>8.58</v>
      </c>
      <c r="ED66" s="90">
        <f>_xlfn.IFNA(INDEX(武器升级消耗!$Q:$Q,MATCH(玩家节奏2!DZ66,武器升级消耗!$H:$H,0))*2*ED$4,0)</f>
        <v>7.8000000000000007</v>
      </c>
      <c r="EF66" s="128">
        <f t="shared" si="70"/>
        <v>0</v>
      </c>
      <c r="EG66" s="90">
        <f t="shared" si="71"/>
        <v>0</v>
      </c>
      <c r="EH66" s="90">
        <v>180</v>
      </c>
      <c r="EI66" s="90">
        <v>180</v>
      </c>
      <c r="EJ66" s="90">
        <f>_xlfn.IFNA(INDEX(皮肤宠物!$J$4:$J$13,MATCH(EF66+EH66,皮肤宠物!$L$4:$L$13,1)),0)</f>
        <v>7</v>
      </c>
      <c r="EK66" s="90">
        <f>_xlfn.IFNA(INDEX(皮肤宠物!$J$4:$J$13,MATCH(EG66+EI66,皮肤宠物!$L$4:$L$13,1)),0)</f>
        <v>7</v>
      </c>
      <c r="EL66" s="90">
        <f>_xlfn.IFNA(INDEX(皮肤宠物!$N$4:$N$13,MATCH(EF66+EH66,皮肤宠物!$L$4:$L$13,1)),1)</f>
        <v>1.87</v>
      </c>
      <c r="EM66" s="90">
        <f>_xlfn.IFNA(INDEX(皮肤宠物!$N$4:$N$13,MATCH(EG66+EI66,皮肤宠物!$L$4:$L$13,1)),1)</f>
        <v>1.87</v>
      </c>
      <c r="EO66" s="128">
        <v>180</v>
      </c>
      <c r="EP66" s="90">
        <v>60</v>
      </c>
      <c r="EQ66" s="90">
        <f t="shared" ca="1" si="51"/>
        <v>72725</v>
      </c>
      <c r="ER66" s="90">
        <f t="shared" si="72"/>
        <v>0</v>
      </c>
      <c r="ES66" s="90">
        <f t="shared" ca="1" si="52"/>
        <v>787.25</v>
      </c>
      <c r="ET66" s="90">
        <f ca="1">$ES66*ET$5*皮肤宠物!$J$75/4</f>
        <v>2598.71225</v>
      </c>
      <c r="EU66" s="90">
        <f ca="1">$ES66*EU$5*皮肤宠物!$J$76/4</f>
        <v>433.77475000000004</v>
      </c>
      <c r="EV66" s="90">
        <f ca="1">$ES66*EV$5*皮肤宠物!$J$77/4</f>
        <v>117.49706250000001</v>
      </c>
      <c r="EW66" s="90">
        <f ca="1">_xlfn.IFNA(INDEX(皮肤宠物!$H$18:$H$67,MATCH(ET66,皮肤宠物!L$18:L$67,1)),0)</f>
        <v>18</v>
      </c>
      <c r="EX66" s="90">
        <f ca="1">_xlfn.IFNA(INDEX(皮肤宠物!$H$18:$H$67,MATCH(EU66,皮肤宠物!M$18:M$67,1)),0)</f>
        <v>14</v>
      </c>
      <c r="EY66" s="90">
        <f ca="1">_xlfn.IFNA(INDEX(皮肤宠物!$H$18:$H$67,MATCH(EV66,皮肤宠物!N$18:N$67,1)),0)</f>
        <v>10</v>
      </c>
      <c r="EZ66" s="90">
        <f ca="1">_xlfn.IFNA(INDEX(皮肤宠物!C$18:C$67,MATCH(EW66,皮肤宠物!$A$18:$A$67,0))+1,1)</f>
        <v>1.18</v>
      </c>
      <c r="FA66" s="90">
        <f ca="1">_xlfn.IFNA(INDEX(皮肤宠物!D$18:D$67,MATCH(EX66,皮肤宠物!$A$18:$A$67,0))+1,1)</f>
        <v>1.28</v>
      </c>
      <c r="FB66" s="90">
        <f ca="1">_xlfn.IFNA(INDEX(皮肤宠物!E$18:E$67,MATCH(EY66,皮肤宠物!$A$18:$A$67,0))+1,1)</f>
        <v>1.4</v>
      </c>
      <c r="FD66" s="90">
        <f t="shared" ca="1" si="53"/>
        <v>8.58</v>
      </c>
      <c r="FE66" s="90">
        <f t="shared" si="54"/>
        <v>1.87</v>
      </c>
      <c r="FF66" s="90">
        <f t="shared" ca="1" si="55"/>
        <v>1.4</v>
      </c>
      <c r="FG66" s="90">
        <f t="shared" ca="1" si="56"/>
        <v>22.462440000000001</v>
      </c>
    </row>
    <row r="67" spans="1:163" x14ac:dyDescent="0.25">
      <c r="A67" s="123">
        <v>61</v>
      </c>
      <c r="B67" s="123">
        <f>INDEX(关卡对比!$Y:$Y,MATCH(关卡对比!Z67,关卡对比!$AA:$AA,1))</f>
        <v>44</v>
      </c>
      <c r="C67" s="124">
        <f>INDEX(关卡对比!$Y:$Y,MATCH(关卡对比!Z67,关卡对比!$AB:$AB,1))</f>
        <v>35</v>
      </c>
      <c r="D67" s="125">
        <f t="shared" si="63"/>
        <v>249.5</v>
      </c>
      <c r="E67" s="125">
        <v>2</v>
      </c>
      <c r="F67" s="128">
        <v>16</v>
      </c>
      <c r="G67" s="90">
        <v>16</v>
      </c>
      <c r="H67" s="90">
        <v>5</v>
      </c>
      <c r="J67" s="128">
        <v>61</v>
      </c>
      <c r="K67" s="90">
        <f t="shared" si="17"/>
        <v>16</v>
      </c>
      <c r="L67" s="90">
        <f t="shared" si="18"/>
        <v>16</v>
      </c>
      <c r="M67" s="90">
        <f t="shared" si="19"/>
        <v>5</v>
      </c>
      <c r="N67" s="140">
        <f>INDEX($A:$A,MATCH(SUM($K$7:K67),$D:$D,1))</f>
        <v>200</v>
      </c>
      <c r="O67" s="140">
        <v>0</v>
      </c>
      <c r="P67" s="141">
        <v>0</v>
      </c>
      <c r="Q67" s="126">
        <f>_xlfn.MAXIFS(关卡产出!X:X,关卡产出!$A:$A,玩家节奏2!$N$6,关卡产出!$B:$B,玩家节奏2!$N67)+_xlfn.MAXIFS(关卡产出!X:X,关卡产出!$A:$A,玩家节奏2!$O$6,关卡产出!$B:$B,玩家节奏2!$O67)+_xlfn.MAXIFS(关卡产出!X:X,关卡产出!$A:$A,玩家节奏2!$P$6,关卡产出!$B:$B,玩家节奏2!$P67)</f>
        <v>38500</v>
      </c>
      <c r="R67" s="90">
        <f>_xlfn.MAXIFS(关卡产出!Y:Y,关卡产出!$A:$A,玩家节奏2!$N$6,关卡产出!$B:$B,玩家节奏2!$N67)+_xlfn.MAXIFS(关卡产出!Y:Y,关卡产出!$A:$A,玩家节奏2!$O$6,关卡产出!$B:$B,玩家节奏2!$O67)+_xlfn.MAXIFS(关卡产出!Y:Y,关卡产出!$A:$A,玩家节奏2!$P$6,关卡产出!$B:$B,玩家节奏2!$P67)</f>
        <v>11610000</v>
      </c>
      <c r="S67" s="90">
        <f>_xlfn.MAXIFS(关卡产出!Z:Z,关卡产出!$A:$A,玩家节奏2!$N$6,关卡产出!$B:$B,玩家节奏2!$N67)+_xlfn.MAXIFS(关卡产出!Z:Z,关卡产出!$A:$A,玩家节奏2!$O$6,关卡产出!$B:$B,玩家节奏2!$O67)+_xlfn.MAXIFS(关卡产出!Z:Z,关卡产出!$A:$A,玩家节奏2!$P$6,关卡产出!$B:$B,玩家节奏2!$P67)</f>
        <v>78866</v>
      </c>
      <c r="T67" s="90">
        <f>_xlfn.MAXIFS(关卡产出!AA:AA,关卡产出!$A:$A,玩家节奏2!$N$6,关卡产出!$B:$B,玩家节奏2!$N67)+_xlfn.MAXIFS(关卡产出!AA:AA,关卡产出!$A:$A,玩家节奏2!$O$6,关卡产出!$B:$B,玩家节奏2!$O67)+_xlfn.MAXIFS(关卡产出!AA:AA,关卡产出!$A:$A,玩家节奏2!$P$6,关卡产出!$B:$B,玩家节奏2!$P67)</f>
        <v>39434</v>
      </c>
      <c r="U67" s="90">
        <f>_xlfn.MAXIFS(关卡产出!AB:AB,关卡产出!$A:$A,玩家节奏2!$N$6,关卡产出!$B:$B,玩家节奏2!$N67)+_xlfn.MAXIFS(关卡产出!AB:AB,关卡产出!$A:$A,玩家节奏2!$O$6,关卡产出!$B:$B,玩家节奏2!$O67)+_xlfn.MAXIFS(关卡产出!AB:AB,关卡产出!$A:$A,玩家节奏2!$P$6,关卡产出!$B:$B,玩家节奏2!$P67)</f>
        <v>19113</v>
      </c>
      <c r="V67" s="130">
        <f>_xlfn.MAXIFS(关卡产出!AC:AC,关卡产出!$A:$A,玩家节奏2!$N$6,关卡产出!$B:$B,玩家节奏2!$N67)+_xlfn.MAXIFS(关卡产出!AC:AC,关卡产出!$A:$A,玩家节奏2!$O$6,关卡产出!$B:$B,玩家节奏2!$O67)+_xlfn.MAXIFS(关卡产出!AC:AC,关卡产出!$A:$A,玩家节奏2!$P$6,关卡产出!$B:$B,玩家节奏2!$P67)</f>
        <v>1200</v>
      </c>
      <c r="W67" s="126">
        <f>INDEX(关卡产出!C$8:C$207,MATCH(玩家节奏2!$N67,关卡产出!$B$8:$B$207,0))*$K67</f>
        <v>2528</v>
      </c>
      <c r="X67" s="126">
        <f>INDEX(关卡产出!D$8:D$207,MATCH(玩家节奏2!$N67,关卡产出!$B$8:$B$207,0))*$K67</f>
        <v>1264</v>
      </c>
      <c r="Y67" s="126">
        <f>INDEX(关卡产出!E$8:E$207,MATCH(玩家节奏2!$N67,关卡产出!$B$8:$B$207,0))*$K67</f>
        <v>624</v>
      </c>
      <c r="Z67" s="144">
        <f>INDEX(关卡产出!F$8:F$207,MATCH(玩家节奏2!$N67,关卡产出!$B$8:$B$207,0))*$K67</f>
        <v>32800</v>
      </c>
      <c r="AA67" s="126">
        <f>SUM(W$7:W67)</f>
        <v>96078</v>
      </c>
      <c r="AB67" s="126">
        <f>SUM(X$7:X67)</f>
        <v>47875</v>
      </c>
      <c r="AC67" s="126">
        <f>SUM(Y$7:Y67)</f>
        <v>23411</v>
      </c>
      <c r="AD67" s="177">
        <f>SUM(Z$7:Z67)</f>
        <v>1274330</v>
      </c>
      <c r="AE67" s="128">
        <f>INDEX(图鉴!AQ:AQ,MATCH($N67,图鉴!$S:$S,0))*34</f>
        <v>714</v>
      </c>
      <c r="AF67" s="90">
        <f>INDEX(图鉴!AR:AR,MATCH($N67,图鉴!$S:$S,0))*34</f>
        <v>510</v>
      </c>
      <c r="AG67" s="90">
        <f>INDEX(图鉴!AS:AS,MATCH($N67,图鉴!$S:$S,0))*34</f>
        <v>204</v>
      </c>
      <c r="AH67" s="129">
        <f ca="1">INDEX(图鉴!AT:AT,MATCH($N67,图鉴!$S:$S,0))*34</f>
        <v>55930</v>
      </c>
      <c r="AI67" s="128">
        <f>SUM($AE$7:AE67)</f>
        <v>41650</v>
      </c>
      <c r="AJ67" s="90">
        <f>SUM(AF$7:AF67)</f>
        <v>27642</v>
      </c>
      <c r="AK67" s="90">
        <f>SUM(AG$7:AG67)</f>
        <v>10506</v>
      </c>
      <c r="AL67" s="130">
        <f ca="1">SUM(AH$7:AH67)</f>
        <v>2582096</v>
      </c>
      <c r="AM67" s="133">
        <f>IF(M67=0,0,INDEX(关卡产出!$AU$11:$AU$15,MATCH(玩家节奏2!N67,关卡产出!$AW$11:$AW$15,1))*M67)</f>
        <v>61000</v>
      </c>
      <c r="AN67" s="126">
        <f>IF(L67=0,0,$L67*关卡产出!AU$21)</f>
        <v>16000</v>
      </c>
      <c r="AO67" s="90">
        <f>IF(M67=0,0,$L67*关卡产出!AV$21)</f>
        <v>800</v>
      </c>
      <c r="AP67" s="129">
        <f>IF(N67=0,0,$L67*关卡产出!AW$21)</f>
        <v>16</v>
      </c>
      <c r="AQ67" s="138">
        <f>SUM(AN$7:AN67)</f>
        <v>928000</v>
      </c>
      <c r="AR67" s="126">
        <f>SUM(AO$7:AO67)</f>
        <v>46400</v>
      </c>
      <c r="AS67" s="129">
        <f>SUM(AP$7:AP67)</f>
        <v>928</v>
      </c>
      <c r="AT67" s="128">
        <v>3000</v>
      </c>
      <c r="AU67" s="129">
        <v>600</v>
      </c>
      <c r="AV67" s="128">
        <f>SUM(AT$7:AT67)</f>
        <v>183000</v>
      </c>
      <c r="AW67" s="90">
        <f>SUM(AU$7:AU67)</f>
        <v>36600</v>
      </c>
      <c r="AY67" s="128">
        <f t="shared" si="20"/>
        <v>38500</v>
      </c>
      <c r="AZ67" s="90">
        <f t="shared" si="21"/>
        <v>46400</v>
      </c>
      <c r="BA67" s="90">
        <f t="shared" si="22"/>
        <v>36600</v>
      </c>
      <c r="BB67" s="90">
        <f t="shared" ca="1" si="57"/>
        <v>29700</v>
      </c>
      <c r="BC67" s="90">
        <f t="shared" ca="1" si="60"/>
        <v>77775</v>
      </c>
      <c r="BD67" s="90">
        <f t="shared" ca="1" si="61"/>
        <v>73425</v>
      </c>
      <c r="BE67" s="90">
        <f t="shared" ca="1" si="24"/>
        <v>151200</v>
      </c>
      <c r="BF67" s="142">
        <f t="shared" ca="1" si="64"/>
        <v>0.49501767920282869</v>
      </c>
      <c r="BG67" s="142">
        <f t="shared" ca="1" si="65"/>
        <v>0.59659273545483771</v>
      </c>
      <c r="BH67" s="142">
        <f t="shared" ca="1" si="66"/>
        <v>0.47058823529411764</v>
      </c>
      <c r="BI67" s="142">
        <f t="shared" ca="1" si="67"/>
        <v>0.38187078109932499</v>
      </c>
      <c r="BJ67" s="143"/>
      <c r="BK67" s="128">
        <f ca="1">INDEX(商城宝箱!$L:$L,MATCH(BC67,商城宝箱!$N:$N,1))</f>
        <v>10</v>
      </c>
      <c r="BL67" s="90">
        <f ca="1">_xlfn.IFNA(INDEX(商城宝箱!T:T,MATCH(玩家节奏2!$BK67,商城宝箱!$L:$L,0)),0)+($BC67-INDEX(商城宝箱!$N:$N,MATCH(玩家节奏2!$BK67,商城宝箱!$L:$L,0)))/$BK$5*INDEX(商城宝箱!E$23:E$42,MATCH(玩家节奏2!$BK67+1,商城宝箱!$C$23:$C$42,0))</f>
        <v>194437.5</v>
      </c>
      <c r="BM67" s="90">
        <f ca="1">_xlfn.IFNA(INDEX(商城宝箱!U:U,MATCH(玩家节奏2!$BK67,商城宝箱!$L:$L,0)),0)+($BC67-INDEX(商城宝箱!$N:$N,MATCH(玩家节奏2!$BK67,商城宝箱!$L:$L,0)))/$BK$5*INDEX(商城宝箱!F$23:F$42,MATCH(玩家节奏2!$BK67+1,商城宝箱!$C$23:$C$42,0))</f>
        <v>162822.5</v>
      </c>
      <c r="BN67" s="90">
        <f ca="1">_xlfn.IFNA(INDEX(商城宝箱!V:V,MATCH(玩家节奏2!$BK67,商城宝箱!$L:$L,0)),0)+($BC67-INDEX(商城宝箱!$N:$N,MATCH(玩家节奏2!$BK67,商城宝箱!$L:$L,0)))/$BK$5*INDEX(商城宝箱!G$23:G$42,MATCH(玩家节奏2!$BK67+1,商城宝箱!$C$23:$C$42,0))</f>
        <v>88649.5</v>
      </c>
      <c r="BO67" s="90">
        <f ca="1">_xlfn.IFNA(INDEX(商城宝箱!W:W,MATCH(玩家节奏2!$BK67,商城宝箱!$L:$L,0)),0)+($BC67-INDEX(商城宝箱!$N:$N,MATCH(玩家节奏2!$BK67,商城宝箱!$L:$L,0)))/$BK$5*INDEX(商城宝箱!H$23:H$42,MATCH(玩家节奏2!$BK67+1,商城宝箱!$C$23:$C$42,0))</f>
        <v>12900.25</v>
      </c>
      <c r="BQ67" s="128">
        <f t="shared" si="4"/>
        <v>11610000</v>
      </c>
      <c r="BR67" s="90">
        <f t="shared" si="5"/>
        <v>1274330</v>
      </c>
      <c r="BS67" s="90">
        <f t="shared" ca="1" si="68"/>
        <v>2582096</v>
      </c>
      <c r="BT67" s="90">
        <f t="shared" si="69"/>
        <v>61000</v>
      </c>
      <c r="BU67" s="90">
        <f t="shared" si="8"/>
        <v>928000</v>
      </c>
      <c r="BV67" s="90">
        <f t="shared" si="9"/>
        <v>183000</v>
      </c>
      <c r="BW67" s="90">
        <f t="shared" ca="1" si="25"/>
        <v>194437.5</v>
      </c>
      <c r="BX67" s="90">
        <f t="shared" ca="1" si="26"/>
        <v>16832863.5</v>
      </c>
      <c r="BY67" s="142">
        <f t="shared" ca="1" si="74"/>
        <v>0.68972222105882341</v>
      </c>
      <c r="BZ67" s="142">
        <f t="shared" ca="1" si="74"/>
        <v>7.5704885268035357E-2</v>
      </c>
      <c r="CA67" s="142">
        <f t="shared" ca="1" si="73"/>
        <v>0.15339612300664116</v>
      </c>
      <c r="CB67" s="142">
        <f t="shared" ca="1" si="73"/>
        <v>3.6238635214976942E-3</v>
      </c>
      <c r="CC67" s="142">
        <f t="shared" ca="1" si="73"/>
        <v>5.5130251605735411E-2</v>
      </c>
      <c r="CD67" s="142">
        <f t="shared" ca="1" si="73"/>
        <v>1.0871590564493083E-2</v>
      </c>
      <c r="CE67" s="142">
        <f t="shared" ca="1" si="73"/>
        <v>1.15510649747739E-2</v>
      </c>
      <c r="CG67" s="128">
        <f t="shared" si="28"/>
        <v>200</v>
      </c>
      <c r="CH67" s="90">
        <f ca="1">INDEX(角色升级!$A:$A,MATCH(玩家节奏2!$BX67,角色升级!$J:$J,1))</f>
        <v>889</v>
      </c>
      <c r="CI67" s="90">
        <f ca="1">INDEX(角色升级!$O:$O,MATCH(玩家节奏2!$BX67,角色升级!$J:$J,1))</f>
        <v>68781.474300000002</v>
      </c>
      <c r="CJ67" s="90">
        <f>INDEX(关卡对比!$J:$J,MATCH(玩家节奏2!N67,关卡对比!$A:$A,0))</f>
        <v>86200</v>
      </c>
      <c r="CK67" s="147">
        <f t="shared" ca="1" si="29"/>
        <v>1.2532444364892015</v>
      </c>
      <c r="CL67" s="128">
        <f ca="1">INDEX(角色升级!$P:$P,MATCH(玩家节奏2!$CH67,角色升级!$A:$A,0))</f>
        <v>29700</v>
      </c>
      <c r="CM67" s="90">
        <f ca="1">INDEX(角色升级!Q:Q,MATCH(玩家节奏2!$CH67,角色升级!$A:$A,0))</f>
        <v>1.8</v>
      </c>
      <c r="CO67" s="128">
        <f t="shared" si="30"/>
        <v>78866</v>
      </c>
      <c r="CP67" s="90">
        <f t="shared" si="31"/>
        <v>96078</v>
      </c>
      <c r="CQ67" s="90">
        <f t="shared" si="32"/>
        <v>41650</v>
      </c>
      <c r="CR67" s="90">
        <f t="shared" ca="1" si="33"/>
        <v>162822.5</v>
      </c>
      <c r="CS67" s="90">
        <f t="shared" ca="1" si="34"/>
        <v>379416.5</v>
      </c>
      <c r="CT67" s="142">
        <f t="shared" ca="1" si="35"/>
        <v>0.20786128173129001</v>
      </c>
      <c r="CU67" s="142">
        <f t="shared" ca="1" si="35"/>
        <v>0.25322567679581676</v>
      </c>
      <c r="CV67" s="142">
        <f t="shared" ca="1" si="35"/>
        <v>0.10977382375305239</v>
      </c>
      <c r="CW67" s="142">
        <f t="shared" ca="1" si="35"/>
        <v>0.42913921771984087</v>
      </c>
      <c r="CY67" s="128">
        <f t="shared" si="36"/>
        <v>39434</v>
      </c>
      <c r="CZ67" s="90">
        <f t="shared" si="37"/>
        <v>47875</v>
      </c>
      <c r="DA67" s="90">
        <f t="shared" si="38"/>
        <v>27642</v>
      </c>
      <c r="DB67" s="90">
        <f t="shared" ca="1" si="58"/>
        <v>88649.5</v>
      </c>
      <c r="DC67" s="90">
        <f t="shared" ca="1" si="39"/>
        <v>203600.5</v>
      </c>
      <c r="DD67" s="142">
        <f t="shared" ca="1" si="40"/>
        <v>0.19368321787029011</v>
      </c>
      <c r="DE67" s="142">
        <f t="shared" ca="1" si="40"/>
        <v>0.23514185868895213</v>
      </c>
      <c r="DF67" s="142">
        <f t="shared" ca="1" si="40"/>
        <v>0.13576587483822486</v>
      </c>
      <c r="DG67" s="142">
        <f t="shared" ca="1" si="40"/>
        <v>0.43540904860253288</v>
      </c>
      <c r="DI67" s="128">
        <f t="shared" si="41"/>
        <v>19113</v>
      </c>
      <c r="DJ67" s="90">
        <f t="shared" si="42"/>
        <v>23411</v>
      </c>
      <c r="DK67" s="90">
        <f t="shared" si="43"/>
        <v>10506</v>
      </c>
      <c r="DL67" s="90">
        <f t="shared" ca="1" si="44"/>
        <v>12900.25</v>
      </c>
      <c r="DM67" s="90">
        <f t="shared" ca="1" si="45"/>
        <v>65930.25</v>
      </c>
      <c r="DN67" s="142">
        <f t="shared" ca="1" si="46"/>
        <v>0.28989727780495295</v>
      </c>
      <c r="DO67" s="142">
        <f t="shared" ca="1" si="46"/>
        <v>0.35508738401568324</v>
      </c>
      <c r="DP67" s="142">
        <f t="shared" ca="1" si="46"/>
        <v>0.15935022239412105</v>
      </c>
      <c r="DQ67" s="142">
        <f t="shared" ca="1" si="46"/>
        <v>0.19566511578524273</v>
      </c>
      <c r="DS67" s="128">
        <f t="shared" ca="1" si="47"/>
        <v>379416.5</v>
      </c>
      <c r="DT67" s="90">
        <f t="shared" ca="1" si="48"/>
        <v>203600.5</v>
      </c>
      <c r="DU67" s="90">
        <f t="shared" ca="1" si="49"/>
        <v>65930.25</v>
      </c>
      <c r="DV67" s="90">
        <f t="shared" si="50"/>
        <v>928</v>
      </c>
      <c r="DW67" s="90">
        <f ca="1">_xlfn.IFNA(INDEX(武器升级消耗!$H:$H,MATCH(玩家节奏2!DS67/玩家节奏2!DS$5,武器升级消耗!M:M,1)),0)</f>
        <v>54</v>
      </c>
      <c r="DX67" s="90">
        <f ca="1">_xlfn.IFNA(INDEX(武器升级消耗!$H:$H,MATCH(玩家节奏2!DT67/玩家节奏2!DT$5,武器升级消耗!N:N,1)),0)</f>
        <v>48</v>
      </c>
      <c r="DY67" s="90">
        <f ca="1">_xlfn.IFNA(INDEX(武器升级消耗!$H:$H,MATCH(玩家节奏2!DU67/玩家节奏2!DU$5,武器升级消耗!O:O,1)),0)</f>
        <v>35</v>
      </c>
      <c r="DZ67" s="90">
        <f>_xlfn.IFNA(INDEX(武器升级消耗!$H:$H,MATCH(玩家节奏2!DV67/玩家节奏2!DV$5,武器升级消耗!P:P,1)),0)</f>
        <v>22</v>
      </c>
      <c r="EA67" s="90">
        <f ca="1">_xlfn.IFNA(INDEX(武器升级消耗!$Q:$Q,MATCH(玩家节奏2!DW67,武器升级消耗!$H:$H,0))*2*EA$4,0)</f>
        <v>6.96</v>
      </c>
      <c r="EB67" s="90">
        <f ca="1">_xlfn.IFNA(INDEX(武器升级消耗!$Q:$Q,MATCH(玩家节奏2!DX67,武器升级消耗!$H:$H,0))*2*EB$4,0)</f>
        <v>7.8000000000000007</v>
      </c>
      <c r="EC67" s="90">
        <f ca="1">_xlfn.IFNA(INDEX(武器升级消耗!$Q:$Q,MATCH(玩家节奏2!DY67,武器升级消耗!$H:$H,0))*2*EC$4,0)</f>
        <v>8.58</v>
      </c>
      <c r="ED67" s="90">
        <f>_xlfn.IFNA(INDEX(武器升级消耗!$Q:$Q,MATCH(玩家节奏2!DZ67,武器升级消耗!$H:$H,0))*2*ED$4,0)</f>
        <v>7.8000000000000007</v>
      </c>
      <c r="EF67" s="128">
        <f t="shared" si="70"/>
        <v>0</v>
      </c>
      <c r="EG67" s="90">
        <f t="shared" si="71"/>
        <v>0</v>
      </c>
      <c r="EH67" s="90">
        <v>183</v>
      </c>
      <c r="EI67" s="90">
        <v>183</v>
      </c>
      <c r="EJ67" s="90">
        <f>_xlfn.IFNA(INDEX(皮肤宠物!$J$4:$J$13,MATCH(EF67+EH67,皮肤宠物!$L$4:$L$13,1)),0)</f>
        <v>7</v>
      </c>
      <c r="EK67" s="90">
        <f>_xlfn.IFNA(INDEX(皮肤宠物!$J$4:$J$13,MATCH(EG67+EI67,皮肤宠物!$L$4:$L$13,1)),0)</f>
        <v>7</v>
      </c>
      <c r="EL67" s="90">
        <f>_xlfn.IFNA(INDEX(皮肤宠物!$N$4:$N$13,MATCH(EF67+EH67,皮肤宠物!$L$4:$L$13,1)),1)</f>
        <v>1.87</v>
      </c>
      <c r="EM67" s="90">
        <f>_xlfn.IFNA(INDEX(皮肤宠物!$N$4:$N$13,MATCH(EG67+EI67,皮肤宠物!$L$4:$L$13,1)),1)</f>
        <v>1.87</v>
      </c>
      <c r="EO67" s="128">
        <v>183</v>
      </c>
      <c r="EP67" s="90">
        <v>61</v>
      </c>
      <c r="EQ67" s="90">
        <f t="shared" ca="1" si="51"/>
        <v>73425</v>
      </c>
      <c r="ER67" s="90">
        <f t="shared" si="72"/>
        <v>0</v>
      </c>
      <c r="ES67" s="90">
        <f t="shared" ca="1" si="52"/>
        <v>795.25</v>
      </c>
      <c r="ET67" s="90">
        <f ca="1">$ES67*ET$5*皮肤宠物!$J$75/4</f>
        <v>2625.1202499999999</v>
      </c>
      <c r="EU67" s="90">
        <f ca="1">$ES67*EU$5*皮肤宠物!$J$76/4</f>
        <v>438.18275</v>
      </c>
      <c r="EV67" s="90">
        <f ca="1">$ES67*EV$5*皮肤宠物!$J$77/4</f>
        <v>118.6910625</v>
      </c>
      <c r="EW67" s="90">
        <f ca="1">_xlfn.IFNA(INDEX(皮肤宠物!$H$18:$H$67,MATCH(ET67,皮肤宠物!L$18:L$67,1)),0)</f>
        <v>18</v>
      </c>
      <c r="EX67" s="90">
        <f ca="1">_xlfn.IFNA(INDEX(皮肤宠物!$H$18:$H$67,MATCH(EU67,皮肤宠物!M$18:M$67,1)),0)</f>
        <v>14</v>
      </c>
      <c r="EY67" s="90">
        <f ca="1">_xlfn.IFNA(INDEX(皮肤宠物!$H$18:$H$67,MATCH(EV67,皮肤宠物!N$18:N$67,1)),0)</f>
        <v>10</v>
      </c>
      <c r="EZ67" s="90">
        <f ca="1">_xlfn.IFNA(INDEX(皮肤宠物!C$18:C$67,MATCH(EW67,皮肤宠物!$A$18:$A$67,0))+1,1)</f>
        <v>1.18</v>
      </c>
      <c r="FA67" s="90">
        <f ca="1">_xlfn.IFNA(INDEX(皮肤宠物!D$18:D$67,MATCH(EX67,皮肤宠物!$A$18:$A$67,0))+1,1)</f>
        <v>1.28</v>
      </c>
      <c r="FB67" s="90">
        <f ca="1">_xlfn.IFNA(INDEX(皮肤宠物!E$18:E$67,MATCH(EY67,皮肤宠物!$A$18:$A$67,0))+1,1)</f>
        <v>1.4</v>
      </c>
      <c r="FD67" s="90">
        <f t="shared" ca="1" si="53"/>
        <v>8.58</v>
      </c>
      <c r="FE67" s="90">
        <f t="shared" si="54"/>
        <v>1.87</v>
      </c>
      <c r="FF67" s="90">
        <f t="shared" ca="1" si="55"/>
        <v>1.4</v>
      </c>
      <c r="FG67" s="90">
        <f t="shared" ca="1" si="56"/>
        <v>22.462440000000001</v>
      </c>
    </row>
    <row r="68" spans="1:163" x14ac:dyDescent="0.25">
      <c r="A68" s="123">
        <v>62</v>
      </c>
      <c r="B68" s="123">
        <f>INDEX(关卡对比!$Y:$Y,MATCH(关卡对比!Z68,关卡对比!$AA:$AA,1))</f>
        <v>44</v>
      </c>
      <c r="C68" s="124">
        <f>INDEX(关卡对比!$Y:$Y,MATCH(关卡对比!Z68,关卡对比!$AB:$AB,1))</f>
        <v>35</v>
      </c>
      <c r="D68" s="125">
        <f t="shared" si="63"/>
        <v>251.5</v>
      </c>
      <c r="E68" s="125">
        <v>2</v>
      </c>
      <c r="F68" s="128">
        <v>16</v>
      </c>
      <c r="G68" s="90">
        <v>16</v>
      </c>
      <c r="H68" s="90">
        <v>5</v>
      </c>
      <c r="J68" s="128">
        <v>62</v>
      </c>
      <c r="K68" s="90">
        <f t="shared" si="17"/>
        <v>16</v>
      </c>
      <c r="L68" s="90">
        <f t="shared" si="18"/>
        <v>16</v>
      </c>
      <c r="M68" s="90">
        <f t="shared" si="19"/>
        <v>5</v>
      </c>
      <c r="N68" s="140">
        <f>INDEX($A:$A,MATCH(SUM($K$7:K68),$D:$D,1))</f>
        <v>200</v>
      </c>
      <c r="O68" s="140">
        <v>0</v>
      </c>
      <c r="P68" s="141">
        <v>0</v>
      </c>
      <c r="Q68" s="126">
        <f>_xlfn.MAXIFS(关卡产出!X:X,关卡产出!$A:$A,玩家节奏2!$N$6,关卡产出!$B:$B,玩家节奏2!$N68)+_xlfn.MAXIFS(关卡产出!X:X,关卡产出!$A:$A,玩家节奏2!$O$6,关卡产出!$B:$B,玩家节奏2!$O68)+_xlfn.MAXIFS(关卡产出!X:X,关卡产出!$A:$A,玩家节奏2!$P$6,关卡产出!$B:$B,玩家节奏2!$P68)</f>
        <v>38500</v>
      </c>
      <c r="R68" s="90">
        <f>_xlfn.MAXIFS(关卡产出!Y:Y,关卡产出!$A:$A,玩家节奏2!$N$6,关卡产出!$B:$B,玩家节奏2!$N68)+_xlfn.MAXIFS(关卡产出!Y:Y,关卡产出!$A:$A,玩家节奏2!$O$6,关卡产出!$B:$B,玩家节奏2!$O68)+_xlfn.MAXIFS(关卡产出!Y:Y,关卡产出!$A:$A,玩家节奏2!$P$6,关卡产出!$B:$B,玩家节奏2!$P68)</f>
        <v>11610000</v>
      </c>
      <c r="S68" s="90">
        <f>_xlfn.MAXIFS(关卡产出!Z:Z,关卡产出!$A:$A,玩家节奏2!$N$6,关卡产出!$B:$B,玩家节奏2!$N68)+_xlfn.MAXIFS(关卡产出!Z:Z,关卡产出!$A:$A,玩家节奏2!$O$6,关卡产出!$B:$B,玩家节奏2!$O68)+_xlfn.MAXIFS(关卡产出!Z:Z,关卡产出!$A:$A,玩家节奏2!$P$6,关卡产出!$B:$B,玩家节奏2!$P68)</f>
        <v>78866</v>
      </c>
      <c r="T68" s="90">
        <f>_xlfn.MAXIFS(关卡产出!AA:AA,关卡产出!$A:$A,玩家节奏2!$N$6,关卡产出!$B:$B,玩家节奏2!$N68)+_xlfn.MAXIFS(关卡产出!AA:AA,关卡产出!$A:$A,玩家节奏2!$O$6,关卡产出!$B:$B,玩家节奏2!$O68)+_xlfn.MAXIFS(关卡产出!AA:AA,关卡产出!$A:$A,玩家节奏2!$P$6,关卡产出!$B:$B,玩家节奏2!$P68)</f>
        <v>39434</v>
      </c>
      <c r="U68" s="90">
        <f>_xlfn.MAXIFS(关卡产出!AB:AB,关卡产出!$A:$A,玩家节奏2!$N$6,关卡产出!$B:$B,玩家节奏2!$N68)+_xlfn.MAXIFS(关卡产出!AB:AB,关卡产出!$A:$A,玩家节奏2!$O$6,关卡产出!$B:$B,玩家节奏2!$O68)+_xlfn.MAXIFS(关卡产出!AB:AB,关卡产出!$A:$A,玩家节奏2!$P$6,关卡产出!$B:$B,玩家节奏2!$P68)</f>
        <v>19113</v>
      </c>
      <c r="V68" s="130">
        <f>_xlfn.MAXIFS(关卡产出!AC:AC,关卡产出!$A:$A,玩家节奏2!$N$6,关卡产出!$B:$B,玩家节奏2!$N68)+_xlfn.MAXIFS(关卡产出!AC:AC,关卡产出!$A:$A,玩家节奏2!$O$6,关卡产出!$B:$B,玩家节奏2!$O68)+_xlfn.MAXIFS(关卡产出!AC:AC,关卡产出!$A:$A,玩家节奏2!$P$6,关卡产出!$B:$B,玩家节奏2!$P68)</f>
        <v>1200</v>
      </c>
      <c r="W68" s="126">
        <f>INDEX(关卡产出!C$8:C$207,MATCH(玩家节奏2!$N68,关卡产出!$B$8:$B$207,0))*$K68</f>
        <v>2528</v>
      </c>
      <c r="X68" s="126">
        <f>INDEX(关卡产出!D$8:D$207,MATCH(玩家节奏2!$N68,关卡产出!$B$8:$B$207,0))*$K68</f>
        <v>1264</v>
      </c>
      <c r="Y68" s="126">
        <f>INDEX(关卡产出!E$8:E$207,MATCH(玩家节奏2!$N68,关卡产出!$B$8:$B$207,0))*$K68</f>
        <v>624</v>
      </c>
      <c r="Z68" s="144">
        <f>INDEX(关卡产出!F$8:F$207,MATCH(玩家节奏2!$N68,关卡产出!$B$8:$B$207,0))*$K68</f>
        <v>32800</v>
      </c>
      <c r="AA68" s="126">
        <f>SUM(W$7:W68)</f>
        <v>98606</v>
      </c>
      <c r="AB68" s="126">
        <f>SUM(X$7:X68)</f>
        <v>49139</v>
      </c>
      <c r="AC68" s="126">
        <f>SUM(Y$7:Y68)</f>
        <v>24035</v>
      </c>
      <c r="AD68" s="177">
        <f>SUM(Z$7:Z68)</f>
        <v>1307130</v>
      </c>
      <c r="AE68" s="128">
        <f>INDEX(图鉴!AQ:AQ,MATCH($N68,图鉴!$S:$S,0))*34</f>
        <v>714</v>
      </c>
      <c r="AF68" s="90">
        <f>INDEX(图鉴!AR:AR,MATCH($N68,图鉴!$S:$S,0))*34</f>
        <v>510</v>
      </c>
      <c r="AG68" s="90">
        <f>INDEX(图鉴!AS:AS,MATCH($N68,图鉴!$S:$S,0))*34</f>
        <v>204</v>
      </c>
      <c r="AH68" s="129">
        <f ca="1">INDEX(图鉴!AT:AT,MATCH($N68,图鉴!$S:$S,0))*34</f>
        <v>55930</v>
      </c>
      <c r="AI68" s="128">
        <f>SUM($AE$7:AE68)</f>
        <v>42364</v>
      </c>
      <c r="AJ68" s="90">
        <f>SUM(AF$7:AF68)</f>
        <v>28152</v>
      </c>
      <c r="AK68" s="90">
        <f>SUM(AG$7:AG68)</f>
        <v>10710</v>
      </c>
      <c r="AL68" s="130">
        <f ca="1">SUM(AH$7:AH68)</f>
        <v>2638026</v>
      </c>
      <c r="AM68" s="133">
        <f>IF(M68=0,0,INDEX(关卡产出!$AU$11:$AU$15,MATCH(玩家节奏2!N68,关卡产出!$AW$11:$AW$15,1))*M68)</f>
        <v>61000</v>
      </c>
      <c r="AN68" s="126">
        <f>IF(L68=0,0,$L68*关卡产出!AU$21)</f>
        <v>16000</v>
      </c>
      <c r="AO68" s="90">
        <f>IF(M68=0,0,$L68*关卡产出!AV$21)</f>
        <v>800</v>
      </c>
      <c r="AP68" s="129">
        <f>IF(N68=0,0,$L68*关卡产出!AW$21)</f>
        <v>16</v>
      </c>
      <c r="AQ68" s="138">
        <f>SUM(AN$7:AN68)</f>
        <v>944000</v>
      </c>
      <c r="AR68" s="126">
        <f>SUM(AO$7:AO68)</f>
        <v>47200</v>
      </c>
      <c r="AS68" s="129">
        <f>SUM(AP$7:AP68)</f>
        <v>944</v>
      </c>
      <c r="AT68" s="128">
        <v>3000</v>
      </c>
      <c r="AU68" s="129">
        <v>600</v>
      </c>
      <c r="AV68" s="128">
        <f>SUM(AT$7:AT68)</f>
        <v>186000</v>
      </c>
      <c r="AW68" s="90">
        <f>SUM(AU$7:AU68)</f>
        <v>37200</v>
      </c>
      <c r="AY68" s="128">
        <f t="shared" si="20"/>
        <v>38500</v>
      </c>
      <c r="AZ68" s="90">
        <f t="shared" si="21"/>
        <v>47200</v>
      </c>
      <c r="BA68" s="90">
        <f t="shared" si="22"/>
        <v>37200</v>
      </c>
      <c r="BB68" s="90">
        <f t="shared" ca="1" si="57"/>
        <v>29700</v>
      </c>
      <c r="BC68" s="90">
        <f t="shared" ca="1" si="60"/>
        <v>78475</v>
      </c>
      <c r="BD68" s="90">
        <f t="shared" ca="1" si="61"/>
        <v>74125</v>
      </c>
      <c r="BE68" s="90">
        <f t="shared" ca="1" si="24"/>
        <v>152600</v>
      </c>
      <c r="BF68" s="142">
        <f t="shared" ca="1" si="64"/>
        <v>0.49060210258043963</v>
      </c>
      <c r="BG68" s="142">
        <f t="shared" ca="1" si="65"/>
        <v>0.60146543485186366</v>
      </c>
      <c r="BH68" s="142">
        <f t="shared" ca="1" si="66"/>
        <v>0.47403631729850271</v>
      </c>
      <c r="BI68" s="142">
        <f t="shared" ca="1" si="67"/>
        <v>0.37846447913348202</v>
      </c>
      <c r="BJ68" s="143"/>
      <c r="BK68" s="128">
        <f ca="1">INDEX(商城宝箱!$L:$L,MATCH(BC68,商城宝箱!$N:$N,1))</f>
        <v>10</v>
      </c>
      <c r="BL68" s="90">
        <f ca="1">_xlfn.IFNA(INDEX(商城宝箱!T:T,MATCH(玩家节奏2!$BK68,商城宝箱!$L:$L,0)),0)+($BC68-INDEX(商城宝箱!$N:$N,MATCH(玩家节奏2!$BK68,商城宝箱!$L:$L,0)))/$BK$5*INDEX(商城宝箱!E$23:E$42,MATCH(玩家节奏2!$BK68+1,商城宝箱!$C$23:$C$42,0))</f>
        <v>196187.5</v>
      </c>
      <c r="BM68" s="90">
        <f ca="1">_xlfn.IFNA(INDEX(商城宝箱!U:U,MATCH(玩家节奏2!$BK68,商城宝箱!$L:$L,0)),0)+($BC68-INDEX(商城宝箱!$N:$N,MATCH(玩家节奏2!$BK68,商城宝箱!$L:$L,0)))/$BK$5*INDEX(商城宝箱!F$23:F$42,MATCH(玩家节奏2!$BK68+1,商城宝箱!$C$23:$C$42,0))</f>
        <v>165062.5</v>
      </c>
      <c r="BN68" s="90">
        <f ca="1">_xlfn.IFNA(INDEX(商城宝箱!V:V,MATCH(玩家节奏2!$BK68,商城宝箱!$L:$L,0)),0)+($BC68-INDEX(商城宝箱!$N:$N,MATCH(玩家节奏2!$BK68,商城宝箱!$L:$L,0)))/$BK$5*INDEX(商城宝箱!G$23:G$42,MATCH(玩家节奏2!$BK68+1,商城宝箱!$C$23:$C$42,0))</f>
        <v>89699.5</v>
      </c>
      <c r="BO68" s="90">
        <f ca="1">_xlfn.IFNA(INDEX(商城宝箱!W:W,MATCH(玩家节奏2!$BK68,商城宝箱!$L:$L,0)),0)+($BC68-INDEX(商城宝箱!$N:$N,MATCH(玩家节奏2!$BK68,商城宝箱!$L:$L,0)))/$BK$5*INDEX(商城宝箱!H$23:H$42,MATCH(玩家节奏2!$BK68+1,商城宝箱!$C$23:$C$42,0))</f>
        <v>13075.25</v>
      </c>
      <c r="BQ68" s="128">
        <f t="shared" si="4"/>
        <v>11610000</v>
      </c>
      <c r="BR68" s="90">
        <f t="shared" si="5"/>
        <v>1307130</v>
      </c>
      <c r="BS68" s="90">
        <f t="shared" ca="1" si="68"/>
        <v>2638026</v>
      </c>
      <c r="BT68" s="90">
        <f t="shared" si="69"/>
        <v>61000</v>
      </c>
      <c r="BU68" s="90">
        <f t="shared" si="8"/>
        <v>944000</v>
      </c>
      <c r="BV68" s="90">
        <f t="shared" si="9"/>
        <v>186000</v>
      </c>
      <c r="BW68" s="90">
        <f t="shared" ca="1" si="25"/>
        <v>196187.5</v>
      </c>
      <c r="BX68" s="90">
        <f t="shared" ca="1" si="26"/>
        <v>16942343.5</v>
      </c>
      <c r="BY68" s="142">
        <f t="shared" ca="1" si="74"/>
        <v>0.68526529402499714</v>
      </c>
      <c r="BZ68" s="142">
        <f t="shared" ca="1" si="74"/>
        <v>7.7151664408173518E-2</v>
      </c>
      <c r="CA68" s="142">
        <f t="shared" ca="1" si="73"/>
        <v>0.15570608635104111</v>
      </c>
      <c r="CB68" s="142">
        <f t="shared" ca="1" si="73"/>
        <v>3.6004464199418458E-3</v>
      </c>
      <c r="CC68" s="142">
        <f t="shared" ca="1" si="73"/>
        <v>5.5718383941395118E-2</v>
      </c>
      <c r="CD68" s="142">
        <f t="shared" ca="1" si="73"/>
        <v>1.0978410395232513E-2</v>
      </c>
      <c r="CE68" s="142">
        <f t="shared" ca="1" si="73"/>
        <v>1.1579714459218703E-2</v>
      </c>
      <c r="CG68" s="128">
        <f t="shared" si="28"/>
        <v>200</v>
      </c>
      <c r="CH68" s="90">
        <f ca="1">INDEX(角色升级!$A:$A,MATCH(玩家节奏2!$BX68,角色升级!$J:$J,1))</f>
        <v>892</v>
      </c>
      <c r="CI68" s="90">
        <f ca="1">INDEX(角色升级!$O:$O,MATCH(玩家节奏2!$BX68,角色升级!$J:$J,1))</f>
        <v>68894.608349999995</v>
      </c>
      <c r="CJ68" s="90">
        <f>INDEX(关卡对比!$J:$J,MATCH(玩家节奏2!N68,关卡对比!$A:$A,0))</f>
        <v>86200</v>
      </c>
      <c r="CK68" s="147">
        <f t="shared" ca="1" si="29"/>
        <v>1.251186443532486</v>
      </c>
      <c r="CL68" s="128">
        <f ca="1">INDEX(角色升级!$P:$P,MATCH(玩家节奏2!$CH68,角色升级!$A:$A,0))</f>
        <v>29700</v>
      </c>
      <c r="CM68" s="90">
        <f ca="1">INDEX(角色升级!Q:Q,MATCH(玩家节奏2!$CH68,角色升级!$A:$A,0))</f>
        <v>1.9</v>
      </c>
      <c r="CO68" s="128">
        <f t="shared" si="30"/>
        <v>78866</v>
      </c>
      <c r="CP68" s="90">
        <f t="shared" si="31"/>
        <v>98606</v>
      </c>
      <c r="CQ68" s="90">
        <f t="shared" si="32"/>
        <v>42364</v>
      </c>
      <c r="CR68" s="90">
        <f t="shared" ca="1" si="33"/>
        <v>165062.5</v>
      </c>
      <c r="CS68" s="90">
        <f t="shared" ca="1" si="34"/>
        <v>384898.5</v>
      </c>
      <c r="CT68" s="142">
        <f t="shared" ca="1" si="35"/>
        <v>0.20490077254133232</v>
      </c>
      <c r="CU68" s="142">
        <f t="shared" ca="1" si="35"/>
        <v>0.25618702073403765</v>
      </c>
      <c r="CV68" s="142">
        <f t="shared" ca="1" si="35"/>
        <v>0.11006538087313929</v>
      </c>
      <c r="CW68" s="142">
        <f t="shared" ca="1" si="35"/>
        <v>0.4288468258514907</v>
      </c>
      <c r="CY68" s="128">
        <f t="shared" si="36"/>
        <v>39434</v>
      </c>
      <c r="CZ68" s="90">
        <f t="shared" si="37"/>
        <v>49139</v>
      </c>
      <c r="DA68" s="90">
        <f t="shared" si="38"/>
        <v>28152</v>
      </c>
      <c r="DB68" s="90">
        <f t="shared" ca="1" si="58"/>
        <v>89699.5</v>
      </c>
      <c r="DC68" s="90">
        <f t="shared" ca="1" si="39"/>
        <v>206424.5</v>
      </c>
      <c r="DD68" s="142">
        <f t="shared" ca="1" si="40"/>
        <v>0.19103352557472586</v>
      </c>
      <c r="DE68" s="142">
        <f t="shared" ca="1" si="40"/>
        <v>0.23804829368606925</v>
      </c>
      <c r="DF68" s="142">
        <f t="shared" ca="1" si="40"/>
        <v>0.13637916041942696</v>
      </c>
      <c r="DG68" s="142">
        <f t="shared" ca="1" si="40"/>
        <v>0.43453902031977792</v>
      </c>
      <c r="DI68" s="128">
        <f t="shared" si="41"/>
        <v>19113</v>
      </c>
      <c r="DJ68" s="90">
        <f t="shared" si="42"/>
        <v>24035</v>
      </c>
      <c r="DK68" s="90">
        <f t="shared" si="43"/>
        <v>10710</v>
      </c>
      <c r="DL68" s="90">
        <f t="shared" ca="1" si="44"/>
        <v>13075.25</v>
      </c>
      <c r="DM68" s="90">
        <f t="shared" ca="1" si="45"/>
        <v>66933.25</v>
      </c>
      <c r="DN68" s="142">
        <f t="shared" ca="1" si="46"/>
        <v>0.28555314436397455</v>
      </c>
      <c r="DO68" s="142">
        <f t="shared" ca="1" si="46"/>
        <v>0.35908909249140003</v>
      </c>
      <c r="DP68" s="142">
        <f t="shared" ca="1" si="46"/>
        <v>0.16001015937519841</v>
      </c>
      <c r="DQ68" s="142">
        <f t="shared" ca="1" si="46"/>
        <v>0.195347603769427</v>
      </c>
      <c r="DS68" s="128">
        <f t="shared" ca="1" si="47"/>
        <v>384898.5</v>
      </c>
      <c r="DT68" s="90">
        <f t="shared" ca="1" si="48"/>
        <v>206424.5</v>
      </c>
      <c r="DU68" s="90">
        <f t="shared" ca="1" si="49"/>
        <v>66933.25</v>
      </c>
      <c r="DV68" s="90">
        <f t="shared" si="50"/>
        <v>944</v>
      </c>
      <c r="DW68" s="90">
        <f ca="1">_xlfn.IFNA(INDEX(武器升级消耗!$H:$H,MATCH(玩家节奏2!DS68/玩家节奏2!DS$5,武器升级消耗!M:M,1)),0)</f>
        <v>54</v>
      </c>
      <c r="DX68" s="90">
        <f ca="1">_xlfn.IFNA(INDEX(武器升级消耗!$H:$H,MATCH(玩家节奏2!DT68/玩家节奏2!DT$5,武器升级消耗!N:N,1)),0)</f>
        <v>48</v>
      </c>
      <c r="DY68" s="90">
        <f ca="1">_xlfn.IFNA(INDEX(武器升级消耗!$H:$H,MATCH(玩家节奏2!DU68/玩家节奏2!DU$5,武器升级消耗!O:O,1)),0)</f>
        <v>36</v>
      </c>
      <c r="DZ68" s="90">
        <f>_xlfn.IFNA(INDEX(武器升级消耗!$H:$H,MATCH(玩家节奏2!DV68/玩家节奏2!DV$5,武器升级消耗!P:P,1)),0)</f>
        <v>22</v>
      </c>
      <c r="EA68" s="90">
        <f ca="1">_xlfn.IFNA(INDEX(武器升级消耗!$Q:$Q,MATCH(玩家节奏2!DW68,武器升级消耗!$H:$H,0))*2*EA$4,0)</f>
        <v>6.96</v>
      </c>
      <c r="EB68" s="90">
        <f ca="1">_xlfn.IFNA(INDEX(武器升级消耗!$Q:$Q,MATCH(玩家节奏2!DX68,武器升级消耗!$H:$H,0))*2*EB$4,0)</f>
        <v>7.8000000000000007</v>
      </c>
      <c r="EC68" s="90">
        <f ca="1">_xlfn.IFNA(INDEX(武器升级消耗!$Q:$Q,MATCH(玩家节奏2!DY68,武器升级消耗!$H:$H,0))*2*EC$4,0)</f>
        <v>8.8000000000000007</v>
      </c>
      <c r="ED68" s="90">
        <f>_xlfn.IFNA(INDEX(武器升级消耗!$Q:$Q,MATCH(玩家节奏2!DZ68,武器升级消耗!$H:$H,0))*2*ED$4,0)</f>
        <v>7.8000000000000007</v>
      </c>
      <c r="EF68" s="128">
        <f t="shared" si="70"/>
        <v>0</v>
      </c>
      <c r="EG68" s="90">
        <f t="shared" si="71"/>
        <v>0</v>
      </c>
      <c r="EH68" s="90">
        <v>186</v>
      </c>
      <c r="EI68" s="90">
        <v>186</v>
      </c>
      <c r="EJ68" s="90">
        <f>_xlfn.IFNA(INDEX(皮肤宠物!$J$4:$J$13,MATCH(EF68+EH68,皮肤宠物!$L$4:$L$13,1)),0)</f>
        <v>7</v>
      </c>
      <c r="EK68" s="90">
        <f>_xlfn.IFNA(INDEX(皮肤宠物!$J$4:$J$13,MATCH(EG68+EI68,皮肤宠物!$L$4:$L$13,1)),0)</f>
        <v>7</v>
      </c>
      <c r="EL68" s="90">
        <f>_xlfn.IFNA(INDEX(皮肤宠物!$N$4:$N$13,MATCH(EF68+EH68,皮肤宠物!$L$4:$L$13,1)),1)</f>
        <v>1.87</v>
      </c>
      <c r="EM68" s="90">
        <f>_xlfn.IFNA(INDEX(皮肤宠物!$N$4:$N$13,MATCH(EG68+EI68,皮肤宠物!$L$4:$L$13,1)),1)</f>
        <v>1.87</v>
      </c>
      <c r="EO68" s="128">
        <v>186</v>
      </c>
      <c r="EP68" s="90">
        <v>62</v>
      </c>
      <c r="EQ68" s="90">
        <f t="shared" ca="1" si="51"/>
        <v>74125</v>
      </c>
      <c r="ER68" s="90">
        <f t="shared" si="72"/>
        <v>0</v>
      </c>
      <c r="ES68" s="90">
        <f t="shared" ca="1" si="52"/>
        <v>803.25</v>
      </c>
      <c r="ET68" s="90">
        <f ca="1">$ES68*ET$5*皮肤宠物!$J$75/4</f>
        <v>2651.5282499999998</v>
      </c>
      <c r="EU68" s="90">
        <f ca="1">$ES68*EU$5*皮肤宠物!$J$76/4</f>
        <v>442.59075000000001</v>
      </c>
      <c r="EV68" s="90">
        <f ca="1">$ES68*EV$5*皮肤宠物!$J$77/4</f>
        <v>119.8850625</v>
      </c>
      <c r="EW68" s="90">
        <f ca="1">_xlfn.IFNA(INDEX(皮肤宠物!$H$18:$H$67,MATCH(ET68,皮肤宠物!L$18:L$67,1)),0)</f>
        <v>18</v>
      </c>
      <c r="EX68" s="90">
        <f ca="1">_xlfn.IFNA(INDEX(皮肤宠物!$H$18:$H$67,MATCH(EU68,皮肤宠物!M$18:M$67,1)),0)</f>
        <v>14</v>
      </c>
      <c r="EY68" s="90">
        <f ca="1">_xlfn.IFNA(INDEX(皮肤宠物!$H$18:$H$67,MATCH(EV68,皮肤宠物!N$18:N$67,1)),0)</f>
        <v>10</v>
      </c>
      <c r="EZ68" s="90">
        <f ca="1">_xlfn.IFNA(INDEX(皮肤宠物!C$18:C$67,MATCH(EW68,皮肤宠物!$A$18:$A$67,0))+1,1)</f>
        <v>1.18</v>
      </c>
      <c r="FA68" s="90">
        <f ca="1">_xlfn.IFNA(INDEX(皮肤宠物!D$18:D$67,MATCH(EX68,皮肤宠物!$A$18:$A$67,0))+1,1)</f>
        <v>1.28</v>
      </c>
      <c r="FB68" s="90">
        <f ca="1">_xlfn.IFNA(INDEX(皮肤宠物!E$18:E$67,MATCH(EY68,皮肤宠物!$A$18:$A$67,0))+1,1)</f>
        <v>1.4</v>
      </c>
      <c r="FD68" s="90">
        <f t="shared" ca="1" si="53"/>
        <v>8.8000000000000007</v>
      </c>
      <c r="FE68" s="90">
        <f t="shared" si="54"/>
        <v>1.87</v>
      </c>
      <c r="FF68" s="90">
        <f t="shared" ca="1" si="55"/>
        <v>1.4</v>
      </c>
      <c r="FG68" s="90">
        <f t="shared" ca="1" si="56"/>
        <v>23.038399999999999</v>
      </c>
    </row>
    <row r="69" spans="1:163" x14ac:dyDescent="0.25">
      <c r="A69" s="123">
        <v>63</v>
      </c>
      <c r="B69" s="123">
        <f>INDEX(关卡对比!$Y:$Y,MATCH(关卡对比!Z69,关卡对比!$AA:$AA,1))</f>
        <v>45</v>
      </c>
      <c r="C69" s="124">
        <f>INDEX(关卡对比!$Y:$Y,MATCH(关卡对比!Z69,关卡对比!$AB:$AB,1))</f>
        <v>36</v>
      </c>
      <c r="D69" s="125">
        <f t="shared" si="63"/>
        <v>257.5</v>
      </c>
      <c r="E69" s="125">
        <v>2</v>
      </c>
      <c r="F69" s="128">
        <v>16</v>
      </c>
      <c r="G69" s="90">
        <v>16</v>
      </c>
      <c r="H69" s="90">
        <v>5</v>
      </c>
      <c r="J69" s="128">
        <v>63</v>
      </c>
      <c r="K69" s="90">
        <f t="shared" si="17"/>
        <v>16</v>
      </c>
      <c r="L69" s="90">
        <f t="shared" si="18"/>
        <v>16</v>
      </c>
      <c r="M69" s="90">
        <f t="shared" si="19"/>
        <v>5</v>
      </c>
      <c r="N69" s="140">
        <f>INDEX($A:$A,MATCH(SUM($K$7:K69),$D:$D,1))</f>
        <v>200</v>
      </c>
      <c r="O69" s="140">
        <v>0</v>
      </c>
      <c r="P69" s="141">
        <v>0</v>
      </c>
      <c r="Q69" s="126">
        <f>_xlfn.MAXIFS(关卡产出!X:X,关卡产出!$A:$A,玩家节奏2!$N$6,关卡产出!$B:$B,玩家节奏2!$N69)+_xlfn.MAXIFS(关卡产出!X:X,关卡产出!$A:$A,玩家节奏2!$O$6,关卡产出!$B:$B,玩家节奏2!$O69)+_xlfn.MAXIFS(关卡产出!X:X,关卡产出!$A:$A,玩家节奏2!$P$6,关卡产出!$B:$B,玩家节奏2!$P69)</f>
        <v>38500</v>
      </c>
      <c r="R69" s="90">
        <f>_xlfn.MAXIFS(关卡产出!Y:Y,关卡产出!$A:$A,玩家节奏2!$N$6,关卡产出!$B:$B,玩家节奏2!$N69)+_xlfn.MAXIFS(关卡产出!Y:Y,关卡产出!$A:$A,玩家节奏2!$O$6,关卡产出!$B:$B,玩家节奏2!$O69)+_xlfn.MAXIFS(关卡产出!Y:Y,关卡产出!$A:$A,玩家节奏2!$P$6,关卡产出!$B:$B,玩家节奏2!$P69)</f>
        <v>11610000</v>
      </c>
      <c r="S69" s="90">
        <f>_xlfn.MAXIFS(关卡产出!Z:Z,关卡产出!$A:$A,玩家节奏2!$N$6,关卡产出!$B:$B,玩家节奏2!$N69)+_xlfn.MAXIFS(关卡产出!Z:Z,关卡产出!$A:$A,玩家节奏2!$O$6,关卡产出!$B:$B,玩家节奏2!$O69)+_xlfn.MAXIFS(关卡产出!Z:Z,关卡产出!$A:$A,玩家节奏2!$P$6,关卡产出!$B:$B,玩家节奏2!$P69)</f>
        <v>78866</v>
      </c>
      <c r="T69" s="90">
        <f>_xlfn.MAXIFS(关卡产出!AA:AA,关卡产出!$A:$A,玩家节奏2!$N$6,关卡产出!$B:$B,玩家节奏2!$N69)+_xlfn.MAXIFS(关卡产出!AA:AA,关卡产出!$A:$A,玩家节奏2!$O$6,关卡产出!$B:$B,玩家节奏2!$O69)+_xlfn.MAXIFS(关卡产出!AA:AA,关卡产出!$A:$A,玩家节奏2!$P$6,关卡产出!$B:$B,玩家节奏2!$P69)</f>
        <v>39434</v>
      </c>
      <c r="U69" s="90">
        <f>_xlfn.MAXIFS(关卡产出!AB:AB,关卡产出!$A:$A,玩家节奏2!$N$6,关卡产出!$B:$B,玩家节奏2!$N69)+_xlfn.MAXIFS(关卡产出!AB:AB,关卡产出!$A:$A,玩家节奏2!$O$6,关卡产出!$B:$B,玩家节奏2!$O69)+_xlfn.MAXIFS(关卡产出!AB:AB,关卡产出!$A:$A,玩家节奏2!$P$6,关卡产出!$B:$B,玩家节奏2!$P69)</f>
        <v>19113</v>
      </c>
      <c r="V69" s="130">
        <f>_xlfn.MAXIFS(关卡产出!AC:AC,关卡产出!$A:$A,玩家节奏2!$N$6,关卡产出!$B:$B,玩家节奏2!$N69)+_xlfn.MAXIFS(关卡产出!AC:AC,关卡产出!$A:$A,玩家节奏2!$O$6,关卡产出!$B:$B,玩家节奏2!$O69)+_xlfn.MAXIFS(关卡产出!AC:AC,关卡产出!$A:$A,玩家节奏2!$P$6,关卡产出!$B:$B,玩家节奏2!$P69)</f>
        <v>1200</v>
      </c>
      <c r="W69" s="126">
        <f>INDEX(关卡产出!C$8:C$207,MATCH(玩家节奏2!$N69,关卡产出!$B$8:$B$207,0))*$K69</f>
        <v>2528</v>
      </c>
      <c r="X69" s="126">
        <f>INDEX(关卡产出!D$8:D$207,MATCH(玩家节奏2!$N69,关卡产出!$B$8:$B$207,0))*$K69</f>
        <v>1264</v>
      </c>
      <c r="Y69" s="126">
        <f>INDEX(关卡产出!E$8:E$207,MATCH(玩家节奏2!$N69,关卡产出!$B$8:$B$207,0))*$K69</f>
        <v>624</v>
      </c>
      <c r="Z69" s="144">
        <f>INDEX(关卡产出!F$8:F$207,MATCH(玩家节奏2!$N69,关卡产出!$B$8:$B$207,0))*$K69</f>
        <v>32800</v>
      </c>
      <c r="AA69" s="126">
        <f>SUM(W$7:W69)</f>
        <v>101134</v>
      </c>
      <c r="AB69" s="126">
        <f>SUM(X$7:X69)</f>
        <v>50403</v>
      </c>
      <c r="AC69" s="126">
        <f>SUM(Y$7:Y69)</f>
        <v>24659</v>
      </c>
      <c r="AD69" s="177">
        <f>SUM(Z$7:Z69)</f>
        <v>1339930</v>
      </c>
      <c r="AE69" s="128">
        <f>INDEX(图鉴!AQ:AQ,MATCH($N69,图鉴!$S:$S,0))*34</f>
        <v>714</v>
      </c>
      <c r="AF69" s="90">
        <f>INDEX(图鉴!AR:AR,MATCH($N69,图鉴!$S:$S,0))*34</f>
        <v>510</v>
      </c>
      <c r="AG69" s="90">
        <f>INDEX(图鉴!AS:AS,MATCH($N69,图鉴!$S:$S,0))*34</f>
        <v>204</v>
      </c>
      <c r="AH69" s="129">
        <f ca="1">INDEX(图鉴!AT:AT,MATCH($N69,图鉴!$S:$S,0))*34</f>
        <v>55930</v>
      </c>
      <c r="AI69" s="128">
        <f>SUM($AE$7:AE69)</f>
        <v>43078</v>
      </c>
      <c r="AJ69" s="90">
        <f>SUM(AF$7:AF69)</f>
        <v>28662</v>
      </c>
      <c r="AK69" s="90">
        <f>SUM(AG$7:AG69)</f>
        <v>10914</v>
      </c>
      <c r="AL69" s="130">
        <f ca="1">SUM(AH$7:AH69)</f>
        <v>2693956</v>
      </c>
      <c r="AM69" s="133">
        <f>IF(M69=0,0,INDEX(关卡产出!$AU$11:$AU$15,MATCH(玩家节奏2!N69,关卡产出!$AW$11:$AW$15,1))*M69)</f>
        <v>61000</v>
      </c>
      <c r="AN69" s="126">
        <f>IF(L69=0,0,$L69*关卡产出!AU$21)</f>
        <v>16000</v>
      </c>
      <c r="AO69" s="90">
        <f>IF(M69=0,0,$L69*关卡产出!AV$21)</f>
        <v>800</v>
      </c>
      <c r="AP69" s="129">
        <f>IF(N69=0,0,$L69*关卡产出!AW$21)</f>
        <v>16</v>
      </c>
      <c r="AQ69" s="138">
        <f>SUM(AN$7:AN69)</f>
        <v>960000</v>
      </c>
      <c r="AR69" s="126">
        <f>SUM(AO$7:AO69)</f>
        <v>48000</v>
      </c>
      <c r="AS69" s="129">
        <f>SUM(AP$7:AP69)</f>
        <v>960</v>
      </c>
      <c r="AT69" s="128">
        <v>3000</v>
      </c>
      <c r="AU69" s="129">
        <v>600</v>
      </c>
      <c r="AV69" s="128">
        <f>SUM(AT$7:AT69)</f>
        <v>189000</v>
      </c>
      <c r="AW69" s="90">
        <f>SUM(AU$7:AU69)</f>
        <v>37800</v>
      </c>
      <c r="AY69" s="128">
        <f t="shared" si="20"/>
        <v>38500</v>
      </c>
      <c r="AZ69" s="90">
        <f t="shared" si="21"/>
        <v>48000</v>
      </c>
      <c r="BA69" s="90">
        <f t="shared" si="22"/>
        <v>37800</v>
      </c>
      <c r="BB69" s="90">
        <f t="shared" ca="1" si="57"/>
        <v>29700</v>
      </c>
      <c r="BC69" s="90">
        <f t="shared" ca="1" si="60"/>
        <v>79175</v>
      </c>
      <c r="BD69" s="90">
        <f t="shared" ca="1" si="61"/>
        <v>74825</v>
      </c>
      <c r="BE69" s="90">
        <f t="shared" ca="1" si="24"/>
        <v>154000</v>
      </c>
      <c r="BF69" s="142">
        <f t="shared" ca="1" si="64"/>
        <v>0.48626460372592356</v>
      </c>
      <c r="BG69" s="142">
        <f t="shared" ca="1" si="65"/>
        <v>0.60625197347647619</v>
      </c>
      <c r="BH69" s="142">
        <f t="shared" ca="1" si="66"/>
        <v>0.47742342911272495</v>
      </c>
      <c r="BI69" s="142">
        <f t="shared" ca="1" si="67"/>
        <v>0.37511840858856965</v>
      </c>
      <c r="BJ69" s="143"/>
      <c r="BK69" s="128">
        <f ca="1">INDEX(商城宝箱!$L:$L,MATCH(BC69,商城宝箱!$N:$N,1))</f>
        <v>11</v>
      </c>
      <c r="BL69" s="90">
        <f ca="1">_xlfn.IFNA(INDEX(商城宝箱!T:T,MATCH(玩家节奏2!$BK69,商城宝箱!$L:$L,0)),0)+($BC69-INDEX(商城宝箱!$N:$N,MATCH(玩家节奏2!$BK69,商城宝箱!$L:$L,0)))/$BK$5*INDEX(商城宝箱!E$23:E$42,MATCH(玩家节奏2!$BK69+1,商城宝箱!$C$23:$C$42,0))</f>
        <v>197937.5</v>
      </c>
      <c r="BM69" s="90">
        <f ca="1">_xlfn.IFNA(INDEX(商城宝箱!U:U,MATCH(玩家节奏2!$BK69,商城宝箱!$L:$L,0)),0)+($BC69-INDEX(商城宝箱!$N:$N,MATCH(玩家节奏2!$BK69,商城宝箱!$L:$L,0)))/$BK$5*INDEX(商城宝箱!F$23:F$42,MATCH(玩家节奏2!$BK69+1,商城宝箱!$C$23:$C$42,0))</f>
        <v>167340</v>
      </c>
      <c r="BN69" s="90">
        <f ca="1">_xlfn.IFNA(INDEX(商城宝箱!V:V,MATCH(玩家节奏2!$BK69,商城宝箱!$L:$L,0)),0)+($BC69-INDEX(商城宝箱!$N:$N,MATCH(玩家节奏2!$BK69,商城宝箱!$L:$L,0)))/$BK$5*INDEX(商城宝箱!G$23:G$42,MATCH(玩家节奏2!$BK69+1,商城宝箱!$C$23:$C$42,0))</f>
        <v>90768.25</v>
      </c>
      <c r="BO69" s="90">
        <f ca="1">_xlfn.IFNA(INDEX(商城宝箱!W:W,MATCH(玩家节奏2!$BK69,商城宝箱!$L:$L,0)),0)+($BC69-INDEX(商城宝箱!$N:$N,MATCH(玩家节奏2!$BK69,商城宝箱!$L:$L,0)))/$BK$5*INDEX(商城宝箱!H$23:H$42,MATCH(玩家节奏2!$BK69+1,商城宝箱!$C$23:$C$42,0))</f>
        <v>13254</v>
      </c>
      <c r="BQ69" s="128">
        <f t="shared" si="4"/>
        <v>11610000</v>
      </c>
      <c r="BR69" s="90">
        <f t="shared" si="5"/>
        <v>1339930</v>
      </c>
      <c r="BS69" s="90">
        <f t="shared" ca="1" si="68"/>
        <v>2693956</v>
      </c>
      <c r="BT69" s="90">
        <f t="shared" si="69"/>
        <v>61000</v>
      </c>
      <c r="BU69" s="90">
        <f t="shared" si="8"/>
        <v>960000</v>
      </c>
      <c r="BV69" s="90">
        <f t="shared" si="9"/>
        <v>189000</v>
      </c>
      <c r="BW69" s="90">
        <f t="shared" ca="1" si="25"/>
        <v>197937.5</v>
      </c>
      <c r="BX69" s="90">
        <f t="shared" ca="1" si="26"/>
        <v>17051823.5</v>
      </c>
      <c r="BY69" s="142">
        <f t="shared" ca="1" si="74"/>
        <v>0.68086559774677469</v>
      </c>
      <c r="BZ69" s="142">
        <f t="shared" ca="1" si="74"/>
        <v>7.8579865666566398E-2</v>
      </c>
      <c r="CA69" s="142">
        <f t="shared" ca="1" si="73"/>
        <v>0.15798638779013868</v>
      </c>
      <c r="CB69" s="142">
        <f t="shared" ca="1" si="73"/>
        <v>3.5773300140011419E-3</v>
      </c>
      <c r="CC69" s="142">
        <f t="shared" ca="1" si="73"/>
        <v>5.629896415477207E-2</v>
      </c>
      <c r="CD69" s="142">
        <f t="shared" ca="1" si="73"/>
        <v>1.1083858567970751E-2</v>
      </c>
      <c r="CE69" s="142">
        <f t="shared" ca="1" si="73"/>
        <v>1.1607996059776245E-2</v>
      </c>
      <c r="CG69" s="128">
        <f t="shared" si="28"/>
        <v>200</v>
      </c>
      <c r="CH69" s="90">
        <f ca="1">INDEX(角色升级!$A:$A,MATCH(玩家节奏2!$BX69,角色升级!$J:$J,1))</f>
        <v>895</v>
      </c>
      <c r="CI69" s="90">
        <f ca="1">INDEX(角色升级!$O:$O,MATCH(玩家节奏2!$BX69,角色升级!$J:$J,1))</f>
        <v>68984.823900000003</v>
      </c>
      <c r="CJ69" s="90">
        <f>INDEX(关卡对比!$J:$J,MATCH(玩家节奏2!N69,关卡对比!$A:$A,0))</f>
        <v>86200</v>
      </c>
      <c r="CK69" s="147">
        <f t="shared" ca="1" si="29"/>
        <v>1.2495501927344921</v>
      </c>
      <c r="CL69" s="128">
        <f ca="1">INDEX(角色升级!$P:$P,MATCH(玩家节奏2!$CH69,角色升级!$A:$A,0))</f>
        <v>29700</v>
      </c>
      <c r="CM69" s="90">
        <f ca="1">INDEX(角色升级!Q:Q,MATCH(玩家节奏2!$CH69,角色升级!$A:$A,0))</f>
        <v>1.9</v>
      </c>
      <c r="CO69" s="128">
        <f t="shared" si="30"/>
        <v>78866</v>
      </c>
      <c r="CP69" s="90">
        <f t="shared" si="31"/>
        <v>101134</v>
      </c>
      <c r="CQ69" s="90">
        <f t="shared" si="32"/>
        <v>43078</v>
      </c>
      <c r="CR69" s="90">
        <f t="shared" ca="1" si="33"/>
        <v>167340</v>
      </c>
      <c r="CS69" s="90">
        <f t="shared" ca="1" si="34"/>
        <v>390418</v>
      </c>
      <c r="CT69" s="142">
        <f t="shared" ca="1" si="35"/>
        <v>0.20200400596283982</v>
      </c>
      <c r="CU69" s="142">
        <f t="shared" ca="1" si="35"/>
        <v>0.25904031064141508</v>
      </c>
      <c r="CV69" s="142">
        <f t="shared" ca="1" si="35"/>
        <v>0.11033815039265607</v>
      </c>
      <c r="CW69" s="142">
        <f t="shared" ca="1" si="35"/>
        <v>0.42861753300308902</v>
      </c>
      <c r="CY69" s="128">
        <f t="shared" si="36"/>
        <v>39434</v>
      </c>
      <c r="CZ69" s="90">
        <f t="shared" si="37"/>
        <v>50403</v>
      </c>
      <c r="DA69" s="90">
        <f t="shared" si="38"/>
        <v>28662</v>
      </c>
      <c r="DB69" s="90">
        <f t="shared" ca="1" si="58"/>
        <v>90768.25</v>
      </c>
      <c r="DC69" s="90">
        <f t="shared" ca="1" si="39"/>
        <v>209267.25</v>
      </c>
      <c r="DD69" s="142">
        <f t="shared" ca="1" si="40"/>
        <v>0.1884384680354905</v>
      </c>
      <c r="DE69" s="142">
        <f t="shared" ca="1" si="40"/>
        <v>0.2408546965662329</v>
      </c>
      <c r="DF69" s="142">
        <f t="shared" ca="1" si="40"/>
        <v>0.13696361948656563</v>
      </c>
      <c r="DG69" s="142">
        <f t="shared" ca="1" si="40"/>
        <v>0.433743215911711</v>
      </c>
      <c r="DI69" s="128">
        <f t="shared" si="41"/>
        <v>19113</v>
      </c>
      <c r="DJ69" s="90">
        <f t="shared" si="42"/>
        <v>24659</v>
      </c>
      <c r="DK69" s="90">
        <f t="shared" si="43"/>
        <v>10914</v>
      </c>
      <c r="DL69" s="90">
        <f t="shared" ca="1" si="44"/>
        <v>13254</v>
      </c>
      <c r="DM69" s="90">
        <f t="shared" ca="1" si="45"/>
        <v>67940</v>
      </c>
      <c r="DN69" s="142">
        <f t="shared" ca="1" si="46"/>
        <v>0.28132175448925523</v>
      </c>
      <c r="DO69" s="142">
        <f t="shared" ca="1" si="46"/>
        <v>0.36295260523991757</v>
      </c>
      <c r="DP69" s="142">
        <f t="shared" ca="1" si="46"/>
        <v>0.16064174271415954</v>
      </c>
      <c r="DQ69" s="142">
        <f t="shared" ca="1" si="46"/>
        <v>0.19508389755666763</v>
      </c>
      <c r="DS69" s="128">
        <f t="shared" ca="1" si="47"/>
        <v>390418</v>
      </c>
      <c r="DT69" s="90">
        <f t="shared" ca="1" si="48"/>
        <v>209267.25</v>
      </c>
      <c r="DU69" s="90">
        <f t="shared" ca="1" si="49"/>
        <v>67940</v>
      </c>
      <c r="DV69" s="90">
        <f t="shared" si="50"/>
        <v>960</v>
      </c>
      <c r="DW69" s="90">
        <f ca="1">_xlfn.IFNA(INDEX(武器升级消耗!$H:$H,MATCH(玩家节奏2!DS69/玩家节奏2!DS$5,武器升级消耗!M:M,1)),0)</f>
        <v>55</v>
      </c>
      <c r="DX69" s="90">
        <f ca="1">_xlfn.IFNA(INDEX(武器升级消耗!$H:$H,MATCH(玩家节奏2!DT69/玩家节奏2!DT$5,武器升级消耗!N:N,1)),0)</f>
        <v>48</v>
      </c>
      <c r="DY69" s="90">
        <f ca="1">_xlfn.IFNA(INDEX(武器升级消耗!$H:$H,MATCH(玩家节奏2!DU69/玩家节奏2!DU$5,武器升级消耗!O:O,1)),0)</f>
        <v>36</v>
      </c>
      <c r="DZ69" s="90">
        <f>_xlfn.IFNA(INDEX(武器升级消耗!$H:$H,MATCH(玩家节奏2!DV69/玩家节奏2!DV$5,武器升级消耗!P:P,1)),0)</f>
        <v>22</v>
      </c>
      <c r="EA69" s="90">
        <f ca="1">_xlfn.IFNA(INDEX(武器升级消耗!$Q:$Q,MATCH(玩家节奏2!DW69,武器升级消耗!$H:$H,0))*2*EA$4,0)</f>
        <v>7.08</v>
      </c>
      <c r="EB69" s="90">
        <f ca="1">_xlfn.IFNA(INDEX(武器升级消耗!$Q:$Q,MATCH(玩家节奏2!DX69,武器升级消耗!$H:$H,0))*2*EB$4,0)</f>
        <v>7.8000000000000007</v>
      </c>
      <c r="EC69" s="90">
        <f ca="1">_xlfn.IFNA(INDEX(武器升级消耗!$Q:$Q,MATCH(玩家节奏2!DY69,武器升级消耗!$H:$H,0))*2*EC$4,0)</f>
        <v>8.8000000000000007</v>
      </c>
      <c r="ED69" s="90">
        <f>_xlfn.IFNA(INDEX(武器升级消耗!$Q:$Q,MATCH(玩家节奏2!DZ69,武器升级消耗!$H:$H,0))*2*ED$4,0)</f>
        <v>7.8000000000000007</v>
      </c>
      <c r="EF69" s="128">
        <f t="shared" si="70"/>
        <v>0</v>
      </c>
      <c r="EG69" s="90">
        <f t="shared" si="71"/>
        <v>0</v>
      </c>
      <c r="EH69" s="90">
        <v>189</v>
      </c>
      <c r="EI69" s="90">
        <v>189</v>
      </c>
      <c r="EJ69" s="90">
        <f>_xlfn.IFNA(INDEX(皮肤宠物!$J$4:$J$13,MATCH(EF69+EH69,皮肤宠物!$L$4:$L$13,1)),0)</f>
        <v>7</v>
      </c>
      <c r="EK69" s="90">
        <f>_xlfn.IFNA(INDEX(皮肤宠物!$J$4:$J$13,MATCH(EG69+EI69,皮肤宠物!$L$4:$L$13,1)),0)</f>
        <v>7</v>
      </c>
      <c r="EL69" s="90">
        <f>_xlfn.IFNA(INDEX(皮肤宠物!$N$4:$N$13,MATCH(EF69+EH69,皮肤宠物!$L$4:$L$13,1)),1)</f>
        <v>1.87</v>
      </c>
      <c r="EM69" s="90">
        <f>_xlfn.IFNA(INDEX(皮肤宠物!$N$4:$N$13,MATCH(EG69+EI69,皮肤宠物!$L$4:$L$13,1)),1)</f>
        <v>1.87</v>
      </c>
      <c r="EO69" s="128">
        <v>189</v>
      </c>
      <c r="EP69" s="90">
        <v>63</v>
      </c>
      <c r="EQ69" s="90">
        <f t="shared" ca="1" si="51"/>
        <v>74825</v>
      </c>
      <c r="ER69" s="90">
        <f t="shared" si="72"/>
        <v>0</v>
      </c>
      <c r="ES69" s="90">
        <f t="shared" ca="1" si="52"/>
        <v>811.25</v>
      </c>
      <c r="ET69" s="90">
        <f ca="1">$ES69*ET$5*皮肤宠物!$J$75/4</f>
        <v>2677.9362500000002</v>
      </c>
      <c r="EU69" s="90">
        <f ca="1">$ES69*EU$5*皮肤宠物!$J$76/4</f>
        <v>446.99875000000003</v>
      </c>
      <c r="EV69" s="90">
        <f ca="1">$ES69*EV$5*皮肤宠物!$J$77/4</f>
        <v>121.07906250000001</v>
      </c>
      <c r="EW69" s="90">
        <f ca="1">_xlfn.IFNA(INDEX(皮肤宠物!$H$18:$H$67,MATCH(ET69,皮肤宠物!L$18:L$67,1)),0)</f>
        <v>18</v>
      </c>
      <c r="EX69" s="90">
        <f ca="1">_xlfn.IFNA(INDEX(皮肤宠物!$H$18:$H$67,MATCH(EU69,皮肤宠物!M$18:M$67,1)),0)</f>
        <v>14</v>
      </c>
      <c r="EY69" s="90">
        <f ca="1">_xlfn.IFNA(INDEX(皮肤宠物!$H$18:$H$67,MATCH(EV69,皮肤宠物!N$18:N$67,1)),0)</f>
        <v>10</v>
      </c>
      <c r="EZ69" s="90">
        <f ca="1">_xlfn.IFNA(INDEX(皮肤宠物!C$18:C$67,MATCH(EW69,皮肤宠物!$A$18:$A$67,0))+1,1)</f>
        <v>1.18</v>
      </c>
      <c r="FA69" s="90">
        <f ca="1">_xlfn.IFNA(INDEX(皮肤宠物!D$18:D$67,MATCH(EX69,皮肤宠物!$A$18:$A$67,0))+1,1)</f>
        <v>1.28</v>
      </c>
      <c r="FB69" s="90">
        <f ca="1">_xlfn.IFNA(INDEX(皮肤宠物!E$18:E$67,MATCH(EY69,皮肤宠物!$A$18:$A$67,0))+1,1)</f>
        <v>1.4</v>
      </c>
      <c r="FD69" s="90">
        <f t="shared" ca="1" si="53"/>
        <v>8.8000000000000007</v>
      </c>
      <c r="FE69" s="90">
        <f t="shared" si="54"/>
        <v>1.87</v>
      </c>
      <c r="FF69" s="90">
        <f t="shared" ca="1" si="55"/>
        <v>1.4</v>
      </c>
      <c r="FG69" s="90">
        <f t="shared" ca="1" si="56"/>
        <v>23.038399999999999</v>
      </c>
    </row>
    <row r="70" spans="1:163" x14ac:dyDescent="0.25">
      <c r="A70" s="123">
        <v>64</v>
      </c>
      <c r="B70" s="123">
        <f>INDEX(关卡对比!$Y:$Y,MATCH(关卡对比!Z70,关卡对比!$AA:$AA,1))</f>
        <v>45</v>
      </c>
      <c r="C70" s="124">
        <f>INDEX(关卡对比!$Y:$Y,MATCH(关卡对比!Z70,关卡对比!$AB:$AB,1))</f>
        <v>36</v>
      </c>
      <c r="D70" s="125">
        <f t="shared" si="63"/>
        <v>259.5</v>
      </c>
      <c r="E70" s="125">
        <v>2</v>
      </c>
      <c r="F70" s="128">
        <v>16</v>
      </c>
      <c r="G70" s="90">
        <v>16</v>
      </c>
      <c r="H70" s="90">
        <v>5</v>
      </c>
      <c r="J70" s="128">
        <v>64</v>
      </c>
      <c r="K70" s="90">
        <f t="shared" si="17"/>
        <v>16</v>
      </c>
      <c r="L70" s="90">
        <f t="shared" si="18"/>
        <v>16</v>
      </c>
      <c r="M70" s="90">
        <f t="shared" si="19"/>
        <v>5</v>
      </c>
      <c r="N70" s="140">
        <f>INDEX($A:$A,MATCH(SUM($K$7:K70),$D:$D,1))</f>
        <v>200</v>
      </c>
      <c r="O70" s="140">
        <v>0</v>
      </c>
      <c r="P70" s="141">
        <v>0</v>
      </c>
      <c r="Q70" s="126">
        <f>_xlfn.MAXIFS(关卡产出!X:X,关卡产出!$A:$A,玩家节奏2!$N$6,关卡产出!$B:$B,玩家节奏2!$N70)+_xlfn.MAXIFS(关卡产出!X:X,关卡产出!$A:$A,玩家节奏2!$O$6,关卡产出!$B:$B,玩家节奏2!$O70)+_xlfn.MAXIFS(关卡产出!X:X,关卡产出!$A:$A,玩家节奏2!$P$6,关卡产出!$B:$B,玩家节奏2!$P70)</f>
        <v>38500</v>
      </c>
      <c r="R70" s="90">
        <f>_xlfn.MAXIFS(关卡产出!Y:Y,关卡产出!$A:$A,玩家节奏2!$N$6,关卡产出!$B:$B,玩家节奏2!$N70)+_xlfn.MAXIFS(关卡产出!Y:Y,关卡产出!$A:$A,玩家节奏2!$O$6,关卡产出!$B:$B,玩家节奏2!$O70)+_xlfn.MAXIFS(关卡产出!Y:Y,关卡产出!$A:$A,玩家节奏2!$P$6,关卡产出!$B:$B,玩家节奏2!$P70)</f>
        <v>11610000</v>
      </c>
      <c r="S70" s="90">
        <f>_xlfn.MAXIFS(关卡产出!Z:Z,关卡产出!$A:$A,玩家节奏2!$N$6,关卡产出!$B:$B,玩家节奏2!$N70)+_xlfn.MAXIFS(关卡产出!Z:Z,关卡产出!$A:$A,玩家节奏2!$O$6,关卡产出!$B:$B,玩家节奏2!$O70)+_xlfn.MAXIFS(关卡产出!Z:Z,关卡产出!$A:$A,玩家节奏2!$P$6,关卡产出!$B:$B,玩家节奏2!$P70)</f>
        <v>78866</v>
      </c>
      <c r="T70" s="90">
        <f>_xlfn.MAXIFS(关卡产出!AA:AA,关卡产出!$A:$A,玩家节奏2!$N$6,关卡产出!$B:$B,玩家节奏2!$N70)+_xlfn.MAXIFS(关卡产出!AA:AA,关卡产出!$A:$A,玩家节奏2!$O$6,关卡产出!$B:$B,玩家节奏2!$O70)+_xlfn.MAXIFS(关卡产出!AA:AA,关卡产出!$A:$A,玩家节奏2!$P$6,关卡产出!$B:$B,玩家节奏2!$P70)</f>
        <v>39434</v>
      </c>
      <c r="U70" s="90">
        <f>_xlfn.MAXIFS(关卡产出!AB:AB,关卡产出!$A:$A,玩家节奏2!$N$6,关卡产出!$B:$B,玩家节奏2!$N70)+_xlfn.MAXIFS(关卡产出!AB:AB,关卡产出!$A:$A,玩家节奏2!$O$6,关卡产出!$B:$B,玩家节奏2!$O70)+_xlfn.MAXIFS(关卡产出!AB:AB,关卡产出!$A:$A,玩家节奏2!$P$6,关卡产出!$B:$B,玩家节奏2!$P70)</f>
        <v>19113</v>
      </c>
      <c r="V70" s="130">
        <f>_xlfn.MAXIFS(关卡产出!AC:AC,关卡产出!$A:$A,玩家节奏2!$N$6,关卡产出!$B:$B,玩家节奏2!$N70)+_xlfn.MAXIFS(关卡产出!AC:AC,关卡产出!$A:$A,玩家节奏2!$O$6,关卡产出!$B:$B,玩家节奏2!$O70)+_xlfn.MAXIFS(关卡产出!AC:AC,关卡产出!$A:$A,玩家节奏2!$P$6,关卡产出!$B:$B,玩家节奏2!$P70)</f>
        <v>1200</v>
      </c>
      <c r="W70" s="126">
        <f>INDEX(关卡产出!C$8:C$207,MATCH(玩家节奏2!$N70,关卡产出!$B$8:$B$207,0))*$K70</f>
        <v>2528</v>
      </c>
      <c r="X70" s="126">
        <f>INDEX(关卡产出!D$8:D$207,MATCH(玩家节奏2!$N70,关卡产出!$B$8:$B$207,0))*$K70</f>
        <v>1264</v>
      </c>
      <c r="Y70" s="126">
        <f>INDEX(关卡产出!E$8:E$207,MATCH(玩家节奏2!$N70,关卡产出!$B$8:$B$207,0))*$K70</f>
        <v>624</v>
      </c>
      <c r="Z70" s="144">
        <f>INDEX(关卡产出!F$8:F$207,MATCH(玩家节奏2!$N70,关卡产出!$B$8:$B$207,0))*$K70</f>
        <v>32800</v>
      </c>
      <c r="AA70" s="126">
        <f>SUM(W$7:W70)</f>
        <v>103662</v>
      </c>
      <c r="AB70" s="126">
        <f>SUM(X$7:X70)</f>
        <v>51667</v>
      </c>
      <c r="AC70" s="126">
        <f>SUM(Y$7:Y70)</f>
        <v>25283</v>
      </c>
      <c r="AD70" s="177">
        <f>SUM(Z$7:Z70)</f>
        <v>1372730</v>
      </c>
      <c r="AE70" s="128">
        <f>INDEX(图鉴!AQ:AQ,MATCH($N70,图鉴!$S:$S,0))*34</f>
        <v>714</v>
      </c>
      <c r="AF70" s="90">
        <f>INDEX(图鉴!AR:AR,MATCH($N70,图鉴!$S:$S,0))*34</f>
        <v>510</v>
      </c>
      <c r="AG70" s="90">
        <f>INDEX(图鉴!AS:AS,MATCH($N70,图鉴!$S:$S,0))*34</f>
        <v>204</v>
      </c>
      <c r="AH70" s="129">
        <f ca="1">INDEX(图鉴!AT:AT,MATCH($N70,图鉴!$S:$S,0))*34</f>
        <v>55930</v>
      </c>
      <c r="AI70" s="128">
        <f>SUM($AE$7:AE70)</f>
        <v>43792</v>
      </c>
      <c r="AJ70" s="90">
        <f>SUM(AF$7:AF70)</f>
        <v>29172</v>
      </c>
      <c r="AK70" s="90">
        <f>SUM(AG$7:AG70)</f>
        <v>11118</v>
      </c>
      <c r="AL70" s="130">
        <f ca="1">SUM(AH$7:AH70)</f>
        <v>2749886</v>
      </c>
      <c r="AM70" s="133">
        <f>IF(M70=0,0,INDEX(关卡产出!$AU$11:$AU$15,MATCH(玩家节奏2!N70,关卡产出!$AW$11:$AW$15,1))*M70)</f>
        <v>61000</v>
      </c>
      <c r="AN70" s="126">
        <f>IF(L70=0,0,$L70*关卡产出!AU$21)</f>
        <v>16000</v>
      </c>
      <c r="AO70" s="90">
        <f>IF(M70=0,0,$L70*关卡产出!AV$21)</f>
        <v>800</v>
      </c>
      <c r="AP70" s="129">
        <f>IF(N70=0,0,$L70*关卡产出!AW$21)</f>
        <v>16</v>
      </c>
      <c r="AQ70" s="138">
        <f>SUM(AN$7:AN70)</f>
        <v>976000</v>
      </c>
      <c r="AR70" s="126">
        <f>SUM(AO$7:AO70)</f>
        <v>48800</v>
      </c>
      <c r="AS70" s="129">
        <f>SUM(AP$7:AP70)</f>
        <v>976</v>
      </c>
      <c r="AT70" s="128">
        <v>3000</v>
      </c>
      <c r="AU70" s="129">
        <v>600</v>
      </c>
      <c r="AV70" s="128">
        <f>SUM(AT$7:AT70)</f>
        <v>192000</v>
      </c>
      <c r="AW70" s="90">
        <f>SUM(AU$7:AU70)</f>
        <v>38400</v>
      </c>
      <c r="AY70" s="128">
        <f t="shared" si="20"/>
        <v>38500</v>
      </c>
      <c r="AZ70" s="90">
        <f t="shared" si="21"/>
        <v>48800</v>
      </c>
      <c r="BA70" s="90">
        <f t="shared" si="22"/>
        <v>38400</v>
      </c>
      <c r="BB70" s="90">
        <f t="shared" ca="1" si="57"/>
        <v>29700</v>
      </c>
      <c r="BC70" s="90">
        <f t="shared" ca="1" si="60"/>
        <v>79875</v>
      </c>
      <c r="BD70" s="90">
        <f t="shared" ca="1" si="61"/>
        <v>75525</v>
      </c>
      <c r="BE70" s="90">
        <f t="shared" ca="1" si="24"/>
        <v>155400</v>
      </c>
      <c r="BF70" s="142">
        <f t="shared" ca="1" si="64"/>
        <v>0.48200312989045385</v>
      </c>
      <c r="BG70" s="142">
        <f t="shared" ca="1" si="65"/>
        <v>0.61095461658841943</v>
      </c>
      <c r="BH70" s="142">
        <f t="shared" ca="1" si="66"/>
        <v>0.48075117370892018</v>
      </c>
      <c r="BI70" s="142">
        <f t="shared" ca="1" si="67"/>
        <v>0.37183098591549296</v>
      </c>
      <c r="BJ70" s="143"/>
      <c r="BK70" s="128">
        <f ca="1">INDEX(商城宝箱!$L:$L,MATCH(BC70,商城宝箱!$N:$N,1))</f>
        <v>11</v>
      </c>
      <c r="BL70" s="90">
        <f ca="1">_xlfn.IFNA(INDEX(商城宝箱!T:T,MATCH(玩家节奏2!$BK70,商城宝箱!$L:$L,0)),0)+($BC70-INDEX(商城宝箱!$N:$N,MATCH(玩家节奏2!$BK70,商城宝箱!$L:$L,0)))/$BK$5*INDEX(商城宝箱!E$23:E$42,MATCH(玩家节奏2!$BK70+1,商城宝箱!$C$23:$C$42,0))</f>
        <v>199687.5</v>
      </c>
      <c r="BM70" s="90">
        <f ca="1">_xlfn.IFNA(INDEX(商城宝箱!U:U,MATCH(玩家节奏2!$BK70,商城宝箱!$L:$L,0)),0)+($BC70-INDEX(商城宝箱!$N:$N,MATCH(玩家节奏2!$BK70,商城宝箱!$L:$L,0)))/$BK$5*INDEX(商城宝箱!F$23:F$42,MATCH(玩家节奏2!$BK70+1,商城宝箱!$C$23:$C$42,0))</f>
        <v>169930</v>
      </c>
      <c r="BN70" s="90">
        <f ca="1">_xlfn.IFNA(INDEX(商城宝箱!V:V,MATCH(玩家节奏2!$BK70,商城宝箱!$L:$L,0)),0)+($BC70-INDEX(商城宝箱!$N:$N,MATCH(玩家节奏2!$BK70,商城宝箱!$L:$L,0)))/$BK$5*INDEX(商城宝箱!G$23:G$42,MATCH(玩家节奏2!$BK70+1,商城宝箱!$C$23:$C$42,0))</f>
        <v>91993.25</v>
      </c>
      <c r="BO70" s="90">
        <f ca="1">_xlfn.IFNA(INDEX(商城宝箱!W:W,MATCH(玩家节奏2!$BK70,商城宝箱!$L:$L,0)),0)+($BC70-INDEX(商城宝箱!$N:$N,MATCH(玩家节奏2!$BK70,商城宝箱!$L:$L,0)))/$BK$5*INDEX(商城宝箱!H$23:H$42,MATCH(玩家节奏2!$BK70+1,商城宝箱!$C$23:$C$42,0))</f>
        <v>13464</v>
      </c>
      <c r="BQ70" s="128">
        <f t="shared" si="4"/>
        <v>11610000</v>
      </c>
      <c r="BR70" s="90">
        <f t="shared" si="5"/>
        <v>1372730</v>
      </c>
      <c r="BS70" s="90">
        <f t="shared" ca="1" si="68"/>
        <v>2749886</v>
      </c>
      <c r="BT70" s="90">
        <f t="shared" si="69"/>
        <v>61000</v>
      </c>
      <c r="BU70" s="90">
        <f t="shared" si="8"/>
        <v>976000</v>
      </c>
      <c r="BV70" s="90">
        <f t="shared" si="9"/>
        <v>192000</v>
      </c>
      <c r="BW70" s="90">
        <f t="shared" ca="1" si="25"/>
        <v>199687.5</v>
      </c>
      <c r="BX70" s="90">
        <f t="shared" ca="1" si="26"/>
        <v>17161303.5</v>
      </c>
      <c r="BY70" s="142">
        <f t="shared" ca="1" si="74"/>
        <v>0.67652203691869905</v>
      </c>
      <c r="BZ70" s="142">
        <f t="shared" ca="1" si="74"/>
        <v>7.9989844594264073E-2</v>
      </c>
      <c r="CA70" s="142">
        <f t="shared" ca="1" si="73"/>
        <v>0.16023759500553089</v>
      </c>
      <c r="CB70" s="142">
        <f t="shared" ca="1" si="73"/>
        <v>3.5545085488407104E-3</v>
      </c>
      <c r="CC70" s="142">
        <f t="shared" ca="1" si="73"/>
        <v>5.6872136781451366E-2</v>
      </c>
      <c r="CD70" s="142">
        <f t="shared" ca="1" si="73"/>
        <v>1.1187961334056007E-2</v>
      </c>
      <c r="CE70" s="142">
        <f t="shared" ca="1" si="73"/>
        <v>1.1635916817157858E-2</v>
      </c>
      <c r="CG70" s="128">
        <f t="shared" si="28"/>
        <v>200</v>
      </c>
      <c r="CH70" s="90">
        <f ca="1">INDEX(角色升级!$A:$A,MATCH(玩家节奏2!$BX70,角色升级!$J:$J,1))</f>
        <v>899</v>
      </c>
      <c r="CI70" s="90">
        <f ca="1">INDEX(角色升级!$O:$O,MATCH(玩家节奏2!$BX70,角色升级!$J:$J,1))</f>
        <v>69105.111300000004</v>
      </c>
      <c r="CJ70" s="90">
        <f>INDEX(关卡对比!$J:$J,MATCH(玩家节奏2!N70,关卡对比!$A:$A,0))</f>
        <v>86200</v>
      </c>
      <c r="CK70" s="147">
        <f t="shared" ca="1" si="29"/>
        <v>1.2473751706409595</v>
      </c>
      <c r="CL70" s="128">
        <f ca="1">INDEX(角色升级!$P:$P,MATCH(玩家节奏2!$CH70,角色升级!$A:$A,0))</f>
        <v>29700</v>
      </c>
      <c r="CM70" s="90">
        <f ca="1">INDEX(角色升级!Q:Q,MATCH(玩家节奏2!$CH70,角色升级!$A:$A,0))</f>
        <v>1.9</v>
      </c>
      <c r="CO70" s="128">
        <f t="shared" si="30"/>
        <v>78866</v>
      </c>
      <c r="CP70" s="90">
        <f t="shared" si="31"/>
        <v>103662</v>
      </c>
      <c r="CQ70" s="90">
        <f t="shared" si="32"/>
        <v>43792</v>
      </c>
      <c r="CR70" s="90">
        <f t="shared" ca="1" si="33"/>
        <v>169930</v>
      </c>
      <c r="CS70" s="90">
        <f t="shared" ca="1" si="34"/>
        <v>396250</v>
      </c>
      <c r="CT70" s="142">
        <f t="shared" ca="1" si="35"/>
        <v>0.19903091482649843</v>
      </c>
      <c r="CU70" s="142">
        <f t="shared" ca="1" si="35"/>
        <v>0.26160757097791798</v>
      </c>
      <c r="CV70" s="142">
        <f t="shared" ca="1" si="35"/>
        <v>0.1105160883280757</v>
      </c>
      <c r="CW70" s="142">
        <f t="shared" ca="1" si="35"/>
        <v>0.4288454258675079</v>
      </c>
      <c r="CY70" s="128">
        <f t="shared" si="36"/>
        <v>39434</v>
      </c>
      <c r="CZ70" s="90">
        <f t="shared" si="37"/>
        <v>51667</v>
      </c>
      <c r="DA70" s="90">
        <f t="shared" si="38"/>
        <v>29172</v>
      </c>
      <c r="DB70" s="90">
        <f t="shared" ca="1" si="58"/>
        <v>91993.25</v>
      </c>
      <c r="DC70" s="90">
        <f t="shared" ca="1" si="39"/>
        <v>212266.25</v>
      </c>
      <c r="DD70" s="142">
        <f t="shared" ca="1" si="40"/>
        <v>0.18577611843616212</v>
      </c>
      <c r="DE70" s="142">
        <f t="shared" ca="1" si="40"/>
        <v>0.24340657075724473</v>
      </c>
      <c r="DF70" s="142">
        <f t="shared" ca="1" si="40"/>
        <v>0.13743117429172089</v>
      </c>
      <c r="DG70" s="142">
        <f t="shared" ca="1" si="40"/>
        <v>0.43338613651487223</v>
      </c>
      <c r="DI70" s="128">
        <f t="shared" si="41"/>
        <v>19113</v>
      </c>
      <c r="DJ70" s="90">
        <f t="shared" si="42"/>
        <v>25283</v>
      </c>
      <c r="DK70" s="90">
        <f t="shared" si="43"/>
        <v>11118</v>
      </c>
      <c r="DL70" s="90">
        <f t="shared" ca="1" si="44"/>
        <v>13464</v>
      </c>
      <c r="DM70" s="90">
        <f t="shared" ca="1" si="45"/>
        <v>68978</v>
      </c>
      <c r="DN70" s="142">
        <f t="shared" ca="1" si="46"/>
        <v>0.27708834700919133</v>
      </c>
      <c r="DO70" s="142">
        <f t="shared" ca="1" si="46"/>
        <v>0.36653715677462378</v>
      </c>
      <c r="DP70" s="142">
        <f t="shared" ca="1" si="46"/>
        <v>0.16118182608947781</v>
      </c>
      <c r="DQ70" s="142">
        <f t="shared" ca="1" si="46"/>
        <v>0.19519267012670707</v>
      </c>
      <c r="DS70" s="128">
        <f t="shared" ca="1" si="47"/>
        <v>396250</v>
      </c>
      <c r="DT70" s="90">
        <f t="shared" ca="1" si="48"/>
        <v>212266.25</v>
      </c>
      <c r="DU70" s="90">
        <f t="shared" ca="1" si="49"/>
        <v>68978</v>
      </c>
      <c r="DV70" s="90">
        <f t="shared" si="50"/>
        <v>976</v>
      </c>
      <c r="DW70" s="90">
        <f ca="1">_xlfn.IFNA(INDEX(武器升级消耗!$H:$H,MATCH(玩家节奏2!DS70/玩家节奏2!DS$5,武器升级消耗!M:M,1)),0)</f>
        <v>55</v>
      </c>
      <c r="DX70" s="90">
        <f ca="1">_xlfn.IFNA(INDEX(武器升级消耗!$H:$H,MATCH(玩家节奏2!DT70/玩家节奏2!DT$5,武器升级消耗!N:N,1)),0)</f>
        <v>49</v>
      </c>
      <c r="DY70" s="90">
        <f ca="1">_xlfn.IFNA(INDEX(武器升级消耗!$H:$H,MATCH(玩家节奏2!DU70/玩家节奏2!DU$5,武器升级消耗!O:O,1)),0)</f>
        <v>36</v>
      </c>
      <c r="DZ70" s="90">
        <f>_xlfn.IFNA(INDEX(武器升级消耗!$H:$H,MATCH(玩家节奏2!DV70/玩家节奏2!DV$5,武器升级消耗!P:P,1)),0)</f>
        <v>23</v>
      </c>
      <c r="EA70" s="90">
        <f ca="1">_xlfn.IFNA(INDEX(武器升级消耗!$Q:$Q,MATCH(玩家节奏2!DW70,武器升级消耗!$H:$H,0))*2*EA$4,0)</f>
        <v>7.08</v>
      </c>
      <c r="EB70" s="90">
        <f ca="1">_xlfn.IFNA(INDEX(武器升级消耗!$Q:$Q,MATCH(玩家节奏2!DX70,武器升级消耗!$H:$H,0))*2*EB$4,0)</f>
        <v>7.9499999999999993</v>
      </c>
      <c r="EC70" s="90">
        <f ca="1">_xlfn.IFNA(INDEX(武器升级消耗!$Q:$Q,MATCH(玩家节奏2!DY70,武器升级消耗!$H:$H,0))*2*EC$4,0)</f>
        <v>8.8000000000000007</v>
      </c>
      <c r="ED70" s="90">
        <f>_xlfn.IFNA(INDEX(武器升级消耗!$Q:$Q,MATCH(玩家节奏2!DZ70,武器升级消耗!$H:$H,0))*2*ED$4,0)</f>
        <v>8.1000000000000014</v>
      </c>
      <c r="EF70" s="128">
        <f t="shared" si="70"/>
        <v>0</v>
      </c>
      <c r="EG70" s="90">
        <f t="shared" si="71"/>
        <v>0</v>
      </c>
      <c r="EH70" s="90">
        <v>192</v>
      </c>
      <c r="EI70" s="90">
        <v>192</v>
      </c>
      <c r="EJ70" s="90">
        <f>_xlfn.IFNA(INDEX(皮肤宠物!$J$4:$J$13,MATCH(EF70+EH70,皮肤宠物!$L$4:$L$13,1)),0)</f>
        <v>7</v>
      </c>
      <c r="EK70" s="90">
        <f>_xlfn.IFNA(INDEX(皮肤宠物!$J$4:$J$13,MATCH(EG70+EI70,皮肤宠物!$L$4:$L$13,1)),0)</f>
        <v>7</v>
      </c>
      <c r="EL70" s="90">
        <f>_xlfn.IFNA(INDEX(皮肤宠物!$N$4:$N$13,MATCH(EF70+EH70,皮肤宠物!$L$4:$L$13,1)),1)</f>
        <v>1.87</v>
      </c>
      <c r="EM70" s="90">
        <f>_xlfn.IFNA(INDEX(皮肤宠物!$N$4:$N$13,MATCH(EG70+EI70,皮肤宠物!$L$4:$L$13,1)),1)</f>
        <v>1.87</v>
      </c>
      <c r="EO70" s="128">
        <v>192</v>
      </c>
      <c r="EP70" s="90">
        <v>64</v>
      </c>
      <c r="EQ70" s="90">
        <f t="shared" ca="1" si="51"/>
        <v>75525</v>
      </c>
      <c r="ER70" s="90">
        <f t="shared" si="72"/>
        <v>0</v>
      </c>
      <c r="ES70" s="90">
        <f t="shared" ca="1" si="52"/>
        <v>819.25</v>
      </c>
      <c r="ET70" s="90">
        <f ca="1">$ES70*ET$5*皮肤宠物!$J$75/4</f>
        <v>2704.3442500000001</v>
      </c>
      <c r="EU70" s="90">
        <f ca="1">$ES70*EU$5*皮肤宠物!$J$76/4</f>
        <v>451.40675000000005</v>
      </c>
      <c r="EV70" s="90">
        <f ca="1">$ES70*EV$5*皮肤宠物!$J$77/4</f>
        <v>122.27306250000001</v>
      </c>
      <c r="EW70" s="90">
        <f ca="1">_xlfn.IFNA(INDEX(皮肤宠物!$H$18:$H$67,MATCH(ET70,皮肤宠物!L$18:L$67,1)),0)</f>
        <v>18</v>
      </c>
      <c r="EX70" s="90">
        <f ca="1">_xlfn.IFNA(INDEX(皮肤宠物!$H$18:$H$67,MATCH(EU70,皮肤宠物!M$18:M$67,1)),0)</f>
        <v>14</v>
      </c>
      <c r="EY70" s="90">
        <f ca="1">_xlfn.IFNA(INDEX(皮肤宠物!$H$18:$H$67,MATCH(EV70,皮肤宠物!N$18:N$67,1)),0)</f>
        <v>10</v>
      </c>
      <c r="EZ70" s="90">
        <f ca="1">_xlfn.IFNA(INDEX(皮肤宠物!C$18:C$67,MATCH(EW70,皮肤宠物!$A$18:$A$67,0))+1,1)</f>
        <v>1.18</v>
      </c>
      <c r="FA70" s="90">
        <f ca="1">_xlfn.IFNA(INDEX(皮肤宠物!D$18:D$67,MATCH(EX70,皮肤宠物!$A$18:$A$67,0))+1,1)</f>
        <v>1.28</v>
      </c>
      <c r="FB70" s="90">
        <f ca="1">_xlfn.IFNA(INDEX(皮肤宠物!E$18:E$67,MATCH(EY70,皮肤宠物!$A$18:$A$67,0))+1,1)</f>
        <v>1.4</v>
      </c>
      <c r="FD70" s="90">
        <f t="shared" ca="1" si="53"/>
        <v>8.8000000000000007</v>
      </c>
      <c r="FE70" s="90">
        <f t="shared" si="54"/>
        <v>1.87</v>
      </c>
      <c r="FF70" s="90">
        <f t="shared" ca="1" si="55"/>
        <v>1.4</v>
      </c>
      <c r="FG70" s="90">
        <f t="shared" ca="1" si="56"/>
        <v>23.038399999999999</v>
      </c>
    </row>
    <row r="71" spans="1:163" x14ac:dyDescent="0.25">
      <c r="A71" s="123">
        <v>65</v>
      </c>
      <c r="B71" s="123">
        <f>INDEX(关卡对比!$Y:$Y,MATCH(关卡对比!Z71,关卡对比!$AA:$AA,1))</f>
        <v>46</v>
      </c>
      <c r="C71" s="124">
        <f>INDEX(关卡对比!$Y:$Y,MATCH(关卡对比!Z71,关卡对比!$AB:$AB,1))</f>
        <v>37</v>
      </c>
      <c r="D71" s="125">
        <f t="shared" si="63"/>
        <v>265.5</v>
      </c>
      <c r="E71" s="125">
        <v>2</v>
      </c>
      <c r="F71" s="128">
        <v>16</v>
      </c>
      <c r="G71" s="90">
        <v>16</v>
      </c>
      <c r="H71" s="90">
        <v>5</v>
      </c>
      <c r="J71" s="128">
        <v>65</v>
      </c>
      <c r="K71" s="90">
        <f t="shared" si="17"/>
        <v>16</v>
      </c>
      <c r="L71" s="90">
        <f t="shared" si="18"/>
        <v>16</v>
      </c>
      <c r="M71" s="90">
        <f t="shared" si="19"/>
        <v>5</v>
      </c>
      <c r="N71" s="140">
        <f>INDEX($A:$A,MATCH(SUM($K$7:K71),$D:$D,1))</f>
        <v>200</v>
      </c>
      <c r="O71" s="140">
        <v>0</v>
      </c>
      <c r="P71" s="141">
        <v>0</v>
      </c>
      <c r="Q71" s="126">
        <f>_xlfn.MAXIFS(关卡产出!X:X,关卡产出!$A:$A,玩家节奏2!$N$6,关卡产出!$B:$B,玩家节奏2!$N71)+_xlfn.MAXIFS(关卡产出!X:X,关卡产出!$A:$A,玩家节奏2!$O$6,关卡产出!$B:$B,玩家节奏2!$O71)+_xlfn.MAXIFS(关卡产出!X:X,关卡产出!$A:$A,玩家节奏2!$P$6,关卡产出!$B:$B,玩家节奏2!$P71)</f>
        <v>38500</v>
      </c>
      <c r="R71" s="90">
        <f>_xlfn.MAXIFS(关卡产出!Y:Y,关卡产出!$A:$A,玩家节奏2!$N$6,关卡产出!$B:$B,玩家节奏2!$N71)+_xlfn.MAXIFS(关卡产出!Y:Y,关卡产出!$A:$A,玩家节奏2!$O$6,关卡产出!$B:$B,玩家节奏2!$O71)+_xlfn.MAXIFS(关卡产出!Y:Y,关卡产出!$A:$A,玩家节奏2!$P$6,关卡产出!$B:$B,玩家节奏2!$P71)</f>
        <v>11610000</v>
      </c>
      <c r="S71" s="90">
        <f>_xlfn.MAXIFS(关卡产出!Z:Z,关卡产出!$A:$A,玩家节奏2!$N$6,关卡产出!$B:$B,玩家节奏2!$N71)+_xlfn.MAXIFS(关卡产出!Z:Z,关卡产出!$A:$A,玩家节奏2!$O$6,关卡产出!$B:$B,玩家节奏2!$O71)+_xlfn.MAXIFS(关卡产出!Z:Z,关卡产出!$A:$A,玩家节奏2!$P$6,关卡产出!$B:$B,玩家节奏2!$P71)</f>
        <v>78866</v>
      </c>
      <c r="T71" s="90">
        <f>_xlfn.MAXIFS(关卡产出!AA:AA,关卡产出!$A:$A,玩家节奏2!$N$6,关卡产出!$B:$B,玩家节奏2!$N71)+_xlfn.MAXIFS(关卡产出!AA:AA,关卡产出!$A:$A,玩家节奏2!$O$6,关卡产出!$B:$B,玩家节奏2!$O71)+_xlfn.MAXIFS(关卡产出!AA:AA,关卡产出!$A:$A,玩家节奏2!$P$6,关卡产出!$B:$B,玩家节奏2!$P71)</f>
        <v>39434</v>
      </c>
      <c r="U71" s="90">
        <f>_xlfn.MAXIFS(关卡产出!AB:AB,关卡产出!$A:$A,玩家节奏2!$N$6,关卡产出!$B:$B,玩家节奏2!$N71)+_xlfn.MAXIFS(关卡产出!AB:AB,关卡产出!$A:$A,玩家节奏2!$O$6,关卡产出!$B:$B,玩家节奏2!$O71)+_xlfn.MAXIFS(关卡产出!AB:AB,关卡产出!$A:$A,玩家节奏2!$P$6,关卡产出!$B:$B,玩家节奏2!$P71)</f>
        <v>19113</v>
      </c>
      <c r="V71" s="130">
        <f>_xlfn.MAXIFS(关卡产出!AC:AC,关卡产出!$A:$A,玩家节奏2!$N$6,关卡产出!$B:$B,玩家节奏2!$N71)+_xlfn.MAXIFS(关卡产出!AC:AC,关卡产出!$A:$A,玩家节奏2!$O$6,关卡产出!$B:$B,玩家节奏2!$O71)+_xlfn.MAXIFS(关卡产出!AC:AC,关卡产出!$A:$A,玩家节奏2!$P$6,关卡产出!$B:$B,玩家节奏2!$P71)</f>
        <v>1200</v>
      </c>
      <c r="W71" s="126">
        <f>INDEX(关卡产出!C$8:C$207,MATCH(玩家节奏2!$N71,关卡产出!$B$8:$B$207,0))*$K71</f>
        <v>2528</v>
      </c>
      <c r="X71" s="126">
        <f>INDEX(关卡产出!D$8:D$207,MATCH(玩家节奏2!$N71,关卡产出!$B$8:$B$207,0))*$K71</f>
        <v>1264</v>
      </c>
      <c r="Y71" s="126">
        <f>INDEX(关卡产出!E$8:E$207,MATCH(玩家节奏2!$N71,关卡产出!$B$8:$B$207,0))*$K71</f>
        <v>624</v>
      </c>
      <c r="Z71" s="144">
        <f>INDEX(关卡产出!F$8:F$207,MATCH(玩家节奏2!$N71,关卡产出!$B$8:$B$207,0))*$K71</f>
        <v>32800</v>
      </c>
      <c r="AA71" s="126">
        <f>SUM(W$7:W71)</f>
        <v>106190</v>
      </c>
      <c r="AB71" s="126">
        <f>SUM(X$7:X71)</f>
        <v>52931</v>
      </c>
      <c r="AC71" s="126">
        <f>SUM(Y$7:Y71)</f>
        <v>25907</v>
      </c>
      <c r="AD71" s="177">
        <f>SUM(Z$7:Z71)</f>
        <v>1405530</v>
      </c>
      <c r="AE71" s="128">
        <f>INDEX(图鉴!AQ:AQ,MATCH($N71,图鉴!$S:$S,0))*34</f>
        <v>714</v>
      </c>
      <c r="AF71" s="90">
        <f>INDEX(图鉴!AR:AR,MATCH($N71,图鉴!$S:$S,0))*34</f>
        <v>510</v>
      </c>
      <c r="AG71" s="90">
        <f>INDEX(图鉴!AS:AS,MATCH($N71,图鉴!$S:$S,0))*34</f>
        <v>204</v>
      </c>
      <c r="AH71" s="129">
        <f ca="1">INDEX(图鉴!AT:AT,MATCH($N71,图鉴!$S:$S,0))*34</f>
        <v>55930</v>
      </c>
      <c r="AI71" s="128">
        <f>SUM($AE$7:AE71)</f>
        <v>44506</v>
      </c>
      <c r="AJ71" s="90">
        <f>SUM(AF$7:AF71)</f>
        <v>29682</v>
      </c>
      <c r="AK71" s="90">
        <f>SUM(AG$7:AG71)</f>
        <v>11322</v>
      </c>
      <c r="AL71" s="130">
        <f ca="1">SUM(AH$7:AH71)</f>
        <v>2805816</v>
      </c>
      <c r="AM71" s="133">
        <f>IF(M71=0,0,INDEX(关卡产出!$AU$11:$AU$15,MATCH(玩家节奏2!N71,关卡产出!$AW$11:$AW$15,1))*M71)</f>
        <v>61000</v>
      </c>
      <c r="AN71" s="126">
        <f>IF(L71=0,0,$L71*关卡产出!AU$21)</f>
        <v>16000</v>
      </c>
      <c r="AO71" s="90">
        <f>IF(M71=0,0,$L71*关卡产出!AV$21)</f>
        <v>800</v>
      </c>
      <c r="AP71" s="129">
        <f>IF(N71=0,0,$L71*关卡产出!AW$21)</f>
        <v>16</v>
      </c>
      <c r="AQ71" s="138">
        <f>SUM(AN$7:AN71)</f>
        <v>992000</v>
      </c>
      <c r="AR71" s="126">
        <f>SUM(AO$7:AO71)</f>
        <v>49600</v>
      </c>
      <c r="AS71" s="129">
        <f>SUM(AP$7:AP71)</f>
        <v>992</v>
      </c>
      <c r="AT71" s="128">
        <v>3000</v>
      </c>
      <c r="AU71" s="129">
        <v>600</v>
      </c>
      <c r="AV71" s="128">
        <f>SUM(AT$7:AT71)</f>
        <v>195000</v>
      </c>
      <c r="AW71" s="90">
        <f>SUM(AU$7:AU71)</f>
        <v>39000</v>
      </c>
      <c r="AY71" s="128">
        <f t="shared" si="20"/>
        <v>38500</v>
      </c>
      <c r="AZ71" s="90">
        <f t="shared" si="21"/>
        <v>49600</v>
      </c>
      <c r="BA71" s="90">
        <f t="shared" si="22"/>
        <v>39000</v>
      </c>
      <c r="BB71" s="90">
        <f t="shared" ca="1" si="57"/>
        <v>29700</v>
      </c>
      <c r="BC71" s="90">
        <f t="shared" ca="1" si="60"/>
        <v>80575</v>
      </c>
      <c r="BD71" s="90">
        <f t="shared" ca="1" si="61"/>
        <v>76225</v>
      </c>
      <c r="BE71" s="90">
        <f t="shared" ca="1" si="24"/>
        <v>156800</v>
      </c>
      <c r="BF71" s="142">
        <f t="shared" ref="BF71:BF102" ca="1" si="75">AY71/$BC71</f>
        <v>0.47781569965870307</v>
      </c>
      <c r="BG71" s="142">
        <f t="shared" ref="BG71:BG102" ca="1" si="76">AZ71/$BC71</f>
        <v>0.61557555072913439</v>
      </c>
      <c r="BH71" s="142">
        <f t="shared" ref="BH71:BH102" ca="1" si="77">BA71/$BC71</f>
        <v>0.48402109835556933</v>
      </c>
      <c r="BI71" s="142">
        <f t="shared" ref="BI71" ca="1" si="78">BB71/$BC71</f>
        <v>0.36860068259385664</v>
      </c>
      <c r="BJ71" s="143"/>
      <c r="BK71" s="128">
        <f ca="1">INDEX(商城宝箱!$L:$L,MATCH(BC71,商城宝箱!$N:$N,1))</f>
        <v>11</v>
      </c>
      <c r="BL71" s="90">
        <f ca="1">_xlfn.IFNA(INDEX(商城宝箱!T:T,MATCH(玩家节奏2!$BK71,商城宝箱!$L:$L,0)),0)+($BC71-INDEX(商城宝箱!$N:$N,MATCH(玩家节奏2!$BK71,商城宝箱!$L:$L,0)))/$BK$5*INDEX(商城宝箱!E$23:E$42,MATCH(玩家节奏2!$BK71+1,商城宝箱!$C$23:$C$42,0))</f>
        <v>201437.5</v>
      </c>
      <c r="BM71" s="90">
        <f ca="1">_xlfn.IFNA(INDEX(商城宝箱!U:U,MATCH(玩家节奏2!$BK71,商城宝箱!$L:$L,0)),0)+($BC71-INDEX(商城宝箱!$N:$N,MATCH(玩家节奏2!$BK71,商城宝箱!$L:$L,0)))/$BK$5*INDEX(商城宝箱!F$23:F$42,MATCH(玩家节奏2!$BK71+1,商城宝箱!$C$23:$C$42,0))</f>
        <v>172520</v>
      </c>
      <c r="BN71" s="90">
        <f ca="1">_xlfn.IFNA(INDEX(商城宝箱!V:V,MATCH(玩家节奏2!$BK71,商城宝箱!$L:$L,0)),0)+($BC71-INDEX(商城宝箱!$N:$N,MATCH(玩家节奏2!$BK71,商城宝箱!$L:$L,0)))/$BK$5*INDEX(商城宝箱!G$23:G$42,MATCH(玩家节奏2!$BK71+1,商城宝箱!$C$23:$C$42,0))</f>
        <v>93218.25</v>
      </c>
      <c r="BO71" s="90">
        <f ca="1">_xlfn.IFNA(INDEX(商城宝箱!W:W,MATCH(玩家节奏2!$BK71,商城宝箱!$L:$L,0)),0)+($BC71-INDEX(商城宝箱!$N:$N,MATCH(玩家节奏2!$BK71,商城宝箱!$L:$L,0)))/$BK$5*INDEX(商城宝箱!H$23:H$42,MATCH(玩家节奏2!$BK71+1,商城宝箱!$C$23:$C$42,0))</f>
        <v>13674</v>
      </c>
      <c r="BQ71" s="128">
        <f t="shared" ref="BQ71:BQ134" si="79">R71</f>
        <v>11610000</v>
      </c>
      <c r="BR71" s="90">
        <f t="shared" ref="BR71:BR134" si="80">AD71</f>
        <v>1405530</v>
      </c>
      <c r="BS71" s="90">
        <f t="shared" ref="BS71:BS102" ca="1" si="81">AL71</f>
        <v>2805816</v>
      </c>
      <c r="BT71" s="90">
        <f t="shared" ref="BT71:BT102" si="82">AM71</f>
        <v>61000</v>
      </c>
      <c r="BU71" s="90">
        <f t="shared" ref="BU71:BU134" si="83">AQ71</f>
        <v>992000</v>
      </c>
      <c r="BV71" s="90">
        <f t="shared" ref="BV71:BV134" si="84">AV71</f>
        <v>195000</v>
      </c>
      <c r="BW71" s="90">
        <f t="shared" ca="1" si="25"/>
        <v>201437.5</v>
      </c>
      <c r="BX71" s="90">
        <f t="shared" ca="1" si="26"/>
        <v>17270783.5</v>
      </c>
      <c r="BY71" s="142">
        <f t="shared" ca="1" si="74"/>
        <v>0.67223354400800639</v>
      </c>
      <c r="BZ71" s="142">
        <f t="shared" ca="1" si="74"/>
        <v>8.1381947726922754E-2</v>
      </c>
      <c r="CA71" s="142">
        <f t="shared" ca="1" si="73"/>
        <v>0.16246026128461399</v>
      </c>
      <c r="CB71" s="142">
        <f t="shared" ca="1" si="73"/>
        <v>3.5319764155459419E-3</v>
      </c>
      <c r="CC71" s="142">
        <f t="shared" ca="1" si="73"/>
        <v>5.7438042692156958E-2</v>
      </c>
      <c r="CD71" s="142">
        <f t="shared" ca="1" si="73"/>
        <v>1.1290744279204241E-2</v>
      </c>
      <c r="CE71" s="142">
        <f t="shared" ca="1" si="73"/>
        <v>1.1663483593549765E-2</v>
      </c>
      <c r="CG71" s="128">
        <f t="shared" si="28"/>
        <v>200</v>
      </c>
      <c r="CH71" s="90">
        <f ca="1">INDEX(角色升级!$A:$A,MATCH(玩家节奏2!$BX71,角色升级!$J:$J,1))</f>
        <v>901</v>
      </c>
      <c r="CI71" s="90">
        <f ca="1">INDEX(角色升级!$O:$O,MATCH(玩家节奏2!$BX71,角色升级!$J:$J,1))</f>
        <v>69583.143299999996</v>
      </c>
      <c r="CJ71" s="90">
        <f>INDEX(关卡对比!$J:$J,MATCH(玩家节奏2!N71,关卡对比!$A:$A,0))</f>
        <v>86200</v>
      </c>
      <c r="CK71" s="147">
        <f t="shared" ca="1" si="29"/>
        <v>1.2388057784104158</v>
      </c>
      <c r="CL71" s="128">
        <f ca="1">INDEX(角色升级!$P:$P,MATCH(玩家节奏2!$CH71,角色升级!$A:$A,0))</f>
        <v>29700</v>
      </c>
      <c r="CM71" s="90">
        <f ca="1">INDEX(角色升级!Q:Q,MATCH(玩家节奏2!$CH71,角色升级!$A:$A,0))</f>
        <v>1.9</v>
      </c>
      <c r="CO71" s="128">
        <f t="shared" si="30"/>
        <v>78866</v>
      </c>
      <c r="CP71" s="90">
        <f t="shared" si="31"/>
        <v>106190</v>
      </c>
      <c r="CQ71" s="90">
        <f t="shared" si="32"/>
        <v>44506</v>
      </c>
      <c r="CR71" s="90">
        <f t="shared" ca="1" si="33"/>
        <v>172520</v>
      </c>
      <c r="CS71" s="90">
        <f t="shared" ca="1" si="34"/>
        <v>402082</v>
      </c>
      <c r="CT71" s="142">
        <f t="shared" ca="1" si="35"/>
        <v>0.19614407011505117</v>
      </c>
      <c r="CU71" s="142">
        <f t="shared" ca="1" si="35"/>
        <v>0.26410035763849166</v>
      </c>
      <c r="CV71" s="142">
        <f t="shared" ca="1" si="35"/>
        <v>0.11068886446048319</v>
      </c>
      <c r="CW71" s="142">
        <f t="shared" ca="1" si="35"/>
        <v>0.429066707785974</v>
      </c>
      <c r="CY71" s="128">
        <f t="shared" si="36"/>
        <v>39434</v>
      </c>
      <c r="CZ71" s="90">
        <f t="shared" si="37"/>
        <v>52931</v>
      </c>
      <c r="DA71" s="90">
        <f t="shared" si="38"/>
        <v>29682</v>
      </c>
      <c r="DB71" s="90">
        <f t="shared" ca="1" si="58"/>
        <v>93218.25</v>
      </c>
      <c r="DC71" s="90">
        <f t="shared" ca="1" si="39"/>
        <v>215265.25</v>
      </c>
      <c r="DD71" s="142">
        <f t="shared" ca="1" si="40"/>
        <v>0.18318795067945245</v>
      </c>
      <c r="DE71" s="142">
        <f t="shared" ca="1" si="40"/>
        <v>0.2458873413149591</v>
      </c>
      <c r="DF71" s="142">
        <f t="shared" ca="1" si="40"/>
        <v>0.13788570147759566</v>
      </c>
      <c r="DG71" s="142">
        <f t="shared" ca="1" si="40"/>
        <v>0.43303900652799276</v>
      </c>
      <c r="DI71" s="128">
        <f t="shared" si="41"/>
        <v>19113</v>
      </c>
      <c r="DJ71" s="90">
        <f t="shared" si="42"/>
        <v>25907</v>
      </c>
      <c r="DK71" s="90">
        <f t="shared" si="43"/>
        <v>11322</v>
      </c>
      <c r="DL71" s="90">
        <f t="shared" ca="1" si="44"/>
        <v>13674</v>
      </c>
      <c r="DM71" s="90">
        <f t="shared" ca="1" si="45"/>
        <v>70016</v>
      </c>
      <c r="DN71" s="142">
        <f t="shared" ca="1" si="46"/>
        <v>0.27298046160877515</v>
      </c>
      <c r="DO71" s="142">
        <f t="shared" ca="1" si="46"/>
        <v>0.37001542504570384</v>
      </c>
      <c r="DP71" s="142">
        <f t="shared" ca="1" si="46"/>
        <v>0.1617058957952468</v>
      </c>
      <c r="DQ71" s="142">
        <f t="shared" ca="1" si="46"/>
        <v>0.19529821755027421</v>
      </c>
      <c r="DS71" s="128">
        <f t="shared" ca="1" si="47"/>
        <v>402082</v>
      </c>
      <c r="DT71" s="90">
        <f t="shared" ca="1" si="48"/>
        <v>215265.25</v>
      </c>
      <c r="DU71" s="90">
        <f t="shared" ca="1" si="49"/>
        <v>70016</v>
      </c>
      <c r="DV71" s="90">
        <f t="shared" si="50"/>
        <v>992</v>
      </c>
      <c r="DW71" s="90">
        <f ca="1">_xlfn.IFNA(INDEX(武器升级消耗!$H:$H,MATCH(玩家节奏2!DS71/玩家节奏2!DS$5,武器升级消耗!M:M,1)),0)</f>
        <v>56</v>
      </c>
      <c r="DX71" s="90">
        <f ca="1">_xlfn.IFNA(INDEX(武器升级消耗!$H:$H,MATCH(玩家节奏2!DT71/玩家节奏2!DT$5,武器升级消耗!N:N,1)),0)</f>
        <v>49</v>
      </c>
      <c r="DY71" s="90">
        <f ca="1">_xlfn.IFNA(INDEX(武器升级消耗!$H:$H,MATCH(玩家节奏2!DU71/玩家节奏2!DU$5,武器升级消耗!O:O,1)),0)</f>
        <v>37</v>
      </c>
      <c r="DZ71" s="90">
        <f>_xlfn.IFNA(INDEX(武器升级消耗!$H:$H,MATCH(玩家节奏2!DV71/玩家节奏2!DV$5,武器升级消耗!P:P,1)),0)</f>
        <v>23</v>
      </c>
      <c r="EA71" s="90">
        <f ca="1">_xlfn.IFNA(INDEX(武器升级消耗!$Q:$Q,MATCH(玩家节奏2!DW71,武器升级消耗!$H:$H,0))*2*EA$4,0)</f>
        <v>7.1999999999999993</v>
      </c>
      <c r="EB71" s="90">
        <f ca="1">_xlfn.IFNA(INDEX(武器升级消耗!$Q:$Q,MATCH(玩家节奏2!DX71,武器升级消耗!$H:$H,0))*2*EB$4,0)</f>
        <v>7.9499999999999993</v>
      </c>
      <c r="EC71" s="90">
        <f ca="1">_xlfn.IFNA(INDEX(武器升级消耗!$Q:$Q,MATCH(玩家节奏2!DY71,武器升级消耗!$H:$H,0))*2*EC$4,0)</f>
        <v>9.02</v>
      </c>
      <c r="ED71" s="90">
        <f>_xlfn.IFNA(INDEX(武器升级消耗!$Q:$Q,MATCH(玩家节奏2!DZ71,武器升级消耗!$H:$H,0))*2*ED$4,0)</f>
        <v>8.1000000000000014</v>
      </c>
      <c r="EF71" s="128">
        <f t="shared" ref="EF71:EF106" si="85">O71</f>
        <v>0</v>
      </c>
      <c r="EG71" s="90">
        <f t="shared" ref="EG71:EG106" si="86">P71</f>
        <v>0</v>
      </c>
      <c r="EH71" s="90">
        <v>195</v>
      </c>
      <c r="EI71" s="90">
        <v>195</v>
      </c>
      <c r="EJ71" s="90">
        <f>_xlfn.IFNA(INDEX(皮肤宠物!$J$4:$J$13,MATCH(EF71+EH71,皮肤宠物!$L$4:$L$13,1)),0)</f>
        <v>7</v>
      </c>
      <c r="EK71" s="90">
        <f>_xlfn.IFNA(INDEX(皮肤宠物!$J$4:$J$13,MATCH(EG71+EI71,皮肤宠物!$L$4:$L$13,1)),0)</f>
        <v>7</v>
      </c>
      <c r="EL71" s="90">
        <f>_xlfn.IFNA(INDEX(皮肤宠物!$N$4:$N$13,MATCH(EF71+EH71,皮肤宠物!$L$4:$L$13,1)),1)</f>
        <v>1.87</v>
      </c>
      <c r="EM71" s="90">
        <f>_xlfn.IFNA(INDEX(皮肤宠物!$N$4:$N$13,MATCH(EG71+EI71,皮肤宠物!$L$4:$L$13,1)),1)</f>
        <v>1.87</v>
      </c>
      <c r="EO71" s="128">
        <v>195</v>
      </c>
      <c r="EP71" s="90">
        <v>65</v>
      </c>
      <c r="EQ71" s="90">
        <f t="shared" ca="1" si="51"/>
        <v>76225</v>
      </c>
      <c r="ER71" s="90">
        <f t="shared" ref="ER71:ER106" si="87">P71</f>
        <v>0</v>
      </c>
      <c r="ES71" s="90">
        <f t="shared" ca="1" si="52"/>
        <v>827.25</v>
      </c>
      <c r="ET71" s="90">
        <f ca="1">$ES71*ET$5*皮肤宠物!$J$75/4</f>
        <v>2730.75225</v>
      </c>
      <c r="EU71" s="90">
        <f ca="1">$ES71*EU$5*皮肤宠物!$J$76/4</f>
        <v>455.81475</v>
      </c>
      <c r="EV71" s="90">
        <f ca="1">$ES71*EV$5*皮肤宠物!$J$77/4</f>
        <v>123.46706250000001</v>
      </c>
      <c r="EW71" s="90">
        <f ca="1">_xlfn.IFNA(INDEX(皮肤宠物!$H$18:$H$67,MATCH(ET71,皮肤宠物!L$18:L$67,1)),0)</f>
        <v>18</v>
      </c>
      <c r="EX71" s="90">
        <f ca="1">_xlfn.IFNA(INDEX(皮肤宠物!$H$18:$H$67,MATCH(EU71,皮肤宠物!M$18:M$67,1)),0)</f>
        <v>14</v>
      </c>
      <c r="EY71" s="90">
        <f ca="1">_xlfn.IFNA(INDEX(皮肤宠物!$H$18:$H$67,MATCH(EV71,皮肤宠物!N$18:N$67,1)),0)</f>
        <v>10</v>
      </c>
      <c r="EZ71" s="90">
        <f ca="1">_xlfn.IFNA(INDEX(皮肤宠物!C$18:C$67,MATCH(EW71,皮肤宠物!$A$18:$A$67,0))+1,1)</f>
        <v>1.18</v>
      </c>
      <c r="FA71" s="90">
        <f ca="1">_xlfn.IFNA(INDEX(皮肤宠物!D$18:D$67,MATCH(EX71,皮肤宠物!$A$18:$A$67,0))+1,1)</f>
        <v>1.28</v>
      </c>
      <c r="FB71" s="90">
        <f ca="1">_xlfn.IFNA(INDEX(皮肤宠物!E$18:E$67,MATCH(EY71,皮肤宠物!$A$18:$A$67,0))+1,1)</f>
        <v>1.4</v>
      </c>
      <c r="FD71" s="90">
        <f t="shared" ca="1" si="53"/>
        <v>9.02</v>
      </c>
      <c r="FE71" s="90">
        <f t="shared" si="54"/>
        <v>1.87</v>
      </c>
      <c r="FF71" s="90">
        <f t="shared" ca="1" si="55"/>
        <v>1.4</v>
      </c>
      <c r="FG71" s="90">
        <f t="shared" ca="1" si="56"/>
        <v>23.614359999999998</v>
      </c>
    </row>
    <row r="72" spans="1:163" x14ac:dyDescent="0.25">
      <c r="A72" s="123">
        <v>66</v>
      </c>
      <c r="B72" s="123">
        <f>INDEX(关卡对比!$Y:$Y,MATCH(关卡对比!Z72,关卡对比!$AA:$AA,1))</f>
        <v>46</v>
      </c>
      <c r="C72" s="124">
        <f>INDEX(关卡对比!$Y:$Y,MATCH(关卡对比!Z72,关卡对比!$AB:$AB,1))</f>
        <v>38</v>
      </c>
      <c r="D72" s="125">
        <f t="shared" si="63"/>
        <v>269.5</v>
      </c>
      <c r="E72" s="125">
        <v>2</v>
      </c>
      <c r="F72" s="128">
        <v>16</v>
      </c>
      <c r="G72" s="90">
        <v>16</v>
      </c>
      <c r="H72" s="90">
        <v>5</v>
      </c>
      <c r="J72" s="128">
        <v>66</v>
      </c>
      <c r="K72" s="90">
        <f t="shared" ref="K72:K135" si="88">INDEX($F:$F,MATCH(N71,$A:$A,0))</f>
        <v>16</v>
      </c>
      <c r="L72" s="90">
        <f t="shared" ref="L72:L135" si="89">INDEX($G:$G,MATCH(N71,$A:$A,0))</f>
        <v>16</v>
      </c>
      <c r="M72" s="90">
        <f t="shared" ref="M72:M135" si="90">INDEX($H:$H,MATCH(N71,$A:$A,0))</f>
        <v>5</v>
      </c>
      <c r="N72" s="140">
        <f>INDEX($A:$A,MATCH(SUM($K$7:K72),$D:$D,1))</f>
        <v>200</v>
      </c>
      <c r="O72" s="140">
        <v>0</v>
      </c>
      <c r="P72" s="141">
        <v>0</v>
      </c>
      <c r="Q72" s="126">
        <f>_xlfn.MAXIFS(关卡产出!X:X,关卡产出!$A:$A,玩家节奏2!$N$6,关卡产出!$B:$B,玩家节奏2!$N72)+_xlfn.MAXIFS(关卡产出!X:X,关卡产出!$A:$A,玩家节奏2!$O$6,关卡产出!$B:$B,玩家节奏2!$O72)+_xlfn.MAXIFS(关卡产出!X:X,关卡产出!$A:$A,玩家节奏2!$P$6,关卡产出!$B:$B,玩家节奏2!$P72)</f>
        <v>38500</v>
      </c>
      <c r="R72" s="90">
        <f>_xlfn.MAXIFS(关卡产出!Y:Y,关卡产出!$A:$A,玩家节奏2!$N$6,关卡产出!$B:$B,玩家节奏2!$N72)+_xlfn.MAXIFS(关卡产出!Y:Y,关卡产出!$A:$A,玩家节奏2!$O$6,关卡产出!$B:$B,玩家节奏2!$O72)+_xlfn.MAXIFS(关卡产出!Y:Y,关卡产出!$A:$A,玩家节奏2!$P$6,关卡产出!$B:$B,玩家节奏2!$P72)</f>
        <v>11610000</v>
      </c>
      <c r="S72" s="90">
        <f>_xlfn.MAXIFS(关卡产出!Z:Z,关卡产出!$A:$A,玩家节奏2!$N$6,关卡产出!$B:$B,玩家节奏2!$N72)+_xlfn.MAXIFS(关卡产出!Z:Z,关卡产出!$A:$A,玩家节奏2!$O$6,关卡产出!$B:$B,玩家节奏2!$O72)+_xlfn.MAXIFS(关卡产出!Z:Z,关卡产出!$A:$A,玩家节奏2!$P$6,关卡产出!$B:$B,玩家节奏2!$P72)</f>
        <v>78866</v>
      </c>
      <c r="T72" s="90">
        <f>_xlfn.MAXIFS(关卡产出!AA:AA,关卡产出!$A:$A,玩家节奏2!$N$6,关卡产出!$B:$B,玩家节奏2!$N72)+_xlfn.MAXIFS(关卡产出!AA:AA,关卡产出!$A:$A,玩家节奏2!$O$6,关卡产出!$B:$B,玩家节奏2!$O72)+_xlfn.MAXIFS(关卡产出!AA:AA,关卡产出!$A:$A,玩家节奏2!$P$6,关卡产出!$B:$B,玩家节奏2!$P72)</f>
        <v>39434</v>
      </c>
      <c r="U72" s="90">
        <f>_xlfn.MAXIFS(关卡产出!AB:AB,关卡产出!$A:$A,玩家节奏2!$N$6,关卡产出!$B:$B,玩家节奏2!$N72)+_xlfn.MAXIFS(关卡产出!AB:AB,关卡产出!$A:$A,玩家节奏2!$O$6,关卡产出!$B:$B,玩家节奏2!$O72)+_xlfn.MAXIFS(关卡产出!AB:AB,关卡产出!$A:$A,玩家节奏2!$P$6,关卡产出!$B:$B,玩家节奏2!$P72)</f>
        <v>19113</v>
      </c>
      <c r="V72" s="130">
        <f>_xlfn.MAXIFS(关卡产出!AC:AC,关卡产出!$A:$A,玩家节奏2!$N$6,关卡产出!$B:$B,玩家节奏2!$N72)+_xlfn.MAXIFS(关卡产出!AC:AC,关卡产出!$A:$A,玩家节奏2!$O$6,关卡产出!$B:$B,玩家节奏2!$O72)+_xlfn.MAXIFS(关卡产出!AC:AC,关卡产出!$A:$A,玩家节奏2!$P$6,关卡产出!$B:$B,玩家节奏2!$P72)</f>
        <v>1200</v>
      </c>
      <c r="W72" s="126">
        <f>INDEX(关卡产出!C$8:C$207,MATCH(玩家节奏2!$N72,关卡产出!$B$8:$B$207,0))*$K72</f>
        <v>2528</v>
      </c>
      <c r="X72" s="126">
        <f>INDEX(关卡产出!D$8:D$207,MATCH(玩家节奏2!$N72,关卡产出!$B$8:$B$207,0))*$K72</f>
        <v>1264</v>
      </c>
      <c r="Y72" s="126">
        <f>INDEX(关卡产出!E$8:E$207,MATCH(玩家节奏2!$N72,关卡产出!$B$8:$B$207,0))*$K72</f>
        <v>624</v>
      </c>
      <c r="Z72" s="144">
        <f>INDEX(关卡产出!F$8:F$207,MATCH(玩家节奏2!$N72,关卡产出!$B$8:$B$207,0))*$K72</f>
        <v>32800</v>
      </c>
      <c r="AA72" s="126">
        <f>SUM(W$7:W72)</f>
        <v>108718</v>
      </c>
      <c r="AB72" s="126">
        <f>SUM(X$7:X72)</f>
        <v>54195</v>
      </c>
      <c r="AC72" s="126">
        <f>SUM(Y$7:Y72)</f>
        <v>26531</v>
      </c>
      <c r="AD72" s="177">
        <f>SUM(Z$7:Z72)</f>
        <v>1438330</v>
      </c>
      <c r="AE72" s="128">
        <f>INDEX(图鉴!AQ:AQ,MATCH($N72,图鉴!$S:$S,0))*34</f>
        <v>714</v>
      </c>
      <c r="AF72" s="90">
        <f>INDEX(图鉴!AR:AR,MATCH($N72,图鉴!$S:$S,0))*34</f>
        <v>510</v>
      </c>
      <c r="AG72" s="90">
        <f>INDEX(图鉴!AS:AS,MATCH($N72,图鉴!$S:$S,0))*34</f>
        <v>204</v>
      </c>
      <c r="AH72" s="129">
        <f ca="1">INDEX(图鉴!AT:AT,MATCH($N72,图鉴!$S:$S,0))*34</f>
        <v>55930</v>
      </c>
      <c r="AI72" s="128">
        <f>SUM($AE$7:AE72)</f>
        <v>45220</v>
      </c>
      <c r="AJ72" s="90">
        <f>SUM(AF$7:AF72)</f>
        <v>30192</v>
      </c>
      <c r="AK72" s="90">
        <f>SUM(AG$7:AG72)</f>
        <v>11526</v>
      </c>
      <c r="AL72" s="130">
        <f ca="1">SUM(AH$7:AH72)</f>
        <v>2861746</v>
      </c>
      <c r="AM72" s="133">
        <f>IF(M72=0,0,INDEX(关卡产出!$AU$11:$AU$15,MATCH(玩家节奏2!N72,关卡产出!$AW$11:$AW$15,1))*M72)</f>
        <v>61000</v>
      </c>
      <c r="AN72" s="126">
        <f>IF(L72=0,0,$L72*关卡产出!AU$21)</f>
        <v>16000</v>
      </c>
      <c r="AO72" s="90">
        <f>IF(M72=0,0,$L72*关卡产出!AV$21)</f>
        <v>800</v>
      </c>
      <c r="AP72" s="129">
        <f>IF(N72=0,0,$L72*关卡产出!AW$21)</f>
        <v>16</v>
      </c>
      <c r="AQ72" s="138">
        <f>SUM(AN$7:AN72)</f>
        <v>1008000</v>
      </c>
      <c r="AR72" s="126">
        <f>SUM(AO$7:AO72)</f>
        <v>50400</v>
      </c>
      <c r="AS72" s="129">
        <f>SUM(AP$7:AP72)</f>
        <v>1008</v>
      </c>
      <c r="AT72" s="128">
        <v>3000</v>
      </c>
      <c r="AU72" s="129">
        <v>600</v>
      </c>
      <c r="AV72" s="128">
        <f>SUM(AT$7:AT72)</f>
        <v>198000</v>
      </c>
      <c r="AW72" s="90">
        <f>SUM(AU$7:AU72)</f>
        <v>39600</v>
      </c>
      <c r="AY72" s="128">
        <f t="shared" ref="AY72:AY135" si="91">Q72</f>
        <v>38500</v>
      </c>
      <c r="AZ72" s="90">
        <f t="shared" ref="AZ72:AZ135" si="92">AR72</f>
        <v>50400</v>
      </c>
      <c r="BA72" s="90">
        <f t="shared" ref="BA72:BA135" si="93">AW72</f>
        <v>39600</v>
      </c>
      <c r="BB72" s="90">
        <f t="shared" ca="1" si="57"/>
        <v>29700</v>
      </c>
      <c r="BC72" s="90">
        <f t="shared" ca="1" si="60"/>
        <v>81275</v>
      </c>
      <c r="BD72" s="90">
        <f t="shared" ca="1" si="61"/>
        <v>76925</v>
      </c>
      <c r="BE72" s="90">
        <f t="shared" ref="BE72:BE135" ca="1" si="94">SUM(AY72:BB72)</f>
        <v>158200</v>
      </c>
      <c r="BF72" s="142">
        <f t="shared" ca="1" si="75"/>
        <v>0.47370039987696094</v>
      </c>
      <c r="BG72" s="142">
        <f t="shared" ca="1" si="76"/>
        <v>0.62011688711165791</v>
      </c>
      <c r="BH72" s="142">
        <f t="shared" ca="1" si="77"/>
        <v>0.48723469701630268</v>
      </c>
      <c r="BI72" s="142">
        <f t="shared" ref="BI72:BI103" ca="1" si="95">BB72/$BC72</f>
        <v>0.36542602276222702</v>
      </c>
      <c r="BJ72" s="143"/>
      <c r="BK72" s="128">
        <f ca="1">INDEX(商城宝箱!$L:$L,MATCH(BC72,商城宝箱!$N:$N,1))</f>
        <v>11</v>
      </c>
      <c r="BL72" s="90">
        <f ca="1">_xlfn.IFNA(INDEX(商城宝箱!T:T,MATCH(玩家节奏2!$BK72,商城宝箱!$L:$L,0)),0)+($BC72-INDEX(商城宝箱!$N:$N,MATCH(玩家节奏2!$BK72,商城宝箱!$L:$L,0)))/$BK$5*INDEX(商城宝箱!E$23:E$42,MATCH(玩家节奏2!$BK72+1,商城宝箱!$C$23:$C$42,0))</f>
        <v>203187.5</v>
      </c>
      <c r="BM72" s="90">
        <f ca="1">_xlfn.IFNA(INDEX(商城宝箱!U:U,MATCH(玩家节奏2!$BK72,商城宝箱!$L:$L,0)),0)+($BC72-INDEX(商城宝箱!$N:$N,MATCH(玩家节奏2!$BK72,商城宝箱!$L:$L,0)))/$BK$5*INDEX(商城宝箱!F$23:F$42,MATCH(玩家节奏2!$BK72+1,商城宝箱!$C$23:$C$42,0))</f>
        <v>175110</v>
      </c>
      <c r="BN72" s="90">
        <f ca="1">_xlfn.IFNA(INDEX(商城宝箱!V:V,MATCH(玩家节奏2!$BK72,商城宝箱!$L:$L,0)),0)+($BC72-INDEX(商城宝箱!$N:$N,MATCH(玩家节奏2!$BK72,商城宝箱!$L:$L,0)))/$BK$5*INDEX(商城宝箱!G$23:G$42,MATCH(玩家节奏2!$BK72+1,商城宝箱!$C$23:$C$42,0))</f>
        <v>94443.25</v>
      </c>
      <c r="BO72" s="90">
        <f ca="1">_xlfn.IFNA(INDEX(商城宝箱!W:W,MATCH(玩家节奏2!$BK72,商城宝箱!$L:$L,0)),0)+($BC72-INDEX(商城宝箱!$N:$N,MATCH(玩家节奏2!$BK72,商城宝箱!$L:$L,0)))/$BK$5*INDEX(商城宝箱!H$23:H$42,MATCH(玩家节奏2!$BK72+1,商城宝箱!$C$23:$C$42,0))</f>
        <v>13884</v>
      </c>
      <c r="BQ72" s="128">
        <f t="shared" si="79"/>
        <v>11610000</v>
      </c>
      <c r="BR72" s="90">
        <f t="shared" si="80"/>
        <v>1438330</v>
      </c>
      <c r="BS72" s="90">
        <f t="shared" ca="1" si="81"/>
        <v>2861746</v>
      </c>
      <c r="BT72" s="90">
        <f t="shared" si="82"/>
        <v>61000</v>
      </c>
      <c r="BU72" s="90">
        <f t="shared" si="83"/>
        <v>1008000</v>
      </c>
      <c r="BV72" s="90">
        <f t="shared" si="84"/>
        <v>198000</v>
      </c>
      <c r="BW72" s="90">
        <f t="shared" ref="BW72:BW135" ca="1" si="96">BL72</f>
        <v>203187.5</v>
      </c>
      <c r="BX72" s="90">
        <f t="shared" ref="BX72:BX135" ca="1" si="97">SUM(BQ72:BW72)</f>
        <v>17380263.5</v>
      </c>
      <c r="BY72" s="142">
        <f t="shared" ca="1" si="74"/>
        <v>0.66799907837991068</v>
      </c>
      <c r="BZ72" s="142">
        <f t="shared" ca="1" si="74"/>
        <v>8.2756512868749091E-2</v>
      </c>
      <c r="CA72" s="142">
        <f t="shared" ca="1" si="73"/>
        <v>0.16465492597393588</v>
      </c>
      <c r="CB72" s="142">
        <f t="shared" ca="1" si="73"/>
        <v>3.5097281465266625E-3</v>
      </c>
      <c r="CC72" s="142">
        <f t="shared" ca="1" si="73"/>
        <v>5.7996819208178285E-2</v>
      </c>
      <c r="CD72" s="142">
        <f t="shared" ca="1" si="73"/>
        <v>1.1392232344463592E-2</v>
      </c>
      <c r="CE72" s="142">
        <f t="shared" ca="1" si="73"/>
        <v>1.169070307823584E-2</v>
      </c>
      <c r="CG72" s="128">
        <f t="shared" ref="CG72:CG135" si="98">N72</f>
        <v>200</v>
      </c>
      <c r="CH72" s="90">
        <f ca="1">INDEX(角色升级!$A:$A,MATCH(玩家节奏2!$BX72,角色升级!$J:$J,1))</f>
        <v>902</v>
      </c>
      <c r="CI72" s="90">
        <f ca="1">INDEX(角色升级!$O:$O,MATCH(玩家节奏2!$BX72,角色升级!$J:$J,1))</f>
        <v>70046.03545499999</v>
      </c>
      <c r="CJ72" s="90">
        <f>INDEX(关卡对比!$J:$J,MATCH(玩家节奏2!N72,关卡对比!$A:$A,0))</f>
        <v>86200</v>
      </c>
      <c r="CK72" s="147">
        <f t="shared" ref="CK72:CK135" ca="1" si="99">CJ72/CI72</f>
        <v>1.2306192554663264</v>
      </c>
      <c r="CL72" s="128">
        <f ca="1">INDEX(角色升级!$P:$P,MATCH(玩家节奏2!$CH72,角色升级!$A:$A,0))</f>
        <v>29700</v>
      </c>
      <c r="CM72" s="90">
        <f ca="1">INDEX(角色升级!Q:Q,MATCH(玩家节奏2!$CH72,角色升级!$A:$A,0))</f>
        <v>1.9</v>
      </c>
      <c r="CO72" s="128">
        <f t="shared" ref="CO72:CO135" si="100">S72</f>
        <v>78866</v>
      </c>
      <c r="CP72" s="90">
        <f t="shared" ref="CP72:CP135" si="101">AA72</f>
        <v>108718</v>
      </c>
      <c r="CQ72" s="90">
        <f t="shared" ref="CQ72:CQ135" si="102">AI72</f>
        <v>45220</v>
      </c>
      <c r="CR72" s="90">
        <f t="shared" ref="CR72:CR135" ca="1" si="103">BM72</f>
        <v>175110</v>
      </c>
      <c r="CS72" s="90">
        <f t="shared" ref="CS72:CS135" ca="1" si="104">SUM(CO72:CR72)</f>
        <v>407914</v>
      </c>
      <c r="CT72" s="142">
        <f t="shared" ref="CT72:CW135" ca="1" si="105">CO72/$CS72</f>
        <v>0.1933397725991263</v>
      </c>
      <c r="CU72" s="142">
        <f t="shared" ca="1" si="105"/>
        <v>0.2665218649028962</v>
      </c>
      <c r="CV72" s="142">
        <f t="shared" ca="1" si="105"/>
        <v>0.11085670018680407</v>
      </c>
      <c r="CW72" s="142">
        <f t="shared" ca="1" si="105"/>
        <v>0.42928166231117343</v>
      </c>
      <c r="CY72" s="128">
        <f t="shared" ref="CY72:CY135" si="106">T72</f>
        <v>39434</v>
      </c>
      <c r="CZ72" s="90">
        <f t="shared" ref="CZ72:CZ135" si="107">AB72</f>
        <v>54195</v>
      </c>
      <c r="DA72" s="90">
        <f t="shared" ref="DA72:DA135" si="108">AJ72</f>
        <v>30192</v>
      </c>
      <c r="DB72" s="90">
        <f t="shared" ca="1" si="58"/>
        <v>94443.25</v>
      </c>
      <c r="DC72" s="90">
        <f t="shared" ref="DC72:DC135" ca="1" si="109">SUM(CY72:DB72)</f>
        <v>218264.25</v>
      </c>
      <c r="DD72" s="142">
        <f t="shared" ref="DD72:DG135" ca="1" si="110">CY72/$DC72</f>
        <v>0.18067090693963853</v>
      </c>
      <c r="DE72" s="142">
        <f t="shared" ca="1" si="110"/>
        <v>0.24829993917922885</v>
      </c>
      <c r="DF72" s="142">
        <f t="shared" ca="1" si="110"/>
        <v>0.13832773805146742</v>
      </c>
      <c r="DG72" s="142">
        <f t="shared" ca="1" si="110"/>
        <v>0.4327014158296652</v>
      </c>
      <c r="DI72" s="128">
        <f t="shared" ref="DI72:DI135" si="111">U72</f>
        <v>19113</v>
      </c>
      <c r="DJ72" s="90">
        <f t="shared" ref="DJ72:DJ135" si="112">AC72</f>
        <v>26531</v>
      </c>
      <c r="DK72" s="90">
        <f t="shared" ref="DK72:DK135" si="113">AK72</f>
        <v>11526</v>
      </c>
      <c r="DL72" s="90">
        <f t="shared" ref="DL72:DL135" ca="1" si="114">BO72</f>
        <v>13884</v>
      </c>
      <c r="DM72" s="90">
        <f t="shared" ref="DM72:DM135" ca="1" si="115">SUM(DI72:DL72)</f>
        <v>71054</v>
      </c>
      <c r="DN72" s="142">
        <f t="shared" ref="DN72:DQ135" ca="1" si="116">DI72/$DM72</f>
        <v>0.26899259717960988</v>
      </c>
      <c r="DO72" s="142">
        <f t="shared" ca="1" si="116"/>
        <v>0.37339206800461622</v>
      </c>
      <c r="DP72" s="142">
        <f t="shared" ca="1" si="116"/>
        <v>0.1622146536437076</v>
      </c>
      <c r="DQ72" s="142">
        <f t="shared" ca="1" si="116"/>
        <v>0.19540068117206633</v>
      </c>
      <c r="DS72" s="128">
        <f t="shared" ref="DS72:DS135" ca="1" si="117">CS72</f>
        <v>407914</v>
      </c>
      <c r="DT72" s="90">
        <f t="shared" ref="DT72:DT135" ca="1" si="118">DC72</f>
        <v>218264.25</v>
      </c>
      <c r="DU72" s="90">
        <f t="shared" ref="DU72:DU135" ca="1" si="119">DM72</f>
        <v>71054</v>
      </c>
      <c r="DV72" s="90">
        <f t="shared" ref="DV72:DV135" si="120">AS72</f>
        <v>1008</v>
      </c>
      <c r="DW72" s="90">
        <f ca="1">_xlfn.IFNA(INDEX(武器升级消耗!$H:$H,MATCH(玩家节奏2!DS72/玩家节奏2!DS$5,武器升级消耗!M:M,1)),0)</f>
        <v>56</v>
      </c>
      <c r="DX72" s="90">
        <f ca="1">_xlfn.IFNA(INDEX(武器升级消耗!$H:$H,MATCH(玩家节奏2!DT72/玩家节奏2!DT$5,武器升级消耗!N:N,1)),0)</f>
        <v>49</v>
      </c>
      <c r="DY72" s="90">
        <f ca="1">_xlfn.IFNA(INDEX(武器升级消耗!$H:$H,MATCH(玩家节奏2!DU72/玩家节奏2!DU$5,武器升级消耗!O:O,1)),0)</f>
        <v>37</v>
      </c>
      <c r="DZ72" s="90">
        <f>_xlfn.IFNA(INDEX(武器升级消耗!$H:$H,MATCH(玩家节奏2!DV72/玩家节奏2!DV$5,武器升级消耗!P:P,1)),0)</f>
        <v>23</v>
      </c>
      <c r="EA72" s="90">
        <f ca="1">_xlfn.IFNA(INDEX(武器升级消耗!$Q:$Q,MATCH(玩家节奏2!DW72,武器升级消耗!$H:$H,0))*2*EA$4,0)</f>
        <v>7.1999999999999993</v>
      </c>
      <c r="EB72" s="90">
        <f ca="1">_xlfn.IFNA(INDEX(武器升级消耗!$Q:$Q,MATCH(玩家节奏2!DX72,武器升级消耗!$H:$H,0))*2*EB$4,0)</f>
        <v>7.9499999999999993</v>
      </c>
      <c r="EC72" s="90">
        <f ca="1">_xlfn.IFNA(INDEX(武器升级消耗!$Q:$Q,MATCH(玩家节奏2!DY72,武器升级消耗!$H:$H,0))*2*EC$4,0)</f>
        <v>9.02</v>
      </c>
      <c r="ED72" s="90">
        <f>_xlfn.IFNA(INDEX(武器升级消耗!$Q:$Q,MATCH(玩家节奏2!DZ72,武器升级消耗!$H:$H,0))*2*ED$4,0)</f>
        <v>8.1000000000000014</v>
      </c>
      <c r="EF72" s="128">
        <f t="shared" si="85"/>
        <v>0</v>
      </c>
      <c r="EG72" s="90">
        <f t="shared" si="86"/>
        <v>0</v>
      </c>
      <c r="EH72" s="90">
        <v>198</v>
      </c>
      <c r="EI72" s="90">
        <v>198</v>
      </c>
      <c r="EJ72" s="90">
        <f>_xlfn.IFNA(INDEX(皮肤宠物!$J$4:$J$13,MATCH(EF72+EH72,皮肤宠物!$L$4:$L$13,1)),0)</f>
        <v>7</v>
      </c>
      <c r="EK72" s="90">
        <f>_xlfn.IFNA(INDEX(皮肤宠物!$J$4:$J$13,MATCH(EG72+EI72,皮肤宠物!$L$4:$L$13,1)),0)</f>
        <v>7</v>
      </c>
      <c r="EL72" s="90">
        <f>_xlfn.IFNA(INDEX(皮肤宠物!$N$4:$N$13,MATCH(EF72+EH72,皮肤宠物!$L$4:$L$13,1)),1)</f>
        <v>1.87</v>
      </c>
      <c r="EM72" s="90">
        <f>_xlfn.IFNA(INDEX(皮肤宠物!$N$4:$N$13,MATCH(EG72+EI72,皮肤宠物!$L$4:$L$13,1)),1)</f>
        <v>1.87</v>
      </c>
      <c r="EO72" s="128">
        <v>198</v>
      </c>
      <c r="EP72" s="90">
        <v>66</v>
      </c>
      <c r="EQ72" s="90">
        <f t="shared" ref="EQ72:EQ106" ca="1" si="121">BD72</f>
        <v>76925</v>
      </c>
      <c r="ER72" s="90">
        <f t="shared" si="87"/>
        <v>0</v>
      </c>
      <c r="ES72" s="90">
        <f t="shared" ref="ES72:ES106" ca="1" si="122">ER72+EQ72/100+EP72</f>
        <v>835.25</v>
      </c>
      <c r="ET72" s="90">
        <f ca="1">$ES72*ET$5*皮肤宠物!$J$75/4</f>
        <v>2757.1602499999999</v>
      </c>
      <c r="EU72" s="90">
        <f ca="1">$ES72*EU$5*皮肤宠物!$J$76/4</f>
        <v>460.22275000000002</v>
      </c>
      <c r="EV72" s="90">
        <f ca="1">$ES72*EV$5*皮肤宠物!$J$77/4</f>
        <v>124.6610625</v>
      </c>
      <c r="EW72" s="90">
        <f ca="1">_xlfn.IFNA(INDEX(皮肤宠物!$H$18:$H$67,MATCH(ET72,皮肤宠物!L$18:L$67,1)),0)</f>
        <v>18</v>
      </c>
      <c r="EX72" s="90">
        <f ca="1">_xlfn.IFNA(INDEX(皮肤宠物!$H$18:$H$67,MATCH(EU72,皮肤宠物!M$18:M$67,1)),0)</f>
        <v>14</v>
      </c>
      <c r="EY72" s="90">
        <f ca="1">_xlfn.IFNA(INDEX(皮肤宠物!$H$18:$H$67,MATCH(EV72,皮肤宠物!N$18:N$67,1)),0)</f>
        <v>10</v>
      </c>
      <c r="EZ72" s="90">
        <f ca="1">_xlfn.IFNA(INDEX(皮肤宠物!C$18:C$67,MATCH(EW72,皮肤宠物!$A$18:$A$67,0))+1,1)</f>
        <v>1.18</v>
      </c>
      <c r="FA72" s="90">
        <f ca="1">_xlfn.IFNA(INDEX(皮肤宠物!D$18:D$67,MATCH(EX72,皮肤宠物!$A$18:$A$67,0))+1,1)</f>
        <v>1.28</v>
      </c>
      <c r="FB72" s="90">
        <f ca="1">_xlfn.IFNA(INDEX(皮肤宠物!E$18:E$67,MATCH(EY72,皮肤宠物!$A$18:$A$67,0))+1,1)</f>
        <v>1.4</v>
      </c>
      <c r="FD72" s="90">
        <f t="shared" ref="FD72:FD106" ca="1" si="123">EC72</f>
        <v>9.02</v>
      </c>
      <c r="FE72" s="90">
        <f t="shared" ref="FE72:FE106" si="124">EL72</f>
        <v>1.87</v>
      </c>
      <c r="FF72" s="90">
        <f t="shared" ref="FF72:FF106" ca="1" si="125">FB72</f>
        <v>1.4</v>
      </c>
      <c r="FG72" s="90">
        <f t="shared" ref="FG72:FG106" ca="1" si="126">FF72*FE72*FD72</f>
        <v>23.614359999999998</v>
      </c>
    </row>
    <row r="73" spans="1:163" x14ac:dyDescent="0.25">
      <c r="A73" s="123">
        <v>67</v>
      </c>
      <c r="B73" s="123">
        <f>INDEX(关卡对比!$Y:$Y,MATCH(关卡对比!Z73,关卡对比!$AA:$AA,1))</f>
        <v>47</v>
      </c>
      <c r="C73" s="124">
        <f>INDEX(关卡对比!$Y:$Y,MATCH(关卡对比!Z73,关卡对比!$AB:$AB,1))</f>
        <v>38</v>
      </c>
      <c r="D73" s="125">
        <f t="shared" si="63"/>
        <v>273.5</v>
      </c>
      <c r="E73" s="125">
        <v>2</v>
      </c>
      <c r="F73" s="128">
        <v>16</v>
      </c>
      <c r="G73" s="90">
        <v>16</v>
      </c>
      <c r="H73" s="90">
        <v>5</v>
      </c>
      <c r="J73" s="128">
        <v>67</v>
      </c>
      <c r="K73" s="90">
        <f t="shared" si="88"/>
        <v>16</v>
      </c>
      <c r="L73" s="90">
        <f t="shared" si="89"/>
        <v>16</v>
      </c>
      <c r="M73" s="90">
        <f t="shared" si="90"/>
        <v>5</v>
      </c>
      <c r="N73" s="140">
        <f>INDEX($A:$A,MATCH(SUM($K$7:K73),$D:$D,1))</f>
        <v>200</v>
      </c>
      <c r="O73" s="140">
        <v>0</v>
      </c>
      <c r="P73" s="141">
        <v>0</v>
      </c>
      <c r="Q73" s="126">
        <f>_xlfn.MAXIFS(关卡产出!X:X,关卡产出!$A:$A,玩家节奏2!$N$6,关卡产出!$B:$B,玩家节奏2!$N73)+_xlfn.MAXIFS(关卡产出!X:X,关卡产出!$A:$A,玩家节奏2!$O$6,关卡产出!$B:$B,玩家节奏2!$O73)+_xlfn.MAXIFS(关卡产出!X:X,关卡产出!$A:$A,玩家节奏2!$P$6,关卡产出!$B:$B,玩家节奏2!$P73)</f>
        <v>38500</v>
      </c>
      <c r="R73" s="90">
        <f>_xlfn.MAXIFS(关卡产出!Y:Y,关卡产出!$A:$A,玩家节奏2!$N$6,关卡产出!$B:$B,玩家节奏2!$N73)+_xlfn.MAXIFS(关卡产出!Y:Y,关卡产出!$A:$A,玩家节奏2!$O$6,关卡产出!$B:$B,玩家节奏2!$O73)+_xlfn.MAXIFS(关卡产出!Y:Y,关卡产出!$A:$A,玩家节奏2!$P$6,关卡产出!$B:$B,玩家节奏2!$P73)</f>
        <v>11610000</v>
      </c>
      <c r="S73" s="90">
        <f>_xlfn.MAXIFS(关卡产出!Z:Z,关卡产出!$A:$A,玩家节奏2!$N$6,关卡产出!$B:$B,玩家节奏2!$N73)+_xlfn.MAXIFS(关卡产出!Z:Z,关卡产出!$A:$A,玩家节奏2!$O$6,关卡产出!$B:$B,玩家节奏2!$O73)+_xlfn.MAXIFS(关卡产出!Z:Z,关卡产出!$A:$A,玩家节奏2!$P$6,关卡产出!$B:$B,玩家节奏2!$P73)</f>
        <v>78866</v>
      </c>
      <c r="T73" s="90">
        <f>_xlfn.MAXIFS(关卡产出!AA:AA,关卡产出!$A:$A,玩家节奏2!$N$6,关卡产出!$B:$B,玩家节奏2!$N73)+_xlfn.MAXIFS(关卡产出!AA:AA,关卡产出!$A:$A,玩家节奏2!$O$6,关卡产出!$B:$B,玩家节奏2!$O73)+_xlfn.MAXIFS(关卡产出!AA:AA,关卡产出!$A:$A,玩家节奏2!$P$6,关卡产出!$B:$B,玩家节奏2!$P73)</f>
        <v>39434</v>
      </c>
      <c r="U73" s="90">
        <f>_xlfn.MAXIFS(关卡产出!AB:AB,关卡产出!$A:$A,玩家节奏2!$N$6,关卡产出!$B:$B,玩家节奏2!$N73)+_xlfn.MAXIFS(关卡产出!AB:AB,关卡产出!$A:$A,玩家节奏2!$O$6,关卡产出!$B:$B,玩家节奏2!$O73)+_xlfn.MAXIFS(关卡产出!AB:AB,关卡产出!$A:$A,玩家节奏2!$P$6,关卡产出!$B:$B,玩家节奏2!$P73)</f>
        <v>19113</v>
      </c>
      <c r="V73" s="130">
        <f>_xlfn.MAXIFS(关卡产出!AC:AC,关卡产出!$A:$A,玩家节奏2!$N$6,关卡产出!$B:$B,玩家节奏2!$N73)+_xlfn.MAXIFS(关卡产出!AC:AC,关卡产出!$A:$A,玩家节奏2!$O$6,关卡产出!$B:$B,玩家节奏2!$O73)+_xlfn.MAXIFS(关卡产出!AC:AC,关卡产出!$A:$A,玩家节奏2!$P$6,关卡产出!$B:$B,玩家节奏2!$P73)</f>
        <v>1200</v>
      </c>
      <c r="W73" s="126">
        <f>INDEX(关卡产出!C$8:C$207,MATCH(玩家节奏2!$N73,关卡产出!$B$8:$B$207,0))*$K73</f>
        <v>2528</v>
      </c>
      <c r="X73" s="126">
        <f>INDEX(关卡产出!D$8:D$207,MATCH(玩家节奏2!$N73,关卡产出!$B$8:$B$207,0))*$K73</f>
        <v>1264</v>
      </c>
      <c r="Y73" s="126">
        <f>INDEX(关卡产出!E$8:E$207,MATCH(玩家节奏2!$N73,关卡产出!$B$8:$B$207,0))*$K73</f>
        <v>624</v>
      </c>
      <c r="Z73" s="144">
        <f>INDEX(关卡产出!F$8:F$207,MATCH(玩家节奏2!$N73,关卡产出!$B$8:$B$207,0))*$K73</f>
        <v>32800</v>
      </c>
      <c r="AA73" s="126">
        <f>SUM(W$7:W73)</f>
        <v>111246</v>
      </c>
      <c r="AB73" s="126">
        <f>SUM(X$7:X73)</f>
        <v>55459</v>
      </c>
      <c r="AC73" s="126">
        <f>SUM(Y$7:Y73)</f>
        <v>27155</v>
      </c>
      <c r="AD73" s="177">
        <f>SUM(Z$7:Z73)</f>
        <v>1471130</v>
      </c>
      <c r="AE73" s="128">
        <f>INDEX(图鉴!AQ:AQ,MATCH($N73,图鉴!$S:$S,0))*34</f>
        <v>714</v>
      </c>
      <c r="AF73" s="90">
        <f>INDEX(图鉴!AR:AR,MATCH($N73,图鉴!$S:$S,0))*34</f>
        <v>510</v>
      </c>
      <c r="AG73" s="90">
        <f>INDEX(图鉴!AS:AS,MATCH($N73,图鉴!$S:$S,0))*34</f>
        <v>204</v>
      </c>
      <c r="AH73" s="129">
        <f ca="1">INDEX(图鉴!AT:AT,MATCH($N73,图鉴!$S:$S,0))*34</f>
        <v>55930</v>
      </c>
      <c r="AI73" s="128">
        <f>SUM($AE$7:AE73)</f>
        <v>45934</v>
      </c>
      <c r="AJ73" s="90">
        <f>SUM(AF$7:AF73)</f>
        <v>30702</v>
      </c>
      <c r="AK73" s="90">
        <f>SUM(AG$7:AG73)</f>
        <v>11730</v>
      </c>
      <c r="AL73" s="130">
        <f ca="1">SUM(AH$7:AH73)</f>
        <v>2917676</v>
      </c>
      <c r="AM73" s="133">
        <f>IF(M73=0,0,INDEX(关卡产出!$AU$11:$AU$15,MATCH(玩家节奏2!N73,关卡产出!$AW$11:$AW$15,1))*M73)</f>
        <v>61000</v>
      </c>
      <c r="AN73" s="126">
        <f>IF(L73=0,0,$L73*关卡产出!AU$21)</f>
        <v>16000</v>
      </c>
      <c r="AO73" s="90">
        <f>IF(M73=0,0,$L73*关卡产出!AV$21)</f>
        <v>800</v>
      </c>
      <c r="AP73" s="129">
        <f>IF(N73=0,0,$L73*关卡产出!AW$21)</f>
        <v>16</v>
      </c>
      <c r="AQ73" s="138">
        <f>SUM(AN$7:AN73)</f>
        <v>1024000</v>
      </c>
      <c r="AR73" s="126">
        <f>SUM(AO$7:AO73)</f>
        <v>51200</v>
      </c>
      <c r="AS73" s="129">
        <f>SUM(AP$7:AP73)</f>
        <v>1024</v>
      </c>
      <c r="AT73" s="128">
        <v>3000</v>
      </c>
      <c r="AU73" s="129">
        <v>600</v>
      </c>
      <c r="AV73" s="128">
        <f>SUM(AT$7:AT73)</f>
        <v>201000</v>
      </c>
      <c r="AW73" s="90">
        <f>SUM(AU$7:AU73)</f>
        <v>40200</v>
      </c>
      <c r="AY73" s="128">
        <f t="shared" si="91"/>
        <v>38500</v>
      </c>
      <c r="AZ73" s="90">
        <f t="shared" si="92"/>
        <v>51200</v>
      </c>
      <c r="BA73" s="90">
        <f t="shared" si="93"/>
        <v>40200</v>
      </c>
      <c r="BB73" s="90">
        <f t="shared" ref="BB73:BB136" ca="1" si="127">CL72</f>
        <v>29700</v>
      </c>
      <c r="BC73" s="90">
        <f t="shared" ca="1" si="60"/>
        <v>81975</v>
      </c>
      <c r="BD73" s="90">
        <f t="shared" ca="1" si="61"/>
        <v>77625</v>
      </c>
      <c r="BE73" s="90">
        <f t="shared" ca="1" si="94"/>
        <v>159600</v>
      </c>
      <c r="BF73" s="142">
        <f t="shared" ca="1" si="75"/>
        <v>0.46965538273863983</v>
      </c>
      <c r="BG73" s="142">
        <f t="shared" ca="1" si="76"/>
        <v>0.62458066483684049</v>
      </c>
      <c r="BH73" s="142">
        <f t="shared" ca="1" si="77"/>
        <v>0.49039341262580055</v>
      </c>
      <c r="BI73" s="142">
        <f t="shared" ca="1" si="95"/>
        <v>0.36230558096980786</v>
      </c>
      <c r="BJ73" s="143"/>
      <c r="BK73" s="128">
        <f ca="1">INDEX(商城宝箱!$L:$L,MATCH(BC73,商城宝箱!$N:$N,1))</f>
        <v>11</v>
      </c>
      <c r="BL73" s="90">
        <f ca="1">_xlfn.IFNA(INDEX(商城宝箱!T:T,MATCH(玩家节奏2!$BK73,商城宝箱!$L:$L,0)),0)+($BC73-INDEX(商城宝箱!$N:$N,MATCH(玩家节奏2!$BK73,商城宝箱!$L:$L,0)))/$BK$5*INDEX(商城宝箱!E$23:E$42,MATCH(玩家节奏2!$BK73+1,商城宝箱!$C$23:$C$42,0))</f>
        <v>204937.5</v>
      </c>
      <c r="BM73" s="90">
        <f ca="1">_xlfn.IFNA(INDEX(商城宝箱!U:U,MATCH(玩家节奏2!$BK73,商城宝箱!$L:$L,0)),0)+($BC73-INDEX(商城宝箱!$N:$N,MATCH(玩家节奏2!$BK73,商城宝箱!$L:$L,0)))/$BK$5*INDEX(商城宝箱!F$23:F$42,MATCH(玩家节奏2!$BK73+1,商城宝箱!$C$23:$C$42,0))</f>
        <v>177700</v>
      </c>
      <c r="BN73" s="90">
        <f ca="1">_xlfn.IFNA(INDEX(商城宝箱!V:V,MATCH(玩家节奏2!$BK73,商城宝箱!$L:$L,0)),0)+($BC73-INDEX(商城宝箱!$N:$N,MATCH(玩家节奏2!$BK73,商城宝箱!$L:$L,0)))/$BK$5*INDEX(商城宝箱!G$23:G$42,MATCH(玩家节奏2!$BK73+1,商城宝箱!$C$23:$C$42,0))</f>
        <v>95668.25</v>
      </c>
      <c r="BO73" s="90">
        <f ca="1">_xlfn.IFNA(INDEX(商城宝箱!W:W,MATCH(玩家节奏2!$BK73,商城宝箱!$L:$L,0)),0)+($BC73-INDEX(商城宝箱!$N:$N,MATCH(玩家节奏2!$BK73,商城宝箱!$L:$L,0)))/$BK$5*INDEX(商城宝箱!H$23:H$42,MATCH(玩家节奏2!$BK73+1,商城宝箱!$C$23:$C$42,0))</f>
        <v>14094</v>
      </c>
      <c r="BQ73" s="128">
        <f t="shared" si="79"/>
        <v>11610000</v>
      </c>
      <c r="BR73" s="90">
        <f t="shared" si="80"/>
        <v>1471130</v>
      </c>
      <c r="BS73" s="90">
        <f t="shared" ca="1" si="81"/>
        <v>2917676</v>
      </c>
      <c r="BT73" s="90">
        <f t="shared" si="82"/>
        <v>61000</v>
      </c>
      <c r="BU73" s="90">
        <f t="shared" si="83"/>
        <v>1024000</v>
      </c>
      <c r="BV73" s="90">
        <f t="shared" si="84"/>
        <v>201000</v>
      </c>
      <c r="BW73" s="90">
        <f t="shared" ca="1" si="96"/>
        <v>204937.5</v>
      </c>
      <c r="BX73" s="90">
        <f t="shared" ca="1" si="97"/>
        <v>17489743.5</v>
      </c>
      <c r="BY73" s="142">
        <f t="shared" ca="1" si="74"/>
        <v>0.66381762545574208</v>
      </c>
      <c r="BZ73" s="142">
        <f t="shared" ca="1" si="74"/>
        <v>8.4113869365780011E-2</v>
      </c>
      <c r="CA73" s="142">
        <f t="shared" ca="1" si="73"/>
        <v>0.16682211491552176</v>
      </c>
      <c r="CB73" s="142">
        <f t="shared" ca="1" si="73"/>
        <v>3.4877584110939077E-3</v>
      </c>
      <c r="CC73" s="142">
        <f t="shared" ca="1" si="73"/>
        <v>5.8548600212461666E-2</v>
      </c>
      <c r="CD73" s="142">
        <f t="shared" ca="1" si="73"/>
        <v>1.1492449846391401E-2</v>
      </c>
      <c r="CE73" s="142">
        <f t="shared" ca="1" si="73"/>
        <v>1.1717581793009142E-2</v>
      </c>
      <c r="CG73" s="128">
        <f t="shared" si="98"/>
        <v>200</v>
      </c>
      <c r="CH73" s="90">
        <f ca="1">INDEX(角色升级!$A:$A,MATCH(玩家节奏2!$BX73,角色升级!$J:$J,1))</f>
        <v>904</v>
      </c>
      <c r="CI73" s="90">
        <f ca="1">INDEX(角色升级!$O:$O,MATCH(玩家节奏2!$BX73,角色升级!$J:$J,1))</f>
        <v>70971.819764999993</v>
      </c>
      <c r="CJ73" s="90">
        <f>INDEX(关卡对比!$J:$J,MATCH(玩家节奏2!N73,关卡对比!$A:$A,0))</f>
        <v>86200</v>
      </c>
      <c r="CK73" s="147">
        <f t="shared" ca="1" si="99"/>
        <v>1.2145665742462735</v>
      </c>
      <c r="CL73" s="128">
        <f ca="1">INDEX(角色升级!$P:$P,MATCH(玩家节奏2!$CH73,角色升级!$A:$A,0))</f>
        <v>29700</v>
      </c>
      <c r="CM73" s="90">
        <f ca="1">INDEX(角色升级!Q:Q,MATCH(玩家节奏2!$CH73,角色升级!$A:$A,0))</f>
        <v>1.9</v>
      </c>
      <c r="CO73" s="128">
        <f t="shared" si="100"/>
        <v>78866</v>
      </c>
      <c r="CP73" s="90">
        <f t="shared" si="101"/>
        <v>111246</v>
      </c>
      <c r="CQ73" s="90">
        <f t="shared" si="102"/>
        <v>45934</v>
      </c>
      <c r="CR73" s="90">
        <f t="shared" ca="1" si="103"/>
        <v>177700</v>
      </c>
      <c r="CS73" s="90">
        <f t="shared" ca="1" si="104"/>
        <v>413746</v>
      </c>
      <c r="CT73" s="142">
        <f t="shared" ca="1" si="105"/>
        <v>0.19061453162084951</v>
      </c>
      <c r="CU73" s="142">
        <f t="shared" ca="1" si="105"/>
        <v>0.26887510694967443</v>
      </c>
      <c r="CV73" s="142">
        <f t="shared" ca="1" si="105"/>
        <v>0.11101980442106993</v>
      </c>
      <c r="CW73" s="142">
        <f t="shared" ca="1" si="105"/>
        <v>0.4294905570084061</v>
      </c>
      <c r="CY73" s="128">
        <f t="shared" si="106"/>
        <v>39434</v>
      </c>
      <c r="CZ73" s="90">
        <f t="shared" si="107"/>
        <v>55459</v>
      </c>
      <c r="DA73" s="90">
        <f t="shared" si="108"/>
        <v>30702</v>
      </c>
      <c r="DB73" s="90">
        <f t="shared" ref="DB73:DB136" ca="1" si="128">BN73</f>
        <v>95668.25</v>
      </c>
      <c r="DC73" s="90">
        <f t="shared" ca="1" si="109"/>
        <v>221263.25</v>
      </c>
      <c r="DD73" s="142">
        <f t="shared" ca="1" si="110"/>
        <v>0.17822209517396134</v>
      </c>
      <c r="DE73" s="142">
        <f t="shared" ca="1" si="110"/>
        <v>0.25064713638618252</v>
      </c>
      <c r="DF73" s="142">
        <f t="shared" ca="1" si="110"/>
        <v>0.13875779190624743</v>
      </c>
      <c r="DG73" s="142">
        <f t="shared" ca="1" si="110"/>
        <v>0.43237297653360873</v>
      </c>
      <c r="DI73" s="128">
        <f t="shared" si="111"/>
        <v>19113</v>
      </c>
      <c r="DJ73" s="90">
        <f t="shared" si="112"/>
        <v>27155</v>
      </c>
      <c r="DK73" s="90">
        <f t="shared" si="113"/>
        <v>11730</v>
      </c>
      <c r="DL73" s="90">
        <f t="shared" ca="1" si="114"/>
        <v>14094</v>
      </c>
      <c r="DM73" s="90">
        <f t="shared" ca="1" si="115"/>
        <v>72092</v>
      </c>
      <c r="DN73" s="142">
        <f t="shared" ca="1" si="116"/>
        <v>0.26511956943905013</v>
      </c>
      <c r="DO73" s="142">
        <f t="shared" ca="1" si="116"/>
        <v>0.37667147533706929</v>
      </c>
      <c r="DP73" s="142">
        <f t="shared" ca="1" si="116"/>
        <v>0.16270876102757587</v>
      </c>
      <c r="DQ73" s="142">
        <f t="shared" ca="1" si="116"/>
        <v>0.19550019419630471</v>
      </c>
      <c r="DS73" s="128">
        <f t="shared" ca="1" si="117"/>
        <v>413746</v>
      </c>
      <c r="DT73" s="90">
        <f t="shared" ca="1" si="118"/>
        <v>221263.25</v>
      </c>
      <c r="DU73" s="90">
        <f t="shared" ca="1" si="119"/>
        <v>72092</v>
      </c>
      <c r="DV73" s="90">
        <f t="shared" si="120"/>
        <v>1024</v>
      </c>
      <c r="DW73" s="90">
        <f ca="1">_xlfn.IFNA(INDEX(武器升级消耗!$H:$H,MATCH(玩家节奏2!DS73/玩家节奏2!DS$5,武器升级消耗!M:M,1)),0)</f>
        <v>56</v>
      </c>
      <c r="DX73" s="90">
        <f ca="1">_xlfn.IFNA(INDEX(武器升级消耗!$H:$H,MATCH(玩家节奏2!DT73/玩家节奏2!DT$5,武器升级消耗!N:N,1)),0)</f>
        <v>50</v>
      </c>
      <c r="DY73" s="90">
        <f ca="1">_xlfn.IFNA(INDEX(武器升级消耗!$H:$H,MATCH(玩家节奏2!DU73/玩家节奏2!DU$5,武器升级消耗!O:O,1)),0)</f>
        <v>37</v>
      </c>
      <c r="DZ73" s="90">
        <f>_xlfn.IFNA(INDEX(武器升级消耗!$H:$H,MATCH(玩家节奏2!DV73/玩家节奏2!DV$5,武器升级消耗!P:P,1)),0)</f>
        <v>23</v>
      </c>
      <c r="EA73" s="90">
        <f ca="1">_xlfn.IFNA(INDEX(武器升级消耗!$Q:$Q,MATCH(玩家节奏2!DW73,武器升级消耗!$H:$H,0))*2*EA$4,0)</f>
        <v>7.1999999999999993</v>
      </c>
      <c r="EB73" s="90">
        <f ca="1">_xlfn.IFNA(INDEX(武器升级消耗!$Q:$Q,MATCH(玩家节奏2!DX73,武器升级消耗!$H:$H,0))*2*EB$4,0)</f>
        <v>8.1000000000000014</v>
      </c>
      <c r="EC73" s="90">
        <f ca="1">_xlfn.IFNA(INDEX(武器升级消耗!$Q:$Q,MATCH(玩家节奏2!DY73,武器升级消耗!$H:$H,0))*2*EC$4,0)</f>
        <v>9.02</v>
      </c>
      <c r="ED73" s="90">
        <f>_xlfn.IFNA(INDEX(武器升级消耗!$Q:$Q,MATCH(玩家节奏2!DZ73,武器升级消耗!$H:$H,0))*2*ED$4,0)</f>
        <v>8.1000000000000014</v>
      </c>
      <c r="EF73" s="128">
        <f t="shared" si="85"/>
        <v>0</v>
      </c>
      <c r="EG73" s="90">
        <f t="shared" si="86"/>
        <v>0</v>
      </c>
      <c r="EH73" s="90">
        <v>201</v>
      </c>
      <c r="EI73" s="90">
        <v>201</v>
      </c>
      <c r="EJ73" s="90">
        <f>_xlfn.IFNA(INDEX(皮肤宠物!$J$4:$J$13,MATCH(EF73+EH73,皮肤宠物!$L$4:$L$13,1)),0)</f>
        <v>7</v>
      </c>
      <c r="EK73" s="90">
        <f>_xlfn.IFNA(INDEX(皮肤宠物!$J$4:$J$13,MATCH(EG73+EI73,皮肤宠物!$L$4:$L$13,1)),0)</f>
        <v>7</v>
      </c>
      <c r="EL73" s="90">
        <f>_xlfn.IFNA(INDEX(皮肤宠物!$N$4:$N$13,MATCH(EF73+EH73,皮肤宠物!$L$4:$L$13,1)),1)</f>
        <v>1.87</v>
      </c>
      <c r="EM73" s="90">
        <f>_xlfn.IFNA(INDEX(皮肤宠物!$N$4:$N$13,MATCH(EG73+EI73,皮肤宠物!$L$4:$L$13,1)),1)</f>
        <v>1.87</v>
      </c>
      <c r="EO73" s="128">
        <v>201</v>
      </c>
      <c r="EP73" s="90">
        <v>67</v>
      </c>
      <c r="EQ73" s="90">
        <f t="shared" ca="1" si="121"/>
        <v>77625</v>
      </c>
      <c r="ER73" s="90">
        <f t="shared" si="87"/>
        <v>0</v>
      </c>
      <c r="ES73" s="90">
        <f t="shared" ca="1" si="122"/>
        <v>843.25</v>
      </c>
      <c r="ET73" s="90">
        <f ca="1">$ES73*ET$5*皮肤宠物!$J$75/4</f>
        <v>2783.5682500000003</v>
      </c>
      <c r="EU73" s="90">
        <f ca="1">$ES73*EU$5*皮肤宠物!$J$76/4</f>
        <v>464.63075000000003</v>
      </c>
      <c r="EV73" s="90">
        <f ca="1">$ES73*EV$5*皮肤宠物!$J$77/4</f>
        <v>125.8550625</v>
      </c>
      <c r="EW73" s="90">
        <f ca="1">_xlfn.IFNA(INDEX(皮肤宠物!$H$18:$H$67,MATCH(ET73,皮肤宠物!L$18:L$67,1)),0)</f>
        <v>18</v>
      </c>
      <c r="EX73" s="90">
        <f ca="1">_xlfn.IFNA(INDEX(皮肤宠物!$H$18:$H$67,MATCH(EU73,皮肤宠物!M$18:M$67,1)),0)</f>
        <v>14</v>
      </c>
      <c r="EY73" s="90">
        <f ca="1">_xlfn.IFNA(INDEX(皮肤宠物!$H$18:$H$67,MATCH(EV73,皮肤宠物!N$18:N$67,1)),0)</f>
        <v>10</v>
      </c>
      <c r="EZ73" s="90">
        <f ca="1">_xlfn.IFNA(INDEX(皮肤宠物!C$18:C$67,MATCH(EW73,皮肤宠物!$A$18:$A$67,0))+1,1)</f>
        <v>1.18</v>
      </c>
      <c r="FA73" s="90">
        <f ca="1">_xlfn.IFNA(INDEX(皮肤宠物!D$18:D$67,MATCH(EX73,皮肤宠物!$A$18:$A$67,0))+1,1)</f>
        <v>1.28</v>
      </c>
      <c r="FB73" s="90">
        <f ca="1">_xlfn.IFNA(INDEX(皮肤宠物!E$18:E$67,MATCH(EY73,皮肤宠物!$A$18:$A$67,0))+1,1)</f>
        <v>1.4</v>
      </c>
      <c r="FD73" s="90">
        <f t="shared" ca="1" si="123"/>
        <v>9.02</v>
      </c>
      <c r="FE73" s="90">
        <f t="shared" si="124"/>
        <v>1.87</v>
      </c>
      <c r="FF73" s="90">
        <f t="shared" ca="1" si="125"/>
        <v>1.4</v>
      </c>
      <c r="FG73" s="90">
        <f t="shared" ca="1" si="126"/>
        <v>23.614359999999998</v>
      </c>
    </row>
    <row r="74" spans="1:163" x14ac:dyDescent="0.25">
      <c r="A74" s="123">
        <v>68</v>
      </c>
      <c r="B74" s="123">
        <f>INDEX(关卡对比!$Y:$Y,MATCH(关卡对比!Z74,关卡对比!$AA:$AA,1))</f>
        <v>47</v>
      </c>
      <c r="C74" s="124">
        <f>INDEX(关卡对比!$Y:$Y,MATCH(关卡对比!Z74,关卡对比!$AB:$AB,1))</f>
        <v>39</v>
      </c>
      <c r="D74" s="125">
        <f t="shared" si="63"/>
        <v>277.5</v>
      </c>
      <c r="E74" s="125">
        <v>2</v>
      </c>
      <c r="F74" s="128">
        <v>16</v>
      </c>
      <c r="G74" s="90">
        <v>16</v>
      </c>
      <c r="H74" s="90">
        <v>5</v>
      </c>
      <c r="J74" s="128">
        <v>68</v>
      </c>
      <c r="K74" s="90">
        <f t="shared" si="88"/>
        <v>16</v>
      </c>
      <c r="L74" s="90">
        <f t="shared" si="89"/>
        <v>16</v>
      </c>
      <c r="M74" s="90">
        <f t="shared" si="90"/>
        <v>5</v>
      </c>
      <c r="N74" s="140">
        <f>INDEX($A:$A,MATCH(SUM($K$7:K74),$D:$D,1))</f>
        <v>200</v>
      </c>
      <c r="O74" s="140">
        <v>0</v>
      </c>
      <c r="P74" s="141">
        <v>0</v>
      </c>
      <c r="Q74" s="126">
        <f>_xlfn.MAXIFS(关卡产出!X:X,关卡产出!$A:$A,玩家节奏2!$N$6,关卡产出!$B:$B,玩家节奏2!$N74)+_xlfn.MAXIFS(关卡产出!X:X,关卡产出!$A:$A,玩家节奏2!$O$6,关卡产出!$B:$B,玩家节奏2!$O74)+_xlfn.MAXIFS(关卡产出!X:X,关卡产出!$A:$A,玩家节奏2!$P$6,关卡产出!$B:$B,玩家节奏2!$P74)</f>
        <v>38500</v>
      </c>
      <c r="R74" s="90">
        <f>_xlfn.MAXIFS(关卡产出!Y:Y,关卡产出!$A:$A,玩家节奏2!$N$6,关卡产出!$B:$B,玩家节奏2!$N74)+_xlfn.MAXIFS(关卡产出!Y:Y,关卡产出!$A:$A,玩家节奏2!$O$6,关卡产出!$B:$B,玩家节奏2!$O74)+_xlfn.MAXIFS(关卡产出!Y:Y,关卡产出!$A:$A,玩家节奏2!$P$6,关卡产出!$B:$B,玩家节奏2!$P74)</f>
        <v>11610000</v>
      </c>
      <c r="S74" s="90">
        <f>_xlfn.MAXIFS(关卡产出!Z:Z,关卡产出!$A:$A,玩家节奏2!$N$6,关卡产出!$B:$B,玩家节奏2!$N74)+_xlfn.MAXIFS(关卡产出!Z:Z,关卡产出!$A:$A,玩家节奏2!$O$6,关卡产出!$B:$B,玩家节奏2!$O74)+_xlfn.MAXIFS(关卡产出!Z:Z,关卡产出!$A:$A,玩家节奏2!$P$6,关卡产出!$B:$B,玩家节奏2!$P74)</f>
        <v>78866</v>
      </c>
      <c r="T74" s="90">
        <f>_xlfn.MAXIFS(关卡产出!AA:AA,关卡产出!$A:$A,玩家节奏2!$N$6,关卡产出!$B:$B,玩家节奏2!$N74)+_xlfn.MAXIFS(关卡产出!AA:AA,关卡产出!$A:$A,玩家节奏2!$O$6,关卡产出!$B:$B,玩家节奏2!$O74)+_xlfn.MAXIFS(关卡产出!AA:AA,关卡产出!$A:$A,玩家节奏2!$P$6,关卡产出!$B:$B,玩家节奏2!$P74)</f>
        <v>39434</v>
      </c>
      <c r="U74" s="90">
        <f>_xlfn.MAXIFS(关卡产出!AB:AB,关卡产出!$A:$A,玩家节奏2!$N$6,关卡产出!$B:$B,玩家节奏2!$N74)+_xlfn.MAXIFS(关卡产出!AB:AB,关卡产出!$A:$A,玩家节奏2!$O$6,关卡产出!$B:$B,玩家节奏2!$O74)+_xlfn.MAXIFS(关卡产出!AB:AB,关卡产出!$A:$A,玩家节奏2!$P$6,关卡产出!$B:$B,玩家节奏2!$P74)</f>
        <v>19113</v>
      </c>
      <c r="V74" s="130">
        <f>_xlfn.MAXIFS(关卡产出!AC:AC,关卡产出!$A:$A,玩家节奏2!$N$6,关卡产出!$B:$B,玩家节奏2!$N74)+_xlfn.MAXIFS(关卡产出!AC:AC,关卡产出!$A:$A,玩家节奏2!$O$6,关卡产出!$B:$B,玩家节奏2!$O74)+_xlfn.MAXIFS(关卡产出!AC:AC,关卡产出!$A:$A,玩家节奏2!$P$6,关卡产出!$B:$B,玩家节奏2!$P74)</f>
        <v>1200</v>
      </c>
      <c r="W74" s="126">
        <f>INDEX(关卡产出!C$8:C$207,MATCH(玩家节奏2!$N74,关卡产出!$B$8:$B$207,0))*$K74</f>
        <v>2528</v>
      </c>
      <c r="X74" s="126">
        <f>INDEX(关卡产出!D$8:D$207,MATCH(玩家节奏2!$N74,关卡产出!$B$8:$B$207,0))*$K74</f>
        <v>1264</v>
      </c>
      <c r="Y74" s="126">
        <f>INDEX(关卡产出!E$8:E$207,MATCH(玩家节奏2!$N74,关卡产出!$B$8:$B$207,0))*$K74</f>
        <v>624</v>
      </c>
      <c r="Z74" s="144">
        <f>INDEX(关卡产出!F$8:F$207,MATCH(玩家节奏2!$N74,关卡产出!$B$8:$B$207,0))*$K74</f>
        <v>32800</v>
      </c>
      <c r="AA74" s="126">
        <f>SUM(W$7:W74)</f>
        <v>113774</v>
      </c>
      <c r="AB74" s="126">
        <f>SUM(X$7:X74)</f>
        <v>56723</v>
      </c>
      <c r="AC74" s="126">
        <f>SUM(Y$7:Y74)</f>
        <v>27779</v>
      </c>
      <c r="AD74" s="177">
        <f>SUM(Z$7:Z74)</f>
        <v>1503930</v>
      </c>
      <c r="AE74" s="128">
        <f>INDEX(图鉴!AQ:AQ,MATCH($N74,图鉴!$S:$S,0))*34</f>
        <v>714</v>
      </c>
      <c r="AF74" s="90">
        <f>INDEX(图鉴!AR:AR,MATCH($N74,图鉴!$S:$S,0))*34</f>
        <v>510</v>
      </c>
      <c r="AG74" s="90">
        <f>INDEX(图鉴!AS:AS,MATCH($N74,图鉴!$S:$S,0))*34</f>
        <v>204</v>
      </c>
      <c r="AH74" s="129">
        <f ca="1">INDEX(图鉴!AT:AT,MATCH($N74,图鉴!$S:$S,0))*34</f>
        <v>55930</v>
      </c>
      <c r="AI74" s="128">
        <f>SUM($AE$7:AE74)</f>
        <v>46648</v>
      </c>
      <c r="AJ74" s="90">
        <f>SUM(AF$7:AF74)</f>
        <v>31212</v>
      </c>
      <c r="AK74" s="90">
        <f>SUM(AG$7:AG74)</f>
        <v>11934</v>
      </c>
      <c r="AL74" s="130">
        <f ca="1">SUM(AH$7:AH74)</f>
        <v>2973606</v>
      </c>
      <c r="AM74" s="133">
        <f>IF(M74=0,0,INDEX(关卡产出!$AU$11:$AU$15,MATCH(玩家节奏2!N74,关卡产出!$AW$11:$AW$15,1))*M74)</f>
        <v>61000</v>
      </c>
      <c r="AN74" s="126">
        <f>IF(L74=0,0,$L74*关卡产出!AU$21)</f>
        <v>16000</v>
      </c>
      <c r="AO74" s="90">
        <f>IF(M74=0,0,$L74*关卡产出!AV$21)</f>
        <v>800</v>
      </c>
      <c r="AP74" s="129">
        <f>IF(N74=0,0,$L74*关卡产出!AW$21)</f>
        <v>16</v>
      </c>
      <c r="AQ74" s="138">
        <f>SUM(AN$7:AN74)</f>
        <v>1040000</v>
      </c>
      <c r="AR74" s="126">
        <f>SUM(AO$7:AO74)</f>
        <v>52000</v>
      </c>
      <c r="AS74" s="129">
        <f>SUM(AP$7:AP74)</f>
        <v>1040</v>
      </c>
      <c r="AT74" s="128">
        <v>3000</v>
      </c>
      <c r="AU74" s="129">
        <v>600</v>
      </c>
      <c r="AV74" s="128">
        <f>SUM(AT$7:AT74)</f>
        <v>204000</v>
      </c>
      <c r="AW74" s="90">
        <f>SUM(AU$7:AU74)</f>
        <v>40800</v>
      </c>
      <c r="AY74" s="128">
        <f t="shared" si="91"/>
        <v>38500</v>
      </c>
      <c r="AZ74" s="90">
        <f t="shared" si="92"/>
        <v>52000</v>
      </c>
      <c r="BA74" s="90">
        <f t="shared" si="93"/>
        <v>40800</v>
      </c>
      <c r="BB74" s="90">
        <f t="shared" ca="1" si="127"/>
        <v>29700</v>
      </c>
      <c r="BC74" s="90">
        <f t="shared" ca="1" si="60"/>
        <v>82675</v>
      </c>
      <c r="BD74" s="90">
        <f t="shared" ca="1" si="61"/>
        <v>78325</v>
      </c>
      <c r="BE74" s="90">
        <f t="shared" ca="1" si="94"/>
        <v>161000</v>
      </c>
      <c r="BF74" s="142">
        <f t="shared" ca="1" si="75"/>
        <v>0.46567886301784095</v>
      </c>
      <c r="BG74" s="142">
        <f t="shared" ca="1" si="76"/>
        <v>0.62896885394617474</v>
      </c>
      <c r="BH74" s="142">
        <f t="shared" ca="1" si="77"/>
        <v>0.49349863925007559</v>
      </c>
      <c r="BI74" s="142">
        <f t="shared" ca="1" si="95"/>
        <v>0.35923798004233443</v>
      </c>
      <c r="BJ74" s="143"/>
      <c r="BK74" s="128">
        <f ca="1">INDEX(商城宝箱!$L:$L,MATCH(BC74,商城宝箱!$N:$N,1))</f>
        <v>11</v>
      </c>
      <c r="BL74" s="90">
        <f ca="1">_xlfn.IFNA(INDEX(商城宝箱!T:T,MATCH(玩家节奏2!$BK74,商城宝箱!$L:$L,0)),0)+($BC74-INDEX(商城宝箱!$N:$N,MATCH(玩家节奏2!$BK74,商城宝箱!$L:$L,0)))/$BK$5*INDEX(商城宝箱!E$23:E$42,MATCH(玩家节奏2!$BK74+1,商城宝箱!$C$23:$C$42,0))</f>
        <v>206687.5</v>
      </c>
      <c r="BM74" s="90">
        <f ca="1">_xlfn.IFNA(INDEX(商城宝箱!U:U,MATCH(玩家节奏2!$BK74,商城宝箱!$L:$L,0)),0)+($BC74-INDEX(商城宝箱!$N:$N,MATCH(玩家节奏2!$BK74,商城宝箱!$L:$L,0)))/$BK$5*INDEX(商城宝箱!F$23:F$42,MATCH(玩家节奏2!$BK74+1,商城宝箱!$C$23:$C$42,0))</f>
        <v>180290</v>
      </c>
      <c r="BN74" s="90">
        <f ca="1">_xlfn.IFNA(INDEX(商城宝箱!V:V,MATCH(玩家节奏2!$BK74,商城宝箱!$L:$L,0)),0)+($BC74-INDEX(商城宝箱!$N:$N,MATCH(玩家节奏2!$BK74,商城宝箱!$L:$L,0)))/$BK$5*INDEX(商城宝箱!G$23:G$42,MATCH(玩家节奏2!$BK74+1,商城宝箱!$C$23:$C$42,0))</f>
        <v>96893.25</v>
      </c>
      <c r="BO74" s="90">
        <f ca="1">_xlfn.IFNA(INDEX(商城宝箱!W:W,MATCH(玩家节奏2!$BK74,商城宝箱!$L:$L,0)),0)+($BC74-INDEX(商城宝箱!$N:$N,MATCH(玩家节奏2!$BK74,商城宝箱!$L:$L,0)))/$BK$5*INDEX(商城宝箱!H$23:H$42,MATCH(玩家节奏2!$BK74+1,商城宝箱!$C$23:$C$42,0))</f>
        <v>14304</v>
      </c>
      <c r="BQ74" s="128">
        <f t="shared" si="79"/>
        <v>11610000</v>
      </c>
      <c r="BR74" s="90">
        <f t="shared" si="80"/>
        <v>1503930</v>
      </c>
      <c r="BS74" s="90">
        <f t="shared" ca="1" si="81"/>
        <v>2973606</v>
      </c>
      <c r="BT74" s="90">
        <f t="shared" si="82"/>
        <v>61000</v>
      </c>
      <c r="BU74" s="90">
        <f t="shared" si="83"/>
        <v>1040000</v>
      </c>
      <c r="BV74" s="90">
        <f t="shared" si="84"/>
        <v>204000</v>
      </c>
      <c r="BW74" s="90">
        <f t="shared" ca="1" si="96"/>
        <v>206687.5</v>
      </c>
      <c r="BX74" s="90">
        <f t="shared" ca="1" si="97"/>
        <v>17599223.5</v>
      </c>
      <c r="BY74" s="142">
        <f t="shared" ca="1" si="74"/>
        <v>0.65968819590250671</v>
      </c>
      <c r="BZ74" s="142">
        <f t="shared" ca="1" si="74"/>
        <v>8.5454338368962698E-2</v>
      </c>
      <c r="CA74" s="142">
        <f t="shared" ca="1" si="73"/>
        <v>0.16896234086691381</v>
      </c>
      <c r="CB74" s="142">
        <f t="shared" ca="1" si="73"/>
        <v>3.466062011201801E-3</v>
      </c>
      <c r="CC74" s="142">
        <f t="shared" ca="1" si="73"/>
        <v>5.9093516256555297E-2</v>
      </c>
      <c r="CD74" s="142">
        <f t="shared" ca="1" si="73"/>
        <v>1.1591420496478154E-2</v>
      </c>
      <c r="CE74" s="142">
        <f t="shared" ca="1" si="73"/>
        <v>1.1744126097381513E-2</v>
      </c>
      <c r="CG74" s="128">
        <f t="shared" si="98"/>
        <v>200</v>
      </c>
      <c r="CH74" s="90">
        <f ca="1">INDEX(角色升级!$A:$A,MATCH(玩家节奏2!$BX74,角色升级!$J:$J,1))</f>
        <v>906</v>
      </c>
      <c r="CI74" s="90">
        <f ca="1">INDEX(角色升级!$O:$O,MATCH(玩家节奏2!$BX74,角色升级!$J:$J,1))</f>
        <v>71897.604074999996</v>
      </c>
      <c r="CJ74" s="90">
        <f>INDEX(关卡对比!$J:$J,MATCH(玩家节奏2!N74,关卡对比!$A:$A,0))</f>
        <v>86200</v>
      </c>
      <c r="CK74" s="147">
        <f t="shared" ca="1" si="99"/>
        <v>1.1989272954086267</v>
      </c>
      <c r="CL74" s="128">
        <f ca="1">INDEX(角色升级!$P:$P,MATCH(玩家节奏2!$CH74,角色升级!$A:$A,0))</f>
        <v>29700</v>
      </c>
      <c r="CM74" s="90">
        <f ca="1">INDEX(角色升级!Q:Q,MATCH(玩家节奏2!$CH74,角色升级!$A:$A,0))</f>
        <v>1.9</v>
      </c>
      <c r="CO74" s="128">
        <f t="shared" si="100"/>
        <v>78866</v>
      </c>
      <c r="CP74" s="90">
        <f t="shared" si="101"/>
        <v>113774</v>
      </c>
      <c r="CQ74" s="90">
        <f t="shared" si="102"/>
        <v>46648</v>
      </c>
      <c r="CR74" s="90">
        <f t="shared" ca="1" si="103"/>
        <v>180290</v>
      </c>
      <c r="CS74" s="90">
        <f t="shared" ca="1" si="104"/>
        <v>419578</v>
      </c>
      <c r="CT74" s="142">
        <f t="shared" ca="1" si="105"/>
        <v>0.18796505059845844</v>
      </c>
      <c r="CU74" s="142">
        <f t="shared" ca="1" si="105"/>
        <v>0.27116293037289846</v>
      </c>
      <c r="CV74" s="142">
        <f t="shared" ca="1" si="105"/>
        <v>0.1111783744619594</v>
      </c>
      <c r="CW74" s="142">
        <f t="shared" ca="1" si="105"/>
        <v>0.42969364456668369</v>
      </c>
      <c r="CY74" s="128">
        <f t="shared" si="106"/>
        <v>39434</v>
      </c>
      <c r="CZ74" s="90">
        <f t="shared" si="107"/>
        <v>56723</v>
      </c>
      <c r="DA74" s="90">
        <f t="shared" si="108"/>
        <v>31212</v>
      </c>
      <c r="DB74" s="90">
        <f t="shared" ca="1" si="128"/>
        <v>96893.25</v>
      </c>
      <c r="DC74" s="90">
        <f t="shared" ca="1" si="109"/>
        <v>224262.25</v>
      </c>
      <c r="DD74" s="142">
        <f t="shared" ca="1" si="110"/>
        <v>0.17583877803776604</v>
      </c>
      <c r="DE74" s="142">
        <f t="shared" ca="1" si="110"/>
        <v>0.25293155669311262</v>
      </c>
      <c r="DF74" s="142">
        <f t="shared" ca="1" si="110"/>
        <v>0.13917634376717436</v>
      </c>
      <c r="DG74" s="142">
        <f t="shared" ca="1" si="110"/>
        <v>0.43205332150194692</v>
      </c>
      <c r="DI74" s="128">
        <f t="shared" si="111"/>
        <v>19113</v>
      </c>
      <c r="DJ74" s="90">
        <f t="shared" si="112"/>
        <v>27779</v>
      </c>
      <c r="DK74" s="90">
        <f t="shared" si="113"/>
        <v>11934</v>
      </c>
      <c r="DL74" s="90">
        <f t="shared" ca="1" si="114"/>
        <v>14304</v>
      </c>
      <c r="DM74" s="90">
        <f t="shared" ca="1" si="115"/>
        <v>73130</v>
      </c>
      <c r="DN74" s="142">
        <f t="shared" ca="1" si="116"/>
        <v>0.26135648844523451</v>
      </c>
      <c r="DO74" s="142">
        <f t="shared" ca="1" si="116"/>
        <v>0.37985778750170929</v>
      </c>
      <c r="DP74" s="142">
        <f t="shared" ca="1" si="116"/>
        <v>0.16318884178859566</v>
      </c>
      <c r="DQ74" s="142">
        <f t="shared" ca="1" si="116"/>
        <v>0.19559688226446054</v>
      </c>
      <c r="DS74" s="128">
        <f t="shared" ca="1" si="117"/>
        <v>419578</v>
      </c>
      <c r="DT74" s="90">
        <f t="shared" ca="1" si="118"/>
        <v>224262.25</v>
      </c>
      <c r="DU74" s="90">
        <f t="shared" ca="1" si="119"/>
        <v>73130</v>
      </c>
      <c r="DV74" s="90">
        <f t="shared" si="120"/>
        <v>1040</v>
      </c>
      <c r="DW74" s="90">
        <f ca="1">_xlfn.IFNA(INDEX(武器升级消耗!$H:$H,MATCH(玩家节奏2!DS74/玩家节奏2!DS$5,武器升级消耗!M:M,1)),0)</f>
        <v>57</v>
      </c>
      <c r="DX74" s="90">
        <f ca="1">_xlfn.IFNA(INDEX(武器升级消耗!$H:$H,MATCH(玩家节奏2!DT74/玩家节奏2!DT$5,武器升级消耗!N:N,1)),0)</f>
        <v>50</v>
      </c>
      <c r="DY74" s="90">
        <f ca="1">_xlfn.IFNA(INDEX(武器升级消耗!$H:$H,MATCH(玩家节奏2!DU74/玩家节奏2!DU$5,武器升级消耗!O:O,1)),0)</f>
        <v>37</v>
      </c>
      <c r="DZ74" s="90">
        <f>_xlfn.IFNA(INDEX(武器升级消耗!$H:$H,MATCH(玩家节奏2!DV74/玩家节奏2!DV$5,武器升级消耗!P:P,1)),0)</f>
        <v>23</v>
      </c>
      <c r="EA74" s="90">
        <f ca="1">_xlfn.IFNA(INDEX(武器升级消耗!$Q:$Q,MATCH(玩家节奏2!DW74,武器升级消耗!$H:$H,0))*2*EA$4,0)</f>
        <v>7.3199999999999994</v>
      </c>
      <c r="EB74" s="90">
        <f ca="1">_xlfn.IFNA(INDEX(武器升级消耗!$Q:$Q,MATCH(玩家节奏2!DX74,武器升级消耗!$H:$H,0))*2*EB$4,0)</f>
        <v>8.1000000000000014</v>
      </c>
      <c r="EC74" s="90">
        <f ca="1">_xlfn.IFNA(INDEX(武器升级消耗!$Q:$Q,MATCH(玩家节奏2!DY74,武器升级消耗!$H:$H,0))*2*EC$4,0)</f>
        <v>9.02</v>
      </c>
      <c r="ED74" s="90">
        <f>_xlfn.IFNA(INDEX(武器升级消耗!$Q:$Q,MATCH(玩家节奏2!DZ74,武器升级消耗!$H:$H,0))*2*ED$4,0)</f>
        <v>8.1000000000000014</v>
      </c>
      <c r="EF74" s="128">
        <f t="shared" si="85"/>
        <v>0</v>
      </c>
      <c r="EG74" s="90">
        <f t="shared" si="86"/>
        <v>0</v>
      </c>
      <c r="EH74" s="90">
        <v>204</v>
      </c>
      <c r="EI74" s="90">
        <v>204</v>
      </c>
      <c r="EJ74" s="90">
        <f>_xlfn.IFNA(INDEX(皮肤宠物!$J$4:$J$13,MATCH(EF74+EH74,皮肤宠物!$L$4:$L$13,1)),0)</f>
        <v>7</v>
      </c>
      <c r="EK74" s="90">
        <f>_xlfn.IFNA(INDEX(皮肤宠物!$J$4:$J$13,MATCH(EG74+EI74,皮肤宠物!$L$4:$L$13,1)),0)</f>
        <v>7</v>
      </c>
      <c r="EL74" s="90">
        <f>_xlfn.IFNA(INDEX(皮肤宠物!$N$4:$N$13,MATCH(EF74+EH74,皮肤宠物!$L$4:$L$13,1)),1)</f>
        <v>1.87</v>
      </c>
      <c r="EM74" s="90">
        <f>_xlfn.IFNA(INDEX(皮肤宠物!$N$4:$N$13,MATCH(EG74+EI74,皮肤宠物!$L$4:$L$13,1)),1)</f>
        <v>1.87</v>
      </c>
      <c r="EO74" s="128">
        <v>204</v>
      </c>
      <c r="EP74" s="90">
        <v>68</v>
      </c>
      <c r="EQ74" s="90">
        <f t="shared" ca="1" si="121"/>
        <v>78325</v>
      </c>
      <c r="ER74" s="90">
        <f t="shared" si="87"/>
        <v>0</v>
      </c>
      <c r="ES74" s="90">
        <f t="shared" ca="1" si="122"/>
        <v>851.25</v>
      </c>
      <c r="ET74" s="90">
        <f ca="1">$ES74*ET$5*皮肤宠物!$J$75/4</f>
        <v>2809.9762500000002</v>
      </c>
      <c r="EU74" s="90">
        <f ca="1">$ES74*EU$5*皮肤宠物!$J$76/4</f>
        <v>469.03875000000005</v>
      </c>
      <c r="EV74" s="90">
        <f ca="1">$ES74*EV$5*皮肤宠物!$J$77/4</f>
        <v>127.04906250000001</v>
      </c>
      <c r="EW74" s="90">
        <f ca="1">_xlfn.IFNA(INDEX(皮肤宠物!$H$18:$H$67,MATCH(ET74,皮肤宠物!L$18:L$67,1)),0)</f>
        <v>18</v>
      </c>
      <c r="EX74" s="90">
        <f ca="1">_xlfn.IFNA(INDEX(皮肤宠物!$H$18:$H$67,MATCH(EU74,皮肤宠物!M$18:M$67,1)),0)</f>
        <v>14</v>
      </c>
      <c r="EY74" s="90">
        <f ca="1">_xlfn.IFNA(INDEX(皮肤宠物!$H$18:$H$67,MATCH(EV74,皮肤宠物!N$18:N$67,1)),0)</f>
        <v>10</v>
      </c>
      <c r="EZ74" s="90">
        <f ca="1">_xlfn.IFNA(INDEX(皮肤宠物!C$18:C$67,MATCH(EW74,皮肤宠物!$A$18:$A$67,0))+1,1)</f>
        <v>1.18</v>
      </c>
      <c r="FA74" s="90">
        <f ca="1">_xlfn.IFNA(INDEX(皮肤宠物!D$18:D$67,MATCH(EX74,皮肤宠物!$A$18:$A$67,0))+1,1)</f>
        <v>1.28</v>
      </c>
      <c r="FB74" s="90">
        <f ca="1">_xlfn.IFNA(INDEX(皮肤宠物!E$18:E$67,MATCH(EY74,皮肤宠物!$A$18:$A$67,0))+1,1)</f>
        <v>1.4</v>
      </c>
      <c r="FD74" s="90">
        <f t="shared" ca="1" si="123"/>
        <v>9.02</v>
      </c>
      <c r="FE74" s="90">
        <f t="shared" si="124"/>
        <v>1.87</v>
      </c>
      <c r="FF74" s="90">
        <f t="shared" ca="1" si="125"/>
        <v>1.4</v>
      </c>
      <c r="FG74" s="90">
        <f t="shared" ca="1" si="126"/>
        <v>23.614359999999998</v>
      </c>
    </row>
    <row r="75" spans="1:163" x14ac:dyDescent="0.25">
      <c r="A75" s="123">
        <v>69</v>
      </c>
      <c r="B75" s="123">
        <f>INDEX(关卡对比!$Y:$Y,MATCH(关卡对比!Z75,关卡对比!$AA:$AA,1))</f>
        <v>48</v>
      </c>
      <c r="C75" s="124">
        <f>INDEX(关卡对比!$Y:$Y,MATCH(关卡对比!Z75,关卡对比!$AB:$AB,1))</f>
        <v>39</v>
      </c>
      <c r="D75" s="125">
        <f t="shared" si="63"/>
        <v>281.5</v>
      </c>
      <c r="E75" s="125">
        <v>2</v>
      </c>
      <c r="F75" s="128">
        <v>16</v>
      </c>
      <c r="G75" s="90">
        <v>16</v>
      </c>
      <c r="H75" s="90">
        <v>5</v>
      </c>
      <c r="J75" s="128">
        <v>69</v>
      </c>
      <c r="K75" s="90">
        <f t="shared" si="88"/>
        <v>16</v>
      </c>
      <c r="L75" s="90">
        <f t="shared" si="89"/>
        <v>16</v>
      </c>
      <c r="M75" s="90">
        <f t="shared" si="90"/>
        <v>5</v>
      </c>
      <c r="N75" s="140">
        <f>INDEX($A:$A,MATCH(SUM($K$7:K75),$D:$D,1))</f>
        <v>200</v>
      </c>
      <c r="O75" s="140">
        <v>0</v>
      </c>
      <c r="P75" s="141">
        <v>0</v>
      </c>
      <c r="Q75" s="126">
        <f>_xlfn.MAXIFS(关卡产出!X:X,关卡产出!$A:$A,玩家节奏2!$N$6,关卡产出!$B:$B,玩家节奏2!$N75)+_xlfn.MAXIFS(关卡产出!X:X,关卡产出!$A:$A,玩家节奏2!$O$6,关卡产出!$B:$B,玩家节奏2!$O75)+_xlfn.MAXIFS(关卡产出!X:X,关卡产出!$A:$A,玩家节奏2!$P$6,关卡产出!$B:$B,玩家节奏2!$P75)</f>
        <v>38500</v>
      </c>
      <c r="R75" s="90">
        <f>_xlfn.MAXIFS(关卡产出!Y:Y,关卡产出!$A:$A,玩家节奏2!$N$6,关卡产出!$B:$B,玩家节奏2!$N75)+_xlfn.MAXIFS(关卡产出!Y:Y,关卡产出!$A:$A,玩家节奏2!$O$6,关卡产出!$B:$B,玩家节奏2!$O75)+_xlfn.MAXIFS(关卡产出!Y:Y,关卡产出!$A:$A,玩家节奏2!$P$6,关卡产出!$B:$B,玩家节奏2!$P75)</f>
        <v>11610000</v>
      </c>
      <c r="S75" s="90">
        <f>_xlfn.MAXIFS(关卡产出!Z:Z,关卡产出!$A:$A,玩家节奏2!$N$6,关卡产出!$B:$B,玩家节奏2!$N75)+_xlfn.MAXIFS(关卡产出!Z:Z,关卡产出!$A:$A,玩家节奏2!$O$6,关卡产出!$B:$B,玩家节奏2!$O75)+_xlfn.MAXIFS(关卡产出!Z:Z,关卡产出!$A:$A,玩家节奏2!$P$6,关卡产出!$B:$B,玩家节奏2!$P75)</f>
        <v>78866</v>
      </c>
      <c r="T75" s="90">
        <f>_xlfn.MAXIFS(关卡产出!AA:AA,关卡产出!$A:$A,玩家节奏2!$N$6,关卡产出!$B:$B,玩家节奏2!$N75)+_xlfn.MAXIFS(关卡产出!AA:AA,关卡产出!$A:$A,玩家节奏2!$O$6,关卡产出!$B:$B,玩家节奏2!$O75)+_xlfn.MAXIFS(关卡产出!AA:AA,关卡产出!$A:$A,玩家节奏2!$P$6,关卡产出!$B:$B,玩家节奏2!$P75)</f>
        <v>39434</v>
      </c>
      <c r="U75" s="90">
        <f>_xlfn.MAXIFS(关卡产出!AB:AB,关卡产出!$A:$A,玩家节奏2!$N$6,关卡产出!$B:$B,玩家节奏2!$N75)+_xlfn.MAXIFS(关卡产出!AB:AB,关卡产出!$A:$A,玩家节奏2!$O$6,关卡产出!$B:$B,玩家节奏2!$O75)+_xlfn.MAXIFS(关卡产出!AB:AB,关卡产出!$A:$A,玩家节奏2!$P$6,关卡产出!$B:$B,玩家节奏2!$P75)</f>
        <v>19113</v>
      </c>
      <c r="V75" s="130">
        <f>_xlfn.MAXIFS(关卡产出!AC:AC,关卡产出!$A:$A,玩家节奏2!$N$6,关卡产出!$B:$B,玩家节奏2!$N75)+_xlfn.MAXIFS(关卡产出!AC:AC,关卡产出!$A:$A,玩家节奏2!$O$6,关卡产出!$B:$B,玩家节奏2!$O75)+_xlfn.MAXIFS(关卡产出!AC:AC,关卡产出!$A:$A,玩家节奏2!$P$6,关卡产出!$B:$B,玩家节奏2!$P75)</f>
        <v>1200</v>
      </c>
      <c r="W75" s="126">
        <f>INDEX(关卡产出!C$8:C$207,MATCH(玩家节奏2!$N75,关卡产出!$B$8:$B$207,0))*$K75</f>
        <v>2528</v>
      </c>
      <c r="X75" s="126">
        <f>INDEX(关卡产出!D$8:D$207,MATCH(玩家节奏2!$N75,关卡产出!$B$8:$B$207,0))*$K75</f>
        <v>1264</v>
      </c>
      <c r="Y75" s="126">
        <f>INDEX(关卡产出!E$8:E$207,MATCH(玩家节奏2!$N75,关卡产出!$B$8:$B$207,0))*$K75</f>
        <v>624</v>
      </c>
      <c r="Z75" s="144">
        <f>INDEX(关卡产出!F$8:F$207,MATCH(玩家节奏2!$N75,关卡产出!$B$8:$B$207,0))*$K75</f>
        <v>32800</v>
      </c>
      <c r="AA75" s="126">
        <f>SUM(W$7:W75)</f>
        <v>116302</v>
      </c>
      <c r="AB75" s="126">
        <f>SUM(X$7:X75)</f>
        <v>57987</v>
      </c>
      <c r="AC75" s="126">
        <f>SUM(Y$7:Y75)</f>
        <v>28403</v>
      </c>
      <c r="AD75" s="177">
        <f>SUM(Z$7:Z75)</f>
        <v>1536730</v>
      </c>
      <c r="AE75" s="128">
        <f>INDEX(图鉴!AQ:AQ,MATCH($N75,图鉴!$S:$S,0))*34</f>
        <v>714</v>
      </c>
      <c r="AF75" s="90">
        <f>INDEX(图鉴!AR:AR,MATCH($N75,图鉴!$S:$S,0))*34</f>
        <v>510</v>
      </c>
      <c r="AG75" s="90">
        <f>INDEX(图鉴!AS:AS,MATCH($N75,图鉴!$S:$S,0))*34</f>
        <v>204</v>
      </c>
      <c r="AH75" s="129">
        <f ca="1">INDEX(图鉴!AT:AT,MATCH($N75,图鉴!$S:$S,0))*34</f>
        <v>55930</v>
      </c>
      <c r="AI75" s="128">
        <f>SUM($AE$7:AE75)</f>
        <v>47362</v>
      </c>
      <c r="AJ75" s="90">
        <f>SUM(AF$7:AF75)</f>
        <v>31722</v>
      </c>
      <c r="AK75" s="90">
        <f>SUM(AG$7:AG75)</f>
        <v>12138</v>
      </c>
      <c r="AL75" s="130">
        <f ca="1">SUM(AH$7:AH75)</f>
        <v>3029536</v>
      </c>
      <c r="AM75" s="133">
        <f>IF(M75=0,0,INDEX(关卡产出!$AU$11:$AU$15,MATCH(玩家节奏2!N75,关卡产出!$AW$11:$AW$15,1))*M75)</f>
        <v>61000</v>
      </c>
      <c r="AN75" s="126">
        <f>IF(L75=0,0,$L75*关卡产出!AU$21)</f>
        <v>16000</v>
      </c>
      <c r="AO75" s="90">
        <f>IF(M75=0,0,$L75*关卡产出!AV$21)</f>
        <v>800</v>
      </c>
      <c r="AP75" s="129">
        <f>IF(N75=0,0,$L75*关卡产出!AW$21)</f>
        <v>16</v>
      </c>
      <c r="AQ75" s="138">
        <f>SUM(AN$7:AN75)</f>
        <v>1056000</v>
      </c>
      <c r="AR75" s="126">
        <f>SUM(AO$7:AO75)</f>
        <v>52800</v>
      </c>
      <c r="AS75" s="129">
        <f>SUM(AP$7:AP75)</f>
        <v>1056</v>
      </c>
      <c r="AT75" s="128">
        <v>3000</v>
      </c>
      <c r="AU75" s="129">
        <v>600</v>
      </c>
      <c r="AV75" s="128">
        <f>SUM(AT$7:AT75)</f>
        <v>207000</v>
      </c>
      <c r="AW75" s="90">
        <f>SUM(AU$7:AU75)</f>
        <v>41400</v>
      </c>
      <c r="AY75" s="128">
        <f t="shared" si="91"/>
        <v>38500</v>
      </c>
      <c r="AZ75" s="90">
        <f t="shared" si="92"/>
        <v>52800</v>
      </c>
      <c r="BA75" s="90">
        <f t="shared" si="93"/>
        <v>41400</v>
      </c>
      <c r="BB75" s="90">
        <f t="shared" ca="1" si="127"/>
        <v>29700</v>
      </c>
      <c r="BC75" s="90">
        <f t="shared" ref="BC75:BC138" ca="1" si="129">BE75-BD75</f>
        <v>83375</v>
      </c>
      <c r="BD75" s="90">
        <f t="shared" ref="BD75:BD138" ca="1" si="130">(SUM(AY75:BB75)-SUM($AY$9:$BB$9))*$BD$5</f>
        <v>79025</v>
      </c>
      <c r="BE75" s="90">
        <f t="shared" ca="1" si="94"/>
        <v>162400</v>
      </c>
      <c r="BF75" s="142">
        <f t="shared" ca="1" si="75"/>
        <v>0.46176911544227889</v>
      </c>
      <c r="BG75" s="142">
        <f t="shared" ca="1" si="76"/>
        <v>0.6332833583208396</v>
      </c>
      <c r="BH75" s="142">
        <f t="shared" ca="1" si="77"/>
        <v>0.49655172413793103</v>
      </c>
      <c r="BI75" s="142">
        <f t="shared" ca="1" si="95"/>
        <v>0.35622188905547225</v>
      </c>
      <c r="BJ75" s="143"/>
      <c r="BK75" s="128">
        <f ca="1">INDEX(商城宝箱!$L:$L,MATCH(BC75,商城宝箱!$N:$N,1))</f>
        <v>11</v>
      </c>
      <c r="BL75" s="90">
        <f ca="1">_xlfn.IFNA(INDEX(商城宝箱!T:T,MATCH(玩家节奏2!$BK75,商城宝箱!$L:$L,0)),0)+($BC75-INDEX(商城宝箱!$N:$N,MATCH(玩家节奏2!$BK75,商城宝箱!$L:$L,0)))/$BK$5*INDEX(商城宝箱!E$23:E$42,MATCH(玩家节奏2!$BK75+1,商城宝箱!$C$23:$C$42,0))</f>
        <v>208437.5</v>
      </c>
      <c r="BM75" s="90">
        <f ca="1">_xlfn.IFNA(INDEX(商城宝箱!U:U,MATCH(玩家节奏2!$BK75,商城宝箱!$L:$L,0)),0)+($BC75-INDEX(商城宝箱!$N:$N,MATCH(玩家节奏2!$BK75,商城宝箱!$L:$L,0)))/$BK$5*INDEX(商城宝箱!F$23:F$42,MATCH(玩家节奏2!$BK75+1,商城宝箱!$C$23:$C$42,0))</f>
        <v>182880</v>
      </c>
      <c r="BN75" s="90">
        <f ca="1">_xlfn.IFNA(INDEX(商城宝箱!V:V,MATCH(玩家节奏2!$BK75,商城宝箱!$L:$L,0)),0)+($BC75-INDEX(商城宝箱!$N:$N,MATCH(玩家节奏2!$BK75,商城宝箱!$L:$L,0)))/$BK$5*INDEX(商城宝箱!G$23:G$42,MATCH(玩家节奏2!$BK75+1,商城宝箱!$C$23:$C$42,0))</f>
        <v>98118.25</v>
      </c>
      <c r="BO75" s="90">
        <f ca="1">_xlfn.IFNA(INDEX(商城宝箱!W:W,MATCH(玩家节奏2!$BK75,商城宝箱!$L:$L,0)),0)+($BC75-INDEX(商城宝箱!$N:$N,MATCH(玩家节奏2!$BK75,商城宝箱!$L:$L,0)))/$BK$5*INDEX(商城宝箱!H$23:H$42,MATCH(玩家节奏2!$BK75+1,商城宝箱!$C$23:$C$42,0))</f>
        <v>14514</v>
      </c>
      <c r="BQ75" s="128">
        <f t="shared" si="79"/>
        <v>11610000</v>
      </c>
      <c r="BR75" s="90">
        <f t="shared" si="80"/>
        <v>1536730</v>
      </c>
      <c r="BS75" s="90">
        <f t="shared" ca="1" si="81"/>
        <v>3029536</v>
      </c>
      <c r="BT75" s="90">
        <f t="shared" si="82"/>
        <v>61000</v>
      </c>
      <c r="BU75" s="90">
        <f t="shared" si="83"/>
        <v>1056000</v>
      </c>
      <c r="BV75" s="90">
        <f t="shared" si="84"/>
        <v>207000</v>
      </c>
      <c r="BW75" s="90">
        <f t="shared" ca="1" si="96"/>
        <v>208437.5</v>
      </c>
      <c r="BX75" s="90">
        <f t="shared" ca="1" si="97"/>
        <v>17708703.5</v>
      </c>
      <c r="BY75" s="142">
        <f t="shared" ca="1" si="74"/>
        <v>0.65560982485250829</v>
      </c>
      <c r="BZ75" s="142">
        <f t="shared" ca="1" si="74"/>
        <v>8.6778233087475884E-2</v>
      </c>
      <c r="CA75" s="142">
        <f t="shared" ca="1" si="73"/>
        <v>0.17107610390563036</v>
      </c>
      <c r="CB75" s="142">
        <f t="shared" ca="1" si="73"/>
        <v>3.4446338773473735E-3</v>
      </c>
      <c r="CC75" s="142">
        <f t="shared" ca="1" si="73"/>
        <v>5.9631694663587316E-2</v>
      </c>
      <c r="CD75" s="142">
        <f t="shared" ca="1" si="73"/>
        <v>1.1689167419850922E-2</v>
      </c>
      <c r="CE75" s="142">
        <f t="shared" ca="1" si="73"/>
        <v>1.1770342193599887E-2</v>
      </c>
      <c r="CG75" s="128">
        <f t="shared" si="98"/>
        <v>200</v>
      </c>
      <c r="CH75" s="90">
        <f ca="1">INDEX(角色升级!$A:$A,MATCH(玩家节奏2!$BX75,角色升级!$J:$J,1))</f>
        <v>908</v>
      </c>
      <c r="CI75" s="90">
        <f ca="1">INDEX(角色升级!$O:$O,MATCH(玩家节奏2!$BX75,角色升级!$J:$J,1))</f>
        <v>72823.388384999998</v>
      </c>
      <c r="CJ75" s="90">
        <f>INDEX(关卡对比!$J:$J,MATCH(玩家节奏2!N75,关卡对比!$A:$A,0))</f>
        <v>86200</v>
      </c>
      <c r="CK75" s="147">
        <f t="shared" ca="1" si="99"/>
        <v>1.1836856525307642</v>
      </c>
      <c r="CL75" s="128">
        <f ca="1">INDEX(角色升级!$P:$P,MATCH(玩家节奏2!$CH75,角色升级!$A:$A,0))</f>
        <v>29700</v>
      </c>
      <c r="CM75" s="90">
        <f ca="1">INDEX(角色升级!Q:Q,MATCH(玩家节奏2!$CH75,角色升级!$A:$A,0))</f>
        <v>1.9</v>
      </c>
      <c r="CO75" s="128">
        <f t="shared" si="100"/>
        <v>78866</v>
      </c>
      <c r="CP75" s="90">
        <f t="shared" si="101"/>
        <v>116302</v>
      </c>
      <c r="CQ75" s="90">
        <f t="shared" si="102"/>
        <v>47362</v>
      </c>
      <c r="CR75" s="90">
        <f t="shared" ca="1" si="103"/>
        <v>182880</v>
      </c>
      <c r="CS75" s="90">
        <f t="shared" ca="1" si="104"/>
        <v>425410</v>
      </c>
      <c r="CT75" s="142">
        <f t="shared" ca="1" si="105"/>
        <v>0.18538821372323169</v>
      </c>
      <c r="CU75" s="142">
        <f t="shared" ca="1" si="105"/>
        <v>0.27338802566935427</v>
      </c>
      <c r="CV75" s="142">
        <f t="shared" ca="1" si="105"/>
        <v>0.11133259678898004</v>
      </c>
      <c r="CW75" s="142">
        <f t="shared" ca="1" si="105"/>
        <v>0.42989116381843401</v>
      </c>
      <c r="CY75" s="128">
        <f t="shared" si="106"/>
        <v>39434</v>
      </c>
      <c r="CZ75" s="90">
        <f t="shared" si="107"/>
        <v>57987</v>
      </c>
      <c r="DA75" s="90">
        <f t="shared" si="108"/>
        <v>31722</v>
      </c>
      <c r="DB75" s="90">
        <f t="shared" ca="1" si="128"/>
        <v>98118.25</v>
      </c>
      <c r="DC75" s="90">
        <f t="shared" ca="1" si="109"/>
        <v>227261.25</v>
      </c>
      <c r="DD75" s="142">
        <f t="shared" ca="1" si="110"/>
        <v>0.17351836267731521</v>
      </c>
      <c r="DE75" s="142">
        <f t="shared" ca="1" si="110"/>
        <v>0.25515568536211081</v>
      </c>
      <c r="DF75" s="142">
        <f t="shared" ca="1" si="110"/>
        <v>0.1395838489843737</v>
      </c>
      <c r="DG75" s="142">
        <f t="shared" ca="1" si="110"/>
        <v>0.4317421029762003</v>
      </c>
      <c r="DI75" s="128">
        <f t="shared" si="111"/>
        <v>19113</v>
      </c>
      <c r="DJ75" s="90">
        <f t="shared" si="112"/>
        <v>28403</v>
      </c>
      <c r="DK75" s="90">
        <f t="shared" si="113"/>
        <v>12138</v>
      </c>
      <c r="DL75" s="90">
        <f t="shared" ca="1" si="114"/>
        <v>14514</v>
      </c>
      <c r="DM75" s="90">
        <f t="shared" ca="1" si="115"/>
        <v>74168</v>
      </c>
      <c r="DN75" s="142">
        <f t="shared" ca="1" si="116"/>
        <v>0.2576987380002157</v>
      </c>
      <c r="DO75" s="142">
        <f t="shared" ca="1" si="116"/>
        <v>0.38295491317010033</v>
      </c>
      <c r="DP75" s="142">
        <f t="shared" ca="1" si="116"/>
        <v>0.16365548484521628</v>
      </c>
      <c r="DQ75" s="142">
        <f t="shared" ca="1" si="116"/>
        <v>0.19569086398446769</v>
      </c>
      <c r="DS75" s="128">
        <f t="shared" ca="1" si="117"/>
        <v>425410</v>
      </c>
      <c r="DT75" s="90">
        <f t="shared" ca="1" si="118"/>
        <v>227261.25</v>
      </c>
      <c r="DU75" s="90">
        <f t="shared" ca="1" si="119"/>
        <v>74168</v>
      </c>
      <c r="DV75" s="90">
        <f t="shared" si="120"/>
        <v>1056</v>
      </c>
      <c r="DW75" s="90">
        <f ca="1">_xlfn.IFNA(INDEX(武器升级消耗!$H:$H,MATCH(玩家节奏2!DS75/玩家节奏2!DS$5,武器升级消耗!M:M,1)),0)</f>
        <v>57</v>
      </c>
      <c r="DX75" s="90">
        <f ca="1">_xlfn.IFNA(INDEX(武器升级消耗!$H:$H,MATCH(玩家节奏2!DT75/玩家节奏2!DT$5,武器升级消耗!N:N,1)),0)</f>
        <v>50</v>
      </c>
      <c r="DY75" s="90">
        <f ca="1">_xlfn.IFNA(INDEX(武器升级消耗!$H:$H,MATCH(玩家节奏2!DU75/玩家节奏2!DU$5,武器升级消耗!O:O,1)),0)</f>
        <v>38</v>
      </c>
      <c r="DZ75" s="90">
        <f>_xlfn.IFNA(INDEX(武器升级消耗!$H:$H,MATCH(玩家节奏2!DV75/玩家节奏2!DV$5,武器升级消耗!P:P,1)),0)</f>
        <v>23</v>
      </c>
      <c r="EA75" s="90">
        <f ca="1">_xlfn.IFNA(INDEX(武器升级消耗!$Q:$Q,MATCH(玩家节奏2!DW75,武器升级消耗!$H:$H,0))*2*EA$4,0)</f>
        <v>7.3199999999999994</v>
      </c>
      <c r="EB75" s="90">
        <f ca="1">_xlfn.IFNA(INDEX(武器升级消耗!$Q:$Q,MATCH(玩家节奏2!DX75,武器升级消耗!$H:$H,0))*2*EB$4,0)</f>
        <v>8.1000000000000014</v>
      </c>
      <c r="EC75" s="90">
        <f ca="1">_xlfn.IFNA(INDEX(武器升级消耗!$Q:$Q,MATCH(玩家节奏2!DY75,武器升级消耗!$H:$H,0))*2*EC$4,0)</f>
        <v>9.240000000000002</v>
      </c>
      <c r="ED75" s="90">
        <f>_xlfn.IFNA(INDEX(武器升级消耗!$Q:$Q,MATCH(玩家节奏2!DZ75,武器升级消耗!$H:$H,0))*2*ED$4,0)</f>
        <v>8.1000000000000014</v>
      </c>
      <c r="EF75" s="128">
        <f t="shared" si="85"/>
        <v>0</v>
      </c>
      <c r="EG75" s="90">
        <f t="shared" si="86"/>
        <v>0</v>
      </c>
      <c r="EH75" s="90">
        <v>207</v>
      </c>
      <c r="EI75" s="90">
        <v>207</v>
      </c>
      <c r="EJ75" s="90">
        <f>_xlfn.IFNA(INDEX(皮肤宠物!$J$4:$J$13,MATCH(EF75+EH75,皮肤宠物!$L$4:$L$13,1)),0)</f>
        <v>7</v>
      </c>
      <c r="EK75" s="90">
        <f>_xlfn.IFNA(INDEX(皮肤宠物!$J$4:$J$13,MATCH(EG75+EI75,皮肤宠物!$L$4:$L$13,1)),0)</f>
        <v>7</v>
      </c>
      <c r="EL75" s="90">
        <f>_xlfn.IFNA(INDEX(皮肤宠物!$N$4:$N$13,MATCH(EF75+EH75,皮肤宠物!$L$4:$L$13,1)),1)</f>
        <v>1.87</v>
      </c>
      <c r="EM75" s="90">
        <f>_xlfn.IFNA(INDEX(皮肤宠物!$N$4:$N$13,MATCH(EG75+EI75,皮肤宠物!$L$4:$L$13,1)),1)</f>
        <v>1.87</v>
      </c>
      <c r="EO75" s="128">
        <v>207</v>
      </c>
      <c r="EP75" s="90">
        <v>69</v>
      </c>
      <c r="EQ75" s="90">
        <f t="shared" ca="1" si="121"/>
        <v>79025</v>
      </c>
      <c r="ER75" s="90">
        <f t="shared" si="87"/>
        <v>0</v>
      </c>
      <c r="ES75" s="90">
        <f t="shared" ca="1" si="122"/>
        <v>859.25</v>
      </c>
      <c r="ET75" s="90">
        <f ca="1">$ES75*ET$5*皮肤宠物!$J$75/4</f>
        <v>2836.3842500000001</v>
      </c>
      <c r="EU75" s="90">
        <f ca="1">$ES75*EU$5*皮肤宠物!$J$76/4</f>
        <v>473.44675000000001</v>
      </c>
      <c r="EV75" s="90">
        <f ca="1">$ES75*EV$5*皮肤宠物!$J$77/4</f>
        <v>128.24306250000001</v>
      </c>
      <c r="EW75" s="90">
        <f ca="1">_xlfn.IFNA(INDEX(皮肤宠物!$H$18:$H$67,MATCH(ET75,皮肤宠物!L$18:L$67,1)),0)</f>
        <v>18</v>
      </c>
      <c r="EX75" s="90">
        <f ca="1">_xlfn.IFNA(INDEX(皮肤宠物!$H$18:$H$67,MATCH(EU75,皮肤宠物!M$18:M$67,1)),0)</f>
        <v>14</v>
      </c>
      <c r="EY75" s="90">
        <f ca="1">_xlfn.IFNA(INDEX(皮肤宠物!$H$18:$H$67,MATCH(EV75,皮肤宠物!N$18:N$67,1)),0)</f>
        <v>10</v>
      </c>
      <c r="EZ75" s="90">
        <f ca="1">_xlfn.IFNA(INDEX(皮肤宠物!C$18:C$67,MATCH(EW75,皮肤宠物!$A$18:$A$67,0))+1,1)</f>
        <v>1.18</v>
      </c>
      <c r="FA75" s="90">
        <f ca="1">_xlfn.IFNA(INDEX(皮肤宠物!D$18:D$67,MATCH(EX75,皮肤宠物!$A$18:$A$67,0))+1,1)</f>
        <v>1.28</v>
      </c>
      <c r="FB75" s="90">
        <f ca="1">_xlfn.IFNA(INDEX(皮肤宠物!E$18:E$67,MATCH(EY75,皮肤宠物!$A$18:$A$67,0))+1,1)</f>
        <v>1.4</v>
      </c>
      <c r="FD75" s="90">
        <f t="shared" ca="1" si="123"/>
        <v>9.240000000000002</v>
      </c>
      <c r="FE75" s="90">
        <f t="shared" si="124"/>
        <v>1.87</v>
      </c>
      <c r="FF75" s="90">
        <f t="shared" ca="1" si="125"/>
        <v>1.4</v>
      </c>
      <c r="FG75" s="90">
        <f t="shared" ca="1" si="126"/>
        <v>24.190320000000003</v>
      </c>
    </row>
    <row r="76" spans="1:163" x14ac:dyDescent="0.25">
      <c r="A76" s="123">
        <v>70</v>
      </c>
      <c r="B76" s="123">
        <f>INDEX(关卡对比!$Y:$Y,MATCH(关卡对比!Z76,关卡对比!$AA:$AA,1))</f>
        <v>48</v>
      </c>
      <c r="C76" s="124">
        <f>INDEX(关卡对比!$Y:$Y,MATCH(关卡对比!Z76,关卡对比!$AB:$AB,1))</f>
        <v>40</v>
      </c>
      <c r="D76" s="125">
        <f t="shared" si="63"/>
        <v>285.5</v>
      </c>
      <c r="E76" s="125">
        <v>2</v>
      </c>
      <c r="F76" s="128">
        <v>16</v>
      </c>
      <c r="G76" s="90">
        <v>16</v>
      </c>
      <c r="H76" s="90">
        <v>5</v>
      </c>
      <c r="J76" s="128">
        <v>70</v>
      </c>
      <c r="K76" s="90">
        <f t="shared" si="88"/>
        <v>16</v>
      </c>
      <c r="L76" s="90">
        <f t="shared" si="89"/>
        <v>16</v>
      </c>
      <c r="M76" s="90">
        <f t="shared" si="90"/>
        <v>5</v>
      </c>
      <c r="N76" s="140">
        <f>INDEX($A:$A,MATCH(SUM($K$7:K76),$D:$D,1))</f>
        <v>200</v>
      </c>
      <c r="O76" s="140">
        <v>0</v>
      </c>
      <c r="P76" s="141">
        <v>0</v>
      </c>
      <c r="Q76" s="126">
        <f>_xlfn.MAXIFS(关卡产出!X:X,关卡产出!$A:$A,玩家节奏2!$N$6,关卡产出!$B:$B,玩家节奏2!$N76)+_xlfn.MAXIFS(关卡产出!X:X,关卡产出!$A:$A,玩家节奏2!$O$6,关卡产出!$B:$B,玩家节奏2!$O76)+_xlfn.MAXIFS(关卡产出!X:X,关卡产出!$A:$A,玩家节奏2!$P$6,关卡产出!$B:$B,玩家节奏2!$P76)</f>
        <v>38500</v>
      </c>
      <c r="R76" s="90">
        <f>_xlfn.MAXIFS(关卡产出!Y:Y,关卡产出!$A:$A,玩家节奏2!$N$6,关卡产出!$B:$B,玩家节奏2!$N76)+_xlfn.MAXIFS(关卡产出!Y:Y,关卡产出!$A:$A,玩家节奏2!$O$6,关卡产出!$B:$B,玩家节奏2!$O76)+_xlfn.MAXIFS(关卡产出!Y:Y,关卡产出!$A:$A,玩家节奏2!$P$6,关卡产出!$B:$B,玩家节奏2!$P76)</f>
        <v>11610000</v>
      </c>
      <c r="S76" s="90">
        <f>_xlfn.MAXIFS(关卡产出!Z:Z,关卡产出!$A:$A,玩家节奏2!$N$6,关卡产出!$B:$B,玩家节奏2!$N76)+_xlfn.MAXIFS(关卡产出!Z:Z,关卡产出!$A:$A,玩家节奏2!$O$6,关卡产出!$B:$B,玩家节奏2!$O76)+_xlfn.MAXIFS(关卡产出!Z:Z,关卡产出!$A:$A,玩家节奏2!$P$6,关卡产出!$B:$B,玩家节奏2!$P76)</f>
        <v>78866</v>
      </c>
      <c r="T76" s="90">
        <f>_xlfn.MAXIFS(关卡产出!AA:AA,关卡产出!$A:$A,玩家节奏2!$N$6,关卡产出!$B:$B,玩家节奏2!$N76)+_xlfn.MAXIFS(关卡产出!AA:AA,关卡产出!$A:$A,玩家节奏2!$O$6,关卡产出!$B:$B,玩家节奏2!$O76)+_xlfn.MAXIFS(关卡产出!AA:AA,关卡产出!$A:$A,玩家节奏2!$P$6,关卡产出!$B:$B,玩家节奏2!$P76)</f>
        <v>39434</v>
      </c>
      <c r="U76" s="90">
        <f>_xlfn.MAXIFS(关卡产出!AB:AB,关卡产出!$A:$A,玩家节奏2!$N$6,关卡产出!$B:$B,玩家节奏2!$N76)+_xlfn.MAXIFS(关卡产出!AB:AB,关卡产出!$A:$A,玩家节奏2!$O$6,关卡产出!$B:$B,玩家节奏2!$O76)+_xlfn.MAXIFS(关卡产出!AB:AB,关卡产出!$A:$A,玩家节奏2!$P$6,关卡产出!$B:$B,玩家节奏2!$P76)</f>
        <v>19113</v>
      </c>
      <c r="V76" s="130">
        <f>_xlfn.MAXIFS(关卡产出!AC:AC,关卡产出!$A:$A,玩家节奏2!$N$6,关卡产出!$B:$B,玩家节奏2!$N76)+_xlfn.MAXIFS(关卡产出!AC:AC,关卡产出!$A:$A,玩家节奏2!$O$6,关卡产出!$B:$B,玩家节奏2!$O76)+_xlfn.MAXIFS(关卡产出!AC:AC,关卡产出!$A:$A,玩家节奏2!$P$6,关卡产出!$B:$B,玩家节奏2!$P76)</f>
        <v>1200</v>
      </c>
      <c r="W76" s="126">
        <f>INDEX(关卡产出!C$8:C$207,MATCH(玩家节奏2!$N76,关卡产出!$B$8:$B$207,0))*$K76</f>
        <v>2528</v>
      </c>
      <c r="X76" s="126">
        <f>INDEX(关卡产出!D$8:D$207,MATCH(玩家节奏2!$N76,关卡产出!$B$8:$B$207,0))*$K76</f>
        <v>1264</v>
      </c>
      <c r="Y76" s="126">
        <f>INDEX(关卡产出!E$8:E$207,MATCH(玩家节奏2!$N76,关卡产出!$B$8:$B$207,0))*$K76</f>
        <v>624</v>
      </c>
      <c r="Z76" s="144">
        <f>INDEX(关卡产出!F$8:F$207,MATCH(玩家节奏2!$N76,关卡产出!$B$8:$B$207,0))*$K76</f>
        <v>32800</v>
      </c>
      <c r="AA76" s="126">
        <f>SUM(W$7:W76)</f>
        <v>118830</v>
      </c>
      <c r="AB76" s="126">
        <f>SUM(X$7:X76)</f>
        <v>59251</v>
      </c>
      <c r="AC76" s="126">
        <f>SUM(Y$7:Y76)</f>
        <v>29027</v>
      </c>
      <c r="AD76" s="177">
        <f>SUM(Z$7:Z76)</f>
        <v>1569530</v>
      </c>
      <c r="AE76" s="128">
        <f>INDEX(图鉴!AQ:AQ,MATCH($N76,图鉴!$S:$S,0))*34</f>
        <v>714</v>
      </c>
      <c r="AF76" s="90">
        <f>INDEX(图鉴!AR:AR,MATCH($N76,图鉴!$S:$S,0))*34</f>
        <v>510</v>
      </c>
      <c r="AG76" s="90">
        <f>INDEX(图鉴!AS:AS,MATCH($N76,图鉴!$S:$S,0))*34</f>
        <v>204</v>
      </c>
      <c r="AH76" s="129">
        <f ca="1">INDEX(图鉴!AT:AT,MATCH($N76,图鉴!$S:$S,0))*34</f>
        <v>55930</v>
      </c>
      <c r="AI76" s="128">
        <f>SUM($AE$7:AE76)</f>
        <v>48076</v>
      </c>
      <c r="AJ76" s="90">
        <f>SUM(AF$7:AF76)</f>
        <v>32232</v>
      </c>
      <c r="AK76" s="90">
        <f>SUM(AG$7:AG76)</f>
        <v>12342</v>
      </c>
      <c r="AL76" s="130">
        <f ca="1">SUM(AH$7:AH76)</f>
        <v>3085466</v>
      </c>
      <c r="AM76" s="133">
        <f>IF(M76=0,0,INDEX(关卡产出!$AU$11:$AU$15,MATCH(玩家节奏2!N76,关卡产出!$AW$11:$AW$15,1))*M76)</f>
        <v>61000</v>
      </c>
      <c r="AN76" s="126">
        <f>IF(L76=0,0,$L76*关卡产出!AU$21)</f>
        <v>16000</v>
      </c>
      <c r="AO76" s="90">
        <f>IF(M76=0,0,$L76*关卡产出!AV$21)</f>
        <v>800</v>
      </c>
      <c r="AP76" s="129">
        <f>IF(N76=0,0,$L76*关卡产出!AW$21)</f>
        <v>16</v>
      </c>
      <c r="AQ76" s="138">
        <f>SUM(AN$7:AN76)</f>
        <v>1072000</v>
      </c>
      <c r="AR76" s="126">
        <f>SUM(AO$7:AO76)</f>
        <v>53600</v>
      </c>
      <c r="AS76" s="129">
        <f>SUM(AP$7:AP76)</f>
        <v>1072</v>
      </c>
      <c r="AT76" s="128">
        <v>3000</v>
      </c>
      <c r="AU76" s="129">
        <v>600</v>
      </c>
      <c r="AV76" s="128">
        <f>SUM(AT$7:AT76)</f>
        <v>210000</v>
      </c>
      <c r="AW76" s="90">
        <f>SUM(AU$7:AU76)</f>
        <v>42000</v>
      </c>
      <c r="AY76" s="128">
        <f t="shared" si="91"/>
        <v>38500</v>
      </c>
      <c r="AZ76" s="90">
        <f t="shared" si="92"/>
        <v>53600</v>
      </c>
      <c r="BA76" s="90">
        <f t="shared" si="93"/>
        <v>42000</v>
      </c>
      <c r="BB76" s="90">
        <f t="shared" ca="1" si="127"/>
        <v>29700</v>
      </c>
      <c r="BC76" s="90">
        <f t="shared" ca="1" si="129"/>
        <v>84075</v>
      </c>
      <c r="BD76" s="90">
        <f t="shared" ca="1" si="130"/>
        <v>79725</v>
      </c>
      <c r="BE76" s="90">
        <f t="shared" ca="1" si="94"/>
        <v>163800</v>
      </c>
      <c r="BF76" s="142">
        <f t="shared" ca="1" si="75"/>
        <v>0.45792447219744276</v>
      </c>
      <c r="BG76" s="142">
        <f t="shared" ca="1" si="76"/>
        <v>0.63752601843592027</v>
      </c>
      <c r="BH76" s="142">
        <f t="shared" ca="1" si="77"/>
        <v>0.49955396966993754</v>
      </c>
      <c r="BI76" s="142">
        <f t="shared" ca="1" si="95"/>
        <v>0.35325602140945583</v>
      </c>
      <c r="BJ76" s="143"/>
      <c r="BK76" s="128">
        <f ca="1">INDEX(商城宝箱!$L:$L,MATCH(BC76,商城宝箱!$N:$N,1))</f>
        <v>11</v>
      </c>
      <c r="BL76" s="90">
        <f ca="1">_xlfn.IFNA(INDEX(商城宝箱!T:T,MATCH(玩家节奏2!$BK76,商城宝箱!$L:$L,0)),0)+($BC76-INDEX(商城宝箱!$N:$N,MATCH(玩家节奏2!$BK76,商城宝箱!$L:$L,0)))/$BK$5*INDEX(商城宝箱!E$23:E$42,MATCH(玩家节奏2!$BK76+1,商城宝箱!$C$23:$C$42,0))</f>
        <v>210187.5</v>
      </c>
      <c r="BM76" s="90">
        <f ca="1">_xlfn.IFNA(INDEX(商城宝箱!U:U,MATCH(玩家节奏2!$BK76,商城宝箱!$L:$L,0)),0)+($BC76-INDEX(商城宝箱!$N:$N,MATCH(玩家节奏2!$BK76,商城宝箱!$L:$L,0)))/$BK$5*INDEX(商城宝箱!F$23:F$42,MATCH(玩家节奏2!$BK76+1,商城宝箱!$C$23:$C$42,0))</f>
        <v>185470</v>
      </c>
      <c r="BN76" s="90">
        <f ca="1">_xlfn.IFNA(INDEX(商城宝箱!V:V,MATCH(玩家节奏2!$BK76,商城宝箱!$L:$L,0)),0)+($BC76-INDEX(商城宝箱!$N:$N,MATCH(玩家节奏2!$BK76,商城宝箱!$L:$L,0)))/$BK$5*INDEX(商城宝箱!G$23:G$42,MATCH(玩家节奏2!$BK76+1,商城宝箱!$C$23:$C$42,0))</f>
        <v>99343.25</v>
      </c>
      <c r="BO76" s="90">
        <f ca="1">_xlfn.IFNA(INDEX(商城宝箱!W:W,MATCH(玩家节奏2!$BK76,商城宝箱!$L:$L,0)),0)+($BC76-INDEX(商城宝箱!$N:$N,MATCH(玩家节奏2!$BK76,商城宝箱!$L:$L,0)))/$BK$5*INDEX(商城宝箱!H$23:H$42,MATCH(玩家节奏2!$BK76+1,商城宝箱!$C$23:$C$42,0))</f>
        <v>14724</v>
      </c>
      <c r="BQ76" s="128">
        <f t="shared" si="79"/>
        <v>11610000</v>
      </c>
      <c r="BR76" s="90">
        <f t="shared" si="80"/>
        <v>1569530</v>
      </c>
      <c r="BS76" s="90">
        <f t="shared" ca="1" si="81"/>
        <v>3085466</v>
      </c>
      <c r="BT76" s="90">
        <f t="shared" si="82"/>
        <v>61000</v>
      </c>
      <c r="BU76" s="90">
        <f t="shared" si="83"/>
        <v>1072000</v>
      </c>
      <c r="BV76" s="90">
        <f t="shared" si="84"/>
        <v>210000</v>
      </c>
      <c r="BW76" s="90">
        <f t="shared" ca="1" si="96"/>
        <v>210187.5</v>
      </c>
      <c r="BX76" s="90">
        <f t="shared" ca="1" si="97"/>
        <v>17818183.5</v>
      </c>
      <c r="BY76" s="142">
        <f t="shared" ca="1" si="74"/>
        <v>0.65158157115173942</v>
      </c>
      <c r="BZ76" s="142">
        <f t="shared" ca="1" si="74"/>
        <v>8.808585903271228E-2</v>
      </c>
      <c r="CA76" s="142">
        <f t="shared" ca="1" si="73"/>
        <v>0.17316389181871431</v>
      </c>
      <c r="CB76" s="142">
        <f t="shared" ca="1" si="73"/>
        <v>3.4234690646215422E-3</v>
      </c>
      <c r="CC76" s="142">
        <f t="shared" ca="1" si="73"/>
        <v>6.0163259627447431E-2</v>
      </c>
      <c r="CD76" s="142">
        <f t="shared" ca="1" si="73"/>
        <v>1.1785713173287277E-2</v>
      </c>
      <c r="CE76" s="142">
        <f t="shared" ca="1" si="73"/>
        <v>1.1796236131477712E-2</v>
      </c>
      <c r="CG76" s="128">
        <f t="shared" si="98"/>
        <v>200</v>
      </c>
      <c r="CH76" s="90">
        <f ca="1">INDEX(角色升级!$A:$A,MATCH(玩家节奏2!$BX76,角色升级!$J:$J,1))</f>
        <v>909</v>
      </c>
      <c r="CI76" s="90">
        <f ca="1">INDEX(角色升级!$O:$O,MATCH(玩家节奏2!$BX76,角色升级!$J:$J,1))</f>
        <v>73286.280539999992</v>
      </c>
      <c r="CJ76" s="90">
        <f>INDEX(关卡对比!$J:$J,MATCH(玩家节奏2!N76,关卡对比!$A:$A,0))</f>
        <v>86200</v>
      </c>
      <c r="CK76" s="147">
        <f t="shared" ca="1" si="99"/>
        <v>1.1762092354100524</v>
      </c>
      <c r="CL76" s="128">
        <f ca="1">INDEX(角色升级!$P:$P,MATCH(玩家节奏2!$CH76,角色升级!$A:$A,0))</f>
        <v>29700</v>
      </c>
      <c r="CM76" s="90">
        <f ca="1">INDEX(角色升级!Q:Q,MATCH(玩家节奏2!$CH76,角色升级!$A:$A,0))</f>
        <v>1.9</v>
      </c>
      <c r="CO76" s="128">
        <f t="shared" si="100"/>
        <v>78866</v>
      </c>
      <c r="CP76" s="90">
        <f t="shared" si="101"/>
        <v>118830</v>
      </c>
      <c r="CQ76" s="90">
        <f t="shared" si="102"/>
        <v>48076</v>
      </c>
      <c r="CR76" s="90">
        <f t="shared" ca="1" si="103"/>
        <v>185470</v>
      </c>
      <c r="CS76" s="90">
        <f t="shared" ca="1" si="104"/>
        <v>431242</v>
      </c>
      <c r="CT76" s="142">
        <f t="shared" ca="1" si="105"/>
        <v>0.1828810737358606</v>
      </c>
      <c r="CU76" s="142">
        <f t="shared" ca="1" si="105"/>
        <v>0.27555293779362866</v>
      </c>
      <c r="CV76" s="142">
        <f t="shared" ca="1" si="105"/>
        <v>0.11148264779404604</v>
      </c>
      <c r="CW76" s="142">
        <f t="shared" ca="1" si="105"/>
        <v>0.4300833406764647</v>
      </c>
      <c r="CY76" s="128">
        <f t="shared" si="106"/>
        <v>39434</v>
      </c>
      <c r="CZ76" s="90">
        <f t="shared" si="107"/>
        <v>59251</v>
      </c>
      <c r="DA76" s="90">
        <f t="shared" si="108"/>
        <v>32232</v>
      </c>
      <c r="DB76" s="90">
        <f t="shared" ca="1" si="128"/>
        <v>99343.25</v>
      </c>
      <c r="DC76" s="90">
        <f t="shared" ca="1" si="109"/>
        <v>230260.25</v>
      </c>
      <c r="DD76" s="142">
        <f t="shared" ca="1" si="110"/>
        <v>0.17125839132025611</v>
      </c>
      <c r="DE76" s="142">
        <f t="shared" ca="1" si="110"/>
        <v>0.25732187817914731</v>
      </c>
      <c r="DF76" s="142">
        <f t="shared" ca="1" si="110"/>
        <v>0.13998073918533485</v>
      </c>
      <c r="DG76" s="142">
        <f t="shared" ca="1" si="110"/>
        <v>0.43143899131526176</v>
      </c>
      <c r="DI76" s="128">
        <f t="shared" si="111"/>
        <v>19113</v>
      </c>
      <c r="DJ76" s="90">
        <f t="shared" si="112"/>
        <v>29027</v>
      </c>
      <c r="DK76" s="90">
        <f t="shared" si="113"/>
        <v>12342</v>
      </c>
      <c r="DL76" s="90">
        <f t="shared" ca="1" si="114"/>
        <v>14724</v>
      </c>
      <c r="DM76" s="90">
        <f t="shared" ca="1" si="115"/>
        <v>75206</v>
      </c>
      <c r="DN76" s="142">
        <f t="shared" ca="1" si="116"/>
        <v>0.25414195675876927</v>
      </c>
      <c r="DO76" s="142">
        <f t="shared" ca="1" si="116"/>
        <v>0.38596654522245566</v>
      </c>
      <c r="DP76" s="142">
        <f t="shared" ca="1" si="116"/>
        <v>0.16410924660266468</v>
      </c>
      <c r="DQ76" s="142">
        <f t="shared" ca="1" si="116"/>
        <v>0.19578225141611041</v>
      </c>
      <c r="DS76" s="128">
        <f t="shared" ca="1" si="117"/>
        <v>431242</v>
      </c>
      <c r="DT76" s="90">
        <f t="shared" ca="1" si="118"/>
        <v>230260.25</v>
      </c>
      <c r="DU76" s="90">
        <f t="shared" ca="1" si="119"/>
        <v>75206</v>
      </c>
      <c r="DV76" s="90">
        <f t="shared" si="120"/>
        <v>1072</v>
      </c>
      <c r="DW76" s="90">
        <f ca="1">_xlfn.IFNA(INDEX(武器升级消耗!$H:$H,MATCH(玩家节奏2!DS76/玩家节奏2!DS$5,武器升级消耗!M:M,1)),0)</f>
        <v>57</v>
      </c>
      <c r="DX76" s="90">
        <f ca="1">_xlfn.IFNA(INDEX(武器升级消耗!$H:$H,MATCH(玩家节奏2!DT76/玩家节奏2!DT$5,武器升级消耗!N:N,1)),0)</f>
        <v>51</v>
      </c>
      <c r="DY76" s="90">
        <f ca="1">_xlfn.IFNA(INDEX(武器升级消耗!$H:$H,MATCH(玩家节奏2!DU76/玩家节奏2!DU$5,武器升级消耗!O:O,1)),0)</f>
        <v>38</v>
      </c>
      <c r="DZ76" s="90">
        <f>_xlfn.IFNA(INDEX(武器升级消耗!$H:$H,MATCH(玩家节奏2!DV76/玩家节奏2!DV$5,武器升级消耗!P:P,1)),0)</f>
        <v>24</v>
      </c>
      <c r="EA76" s="90">
        <f ca="1">_xlfn.IFNA(INDEX(武器升级消耗!$Q:$Q,MATCH(玩家节奏2!DW76,武器升级消耗!$H:$H,0))*2*EA$4,0)</f>
        <v>7.3199999999999994</v>
      </c>
      <c r="EB76" s="90">
        <f ca="1">_xlfn.IFNA(INDEX(武器升级消耗!$Q:$Q,MATCH(玩家节奏2!DX76,武器升级消耗!$H:$H,0))*2*EB$4,0)</f>
        <v>8.25</v>
      </c>
      <c r="EC76" s="90">
        <f ca="1">_xlfn.IFNA(INDEX(武器升级消耗!$Q:$Q,MATCH(玩家节奏2!DY76,武器升级消耗!$H:$H,0))*2*EC$4,0)</f>
        <v>9.240000000000002</v>
      </c>
      <c r="ED76" s="90">
        <f>_xlfn.IFNA(INDEX(武器升级消耗!$Q:$Q,MATCH(玩家节奏2!DZ76,武器升级消耗!$H:$H,0))*2*ED$4,0)</f>
        <v>8.3999999999999986</v>
      </c>
      <c r="EF76" s="128">
        <f t="shared" si="85"/>
        <v>0</v>
      </c>
      <c r="EG76" s="90">
        <f t="shared" si="86"/>
        <v>0</v>
      </c>
      <c r="EH76" s="90">
        <v>210</v>
      </c>
      <c r="EI76" s="90">
        <v>210</v>
      </c>
      <c r="EJ76" s="90">
        <f>_xlfn.IFNA(INDEX(皮肤宠物!$J$4:$J$13,MATCH(EF76+EH76,皮肤宠物!$L$4:$L$13,1)),0)</f>
        <v>7</v>
      </c>
      <c r="EK76" s="90">
        <f>_xlfn.IFNA(INDEX(皮肤宠物!$J$4:$J$13,MATCH(EG76+EI76,皮肤宠物!$L$4:$L$13,1)),0)</f>
        <v>7</v>
      </c>
      <c r="EL76" s="90">
        <f>_xlfn.IFNA(INDEX(皮肤宠物!$N$4:$N$13,MATCH(EF76+EH76,皮肤宠物!$L$4:$L$13,1)),1)</f>
        <v>1.87</v>
      </c>
      <c r="EM76" s="90">
        <f>_xlfn.IFNA(INDEX(皮肤宠物!$N$4:$N$13,MATCH(EG76+EI76,皮肤宠物!$L$4:$L$13,1)),1)</f>
        <v>1.87</v>
      </c>
      <c r="EO76" s="128">
        <v>210</v>
      </c>
      <c r="EP76" s="90">
        <v>70</v>
      </c>
      <c r="EQ76" s="90">
        <f t="shared" ca="1" si="121"/>
        <v>79725</v>
      </c>
      <c r="ER76" s="90">
        <f t="shared" si="87"/>
        <v>0</v>
      </c>
      <c r="ES76" s="90">
        <f t="shared" ca="1" si="122"/>
        <v>867.25</v>
      </c>
      <c r="ET76" s="90">
        <f ca="1">$ES76*ET$5*皮肤宠物!$J$75/4</f>
        <v>2862.79225</v>
      </c>
      <c r="EU76" s="90">
        <f ca="1">$ES76*EU$5*皮肤宠物!$J$76/4</f>
        <v>477.85475000000002</v>
      </c>
      <c r="EV76" s="90">
        <f ca="1">$ES76*EV$5*皮肤宠物!$J$77/4</f>
        <v>129.4370625</v>
      </c>
      <c r="EW76" s="90">
        <f ca="1">_xlfn.IFNA(INDEX(皮肤宠物!$H$18:$H$67,MATCH(ET76,皮肤宠物!L$18:L$67,1)),0)</f>
        <v>19</v>
      </c>
      <c r="EX76" s="90">
        <f ca="1">_xlfn.IFNA(INDEX(皮肤宠物!$H$18:$H$67,MATCH(EU76,皮肤宠物!M$18:M$67,1)),0)</f>
        <v>14</v>
      </c>
      <c r="EY76" s="90">
        <f ca="1">_xlfn.IFNA(INDEX(皮肤宠物!$H$18:$H$67,MATCH(EV76,皮肤宠物!N$18:N$67,1)),0)</f>
        <v>10</v>
      </c>
      <c r="EZ76" s="90">
        <f ca="1">_xlfn.IFNA(INDEX(皮肤宠物!C$18:C$67,MATCH(EW76,皮肤宠物!$A$18:$A$67,0))+1,1)</f>
        <v>1.19</v>
      </c>
      <c r="FA76" s="90">
        <f ca="1">_xlfn.IFNA(INDEX(皮肤宠物!D$18:D$67,MATCH(EX76,皮肤宠物!$A$18:$A$67,0))+1,1)</f>
        <v>1.28</v>
      </c>
      <c r="FB76" s="90">
        <f ca="1">_xlfn.IFNA(INDEX(皮肤宠物!E$18:E$67,MATCH(EY76,皮肤宠物!$A$18:$A$67,0))+1,1)</f>
        <v>1.4</v>
      </c>
      <c r="FD76" s="90">
        <f t="shared" ca="1" si="123"/>
        <v>9.240000000000002</v>
      </c>
      <c r="FE76" s="90">
        <f t="shared" si="124"/>
        <v>1.87</v>
      </c>
      <c r="FF76" s="90">
        <f t="shared" ca="1" si="125"/>
        <v>1.4</v>
      </c>
      <c r="FG76" s="90">
        <f t="shared" ca="1" si="126"/>
        <v>24.190320000000003</v>
      </c>
    </row>
    <row r="77" spans="1:163" x14ac:dyDescent="0.25">
      <c r="A77" s="123">
        <v>71</v>
      </c>
      <c r="B77" s="123">
        <f>INDEX(关卡对比!$Y:$Y,MATCH(关卡对比!Z77,关卡对比!$AA:$AA,1))</f>
        <v>49</v>
      </c>
      <c r="C77" s="124">
        <f>INDEX(关卡对比!$Y:$Y,MATCH(关卡对比!Z77,关卡对比!$AB:$AB,1))</f>
        <v>40</v>
      </c>
      <c r="D77" s="125">
        <f t="shared" si="63"/>
        <v>289.5</v>
      </c>
      <c r="E77" s="125">
        <v>2</v>
      </c>
      <c r="F77" s="128">
        <v>16</v>
      </c>
      <c r="G77" s="90">
        <v>16</v>
      </c>
      <c r="H77" s="90">
        <v>5</v>
      </c>
      <c r="J77" s="128">
        <v>71</v>
      </c>
      <c r="K77" s="90">
        <f t="shared" si="88"/>
        <v>16</v>
      </c>
      <c r="L77" s="90">
        <f t="shared" si="89"/>
        <v>16</v>
      </c>
      <c r="M77" s="90">
        <f t="shared" si="90"/>
        <v>5</v>
      </c>
      <c r="N77" s="140">
        <f>INDEX($A:$A,MATCH(SUM($K$7:K77),$D:$D,1))</f>
        <v>200</v>
      </c>
      <c r="O77" s="140">
        <v>0</v>
      </c>
      <c r="P77" s="141">
        <v>0</v>
      </c>
      <c r="Q77" s="126">
        <f>_xlfn.MAXIFS(关卡产出!X:X,关卡产出!$A:$A,玩家节奏2!$N$6,关卡产出!$B:$B,玩家节奏2!$N77)+_xlfn.MAXIFS(关卡产出!X:X,关卡产出!$A:$A,玩家节奏2!$O$6,关卡产出!$B:$B,玩家节奏2!$O77)+_xlfn.MAXIFS(关卡产出!X:X,关卡产出!$A:$A,玩家节奏2!$P$6,关卡产出!$B:$B,玩家节奏2!$P77)</f>
        <v>38500</v>
      </c>
      <c r="R77" s="90">
        <f>_xlfn.MAXIFS(关卡产出!Y:Y,关卡产出!$A:$A,玩家节奏2!$N$6,关卡产出!$B:$B,玩家节奏2!$N77)+_xlfn.MAXIFS(关卡产出!Y:Y,关卡产出!$A:$A,玩家节奏2!$O$6,关卡产出!$B:$B,玩家节奏2!$O77)+_xlfn.MAXIFS(关卡产出!Y:Y,关卡产出!$A:$A,玩家节奏2!$P$6,关卡产出!$B:$B,玩家节奏2!$P77)</f>
        <v>11610000</v>
      </c>
      <c r="S77" s="90">
        <f>_xlfn.MAXIFS(关卡产出!Z:Z,关卡产出!$A:$A,玩家节奏2!$N$6,关卡产出!$B:$B,玩家节奏2!$N77)+_xlfn.MAXIFS(关卡产出!Z:Z,关卡产出!$A:$A,玩家节奏2!$O$6,关卡产出!$B:$B,玩家节奏2!$O77)+_xlfn.MAXIFS(关卡产出!Z:Z,关卡产出!$A:$A,玩家节奏2!$P$6,关卡产出!$B:$B,玩家节奏2!$P77)</f>
        <v>78866</v>
      </c>
      <c r="T77" s="90">
        <f>_xlfn.MAXIFS(关卡产出!AA:AA,关卡产出!$A:$A,玩家节奏2!$N$6,关卡产出!$B:$B,玩家节奏2!$N77)+_xlfn.MAXIFS(关卡产出!AA:AA,关卡产出!$A:$A,玩家节奏2!$O$6,关卡产出!$B:$B,玩家节奏2!$O77)+_xlfn.MAXIFS(关卡产出!AA:AA,关卡产出!$A:$A,玩家节奏2!$P$6,关卡产出!$B:$B,玩家节奏2!$P77)</f>
        <v>39434</v>
      </c>
      <c r="U77" s="90">
        <f>_xlfn.MAXIFS(关卡产出!AB:AB,关卡产出!$A:$A,玩家节奏2!$N$6,关卡产出!$B:$B,玩家节奏2!$N77)+_xlfn.MAXIFS(关卡产出!AB:AB,关卡产出!$A:$A,玩家节奏2!$O$6,关卡产出!$B:$B,玩家节奏2!$O77)+_xlfn.MAXIFS(关卡产出!AB:AB,关卡产出!$A:$A,玩家节奏2!$P$6,关卡产出!$B:$B,玩家节奏2!$P77)</f>
        <v>19113</v>
      </c>
      <c r="V77" s="130">
        <f>_xlfn.MAXIFS(关卡产出!AC:AC,关卡产出!$A:$A,玩家节奏2!$N$6,关卡产出!$B:$B,玩家节奏2!$N77)+_xlfn.MAXIFS(关卡产出!AC:AC,关卡产出!$A:$A,玩家节奏2!$O$6,关卡产出!$B:$B,玩家节奏2!$O77)+_xlfn.MAXIFS(关卡产出!AC:AC,关卡产出!$A:$A,玩家节奏2!$P$6,关卡产出!$B:$B,玩家节奏2!$P77)</f>
        <v>1200</v>
      </c>
      <c r="W77" s="126">
        <f>INDEX(关卡产出!C$8:C$207,MATCH(玩家节奏2!$N77,关卡产出!$B$8:$B$207,0))*$K77</f>
        <v>2528</v>
      </c>
      <c r="X77" s="126">
        <f>INDEX(关卡产出!D$8:D$207,MATCH(玩家节奏2!$N77,关卡产出!$B$8:$B$207,0))*$K77</f>
        <v>1264</v>
      </c>
      <c r="Y77" s="126">
        <f>INDEX(关卡产出!E$8:E$207,MATCH(玩家节奏2!$N77,关卡产出!$B$8:$B$207,0))*$K77</f>
        <v>624</v>
      </c>
      <c r="Z77" s="144">
        <f>INDEX(关卡产出!F$8:F$207,MATCH(玩家节奏2!$N77,关卡产出!$B$8:$B$207,0))*$K77</f>
        <v>32800</v>
      </c>
      <c r="AA77" s="126">
        <f>SUM(W$7:W77)</f>
        <v>121358</v>
      </c>
      <c r="AB77" s="126">
        <f>SUM(X$7:X77)</f>
        <v>60515</v>
      </c>
      <c r="AC77" s="126">
        <f>SUM(Y$7:Y77)</f>
        <v>29651</v>
      </c>
      <c r="AD77" s="177">
        <f>SUM(Z$7:Z77)</f>
        <v>1602330</v>
      </c>
      <c r="AE77" s="128">
        <f>INDEX(图鉴!AQ:AQ,MATCH($N77,图鉴!$S:$S,0))*34</f>
        <v>714</v>
      </c>
      <c r="AF77" s="90">
        <f>INDEX(图鉴!AR:AR,MATCH($N77,图鉴!$S:$S,0))*34</f>
        <v>510</v>
      </c>
      <c r="AG77" s="90">
        <f>INDEX(图鉴!AS:AS,MATCH($N77,图鉴!$S:$S,0))*34</f>
        <v>204</v>
      </c>
      <c r="AH77" s="129">
        <f ca="1">INDEX(图鉴!AT:AT,MATCH($N77,图鉴!$S:$S,0))*34</f>
        <v>55930</v>
      </c>
      <c r="AI77" s="128">
        <f>SUM($AE$7:AE77)</f>
        <v>48790</v>
      </c>
      <c r="AJ77" s="90">
        <f>SUM(AF$7:AF77)</f>
        <v>32742</v>
      </c>
      <c r="AK77" s="90">
        <f>SUM(AG$7:AG77)</f>
        <v>12546</v>
      </c>
      <c r="AL77" s="130">
        <f ca="1">SUM(AH$7:AH77)</f>
        <v>3141396</v>
      </c>
      <c r="AM77" s="133">
        <f>IF(M77=0,0,INDEX(关卡产出!$AU$11:$AU$15,MATCH(玩家节奏2!N77,关卡产出!$AW$11:$AW$15,1))*M77)</f>
        <v>61000</v>
      </c>
      <c r="AN77" s="126">
        <f>IF(L77=0,0,$L77*关卡产出!AU$21)</f>
        <v>16000</v>
      </c>
      <c r="AO77" s="90">
        <f>IF(M77=0,0,$L77*关卡产出!AV$21)</f>
        <v>800</v>
      </c>
      <c r="AP77" s="129">
        <f>IF(N77=0,0,$L77*关卡产出!AW$21)</f>
        <v>16</v>
      </c>
      <c r="AQ77" s="138">
        <f>SUM(AN$7:AN77)</f>
        <v>1088000</v>
      </c>
      <c r="AR77" s="126">
        <f>SUM(AO$7:AO77)</f>
        <v>54400</v>
      </c>
      <c r="AS77" s="129">
        <f>SUM(AP$7:AP77)</f>
        <v>1088</v>
      </c>
      <c r="AT77" s="128">
        <v>3000</v>
      </c>
      <c r="AU77" s="129">
        <v>600</v>
      </c>
      <c r="AV77" s="128">
        <f>SUM(AT$7:AT77)</f>
        <v>213000</v>
      </c>
      <c r="AW77" s="90">
        <f>SUM(AU$7:AU77)</f>
        <v>42600</v>
      </c>
      <c r="AY77" s="128">
        <f t="shared" si="91"/>
        <v>38500</v>
      </c>
      <c r="AZ77" s="90">
        <f t="shared" si="92"/>
        <v>54400</v>
      </c>
      <c r="BA77" s="90">
        <f t="shared" si="93"/>
        <v>42600</v>
      </c>
      <c r="BB77" s="90">
        <f t="shared" ca="1" si="127"/>
        <v>29700</v>
      </c>
      <c r="BC77" s="90">
        <f t="shared" ca="1" si="129"/>
        <v>84775</v>
      </c>
      <c r="BD77" s="90">
        <f t="shared" ca="1" si="130"/>
        <v>80425</v>
      </c>
      <c r="BE77" s="90">
        <f t="shared" ca="1" si="94"/>
        <v>165200</v>
      </c>
      <c r="BF77" s="142">
        <f t="shared" ca="1" si="75"/>
        <v>0.4541433205544087</v>
      </c>
      <c r="BG77" s="142">
        <f t="shared" ca="1" si="76"/>
        <v>0.64169861397817751</v>
      </c>
      <c r="BH77" s="142">
        <f t="shared" ca="1" si="77"/>
        <v>0.50250663521085226</v>
      </c>
      <c r="BI77" s="142">
        <f t="shared" ca="1" si="95"/>
        <v>0.35033913299911529</v>
      </c>
      <c r="BJ77" s="143"/>
      <c r="BK77" s="128">
        <f ca="1">INDEX(商城宝箱!$L:$L,MATCH(BC77,商城宝箱!$N:$N,1))</f>
        <v>11</v>
      </c>
      <c r="BL77" s="90">
        <f ca="1">_xlfn.IFNA(INDEX(商城宝箱!T:T,MATCH(玩家节奏2!$BK77,商城宝箱!$L:$L,0)),0)+($BC77-INDEX(商城宝箱!$N:$N,MATCH(玩家节奏2!$BK77,商城宝箱!$L:$L,0)))/$BK$5*INDEX(商城宝箱!E$23:E$42,MATCH(玩家节奏2!$BK77+1,商城宝箱!$C$23:$C$42,0))</f>
        <v>211937.5</v>
      </c>
      <c r="BM77" s="90">
        <f ca="1">_xlfn.IFNA(INDEX(商城宝箱!U:U,MATCH(玩家节奏2!$BK77,商城宝箱!$L:$L,0)),0)+($BC77-INDEX(商城宝箱!$N:$N,MATCH(玩家节奏2!$BK77,商城宝箱!$L:$L,0)))/$BK$5*INDEX(商城宝箱!F$23:F$42,MATCH(玩家节奏2!$BK77+1,商城宝箱!$C$23:$C$42,0))</f>
        <v>188060</v>
      </c>
      <c r="BN77" s="90">
        <f ca="1">_xlfn.IFNA(INDEX(商城宝箱!V:V,MATCH(玩家节奏2!$BK77,商城宝箱!$L:$L,0)),0)+($BC77-INDEX(商城宝箱!$N:$N,MATCH(玩家节奏2!$BK77,商城宝箱!$L:$L,0)))/$BK$5*INDEX(商城宝箱!G$23:G$42,MATCH(玩家节奏2!$BK77+1,商城宝箱!$C$23:$C$42,0))</f>
        <v>100568.25</v>
      </c>
      <c r="BO77" s="90">
        <f ca="1">_xlfn.IFNA(INDEX(商城宝箱!W:W,MATCH(玩家节奏2!$BK77,商城宝箱!$L:$L,0)),0)+($BC77-INDEX(商城宝箱!$N:$N,MATCH(玩家节奏2!$BK77,商城宝箱!$L:$L,0)))/$BK$5*INDEX(商城宝箱!H$23:H$42,MATCH(玩家节奏2!$BK77+1,商城宝箱!$C$23:$C$42,0))</f>
        <v>14934</v>
      </c>
      <c r="BQ77" s="128">
        <f t="shared" si="79"/>
        <v>11610000</v>
      </c>
      <c r="BR77" s="90">
        <f t="shared" si="80"/>
        <v>1602330</v>
      </c>
      <c r="BS77" s="90">
        <f t="shared" ca="1" si="81"/>
        <v>3141396</v>
      </c>
      <c r="BT77" s="90">
        <f t="shared" si="82"/>
        <v>61000</v>
      </c>
      <c r="BU77" s="90">
        <f t="shared" si="83"/>
        <v>1088000</v>
      </c>
      <c r="BV77" s="90">
        <f t="shared" si="84"/>
        <v>213000</v>
      </c>
      <c r="BW77" s="90">
        <f t="shared" ca="1" si="96"/>
        <v>211937.5</v>
      </c>
      <c r="BX77" s="90">
        <f t="shared" ca="1" si="97"/>
        <v>17927663.5</v>
      </c>
      <c r="BY77" s="142">
        <f t="shared" ca="1" si="74"/>
        <v>0.64760251663581259</v>
      </c>
      <c r="BZ77" s="142">
        <f t="shared" ca="1" si="74"/>
        <v>8.9377514253321411E-2</v>
      </c>
      <c r="CA77" s="142">
        <f t="shared" ca="1" si="73"/>
        <v>0.1752261804780082</v>
      </c>
      <c r="CB77" s="142">
        <f t="shared" ca="1" si="73"/>
        <v>3.4025627489047863E-3</v>
      </c>
      <c r="CC77" s="142">
        <f t="shared" ca="1" si="73"/>
        <v>6.068833230833455E-2</v>
      </c>
      <c r="CD77" s="142">
        <f t="shared" ca="1" si="73"/>
        <v>1.1881079762569172E-2</v>
      </c>
      <c r="CE77" s="142">
        <f t="shared" ca="1" si="73"/>
        <v>1.1821813813049314E-2</v>
      </c>
      <c r="CG77" s="128">
        <f t="shared" si="98"/>
        <v>200</v>
      </c>
      <c r="CH77" s="90">
        <f ca="1">INDEX(角色升级!$A:$A,MATCH(玩家节奏2!$BX77,角色升级!$J:$J,1))</f>
        <v>912</v>
      </c>
      <c r="CI77" s="90">
        <f ca="1">INDEX(角色升级!$O:$O,MATCH(玩家节奏2!$BX77,角色升级!$J:$J,1))</f>
        <v>73862.720304999995</v>
      </c>
      <c r="CJ77" s="90">
        <f>INDEX(关卡对比!$J:$J,MATCH(玩家节奏2!N77,关卡对比!$A:$A,0))</f>
        <v>86200</v>
      </c>
      <c r="CK77" s="147">
        <f t="shared" ca="1" si="99"/>
        <v>1.1670298581484124</v>
      </c>
      <c r="CL77" s="128">
        <f ca="1">INDEX(角色升级!$P:$P,MATCH(玩家节奏2!$CH77,角色升级!$A:$A,0))</f>
        <v>32300</v>
      </c>
      <c r="CM77" s="90">
        <f ca="1">INDEX(角色升级!Q:Q,MATCH(玩家节奏2!$CH77,角色升级!$A:$A,0))</f>
        <v>1.9</v>
      </c>
      <c r="CO77" s="128">
        <f t="shared" si="100"/>
        <v>78866</v>
      </c>
      <c r="CP77" s="90">
        <f t="shared" si="101"/>
        <v>121358</v>
      </c>
      <c r="CQ77" s="90">
        <f t="shared" si="102"/>
        <v>48790</v>
      </c>
      <c r="CR77" s="90">
        <f t="shared" ca="1" si="103"/>
        <v>188060</v>
      </c>
      <c r="CS77" s="90">
        <f t="shared" ca="1" si="104"/>
        <v>437074</v>
      </c>
      <c r="CT77" s="142">
        <f t="shared" ca="1" si="105"/>
        <v>0.18044084068144067</v>
      </c>
      <c r="CU77" s="142">
        <f t="shared" ca="1" si="105"/>
        <v>0.27766007586815961</v>
      </c>
      <c r="CV77" s="142">
        <f t="shared" ca="1" si="105"/>
        <v>0.11162869445448596</v>
      </c>
      <c r="CW77" s="142">
        <f t="shared" ca="1" si="105"/>
        <v>0.43027038899591374</v>
      </c>
      <c r="CY77" s="128">
        <f t="shared" si="106"/>
        <v>39434</v>
      </c>
      <c r="CZ77" s="90">
        <f t="shared" si="107"/>
        <v>60515</v>
      </c>
      <c r="DA77" s="90">
        <f t="shared" si="108"/>
        <v>32742</v>
      </c>
      <c r="DB77" s="90">
        <f t="shared" ca="1" si="128"/>
        <v>100568.25</v>
      </c>
      <c r="DC77" s="90">
        <f t="shared" ca="1" si="109"/>
        <v>233259.25</v>
      </c>
      <c r="DD77" s="142">
        <f t="shared" ca="1" si="110"/>
        <v>0.16905653259195508</v>
      </c>
      <c r="DE77" s="142">
        <f t="shared" ca="1" si="110"/>
        <v>0.2594323697774043</v>
      </c>
      <c r="DF77" s="142">
        <f t="shared" ca="1" si="110"/>
        <v>0.14036742379991363</v>
      </c>
      <c r="DG77" s="142">
        <f t="shared" ca="1" si="110"/>
        <v>0.43114367383072699</v>
      </c>
      <c r="DI77" s="128">
        <f t="shared" si="111"/>
        <v>19113</v>
      </c>
      <c r="DJ77" s="90">
        <f t="shared" si="112"/>
        <v>29651</v>
      </c>
      <c r="DK77" s="90">
        <f t="shared" si="113"/>
        <v>12546</v>
      </c>
      <c r="DL77" s="90">
        <f t="shared" ca="1" si="114"/>
        <v>14934</v>
      </c>
      <c r="DM77" s="90">
        <f t="shared" ca="1" si="115"/>
        <v>76244</v>
      </c>
      <c r="DN77" s="142">
        <f t="shared" ca="1" si="116"/>
        <v>0.25068202088033159</v>
      </c>
      <c r="DO77" s="142">
        <f t="shared" ca="1" si="116"/>
        <v>0.3888961754367557</v>
      </c>
      <c r="DP77" s="142">
        <f t="shared" ca="1" si="116"/>
        <v>0.16455065316615078</v>
      </c>
      <c r="DQ77" s="142">
        <f t="shared" ca="1" si="116"/>
        <v>0.19587115051676199</v>
      </c>
      <c r="DS77" s="128">
        <f t="shared" ca="1" si="117"/>
        <v>437074</v>
      </c>
      <c r="DT77" s="90">
        <f t="shared" ca="1" si="118"/>
        <v>233259.25</v>
      </c>
      <c r="DU77" s="90">
        <f t="shared" ca="1" si="119"/>
        <v>76244</v>
      </c>
      <c r="DV77" s="90">
        <f t="shared" si="120"/>
        <v>1088</v>
      </c>
      <c r="DW77" s="90">
        <f ca="1">_xlfn.IFNA(INDEX(武器升级消耗!$H:$H,MATCH(玩家节奏2!DS77/玩家节奏2!DS$5,武器升级消耗!M:M,1)),0)</f>
        <v>58</v>
      </c>
      <c r="DX77" s="90">
        <f ca="1">_xlfn.IFNA(INDEX(武器升级消耗!$H:$H,MATCH(玩家节奏2!DT77/玩家节奏2!DT$5,武器升级消耗!N:N,1)),0)</f>
        <v>51</v>
      </c>
      <c r="DY77" s="90">
        <f ca="1">_xlfn.IFNA(INDEX(武器升级消耗!$H:$H,MATCH(玩家节奏2!DU77/玩家节奏2!DU$5,武器升级消耗!O:O,1)),0)</f>
        <v>38</v>
      </c>
      <c r="DZ77" s="90">
        <f>_xlfn.IFNA(INDEX(武器升级消耗!$H:$H,MATCH(玩家节奏2!DV77/玩家节奏2!DV$5,武器升级消耗!P:P,1)),0)</f>
        <v>24</v>
      </c>
      <c r="EA77" s="90">
        <f ca="1">_xlfn.IFNA(INDEX(武器升级消耗!$Q:$Q,MATCH(玩家节奏2!DW77,武器升级消耗!$H:$H,0))*2*EA$4,0)</f>
        <v>7.4399999999999995</v>
      </c>
      <c r="EB77" s="90">
        <f ca="1">_xlfn.IFNA(INDEX(武器升级消耗!$Q:$Q,MATCH(玩家节奏2!DX77,武器升级消耗!$H:$H,0))*2*EB$4,0)</f>
        <v>8.25</v>
      </c>
      <c r="EC77" s="90">
        <f ca="1">_xlfn.IFNA(INDEX(武器升级消耗!$Q:$Q,MATCH(玩家节奏2!DY77,武器升级消耗!$H:$H,0))*2*EC$4,0)</f>
        <v>9.240000000000002</v>
      </c>
      <c r="ED77" s="90">
        <f>_xlfn.IFNA(INDEX(武器升级消耗!$Q:$Q,MATCH(玩家节奏2!DZ77,武器升级消耗!$H:$H,0))*2*ED$4,0)</f>
        <v>8.3999999999999986</v>
      </c>
      <c r="EF77" s="128">
        <f t="shared" si="85"/>
        <v>0</v>
      </c>
      <c r="EG77" s="90">
        <f t="shared" si="86"/>
        <v>0</v>
      </c>
      <c r="EH77" s="90">
        <v>213</v>
      </c>
      <c r="EI77" s="90">
        <v>213</v>
      </c>
      <c r="EJ77" s="90">
        <f>_xlfn.IFNA(INDEX(皮肤宠物!$J$4:$J$13,MATCH(EF77+EH77,皮肤宠物!$L$4:$L$13,1)),0)</f>
        <v>7</v>
      </c>
      <c r="EK77" s="90">
        <f>_xlfn.IFNA(INDEX(皮肤宠物!$J$4:$J$13,MATCH(EG77+EI77,皮肤宠物!$L$4:$L$13,1)),0)</f>
        <v>7</v>
      </c>
      <c r="EL77" s="90">
        <f>_xlfn.IFNA(INDEX(皮肤宠物!$N$4:$N$13,MATCH(EF77+EH77,皮肤宠物!$L$4:$L$13,1)),1)</f>
        <v>1.87</v>
      </c>
      <c r="EM77" s="90">
        <f>_xlfn.IFNA(INDEX(皮肤宠物!$N$4:$N$13,MATCH(EG77+EI77,皮肤宠物!$L$4:$L$13,1)),1)</f>
        <v>1.87</v>
      </c>
      <c r="EO77" s="128">
        <v>213</v>
      </c>
      <c r="EP77" s="90">
        <v>71</v>
      </c>
      <c r="EQ77" s="90">
        <f t="shared" ca="1" si="121"/>
        <v>80425</v>
      </c>
      <c r="ER77" s="90">
        <f t="shared" si="87"/>
        <v>0</v>
      </c>
      <c r="ES77" s="90">
        <f t="shared" ca="1" si="122"/>
        <v>875.25</v>
      </c>
      <c r="ET77" s="90">
        <f ca="1">$ES77*ET$5*皮肤宠物!$J$75/4</f>
        <v>2889.2002499999999</v>
      </c>
      <c r="EU77" s="90">
        <f ca="1">$ES77*EU$5*皮肤宠物!$J$76/4</f>
        <v>482.26275000000004</v>
      </c>
      <c r="EV77" s="90">
        <f ca="1">$ES77*EV$5*皮肤宠物!$J$77/4</f>
        <v>130.63106250000001</v>
      </c>
      <c r="EW77" s="90">
        <f ca="1">_xlfn.IFNA(INDEX(皮肤宠物!$H$18:$H$67,MATCH(ET77,皮肤宠物!L$18:L$67,1)),0)</f>
        <v>19</v>
      </c>
      <c r="EX77" s="90">
        <f ca="1">_xlfn.IFNA(INDEX(皮肤宠物!$H$18:$H$67,MATCH(EU77,皮肤宠物!M$18:M$67,1)),0)</f>
        <v>15</v>
      </c>
      <c r="EY77" s="90">
        <f ca="1">_xlfn.IFNA(INDEX(皮肤宠物!$H$18:$H$67,MATCH(EV77,皮肤宠物!N$18:N$67,1)),0)</f>
        <v>10</v>
      </c>
      <c r="EZ77" s="90">
        <f ca="1">_xlfn.IFNA(INDEX(皮肤宠物!C$18:C$67,MATCH(EW77,皮肤宠物!$A$18:$A$67,0))+1,1)</f>
        <v>1.19</v>
      </c>
      <c r="FA77" s="90">
        <f ca="1">_xlfn.IFNA(INDEX(皮肤宠物!D$18:D$67,MATCH(EX77,皮肤宠物!$A$18:$A$67,0))+1,1)</f>
        <v>1.3</v>
      </c>
      <c r="FB77" s="90">
        <f ca="1">_xlfn.IFNA(INDEX(皮肤宠物!E$18:E$67,MATCH(EY77,皮肤宠物!$A$18:$A$67,0))+1,1)</f>
        <v>1.4</v>
      </c>
      <c r="FD77" s="90">
        <f t="shared" ca="1" si="123"/>
        <v>9.240000000000002</v>
      </c>
      <c r="FE77" s="90">
        <f t="shared" si="124"/>
        <v>1.87</v>
      </c>
      <c r="FF77" s="90">
        <f t="shared" ca="1" si="125"/>
        <v>1.4</v>
      </c>
      <c r="FG77" s="90">
        <f t="shared" ca="1" si="126"/>
        <v>24.190320000000003</v>
      </c>
    </row>
    <row r="78" spans="1:163" x14ac:dyDescent="0.25">
      <c r="A78" s="123">
        <v>72</v>
      </c>
      <c r="B78" s="123">
        <f>INDEX(关卡对比!$Y:$Y,MATCH(关卡对比!Z78,关卡对比!$AA:$AA,1))</f>
        <v>49</v>
      </c>
      <c r="C78" s="124">
        <f>INDEX(关卡对比!$Y:$Y,MATCH(关卡对比!Z78,关卡对比!$AB:$AB,1))</f>
        <v>41</v>
      </c>
      <c r="D78" s="125">
        <f t="shared" si="63"/>
        <v>293.5</v>
      </c>
      <c r="E78" s="125">
        <v>2</v>
      </c>
      <c r="F78" s="128">
        <v>16</v>
      </c>
      <c r="G78" s="90">
        <v>16</v>
      </c>
      <c r="H78" s="90">
        <v>5</v>
      </c>
      <c r="J78" s="128">
        <v>72</v>
      </c>
      <c r="K78" s="90">
        <f t="shared" si="88"/>
        <v>16</v>
      </c>
      <c r="L78" s="90">
        <f t="shared" si="89"/>
        <v>16</v>
      </c>
      <c r="M78" s="90">
        <f t="shared" si="90"/>
        <v>5</v>
      </c>
      <c r="N78" s="140">
        <f>INDEX($A:$A,MATCH(SUM($K$7:K78),$D:$D,1))</f>
        <v>200</v>
      </c>
      <c r="O78" s="140">
        <v>0</v>
      </c>
      <c r="P78" s="141">
        <v>0</v>
      </c>
      <c r="Q78" s="126">
        <f>_xlfn.MAXIFS(关卡产出!X:X,关卡产出!$A:$A,玩家节奏2!$N$6,关卡产出!$B:$B,玩家节奏2!$N78)+_xlfn.MAXIFS(关卡产出!X:X,关卡产出!$A:$A,玩家节奏2!$O$6,关卡产出!$B:$B,玩家节奏2!$O78)+_xlfn.MAXIFS(关卡产出!X:X,关卡产出!$A:$A,玩家节奏2!$P$6,关卡产出!$B:$B,玩家节奏2!$P78)</f>
        <v>38500</v>
      </c>
      <c r="R78" s="90">
        <f>_xlfn.MAXIFS(关卡产出!Y:Y,关卡产出!$A:$A,玩家节奏2!$N$6,关卡产出!$B:$B,玩家节奏2!$N78)+_xlfn.MAXIFS(关卡产出!Y:Y,关卡产出!$A:$A,玩家节奏2!$O$6,关卡产出!$B:$B,玩家节奏2!$O78)+_xlfn.MAXIFS(关卡产出!Y:Y,关卡产出!$A:$A,玩家节奏2!$P$6,关卡产出!$B:$B,玩家节奏2!$P78)</f>
        <v>11610000</v>
      </c>
      <c r="S78" s="90">
        <f>_xlfn.MAXIFS(关卡产出!Z:Z,关卡产出!$A:$A,玩家节奏2!$N$6,关卡产出!$B:$B,玩家节奏2!$N78)+_xlfn.MAXIFS(关卡产出!Z:Z,关卡产出!$A:$A,玩家节奏2!$O$6,关卡产出!$B:$B,玩家节奏2!$O78)+_xlfn.MAXIFS(关卡产出!Z:Z,关卡产出!$A:$A,玩家节奏2!$P$6,关卡产出!$B:$B,玩家节奏2!$P78)</f>
        <v>78866</v>
      </c>
      <c r="T78" s="90">
        <f>_xlfn.MAXIFS(关卡产出!AA:AA,关卡产出!$A:$A,玩家节奏2!$N$6,关卡产出!$B:$B,玩家节奏2!$N78)+_xlfn.MAXIFS(关卡产出!AA:AA,关卡产出!$A:$A,玩家节奏2!$O$6,关卡产出!$B:$B,玩家节奏2!$O78)+_xlfn.MAXIFS(关卡产出!AA:AA,关卡产出!$A:$A,玩家节奏2!$P$6,关卡产出!$B:$B,玩家节奏2!$P78)</f>
        <v>39434</v>
      </c>
      <c r="U78" s="90">
        <f>_xlfn.MAXIFS(关卡产出!AB:AB,关卡产出!$A:$A,玩家节奏2!$N$6,关卡产出!$B:$B,玩家节奏2!$N78)+_xlfn.MAXIFS(关卡产出!AB:AB,关卡产出!$A:$A,玩家节奏2!$O$6,关卡产出!$B:$B,玩家节奏2!$O78)+_xlfn.MAXIFS(关卡产出!AB:AB,关卡产出!$A:$A,玩家节奏2!$P$6,关卡产出!$B:$B,玩家节奏2!$P78)</f>
        <v>19113</v>
      </c>
      <c r="V78" s="130">
        <f>_xlfn.MAXIFS(关卡产出!AC:AC,关卡产出!$A:$A,玩家节奏2!$N$6,关卡产出!$B:$B,玩家节奏2!$N78)+_xlfn.MAXIFS(关卡产出!AC:AC,关卡产出!$A:$A,玩家节奏2!$O$6,关卡产出!$B:$B,玩家节奏2!$O78)+_xlfn.MAXIFS(关卡产出!AC:AC,关卡产出!$A:$A,玩家节奏2!$P$6,关卡产出!$B:$B,玩家节奏2!$P78)</f>
        <v>1200</v>
      </c>
      <c r="W78" s="126">
        <f>INDEX(关卡产出!C$8:C$207,MATCH(玩家节奏2!$N78,关卡产出!$B$8:$B$207,0))*$K78</f>
        <v>2528</v>
      </c>
      <c r="X78" s="126">
        <f>INDEX(关卡产出!D$8:D$207,MATCH(玩家节奏2!$N78,关卡产出!$B$8:$B$207,0))*$K78</f>
        <v>1264</v>
      </c>
      <c r="Y78" s="126">
        <f>INDEX(关卡产出!E$8:E$207,MATCH(玩家节奏2!$N78,关卡产出!$B$8:$B$207,0))*$K78</f>
        <v>624</v>
      </c>
      <c r="Z78" s="144">
        <f>INDEX(关卡产出!F$8:F$207,MATCH(玩家节奏2!$N78,关卡产出!$B$8:$B$207,0))*$K78</f>
        <v>32800</v>
      </c>
      <c r="AA78" s="126">
        <f>SUM(W$7:W78)</f>
        <v>123886</v>
      </c>
      <c r="AB78" s="126">
        <f>SUM(X$7:X78)</f>
        <v>61779</v>
      </c>
      <c r="AC78" s="126">
        <f>SUM(Y$7:Y78)</f>
        <v>30275</v>
      </c>
      <c r="AD78" s="177">
        <f>SUM(Z$7:Z78)</f>
        <v>1635130</v>
      </c>
      <c r="AE78" s="128">
        <f>INDEX(图鉴!AQ:AQ,MATCH($N78,图鉴!$S:$S,0))*34</f>
        <v>714</v>
      </c>
      <c r="AF78" s="90">
        <f>INDEX(图鉴!AR:AR,MATCH($N78,图鉴!$S:$S,0))*34</f>
        <v>510</v>
      </c>
      <c r="AG78" s="90">
        <f>INDEX(图鉴!AS:AS,MATCH($N78,图鉴!$S:$S,0))*34</f>
        <v>204</v>
      </c>
      <c r="AH78" s="129">
        <f ca="1">INDEX(图鉴!AT:AT,MATCH($N78,图鉴!$S:$S,0))*34</f>
        <v>55930</v>
      </c>
      <c r="AI78" s="128">
        <f>SUM($AE$7:AE78)</f>
        <v>49504</v>
      </c>
      <c r="AJ78" s="90">
        <f>SUM(AF$7:AF78)</f>
        <v>33252</v>
      </c>
      <c r="AK78" s="90">
        <f>SUM(AG$7:AG78)</f>
        <v>12750</v>
      </c>
      <c r="AL78" s="130">
        <f ca="1">SUM(AH$7:AH78)</f>
        <v>3197326</v>
      </c>
      <c r="AM78" s="133">
        <f>IF(M78=0,0,INDEX(关卡产出!$AU$11:$AU$15,MATCH(玩家节奏2!N78,关卡产出!$AW$11:$AW$15,1))*M78)</f>
        <v>61000</v>
      </c>
      <c r="AN78" s="126">
        <f>IF(L78=0,0,$L78*关卡产出!AU$21)</f>
        <v>16000</v>
      </c>
      <c r="AO78" s="90">
        <f>IF(M78=0,0,$L78*关卡产出!AV$21)</f>
        <v>800</v>
      </c>
      <c r="AP78" s="129">
        <f>IF(N78=0,0,$L78*关卡产出!AW$21)</f>
        <v>16</v>
      </c>
      <c r="AQ78" s="138">
        <f>SUM(AN$7:AN78)</f>
        <v>1104000</v>
      </c>
      <c r="AR78" s="126">
        <f>SUM(AO$7:AO78)</f>
        <v>55200</v>
      </c>
      <c r="AS78" s="129">
        <f>SUM(AP$7:AP78)</f>
        <v>1104</v>
      </c>
      <c r="AT78" s="128">
        <v>3000</v>
      </c>
      <c r="AU78" s="129">
        <v>600</v>
      </c>
      <c r="AV78" s="128">
        <f>SUM(AT$7:AT78)</f>
        <v>216000</v>
      </c>
      <c r="AW78" s="90">
        <f>SUM(AU$7:AU78)</f>
        <v>43200</v>
      </c>
      <c r="AY78" s="128">
        <f t="shared" si="91"/>
        <v>38500</v>
      </c>
      <c r="AZ78" s="90">
        <f t="shared" si="92"/>
        <v>55200</v>
      </c>
      <c r="BA78" s="90">
        <f t="shared" si="93"/>
        <v>43200</v>
      </c>
      <c r="BB78" s="90">
        <f t="shared" ca="1" si="127"/>
        <v>32300</v>
      </c>
      <c r="BC78" s="90">
        <f t="shared" ca="1" si="129"/>
        <v>86775</v>
      </c>
      <c r="BD78" s="90">
        <f t="shared" ca="1" si="130"/>
        <v>82425</v>
      </c>
      <c r="BE78" s="90">
        <f t="shared" ca="1" si="94"/>
        <v>169200</v>
      </c>
      <c r="BF78" s="142">
        <f t="shared" ca="1" si="75"/>
        <v>0.44367617401325266</v>
      </c>
      <c r="BG78" s="142">
        <f t="shared" ca="1" si="76"/>
        <v>0.63612791702679339</v>
      </c>
      <c r="BH78" s="142">
        <f t="shared" ca="1" si="77"/>
        <v>0.49783923941227309</v>
      </c>
      <c r="BI78" s="142">
        <f t="shared" ca="1" si="95"/>
        <v>0.37222702391241719</v>
      </c>
      <c r="BJ78" s="143"/>
      <c r="BK78" s="128">
        <f ca="1">INDEX(商城宝箱!$L:$L,MATCH(BC78,商城宝箱!$N:$N,1))</f>
        <v>11</v>
      </c>
      <c r="BL78" s="90">
        <f ca="1">_xlfn.IFNA(INDEX(商城宝箱!T:T,MATCH(玩家节奏2!$BK78,商城宝箱!$L:$L,0)),0)+($BC78-INDEX(商城宝箱!$N:$N,MATCH(玩家节奏2!$BK78,商城宝箱!$L:$L,0)))/$BK$5*INDEX(商城宝箱!E$23:E$42,MATCH(玩家节奏2!$BK78+1,商城宝箱!$C$23:$C$42,0))</f>
        <v>216937.5</v>
      </c>
      <c r="BM78" s="90">
        <f ca="1">_xlfn.IFNA(INDEX(商城宝箱!U:U,MATCH(玩家节奏2!$BK78,商城宝箱!$L:$L,0)),0)+($BC78-INDEX(商城宝箱!$N:$N,MATCH(玩家节奏2!$BK78,商城宝箱!$L:$L,0)))/$BK$5*INDEX(商城宝箱!F$23:F$42,MATCH(玩家节奏2!$BK78+1,商城宝箱!$C$23:$C$42,0))</f>
        <v>195460</v>
      </c>
      <c r="BN78" s="90">
        <f ca="1">_xlfn.IFNA(INDEX(商城宝箱!V:V,MATCH(玩家节奏2!$BK78,商城宝箱!$L:$L,0)),0)+($BC78-INDEX(商城宝箱!$N:$N,MATCH(玩家节奏2!$BK78,商城宝箱!$L:$L,0)))/$BK$5*INDEX(商城宝箱!G$23:G$42,MATCH(玩家节奏2!$BK78+1,商城宝箱!$C$23:$C$42,0))</f>
        <v>104068.25</v>
      </c>
      <c r="BO78" s="90">
        <f ca="1">_xlfn.IFNA(INDEX(商城宝箱!W:W,MATCH(玩家节奏2!$BK78,商城宝箱!$L:$L,0)),0)+($BC78-INDEX(商城宝箱!$N:$N,MATCH(玩家节奏2!$BK78,商城宝箱!$L:$L,0)))/$BK$5*INDEX(商城宝箱!H$23:H$42,MATCH(玩家节奏2!$BK78+1,商城宝箱!$C$23:$C$42,0))</f>
        <v>15534</v>
      </c>
      <c r="BQ78" s="128">
        <f t="shared" si="79"/>
        <v>11610000</v>
      </c>
      <c r="BR78" s="90">
        <f t="shared" si="80"/>
        <v>1635130</v>
      </c>
      <c r="BS78" s="90">
        <f t="shared" ca="1" si="81"/>
        <v>3197326</v>
      </c>
      <c r="BT78" s="90">
        <f t="shared" si="82"/>
        <v>61000</v>
      </c>
      <c r="BU78" s="90">
        <f t="shared" si="83"/>
        <v>1104000</v>
      </c>
      <c r="BV78" s="90">
        <f t="shared" si="84"/>
        <v>216000</v>
      </c>
      <c r="BW78" s="90">
        <f t="shared" ca="1" si="96"/>
        <v>216937.5</v>
      </c>
      <c r="BX78" s="90">
        <f t="shared" ca="1" si="97"/>
        <v>18040393.5</v>
      </c>
      <c r="BY78" s="142">
        <f t="shared" ca="1" si="74"/>
        <v>0.64355580713912919</v>
      </c>
      <c r="BZ78" s="142">
        <f t="shared" ca="1" si="74"/>
        <v>9.0637158219414676E-2</v>
      </c>
      <c r="CA78" s="142">
        <f t="shared" ca="1" si="73"/>
        <v>0.1772314999670046</v>
      </c>
      <c r="CB78" s="142">
        <f t="shared" ca="1" si="73"/>
        <v>3.3813009677421948E-3</v>
      </c>
      <c r="CC78" s="142">
        <f t="shared" ca="1" si="73"/>
        <v>6.1196004399793162E-2</v>
      </c>
      <c r="CD78" s="142">
        <f t="shared" ca="1" si="73"/>
        <v>1.1973131295611707E-2</v>
      </c>
      <c r="CE78" s="142">
        <f t="shared" ca="1" si="73"/>
        <v>1.2025098011304466E-2</v>
      </c>
      <c r="CG78" s="128">
        <f t="shared" si="98"/>
        <v>200</v>
      </c>
      <c r="CH78" s="90">
        <f ca="1">INDEX(角色升级!$A:$A,MATCH(玩家节奏2!$BX78,角色升级!$J:$J,1))</f>
        <v>914</v>
      </c>
      <c r="CI78" s="90">
        <f ca="1">INDEX(角色升级!$O:$O,MATCH(玩家节奏2!$BX78,角色升级!$J:$J,1))</f>
        <v>73976.267914999989</v>
      </c>
      <c r="CJ78" s="90">
        <f>INDEX(关卡对比!$J:$J,MATCH(玩家节奏2!N78,关卡对比!$A:$A,0))</f>
        <v>86200</v>
      </c>
      <c r="CK78" s="147">
        <f t="shared" ca="1" si="99"/>
        <v>1.165238561359236</v>
      </c>
      <c r="CL78" s="128">
        <f ca="1">INDEX(角色升级!$P:$P,MATCH(玩家节奏2!$CH78,角色升级!$A:$A,0))</f>
        <v>32300</v>
      </c>
      <c r="CM78" s="90">
        <f ca="1">INDEX(角色升级!Q:Q,MATCH(玩家节奏2!$CH78,角色升级!$A:$A,0))</f>
        <v>1.9</v>
      </c>
      <c r="CO78" s="128">
        <f t="shared" si="100"/>
        <v>78866</v>
      </c>
      <c r="CP78" s="90">
        <f t="shared" si="101"/>
        <v>123886</v>
      </c>
      <c r="CQ78" s="90">
        <f t="shared" si="102"/>
        <v>49504</v>
      </c>
      <c r="CR78" s="90">
        <f t="shared" ca="1" si="103"/>
        <v>195460</v>
      </c>
      <c r="CS78" s="90">
        <f t="shared" ca="1" si="104"/>
        <v>447716</v>
      </c>
      <c r="CT78" s="142">
        <f t="shared" ca="1" si="105"/>
        <v>0.17615184625968247</v>
      </c>
      <c r="CU78" s="142">
        <f t="shared" ca="1" si="105"/>
        <v>0.27670666225911067</v>
      </c>
      <c r="CV78" s="142">
        <f t="shared" ca="1" si="105"/>
        <v>0.11057009354144146</v>
      </c>
      <c r="CW78" s="142">
        <f t="shared" ca="1" si="105"/>
        <v>0.4365713979397654</v>
      </c>
      <c r="CY78" s="128">
        <f t="shared" si="106"/>
        <v>39434</v>
      </c>
      <c r="CZ78" s="90">
        <f t="shared" si="107"/>
        <v>61779</v>
      </c>
      <c r="DA78" s="90">
        <f t="shared" si="108"/>
        <v>33252</v>
      </c>
      <c r="DB78" s="90">
        <f t="shared" ca="1" si="128"/>
        <v>104068.25</v>
      </c>
      <c r="DC78" s="90">
        <f t="shared" ca="1" si="109"/>
        <v>238533.25</v>
      </c>
      <c r="DD78" s="142">
        <f t="shared" ca="1" si="110"/>
        <v>0.16531867150596405</v>
      </c>
      <c r="DE78" s="142">
        <f t="shared" ca="1" si="110"/>
        <v>0.25899533922419621</v>
      </c>
      <c r="DF78" s="142">
        <f t="shared" ca="1" si="110"/>
        <v>0.13940194920414659</v>
      </c>
      <c r="DG78" s="142">
        <f t="shared" ca="1" si="110"/>
        <v>0.43628404006569316</v>
      </c>
      <c r="DI78" s="128">
        <f t="shared" si="111"/>
        <v>19113</v>
      </c>
      <c r="DJ78" s="90">
        <f t="shared" si="112"/>
        <v>30275</v>
      </c>
      <c r="DK78" s="90">
        <f t="shared" si="113"/>
        <v>12750</v>
      </c>
      <c r="DL78" s="90">
        <f t="shared" ca="1" si="114"/>
        <v>15534</v>
      </c>
      <c r="DM78" s="90">
        <f t="shared" ca="1" si="115"/>
        <v>77672</v>
      </c>
      <c r="DN78" s="142">
        <f t="shared" ca="1" si="116"/>
        <v>0.24607323102276238</v>
      </c>
      <c r="DO78" s="142">
        <f t="shared" ca="1" si="116"/>
        <v>0.38978010093727472</v>
      </c>
      <c r="DP78" s="142">
        <f t="shared" ca="1" si="116"/>
        <v>0.16415181790091668</v>
      </c>
      <c r="DQ78" s="142">
        <f t="shared" ca="1" si="116"/>
        <v>0.19999485013904625</v>
      </c>
      <c r="DS78" s="128">
        <f t="shared" ca="1" si="117"/>
        <v>447716</v>
      </c>
      <c r="DT78" s="90">
        <f t="shared" ca="1" si="118"/>
        <v>238533.25</v>
      </c>
      <c r="DU78" s="90">
        <f t="shared" ca="1" si="119"/>
        <v>77672</v>
      </c>
      <c r="DV78" s="90">
        <f t="shared" si="120"/>
        <v>1104</v>
      </c>
      <c r="DW78" s="90">
        <f ca="1">_xlfn.IFNA(INDEX(武器升级消耗!$H:$H,MATCH(玩家节奏2!DS78/玩家节奏2!DS$5,武器升级消耗!M:M,1)),0)</f>
        <v>58</v>
      </c>
      <c r="DX78" s="90">
        <f ca="1">_xlfn.IFNA(INDEX(武器升级消耗!$H:$H,MATCH(玩家节奏2!DT78/玩家节奏2!DT$5,武器升级消耗!N:N,1)),0)</f>
        <v>52</v>
      </c>
      <c r="DY78" s="90">
        <f ca="1">_xlfn.IFNA(INDEX(武器升级消耗!$H:$H,MATCH(玩家节奏2!DU78/玩家节奏2!DU$5,武器升级消耗!O:O,1)),0)</f>
        <v>38</v>
      </c>
      <c r="DZ78" s="90">
        <f>_xlfn.IFNA(INDEX(武器升级消耗!$H:$H,MATCH(玩家节奏2!DV78/玩家节奏2!DV$5,武器升级消耗!P:P,1)),0)</f>
        <v>24</v>
      </c>
      <c r="EA78" s="90">
        <f ca="1">_xlfn.IFNA(INDEX(武器升级消耗!$Q:$Q,MATCH(玩家节奏2!DW78,武器升级消耗!$H:$H,0))*2*EA$4,0)</f>
        <v>7.4399999999999995</v>
      </c>
      <c r="EB78" s="90">
        <f ca="1">_xlfn.IFNA(INDEX(武器升级消耗!$Q:$Q,MATCH(玩家节奏2!DX78,武器升级消耗!$H:$H,0))*2*EB$4,0)</f>
        <v>8.3999999999999986</v>
      </c>
      <c r="EC78" s="90">
        <f ca="1">_xlfn.IFNA(INDEX(武器升级消耗!$Q:$Q,MATCH(玩家节奏2!DY78,武器升级消耗!$H:$H,0))*2*EC$4,0)</f>
        <v>9.240000000000002</v>
      </c>
      <c r="ED78" s="90">
        <f>_xlfn.IFNA(INDEX(武器升级消耗!$Q:$Q,MATCH(玩家节奏2!DZ78,武器升级消耗!$H:$H,0))*2*ED$4,0)</f>
        <v>8.3999999999999986</v>
      </c>
      <c r="EF78" s="128">
        <f t="shared" si="85"/>
        <v>0</v>
      </c>
      <c r="EG78" s="90">
        <f t="shared" si="86"/>
        <v>0</v>
      </c>
      <c r="EH78" s="90">
        <v>216</v>
      </c>
      <c r="EI78" s="90">
        <v>216</v>
      </c>
      <c r="EJ78" s="90">
        <f>_xlfn.IFNA(INDEX(皮肤宠物!$J$4:$J$13,MATCH(EF78+EH78,皮肤宠物!$L$4:$L$13,1)),0)</f>
        <v>8</v>
      </c>
      <c r="EK78" s="90">
        <f>_xlfn.IFNA(INDEX(皮肤宠物!$J$4:$J$13,MATCH(EG78+EI78,皮肤宠物!$L$4:$L$13,1)),0)</f>
        <v>8</v>
      </c>
      <c r="EL78" s="90">
        <f>_xlfn.IFNA(INDEX(皮肤宠物!$N$4:$N$13,MATCH(EF78+EH78,皮肤宠物!$L$4:$L$13,1)),1)</f>
        <v>1.9800000000000002</v>
      </c>
      <c r="EM78" s="90">
        <f>_xlfn.IFNA(INDEX(皮肤宠物!$N$4:$N$13,MATCH(EG78+EI78,皮肤宠物!$L$4:$L$13,1)),1)</f>
        <v>1.9800000000000002</v>
      </c>
      <c r="EO78" s="128">
        <v>216</v>
      </c>
      <c r="EP78" s="90">
        <v>72</v>
      </c>
      <c r="EQ78" s="90">
        <f t="shared" ca="1" si="121"/>
        <v>82425</v>
      </c>
      <c r="ER78" s="90">
        <f t="shared" si="87"/>
        <v>0</v>
      </c>
      <c r="ES78" s="90">
        <f t="shared" ca="1" si="122"/>
        <v>896.25</v>
      </c>
      <c r="ET78" s="90">
        <f ca="1">$ES78*ET$5*皮肤宠物!$J$75/4</f>
        <v>2958.5212500000002</v>
      </c>
      <c r="EU78" s="90">
        <f ca="1">$ES78*EU$5*皮肤宠物!$J$76/4</f>
        <v>493.83375000000001</v>
      </c>
      <c r="EV78" s="90">
        <f ca="1">$ES78*EV$5*皮肤宠物!$J$77/4</f>
        <v>133.76531249999999</v>
      </c>
      <c r="EW78" s="90">
        <f ca="1">_xlfn.IFNA(INDEX(皮肤宠物!$H$18:$H$67,MATCH(ET78,皮肤宠物!L$18:L$67,1)),0)</f>
        <v>19</v>
      </c>
      <c r="EX78" s="90">
        <f ca="1">_xlfn.IFNA(INDEX(皮肤宠物!$H$18:$H$67,MATCH(EU78,皮肤宠物!M$18:M$67,1)),0)</f>
        <v>15</v>
      </c>
      <c r="EY78" s="90">
        <f ca="1">_xlfn.IFNA(INDEX(皮肤宠物!$H$18:$H$67,MATCH(EV78,皮肤宠物!N$18:N$67,1)),0)</f>
        <v>11</v>
      </c>
      <c r="EZ78" s="90">
        <f ca="1">_xlfn.IFNA(INDEX(皮肤宠物!C$18:C$67,MATCH(EW78,皮肤宠物!$A$18:$A$67,0))+1,1)</f>
        <v>1.19</v>
      </c>
      <c r="FA78" s="90">
        <f ca="1">_xlfn.IFNA(INDEX(皮肤宠物!D$18:D$67,MATCH(EX78,皮肤宠物!$A$18:$A$67,0))+1,1)</f>
        <v>1.3</v>
      </c>
      <c r="FB78" s="90">
        <f ca="1">_xlfn.IFNA(INDEX(皮肤宠物!E$18:E$67,MATCH(EY78,皮肤宠物!$A$18:$A$67,0))+1,1)</f>
        <v>1.44</v>
      </c>
      <c r="FD78" s="90">
        <f t="shared" ca="1" si="123"/>
        <v>9.240000000000002</v>
      </c>
      <c r="FE78" s="90">
        <f t="shared" si="124"/>
        <v>1.9800000000000002</v>
      </c>
      <c r="FF78" s="90">
        <f t="shared" ca="1" si="125"/>
        <v>1.44</v>
      </c>
      <c r="FG78" s="90">
        <f t="shared" ca="1" si="126"/>
        <v>26.345088000000008</v>
      </c>
    </row>
    <row r="79" spans="1:163" x14ac:dyDescent="0.25">
      <c r="A79" s="123">
        <v>73</v>
      </c>
      <c r="B79" s="123">
        <f>INDEX(关卡对比!$Y:$Y,MATCH(关卡对比!Z79,关卡对比!$AA:$AA,1))</f>
        <v>50</v>
      </c>
      <c r="C79" s="124">
        <f>INDEX(关卡对比!$Y:$Y,MATCH(关卡对比!Z79,关卡对比!$AB:$AB,1))</f>
        <v>41</v>
      </c>
      <c r="D79" s="125">
        <f t="shared" si="63"/>
        <v>297.5</v>
      </c>
      <c r="E79" s="125">
        <v>2</v>
      </c>
      <c r="F79" s="128">
        <v>16</v>
      </c>
      <c r="G79" s="90">
        <v>16</v>
      </c>
      <c r="H79" s="90">
        <v>5</v>
      </c>
      <c r="J79" s="128">
        <v>73</v>
      </c>
      <c r="K79" s="90">
        <f t="shared" si="88"/>
        <v>16</v>
      </c>
      <c r="L79" s="90">
        <f t="shared" si="89"/>
        <v>16</v>
      </c>
      <c r="M79" s="90">
        <f t="shared" si="90"/>
        <v>5</v>
      </c>
      <c r="N79" s="140">
        <f>INDEX($A:$A,MATCH(SUM($K$7:K79),$D:$D,1))</f>
        <v>200</v>
      </c>
      <c r="O79" s="140">
        <v>0</v>
      </c>
      <c r="P79" s="141">
        <v>0</v>
      </c>
      <c r="Q79" s="126">
        <f>_xlfn.MAXIFS(关卡产出!X:X,关卡产出!$A:$A,玩家节奏2!$N$6,关卡产出!$B:$B,玩家节奏2!$N79)+_xlfn.MAXIFS(关卡产出!X:X,关卡产出!$A:$A,玩家节奏2!$O$6,关卡产出!$B:$B,玩家节奏2!$O79)+_xlfn.MAXIFS(关卡产出!X:X,关卡产出!$A:$A,玩家节奏2!$P$6,关卡产出!$B:$B,玩家节奏2!$P79)</f>
        <v>38500</v>
      </c>
      <c r="R79" s="90">
        <f>_xlfn.MAXIFS(关卡产出!Y:Y,关卡产出!$A:$A,玩家节奏2!$N$6,关卡产出!$B:$B,玩家节奏2!$N79)+_xlfn.MAXIFS(关卡产出!Y:Y,关卡产出!$A:$A,玩家节奏2!$O$6,关卡产出!$B:$B,玩家节奏2!$O79)+_xlfn.MAXIFS(关卡产出!Y:Y,关卡产出!$A:$A,玩家节奏2!$P$6,关卡产出!$B:$B,玩家节奏2!$P79)</f>
        <v>11610000</v>
      </c>
      <c r="S79" s="90">
        <f>_xlfn.MAXIFS(关卡产出!Z:Z,关卡产出!$A:$A,玩家节奏2!$N$6,关卡产出!$B:$B,玩家节奏2!$N79)+_xlfn.MAXIFS(关卡产出!Z:Z,关卡产出!$A:$A,玩家节奏2!$O$6,关卡产出!$B:$B,玩家节奏2!$O79)+_xlfn.MAXIFS(关卡产出!Z:Z,关卡产出!$A:$A,玩家节奏2!$P$6,关卡产出!$B:$B,玩家节奏2!$P79)</f>
        <v>78866</v>
      </c>
      <c r="T79" s="90">
        <f>_xlfn.MAXIFS(关卡产出!AA:AA,关卡产出!$A:$A,玩家节奏2!$N$6,关卡产出!$B:$B,玩家节奏2!$N79)+_xlfn.MAXIFS(关卡产出!AA:AA,关卡产出!$A:$A,玩家节奏2!$O$6,关卡产出!$B:$B,玩家节奏2!$O79)+_xlfn.MAXIFS(关卡产出!AA:AA,关卡产出!$A:$A,玩家节奏2!$P$6,关卡产出!$B:$B,玩家节奏2!$P79)</f>
        <v>39434</v>
      </c>
      <c r="U79" s="90">
        <f>_xlfn.MAXIFS(关卡产出!AB:AB,关卡产出!$A:$A,玩家节奏2!$N$6,关卡产出!$B:$B,玩家节奏2!$N79)+_xlfn.MAXIFS(关卡产出!AB:AB,关卡产出!$A:$A,玩家节奏2!$O$6,关卡产出!$B:$B,玩家节奏2!$O79)+_xlfn.MAXIFS(关卡产出!AB:AB,关卡产出!$A:$A,玩家节奏2!$P$6,关卡产出!$B:$B,玩家节奏2!$P79)</f>
        <v>19113</v>
      </c>
      <c r="V79" s="130">
        <f>_xlfn.MAXIFS(关卡产出!AC:AC,关卡产出!$A:$A,玩家节奏2!$N$6,关卡产出!$B:$B,玩家节奏2!$N79)+_xlfn.MAXIFS(关卡产出!AC:AC,关卡产出!$A:$A,玩家节奏2!$O$6,关卡产出!$B:$B,玩家节奏2!$O79)+_xlfn.MAXIFS(关卡产出!AC:AC,关卡产出!$A:$A,玩家节奏2!$P$6,关卡产出!$B:$B,玩家节奏2!$P79)</f>
        <v>1200</v>
      </c>
      <c r="W79" s="126">
        <f>INDEX(关卡产出!C$8:C$207,MATCH(玩家节奏2!$N79,关卡产出!$B$8:$B$207,0))*$K79</f>
        <v>2528</v>
      </c>
      <c r="X79" s="126">
        <f>INDEX(关卡产出!D$8:D$207,MATCH(玩家节奏2!$N79,关卡产出!$B$8:$B$207,0))*$K79</f>
        <v>1264</v>
      </c>
      <c r="Y79" s="126">
        <f>INDEX(关卡产出!E$8:E$207,MATCH(玩家节奏2!$N79,关卡产出!$B$8:$B$207,0))*$K79</f>
        <v>624</v>
      </c>
      <c r="Z79" s="144">
        <f>INDEX(关卡产出!F$8:F$207,MATCH(玩家节奏2!$N79,关卡产出!$B$8:$B$207,0))*$K79</f>
        <v>32800</v>
      </c>
      <c r="AA79" s="126">
        <f>SUM(W$7:W79)</f>
        <v>126414</v>
      </c>
      <c r="AB79" s="126">
        <f>SUM(X$7:X79)</f>
        <v>63043</v>
      </c>
      <c r="AC79" s="126">
        <f>SUM(Y$7:Y79)</f>
        <v>30899</v>
      </c>
      <c r="AD79" s="177">
        <f>SUM(Z$7:Z79)</f>
        <v>1667930</v>
      </c>
      <c r="AE79" s="128">
        <f>INDEX(图鉴!AQ:AQ,MATCH($N79,图鉴!$S:$S,0))*34</f>
        <v>714</v>
      </c>
      <c r="AF79" s="90">
        <f>INDEX(图鉴!AR:AR,MATCH($N79,图鉴!$S:$S,0))*34</f>
        <v>510</v>
      </c>
      <c r="AG79" s="90">
        <f>INDEX(图鉴!AS:AS,MATCH($N79,图鉴!$S:$S,0))*34</f>
        <v>204</v>
      </c>
      <c r="AH79" s="129">
        <f ca="1">INDEX(图鉴!AT:AT,MATCH($N79,图鉴!$S:$S,0))*34</f>
        <v>55930</v>
      </c>
      <c r="AI79" s="128">
        <f>SUM($AE$7:AE79)</f>
        <v>50218</v>
      </c>
      <c r="AJ79" s="90">
        <f>SUM(AF$7:AF79)</f>
        <v>33762</v>
      </c>
      <c r="AK79" s="90">
        <f>SUM(AG$7:AG79)</f>
        <v>12954</v>
      </c>
      <c r="AL79" s="130">
        <f ca="1">SUM(AH$7:AH79)</f>
        <v>3253256</v>
      </c>
      <c r="AM79" s="133">
        <f>IF(M79=0,0,INDEX(关卡产出!$AU$11:$AU$15,MATCH(玩家节奏2!N79,关卡产出!$AW$11:$AW$15,1))*M79)</f>
        <v>61000</v>
      </c>
      <c r="AN79" s="126">
        <f>IF(L79=0,0,$L79*关卡产出!AU$21)</f>
        <v>16000</v>
      </c>
      <c r="AO79" s="90">
        <f>IF(M79=0,0,$L79*关卡产出!AV$21)</f>
        <v>800</v>
      </c>
      <c r="AP79" s="129">
        <f>IF(N79=0,0,$L79*关卡产出!AW$21)</f>
        <v>16</v>
      </c>
      <c r="AQ79" s="138">
        <f>SUM(AN$7:AN79)</f>
        <v>1120000</v>
      </c>
      <c r="AR79" s="126">
        <f>SUM(AO$7:AO79)</f>
        <v>56000</v>
      </c>
      <c r="AS79" s="129">
        <f>SUM(AP$7:AP79)</f>
        <v>1120</v>
      </c>
      <c r="AT79" s="128">
        <v>3000</v>
      </c>
      <c r="AU79" s="129">
        <v>600</v>
      </c>
      <c r="AV79" s="128">
        <f>SUM(AT$7:AT79)</f>
        <v>219000</v>
      </c>
      <c r="AW79" s="90">
        <f>SUM(AU$7:AU79)</f>
        <v>43800</v>
      </c>
      <c r="AY79" s="128">
        <f t="shared" si="91"/>
        <v>38500</v>
      </c>
      <c r="AZ79" s="90">
        <f t="shared" si="92"/>
        <v>56000</v>
      </c>
      <c r="BA79" s="90">
        <f t="shared" si="93"/>
        <v>43800</v>
      </c>
      <c r="BB79" s="90">
        <f t="shared" ca="1" si="127"/>
        <v>32300</v>
      </c>
      <c r="BC79" s="90">
        <f t="shared" ca="1" si="129"/>
        <v>87475</v>
      </c>
      <c r="BD79" s="90">
        <f t="shared" ca="1" si="130"/>
        <v>83125</v>
      </c>
      <c r="BE79" s="90">
        <f t="shared" ca="1" si="94"/>
        <v>170600</v>
      </c>
      <c r="BF79" s="142">
        <f t="shared" ca="1" si="75"/>
        <v>0.44012575021434697</v>
      </c>
      <c r="BG79" s="142">
        <f t="shared" ca="1" si="76"/>
        <v>0.64018290940268652</v>
      </c>
      <c r="BH79" s="142">
        <f t="shared" ca="1" si="77"/>
        <v>0.50071448985424405</v>
      </c>
      <c r="BI79" s="142">
        <f t="shared" ca="1" si="95"/>
        <v>0.36924835667333522</v>
      </c>
      <c r="BJ79" s="143"/>
      <c r="BK79" s="128">
        <f ca="1">INDEX(商城宝箱!$L:$L,MATCH(BC79,商城宝箱!$N:$N,1))</f>
        <v>11</v>
      </c>
      <c r="BL79" s="90">
        <f ca="1">_xlfn.IFNA(INDEX(商城宝箱!T:T,MATCH(玩家节奏2!$BK79,商城宝箱!$L:$L,0)),0)+($BC79-INDEX(商城宝箱!$N:$N,MATCH(玩家节奏2!$BK79,商城宝箱!$L:$L,0)))/$BK$5*INDEX(商城宝箱!E$23:E$42,MATCH(玩家节奏2!$BK79+1,商城宝箱!$C$23:$C$42,0))</f>
        <v>218687.5</v>
      </c>
      <c r="BM79" s="90">
        <f ca="1">_xlfn.IFNA(INDEX(商城宝箱!U:U,MATCH(玩家节奏2!$BK79,商城宝箱!$L:$L,0)),0)+($BC79-INDEX(商城宝箱!$N:$N,MATCH(玩家节奏2!$BK79,商城宝箱!$L:$L,0)))/$BK$5*INDEX(商城宝箱!F$23:F$42,MATCH(玩家节奏2!$BK79+1,商城宝箱!$C$23:$C$42,0))</f>
        <v>198050</v>
      </c>
      <c r="BN79" s="90">
        <f ca="1">_xlfn.IFNA(INDEX(商城宝箱!V:V,MATCH(玩家节奏2!$BK79,商城宝箱!$L:$L,0)),0)+($BC79-INDEX(商城宝箱!$N:$N,MATCH(玩家节奏2!$BK79,商城宝箱!$L:$L,0)))/$BK$5*INDEX(商城宝箱!G$23:G$42,MATCH(玩家节奏2!$BK79+1,商城宝箱!$C$23:$C$42,0))</f>
        <v>105293.25</v>
      </c>
      <c r="BO79" s="90">
        <f ca="1">_xlfn.IFNA(INDEX(商城宝箱!W:W,MATCH(玩家节奏2!$BK79,商城宝箱!$L:$L,0)),0)+($BC79-INDEX(商城宝箱!$N:$N,MATCH(玩家节奏2!$BK79,商城宝箱!$L:$L,0)))/$BK$5*INDEX(商城宝箱!H$23:H$42,MATCH(玩家节奏2!$BK79+1,商城宝箱!$C$23:$C$42,0))</f>
        <v>15744</v>
      </c>
      <c r="BQ79" s="128">
        <f t="shared" si="79"/>
        <v>11610000</v>
      </c>
      <c r="BR79" s="90">
        <f t="shared" si="80"/>
        <v>1667930</v>
      </c>
      <c r="BS79" s="90">
        <f t="shared" ca="1" si="81"/>
        <v>3253256</v>
      </c>
      <c r="BT79" s="90">
        <f t="shared" si="82"/>
        <v>61000</v>
      </c>
      <c r="BU79" s="90">
        <f t="shared" si="83"/>
        <v>1120000</v>
      </c>
      <c r="BV79" s="90">
        <f t="shared" si="84"/>
        <v>219000</v>
      </c>
      <c r="BW79" s="90">
        <f t="shared" ca="1" si="96"/>
        <v>218687.5</v>
      </c>
      <c r="BX79" s="90">
        <f t="shared" ca="1" si="97"/>
        <v>18149873.5</v>
      </c>
      <c r="BY79" s="142">
        <f t="shared" ca="1" si="74"/>
        <v>0.63967387982070512</v>
      </c>
      <c r="BZ79" s="142">
        <f t="shared" ca="1" si="74"/>
        <v>9.1897610195464996E-2</v>
      </c>
      <c r="CA79" s="142">
        <f t="shared" ca="1" si="73"/>
        <v>0.17924400409732882</v>
      </c>
      <c r="CB79" s="142">
        <f t="shared" ca="1" si="73"/>
        <v>3.3609049671888898E-3</v>
      </c>
      <c r="CC79" s="142">
        <f t="shared" ca="1" si="73"/>
        <v>6.1708419069697651E-2</v>
      </c>
      <c r="CD79" s="142">
        <f t="shared" ca="1" si="73"/>
        <v>1.2066199800235522E-2</v>
      </c>
      <c r="CE79" s="142">
        <f t="shared" ca="1" si="73"/>
        <v>1.2048982049379021E-2</v>
      </c>
      <c r="CG79" s="128">
        <f t="shared" si="98"/>
        <v>200</v>
      </c>
      <c r="CH79" s="90">
        <f ca="1">INDEX(角色升级!$A:$A,MATCH(玩家节奏2!$BX79,角色升级!$J:$J,1))</f>
        <v>917</v>
      </c>
      <c r="CI79" s="90">
        <f ca="1">INDEX(角色升级!$O:$O,MATCH(玩家节奏2!$BX79,角色升级!$J:$J,1))</f>
        <v>74146.589330000003</v>
      </c>
      <c r="CJ79" s="90">
        <f>INDEX(关卡对比!$J:$J,MATCH(玩家节奏2!N79,关卡对比!$A:$A,0))</f>
        <v>86200</v>
      </c>
      <c r="CK79" s="147">
        <f t="shared" ca="1" si="99"/>
        <v>1.1625619031019023</v>
      </c>
      <c r="CL79" s="128">
        <f ca="1">INDEX(角色升级!$P:$P,MATCH(玩家节奏2!$CH79,角色升级!$A:$A,0))</f>
        <v>32300</v>
      </c>
      <c r="CM79" s="90">
        <f ca="1">INDEX(角色升级!Q:Q,MATCH(玩家节奏2!$CH79,角色升级!$A:$A,0))</f>
        <v>1.9</v>
      </c>
      <c r="CO79" s="128">
        <f t="shared" si="100"/>
        <v>78866</v>
      </c>
      <c r="CP79" s="90">
        <f t="shared" si="101"/>
        <v>126414</v>
      </c>
      <c r="CQ79" s="90">
        <f t="shared" si="102"/>
        <v>50218</v>
      </c>
      <c r="CR79" s="90">
        <f t="shared" ca="1" si="103"/>
        <v>198050</v>
      </c>
      <c r="CS79" s="90">
        <f t="shared" ca="1" si="104"/>
        <v>453548</v>
      </c>
      <c r="CT79" s="142">
        <f t="shared" ca="1" si="105"/>
        <v>0.17388677714376427</v>
      </c>
      <c r="CU79" s="142">
        <f t="shared" ca="1" si="105"/>
        <v>0.278722428497094</v>
      </c>
      <c r="CV79" s="142">
        <f t="shared" ca="1" si="105"/>
        <v>0.11072256960674504</v>
      </c>
      <c r="CW79" s="142">
        <f t="shared" ca="1" si="105"/>
        <v>0.43666822475239664</v>
      </c>
      <c r="CY79" s="128">
        <f t="shared" si="106"/>
        <v>39434</v>
      </c>
      <c r="CZ79" s="90">
        <f t="shared" si="107"/>
        <v>63043</v>
      </c>
      <c r="DA79" s="90">
        <f t="shared" si="108"/>
        <v>33762</v>
      </c>
      <c r="DB79" s="90">
        <f t="shared" ca="1" si="128"/>
        <v>105293.25</v>
      </c>
      <c r="DC79" s="90">
        <f t="shared" ca="1" si="109"/>
        <v>241532.25</v>
      </c>
      <c r="DD79" s="142">
        <f t="shared" ca="1" si="110"/>
        <v>0.16326598207899773</v>
      </c>
      <c r="DE79" s="142">
        <f t="shared" ca="1" si="110"/>
        <v>0.26101276330593531</v>
      </c>
      <c r="DF79" s="142">
        <f t="shared" ca="1" si="110"/>
        <v>0.13978257561878382</v>
      </c>
      <c r="DG79" s="142">
        <f t="shared" ca="1" si="110"/>
        <v>0.43593867899628308</v>
      </c>
      <c r="DI79" s="128">
        <f t="shared" si="111"/>
        <v>19113</v>
      </c>
      <c r="DJ79" s="90">
        <f t="shared" si="112"/>
        <v>30899</v>
      </c>
      <c r="DK79" s="90">
        <f t="shared" si="113"/>
        <v>12954</v>
      </c>
      <c r="DL79" s="90">
        <f t="shared" ca="1" si="114"/>
        <v>15744</v>
      </c>
      <c r="DM79" s="90">
        <f t="shared" ca="1" si="115"/>
        <v>78710</v>
      </c>
      <c r="DN79" s="142">
        <f t="shared" ca="1" si="116"/>
        <v>0.24282810316351164</v>
      </c>
      <c r="DO79" s="142">
        <f t="shared" ca="1" si="116"/>
        <v>0.39256765341125649</v>
      </c>
      <c r="DP79" s="142">
        <f t="shared" ca="1" si="116"/>
        <v>0.16457883369330453</v>
      </c>
      <c r="DQ79" s="142">
        <f t="shared" ca="1" si="116"/>
        <v>0.20002540973192734</v>
      </c>
      <c r="DS79" s="128">
        <f t="shared" ca="1" si="117"/>
        <v>453548</v>
      </c>
      <c r="DT79" s="90">
        <f t="shared" ca="1" si="118"/>
        <v>241532.25</v>
      </c>
      <c r="DU79" s="90">
        <f t="shared" ca="1" si="119"/>
        <v>78710</v>
      </c>
      <c r="DV79" s="90">
        <f t="shared" si="120"/>
        <v>1120</v>
      </c>
      <c r="DW79" s="90">
        <f ca="1">_xlfn.IFNA(INDEX(武器升级消耗!$H:$H,MATCH(玩家节奏2!DS79/玩家节奏2!DS$5,武器升级消耗!M:M,1)),0)</f>
        <v>59</v>
      </c>
      <c r="DX79" s="90">
        <f ca="1">_xlfn.IFNA(INDEX(武器升级消耗!$H:$H,MATCH(玩家节奏2!DT79/玩家节奏2!DT$5,武器升级消耗!N:N,1)),0)</f>
        <v>52</v>
      </c>
      <c r="DY79" s="90">
        <f ca="1">_xlfn.IFNA(INDEX(武器升级消耗!$H:$H,MATCH(玩家节奏2!DU79/玩家节奏2!DU$5,武器升级消耗!O:O,1)),0)</f>
        <v>39</v>
      </c>
      <c r="DZ79" s="90">
        <f>_xlfn.IFNA(INDEX(武器升级消耗!$H:$H,MATCH(玩家节奏2!DV79/玩家节奏2!DV$5,武器升级消耗!P:P,1)),0)</f>
        <v>24</v>
      </c>
      <c r="EA79" s="90">
        <f ca="1">_xlfn.IFNA(INDEX(武器升级消耗!$Q:$Q,MATCH(玩家节奏2!DW79,武器升级消耗!$H:$H,0))*2*EA$4,0)</f>
        <v>7.56</v>
      </c>
      <c r="EB79" s="90">
        <f ca="1">_xlfn.IFNA(INDEX(武器升级消耗!$Q:$Q,MATCH(玩家节奏2!DX79,武器升级消耗!$H:$H,0))*2*EB$4,0)</f>
        <v>8.3999999999999986</v>
      </c>
      <c r="EC79" s="90">
        <f ca="1">_xlfn.IFNA(INDEX(武器升级消耗!$Q:$Q,MATCH(玩家节奏2!DY79,武器升级消耗!$H:$H,0))*2*EC$4,0)</f>
        <v>9.4600000000000009</v>
      </c>
      <c r="ED79" s="90">
        <f>_xlfn.IFNA(INDEX(武器升级消耗!$Q:$Q,MATCH(玩家节奏2!DZ79,武器升级消耗!$H:$H,0))*2*ED$4,0)</f>
        <v>8.3999999999999986</v>
      </c>
      <c r="EF79" s="128">
        <f t="shared" si="85"/>
        <v>0</v>
      </c>
      <c r="EG79" s="90">
        <f t="shared" si="86"/>
        <v>0</v>
      </c>
      <c r="EH79" s="90">
        <v>219</v>
      </c>
      <c r="EI79" s="90">
        <v>219</v>
      </c>
      <c r="EJ79" s="90">
        <f>_xlfn.IFNA(INDEX(皮肤宠物!$J$4:$J$13,MATCH(EF79+EH79,皮肤宠物!$L$4:$L$13,1)),0)</f>
        <v>8</v>
      </c>
      <c r="EK79" s="90">
        <f>_xlfn.IFNA(INDEX(皮肤宠物!$J$4:$J$13,MATCH(EG79+EI79,皮肤宠物!$L$4:$L$13,1)),0)</f>
        <v>8</v>
      </c>
      <c r="EL79" s="90">
        <f>_xlfn.IFNA(INDEX(皮肤宠物!$N$4:$N$13,MATCH(EF79+EH79,皮肤宠物!$L$4:$L$13,1)),1)</f>
        <v>1.9800000000000002</v>
      </c>
      <c r="EM79" s="90">
        <f>_xlfn.IFNA(INDEX(皮肤宠物!$N$4:$N$13,MATCH(EG79+EI79,皮肤宠物!$L$4:$L$13,1)),1)</f>
        <v>1.9800000000000002</v>
      </c>
      <c r="EO79" s="128">
        <v>219</v>
      </c>
      <c r="EP79" s="90">
        <v>73</v>
      </c>
      <c r="EQ79" s="90">
        <f t="shared" ca="1" si="121"/>
        <v>83125</v>
      </c>
      <c r="ER79" s="90">
        <f t="shared" si="87"/>
        <v>0</v>
      </c>
      <c r="ES79" s="90">
        <f t="shared" ca="1" si="122"/>
        <v>904.25</v>
      </c>
      <c r="ET79" s="90">
        <f ca="1">$ES79*ET$5*皮肤宠物!$J$75/4</f>
        <v>2984.9292500000001</v>
      </c>
      <c r="EU79" s="90">
        <f ca="1">$ES79*EU$5*皮肤宠物!$J$76/4</f>
        <v>498.24175000000002</v>
      </c>
      <c r="EV79" s="90">
        <f ca="1">$ES79*EV$5*皮肤宠物!$J$77/4</f>
        <v>134.95931250000001</v>
      </c>
      <c r="EW79" s="90">
        <f ca="1">_xlfn.IFNA(INDEX(皮肤宠物!$H$18:$H$67,MATCH(ET79,皮肤宠物!L$18:L$67,1)),0)</f>
        <v>19</v>
      </c>
      <c r="EX79" s="90">
        <f ca="1">_xlfn.IFNA(INDEX(皮肤宠物!$H$18:$H$67,MATCH(EU79,皮肤宠物!M$18:M$67,1)),0)</f>
        <v>15</v>
      </c>
      <c r="EY79" s="90">
        <f ca="1">_xlfn.IFNA(INDEX(皮肤宠物!$H$18:$H$67,MATCH(EV79,皮肤宠物!N$18:N$67,1)),0)</f>
        <v>11</v>
      </c>
      <c r="EZ79" s="90">
        <f ca="1">_xlfn.IFNA(INDEX(皮肤宠物!C$18:C$67,MATCH(EW79,皮肤宠物!$A$18:$A$67,0))+1,1)</f>
        <v>1.19</v>
      </c>
      <c r="FA79" s="90">
        <f ca="1">_xlfn.IFNA(INDEX(皮肤宠物!D$18:D$67,MATCH(EX79,皮肤宠物!$A$18:$A$67,0))+1,1)</f>
        <v>1.3</v>
      </c>
      <c r="FB79" s="90">
        <f ca="1">_xlfn.IFNA(INDEX(皮肤宠物!E$18:E$67,MATCH(EY79,皮肤宠物!$A$18:$A$67,0))+1,1)</f>
        <v>1.44</v>
      </c>
      <c r="FD79" s="90">
        <f t="shared" ca="1" si="123"/>
        <v>9.4600000000000009</v>
      </c>
      <c r="FE79" s="90">
        <f t="shared" si="124"/>
        <v>1.9800000000000002</v>
      </c>
      <c r="FF79" s="90">
        <f t="shared" ca="1" si="125"/>
        <v>1.44</v>
      </c>
      <c r="FG79" s="90">
        <f t="shared" ca="1" si="126"/>
        <v>26.972352000000008</v>
      </c>
    </row>
    <row r="80" spans="1:163" x14ac:dyDescent="0.25">
      <c r="A80" s="123">
        <v>74</v>
      </c>
      <c r="B80" s="123">
        <f>INDEX(关卡对比!$Y:$Y,MATCH(关卡对比!Z80,关卡对比!$AA:$AA,1))</f>
        <v>50</v>
      </c>
      <c r="C80" s="124">
        <f>INDEX(关卡对比!$Y:$Y,MATCH(关卡对比!Z80,关卡对比!$AB:$AB,1))</f>
        <v>42</v>
      </c>
      <c r="D80" s="125">
        <f t="shared" si="63"/>
        <v>301.5</v>
      </c>
      <c r="E80" s="125">
        <v>2</v>
      </c>
      <c r="F80" s="128">
        <v>16</v>
      </c>
      <c r="G80" s="90">
        <v>16</v>
      </c>
      <c r="H80" s="90">
        <v>5</v>
      </c>
      <c r="J80" s="128">
        <v>74</v>
      </c>
      <c r="K80" s="90">
        <f t="shared" si="88"/>
        <v>16</v>
      </c>
      <c r="L80" s="90">
        <f t="shared" si="89"/>
        <v>16</v>
      </c>
      <c r="M80" s="90">
        <f t="shared" si="90"/>
        <v>5</v>
      </c>
      <c r="N80" s="140">
        <f>INDEX($A:$A,MATCH(SUM($K$7:K80),$D:$D,1))</f>
        <v>200</v>
      </c>
      <c r="O80" s="140">
        <v>0</v>
      </c>
      <c r="P80" s="141">
        <v>0</v>
      </c>
      <c r="Q80" s="126">
        <f>_xlfn.MAXIFS(关卡产出!X:X,关卡产出!$A:$A,玩家节奏2!$N$6,关卡产出!$B:$B,玩家节奏2!$N80)+_xlfn.MAXIFS(关卡产出!X:X,关卡产出!$A:$A,玩家节奏2!$O$6,关卡产出!$B:$B,玩家节奏2!$O80)+_xlfn.MAXIFS(关卡产出!X:X,关卡产出!$A:$A,玩家节奏2!$P$6,关卡产出!$B:$B,玩家节奏2!$P80)</f>
        <v>38500</v>
      </c>
      <c r="R80" s="90">
        <f>_xlfn.MAXIFS(关卡产出!Y:Y,关卡产出!$A:$A,玩家节奏2!$N$6,关卡产出!$B:$B,玩家节奏2!$N80)+_xlfn.MAXIFS(关卡产出!Y:Y,关卡产出!$A:$A,玩家节奏2!$O$6,关卡产出!$B:$B,玩家节奏2!$O80)+_xlfn.MAXIFS(关卡产出!Y:Y,关卡产出!$A:$A,玩家节奏2!$P$6,关卡产出!$B:$B,玩家节奏2!$P80)</f>
        <v>11610000</v>
      </c>
      <c r="S80" s="90">
        <f>_xlfn.MAXIFS(关卡产出!Z:Z,关卡产出!$A:$A,玩家节奏2!$N$6,关卡产出!$B:$B,玩家节奏2!$N80)+_xlfn.MAXIFS(关卡产出!Z:Z,关卡产出!$A:$A,玩家节奏2!$O$6,关卡产出!$B:$B,玩家节奏2!$O80)+_xlfn.MAXIFS(关卡产出!Z:Z,关卡产出!$A:$A,玩家节奏2!$P$6,关卡产出!$B:$B,玩家节奏2!$P80)</f>
        <v>78866</v>
      </c>
      <c r="T80" s="90">
        <f>_xlfn.MAXIFS(关卡产出!AA:AA,关卡产出!$A:$A,玩家节奏2!$N$6,关卡产出!$B:$B,玩家节奏2!$N80)+_xlfn.MAXIFS(关卡产出!AA:AA,关卡产出!$A:$A,玩家节奏2!$O$6,关卡产出!$B:$B,玩家节奏2!$O80)+_xlfn.MAXIFS(关卡产出!AA:AA,关卡产出!$A:$A,玩家节奏2!$P$6,关卡产出!$B:$B,玩家节奏2!$P80)</f>
        <v>39434</v>
      </c>
      <c r="U80" s="90">
        <f>_xlfn.MAXIFS(关卡产出!AB:AB,关卡产出!$A:$A,玩家节奏2!$N$6,关卡产出!$B:$B,玩家节奏2!$N80)+_xlfn.MAXIFS(关卡产出!AB:AB,关卡产出!$A:$A,玩家节奏2!$O$6,关卡产出!$B:$B,玩家节奏2!$O80)+_xlfn.MAXIFS(关卡产出!AB:AB,关卡产出!$A:$A,玩家节奏2!$P$6,关卡产出!$B:$B,玩家节奏2!$P80)</f>
        <v>19113</v>
      </c>
      <c r="V80" s="130">
        <f>_xlfn.MAXIFS(关卡产出!AC:AC,关卡产出!$A:$A,玩家节奏2!$N$6,关卡产出!$B:$B,玩家节奏2!$N80)+_xlfn.MAXIFS(关卡产出!AC:AC,关卡产出!$A:$A,玩家节奏2!$O$6,关卡产出!$B:$B,玩家节奏2!$O80)+_xlfn.MAXIFS(关卡产出!AC:AC,关卡产出!$A:$A,玩家节奏2!$P$6,关卡产出!$B:$B,玩家节奏2!$P80)</f>
        <v>1200</v>
      </c>
      <c r="W80" s="126">
        <f>INDEX(关卡产出!C$8:C$207,MATCH(玩家节奏2!$N80,关卡产出!$B$8:$B$207,0))*$K80</f>
        <v>2528</v>
      </c>
      <c r="X80" s="126">
        <f>INDEX(关卡产出!D$8:D$207,MATCH(玩家节奏2!$N80,关卡产出!$B$8:$B$207,0))*$K80</f>
        <v>1264</v>
      </c>
      <c r="Y80" s="126">
        <f>INDEX(关卡产出!E$8:E$207,MATCH(玩家节奏2!$N80,关卡产出!$B$8:$B$207,0))*$K80</f>
        <v>624</v>
      </c>
      <c r="Z80" s="144">
        <f>INDEX(关卡产出!F$8:F$207,MATCH(玩家节奏2!$N80,关卡产出!$B$8:$B$207,0))*$K80</f>
        <v>32800</v>
      </c>
      <c r="AA80" s="126">
        <f>SUM(W$7:W80)</f>
        <v>128942</v>
      </c>
      <c r="AB80" s="126">
        <f>SUM(X$7:X80)</f>
        <v>64307</v>
      </c>
      <c r="AC80" s="126">
        <f>SUM(Y$7:Y80)</f>
        <v>31523</v>
      </c>
      <c r="AD80" s="177">
        <f>SUM(Z$7:Z80)</f>
        <v>1700730</v>
      </c>
      <c r="AE80" s="128">
        <f>INDEX(图鉴!AQ:AQ,MATCH($N80,图鉴!$S:$S,0))*34</f>
        <v>714</v>
      </c>
      <c r="AF80" s="90">
        <f>INDEX(图鉴!AR:AR,MATCH($N80,图鉴!$S:$S,0))*34</f>
        <v>510</v>
      </c>
      <c r="AG80" s="90">
        <f>INDEX(图鉴!AS:AS,MATCH($N80,图鉴!$S:$S,0))*34</f>
        <v>204</v>
      </c>
      <c r="AH80" s="129">
        <f ca="1">INDEX(图鉴!AT:AT,MATCH($N80,图鉴!$S:$S,0))*34</f>
        <v>55930</v>
      </c>
      <c r="AI80" s="128">
        <f>SUM($AE$7:AE80)</f>
        <v>50932</v>
      </c>
      <c r="AJ80" s="90">
        <f>SUM(AF$7:AF80)</f>
        <v>34272</v>
      </c>
      <c r="AK80" s="90">
        <f>SUM(AG$7:AG80)</f>
        <v>13158</v>
      </c>
      <c r="AL80" s="130">
        <f ca="1">SUM(AH$7:AH80)</f>
        <v>3309186</v>
      </c>
      <c r="AM80" s="133">
        <f>IF(M80=0,0,INDEX(关卡产出!$AU$11:$AU$15,MATCH(玩家节奏2!N80,关卡产出!$AW$11:$AW$15,1))*M80)</f>
        <v>61000</v>
      </c>
      <c r="AN80" s="126">
        <f>IF(L80=0,0,$L80*关卡产出!AU$21)</f>
        <v>16000</v>
      </c>
      <c r="AO80" s="90">
        <f>IF(M80=0,0,$L80*关卡产出!AV$21)</f>
        <v>800</v>
      </c>
      <c r="AP80" s="129">
        <f>IF(N80=0,0,$L80*关卡产出!AW$21)</f>
        <v>16</v>
      </c>
      <c r="AQ80" s="138">
        <f>SUM(AN$7:AN80)</f>
        <v>1136000</v>
      </c>
      <c r="AR80" s="126">
        <f>SUM(AO$7:AO80)</f>
        <v>56800</v>
      </c>
      <c r="AS80" s="129">
        <f>SUM(AP$7:AP80)</f>
        <v>1136</v>
      </c>
      <c r="AT80" s="128">
        <v>3000</v>
      </c>
      <c r="AU80" s="129">
        <v>600</v>
      </c>
      <c r="AV80" s="128">
        <f>SUM(AT$7:AT80)</f>
        <v>222000</v>
      </c>
      <c r="AW80" s="90">
        <f>SUM(AU$7:AU80)</f>
        <v>44400</v>
      </c>
      <c r="AY80" s="128">
        <f t="shared" si="91"/>
        <v>38500</v>
      </c>
      <c r="AZ80" s="90">
        <f t="shared" si="92"/>
        <v>56800</v>
      </c>
      <c r="BA80" s="90">
        <f t="shared" si="93"/>
        <v>44400</v>
      </c>
      <c r="BB80" s="90">
        <f t="shared" ca="1" si="127"/>
        <v>32300</v>
      </c>
      <c r="BC80" s="90">
        <f t="shared" ca="1" si="129"/>
        <v>88175</v>
      </c>
      <c r="BD80" s="90">
        <f t="shared" ca="1" si="130"/>
        <v>83825</v>
      </c>
      <c r="BE80" s="90">
        <f t="shared" ca="1" si="94"/>
        <v>172000</v>
      </c>
      <c r="BF80" s="142">
        <f t="shared" ca="1" si="75"/>
        <v>0.43663169832719023</v>
      </c>
      <c r="BG80" s="142">
        <f t="shared" ca="1" si="76"/>
        <v>0.64417351857102356</v>
      </c>
      <c r="BH80" s="142">
        <f t="shared" ca="1" si="77"/>
        <v>0.50354408846044796</v>
      </c>
      <c r="BI80" s="142">
        <f t="shared" ca="1" si="95"/>
        <v>0.36631698327190249</v>
      </c>
      <c r="BJ80" s="143"/>
      <c r="BK80" s="128">
        <f ca="1">INDEX(商城宝箱!$L:$L,MATCH(BC80,商城宝箱!$N:$N,1))</f>
        <v>11</v>
      </c>
      <c r="BL80" s="90">
        <f ca="1">_xlfn.IFNA(INDEX(商城宝箱!T:T,MATCH(玩家节奏2!$BK80,商城宝箱!$L:$L,0)),0)+($BC80-INDEX(商城宝箱!$N:$N,MATCH(玩家节奏2!$BK80,商城宝箱!$L:$L,0)))/$BK$5*INDEX(商城宝箱!E$23:E$42,MATCH(玩家节奏2!$BK80+1,商城宝箱!$C$23:$C$42,0))</f>
        <v>220437.5</v>
      </c>
      <c r="BM80" s="90">
        <f ca="1">_xlfn.IFNA(INDEX(商城宝箱!U:U,MATCH(玩家节奏2!$BK80,商城宝箱!$L:$L,0)),0)+($BC80-INDEX(商城宝箱!$N:$N,MATCH(玩家节奏2!$BK80,商城宝箱!$L:$L,0)))/$BK$5*INDEX(商城宝箱!F$23:F$42,MATCH(玩家节奏2!$BK80+1,商城宝箱!$C$23:$C$42,0))</f>
        <v>200640</v>
      </c>
      <c r="BN80" s="90">
        <f ca="1">_xlfn.IFNA(INDEX(商城宝箱!V:V,MATCH(玩家节奏2!$BK80,商城宝箱!$L:$L,0)),0)+($BC80-INDEX(商城宝箱!$N:$N,MATCH(玩家节奏2!$BK80,商城宝箱!$L:$L,0)))/$BK$5*INDEX(商城宝箱!G$23:G$42,MATCH(玩家节奏2!$BK80+1,商城宝箱!$C$23:$C$42,0))</f>
        <v>106518.25</v>
      </c>
      <c r="BO80" s="90">
        <f ca="1">_xlfn.IFNA(INDEX(商城宝箱!W:W,MATCH(玩家节奏2!$BK80,商城宝箱!$L:$L,0)),0)+($BC80-INDEX(商城宝箱!$N:$N,MATCH(玩家节奏2!$BK80,商城宝箱!$L:$L,0)))/$BK$5*INDEX(商城宝箱!H$23:H$42,MATCH(玩家节奏2!$BK80+1,商城宝箱!$C$23:$C$42,0))</f>
        <v>15954</v>
      </c>
      <c r="BQ80" s="128">
        <f t="shared" si="79"/>
        <v>11610000</v>
      </c>
      <c r="BR80" s="90">
        <f t="shared" si="80"/>
        <v>1700730</v>
      </c>
      <c r="BS80" s="90">
        <f t="shared" ca="1" si="81"/>
        <v>3309186</v>
      </c>
      <c r="BT80" s="90">
        <f t="shared" si="82"/>
        <v>61000</v>
      </c>
      <c r="BU80" s="90">
        <f t="shared" si="83"/>
        <v>1136000</v>
      </c>
      <c r="BV80" s="90">
        <f t="shared" si="84"/>
        <v>222000</v>
      </c>
      <c r="BW80" s="90">
        <f t="shared" ca="1" si="96"/>
        <v>220437.5</v>
      </c>
      <c r="BX80" s="90">
        <f t="shared" ca="1" si="97"/>
        <v>18259353.5</v>
      </c>
      <c r="BY80" s="142">
        <f t="shared" ca="1" si="74"/>
        <v>0.63583850326354652</v>
      </c>
      <c r="BZ80" s="142">
        <f t="shared" ca="1" si="74"/>
        <v>9.3142947257141381E-2</v>
      </c>
      <c r="CA80" s="142">
        <f t="shared" ca="1" si="73"/>
        <v>0.1812323749578538</v>
      </c>
      <c r="CB80" s="142">
        <f t="shared" ca="1" si="73"/>
        <v>3.3407535485853869E-3</v>
      </c>
      <c r="CC80" s="142">
        <f t="shared" ca="1" si="73"/>
        <v>6.2214689035950808E-2</v>
      </c>
      <c r="CD80" s="142">
        <f t="shared" ca="1" si="73"/>
        <v>1.2158152258786161E-2</v>
      </c>
      <c r="CE80" s="142">
        <f t="shared" ca="1" si="73"/>
        <v>1.2072579678135921E-2</v>
      </c>
      <c r="CG80" s="128">
        <f t="shared" si="98"/>
        <v>200</v>
      </c>
      <c r="CH80" s="90">
        <f ca="1">INDEX(角色升级!$A:$A,MATCH(玩家节奏2!$BX80,角色升级!$J:$J,1))</f>
        <v>919</v>
      </c>
      <c r="CI80" s="90">
        <f ca="1">INDEX(角色升级!$O:$O,MATCH(玩家节奏2!$BX80,角色升级!$J:$J,1))</f>
        <v>74260.136939999997</v>
      </c>
      <c r="CJ80" s="90">
        <f>INDEX(关卡对比!$J:$J,MATCH(玩家节奏2!N80,关卡对比!$A:$A,0))</f>
        <v>86200</v>
      </c>
      <c r="CK80" s="147">
        <f t="shared" ca="1" si="99"/>
        <v>1.1607842855130615</v>
      </c>
      <c r="CL80" s="128">
        <f ca="1">INDEX(角色升级!$P:$P,MATCH(玩家节奏2!$CH80,角色升级!$A:$A,0))</f>
        <v>32300</v>
      </c>
      <c r="CM80" s="90">
        <f ca="1">INDEX(角色升级!Q:Q,MATCH(玩家节奏2!$CH80,角色升级!$A:$A,0))</f>
        <v>1.9</v>
      </c>
      <c r="CO80" s="128">
        <f t="shared" si="100"/>
        <v>78866</v>
      </c>
      <c r="CP80" s="90">
        <f t="shared" si="101"/>
        <v>128942</v>
      </c>
      <c r="CQ80" s="90">
        <f t="shared" si="102"/>
        <v>50932</v>
      </c>
      <c r="CR80" s="90">
        <f t="shared" ca="1" si="103"/>
        <v>200640</v>
      </c>
      <c r="CS80" s="90">
        <f t="shared" ca="1" si="104"/>
        <v>459380</v>
      </c>
      <c r="CT80" s="142">
        <f t="shared" ca="1" si="105"/>
        <v>0.17167921981801559</v>
      </c>
      <c r="CU80" s="142">
        <f t="shared" ca="1" si="105"/>
        <v>0.28068701293047149</v>
      </c>
      <c r="CV80" s="142">
        <f t="shared" ca="1" si="105"/>
        <v>0.11087117419130132</v>
      </c>
      <c r="CW80" s="142">
        <f t="shared" ca="1" si="105"/>
        <v>0.43676259306021159</v>
      </c>
      <c r="CY80" s="128">
        <f t="shared" si="106"/>
        <v>39434</v>
      </c>
      <c r="CZ80" s="90">
        <f t="shared" si="107"/>
        <v>64307</v>
      </c>
      <c r="DA80" s="90">
        <f t="shared" si="108"/>
        <v>34272</v>
      </c>
      <c r="DB80" s="90">
        <f t="shared" ca="1" si="128"/>
        <v>106518.25</v>
      </c>
      <c r="DC80" s="90">
        <f t="shared" ca="1" si="109"/>
        <v>244531.25</v>
      </c>
      <c r="DD80" s="142">
        <f t="shared" ca="1" si="110"/>
        <v>0.16126364217252395</v>
      </c>
      <c r="DE80" s="142">
        <f t="shared" ca="1" si="110"/>
        <v>0.26298070287539937</v>
      </c>
      <c r="DF80" s="142">
        <f t="shared" ca="1" si="110"/>
        <v>0.14015386581469649</v>
      </c>
      <c r="DG80" s="142">
        <f t="shared" ca="1" si="110"/>
        <v>0.43560178913738018</v>
      </c>
      <c r="DI80" s="128">
        <f t="shared" si="111"/>
        <v>19113</v>
      </c>
      <c r="DJ80" s="90">
        <f t="shared" si="112"/>
        <v>31523</v>
      </c>
      <c r="DK80" s="90">
        <f t="shared" si="113"/>
        <v>13158</v>
      </c>
      <c r="DL80" s="90">
        <f t="shared" ca="1" si="114"/>
        <v>15954</v>
      </c>
      <c r="DM80" s="90">
        <f t="shared" ca="1" si="115"/>
        <v>79748</v>
      </c>
      <c r="DN80" s="142">
        <f t="shared" ca="1" si="116"/>
        <v>0.23966745247529719</v>
      </c>
      <c r="DO80" s="142">
        <f t="shared" ca="1" si="116"/>
        <v>0.39528264031699856</v>
      </c>
      <c r="DP80" s="142">
        <f t="shared" ca="1" si="116"/>
        <v>0.16499473341024226</v>
      </c>
      <c r="DQ80" s="142">
        <f t="shared" ca="1" si="116"/>
        <v>0.20005517379746202</v>
      </c>
      <c r="DS80" s="128">
        <f t="shared" ca="1" si="117"/>
        <v>459380</v>
      </c>
      <c r="DT80" s="90">
        <f t="shared" ca="1" si="118"/>
        <v>244531.25</v>
      </c>
      <c r="DU80" s="90">
        <f t="shared" ca="1" si="119"/>
        <v>79748</v>
      </c>
      <c r="DV80" s="90">
        <f t="shared" si="120"/>
        <v>1136</v>
      </c>
      <c r="DW80" s="90">
        <f ca="1">_xlfn.IFNA(INDEX(武器升级消耗!$H:$H,MATCH(玩家节奏2!DS80/玩家节奏2!DS$5,武器升级消耗!M:M,1)),0)</f>
        <v>59</v>
      </c>
      <c r="DX80" s="90">
        <f ca="1">_xlfn.IFNA(INDEX(武器升级消耗!$H:$H,MATCH(玩家节奏2!DT80/玩家节奏2!DT$5,武器升级消耗!N:N,1)),0)</f>
        <v>52</v>
      </c>
      <c r="DY80" s="90">
        <f ca="1">_xlfn.IFNA(INDEX(武器升级消耗!$H:$H,MATCH(玩家节奏2!DU80/玩家节奏2!DU$5,武器升级消耗!O:O,1)),0)</f>
        <v>39</v>
      </c>
      <c r="DZ80" s="90">
        <f>_xlfn.IFNA(INDEX(武器升级消耗!$H:$H,MATCH(玩家节奏2!DV80/玩家节奏2!DV$5,武器升级消耗!P:P,1)),0)</f>
        <v>24</v>
      </c>
      <c r="EA80" s="90">
        <f ca="1">_xlfn.IFNA(INDEX(武器升级消耗!$Q:$Q,MATCH(玩家节奏2!DW80,武器升级消耗!$H:$H,0))*2*EA$4,0)</f>
        <v>7.56</v>
      </c>
      <c r="EB80" s="90">
        <f ca="1">_xlfn.IFNA(INDEX(武器升级消耗!$Q:$Q,MATCH(玩家节奏2!DX80,武器升级消耗!$H:$H,0))*2*EB$4,0)</f>
        <v>8.3999999999999986</v>
      </c>
      <c r="EC80" s="90">
        <f ca="1">_xlfn.IFNA(INDEX(武器升级消耗!$Q:$Q,MATCH(玩家节奏2!DY80,武器升级消耗!$H:$H,0))*2*EC$4,0)</f>
        <v>9.4600000000000009</v>
      </c>
      <c r="ED80" s="90">
        <f>_xlfn.IFNA(INDEX(武器升级消耗!$Q:$Q,MATCH(玩家节奏2!DZ80,武器升级消耗!$H:$H,0))*2*ED$4,0)</f>
        <v>8.3999999999999986</v>
      </c>
      <c r="EF80" s="128">
        <f t="shared" si="85"/>
        <v>0</v>
      </c>
      <c r="EG80" s="90">
        <f t="shared" si="86"/>
        <v>0</v>
      </c>
      <c r="EH80" s="90">
        <v>222</v>
      </c>
      <c r="EI80" s="90">
        <v>222</v>
      </c>
      <c r="EJ80" s="90">
        <f>_xlfn.IFNA(INDEX(皮肤宠物!$J$4:$J$13,MATCH(EF80+EH80,皮肤宠物!$L$4:$L$13,1)),0)</f>
        <v>8</v>
      </c>
      <c r="EK80" s="90">
        <f>_xlfn.IFNA(INDEX(皮肤宠物!$J$4:$J$13,MATCH(EG80+EI80,皮肤宠物!$L$4:$L$13,1)),0)</f>
        <v>8</v>
      </c>
      <c r="EL80" s="90">
        <f>_xlfn.IFNA(INDEX(皮肤宠物!$N$4:$N$13,MATCH(EF80+EH80,皮肤宠物!$L$4:$L$13,1)),1)</f>
        <v>1.9800000000000002</v>
      </c>
      <c r="EM80" s="90">
        <f>_xlfn.IFNA(INDEX(皮肤宠物!$N$4:$N$13,MATCH(EG80+EI80,皮肤宠物!$L$4:$L$13,1)),1)</f>
        <v>1.9800000000000002</v>
      </c>
      <c r="EO80" s="128">
        <v>222</v>
      </c>
      <c r="EP80" s="90">
        <v>74</v>
      </c>
      <c r="EQ80" s="90">
        <f t="shared" ca="1" si="121"/>
        <v>83825</v>
      </c>
      <c r="ER80" s="90">
        <f t="shared" si="87"/>
        <v>0</v>
      </c>
      <c r="ES80" s="90">
        <f t="shared" ca="1" si="122"/>
        <v>912.25</v>
      </c>
      <c r="ET80" s="90">
        <f ca="1">$ES80*ET$5*皮肤宠物!$J$75/4</f>
        <v>3011.33725</v>
      </c>
      <c r="EU80" s="90">
        <f ca="1">$ES80*EU$5*皮肤宠物!$J$76/4</f>
        <v>502.64975000000004</v>
      </c>
      <c r="EV80" s="90">
        <f ca="1">$ES80*EV$5*皮肤宠物!$J$77/4</f>
        <v>136.1533125</v>
      </c>
      <c r="EW80" s="90">
        <f ca="1">_xlfn.IFNA(INDEX(皮肤宠物!$H$18:$H$67,MATCH(ET80,皮肤宠物!L$18:L$67,1)),0)</f>
        <v>19</v>
      </c>
      <c r="EX80" s="90">
        <f ca="1">_xlfn.IFNA(INDEX(皮肤宠物!$H$18:$H$67,MATCH(EU80,皮肤宠物!M$18:M$67,1)),0)</f>
        <v>15</v>
      </c>
      <c r="EY80" s="90">
        <f ca="1">_xlfn.IFNA(INDEX(皮肤宠物!$H$18:$H$67,MATCH(EV80,皮肤宠物!N$18:N$67,1)),0)</f>
        <v>11</v>
      </c>
      <c r="EZ80" s="90">
        <f ca="1">_xlfn.IFNA(INDEX(皮肤宠物!C$18:C$67,MATCH(EW80,皮肤宠物!$A$18:$A$67,0))+1,1)</f>
        <v>1.19</v>
      </c>
      <c r="FA80" s="90">
        <f ca="1">_xlfn.IFNA(INDEX(皮肤宠物!D$18:D$67,MATCH(EX80,皮肤宠物!$A$18:$A$67,0))+1,1)</f>
        <v>1.3</v>
      </c>
      <c r="FB80" s="90">
        <f ca="1">_xlfn.IFNA(INDEX(皮肤宠物!E$18:E$67,MATCH(EY80,皮肤宠物!$A$18:$A$67,0))+1,1)</f>
        <v>1.44</v>
      </c>
      <c r="FD80" s="90">
        <f t="shared" ca="1" si="123"/>
        <v>9.4600000000000009</v>
      </c>
      <c r="FE80" s="90">
        <f t="shared" si="124"/>
        <v>1.9800000000000002</v>
      </c>
      <c r="FF80" s="90">
        <f t="shared" ca="1" si="125"/>
        <v>1.44</v>
      </c>
      <c r="FG80" s="90">
        <f t="shared" ca="1" si="126"/>
        <v>26.972352000000008</v>
      </c>
    </row>
    <row r="81" spans="1:163" x14ac:dyDescent="0.25">
      <c r="A81" s="123">
        <v>75</v>
      </c>
      <c r="B81" s="123">
        <f>INDEX(关卡对比!$Y:$Y,MATCH(关卡对比!Z81,关卡对比!$AA:$AA,1))</f>
        <v>51</v>
      </c>
      <c r="C81" s="124">
        <f>INDEX(关卡对比!$Y:$Y,MATCH(关卡对比!Z81,关卡对比!$AB:$AB,1))</f>
        <v>43</v>
      </c>
      <c r="D81" s="125">
        <f t="shared" si="63"/>
        <v>307.5</v>
      </c>
      <c r="E81" s="125">
        <v>2</v>
      </c>
      <c r="F81" s="128">
        <v>16</v>
      </c>
      <c r="G81" s="90">
        <v>16</v>
      </c>
      <c r="H81" s="90">
        <v>5</v>
      </c>
      <c r="J81" s="128">
        <v>75</v>
      </c>
      <c r="K81" s="90">
        <f t="shared" si="88"/>
        <v>16</v>
      </c>
      <c r="L81" s="90">
        <f t="shared" si="89"/>
        <v>16</v>
      </c>
      <c r="M81" s="90">
        <f t="shared" si="90"/>
        <v>5</v>
      </c>
      <c r="N81" s="140">
        <f>INDEX($A:$A,MATCH(SUM($K$7:K81),$D:$D,1))</f>
        <v>200</v>
      </c>
      <c r="O81" s="140">
        <v>0</v>
      </c>
      <c r="P81" s="141">
        <v>0</v>
      </c>
      <c r="Q81" s="126">
        <f>_xlfn.MAXIFS(关卡产出!X:X,关卡产出!$A:$A,玩家节奏2!$N$6,关卡产出!$B:$B,玩家节奏2!$N81)+_xlfn.MAXIFS(关卡产出!X:X,关卡产出!$A:$A,玩家节奏2!$O$6,关卡产出!$B:$B,玩家节奏2!$O81)+_xlfn.MAXIFS(关卡产出!X:X,关卡产出!$A:$A,玩家节奏2!$P$6,关卡产出!$B:$B,玩家节奏2!$P81)</f>
        <v>38500</v>
      </c>
      <c r="R81" s="90">
        <f>_xlfn.MAXIFS(关卡产出!Y:Y,关卡产出!$A:$A,玩家节奏2!$N$6,关卡产出!$B:$B,玩家节奏2!$N81)+_xlfn.MAXIFS(关卡产出!Y:Y,关卡产出!$A:$A,玩家节奏2!$O$6,关卡产出!$B:$B,玩家节奏2!$O81)+_xlfn.MAXIFS(关卡产出!Y:Y,关卡产出!$A:$A,玩家节奏2!$P$6,关卡产出!$B:$B,玩家节奏2!$P81)</f>
        <v>11610000</v>
      </c>
      <c r="S81" s="90">
        <f>_xlfn.MAXIFS(关卡产出!Z:Z,关卡产出!$A:$A,玩家节奏2!$N$6,关卡产出!$B:$B,玩家节奏2!$N81)+_xlfn.MAXIFS(关卡产出!Z:Z,关卡产出!$A:$A,玩家节奏2!$O$6,关卡产出!$B:$B,玩家节奏2!$O81)+_xlfn.MAXIFS(关卡产出!Z:Z,关卡产出!$A:$A,玩家节奏2!$P$6,关卡产出!$B:$B,玩家节奏2!$P81)</f>
        <v>78866</v>
      </c>
      <c r="T81" s="90">
        <f>_xlfn.MAXIFS(关卡产出!AA:AA,关卡产出!$A:$A,玩家节奏2!$N$6,关卡产出!$B:$B,玩家节奏2!$N81)+_xlfn.MAXIFS(关卡产出!AA:AA,关卡产出!$A:$A,玩家节奏2!$O$6,关卡产出!$B:$B,玩家节奏2!$O81)+_xlfn.MAXIFS(关卡产出!AA:AA,关卡产出!$A:$A,玩家节奏2!$P$6,关卡产出!$B:$B,玩家节奏2!$P81)</f>
        <v>39434</v>
      </c>
      <c r="U81" s="90">
        <f>_xlfn.MAXIFS(关卡产出!AB:AB,关卡产出!$A:$A,玩家节奏2!$N$6,关卡产出!$B:$B,玩家节奏2!$N81)+_xlfn.MAXIFS(关卡产出!AB:AB,关卡产出!$A:$A,玩家节奏2!$O$6,关卡产出!$B:$B,玩家节奏2!$O81)+_xlfn.MAXIFS(关卡产出!AB:AB,关卡产出!$A:$A,玩家节奏2!$P$6,关卡产出!$B:$B,玩家节奏2!$P81)</f>
        <v>19113</v>
      </c>
      <c r="V81" s="130">
        <f>_xlfn.MAXIFS(关卡产出!AC:AC,关卡产出!$A:$A,玩家节奏2!$N$6,关卡产出!$B:$B,玩家节奏2!$N81)+_xlfn.MAXIFS(关卡产出!AC:AC,关卡产出!$A:$A,玩家节奏2!$O$6,关卡产出!$B:$B,玩家节奏2!$O81)+_xlfn.MAXIFS(关卡产出!AC:AC,关卡产出!$A:$A,玩家节奏2!$P$6,关卡产出!$B:$B,玩家节奏2!$P81)</f>
        <v>1200</v>
      </c>
      <c r="W81" s="126">
        <f>INDEX(关卡产出!C$8:C$207,MATCH(玩家节奏2!$N81,关卡产出!$B$8:$B$207,0))*$K81</f>
        <v>2528</v>
      </c>
      <c r="X81" s="126">
        <f>INDEX(关卡产出!D$8:D$207,MATCH(玩家节奏2!$N81,关卡产出!$B$8:$B$207,0))*$K81</f>
        <v>1264</v>
      </c>
      <c r="Y81" s="126">
        <f>INDEX(关卡产出!E$8:E$207,MATCH(玩家节奏2!$N81,关卡产出!$B$8:$B$207,0))*$K81</f>
        <v>624</v>
      </c>
      <c r="Z81" s="144">
        <f>INDEX(关卡产出!F$8:F$207,MATCH(玩家节奏2!$N81,关卡产出!$B$8:$B$207,0))*$K81</f>
        <v>32800</v>
      </c>
      <c r="AA81" s="126">
        <f>SUM(W$7:W81)</f>
        <v>131470</v>
      </c>
      <c r="AB81" s="126">
        <f>SUM(X$7:X81)</f>
        <v>65571</v>
      </c>
      <c r="AC81" s="126">
        <f>SUM(Y$7:Y81)</f>
        <v>32147</v>
      </c>
      <c r="AD81" s="177">
        <f>SUM(Z$7:Z81)</f>
        <v>1733530</v>
      </c>
      <c r="AE81" s="128">
        <f>INDEX(图鉴!AQ:AQ,MATCH($N81,图鉴!$S:$S,0))*34</f>
        <v>714</v>
      </c>
      <c r="AF81" s="90">
        <f>INDEX(图鉴!AR:AR,MATCH($N81,图鉴!$S:$S,0))*34</f>
        <v>510</v>
      </c>
      <c r="AG81" s="90">
        <f>INDEX(图鉴!AS:AS,MATCH($N81,图鉴!$S:$S,0))*34</f>
        <v>204</v>
      </c>
      <c r="AH81" s="129">
        <f ca="1">INDEX(图鉴!AT:AT,MATCH($N81,图鉴!$S:$S,0))*34</f>
        <v>55930</v>
      </c>
      <c r="AI81" s="128">
        <f>SUM($AE$7:AE81)</f>
        <v>51646</v>
      </c>
      <c r="AJ81" s="90">
        <f>SUM(AF$7:AF81)</f>
        <v>34782</v>
      </c>
      <c r="AK81" s="90">
        <f>SUM(AG$7:AG81)</f>
        <v>13362</v>
      </c>
      <c r="AL81" s="130">
        <f ca="1">SUM(AH$7:AH81)</f>
        <v>3365116</v>
      </c>
      <c r="AM81" s="133">
        <f>IF(M81=0,0,INDEX(关卡产出!$AU$11:$AU$15,MATCH(玩家节奏2!N81,关卡产出!$AW$11:$AW$15,1))*M81)</f>
        <v>61000</v>
      </c>
      <c r="AN81" s="126">
        <f>IF(L81=0,0,$L81*关卡产出!AU$21)</f>
        <v>16000</v>
      </c>
      <c r="AO81" s="90">
        <f>IF(M81=0,0,$L81*关卡产出!AV$21)</f>
        <v>800</v>
      </c>
      <c r="AP81" s="129">
        <f>IF(N81=0,0,$L81*关卡产出!AW$21)</f>
        <v>16</v>
      </c>
      <c r="AQ81" s="138">
        <f>SUM(AN$7:AN81)</f>
        <v>1152000</v>
      </c>
      <c r="AR81" s="126">
        <f>SUM(AO$7:AO81)</f>
        <v>57600</v>
      </c>
      <c r="AS81" s="129">
        <f>SUM(AP$7:AP81)</f>
        <v>1152</v>
      </c>
      <c r="AT81" s="128">
        <v>3000</v>
      </c>
      <c r="AU81" s="129">
        <v>600</v>
      </c>
      <c r="AV81" s="128">
        <f>SUM(AT$7:AT81)</f>
        <v>225000</v>
      </c>
      <c r="AW81" s="90">
        <f>SUM(AU$7:AU81)</f>
        <v>45000</v>
      </c>
      <c r="AY81" s="128">
        <f t="shared" si="91"/>
        <v>38500</v>
      </c>
      <c r="AZ81" s="90">
        <f t="shared" si="92"/>
        <v>57600</v>
      </c>
      <c r="BA81" s="90">
        <f t="shared" si="93"/>
        <v>45000</v>
      </c>
      <c r="BB81" s="90">
        <f t="shared" ca="1" si="127"/>
        <v>32300</v>
      </c>
      <c r="BC81" s="90">
        <f t="shared" ca="1" si="129"/>
        <v>88875</v>
      </c>
      <c r="BD81" s="90">
        <f t="shared" ca="1" si="130"/>
        <v>84525</v>
      </c>
      <c r="BE81" s="90">
        <f t="shared" ca="1" si="94"/>
        <v>173400</v>
      </c>
      <c r="BF81" s="142">
        <f t="shared" ca="1" si="75"/>
        <v>0.43319268635724334</v>
      </c>
      <c r="BG81" s="142">
        <f t="shared" ca="1" si="76"/>
        <v>0.64810126582278482</v>
      </c>
      <c r="BH81" s="142">
        <f t="shared" ca="1" si="77"/>
        <v>0.50632911392405067</v>
      </c>
      <c r="BI81" s="142">
        <f t="shared" ca="1" si="95"/>
        <v>0.36343178621659633</v>
      </c>
      <c r="BJ81" s="143"/>
      <c r="BK81" s="128">
        <f ca="1">INDEX(商城宝箱!$L:$L,MATCH(BC81,商城宝箱!$N:$N,1))</f>
        <v>11</v>
      </c>
      <c r="BL81" s="90">
        <f ca="1">_xlfn.IFNA(INDEX(商城宝箱!T:T,MATCH(玩家节奏2!$BK81,商城宝箱!$L:$L,0)),0)+($BC81-INDEX(商城宝箱!$N:$N,MATCH(玩家节奏2!$BK81,商城宝箱!$L:$L,0)))/$BK$5*INDEX(商城宝箱!E$23:E$42,MATCH(玩家节奏2!$BK81+1,商城宝箱!$C$23:$C$42,0))</f>
        <v>222187.5</v>
      </c>
      <c r="BM81" s="90">
        <f ca="1">_xlfn.IFNA(INDEX(商城宝箱!U:U,MATCH(玩家节奏2!$BK81,商城宝箱!$L:$L,0)),0)+($BC81-INDEX(商城宝箱!$N:$N,MATCH(玩家节奏2!$BK81,商城宝箱!$L:$L,0)))/$BK$5*INDEX(商城宝箱!F$23:F$42,MATCH(玩家节奏2!$BK81+1,商城宝箱!$C$23:$C$42,0))</f>
        <v>203230</v>
      </c>
      <c r="BN81" s="90">
        <f ca="1">_xlfn.IFNA(INDEX(商城宝箱!V:V,MATCH(玩家节奏2!$BK81,商城宝箱!$L:$L,0)),0)+($BC81-INDEX(商城宝箱!$N:$N,MATCH(玩家节奏2!$BK81,商城宝箱!$L:$L,0)))/$BK$5*INDEX(商城宝箱!G$23:G$42,MATCH(玩家节奏2!$BK81+1,商城宝箱!$C$23:$C$42,0))</f>
        <v>107743.25</v>
      </c>
      <c r="BO81" s="90">
        <f ca="1">_xlfn.IFNA(INDEX(商城宝箱!W:W,MATCH(玩家节奏2!$BK81,商城宝箱!$L:$L,0)),0)+($BC81-INDEX(商城宝箱!$N:$N,MATCH(玩家节奏2!$BK81,商城宝箱!$L:$L,0)))/$BK$5*INDEX(商城宝箱!H$23:H$42,MATCH(玩家节奏2!$BK81+1,商城宝箱!$C$23:$C$42,0))</f>
        <v>16164</v>
      </c>
      <c r="BQ81" s="128">
        <f t="shared" si="79"/>
        <v>11610000</v>
      </c>
      <c r="BR81" s="90">
        <f t="shared" si="80"/>
        <v>1733530</v>
      </c>
      <c r="BS81" s="90">
        <f t="shared" ca="1" si="81"/>
        <v>3365116</v>
      </c>
      <c r="BT81" s="90">
        <f t="shared" si="82"/>
        <v>61000</v>
      </c>
      <c r="BU81" s="90">
        <f t="shared" si="83"/>
        <v>1152000</v>
      </c>
      <c r="BV81" s="90">
        <f t="shared" si="84"/>
        <v>225000</v>
      </c>
      <c r="BW81" s="90">
        <f t="shared" ca="1" si="96"/>
        <v>222187.5</v>
      </c>
      <c r="BX81" s="90">
        <f t="shared" ca="1" si="97"/>
        <v>18368833.5</v>
      </c>
      <c r="BY81" s="142">
        <f t="shared" ca="1" si="74"/>
        <v>0.63204884512671966</v>
      </c>
      <c r="BZ81" s="142">
        <f t="shared" ca="1" si="74"/>
        <v>9.4373439663438613E-2</v>
      </c>
      <c r="CA81" s="142">
        <f t="shared" ca="1" si="73"/>
        <v>0.18319704405835024</v>
      </c>
      <c r="CB81" s="142">
        <f t="shared" ca="1" si="73"/>
        <v>3.3208423387364257E-3</v>
      </c>
      <c r="CC81" s="142">
        <f t="shared" ca="1" si="73"/>
        <v>6.2714924167612499E-2</v>
      </c>
      <c r="CD81" s="142">
        <f t="shared" ca="1" si="73"/>
        <v>1.2249008626486816E-2</v>
      </c>
      <c r="CE81" s="142">
        <f t="shared" ca="1" si="73"/>
        <v>1.209589601865573E-2</v>
      </c>
      <c r="CG81" s="128">
        <f t="shared" si="98"/>
        <v>200</v>
      </c>
      <c r="CH81" s="90">
        <f ca="1">INDEX(角色升级!$A:$A,MATCH(玩家节奏2!$BX81,角色升级!$J:$J,1))</f>
        <v>922</v>
      </c>
      <c r="CI81" s="90">
        <f ca="1">INDEX(角色升级!$O:$O,MATCH(玩家节奏2!$BX81,角色升级!$J:$J,1))</f>
        <v>74381.562254999997</v>
      </c>
      <c r="CJ81" s="90">
        <f>INDEX(关卡对比!$J:$J,MATCH(玩家节奏2!N81,关卡对比!$A:$A,0))</f>
        <v>86200</v>
      </c>
      <c r="CK81" s="147">
        <f t="shared" ca="1" si="99"/>
        <v>1.1588893455139222</v>
      </c>
      <c r="CL81" s="128">
        <f ca="1">INDEX(角色升级!$P:$P,MATCH(玩家节奏2!$CH81,角色升级!$A:$A,0))</f>
        <v>32300</v>
      </c>
      <c r="CM81" s="90">
        <f ca="1">INDEX(角色升级!Q:Q,MATCH(玩家节奏2!$CH81,角色升级!$A:$A,0))</f>
        <v>2</v>
      </c>
      <c r="CO81" s="128">
        <f t="shared" si="100"/>
        <v>78866</v>
      </c>
      <c r="CP81" s="90">
        <f t="shared" si="101"/>
        <v>131470</v>
      </c>
      <c r="CQ81" s="90">
        <f t="shared" si="102"/>
        <v>51646</v>
      </c>
      <c r="CR81" s="90">
        <f t="shared" ca="1" si="103"/>
        <v>203230</v>
      </c>
      <c r="CS81" s="90">
        <f t="shared" ca="1" si="104"/>
        <v>465212</v>
      </c>
      <c r="CT81" s="142">
        <f t="shared" ca="1" si="105"/>
        <v>0.16952701134106601</v>
      </c>
      <c r="CU81" s="142">
        <f t="shared" ca="1" si="105"/>
        <v>0.28260234043833776</v>
      </c>
      <c r="CV81" s="142">
        <f t="shared" ca="1" si="105"/>
        <v>0.11101605289631394</v>
      </c>
      <c r="CW81" s="142">
        <f t="shared" ca="1" si="105"/>
        <v>0.43685459532428228</v>
      </c>
      <c r="CY81" s="128">
        <f t="shared" si="106"/>
        <v>39434</v>
      </c>
      <c r="CZ81" s="90">
        <f t="shared" si="107"/>
        <v>65571</v>
      </c>
      <c r="DA81" s="90">
        <f t="shared" si="108"/>
        <v>34782</v>
      </c>
      <c r="DB81" s="90">
        <f t="shared" ca="1" si="128"/>
        <v>107743.25</v>
      </c>
      <c r="DC81" s="90">
        <f t="shared" ca="1" si="109"/>
        <v>247530.25</v>
      </c>
      <c r="DD81" s="142">
        <f t="shared" ca="1" si="110"/>
        <v>0.15930982172885941</v>
      </c>
      <c r="DE81" s="142">
        <f t="shared" ca="1" si="110"/>
        <v>0.26490095654975504</v>
      </c>
      <c r="DF81" s="142">
        <f t="shared" ca="1" si="110"/>
        <v>0.1405161591361056</v>
      </c>
      <c r="DG81" s="142">
        <f t="shared" ca="1" si="110"/>
        <v>0.43527306258527998</v>
      </c>
      <c r="DI81" s="128">
        <f t="shared" si="111"/>
        <v>19113</v>
      </c>
      <c r="DJ81" s="90">
        <f t="shared" si="112"/>
        <v>32147</v>
      </c>
      <c r="DK81" s="90">
        <f t="shared" si="113"/>
        <v>13362</v>
      </c>
      <c r="DL81" s="90">
        <f t="shared" ca="1" si="114"/>
        <v>16164</v>
      </c>
      <c r="DM81" s="90">
        <f t="shared" ca="1" si="115"/>
        <v>80786</v>
      </c>
      <c r="DN81" s="142">
        <f t="shared" ca="1" si="116"/>
        <v>0.23658802267719656</v>
      </c>
      <c r="DO81" s="142">
        <f t="shared" ca="1" si="116"/>
        <v>0.39792785878741366</v>
      </c>
      <c r="DP81" s="142">
        <f t="shared" ca="1" si="116"/>
        <v>0.16539994553511747</v>
      </c>
      <c r="DQ81" s="142">
        <f t="shared" ca="1" si="116"/>
        <v>0.20008417300027231</v>
      </c>
      <c r="DS81" s="128">
        <f t="shared" ca="1" si="117"/>
        <v>465212</v>
      </c>
      <c r="DT81" s="90">
        <f t="shared" ca="1" si="118"/>
        <v>247530.25</v>
      </c>
      <c r="DU81" s="90">
        <f t="shared" ca="1" si="119"/>
        <v>80786</v>
      </c>
      <c r="DV81" s="90">
        <f t="shared" si="120"/>
        <v>1152</v>
      </c>
      <c r="DW81" s="90">
        <f ca="1">_xlfn.IFNA(INDEX(武器升级消耗!$H:$H,MATCH(玩家节奏2!DS81/玩家节奏2!DS$5,武器升级消耗!M:M,1)),0)</f>
        <v>60</v>
      </c>
      <c r="DX81" s="90">
        <f ca="1">_xlfn.IFNA(INDEX(武器升级消耗!$H:$H,MATCH(玩家节奏2!DT81/玩家节奏2!DT$5,武器升级消耗!N:N,1)),0)</f>
        <v>53</v>
      </c>
      <c r="DY81" s="90">
        <f ca="1">_xlfn.IFNA(INDEX(武器升级消耗!$H:$H,MATCH(玩家节奏2!DU81/玩家节奏2!DU$5,武器升级消耗!O:O,1)),0)</f>
        <v>39</v>
      </c>
      <c r="DZ81" s="90">
        <f>_xlfn.IFNA(INDEX(武器升级消耗!$H:$H,MATCH(玩家节奏2!DV81/玩家节奏2!DV$5,武器升级消耗!P:P,1)),0)</f>
        <v>24</v>
      </c>
      <c r="EA81" s="90">
        <f ca="1">_xlfn.IFNA(INDEX(武器升级消耗!$Q:$Q,MATCH(玩家节奏2!DW81,武器升级消耗!$H:$H,0))*2*EA$4,0)</f>
        <v>7.68</v>
      </c>
      <c r="EB81" s="90">
        <f ca="1">_xlfn.IFNA(INDEX(武器升级消耗!$Q:$Q,MATCH(玩家节奏2!DX81,武器升级消耗!$H:$H,0))*2*EB$4,0)</f>
        <v>8.5500000000000007</v>
      </c>
      <c r="EC81" s="90">
        <f ca="1">_xlfn.IFNA(INDEX(武器升级消耗!$Q:$Q,MATCH(玩家节奏2!DY81,武器升级消耗!$H:$H,0))*2*EC$4,0)</f>
        <v>9.4600000000000009</v>
      </c>
      <c r="ED81" s="90">
        <f>_xlfn.IFNA(INDEX(武器升级消耗!$Q:$Q,MATCH(玩家节奏2!DZ81,武器升级消耗!$H:$H,0))*2*ED$4,0)</f>
        <v>8.3999999999999986</v>
      </c>
      <c r="EF81" s="128">
        <f t="shared" si="85"/>
        <v>0</v>
      </c>
      <c r="EG81" s="90">
        <f t="shared" si="86"/>
        <v>0</v>
      </c>
      <c r="EH81" s="90">
        <v>225</v>
      </c>
      <c r="EI81" s="90">
        <v>225</v>
      </c>
      <c r="EJ81" s="90">
        <f>_xlfn.IFNA(INDEX(皮肤宠物!$J$4:$J$13,MATCH(EF81+EH81,皮肤宠物!$L$4:$L$13,1)),0)</f>
        <v>8</v>
      </c>
      <c r="EK81" s="90">
        <f>_xlfn.IFNA(INDEX(皮肤宠物!$J$4:$J$13,MATCH(EG81+EI81,皮肤宠物!$L$4:$L$13,1)),0)</f>
        <v>8</v>
      </c>
      <c r="EL81" s="90">
        <f>_xlfn.IFNA(INDEX(皮肤宠物!$N$4:$N$13,MATCH(EF81+EH81,皮肤宠物!$L$4:$L$13,1)),1)</f>
        <v>1.9800000000000002</v>
      </c>
      <c r="EM81" s="90">
        <f>_xlfn.IFNA(INDEX(皮肤宠物!$N$4:$N$13,MATCH(EG81+EI81,皮肤宠物!$L$4:$L$13,1)),1)</f>
        <v>1.9800000000000002</v>
      </c>
      <c r="EO81" s="128">
        <v>225</v>
      </c>
      <c r="EP81" s="90">
        <v>75</v>
      </c>
      <c r="EQ81" s="90">
        <f t="shared" ca="1" si="121"/>
        <v>84525</v>
      </c>
      <c r="ER81" s="90">
        <f t="shared" si="87"/>
        <v>0</v>
      </c>
      <c r="ES81" s="90">
        <f t="shared" ca="1" si="122"/>
        <v>920.25</v>
      </c>
      <c r="ET81" s="90">
        <f ca="1">$ES81*ET$5*皮肤宠物!$J$75/4</f>
        <v>3037.7452499999999</v>
      </c>
      <c r="EU81" s="90">
        <f ca="1">$ES81*EU$5*皮肤宠物!$J$76/4</f>
        <v>507.05775000000006</v>
      </c>
      <c r="EV81" s="90">
        <f ca="1">$ES81*EV$5*皮肤宠物!$J$77/4</f>
        <v>137.34731250000002</v>
      </c>
      <c r="EW81" s="90">
        <f ca="1">_xlfn.IFNA(INDEX(皮肤宠物!$H$18:$H$67,MATCH(ET81,皮肤宠物!L$18:L$67,1)),0)</f>
        <v>19</v>
      </c>
      <c r="EX81" s="90">
        <f ca="1">_xlfn.IFNA(INDEX(皮肤宠物!$H$18:$H$67,MATCH(EU81,皮肤宠物!M$18:M$67,1)),0)</f>
        <v>15</v>
      </c>
      <c r="EY81" s="90">
        <f ca="1">_xlfn.IFNA(INDEX(皮肤宠物!$H$18:$H$67,MATCH(EV81,皮肤宠物!N$18:N$67,1)),0)</f>
        <v>11</v>
      </c>
      <c r="EZ81" s="90">
        <f ca="1">_xlfn.IFNA(INDEX(皮肤宠物!C$18:C$67,MATCH(EW81,皮肤宠物!$A$18:$A$67,0))+1,1)</f>
        <v>1.19</v>
      </c>
      <c r="FA81" s="90">
        <f ca="1">_xlfn.IFNA(INDEX(皮肤宠物!D$18:D$67,MATCH(EX81,皮肤宠物!$A$18:$A$67,0))+1,1)</f>
        <v>1.3</v>
      </c>
      <c r="FB81" s="90">
        <f ca="1">_xlfn.IFNA(INDEX(皮肤宠物!E$18:E$67,MATCH(EY81,皮肤宠物!$A$18:$A$67,0))+1,1)</f>
        <v>1.44</v>
      </c>
      <c r="FD81" s="90">
        <f t="shared" ca="1" si="123"/>
        <v>9.4600000000000009</v>
      </c>
      <c r="FE81" s="90">
        <f t="shared" si="124"/>
        <v>1.9800000000000002</v>
      </c>
      <c r="FF81" s="90">
        <f t="shared" ca="1" si="125"/>
        <v>1.44</v>
      </c>
      <c r="FG81" s="90">
        <f t="shared" ca="1" si="126"/>
        <v>26.972352000000008</v>
      </c>
    </row>
    <row r="82" spans="1:163" x14ac:dyDescent="0.25">
      <c r="A82" s="123">
        <v>76</v>
      </c>
      <c r="B82" s="123">
        <f>INDEX(关卡对比!$Y:$Y,MATCH(关卡对比!Z82,关卡对比!$AA:$AA,1))</f>
        <v>51</v>
      </c>
      <c r="C82" s="124">
        <f>INDEX(关卡对比!$Y:$Y,MATCH(关卡对比!Z82,关卡对比!$AB:$AB,1))</f>
        <v>43</v>
      </c>
      <c r="D82" s="125">
        <f t="shared" si="63"/>
        <v>309.5</v>
      </c>
      <c r="E82" s="125">
        <v>2</v>
      </c>
      <c r="F82" s="128">
        <v>16</v>
      </c>
      <c r="G82" s="90">
        <v>16</v>
      </c>
      <c r="H82" s="90">
        <v>5</v>
      </c>
      <c r="J82" s="128">
        <v>76</v>
      </c>
      <c r="K82" s="90">
        <f t="shared" si="88"/>
        <v>16</v>
      </c>
      <c r="L82" s="90">
        <f t="shared" si="89"/>
        <v>16</v>
      </c>
      <c r="M82" s="90">
        <f t="shared" si="90"/>
        <v>5</v>
      </c>
      <c r="N82" s="140">
        <f>INDEX($A:$A,MATCH(SUM($K$7:K82),$D:$D,1))</f>
        <v>200</v>
      </c>
      <c r="O82" s="140">
        <v>0</v>
      </c>
      <c r="P82" s="141">
        <v>0</v>
      </c>
      <c r="Q82" s="126">
        <f>_xlfn.MAXIFS(关卡产出!X:X,关卡产出!$A:$A,玩家节奏2!$N$6,关卡产出!$B:$B,玩家节奏2!$N82)+_xlfn.MAXIFS(关卡产出!X:X,关卡产出!$A:$A,玩家节奏2!$O$6,关卡产出!$B:$B,玩家节奏2!$O82)+_xlfn.MAXIFS(关卡产出!X:X,关卡产出!$A:$A,玩家节奏2!$P$6,关卡产出!$B:$B,玩家节奏2!$P82)</f>
        <v>38500</v>
      </c>
      <c r="R82" s="90">
        <f>_xlfn.MAXIFS(关卡产出!Y:Y,关卡产出!$A:$A,玩家节奏2!$N$6,关卡产出!$B:$B,玩家节奏2!$N82)+_xlfn.MAXIFS(关卡产出!Y:Y,关卡产出!$A:$A,玩家节奏2!$O$6,关卡产出!$B:$B,玩家节奏2!$O82)+_xlfn.MAXIFS(关卡产出!Y:Y,关卡产出!$A:$A,玩家节奏2!$P$6,关卡产出!$B:$B,玩家节奏2!$P82)</f>
        <v>11610000</v>
      </c>
      <c r="S82" s="90">
        <f>_xlfn.MAXIFS(关卡产出!Z:Z,关卡产出!$A:$A,玩家节奏2!$N$6,关卡产出!$B:$B,玩家节奏2!$N82)+_xlfn.MAXIFS(关卡产出!Z:Z,关卡产出!$A:$A,玩家节奏2!$O$6,关卡产出!$B:$B,玩家节奏2!$O82)+_xlfn.MAXIFS(关卡产出!Z:Z,关卡产出!$A:$A,玩家节奏2!$P$6,关卡产出!$B:$B,玩家节奏2!$P82)</f>
        <v>78866</v>
      </c>
      <c r="T82" s="90">
        <f>_xlfn.MAXIFS(关卡产出!AA:AA,关卡产出!$A:$A,玩家节奏2!$N$6,关卡产出!$B:$B,玩家节奏2!$N82)+_xlfn.MAXIFS(关卡产出!AA:AA,关卡产出!$A:$A,玩家节奏2!$O$6,关卡产出!$B:$B,玩家节奏2!$O82)+_xlfn.MAXIFS(关卡产出!AA:AA,关卡产出!$A:$A,玩家节奏2!$P$6,关卡产出!$B:$B,玩家节奏2!$P82)</f>
        <v>39434</v>
      </c>
      <c r="U82" s="90">
        <f>_xlfn.MAXIFS(关卡产出!AB:AB,关卡产出!$A:$A,玩家节奏2!$N$6,关卡产出!$B:$B,玩家节奏2!$N82)+_xlfn.MAXIFS(关卡产出!AB:AB,关卡产出!$A:$A,玩家节奏2!$O$6,关卡产出!$B:$B,玩家节奏2!$O82)+_xlfn.MAXIFS(关卡产出!AB:AB,关卡产出!$A:$A,玩家节奏2!$P$6,关卡产出!$B:$B,玩家节奏2!$P82)</f>
        <v>19113</v>
      </c>
      <c r="V82" s="130">
        <f>_xlfn.MAXIFS(关卡产出!AC:AC,关卡产出!$A:$A,玩家节奏2!$N$6,关卡产出!$B:$B,玩家节奏2!$N82)+_xlfn.MAXIFS(关卡产出!AC:AC,关卡产出!$A:$A,玩家节奏2!$O$6,关卡产出!$B:$B,玩家节奏2!$O82)+_xlfn.MAXIFS(关卡产出!AC:AC,关卡产出!$A:$A,玩家节奏2!$P$6,关卡产出!$B:$B,玩家节奏2!$P82)</f>
        <v>1200</v>
      </c>
      <c r="W82" s="126">
        <f>INDEX(关卡产出!C$8:C$207,MATCH(玩家节奏2!$N82,关卡产出!$B$8:$B$207,0))*$K82</f>
        <v>2528</v>
      </c>
      <c r="X82" s="126">
        <f>INDEX(关卡产出!D$8:D$207,MATCH(玩家节奏2!$N82,关卡产出!$B$8:$B$207,0))*$K82</f>
        <v>1264</v>
      </c>
      <c r="Y82" s="126">
        <f>INDEX(关卡产出!E$8:E$207,MATCH(玩家节奏2!$N82,关卡产出!$B$8:$B$207,0))*$K82</f>
        <v>624</v>
      </c>
      <c r="Z82" s="144">
        <f>INDEX(关卡产出!F$8:F$207,MATCH(玩家节奏2!$N82,关卡产出!$B$8:$B$207,0))*$K82</f>
        <v>32800</v>
      </c>
      <c r="AA82" s="126">
        <f>SUM(W$7:W82)</f>
        <v>133998</v>
      </c>
      <c r="AB82" s="126">
        <f>SUM(X$7:X82)</f>
        <v>66835</v>
      </c>
      <c r="AC82" s="126">
        <f>SUM(Y$7:Y82)</f>
        <v>32771</v>
      </c>
      <c r="AD82" s="177">
        <f>SUM(Z$7:Z82)</f>
        <v>1766330</v>
      </c>
      <c r="AE82" s="128">
        <f>INDEX(图鉴!AQ:AQ,MATCH($N82,图鉴!$S:$S,0))*34</f>
        <v>714</v>
      </c>
      <c r="AF82" s="90">
        <f>INDEX(图鉴!AR:AR,MATCH($N82,图鉴!$S:$S,0))*34</f>
        <v>510</v>
      </c>
      <c r="AG82" s="90">
        <f>INDEX(图鉴!AS:AS,MATCH($N82,图鉴!$S:$S,0))*34</f>
        <v>204</v>
      </c>
      <c r="AH82" s="129">
        <f ca="1">INDEX(图鉴!AT:AT,MATCH($N82,图鉴!$S:$S,0))*34</f>
        <v>55930</v>
      </c>
      <c r="AI82" s="128">
        <f>SUM($AE$7:AE82)</f>
        <v>52360</v>
      </c>
      <c r="AJ82" s="90">
        <f>SUM(AF$7:AF82)</f>
        <v>35292</v>
      </c>
      <c r="AK82" s="90">
        <f>SUM(AG$7:AG82)</f>
        <v>13566</v>
      </c>
      <c r="AL82" s="130">
        <f ca="1">SUM(AH$7:AH82)</f>
        <v>3421046</v>
      </c>
      <c r="AM82" s="133">
        <f>IF(M82=0,0,INDEX(关卡产出!$AU$11:$AU$15,MATCH(玩家节奏2!N82,关卡产出!$AW$11:$AW$15,1))*M82)</f>
        <v>61000</v>
      </c>
      <c r="AN82" s="126">
        <f>IF(L82=0,0,$L82*关卡产出!AU$21)</f>
        <v>16000</v>
      </c>
      <c r="AO82" s="90">
        <f>IF(M82=0,0,$L82*关卡产出!AV$21)</f>
        <v>800</v>
      </c>
      <c r="AP82" s="129">
        <f>IF(N82=0,0,$L82*关卡产出!AW$21)</f>
        <v>16</v>
      </c>
      <c r="AQ82" s="138">
        <f>SUM(AN$7:AN82)</f>
        <v>1168000</v>
      </c>
      <c r="AR82" s="126">
        <f>SUM(AO$7:AO82)</f>
        <v>58400</v>
      </c>
      <c r="AS82" s="129">
        <f>SUM(AP$7:AP82)</f>
        <v>1168</v>
      </c>
      <c r="AT82" s="128">
        <v>3000</v>
      </c>
      <c r="AU82" s="129">
        <v>600</v>
      </c>
      <c r="AV82" s="128">
        <f>SUM(AT$7:AT82)</f>
        <v>228000</v>
      </c>
      <c r="AW82" s="90">
        <f>SUM(AU$7:AU82)</f>
        <v>45600</v>
      </c>
      <c r="AY82" s="128">
        <f t="shared" si="91"/>
        <v>38500</v>
      </c>
      <c r="AZ82" s="90">
        <f t="shared" si="92"/>
        <v>58400</v>
      </c>
      <c r="BA82" s="90">
        <f t="shared" si="93"/>
        <v>45600</v>
      </c>
      <c r="BB82" s="90">
        <f t="shared" ca="1" si="127"/>
        <v>32300</v>
      </c>
      <c r="BC82" s="90">
        <f t="shared" ca="1" si="129"/>
        <v>89575</v>
      </c>
      <c r="BD82" s="90">
        <f t="shared" ca="1" si="130"/>
        <v>85225</v>
      </c>
      <c r="BE82" s="90">
        <f t="shared" ca="1" si="94"/>
        <v>174800</v>
      </c>
      <c r="BF82" s="142">
        <f t="shared" ca="1" si="75"/>
        <v>0.42980742394641364</v>
      </c>
      <c r="BG82" s="142">
        <f t="shared" ca="1" si="76"/>
        <v>0.6519676248953391</v>
      </c>
      <c r="BH82" s="142">
        <f t="shared" ca="1" si="77"/>
        <v>0.50907061121964836</v>
      </c>
      <c r="BI82" s="142">
        <f t="shared" ca="1" si="95"/>
        <v>0.36059168294725091</v>
      </c>
      <c r="BJ82" s="143"/>
      <c r="BK82" s="128">
        <f ca="1">INDEX(商城宝箱!$L:$L,MATCH(BC82,商城宝箱!$N:$N,1))</f>
        <v>11</v>
      </c>
      <c r="BL82" s="90">
        <f ca="1">_xlfn.IFNA(INDEX(商城宝箱!T:T,MATCH(玩家节奏2!$BK82,商城宝箱!$L:$L,0)),0)+($BC82-INDEX(商城宝箱!$N:$N,MATCH(玩家节奏2!$BK82,商城宝箱!$L:$L,0)))/$BK$5*INDEX(商城宝箱!E$23:E$42,MATCH(玩家节奏2!$BK82+1,商城宝箱!$C$23:$C$42,0))</f>
        <v>223937.5</v>
      </c>
      <c r="BM82" s="90">
        <f ca="1">_xlfn.IFNA(INDEX(商城宝箱!U:U,MATCH(玩家节奏2!$BK82,商城宝箱!$L:$L,0)),0)+($BC82-INDEX(商城宝箱!$N:$N,MATCH(玩家节奏2!$BK82,商城宝箱!$L:$L,0)))/$BK$5*INDEX(商城宝箱!F$23:F$42,MATCH(玩家节奏2!$BK82+1,商城宝箱!$C$23:$C$42,0))</f>
        <v>205820</v>
      </c>
      <c r="BN82" s="90">
        <f ca="1">_xlfn.IFNA(INDEX(商城宝箱!V:V,MATCH(玩家节奏2!$BK82,商城宝箱!$L:$L,0)),0)+($BC82-INDEX(商城宝箱!$N:$N,MATCH(玩家节奏2!$BK82,商城宝箱!$L:$L,0)))/$BK$5*INDEX(商城宝箱!G$23:G$42,MATCH(玩家节奏2!$BK82+1,商城宝箱!$C$23:$C$42,0))</f>
        <v>108968.25</v>
      </c>
      <c r="BO82" s="90">
        <f ca="1">_xlfn.IFNA(INDEX(商城宝箱!W:W,MATCH(玩家节奏2!$BK82,商城宝箱!$L:$L,0)),0)+($BC82-INDEX(商城宝箱!$N:$N,MATCH(玩家节奏2!$BK82,商城宝箱!$L:$L,0)))/$BK$5*INDEX(商城宝箱!H$23:H$42,MATCH(玩家节奏2!$BK82+1,商城宝箱!$C$23:$C$42,0))</f>
        <v>16374</v>
      </c>
      <c r="BQ82" s="128">
        <f t="shared" si="79"/>
        <v>11610000</v>
      </c>
      <c r="BR82" s="90">
        <f t="shared" si="80"/>
        <v>1766330</v>
      </c>
      <c r="BS82" s="90">
        <f t="shared" ca="1" si="81"/>
        <v>3421046</v>
      </c>
      <c r="BT82" s="90">
        <f t="shared" si="82"/>
        <v>61000</v>
      </c>
      <c r="BU82" s="90">
        <f t="shared" si="83"/>
        <v>1168000</v>
      </c>
      <c r="BV82" s="90">
        <f t="shared" si="84"/>
        <v>228000</v>
      </c>
      <c r="BW82" s="90">
        <f t="shared" ca="1" si="96"/>
        <v>223937.5</v>
      </c>
      <c r="BX82" s="90">
        <f t="shared" ca="1" si="97"/>
        <v>18478313.5</v>
      </c>
      <c r="BY82" s="142">
        <f t="shared" ca="1" si="74"/>
        <v>0.62830409279504862</v>
      </c>
      <c r="BZ82" s="142">
        <f t="shared" ca="1" si="74"/>
        <v>9.5589351268447739E-2</v>
      </c>
      <c r="CA82" s="142">
        <f t="shared" ca="1" si="73"/>
        <v>0.18513843268218175</v>
      </c>
      <c r="CB82" s="142">
        <f t="shared" ca="1" si="73"/>
        <v>3.3011670680876803E-3</v>
      </c>
      <c r="CC82" s="142">
        <f t="shared" ca="1" si="73"/>
        <v>6.3209231729941154E-2</v>
      </c>
      <c r="CD82" s="142">
        <f t="shared" ca="1" si="73"/>
        <v>1.2338788385639197E-2</v>
      </c>
      <c r="CE82" s="142">
        <f t="shared" ca="1" si="73"/>
        <v>1.2118936070653851E-2</v>
      </c>
      <c r="CG82" s="128">
        <f t="shared" si="98"/>
        <v>200</v>
      </c>
      <c r="CH82" s="90">
        <f ca="1">INDEX(角色升级!$A:$A,MATCH(玩家节奏2!$BX82,角色升级!$J:$J,1))</f>
        <v>926</v>
      </c>
      <c r="CI82" s="90">
        <f ca="1">INDEX(角色升级!$O:$O,MATCH(玩家节奏2!$BX82,角色升级!$J:$J,1))</f>
        <v>74510.865275000004</v>
      </c>
      <c r="CJ82" s="90">
        <f>INDEX(关卡对比!$J:$J,MATCH(玩家节奏2!N82,关卡对比!$A:$A,0))</f>
        <v>86200</v>
      </c>
      <c r="CK82" s="147">
        <f t="shared" ca="1" si="99"/>
        <v>1.1568782577125964</v>
      </c>
      <c r="CL82" s="128">
        <f ca="1">INDEX(角色升级!$P:$P,MATCH(玩家节奏2!$CH82,角色升级!$A:$A,0))</f>
        <v>32300</v>
      </c>
      <c r="CM82" s="90">
        <f ca="1">INDEX(角色升级!Q:Q,MATCH(玩家节奏2!$CH82,角色升级!$A:$A,0))</f>
        <v>2</v>
      </c>
      <c r="CO82" s="128">
        <f t="shared" si="100"/>
        <v>78866</v>
      </c>
      <c r="CP82" s="90">
        <f t="shared" si="101"/>
        <v>133998</v>
      </c>
      <c r="CQ82" s="90">
        <f t="shared" si="102"/>
        <v>52360</v>
      </c>
      <c r="CR82" s="90">
        <f t="shared" ca="1" si="103"/>
        <v>205820</v>
      </c>
      <c r="CS82" s="90">
        <f t="shared" ca="1" si="104"/>
        <v>471044</v>
      </c>
      <c r="CT82" s="142">
        <f t="shared" ca="1" si="105"/>
        <v>0.16742809588913138</v>
      </c>
      <c r="CU82" s="142">
        <f t="shared" ca="1" si="105"/>
        <v>0.28447024057200604</v>
      </c>
      <c r="CV82" s="142">
        <f t="shared" ca="1" si="105"/>
        <v>0.1111573441122273</v>
      </c>
      <c r="CW82" s="142">
        <f t="shared" ca="1" si="105"/>
        <v>0.43694431942663531</v>
      </c>
      <c r="CY82" s="128">
        <f t="shared" si="106"/>
        <v>39434</v>
      </c>
      <c r="CZ82" s="90">
        <f t="shared" si="107"/>
        <v>66835</v>
      </c>
      <c r="DA82" s="90">
        <f t="shared" si="108"/>
        <v>35292</v>
      </c>
      <c r="DB82" s="90">
        <f t="shared" ca="1" si="128"/>
        <v>108968.25</v>
      </c>
      <c r="DC82" s="90">
        <f t="shared" ca="1" si="109"/>
        <v>250529.25</v>
      </c>
      <c r="DD82" s="142">
        <f t="shared" ca="1" si="110"/>
        <v>0.15740277831830016</v>
      </c>
      <c r="DE82" s="142">
        <f t="shared" ca="1" si="110"/>
        <v>0.26677523682364435</v>
      </c>
      <c r="DF82" s="142">
        <f t="shared" ca="1" si="110"/>
        <v>0.14086977867853753</v>
      </c>
      <c r="DG82" s="142">
        <f t="shared" ca="1" si="110"/>
        <v>0.43495220617951796</v>
      </c>
      <c r="DI82" s="128">
        <f t="shared" si="111"/>
        <v>19113</v>
      </c>
      <c r="DJ82" s="90">
        <f t="shared" si="112"/>
        <v>32771</v>
      </c>
      <c r="DK82" s="90">
        <f t="shared" si="113"/>
        <v>13566</v>
      </c>
      <c r="DL82" s="90">
        <f t="shared" ca="1" si="114"/>
        <v>16374</v>
      </c>
      <c r="DM82" s="90">
        <f t="shared" ca="1" si="115"/>
        <v>81824</v>
      </c>
      <c r="DN82" s="142">
        <f t="shared" ca="1" si="116"/>
        <v>0.23358672272193978</v>
      </c>
      <c r="DO82" s="142">
        <f t="shared" ca="1" si="116"/>
        <v>0.40050596402033634</v>
      </c>
      <c r="DP82" s="142">
        <f t="shared" ca="1" si="116"/>
        <v>0.16579487680876026</v>
      </c>
      <c r="DQ82" s="142">
        <f t="shared" ca="1" si="116"/>
        <v>0.20011243644896362</v>
      </c>
      <c r="DS82" s="128">
        <f t="shared" ca="1" si="117"/>
        <v>471044</v>
      </c>
      <c r="DT82" s="90">
        <f t="shared" ca="1" si="118"/>
        <v>250529.25</v>
      </c>
      <c r="DU82" s="90">
        <f t="shared" ca="1" si="119"/>
        <v>81824</v>
      </c>
      <c r="DV82" s="90">
        <f t="shared" si="120"/>
        <v>1168</v>
      </c>
      <c r="DW82" s="90">
        <f ca="1">_xlfn.IFNA(INDEX(武器升级消耗!$H:$H,MATCH(玩家节奏2!DS82/玩家节奏2!DS$5,武器升级消耗!M:M,1)),0)</f>
        <v>60</v>
      </c>
      <c r="DX82" s="90">
        <f ca="1">_xlfn.IFNA(INDEX(武器升级消耗!$H:$H,MATCH(玩家节奏2!DT82/玩家节奏2!DT$5,武器升级消耗!N:N,1)),0)</f>
        <v>53</v>
      </c>
      <c r="DY82" s="90">
        <f ca="1">_xlfn.IFNA(INDEX(武器升级消耗!$H:$H,MATCH(玩家节奏2!DU82/玩家节奏2!DU$5,武器升级消耗!O:O,1)),0)</f>
        <v>39</v>
      </c>
      <c r="DZ82" s="90">
        <f>_xlfn.IFNA(INDEX(武器升级消耗!$H:$H,MATCH(玩家节奏2!DV82/玩家节奏2!DV$5,武器升级消耗!P:P,1)),0)</f>
        <v>25</v>
      </c>
      <c r="EA82" s="90">
        <f ca="1">_xlfn.IFNA(INDEX(武器升级消耗!$Q:$Q,MATCH(玩家节奏2!DW82,武器升级消耗!$H:$H,0))*2*EA$4,0)</f>
        <v>7.68</v>
      </c>
      <c r="EB82" s="90">
        <f ca="1">_xlfn.IFNA(INDEX(武器升级消耗!$Q:$Q,MATCH(玩家节奏2!DX82,武器升级消耗!$H:$H,0))*2*EB$4,0)</f>
        <v>8.5500000000000007</v>
      </c>
      <c r="EC82" s="90">
        <f ca="1">_xlfn.IFNA(INDEX(武器升级消耗!$Q:$Q,MATCH(玩家节奏2!DY82,武器升级消耗!$H:$H,0))*2*EC$4,0)</f>
        <v>9.4600000000000009</v>
      </c>
      <c r="ED82" s="90">
        <f>_xlfn.IFNA(INDEX(武器升级消耗!$Q:$Q,MATCH(玩家节奏2!DZ82,武器升级消耗!$H:$H,0))*2*ED$4,0)</f>
        <v>8.6999999999999993</v>
      </c>
      <c r="EF82" s="128">
        <f t="shared" si="85"/>
        <v>0</v>
      </c>
      <c r="EG82" s="90">
        <f t="shared" si="86"/>
        <v>0</v>
      </c>
      <c r="EH82" s="90">
        <v>228</v>
      </c>
      <c r="EI82" s="90">
        <v>228</v>
      </c>
      <c r="EJ82" s="90">
        <f>_xlfn.IFNA(INDEX(皮肤宠物!$J$4:$J$13,MATCH(EF82+EH82,皮肤宠物!$L$4:$L$13,1)),0)</f>
        <v>8</v>
      </c>
      <c r="EK82" s="90">
        <f>_xlfn.IFNA(INDEX(皮肤宠物!$J$4:$J$13,MATCH(EG82+EI82,皮肤宠物!$L$4:$L$13,1)),0)</f>
        <v>8</v>
      </c>
      <c r="EL82" s="90">
        <f>_xlfn.IFNA(INDEX(皮肤宠物!$N$4:$N$13,MATCH(EF82+EH82,皮肤宠物!$L$4:$L$13,1)),1)</f>
        <v>1.9800000000000002</v>
      </c>
      <c r="EM82" s="90">
        <f>_xlfn.IFNA(INDEX(皮肤宠物!$N$4:$N$13,MATCH(EG82+EI82,皮肤宠物!$L$4:$L$13,1)),1)</f>
        <v>1.9800000000000002</v>
      </c>
      <c r="EO82" s="128">
        <v>228</v>
      </c>
      <c r="EP82" s="90">
        <v>76</v>
      </c>
      <c r="EQ82" s="90">
        <f t="shared" ca="1" si="121"/>
        <v>85225</v>
      </c>
      <c r="ER82" s="90">
        <f t="shared" si="87"/>
        <v>0</v>
      </c>
      <c r="ES82" s="90">
        <f t="shared" ca="1" si="122"/>
        <v>928.25</v>
      </c>
      <c r="ET82" s="90">
        <f ca="1">$ES82*ET$5*皮肤宠物!$J$75/4</f>
        <v>3064.1532499999998</v>
      </c>
      <c r="EU82" s="90">
        <f ca="1">$ES82*EU$5*皮肤宠物!$J$76/4</f>
        <v>511.46575000000001</v>
      </c>
      <c r="EV82" s="90">
        <f ca="1">$ES82*EV$5*皮肤宠物!$J$77/4</f>
        <v>138.5413125</v>
      </c>
      <c r="EW82" s="90">
        <f ca="1">_xlfn.IFNA(INDEX(皮肤宠物!$H$18:$H$67,MATCH(ET82,皮肤宠物!L$18:L$67,1)),0)</f>
        <v>19</v>
      </c>
      <c r="EX82" s="90">
        <f ca="1">_xlfn.IFNA(INDEX(皮肤宠物!$H$18:$H$67,MATCH(EU82,皮肤宠物!M$18:M$67,1)),0)</f>
        <v>15</v>
      </c>
      <c r="EY82" s="90">
        <f ca="1">_xlfn.IFNA(INDEX(皮肤宠物!$H$18:$H$67,MATCH(EV82,皮肤宠物!N$18:N$67,1)),0)</f>
        <v>11</v>
      </c>
      <c r="EZ82" s="90">
        <f ca="1">_xlfn.IFNA(INDEX(皮肤宠物!C$18:C$67,MATCH(EW82,皮肤宠物!$A$18:$A$67,0))+1,1)</f>
        <v>1.19</v>
      </c>
      <c r="FA82" s="90">
        <f ca="1">_xlfn.IFNA(INDEX(皮肤宠物!D$18:D$67,MATCH(EX82,皮肤宠物!$A$18:$A$67,0))+1,1)</f>
        <v>1.3</v>
      </c>
      <c r="FB82" s="90">
        <f ca="1">_xlfn.IFNA(INDEX(皮肤宠物!E$18:E$67,MATCH(EY82,皮肤宠物!$A$18:$A$67,0))+1,1)</f>
        <v>1.44</v>
      </c>
      <c r="FD82" s="90">
        <f t="shared" ca="1" si="123"/>
        <v>9.4600000000000009</v>
      </c>
      <c r="FE82" s="90">
        <f t="shared" si="124"/>
        <v>1.9800000000000002</v>
      </c>
      <c r="FF82" s="90">
        <f t="shared" ca="1" si="125"/>
        <v>1.44</v>
      </c>
      <c r="FG82" s="90">
        <f t="shared" ca="1" si="126"/>
        <v>26.972352000000008</v>
      </c>
    </row>
    <row r="83" spans="1:163" x14ac:dyDescent="0.25">
      <c r="A83" s="123">
        <v>77</v>
      </c>
      <c r="B83" s="123">
        <f>INDEX(关卡对比!$Y:$Y,MATCH(关卡对比!Z83,关卡对比!$AA:$AA,1))</f>
        <v>52</v>
      </c>
      <c r="C83" s="124">
        <f>INDEX(关卡对比!$Y:$Y,MATCH(关卡对比!Z83,关卡对比!$AB:$AB,1))</f>
        <v>44</v>
      </c>
      <c r="D83" s="125">
        <f t="shared" si="63"/>
        <v>315.5</v>
      </c>
      <c r="E83" s="125">
        <v>2</v>
      </c>
      <c r="F83" s="128">
        <v>16</v>
      </c>
      <c r="G83" s="90">
        <v>16</v>
      </c>
      <c r="H83" s="90">
        <v>5</v>
      </c>
      <c r="J83" s="128">
        <v>77</v>
      </c>
      <c r="K83" s="90">
        <f t="shared" si="88"/>
        <v>16</v>
      </c>
      <c r="L83" s="90">
        <f t="shared" si="89"/>
        <v>16</v>
      </c>
      <c r="M83" s="90">
        <f t="shared" si="90"/>
        <v>5</v>
      </c>
      <c r="N83" s="140">
        <f>INDEX($A:$A,MATCH(SUM($K$7:K83),$D:$D,1))</f>
        <v>200</v>
      </c>
      <c r="O83" s="140">
        <v>0</v>
      </c>
      <c r="P83" s="141">
        <v>0</v>
      </c>
      <c r="Q83" s="126">
        <f>_xlfn.MAXIFS(关卡产出!X:X,关卡产出!$A:$A,玩家节奏2!$N$6,关卡产出!$B:$B,玩家节奏2!$N83)+_xlfn.MAXIFS(关卡产出!X:X,关卡产出!$A:$A,玩家节奏2!$O$6,关卡产出!$B:$B,玩家节奏2!$O83)+_xlfn.MAXIFS(关卡产出!X:X,关卡产出!$A:$A,玩家节奏2!$P$6,关卡产出!$B:$B,玩家节奏2!$P83)</f>
        <v>38500</v>
      </c>
      <c r="R83" s="90">
        <f>_xlfn.MAXIFS(关卡产出!Y:Y,关卡产出!$A:$A,玩家节奏2!$N$6,关卡产出!$B:$B,玩家节奏2!$N83)+_xlfn.MAXIFS(关卡产出!Y:Y,关卡产出!$A:$A,玩家节奏2!$O$6,关卡产出!$B:$B,玩家节奏2!$O83)+_xlfn.MAXIFS(关卡产出!Y:Y,关卡产出!$A:$A,玩家节奏2!$P$6,关卡产出!$B:$B,玩家节奏2!$P83)</f>
        <v>11610000</v>
      </c>
      <c r="S83" s="90">
        <f>_xlfn.MAXIFS(关卡产出!Z:Z,关卡产出!$A:$A,玩家节奏2!$N$6,关卡产出!$B:$B,玩家节奏2!$N83)+_xlfn.MAXIFS(关卡产出!Z:Z,关卡产出!$A:$A,玩家节奏2!$O$6,关卡产出!$B:$B,玩家节奏2!$O83)+_xlfn.MAXIFS(关卡产出!Z:Z,关卡产出!$A:$A,玩家节奏2!$P$6,关卡产出!$B:$B,玩家节奏2!$P83)</f>
        <v>78866</v>
      </c>
      <c r="T83" s="90">
        <f>_xlfn.MAXIFS(关卡产出!AA:AA,关卡产出!$A:$A,玩家节奏2!$N$6,关卡产出!$B:$B,玩家节奏2!$N83)+_xlfn.MAXIFS(关卡产出!AA:AA,关卡产出!$A:$A,玩家节奏2!$O$6,关卡产出!$B:$B,玩家节奏2!$O83)+_xlfn.MAXIFS(关卡产出!AA:AA,关卡产出!$A:$A,玩家节奏2!$P$6,关卡产出!$B:$B,玩家节奏2!$P83)</f>
        <v>39434</v>
      </c>
      <c r="U83" s="90">
        <f>_xlfn.MAXIFS(关卡产出!AB:AB,关卡产出!$A:$A,玩家节奏2!$N$6,关卡产出!$B:$B,玩家节奏2!$N83)+_xlfn.MAXIFS(关卡产出!AB:AB,关卡产出!$A:$A,玩家节奏2!$O$6,关卡产出!$B:$B,玩家节奏2!$O83)+_xlfn.MAXIFS(关卡产出!AB:AB,关卡产出!$A:$A,玩家节奏2!$P$6,关卡产出!$B:$B,玩家节奏2!$P83)</f>
        <v>19113</v>
      </c>
      <c r="V83" s="130">
        <f>_xlfn.MAXIFS(关卡产出!AC:AC,关卡产出!$A:$A,玩家节奏2!$N$6,关卡产出!$B:$B,玩家节奏2!$N83)+_xlfn.MAXIFS(关卡产出!AC:AC,关卡产出!$A:$A,玩家节奏2!$O$6,关卡产出!$B:$B,玩家节奏2!$O83)+_xlfn.MAXIFS(关卡产出!AC:AC,关卡产出!$A:$A,玩家节奏2!$P$6,关卡产出!$B:$B,玩家节奏2!$P83)</f>
        <v>1200</v>
      </c>
      <c r="W83" s="126">
        <f>INDEX(关卡产出!C$8:C$207,MATCH(玩家节奏2!$N83,关卡产出!$B$8:$B$207,0))*$K83</f>
        <v>2528</v>
      </c>
      <c r="X83" s="126">
        <f>INDEX(关卡产出!D$8:D$207,MATCH(玩家节奏2!$N83,关卡产出!$B$8:$B$207,0))*$K83</f>
        <v>1264</v>
      </c>
      <c r="Y83" s="126">
        <f>INDEX(关卡产出!E$8:E$207,MATCH(玩家节奏2!$N83,关卡产出!$B$8:$B$207,0))*$K83</f>
        <v>624</v>
      </c>
      <c r="Z83" s="144">
        <f>INDEX(关卡产出!F$8:F$207,MATCH(玩家节奏2!$N83,关卡产出!$B$8:$B$207,0))*$K83</f>
        <v>32800</v>
      </c>
      <c r="AA83" s="126">
        <f>SUM(W$7:W83)</f>
        <v>136526</v>
      </c>
      <c r="AB83" s="126">
        <f>SUM(X$7:X83)</f>
        <v>68099</v>
      </c>
      <c r="AC83" s="126">
        <f>SUM(Y$7:Y83)</f>
        <v>33395</v>
      </c>
      <c r="AD83" s="177">
        <f>SUM(Z$7:Z83)</f>
        <v>1799130</v>
      </c>
      <c r="AE83" s="128">
        <f>INDEX(图鉴!AQ:AQ,MATCH($N83,图鉴!$S:$S,0))*34</f>
        <v>714</v>
      </c>
      <c r="AF83" s="90">
        <f>INDEX(图鉴!AR:AR,MATCH($N83,图鉴!$S:$S,0))*34</f>
        <v>510</v>
      </c>
      <c r="AG83" s="90">
        <f>INDEX(图鉴!AS:AS,MATCH($N83,图鉴!$S:$S,0))*34</f>
        <v>204</v>
      </c>
      <c r="AH83" s="129">
        <f ca="1">INDEX(图鉴!AT:AT,MATCH($N83,图鉴!$S:$S,0))*34</f>
        <v>55930</v>
      </c>
      <c r="AI83" s="128">
        <f>SUM($AE$7:AE83)</f>
        <v>53074</v>
      </c>
      <c r="AJ83" s="90">
        <f>SUM(AF$7:AF83)</f>
        <v>35802</v>
      </c>
      <c r="AK83" s="90">
        <f>SUM(AG$7:AG83)</f>
        <v>13770</v>
      </c>
      <c r="AL83" s="130">
        <f ca="1">SUM(AH$7:AH83)</f>
        <v>3476976</v>
      </c>
      <c r="AM83" s="133">
        <f>IF(M83=0,0,INDEX(关卡产出!$AU$11:$AU$15,MATCH(玩家节奏2!N83,关卡产出!$AW$11:$AW$15,1))*M83)</f>
        <v>61000</v>
      </c>
      <c r="AN83" s="126">
        <f>IF(L83=0,0,$L83*关卡产出!AU$21)</f>
        <v>16000</v>
      </c>
      <c r="AO83" s="90">
        <f>IF(M83=0,0,$L83*关卡产出!AV$21)</f>
        <v>800</v>
      </c>
      <c r="AP83" s="129">
        <f>IF(N83=0,0,$L83*关卡产出!AW$21)</f>
        <v>16</v>
      </c>
      <c r="AQ83" s="138">
        <f>SUM(AN$7:AN83)</f>
        <v>1184000</v>
      </c>
      <c r="AR83" s="126">
        <f>SUM(AO$7:AO83)</f>
        <v>59200</v>
      </c>
      <c r="AS83" s="129">
        <f>SUM(AP$7:AP83)</f>
        <v>1184</v>
      </c>
      <c r="AT83" s="128">
        <v>3000</v>
      </c>
      <c r="AU83" s="129">
        <v>600</v>
      </c>
      <c r="AV83" s="128">
        <f>SUM(AT$7:AT83)</f>
        <v>231000</v>
      </c>
      <c r="AW83" s="90">
        <f>SUM(AU$7:AU83)</f>
        <v>46200</v>
      </c>
      <c r="AY83" s="128">
        <f t="shared" si="91"/>
        <v>38500</v>
      </c>
      <c r="AZ83" s="90">
        <f t="shared" si="92"/>
        <v>59200</v>
      </c>
      <c r="BA83" s="90">
        <f t="shared" si="93"/>
        <v>46200</v>
      </c>
      <c r="BB83" s="90">
        <f t="shared" ca="1" si="127"/>
        <v>32300</v>
      </c>
      <c r="BC83" s="90">
        <f t="shared" ca="1" si="129"/>
        <v>90275</v>
      </c>
      <c r="BD83" s="90">
        <f t="shared" ca="1" si="130"/>
        <v>85925</v>
      </c>
      <c r="BE83" s="90">
        <f t="shared" ca="1" si="94"/>
        <v>176200</v>
      </c>
      <c r="BF83" s="142">
        <f t="shared" ca="1" si="75"/>
        <v>0.42647466075879259</v>
      </c>
      <c r="BG83" s="142">
        <f t="shared" ca="1" si="76"/>
        <v>0.65577402381611738</v>
      </c>
      <c r="BH83" s="142">
        <f t="shared" ca="1" si="77"/>
        <v>0.51176959291055113</v>
      </c>
      <c r="BI83" s="142">
        <f t="shared" ca="1" si="95"/>
        <v>0.35779562448075325</v>
      </c>
      <c r="BJ83" s="143"/>
      <c r="BK83" s="128">
        <f ca="1">INDEX(商城宝箱!$L:$L,MATCH(BC83,商城宝箱!$N:$N,1))</f>
        <v>11</v>
      </c>
      <c r="BL83" s="90">
        <f ca="1">_xlfn.IFNA(INDEX(商城宝箱!T:T,MATCH(玩家节奏2!$BK83,商城宝箱!$L:$L,0)),0)+($BC83-INDEX(商城宝箱!$N:$N,MATCH(玩家节奏2!$BK83,商城宝箱!$L:$L,0)))/$BK$5*INDEX(商城宝箱!E$23:E$42,MATCH(玩家节奏2!$BK83+1,商城宝箱!$C$23:$C$42,0))</f>
        <v>225687.5</v>
      </c>
      <c r="BM83" s="90">
        <f ca="1">_xlfn.IFNA(INDEX(商城宝箱!U:U,MATCH(玩家节奏2!$BK83,商城宝箱!$L:$L,0)),0)+($BC83-INDEX(商城宝箱!$N:$N,MATCH(玩家节奏2!$BK83,商城宝箱!$L:$L,0)))/$BK$5*INDEX(商城宝箱!F$23:F$42,MATCH(玩家节奏2!$BK83+1,商城宝箱!$C$23:$C$42,0))</f>
        <v>208410</v>
      </c>
      <c r="BN83" s="90">
        <f ca="1">_xlfn.IFNA(INDEX(商城宝箱!V:V,MATCH(玩家节奏2!$BK83,商城宝箱!$L:$L,0)),0)+($BC83-INDEX(商城宝箱!$N:$N,MATCH(玩家节奏2!$BK83,商城宝箱!$L:$L,0)))/$BK$5*INDEX(商城宝箱!G$23:G$42,MATCH(玩家节奏2!$BK83+1,商城宝箱!$C$23:$C$42,0))</f>
        <v>110193.25</v>
      </c>
      <c r="BO83" s="90">
        <f ca="1">_xlfn.IFNA(INDEX(商城宝箱!W:W,MATCH(玩家节奏2!$BK83,商城宝箱!$L:$L,0)),0)+($BC83-INDEX(商城宝箱!$N:$N,MATCH(玩家节奏2!$BK83,商城宝箱!$L:$L,0)))/$BK$5*INDEX(商城宝箱!H$23:H$42,MATCH(玩家节奏2!$BK83+1,商城宝箱!$C$23:$C$42,0))</f>
        <v>16584</v>
      </c>
      <c r="BQ83" s="128">
        <f t="shared" si="79"/>
        <v>11610000</v>
      </c>
      <c r="BR83" s="90">
        <f t="shared" si="80"/>
        <v>1799130</v>
      </c>
      <c r="BS83" s="90">
        <f t="shared" ca="1" si="81"/>
        <v>3476976</v>
      </c>
      <c r="BT83" s="90">
        <f t="shared" si="82"/>
        <v>61000</v>
      </c>
      <c r="BU83" s="90">
        <f t="shared" si="83"/>
        <v>1184000</v>
      </c>
      <c r="BV83" s="90">
        <f t="shared" si="84"/>
        <v>231000</v>
      </c>
      <c r="BW83" s="90">
        <f t="shared" ca="1" si="96"/>
        <v>225687.5</v>
      </c>
      <c r="BX83" s="90">
        <f t="shared" ca="1" si="97"/>
        <v>18587793.5</v>
      </c>
      <c r="BY83" s="142">
        <f t="shared" ca="1" si="74"/>
        <v>0.62460345279820328</v>
      </c>
      <c r="BZ83" s="142">
        <f t="shared" ca="1" si="74"/>
        <v>9.6790939709976875E-2</v>
      </c>
      <c r="CA83" s="142">
        <f t="shared" ca="1" si="73"/>
        <v>0.18705695218746646</v>
      </c>
      <c r="CB83" s="142">
        <f t="shared" ca="1" si="73"/>
        <v>3.281723567673592E-3</v>
      </c>
      <c r="CC83" s="142">
        <f t="shared" ca="1" si="73"/>
        <v>6.3697716461074305E-2</v>
      </c>
      <c r="CD83" s="142">
        <f t="shared" ca="1" si="73"/>
        <v>1.2427510559550815E-2</v>
      </c>
      <c r="CE83" s="142">
        <f t="shared" ca="1" si="73"/>
        <v>1.2141704716054651E-2</v>
      </c>
      <c r="CG83" s="128">
        <f t="shared" si="98"/>
        <v>200</v>
      </c>
      <c r="CH83" s="90">
        <f ca="1">INDEX(角色升级!$A:$A,MATCH(玩家节奏2!$BX83,角色升级!$J:$J,1))</f>
        <v>929</v>
      </c>
      <c r="CI83" s="90">
        <f ca="1">INDEX(角色升级!$O:$O,MATCH(玩家节奏2!$BX83,角色升级!$J:$J,1))</f>
        <v>74607.842539999983</v>
      </c>
      <c r="CJ83" s="90">
        <f>INDEX(关卡对比!$J:$J,MATCH(玩家节奏2!N83,关卡对比!$A:$A,0))</f>
        <v>86200</v>
      </c>
      <c r="CK83" s="147">
        <f t="shared" ca="1" si="99"/>
        <v>1.1553745164764018</v>
      </c>
      <c r="CL83" s="128">
        <f ca="1">INDEX(角色升级!$P:$P,MATCH(玩家节奏2!$CH83,角色升级!$A:$A,0))</f>
        <v>32300</v>
      </c>
      <c r="CM83" s="90">
        <f ca="1">INDEX(角色升级!Q:Q,MATCH(玩家节奏2!$CH83,角色升级!$A:$A,0))</f>
        <v>2</v>
      </c>
      <c r="CO83" s="128">
        <f t="shared" si="100"/>
        <v>78866</v>
      </c>
      <c r="CP83" s="90">
        <f t="shared" si="101"/>
        <v>136526</v>
      </c>
      <c r="CQ83" s="90">
        <f t="shared" si="102"/>
        <v>53074</v>
      </c>
      <c r="CR83" s="90">
        <f t="shared" ca="1" si="103"/>
        <v>208410</v>
      </c>
      <c r="CS83" s="90">
        <f t="shared" ca="1" si="104"/>
        <v>476876</v>
      </c>
      <c r="CT83" s="142">
        <f t="shared" ca="1" si="105"/>
        <v>0.16538051820599065</v>
      </c>
      <c r="CU83" s="142">
        <f t="shared" ca="1" si="105"/>
        <v>0.28629245338410825</v>
      </c>
      <c r="CV83" s="142">
        <f t="shared" ca="1" si="105"/>
        <v>0.11129517945964988</v>
      </c>
      <c r="CW83" s="142">
        <f t="shared" ca="1" si="105"/>
        <v>0.43703184895025121</v>
      </c>
      <c r="CY83" s="128">
        <f t="shared" si="106"/>
        <v>39434</v>
      </c>
      <c r="CZ83" s="90">
        <f t="shared" si="107"/>
        <v>68099</v>
      </c>
      <c r="DA83" s="90">
        <f t="shared" si="108"/>
        <v>35802</v>
      </c>
      <c r="DB83" s="90">
        <f t="shared" ca="1" si="128"/>
        <v>110193.25</v>
      </c>
      <c r="DC83" s="90">
        <f t="shared" ca="1" si="109"/>
        <v>253528.25</v>
      </c>
      <c r="DD83" s="142">
        <f t="shared" ca="1" si="110"/>
        <v>0.15554085195634018</v>
      </c>
      <c r="DE83" s="142">
        <f t="shared" ca="1" si="110"/>
        <v>0.26860517516292565</v>
      </c>
      <c r="DF83" s="142">
        <f t="shared" ca="1" si="110"/>
        <v>0.14121503224985776</v>
      </c>
      <c r="DG83" s="142">
        <f t="shared" ca="1" si="110"/>
        <v>0.43463894063087644</v>
      </c>
      <c r="DI83" s="128">
        <f t="shared" si="111"/>
        <v>19113</v>
      </c>
      <c r="DJ83" s="90">
        <f t="shared" si="112"/>
        <v>33395</v>
      </c>
      <c r="DK83" s="90">
        <f t="shared" si="113"/>
        <v>13770</v>
      </c>
      <c r="DL83" s="90">
        <f t="shared" ca="1" si="114"/>
        <v>16584</v>
      </c>
      <c r="DM83" s="90">
        <f t="shared" ca="1" si="115"/>
        <v>82862</v>
      </c>
      <c r="DN83" s="142">
        <f t="shared" ca="1" si="116"/>
        <v>0.23066061644662209</v>
      </c>
      <c r="DO83" s="142">
        <f t="shared" ca="1" si="116"/>
        <v>0.40301947816852113</v>
      </c>
      <c r="DP83" s="142">
        <f t="shared" ca="1" si="116"/>
        <v>0.16617991359127224</v>
      </c>
      <c r="DQ83" s="142">
        <f t="shared" ca="1" si="116"/>
        <v>0.20013999179358452</v>
      </c>
      <c r="DS83" s="128">
        <f t="shared" ca="1" si="117"/>
        <v>476876</v>
      </c>
      <c r="DT83" s="90">
        <f t="shared" ca="1" si="118"/>
        <v>253528.25</v>
      </c>
      <c r="DU83" s="90">
        <f t="shared" ca="1" si="119"/>
        <v>82862</v>
      </c>
      <c r="DV83" s="90">
        <f t="shared" si="120"/>
        <v>1184</v>
      </c>
      <c r="DW83" s="90">
        <f ca="1">_xlfn.IFNA(INDEX(武器升级消耗!$H:$H,MATCH(玩家节奏2!DS83/玩家节奏2!DS$5,武器升级消耗!M:M,1)),0)</f>
        <v>60</v>
      </c>
      <c r="DX83" s="90">
        <f ca="1">_xlfn.IFNA(INDEX(武器升级消耗!$H:$H,MATCH(玩家节奏2!DT83/玩家节奏2!DT$5,武器升级消耗!N:N,1)),0)</f>
        <v>53</v>
      </c>
      <c r="DY83" s="90">
        <f ca="1">_xlfn.IFNA(INDEX(武器升级消耗!$H:$H,MATCH(玩家节奏2!DU83/玩家节奏2!DU$5,武器升级消耗!O:O,1)),0)</f>
        <v>40</v>
      </c>
      <c r="DZ83" s="90">
        <f>_xlfn.IFNA(INDEX(武器升级消耗!$H:$H,MATCH(玩家节奏2!DV83/玩家节奏2!DV$5,武器升级消耗!P:P,1)),0)</f>
        <v>25</v>
      </c>
      <c r="EA83" s="90">
        <f ca="1">_xlfn.IFNA(INDEX(武器升级消耗!$Q:$Q,MATCH(玩家节奏2!DW83,武器升级消耗!$H:$H,0))*2*EA$4,0)</f>
        <v>7.68</v>
      </c>
      <c r="EB83" s="90">
        <f ca="1">_xlfn.IFNA(INDEX(武器升级消耗!$Q:$Q,MATCH(玩家节奏2!DX83,武器升级消耗!$H:$H,0))*2*EB$4,0)</f>
        <v>8.5500000000000007</v>
      </c>
      <c r="EC83" s="90">
        <f ca="1">_xlfn.IFNA(INDEX(武器升级消耗!$Q:$Q,MATCH(玩家节奏2!DY83,武器升级消耗!$H:$H,0))*2*EC$4,0)</f>
        <v>9.6800000000000015</v>
      </c>
      <c r="ED83" s="90">
        <f>_xlfn.IFNA(INDEX(武器升级消耗!$Q:$Q,MATCH(玩家节奏2!DZ83,武器升级消耗!$H:$H,0))*2*ED$4,0)</f>
        <v>8.6999999999999993</v>
      </c>
      <c r="EF83" s="128">
        <f t="shared" si="85"/>
        <v>0</v>
      </c>
      <c r="EG83" s="90">
        <f t="shared" si="86"/>
        <v>0</v>
      </c>
      <c r="EH83" s="90">
        <v>231</v>
      </c>
      <c r="EI83" s="90">
        <v>231</v>
      </c>
      <c r="EJ83" s="90">
        <f>_xlfn.IFNA(INDEX(皮肤宠物!$J$4:$J$13,MATCH(EF83+EH83,皮肤宠物!$L$4:$L$13,1)),0)</f>
        <v>8</v>
      </c>
      <c r="EK83" s="90">
        <f>_xlfn.IFNA(INDEX(皮肤宠物!$J$4:$J$13,MATCH(EG83+EI83,皮肤宠物!$L$4:$L$13,1)),0)</f>
        <v>8</v>
      </c>
      <c r="EL83" s="90">
        <f>_xlfn.IFNA(INDEX(皮肤宠物!$N$4:$N$13,MATCH(EF83+EH83,皮肤宠物!$L$4:$L$13,1)),1)</f>
        <v>1.9800000000000002</v>
      </c>
      <c r="EM83" s="90">
        <f>_xlfn.IFNA(INDEX(皮肤宠物!$N$4:$N$13,MATCH(EG83+EI83,皮肤宠物!$L$4:$L$13,1)),1)</f>
        <v>1.9800000000000002</v>
      </c>
      <c r="EO83" s="128">
        <v>231</v>
      </c>
      <c r="EP83" s="90">
        <v>77</v>
      </c>
      <c r="EQ83" s="90">
        <f t="shared" ca="1" si="121"/>
        <v>85925</v>
      </c>
      <c r="ER83" s="90">
        <f t="shared" si="87"/>
        <v>0</v>
      </c>
      <c r="ES83" s="90">
        <f t="shared" ca="1" si="122"/>
        <v>936.25</v>
      </c>
      <c r="ET83" s="90">
        <f ca="1">$ES83*ET$5*皮肤宠物!$J$75/4</f>
        <v>3090.5612500000002</v>
      </c>
      <c r="EU83" s="90">
        <f ca="1">$ES83*EU$5*皮肤宠物!$J$76/4</f>
        <v>515.87374999999997</v>
      </c>
      <c r="EV83" s="90">
        <f ca="1">$ES83*EV$5*皮肤宠物!$J$77/4</f>
        <v>139.73531250000002</v>
      </c>
      <c r="EW83" s="90">
        <f ca="1">_xlfn.IFNA(INDEX(皮肤宠物!$H$18:$H$67,MATCH(ET83,皮肤宠物!L$18:L$67,1)),0)</f>
        <v>19</v>
      </c>
      <c r="EX83" s="90">
        <f ca="1">_xlfn.IFNA(INDEX(皮肤宠物!$H$18:$H$67,MATCH(EU83,皮肤宠物!M$18:M$67,1)),0)</f>
        <v>15</v>
      </c>
      <c r="EY83" s="90">
        <f ca="1">_xlfn.IFNA(INDEX(皮肤宠物!$H$18:$H$67,MATCH(EV83,皮肤宠物!N$18:N$67,1)),0)</f>
        <v>11</v>
      </c>
      <c r="EZ83" s="90">
        <f ca="1">_xlfn.IFNA(INDEX(皮肤宠物!C$18:C$67,MATCH(EW83,皮肤宠物!$A$18:$A$67,0))+1,1)</f>
        <v>1.19</v>
      </c>
      <c r="FA83" s="90">
        <f ca="1">_xlfn.IFNA(INDEX(皮肤宠物!D$18:D$67,MATCH(EX83,皮肤宠物!$A$18:$A$67,0))+1,1)</f>
        <v>1.3</v>
      </c>
      <c r="FB83" s="90">
        <f ca="1">_xlfn.IFNA(INDEX(皮肤宠物!E$18:E$67,MATCH(EY83,皮肤宠物!$A$18:$A$67,0))+1,1)</f>
        <v>1.44</v>
      </c>
      <c r="FD83" s="90">
        <f t="shared" ca="1" si="123"/>
        <v>9.6800000000000015</v>
      </c>
      <c r="FE83" s="90">
        <f t="shared" si="124"/>
        <v>1.9800000000000002</v>
      </c>
      <c r="FF83" s="90">
        <f t="shared" ca="1" si="125"/>
        <v>1.44</v>
      </c>
      <c r="FG83" s="90">
        <f t="shared" ca="1" si="126"/>
        <v>27.599616000000008</v>
      </c>
    </row>
    <row r="84" spans="1:163" x14ac:dyDescent="0.25">
      <c r="A84" s="123">
        <v>78</v>
      </c>
      <c r="B84" s="123">
        <f>INDEX(关卡对比!$Y:$Y,MATCH(关卡对比!Z84,关卡对比!$AA:$AA,1))</f>
        <v>52</v>
      </c>
      <c r="C84" s="124">
        <f>INDEX(关卡对比!$Y:$Y,MATCH(关卡对比!Z84,关卡对比!$AB:$AB,1))</f>
        <v>44</v>
      </c>
      <c r="D84" s="125">
        <f t="shared" si="63"/>
        <v>317.5</v>
      </c>
      <c r="E84" s="125">
        <v>2</v>
      </c>
      <c r="F84" s="128">
        <v>16</v>
      </c>
      <c r="G84" s="90">
        <v>16</v>
      </c>
      <c r="H84" s="90">
        <v>5</v>
      </c>
      <c r="J84" s="128">
        <v>78</v>
      </c>
      <c r="K84" s="90">
        <f t="shared" si="88"/>
        <v>16</v>
      </c>
      <c r="L84" s="90">
        <f t="shared" si="89"/>
        <v>16</v>
      </c>
      <c r="M84" s="90">
        <f t="shared" si="90"/>
        <v>5</v>
      </c>
      <c r="N84" s="140">
        <f>INDEX($A:$A,MATCH(SUM($K$7:K84),$D:$D,1))</f>
        <v>200</v>
      </c>
      <c r="O84" s="140">
        <v>0</v>
      </c>
      <c r="P84" s="141">
        <v>0</v>
      </c>
      <c r="Q84" s="126">
        <f>_xlfn.MAXIFS(关卡产出!X:X,关卡产出!$A:$A,玩家节奏2!$N$6,关卡产出!$B:$B,玩家节奏2!$N84)+_xlfn.MAXIFS(关卡产出!X:X,关卡产出!$A:$A,玩家节奏2!$O$6,关卡产出!$B:$B,玩家节奏2!$O84)+_xlfn.MAXIFS(关卡产出!X:X,关卡产出!$A:$A,玩家节奏2!$P$6,关卡产出!$B:$B,玩家节奏2!$P84)</f>
        <v>38500</v>
      </c>
      <c r="R84" s="90">
        <f>_xlfn.MAXIFS(关卡产出!Y:Y,关卡产出!$A:$A,玩家节奏2!$N$6,关卡产出!$B:$B,玩家节奏2!$N84)+_xlfn.MAXIFS(关卡产出!Y:Y,关卡产出!$A:$A,玩家节奏2!$O$6,关卡产出!$B:$B,玩家节奏2!$O84)+_xlfn.MAXIFS(关卡产出!Y:Y,关卡产出!$A:$A,玩家节奏2!$P$6,关卡产出!$B:$B,玩家节奏2!$P84)</f>
        <v>11610000</v>
      </c>
      <c r="S84" s="90">
        <f>_xlfn.MAXIFS(关卡产出!Z:Z,关卡产出!$A:$A,玩家节奏2!$N$6,关卡产出!$B:$B,玩家节奏2!$N84)+_xlfn.MAXIFS(关卡产出!Z:Z,关卡产出!$A:$A,玩家节奏2!$O$6,关卡产出!$B:$B,玩家节奏2!$O84)+_xlfn.MAXIFS(关卡产出!Z:Z,关卡产出!$A:$A,玩家节奏2!$P$6,关卡产出!$B:$B,玩家节奏2!$P84)</f>
        <v>78866</v>
      </c>
      <c r="T84" s="90">
        <f>_xlfn.MAXIFS(关卡产出!AA:AA,关卡产出!$A:$A,玩家节奏2!$N$6,关卡产出!$B:$B,玩家节奏2!$N84)+_xlfn.MAXIFS(关卡产出!AA:AA,关卡产出!$A:$A,玩家节奏2!$O$6,关卡产出!$B:$B,玩家节奏2!$O84)+_xlfn.MAXIFS(关卡产出!AA:AA,关卡产出!$A:$A,玩家节奏2!$P$6,关卡产出!$B:$B,玩家节奏2!$P84)</f>
        <v>39434</v>
      </c>
      <c r="U84" s="90">
        <f>_xlfn.MAXIFS(关卡产出!AB:AB,关卡产出!$A:$A,玩家节奏2!$N$6,关卡产出!$B:$B,玩家节奏2!$N84)+_xlfn.MAXIFS(关卡产出!AB:AB,关卡产出!$A:$A,玩家节奏2!$O$6,关卡产出!$B:$B,玩家节奏2!$O84)+_xlfn.MAXIFS(关卡产出!AB:AB,关卡产出!$A:$A,玩家节奏2!$P$6,关卡产出!$B:$B,玩家节奏2!$P84)</f>
        <v>19113</v>
      </c>
      <c r="V84" s="130">
        <f>_xlfn.MAXIFS(关卡产出!AC:AC,关卡产出!$A:$A,玩家节奏2!$N$6,关卡产出!$B:$B,玩家节奏2!$N84)+_xlfn.MAXIFS(关卡产出!AC:AC,关卡产出!$A:$A,玩家节奏2!$O$6,关卡产出!$B:$B,玩家节奏2!$O84)+_xlfn.MAXIFS(关卡产出!AC:AC,关卡产出!$A:$A,玩家节奏2!$P$6,关卡产出!$B:$B,玩家节奏2!$P84)</f>
        <v>1200</v>
      </c>
      <c r="W84" s="126">
        <f>INDEX(关卡产出!C$8:C$207,MATCH(玩家节奏2!$N84,关卡产出!$B$8:$B$207,0))*$K84</f>
        <v>2528</v>
      </c>
      <c r="X84" s="126">
        <f>INDEX(关卡产出!D$8:D$207,MATCH(玩家节奏2!$N84,关卡产出!$B$8:$B$207,0))*$K84</f>
        <v>1264</v>
      </c>
      <c r="Y84" s="126">
        <f>INDEX(关卡产出!E$8:E$207,MATCH(玩家节奏2!$N84,关卡产出!$B$8:$B$207,0))*$K84</f>
        <v>624</v>
      </c>
      <c r="Z84" s="144">
        <f>INDEX(关卡产出!F$8:F$207,MATCH(玩家节奏2!$N84,关卡产出!$B$8:$B$207,0))*$K84</f>
        <v>32800</v>
      </c>
      <c r="AA84" s="126">
        <f>SUM(W$7:W84)</f>
        <v>139054</v>
      </c>
      <c r="AB84" s="126">
        <f>SUM(X$7:X84)</f>
        <v>69363</v>
      </c>
      <c r="AC84" s="126">
        <f>SUM(Y$7:Y84)</f>
        <v>34019</v>
      </c>
      <c r="AD84" s="177">
        <f>SUM(Z$7:Z84)</f>
        <v>1831930</v>
      </c>
      <c r="AE84" s="128">
        <f>INDEX(图鉴!AQ:AQ,MATCH($N84,图鉴!$S:$S,0))*34</f>
        <v>714</v>
      </c>
      <c r="AF84" s="90">
        <f>INDEX(图鉴!AR:AR,MATCH($N84,图鉴!$S:$S,0))*34</f>
        <v>510</v>
      </c>
      <c r="AG84" s="90">
        <f>INDEX(图鉴!AS:AS,MATCH($N84,图鉴!$S:$S,0))*34</f>
        <v>204</v>
      </c>
      <c r="AH84" s="129">
        <f ca="1">INDEX(图鉴!AT:AT,MATCH($N84,图鉴!$S:$S,0))*34</f>
        <v>55930</v>
      </c>
      <c r="AI84" s="128">
        <f>SUM($AE$7:AE84)</f>
        <v>53788</v>
      </c>
      <c r="AJ84" s="90">
        <f>SUM(AF$7:AF84)</f>
        <v>36312</v>
      </c>
      <c r="AK84" s="90">
        <f>SUM(AG$7:AG84)</f>
        <v>13974</v>
      </c>
      <c r="AL84" s="130">
        <f ca="1">SUM(AH$7:AH84)</f>
        <v>3532906</v>
      </c>
      <c r="AM84" s="133">
        <f>IF(M84=0,0,INDEX(关卡产出!$AU$11:$AU$15,MATCH(玩家节奏2!N84,关卡产出!$AW$11:$AW$15,1))*M84)</f>
        <v>61000</v>
      </c>
      <c r="AN84" s="126">
        <f>IF(L84=0,0,$L84*关卡产出!AU$21)</f>
        <v>16000</v>
      </c>
      <c r="AO84" s="90">
        <f>IF(M84=0,0,$L84*关卡产出!AV$21)</f>
        <v>800</v>
      </c>
      <c r="AP84" s="129">
        <f>IF(N84=0,0,$L84*关卡产出!AW$21)</f>
        <v>16</v>
      </c>
      <c r="AQ84" s="138">
        <f>SUM(AN$7:AN84)</f>
        <v>1200000</v>
      </c>
      <c r="AR84" s="126">
        <f>SUM(AO$7:AO84)</f>
        <v>60000</v>
      </c>
      <c r="AS84" s="129">
        <f>SUM(AP$7:AP84)</f>
        <v>1200</v>
      </c>
      <c r="AT84" s="128">
        <v>3000</v>
      </c>
      <c r="AU84" s="129">
        <v>600</v>
      </c>
      <c r="AV84" s="128">
        <f>SUM(AT$7:AT84)</f>
        <v>234000</v>
      </c>
      <c r="AW84" s="90">
        <f>SUM(AU$7:AU84)</f>
        <v>46800</v>
      </c>
      <c r="AY84" s="128">
        <f t="shared" si="91"/>
        <v>38500</v>
      </c>
      <c r="AZ84" s="90">
        <f t="shared" si="92"/>
        <v>60000</v>
      </c>
      <c r="BA84" s="90">
        <f t="shared" si="93"/>
        <v>46800</v>
      </c>
      <c r="BB84" s="90">
        <f t="shared" ca="1" si="127"/>
        <v>32300</v>
      </c>
      <c r="BC84" s="90">
        <f t="shared" ca="1" si="129"/>
        <v>90975</v>
      </c>
      <c r="BD84" s="90">
        <f t="shared" ca="1" si="130"/>
        <v>86625</v>
      </c>
      <c r="BE84" s="90">
        <f t="shared" ca="1" si="94"/>
        <v>177600</v>
      </c>
      <c r="BF84" s="142">
        <f t="shared" ca="1" si="75"/>
        <v>0.42319318494091784</v>
      </c>
      <c r="BG84" s="142">
        <f t="shared" ca="1" si="76"/>
        <v>0.65952184666117064</v>
      </c>
      <c r="BH84" s="142">
        <f t="shared" ca="1" si="77"/>
        <v>0.51442704039571308</v>
      </c>
      <c r="BI84" s="142">
        <f t="shared" ca="1" si="95"/>
        <v>0.35504259411926353</v>
      </c>
      <c r="BJ84" s="143"/>
      <c r="BK84" s="128">
        <f ca="1">INDEX(商城宝箱!$L:$L,MATCH(BC84,商城宝箱!$N:$N,1))</f>
        <v>11</v>
      </c>
      <c r="BL84" s="90">
        <f ca="1">_xlfn.IFNA(INDEX(商城宝箱!T:T,MATCH(玩家节奏2!$BK84,商城宝箱!$L:$L,0)),0)+($BC84-INDEX(商城宝箱!$N:$N,MATCH(玩家节奏2!$BK84,商城宝箱!$L:$L,0)))/$BK$5*INDEX(商城宝箱!E$23:E$42,MATCH(玩家节奏2!$BK84+1,商城宝箱!$C$23:$C$42,0))</f>
        <v>227437.5</v>
      </c>
      <c r="BM84" s="90">
        <f ca="1">_xlfn.IFNA(INDEX(商城宝箱!U:U,MATCH(玩家节奏2!$BK84,商城宝箱!$L:$L,0)),0)+($BC84-INDEX(商城宝箱!$N:$N,MATCH(玩家节奏2!$BK84,商城宝箱!$L:$L,0)))/$BK$5*INDEX(商城宝箱!F$23:F$42,MATCH(玩家节奏2!$BK84+1,商城宝箱!$C$23:$C$42,0))</f>
        <v>211000</v>
      </c>
      <c r="BN84" s="90">
        <f ca="1">_xlfn.IFNA(INDEX(商城宝箱!V:V,MATCH(玩家节奏2!$BK84,商城宝箱!$L:$L,0)),0)+($BC84-INDEX(商城宝箱!$N:$N,MATCH(玩家节奏2!$BK84,商城宝箱!$L:$L,0)))/$BK$5*INDEX(商城宝箱!G$23:G$42,MATCH(玩家节奏2!$BK84+1,商城宝箱!$C$23:$C$42,0))</f>
        <v>111418.25</v>
      </c>
      <c r="BO84" s="90">
        <f ca="1">_xlfn.IFNA(INDEX(商城宝箱!W:W,MATCH(玩家节奏2!$BK84,商城宝箱!$L:$L,0)),0)+($BC84-INDEX(商城宝箱!$N:$N,MATCH(玩家节奏2!$BK84,商城宝箱!$L:$L,0)))/$BK$5*INDEX(商城宝箱!H$23:H$42,MATCH(玩家节奏2!$BK84+1,商城宝箱!$C$23:$C$42,0))</f>
        <v>16794</v>
      </c>
      <c r="BQ84" s="128">
        <f t="shared" si="79"/>
        <v>11610000</v>
      </c>
      <c r="BR84" s="90">
        <f t="shared" si="80"/>
        <v>1831930</v>
      </c>
      <c r="BS84" s="90">
        <f t="shared" ca="1" si="81"/>
        <v>3532906</v>
      </c>
      <c r="BT84" s="90">
        <f t="shared" si="82"/>
        <v>61000</v>
      </c>
      <c r="BU84" s="90">
        <f t="shared" si="83"/>
        <v>1200000</v>
      </c>
      <c r="BV84" s="90">
        <f t="shared" si="84"/>
        <v>234000</v>
      </c>
      <c r="BW84" s="90">
        <f t="shared" ca="1" si="96"/>
        <v>227437.5</v>
      </c>
      <c r="BX84" s="90">
        <f t="shared" ca="1" si="97"/>
        <v>18697273.5</v>
      </c>
      <c r="BY84" s="142">
        <f t="shared" ca="1" si="74"/>
        <v>0.62094615025019562</v>
      </c>
      <c r="BZ84" s="142">
        <f t="shared" ca="1" si="74"/>
        <v>9.797845659154529E-2</v>
      </c>
      <c r="CA84" s="142">
        <f t="shared" ca="1" si="73"/>
        <v>0.18895300429765868</v>
      </c>
      <c r="CB84" s="142">
        <f t="shared" ca="1" si="73"/>
        <v>3.2625077661724315E-3</v>
      </c>
      <c r="CC84" s="142">
        <f t="shared" ca="1" si="73"/>
        <v>6.4180480646015045E-2</v>
      </c>
      <c r="CD84" s="142">
        <f t="shared" ca="1" si="73"/>
        <v>1.2515193725972934E-2</v>
      </c>
      <c r="CE84" s="142">
        <f t="shared" ca="1" si="73"/>
        <v>1.2164206722440039E-2</v>
      </c>
      <c r="CG84" s="128">
        <f t="shared" si="98"/>
        <v>200</v>
      </c>
      <c r="CH84" s="90">
        <f ca="1">INDEX(角色升级!$A:$A,MATCH(玩家节奏2!$BX84,角色升级!$J:$J,1))</f>
        <v>931</v>
      </c>
      <c r="CI84" s="90">
        <f ca="1">INDEX(角色升级!$O:$O,MATCH(玩家节奏2!$BX84,角色升级!$J:$J,1))</f>
        <v>75108.652849999999</v>
      </c>
      <c r="CJ84" s="90">
        <f>INDEX(关卡对比!$J:$J,MATCH(玩家节奏2!N84,关卡对比!$A:$A,0))</f>
        <v>86200</v>
      </c>
      <c r="CK84" s="147">
        <f t="shared" ca="1" si="99"/>
        <v>1.1476706974381581</v>
      </c>
      <c r="CL84" s="128">
        <f ca="1">INDEX(角色升级!$P:$P,MATCH(玩家节奏2!$CH84,角色升级!$A:$A,0))</f>
        <v>32300</v>
      </c>
      <c r="CM84" s="90">
        <f ca="1">INDEX(角色升级!Q:Q,MATCH(玩家节奏2!$CH84,角色升级!$A:$A,0))</f>
        <v>2</v>
      </c>
      <c r="CO84" s="128">
        <f t="shared" si="100"/>
        <v>78866</v>
      </c>
      <c r="CP84" s="90">
        <f t="shared" si="101"/>
        <v>139054</v>
      </c>
      <c r="CQ84" s="90">
        <f t="shared" si="102"/>
        <v>53788</v>
      </c>
      <c r="CR84" s="90">
        <f t="shared" ca="1" si="103"/>
        <v>211000</v>
      </c>
      <c r="CS84" s="90">
        <f t="shared" ca="1" si="104"/>
        <v>482708</v>
      </c>
      <c r="CT84" s="142">
        <f t="shared" ca="1" si="105"/>
        <v>0.16338241752778077</v>
      </c>
      <c r="CU84" s="142">
        <f t="shared" ca="1" si="105"/>
        <v>0.28807063483513845</v>
      </c>
      <c r="CV84" s="142">
        <f t="shared" ca="1" si="105"/>
        <v>0.1114296841983145</v>
      </c>
      <c r="CW84" s="142">
        <f t="shared" ca="1" si="105"/>
        <v>0.43711726343876628</v>
      </c>
      <c r="CY84" s="128">
        <f t="shared" si="106"/>
        <v>39434</v>
      </c>
      <c r="CZ84" s="90">
        <f t="shared" si="107"/>
        <v>69363</v>
      </c>
      <c r="DA84" s="90">
        <f t="shared" si="108"/>
        <v>36312</v>
      </c>
      <c r="DB84" s="90">
        <f t="shared" ca="1" si="128"/>
        <v>111418.25</v>
      </c>
      <c r="DC84" s="90">
        <f t="shared" ca="1" si="109"/>
        <v>256527.25</v>
      </c>
      <c r="DD84" s="142">
        <f t="shared" ca="1" si="110"/>
        <v>0.15372246028443373</v>
      </c>
      <c r="DE84" s="142">
        <f t="shared" ca="1" si="110"/>
        <v>0.27039232674111618</v>
      </c>
      <c r="DF84" s="142">
        <f t="shared" ca="1" si="110"/>
        <v>0.14155221326389303</v>
      </c>
      <c r="DG84" s="142">
        <f t="shared" ca="1" si="110"/>
        <v>0.43433299971055706</v>
      </c>
      <c r="DI84" s="128">
        <f t="shared" si="111"/>
        <v>19113</v>
      </c>
      <c r="DJ84" s="90">
        <f t="shared" si="112"/>
        <v>34019</v>
      </c>
      <c r="DK84" s="90">
        <f t="shared" si="113"/>
        <v>13974</v>
      </c>
      <c r="DL84" s="90">
        <f t="shared" ca="1" si="114"/>
        <v>16794</v>
      </c>
      <c r="DM84" s="90">
        <f t="shared" ca="1" si="115"/>
        <v>83900</v>
      </c>
      <c r="DN84" s="142">
        <f t="shared" ca="1" si="116"/>
        <v>0.22780691299165673</v>
      </c>
      <c r="DO84" s="142">
        <f t="shared" ca="1" si="116"/>
        <v>0.40547079856972584</v>
      </c>
      <c r="DP84" s="142">
        <f t="shared" ca="1" si="116"/>
        <v>0.16655542312276519</v>
      </c>
      <c r="DQ84" s="142">
        <f t="shared" ca="1" si="116"/>
        <v>0.2001668653158522</v>
      </c>
      <c r="DS84" s="128">
        <f t="shared" ca="1" si="117"/>
        <v>482708</v>
      </c>
      <c r="DT84" s="90">
        <f t="shared" ca="1" si="118"/>
        <v>256527.25</v>
      </c>
      <c r="DU84" s="90">
        <f t="shared" ca="1" si="119"/>
        <v>83900</v>
      </c>
      <c r="DV84" s="90">
        <f t="shared" si="120"/>
        <v>1200</v>
      </c>
      <c r="DW84" s="90">
        <f ca="1">_xlfn.IFNA(INDEX(武器升级消耗!$H:$H,MATCH(玩家节奏2!DS84/玩家节奏2!DS$5,武器升级消耗!M:M,1)),0)</f>
        <v>61</v>
      </c>
      <c r="DX84" s="90">
        <f ca="1">_xlfn.IFNA(INDEX(武器升级消耗!$H:$H,MATCH(玩家节奏2!DT84/玩家节奏2!DT$5,武器升级消耗!N:N,1)),0)</f>
        <v>53</v>
      </c>
      <c r="DY84" s="90">
        <f ca="1">_xlfn.IFNA(INDEX(武器升级消耗!$H:$H,MATCH(玩家节奏2!DU84/玩家节奏2!DU$5,武器升级消耗!O:O,1)),0)</f>
        <v>40</v>
      </c>
      <c r="DZ84" s="90">
        <f>_xlfn.IFNA(INDEX(武器升级消耗!$H:$H,MATCH(玩家节奏2!DV84/玩家节奏2!DV$5,武器升级消耗!P:P,1)),0)</f>
        <v>25</v>
      </c>
      <c r="EA84" s="90">
        <f ca="1">_xlfn.IFNA(INDEX(武器升级消耗!$Q:$Q,MATCH(玩家节奏2!DW84,武器升级消耗!$H:$H,0))*2*EA$4,0)</f>
        <v>7.8</v>
      </c>
      <c r="EB84" s="90">
        <f ca="1">_xlfn.IFNA(INDEX(武器升级消耗!$Q:$Q,MATCH(玩家节奏2!DX84,武器升级消耗!$H:$H,0))*2*EB$4,0)</f>
        <v>8.5500000000000007</v>
      </c>
      <c r="EC84" s="90">
        <f ca="1">_xlfn.IFNA(INDEX(武器升级消耗!$Q:$Q,MATCH(玩家节奏2!DY84,武器升级消耗!$H:$H,0))*2*EC$4,0)</f>
        <v>9.6800000000000015</v>
      </c>
      <c r="ED84" s="90">
        <f>_xlfn.IFNA(INDEX(武器升级消耗!$Q:$Q,MATCH(玩家节奏2!DZ84,武器升级消耗!$H:$H,0))*2*ED$4,0)</f>
        <v>8.6999999999999993</v>
      </c>
      <c r="EF84" s="128">
        <f t="shared" si="85"/>
        <v>0</v>
      </c>
      <c r="EG84" s="90">
        <f t="shared" si="86"/>
        <v>0</v>
      </c>
      <c r="EH84" s="90">
        <v>234</v>
      </c>
      <c r="EI84" s="90">
        <v>234</v>
      </c>
      <c r="EJ84" s="90">
        <f>_xlfn.IFNA(INDEX(皮肤宠物!$J$4:$J$13,MATCH(EF84+EH84,皮肤宠物!$L$4:$L$13,1)),0)</f>
        <v>8</v>
      </c>
      <c r="EK84" s="90">
        <f>_xlfn.IFNA(INDEX(皮肤宠物!$J$4:$J$13,MATCH(EG84+EI84,皮肤宠物!$L$4:$L$13,1)),0)</f>
        <v>8</v>
      </c>
      <c r="EL84" s="90">
        <f>_xlfn.IFNA(INDEX(皮肤宠物!$N$4:$N$13,MATCH(EF84+EH84,皮肤宠物!$L$4:$L$13,1)),1)</f>
        <v>1.9800000000000002</v>
      </c>
      <c r="EM84" s="90">
        <f>_xlfn.IFNA(INDEX(皮肤宠物!$N$4:$N$13,MATCH(EG84+EI84,皮肤宠物!$L$4:$L$13,1)),1)</f>
        <v>1.9800000000000002</v>
      </c>
      <c r="EO84" s="128">
        <v>234</v>
      </c>
      <c r="EP84" s="90">
        <v>78</v>
      </c>
      <c r="EQ84" s="90">
        <f t="shared" ca="1" si="121"/>
        <v>86625</v>
      </c>
      <c r="ER84" s="90">
        <f t="shared" si="87"/>
        <v>0</v>
      </c>
      <c r="ES84" s="90">
        <f t="shared" ca="1" si="122"/>
        <v>944.25</v>
      </c>
      <c r="ET84" s="90">
        <f ca="1">$ES84*ET$5*皮肤宠物!$J$75/4</f>
        <v>3116.9692500000001</v>
      </c>
      <c r="EU84" s="90">
        <f ca="1">$ES84*EU$5*皮肤宠物!$J$76/4</f>
        <v>520.28174999999999</v>
      </c>
      <c r="EV84" s="90">
        <f ca="1">$ES84*EV$5*皮肤宠物!$J$77/4</f>
        <v>140.92931250000001</v>
      </c>
      <c r="EW84" s="90">
        <f ca="1">_xlfn.IFNA(INDEX(皮肤宠物!$H$18:$H$67,MATCH(ET84,皮肤宠物!L$18:L$67,1)),0)</f>
        <v>19</v>
      </c>
      <c r="EX84" s="90">
        <f ca="1">_xlfn.IFNA(INDEX(皮肤宠物!$H$18:$H$67,MATCH(EU84,皮肤宠物!M$18:M$67,1)),0)</f>
        <v>15</v>
      </c>
      <c r="EY84" s="90">
        <f ca="1">_xlfn.IFNA(INDEX(皮肤宠物!$H$18:$H$67,MATCH(EV84,皮肤宠物!N$18:N$67,1)),0)</f>
        <v>11</v>
      </c>
      <c r="EZ84" s="90">
        <f ca="1">_xlfn.IFNA(INDEX(皮肤宠物!C$18:C$67,MATCH(EW84,皮肤宠物!$A$18:$A$67,0))+1,1)</f>
        <v>1.19</v>
      </c>
      <c r="FA84" s="90">
        <f ca="1">_xlfn.IFNA(INDEX(皮肤宠物!D$18:D$67,MATCH(EX84,皮肤宠物!$A$18:$A$67,0))+1,1)</f>
        <v>1.3</v>
      </c>
      <c r="FB84" s="90">
        <f ca="1">_xlfn.IFNA(INDEX(皮肤宠物!E$18:E$67,MATCH(EY84,皮肤宠物!$A$18:$A$67,0))+1,1)</f>
        <v>1.44</v>
      </c>
      <c r="FD84" s="90">
        <f t="shared" ca="1" si="123"/>
        <v>9.6800000000000015</v>
      </c>
      <c r="FE84" s="90">
        <f t="shared" si="124"/>
        <v>1.9800000000000002</v>
      </c>
      <c r="FF84" s="90">
        <f t="shared" ca="1" si="125"/>
        <v>1.44</v>
      </c>
      <c r="FG84" s="90">
        <f t="shared" ca="1" si="126"/>
        <v>27.599616000000008</v>
      </c>
    </row>
    <row r="85" spans="1:163" x14ac:dyDescent="0.25">
      <c r="A85" s="123">
        <v>79</v>
      </c>
      <c r="B85" s="123">
        <f>INDEX(关卡对比!$Y:$Y,MATCH(关卡对比!Z85,关卡对比!$AA:$AA,1))</f>
        <v>53</v>
      </c>
      <c r="C85" s="124">
        <f>INDEX(关卡对比!$Y:$Y,MATCH(关卡对比!Z85,关卡对比!$AB:$AB,1))</f>
        <v>44</v>
      </c>
      <c r="D85" s="125">
        <f t="shared" si="63"/>
        <v>321.5</v>
      </c>
      <c r="E85" s="125">
        <v>2</v>
      </c>
      <c r="F85" s="128">
        <v>16</v>
      </c>
      <c r="G85" s="90">
        <v>16</v>
      </c>
      <c r="H85" s="90">
        <v>5</v>
      </c>
      <c r="J85" s="128">
        <v>79</v>
      </c>
      <c r="K85" s="90">
        <f t="shared" si="88"/>
        <v>16</v>
      </c>
      <c r="L85" s="90">
        <f t="shared" si="89"/>
        <v>16</v>
      </c>
      <c r="M85" s="90">
        <f t="shared" si="90"/>
        <v>5</v>
      </c>
      <c r="N85" s="140">
        <f>INDEX($A:$A,MATCH(SUM($K$7:K85),$D:$D,1))</f>
        <v>200</v>
      </c>
      <c r="O85" s="140">
        <v>0</v>
      </c>
      <c r="P85" s="141">
        <v>0</v>
      </c>
      <c r="Q85" s="126">
        <f>_xlfn.MAXIFS(关卡产出!X:X,关卡产出!$A:$A,玩家节奏2!$N$6,关卡产出!$B:$B,玩家节奏2!$N85)+_xlfn.MAXIFS(关卡产出!X:X,关卡产出!$A:$A,玩家节奏2!$O$6,关卡产出!$B:$B,玩家节奏2!$O85)+_xlfn.MAXIFS(关卡产出!X:X,关卡产出!$A:$A,玩家节奏2!$P$6,关卡产出!$B:$B,玩家节奏2!$P85)</f>
        <v>38500</v>
      </c>
      <c r="R85" s="90">
        <f>_xlfn.MAXIFS(关卡产出!Y:Y,关卡产出!$A:$A,玩家节奏2!$N$6,关卡产出!$B:$B,玩家节奏2!$N85)+_xlfn.MAXIFS(关卡产出!Y:Y,关卡产出!$A:$A,玩家节奏2!$O$6,关卡产出!$B:$B,玩家节奏2!$O85)+_xlfn.MAXIFS(关卡产出!Y:Y,关卡产出!$A:$A,玩家节奏2!$P$6,关卡产出!$B:$B,玩家节奏2!$P85)</f>
        <v>11610000</v>
      </c>
      <c r="S85" s="90">
        <f>_xlfn.MAXIFS(关卡产出!Z:Z,关卡产出!$A:$A,玩家节奏2!$N$6,关卡产出!$B:$B,玩家节奏2!$N85)+_xlfn.MAXIFS(关卡产出!Z:Z,关卡产出!$A:$A,玩家节奏2!$O$6,关卡产出!$B:$B,玩家节奏2!$O85)+_xlfn.MAXIFS(关卡产出!Z:Z,关卡产出!$A:$A,玩家节奏2!$P$6,关卡产出!$B:$B,玩家节奏2!$P85)</f>
        <v>78866</v>
      </c>
      <c r="T85" s="90">
        <f>_xlfn.MAXIFS(关卡产出!AA:AA,关卡产出!$A:$A,玩家节奏2!$N$6,关卡产出!$B:$B,玩家节奏2!$N85)+_xlfn.MAXIFS(关卡产出!AA:AA,关卡产出!$A:$A,玩家节奏2!$O$6,关卡产出!$B:$B,玩家节奏2!$O85)+_xlfn.MAXIFS(关卡产出!AA:AA,关卡产出!$A:$A,玩家节奏2!$P$6,关卡产出!$B:$B,玩家节奏2!$P85)</f>
        <v>39434</v>
      </c>
      <c r="U85" s="90">
        <f>_xlfn.MAXIFS(关卡产出!AB:AB,关卡产出!$A:$A,玩家节奏2!$N$6,关卡产出!$B:$B,玩家节奏2!$N85)+_xlfn.MAXIFS(关卡产出!AB:AB,关卡产出!$A:$A,玩家节奏2!$O$6,关卡产出!$B:$B,玩家节奏2!$O85)+_xlfn.MAXIFS(关卡产出!AB:AB,关卡产出!$A:$A,玩家节奏2!$P$6,关卡产出!$B:$B,玩家节奏2!$P85)</f>
        <v>19113</v>
      </c>
      <c r="V85" s="130">
        <f>_xlfn.MAXIFS(关卡产出!AC:AC,关卡产出!$A:$A,玩家节奏2!$N$6,关卡产出!$B:$B,玩家节奏2!$N85)+_xlfn.MAXIFS(关卡产出!AC:AC,关卡产出!$A:$A,玩家节奏2!$O$6,关卡产出!$B:$B,玩家节奏2!$O85)+_xlfn.MAXIFS(关卡产出!AC:AC,关卡产出!$A:$A,玩家节奏2!$P$6,关卡产出!$B:$B,玩家节奏2!$P85)</f>
        <v>1200</v>
      </c>
      <c r="W85" s="126">
        <f>INDEX(关卡产出!C$8:C$207,MATCH(玩家节奏2!$N85,关卡产出!$B$8:$B$207,0))*$K85</f>
        <v>2528</v>
      </c>
      <c r="X85" s="126">
        <f>INDEX(关卡产出!D$8:D$207,MATCH(玩家节奏2!$N85,关卡产出!$B$8:$B$207,0))*$K85</f>
        <v>1264</v>
      </c>
      <c r="Y85" s="126">
        <f>INDEX(关卡产出!E$8:E$207,MATCH(玩家节奏2!$N85,关卡产出!$B$8:$B$207,0))*$K85</f>
        <v>624</v>
      </c>
      <c r="Z85" s="144">
        <f>INDEX(关卡产出!F$8:F$207,MATCH(玩家节奏2!$N85,关卡产出!$B$8:$B$207,0))*$K85</f>
        <v>32800</v>
      </c>
      <c r="AA85" s="126">
        <f>SUM(W$7:W85)</f>
        <v>141582</v>
      </c>
      <c r="AB85" s="126">
        <f>SUM(X$7:X85)</f>
        <v>70627</v>
      </c>
      <c r="AC85" s="126">
        <f>SUM(Y$7:Y85)</f>
        <v>34643</v>
      </c>
      <c r="AD85" s="177">
        <f>SUM(Z$7:Z85)</f>
        <v>1864730</v>
      </c>
      <c r="AE85" s="128">
        <f>INDEX(图鉴!AQ:AQ,MATCH($N85,图鉴!$S:$S,0))*34</f>
        <v>714</v>
      </c>
      <c r="AF85" s="90">
        <f>INDEX(图鉴!AR:AR,MATCH($N85,图鉴!$S:$S,0))*34</f>
        <v>510</v>
      </c>
      <c r="AG85" s="90">
        <f>INDEX(图鉴!AS:AS,MATCH($N85,图鉴!$S:$S,0))*34</f>
        <v>204</v>
      </c>
      <c r="AH85" s="129">
        <f ca="1">INDEX(图鉴!AT:AT,MATCH($N85,图鉴!$S:$S,0))*34</f>
        <v>55930</v>
      </c>
      <c r="AI85" s="128">
        <f>SUM($AE$7:AE85)</f>
        <v>54502</v>
      </c>
      <c r="AJ85" s="90">
        <f>SUM(AF$7:AF85)</f>
        <v>36822</v>
      </c>
      <c r="AK85" s="90">
        <f>SUM(AG$7:AG85)</f>
        <v>14178</v>
      </c>
      <c r="AL85" s="130">
        <f ca="1">SUM(AH$7:AH85)</f>
        <v>3588836</v>
      </c>
      <c r="AM85" s="133">
        <f>IF(M85=0,0,INDEX(关卡产出!$AU$11:$AU$15,MATCH(玩家节奏2!N85,关卡产出!$AW$11:$AW$15,1))*M85)</f>
        <v>61000</v>
      </c>
      <c r="AN85" s="126">
        <f>IF(L85=0,0,$L85*关卡产出!AU$21)</f>
        <v>16000</v>
      </c>
      <c r="AO85" s="90">
        <f>IF(M85=0,0,$L85*关卡产出!AV$21)</f>
        <v>800</v>
      </c>
      <c r="AP85" s="129">
        <f>IF(N85=0,0,$L85*关卡产出!AW$21)</f>
        <v>16</v>
      </c>
      <c r="AQ85" s="138">
        <f>SUM(AN$7:AN85)</f>
        <v>1216000</v>
      </c>
      <c r="AR85" s="126">
        <f>SUM(AO$7:AO85)</f>
        <v>60800</v>
      </c>
      <c r="AS85" s="129">
        <f>SUM(AP$7:AP85)</f>
        <v>1216</v>
      </c>
      <c r="AT85" s="128">
        <v>3000</v>
      </c>
      <c r="AU85" s="129">
        <v>600</v>
      </c>
      <c r="AV85" s="128">
        <f>SUM(AT$7:AT85)</f>
        <v>237000</v>
      </c>
      <c r="AW85" s="90">
        <f>SUM(AU$7:AU85)</f>
        <v>47400</v>
      </c>
      <c r="AY85" s="128">
        <f t="shared" si="91"/>
        <v>38500</v>
      </c>
      <c r="AZ85" s="90">
        <f t="shared" si="92"/>
        <v>60800</v>
      </c>
      <c r="BA85" s="90">
        <f t="shared" si="93"/>
        <v>47400</v>
      </c>
      <c r="BB85" s="90">
        <f t="shared" ca="1" si="127"/>
        <v>32300</v>
      </c>
      <c r="BC85" s="90">
        <f t="shared" ca="1" si="129"/>
        <v>91675</v>
      </c>
      <c r="BD85" s="90">
        <f t="shared" ca="1" si="130"/>
        <v>87325</v>
      </c>
      <c r="BE85" s="90">
        <f t="shared" ca="1" si="94"/>
        <v>179000</v>
      </c>
      <c r="BF85" s="142">
        <f t="shared" ca="1" si="75"/>
        <v>0.41996182165257706</v>
      </c>
      <c r="BG85" s="142">
        <f t="shared" ca="1" si="76"/>
        <v>0.66321243523316065</v>
      </c>
      <c r="BH85" s="142">
        <f t="shared" ca="1" si="77"/>
        <v>0.51704390509953646</v>
      </c>
      <c r="BI85" s="142">
        <f t="shared" ca="1" si="95"/>
        <v>0.35233160621761656</v>
      </c>
      <c r="BJ85" s="143"/>
      <c r="BK85" s="128">
        <f ca="1">INDEX(商城宝箱!$L:$L,MATCH(BC85,商城宝箱!$N:$N,1))</f>
        <v>11</v>
      </c>
      <c r="BL85" s="90">
        <f ca="1">_xlfn.IFNA(INDEX(商城宝箱!T:T,MATCH(玩家节奏2!$BK85,商城宝箱!$L:$L,0)),0)+($BC85-INDEX(商城宝箱!$N:$N,MATCH(玩家节奏2!$BK85,商城宝箱!$L:$L,0)))/$BK$5*INDEX(商城宝箱!E$23:E$42,MATCH(玩家节奏2!$BK85+1,商城宝箱!$C$23:$C$42,0))</f>
        <v>229187.5</v>
      </c>
      <c r="BM85" s="90">
        <f ca="1">_xlfn.IFNA(INDEX(商城宝箱!U:U,MATCH(玩家节奏2!$BK85,商城宝箱!$L:$L,0)),0)+($BC85-INDEX(商城宝箱!$N:$N,MATCH(玩家节奏2!$BK85,商城宝箱!$L:$L,0)))/$BK$5*INDEX(商城宝箱!F$23:F$42,MATCH(玩家节奏2!$BK85+1,商城宝箱!$C$23:$C$42,0))</f>
        <v>213590</v>
      </c>
      <c r="BN85" s="90">
        <f ca="1">_xlfn.IFNA(INDEX(商城宝箱!V:V,MATCH(玩家节奏2!$BK85,商城宝箱!$L:$L,0)),0)+($BC85-INDEX(商城宝箱!$N:$N,MATCH(玩家节奏2!$BK85,商城宝箱!$L:$L,0)))/$BK$5*INDEX(商城宝箱!G$23:G$42,MATCH(玩家节奏2!$BK85+1,商城宝箱!$C$23:$C$42,0))</f>
        <v>112643.25</v>
      </c>
      <c r="BO85" s="90">
        <f ca="1">_xlfn.IFNA(INDEX(商城宝箱!W:W,MATCH(玩家节奏2!$BK85,商城宝箱!$L:$L,0)),0)+($BC85-INDEX(商城宝箱!$N:$N,MATCH(玩家节奏2!$BK85,商城宝箱!$L:$L,0)))/$BK$5*INDEX(商城宝箱!H$23:H$42,MATCH(玩家节奏2!$BK85+1,商城宝箱!$C$23:$C$42,0))</f>
        <v>17004</v>
      </c>
      <c r="BQ85" s="128">
        <f t="shared" si="79"/>
        <v>11610000</v>
      </c>
      <c r="BR85" s="90">
        <f t="shared" si="80"/>
        <v>1864730</v>
      </c>
      <c r="BS85" s="90">
        <f t="shared" ca="1" si="81"/>
        <v>3588836</v>
      </c>
      <c r="BT85" s="90">
        <f t="shared" si="82"/>
        <v>61000</v>
      </c>
      <c r="BU85" s="90">
        <f t="shared" si="83"/>
        <v>1216000</v>
      </c>
      <c r="BV85" s="90">
        <f t="shared" si="84"/>
        <v>237000</v>
      </c>
      <c r="BW85" s="90">
        <f t="shared" ca="1" si="96"/>
        <v>229187.5</v>
      </c>
      <c r="BX85" s="90">
        <f t="shared" ca="1" si="97"/>
        <v>18806753.5</v>
      </c>
      <c r="BY85" s="142">
        <f t="shared" ca="1" si="74"/>
        <v>0.61733142830845311</v>
      </c>
      <c r="BZ85" s="142">
        <f t="shared" ca="1" si="74"/>
        <v>9.9152147658020828E-2</v>
      </c>
      <c r="CA85" s="142">
        <f t="shared" ca="1" si="73"/>
        <v>0.19082698138198068</v>
      </c>
      <c r="CB85" s="142">
        <f t="shared" ca="1" si="73"/>
        <v>3.2435156870642239E-3</v>
      </c>
      <c r="CC85" s="142">
        <f t="shared" ca="1" si="73"/>
        <v>6.4657624188034363E-2</v>
      </c>
      <c r="CD85" s="142">
        <f t="shared" ca="1" si="73"/>
        <v>1.2601856030069199E-2</v>
      </c>
      <c r="CE85" s="142">
        <f t="shared" ca="1" si="73"/>
        <v>1.2186446746377571E-2</v>
      </c>
      <c r="CG85" s="128">
        <f t="shared" si="98"/>
        <v>200</v>
      </c>
      <c r="CH85" s="90">
        <f ca="1">INDEX(角色升级!$A:$A,MATCH(玩家节奏2!$BX85,角色升级!$J:$J,1))</f>
        <v>933</v>
      </c>
      <c r="CI85" s="90">
        <f ca="1">INDEX(角色升级!$O:$O,MATCH(玩家节奏2!$BX85,角色升级!$J:$J,1))</f>
        <v>76075.846770000004</v>
      </c>
      <c r="CJ85" s="90">
        <f>INDEX(关卡对比!$J:$J,MATCH(玩家节奏2!N85,关卡对比!$A:$A,0))</f>
        <v>86200</v>
      </c>
      <c r="CK85" s="147">
        <f t="shared" ca="1" si="99"/>
        <v>1.1330797310821703</v>
      </c>
      <c r="CL85" s="128">
        <f ca="1">INDEX(角色升级!$P:$P,MATCH(玩家节奏2!$CH85,角色升级!$A:$A,0))</f>
        <v>32300</v>
      </c>
      <c r="CM85" s="90">
        <f ca="1">INDEX(角色升级!Q:Q,MATCH(玩家节奏2!$CH85,角色升级!$A:$A,0))</f>
        <v>2</v>
      </c>
      <c r="CO85" s="128">
        <f t="shared" si="100"/>
        <v>78866</v>
      </c>
      <c r="CP85" s="90">
        <f t="shared" si="101"/>
        <v>141582</v>
      </c>
      <c r="CQ85" s="90">
        <f t="shared" si="102"/>
        <v>54502</v>
      </c>
      <c r="CR85" s="90">
        <f t="shared" ca="1" si="103"/>
        <v>213590</v>
      </c>
      <c r="CS85" s="90">
        <f t="shared" ca="1" si="104"/>
        <v>488540</v>
      </c>
      <c r="CT85" s="142">
        <f t="shared" ca="1" si="105"/>
        <v>0.16143202194293199</v>
      </c>
      <c r="CU85" s="142">
        <f t="shared" ca="1" si="105"/>
        <v>0.28980636181274821</v>
      </c>
      <c r="CV85" s="142">
        <f t="shared" ca="1" si="105"/>
        <v>0.11156097760674663</v>
      </c>
      <c r="CW85" s="142">
        <f t="shared" ca="1" si="105"/>
        <v>0.43720063863757319</v>
      </c>
      <c r="CY85" s="128">
        <f t="shared" si="106"/>
        <v>39434</v>
      </c>
      <c r="CZ85" s="90">
        <f t="shared" si="107"/>
        <v>70627</v>
      </c>
      <c r="DA85" s="90">
        <f t="shared" si="108"/>
        <v>36822</v>
      </c>
      <c r="DB85" s="90">
        <f t="shared" ca="1" si="128"/>
        <v>112643.25</v>
      </c>
      <c r="DC85" s="90">
        <f t="shared" ca="1" si="109"/>
        <v>259526.25</v>
      </c>
      <c r="DD85" s="142">
        <f t="shared" ca="1" si="110"/>
        <v>0.15194609408489507</v>
      </c>
      <c r="DE85" s="142">
        <f t="shared" ca="1" si="110"/>
        <v>0.27213817484743835</v>
      </c>
      <c r="DF85" s="142">
        <f t="shared" ca="1" si="110"/>
        <v>0.14188160157209531</v>
      </c>
      <c r="DG85" s="142">
        <f t="shared" ca="1" si="110"/>
        <v>0.43403412949557124</v>
      </c>
      <c r="DI85" s="128">
        <f t="shared" si="111"/>
        <v>19113</v>
      </c>
      <c r="DJ85" s="90">
        <f t="shared" si="112"/>
        <v>34643</v>
      </c>
      <c r="DK85" s="90">
        <f t="shared" si="113"/>
        <v>14178</v>
      </c>
      <c r="DL85" s="90">
        <f t="shared" ca="1" si="114"/>
        <v>17004</v>
      </c>
      <c r="DM85" s="90">
        <f t="shared" ca="1" si="115"/>
        <v>84938</v>
      </c>
      <c r="DN85" s="142">
        <f t="shared" ca="1" si="116"/>
        <v>0.22502295792224916</v>
      </c>
      <c r="DO85" s="142">
        <f t="shared" ca="1" si="116"/>
        <v>0.40786220537333112</v>
      </c>
      <c r="DP85" s="142">
        <f t="shared" ca="1" si="116"/>
        <v>0.16692175469165743</v>
      </c>
      <c r="DQ85" s="142">
        <f t="shared" ca="1" si="116"/>
        <v>0.20019308201276226</v>
      </c>
      <c r="DS85" s="128">
        <f t="shared" ca="1" si="117"/>
        <v>488540</v>
      </c>
      <c r="DT85" s="90">
        <f t="shared" ca="1" si="118"/>
        <v>259526.25</v>
      </c>
      <c r="DU85" s="90">
        <f t="shared" ca="1" si="119"/>
        <v>84938</v>
      </c>
      <c r="DV85" s="90">
        <f t="shared" si="120"/>
        <v>1216</v>
      </c>
      <c r="DW85" s="90">
        <f ca="1">_xlfn.IFNA(INDEX(武器升级消耗!$H:$H,MATCH(玩家节奏2!DS85/玩家节奏2!DS$5,武器升级消耗!M:M,1)),0)</f>
        <v>61</v>
      </c>
      <c r="DX85" s="90">
        <f ca="1">_xlfn.IFNA(INDEX(武器升级消耗!$H:$H,MATCH(玩家节奏2!DT85/玩家节奏2!DT$5,武器升级消耗!N:N,1)),0)</f>
        <v>54</v>
      </c>
      <c r="DY85" s="90">
        <f ca="1">_xlfn.IFNA(INDEX(武器升级消耗!$H:$H,MATCH(玩家节奏2!DU85/玩家节奏2!DU$5,武器升级消耗!O:O,1)),0)</f>
        <v>40</v>
      </c>
      <c r="DZ85" s="90">
        <f>_xlfn.IFNA(INDEX(武器升级消耗!$H:$H,MATCH(玩家节奏2!DV85/玩家节奏2!DV$5,武器升级消耗!P:P,1)),0)</f>
        <v>25</v>
      </c>
      <c r="EA85" s="90">
        <f ca="1">_xlfn.IFNA(INDEX(武器升级消耗!$Q:$Q,MATCH(玩家节奏2!DW85,武器升级消耗!$H:$H,0))*2*EA$4,0)</f>
        <v>7.8</v>
      </c>
      <c r="EB85" s="90">
        <f ca="1">_xlfn.IFNA(INDEX(武器升级消耗!$Q:$Q,MATCH(玩家节奏2!DX85,武器升级消耗!$H:$H,0))*2*EB$4,0)</f>
        <v>8.6999999999999993</v>
      </c>
      <c r="EC85" s="90">
        <f ca="1">_xlfn.IFNA(INDEX(武器升级消耗!$Q:$Q,MATCH(玩家节奏2!DY85,武器升级消耗!$H:$H,0))*2*EC$4,0)</f>
        <v>9.6800000000000015</v>
      </c>
      <c r="ED85" s="90">
        <f>_xlfn.IFNA(INDEX(武器升级消耗!$Q:$Q,MATCH(玩家节奏2!DZ85,武器升级消耗!$H:$H,0))*2*ED$4,0)</f>
        <v>8.6999999999999993</v>
      </c>
      <c r="EF85" s="128">
        <f t="shared" si="85"/>
        <v>0</v>
      </c>
      <c r="EG85" s="90">
        <f t="shared" si="86"/>
        <v>0</v>
      </c>
      <c r="EH85" s="90">
        <v>237</v>
      </c>
      <c r="EI85" s="90">
        <v>237</v>
      </c>
      <c r="EJ85" s="90">
        <f>_xlfn.IFNA(INDEX(皮肤宠物!$J$4:$J$13,MATCH(EF85+EH85,皮肤宠物!$L$4:$L$13,1)),0)</f>
        <v>8</v>
      </c>
      <c r="EK85" s="90">
        <f>_xlfn.IFNA(INDEX(皮肤宠物!$J$4:$J$13,MATCH(EG85+EI85,皮肤宠物!$L$4:$L$13,1)),0)</f>
        <v>8</v>
      </c>
      <c r="EL85" s="90">
        <f>_xlfn.IFNA(INDEX(皮肤宠物!$N$4:$N$13,MATCH(EF85+EH85,皮肤宠物!$L$4:$L$13,1)),1)</f>
        <v>1.9800000000000002</v>
      </c>
      <c r="EM85" s="90">
        <f>_xlfn.IFNA(INDEX(皮肤宠物!$N$4:$N$13,MATCH(EG85+EI85,皮肤宠物!$L$4:$L$13,1)),1)</f>
        <v>1.9800000000000002</v>
      </c>
      <c r="EO85" s="128">
        <v>237</v>
      </c>
      <c r="EP85" s="90">
        <v>79</v>
      </c>
      <c r="EQ85" s="90">
        <f t="shared" ca="1" si="121"/>
        <v>87325</v>
      </c>
      <c r="ER85" s="90">
        <f t="shared" si="87"/>
        <v>0</v>
      </c>
      <c r="ES85" s="90">
        <f t="shared" ca="1" si="122"/>
        <v>952.25</v>
      </c>
      <c r="ET85" s="90">
        <f ca="1">$ES85*ET$5*皮肤宠物!$J$75/4</f>
        <v>3143.37725</v>
      </c>
      <c r="EU85" s="90">
        <f ca="1">$ES85*EU$5*皮肤宠物!$J$76/4</f>
        <v>524.68975</v>
      </c>
      <c r="EV85" s="90">
        <f ca="1">$ES85*EV$5*皮肤宠物!$J$77/4</f>
        <v>142.1233125</v>
      </c>
      <c r="EW85" s="90">
        <f ca="1">_xlfn.IFNA(INDEX(皮肤宠物!$H$18:$H$67,MATCH(ET85,皮肤宠物!L$18:L$67,1)),0)</f>
        <v>19</v>
      </c>
      <c r="EX85" s="90">
        <f ca="1">_xlfn.IFNA(INDEX(皮肤宠物!$H$18:$H$67,MATCH(EU85,皮肤宠物!M$18:M$67,1)),0)</f>
        <v>15</v>
      </c>
      <c r="EY85" s="90">
        <f ca="1">_xlfn.IFNA(INDEX(皮肤宠物!$H$18:$H$67,MATCH(EV85,皮肤宠物!N$18:N$67,1)),0)</f>
        <v>11</v>
      </c>
      <c r="EZ85" s="90">
        <f ca="1">_xlfn.IFNA(INDEX(皮肤宠物!C$18:C$67,MATCH(EW85,皮肤宠物!$A$18:$A$67,0))+1,1)</f>
        <v>1.19</v>
      </c>
      <c r="FA85" s="90">
        <f ca="1">_xlfn.IFNA(INDEX(皮肤宠物!D$18:D$67,MATCH(EX85,皮肤宠物!$A$18:$A$67,0))+1,1)</f>
        <v>1.3</v>
      </c>
      <c r="FB85" s="90">
        <f ca="1">_xlfn.IFNA(INDEX(皮肤宠物!E$18:E$67,MATCH(EY85,皮肤宠物!$A$18:$A$67,0))+1,1)</f>
        <v>1.44</v>
      </c>
      <c r="FD85" s="90">
        <f t="shared" ca="1" si="123"/>
        <v>9.6800000000000015</v>
      </c>
      <c r="FE85" s="90">
        <f t="shared" si="124"/>
        <v>1.9800000000000002</v>
      </c>
      <c r="FF85" s="90">
        <f t="shared" ca="1" si="125"/>
        <v>1.44</v>
      </c>
      <c r="FG85" s="90">
        <f t="shared" ca="1" si="126"/>
        <v>27.599616000000008</v>
      </c>
    </row>
    <row r="86" spans="1:163" x14ac:dyDescent="0.25">
      <c r="A86" s="123">
        <v>80</v>
      </c>
      <c r="B86" s="123">
        <f>INDEX(关卡对比!$Y:$Y,MATCH(关卡对比!Z86,关卡对比!$AA:$AA,1))</f>
        <v>53</v>
      </c>
      <c r="C86" s="124">
        <f>INDEX(关卡对比!$Y:$Y,MATCH(关卡对比!Z86,关卡对比!$AB:$AB,1))</f>
        <v>45</v>
      </c>
      <c r="D86" s="125">
        <f t="shared" si="63"/>
        <v>325.5</v>
      </c>
      <c r="E86" s="125">
        <v>2</v>
      </c>
      <c r="F86" s="128">
        <v>16</v>
      </c>
      <c r="G86" s="90">
        <v>16</v>
      </c>
      <c r="H86" s="90">
        <v>5</v>
      </c>
      <c r="J86" s="128">
        <v>80</v>
      </c>
      <c r="K86" s="90">
        <f t="shared" si="88"/>
        <v>16</v>
      </c>
      <c r="L86" s="90">
        <f t="shared" si="89"/>
        <v>16</v>
      </c>
      <c r="M86" s="90">
        <f t="shared" si="90"/>
        <v>5</v>
      </c>
      <c r="N86" s="140">
        <f>INDEX($A:$A,MATCH(SUM($K$7:K86),$D:$D,1))</f>
        <v>200</v>
      </c>
      <c r="O86" s="140">
        <v>0</v>
      </c>
      <c r="P86" s="141">
        <v>0</v>
      </c>
      <c r="Q86" s="126">
        <f>_xlfn.MAXIFS(关卡产出!X:X,关卡产出!$A:$A,玩家节奏2!$N$6,关卡产出!$B:$B,玩家节奏2!$N86)+_xlfn.MAXIFS(关卡产出!X:X,关卡产出!$A:$A,玩家节奏2!$O$6,关卡产出!$B:$B,玩家节奏2!$O86)+_xlfn.MAXIFS(关卡产出!X:X,关卡产出!$A:$A,玩家节奏2!$P$6,关卡产出!$B:$B,玩家节奏2!$P86)</f>
        <v>38500</v>
      </c>
      <c r="R86" s="90">
        <f>_xlfn.MAXIFS(关卡产出!Y:Y,关卡产出!$A:$A,玩家节奏2!$N$6,关卡产出!$B:$B,玩家节奏2!$N86)+_xlfn.MAXIFS(关卡产出!Y:Y,关卡产出!$A:$A,玩家节奏2!$O$6,关卡产出!$B:$B,玩家节奏2!$O86)+_xlfn.MAXIFS(关卡产出!Y:Y,关卡产出!$A:$A,玩家节奏2!$P$6,关卡产出!$B:$B,玩家节奏2!$P86)</f>
        <v>11610000</v>
      </c>
      <c r="S86" s="90">
        <f>_xlfn.MAXIFS(关卡产出!Z:Z,关卡产出!$A:$A,玩家节奏2!$N$6,关卡产出!$B:$B,玩家节奏2!$N86)+_xlfn.MAXIFS(关卡产出!Z:Z,关卡产出!$A:$A,玩家节奏2!$O$6,关卡产出!$B:$B,玩家节奏2!$O86)+_xlfn.MAXIFS(关卡产出!Z:Z,关卡产出!$A:$A,玩家节奏2!$P$6,关卡产出!$B:$B,玩家节奏2!$P86)</f>
        <v>78866</v>
      </c>
      <c r="T86" s="90">
        <f>_xlfn.MAXIFS(关卡产出!AA:AA,关卡产出!$A:$A,玩家节奏2!$N$6,关卡产出!$B:$B,玩家节奏2!$N86)+_xlfn.MAXIFS(关卡产出!AA:AA,关卡产出!$A:$A,玩家节奏2!$O$6,关卡产出!$B:$B,玩家节奏2!$O86)+_xlfn.MAXIFS(关卡产出!AA:AA,关卡产出!$A:$A,玩家节奏2!$P$6,关卡产出!$B:$B,玩家节奏2!$P86)</f>
        <v>39434</v>
      </c>
      <c r="U86" s="90">
        <f>_xlfn.MAXIFS(关卡产出!AB:AB,关卡产出!$A:$A,玩家节奏2!$N$6,关卡产出!$B:$B,玩家节奏2!$N86)+_xlfn.MAXIFS(关卡产出!AB:AB,关卡产出!$A:$A,玩家节奏2!$O$6,关卡产出!$B:$B,玩家节奏2!$O86)+_xlfn.MAXIFS(关卡产出!AB:AB,关卡产出!$A:$A,玩家节奏2!$P$6,关卡产出!$B:$B,玩家节奏2!$P86)</f>
        <v>19113</v>
      </c>
      <c r="V86" s="130">
        <f>_xlfn.MAXIFS(关卡产出!AC:AC,关卡产出!$A:$A,玩家节奏2!$N$6,关卡产出!$B:$B,玩家节奏2!$N86)+_xlfn.MAXIFS(关卡产出!AC:AC,关卡产出!$A:$A,玩家节奏2!$O$6,关卡产出!$B:$B,玩家节奏2!$O86)+_xlfn.MAXIFS(关卡产出!AC:AC,关卡产出!$A:$A,玩家节奏2!$P$6,关卡产出!$B:$B,玩家节奏2!$P86)</f>
        <v>1200</v>
      </c>
      <c r="W86" s="126">
        <f>INDEX(关卡产出!C$8:C$207,MATCH(玩家节奏2!$N86,关卡产出!$B$8:$B$207,0))*$K86</f>
        <v>2528</v>
      </c>
      <c r="X86" s="126">
        <f>INDEX(关卡产出!D$8:D$207,MATCH(玩家节奏2!$N86,关卡产出!$B$8:$B$207,0))*$K86</f>
        <v>1264</v>
      </c>
      <c r="Y86" s="126">
        <f>INDEX(关卡产出!E$8:E$207,MATCH(玩家节奏2!$N86,关卡产出!$B$8:$B$207,0))*$K86</f>
        <v>624</v>
      </c>
      <c r="Z86" s="144">
        <f>INDEX(关卡产出!F$8:F$207,MATCH(玩家节奏2!$N86,关卡产出!$B$8:$B$207,0))*$K86</f>
        <v>32800</v>
      </c>
      <c r="AA86" s="126">
        <f>SUM(W$7:W86)</f>
        <v>144110</v>
      </c>
      <c r="AB86" s="126">
        <f>SUM(X$7:X86)</f>
        <v>71891</v>
      </c>
      <c r="AC86" s="126">
        <f>SUM(Y$7:Y86)</f>
        <v>35267</v>
      </c>
      <c r="AD86" s="177">
        <f>SUM(Z$7:Z86)</f>
        <v>1897530</v>
      </c>
      <c r="AE86" s="128">
        <f>INDEX(图鉴!AQ:AQ,MATCH($N86,图鉴!$S:$S,0))*34</f>
        <v>714</v>
      </c>
      <c r="AF86" s="90">
        <f>INDEX(图鉴!AR:AR,MATCH($N86,图鉴!$S:$S,0))*34</f>
        <v>510</v>
      </c>
      <c r="AG86" s="90">
        <f>INDEX(图鉴!AS:AS,MATCH($N86,图鉴!$S:$S,0))*34</f>
        <v>204</v>
      </c>
      <c r="AH86" s="129">
        <f ca="1">INDEX(图鉴!AT:AT,MATCH($N86,图鉴!$S:$S,0))*34</f>
        <v>55930</v>
      </c>
      <c r="AI86" s="128">
        <f>SUM($AE$7:AE86)</f>
        <v>55216</v>
      </c>
      <c r="AJ86" s="90">
        <f>SUM(AF$7:AF86)</f>
        <v>37332</v>
      </c>
      <c r="AK86" s="90">
        <f>SUM(AG$7:AG86)</f>
        <v>14382</v>
      </c>
      <c r="AL86" s="130">
        <f ca="1">SUM(AH$7:AH86)</f>
        <v>3644766</v>
      </c>
      <c r="AM86" s="133">
        <f>IF(M86=0,0,INDEX(关卡产出!$AU$11:$AU$15,MATCH(玩家节奏2!N86,关卡产出!$AW$11:$AW$15,1))*M86)</f>
        <v>61000</v>
      </c>
      <c r="AN86" s="126">
        <f>IF(L86=0,0,$L86*关卡产出!AU$21)</f>
        <v>16000</v>
      </c>
      <c r="AO86" s="90">
        <f>IF(M86=0,0,$L86*关卡产出!AV$21)</f>
        <v>800</v>
      </c>
      <c r="AP86" s="129">
        <f>IF(N86=0,0,$L86*关卡产出!AW$21)</f>
        <v>16</v>
      </c>
      <c r="AQ86" s="138">
        <f>SUM(AN$7:AN86)</f>
        <v>1232000</v>
      </c>
      <c r="AR86" s="126">
        <f>SUM(AO$7:AO86)</f>
        <v>61600</v>
      </c>
      <c r="AS86" s="129">
        <f>SUM(AP$7:AP86)</f>
        <v>1232</v>
      </c>
      <c r="AT86" s="128">
        <v>3000</v>
      </c>
      <c r="AU86" s="129">
        <v>600</v>
      </c>
      <c r="AV86" s="128">
        <f>SUM(AT$7:AT86)</f>
        <v>240000</v>
      </c>
      <c r="AW86" s="90">
        <f>SUM(AU$7:AU86)</f>
        <v>48000</v>
      </c>
      <c r="AY86" s="128">
        <f t="shared" si="91"/>
        <v>38500</v>
      </c>
      <c r="AZ86" s="90">
        <f t="shared" si="92"/>
        <v>61600</v>
      </c>
      <c r="BA86" s="90">
        <f t="shared" si="93"/>
        <v>48000</v>
      </c>
      <c r="BB86" s="90">
        <f t="shared" ca="1" si="127"/>
        <v>32300</v>
      </c>
      <c r="BC86" s="90">
        <f t="shared" ca="1" si="129"/>
        <v>92375</v>
      </c>
      <c r="BD86" s="90">
        <f t="shared" ca="1" si="130"/>
        <v>88025</v>
      </c>
      <c r="BE86" s="90">
        <f t="shared" ca="1" si="94"/>
        <v>180400</v>
      </c>
      <c r="BF86" s="142">
        <f t="shared" ca="1" si="75"/>
        <v>0.41677943166441139</v>
      </c>
      <c r="BG86" s="142">
        <f t="shared" ca="1" si="76"/>
        <v>0.66684709066305814</v>
      </c>
      <c r="BH86" s="142">
        <f t="shared" ca="1" si="77"/>
        <v>0.51962110960757779</v>
      </c>
      <c r="BI86" s="142">
        <f t="shared" ca="1" si="95"/>
        <v>0.34966170500676591</v>
      </c>
      <c r="BJ86" s="143"/>
      <c r="BK86" s="128">
        <f ca="1">INDEX(商城宝箱!$L:$L,MATCH(BC86,商城宝箱!$N:$N,1))</f>
        <v>11</v>
      </c>
      <c r="BL86" s="90">
        <f ca="1">_xlfn.IFNA(INDEX(商城宝箱!T:T,MATCH(玩家节奏2!$BK86,商城宝箱!$L:$L,0)),0)+($BC86-INDEX(商城宝箱!$N:$N,MATCH(玩家节奏2!$BK86,商城宝箱!$L:$L,0)))/$BK$5*INDEX(商城宝箱!E$23:E$42,MATCH(玩家节奏2!$BK86+1,商城宝箱!$C$23:$C$42,0))</f>
        <v>230937.5</v>
      </c>
      <c r="BM86" s="90">
        <f ca="1">_xlfn.IFNA(INDEX(商城宝箱!U:U,MATCH(玩家节奏2!$BK86,商城宝箱!$L:$L,0)),0)+($BC86-INDEX(商城宝箱!$N:$N,MATCH(玩家节奏2!$BK86,商城宝箱!$L:$L,0)))/$BK$5*INDEX(商城宝箱!F$23:F$42,MATCH(玩家节奏2!$BK86+1,商城宝箱!$C$23:$C$42,0))</f>
        <v>216180</v>
      </c>
      <c r="BN86" s="90">
        <f ca="1">_xlfn.IFNA(INDEX(商城宝箱!V:V,MATCH(玩家节奏2!$BK86,商城宝箱!$L:$L,0)),0)+($BC86-INDEX(商城宝箱!$N:$N,MATCH(玩家节奏2!$BK86,商城宝箱!$L:$L,0)))/$BK$5*INDEX(商城宝箱!G$23:G$42,MATCH(玩家节奏2!$BK86+1,商城宝箱!$C$23:$C$42,0))</f>
        <v>113868.25</v>
      </c>
      <c r="BO86" s="90">
        <f ca="1">_xlfn.IFNA(INDEX(商城宝箱!W:W,MATCH(玩家节奏2!$BK86,商城宝箱!$L:$L,0)),0)+($BC86-INDEX(商城宝箱!$N:$N,MATCH(玩家节奏2!$BK86,商城宝箱!$L:$L,0)))/$BK$5*INDEX(商城宝箱!H$23:H$42,MATCH(玩家节奏2!$BK86+1,商城宝箱!$C$23:$C$42,0))</f>
        <v>17214</v>
      </c>
      <c r="BQ86" s="128">
        <f t="shared" si="79"/>
        <v>11610000</v>
      </c>
      <c r="BR86" s="90">
        <f t="shared" si="80"/>
        <v>1897530</v>
      </c>
      <c r="BS86" s="90">
        <f t="shared" ca="1" si="81"/>
        <v>3644766</v>
      </c>
      <c r="BT86" s="90">
        <f t="shared" si="82"/>
        <v>61000</v>
      </c>
      <c r="BU86" s="90">
        <f t="shared" si="83"/>
        <v>1232000</v>
      </c>
      <c r="BV86" s="90">
        <f t="shared" si="84"/>
        <v>240000</v>
      </c>
      <c r="BW86" s="90">
        <f t="shared" ca="1" si="96"/>
        <v>230937.5</v>
      </c>
      <c r="BX86" s="90">
        <f t="shared" ca="1" si="97"/>
        <v>18916233.5</v>
      </c>
      <c r="BY86" s="142">
        <f t="shared" ca="1" si="74"/>
        <v>0.61375854765167703</v>
      </c>
      <c r="BZ86" s="142">
        <f t="shared" ca="1" si="74"/>
        <v>0.10031225296515821</v>
      </c>
      <c r="CA86" s="142">
        <f t="shared" ca="1" si="73"/>
        <v>0.19267926672611649</v>
      </c>
      <c r="CB86" s="142">
        <f t="shared" ca="1" si="73"/>
        <v>3.2247434458873643E-3</v>
      </c>
      <c r="CC86" s="142">
        <f t="shared" ca="1" si="73"/>
        <v>6.5129244677593984E-2</v>
      </c>
      <c r="CD86" s="142">
        <f t="shared" ca="1" si="73"/>
        <v>1.2687515196933893E-2</v>
      </c>
      <c r="CE86" s="142">
        <f t="shared" ca="1" si="73"/>
        <v>1.2208429336633004E-2</v>
      </c>
      <c r="CG86" s="128">
        <f t="shared" si="98"/>
        <v>200</v>
      </c>
      <c r="CH86" s="90">
        <f ca="1">INDEX(角色升级!$A:$A,MATCH(玩家节奏2!$BX86,角色升级!$J:$J,1))</f>
        <v>934</v>
      </c>
      <c r="CI86" s="90">
        <f ca="1">INDEX(角色升级!$O:$O,MATCH(玩家节奏2!$BX86,角色升级!$J:$J,1))</f>
        <v>76559.443730000014</v>
      </c>
      <c r="CJ86" s="90">
        <f>INDEX(关卡对比!$J:$J,MATCH(玩家节奏2!N86,关卡对比!$A:$A,0))</f>
        <v>86200</v>
      </c>
      <c r="CK86" s="147">
        <f t="shared" ca="1" si="99"/>
        <v>1.125922496302338</v>
      </c>
      <c r="CL86" s="128">
        <f ca="1">INDEX(角色升级!$P:$P,MATCH(玩家节奏2!$CH86,角色升级!$A:$A,0))</f>
        <v>32300</v>
      </c>
      <c r="CM86" s="90">
        <f ca="1">INDEX(角色升级!Q:Q,MATCH(玩家节奏2!$CH86,角色升级!$A:$A,0))</f>
        <v>2</v>
      </c>
      <c r="CO86" s="128">
        <f t="shared" si="100"/>
        <v>78866</v>
      </c>
      <c r="CP86" s="90">
        <f t="shared" si="101"/>
        <v>144110</v>
      </c>
      <c r="CQ86" s="90">
        <f t="shared" si="102"/>
        <v>55216</v>
      </c>
      <c r="CR86" s="90">
        <f t="shared" ca="1" si="103"/>
        <v>216180</v>
      </c>
      <c r="CS86" s="90">
        <f t="shared" ca="1" si="104"/>
        <v>494372</v>
      </c>
      <c r="CT86" s="142">
        <f t="shared" ca="1" si="105"/>
        <v>0.15952764315131115</v>
      </c>
      <c r="CU86" s="142">
        <f t="shared" ca="1" si="105"/>
        <v>0.29150113679577322</v>
      </c>
      <c r="CV86" s="142">
        <f t="shared" ca="1" si="105"/>
        <v>0.11168917333505943</v>
      </c>
      <c r="CW86" s="142">
        <f t="shared" ca="1" si="105"/>
        <v>0.4372820467178562</v>
      </c>
      <c r="CY86" s="128">
        <f t="shared" si="106"/>
        <v>39434</v>
      </c>
      <c r="CZ86" s="90">
        <f t="shared" si="107"/>
        <v>71891</v>
      </c>
      <c r="DA86" s="90">
        <f t="shared" si="108"/>
        <v>37332</v>
      </c>
      <c r="DB86" s="90">
        <f t="shared" ca="1" si="128"/>
        <v>113868.25</v>
      </c>
      <c r="DC86" s="90">
        <f t="shared" ca="1" si="109"/>
        <v>262525.25</v>
      </c>
      <c r="DD86" s="142">
        <f t="shared" ca="1" si="110"/>
        <v>0.15021031310321578</v>
      </c>
      <c r="DE86" s="142">
        <f t="shared" ca="1" si="110"/>
        <v>0.27384413499272925</v>
      </c>
      <c r="DF86" s="142">
        <f t="shared" ca="1" si="110"/>
        <v>0.14220346423820185</v>
      </c>
      <c r="DG86" s="142">
        <f t="shared" ca="1" si="110"/>
        <v>0.43374208766585309</v>
      </c>
      <c r="DI86" s="128">
        <f t="shared" si="111"/>
        <v>19113</v>
      </c>
      <c r="DJ86" s="90">
        <f t="shared" si="112"/>
        <v>35267</v>
      </c>
      <c r="DK86" s="90">
        <f t="shared" si="113"/>
        <v>14382</v>
      </c>
      <c r="DL86" s="90">
        <f t="shared" ca="1" si="114"/>
        <v>17214</v>
      </c>
      <c r="DM86" s="90">
        <f t="shared" ca="1" si="115"/>
        <v>85976</v>
      </c>
      <c r="DN86" s="142">
        <f t="shared" ca="1" si="116"/>
        <v>0.2223062249930213</v>
      </c>
      <c r="DO86" s="142">
        <f t="shared" ca="1" si="116"/>
        <v>0.41019586861449708</v>
      </c>
      <c r="DP86" s="142">
        <f t="shared" ca="1" si="116"/>
        <v>0.16727924071833999</v>
      </c>
      <c r="DQ86" s="142">
        <f t="shared" ca="1" si="116"/>
        <v>0.20021866567414162</v>
      </c>
      <c r="DS86" s="128">
        <f t="shared" ca="1" si="117"/>
        <v>494372</v>
      </c>
      <c r="DT86" s="90">
        <f t="shared" ca="1" si="118"/>
        <v>262525.25</v>
      </c>
      <c r="DU86" s="90">
        <f t="shared" ca="1" si="119"/>
        <v>85976</v>
      </c>
      <c r="DV86" s="90">
        <f t="shared" si="120"/>
        <v>1232</v>
      </c>
      <c r="DW86" s="90">
        <f ca="1">_xlfn.IFNA(INDEX(武器升级消耗!$H:$H,MATCH(玩家节奏2!DS86/玩家节奏2!DS$5,武器升级消耗!M:M,1)),0)</f>
        <v>61</v>
      </c>
      <c r="DX86" s="90">
        <f ca="1">_xlfn.IFNA(INDEX(武器升级消耗!$H:$H,MATCH(玩家节奏2!DT86/玩家节奏2!DT$5,武器升级消耗!N:N,1)),0)</f>
        <v>54</v>
      </c>
      <c r="DY86" s="90">
        <f ca="1">_xlfn.IFNA(INDEX(武器升级消耗!$H:$H,MATCH(玩家节奏2!DU86/玩家节奏2!DU$5,武器升级消耗!O:O,1)),0)</f>
        <v>40</v>
      </c>
      <c r="DZ86" s="90">
        <f>_xlfn.IFNA(INDEX(武器升级消耗!$H:$H,MATCH(玩家节奏2!DV86/玩家节奏2!DV$5,武器升级消耗!P:P,1)),0)</f>
        <v>25</v>
      </c>
      <c r="EA86" s="90">
        <f ca="1">_xlfn.IFNA(INDEX(武器升级消耗!$Q:$Q,MATCH(玩家节奏2!DW86,武器升级消耗!$H:$H,0))*2*EA$4,0)</f>
        <v>7.8</v>
      </c>
      <c r="EB86" s="90">
        <f ca="1">_xlfn.IFNA(INDEX(武器升级消耗!$Q:$Q,MATCH(玩家节奏2!DX86,武器升级消耗!$H:$H,0))*2*EB$4,0)</f>
        <v>8.6999999999999993</v>
      </c>
      <c r="EC86" s="90">
        <f ca="1">_xlfn.IFNA(INDEX(武器升级消耗!$Q:$Q,MATCH(玩家节奏2!DY86,武器升级消耗!$H:$H,0))*2*EC$4,0)</f>
        <v>9.6800000000000015</v>
      </c>
      <c r="ED86" s="90">
        <f>_xlfn.IFNA(INDEX(武器升级消耗!$Q:$Q,MATCH(玩家节奏2!DZ86,武器升级消耗!$H:$H,0))*2*ED$4,0)</f>
        <v>8.6999999999999993</v>
      </c>
      <c r="EF86" s="128">
        <f t="shared" si="85"/>
        <v>0</v>
      </c>
      <c r="EG86" s="90">
        <f t="shared" si="86"/>
        <v>0</v>
      </c>
      <c r="EH86" s="90">
        <v>240</v>
      </c>
      <c r="EI86" s="90">
        <v>240</v>
      </c>
      <c r="EJ86" s="90">
        <f>_xlfn.IFNA(INDEX(皮肤宠物!$J$4:$J$13,MATCH(EF86+EH86,皮肤宠物!$L$4:$L$13,1)),0)</f>
        <v>8</v>
      </c>
      <c r="EK86" s="90">
        <f>_xlfn.IFNA(INDEX(皮肤宠物!$J$4:$J$13,MATCH(EG86+EI86,皮肤宠物!$L$4:$L$13,1)),0)</f>
        <v>8</v>
      </c>
      <c r="EL86" s="90">
        <f>_xlfn.IFNA(INDEX(皮肤宠物!$N$4:$N$13,MATCH(EF86+EH86,皮肤宠物!$L$4:$L$13,1)),1)</f>
        <v>1.9800000000000002</v>
      </c>
      <c r="EM86" s="90">
        <f>_xlfn.IFNA(INDEX(皮肤宠物!$N$4:$N$13,MATCH(EG86+EI86,皮肤宠物!$L$4:$L$13,1)),1)</f>
        <v>1.9800000000000002</v>
      </c>
      <c r="EO86" s="128">
        <v>240</v>
      </c>
      <c r="EP86" s="90">
        <v>80</v>
      </c>
      <c r="EQ86" s="90">
        <f t="shared" ca="1" si="121"/>
        <v>88025</v>
      </c>
      <c r="ER86" s="90">
        <f t="shared" si="87"/>
        <v>0</v>
      </c>
      <c r="ES86" s="90">
        <f t="shared" ca="1" si="122"/>
        <v>960.25</v>
      </c>
      <c r="ET86" s="90">
        <f ca="1">$ES86*ET$5*皮肤宠物!$J$75/4</f>
        <v>3169.7852499999999</v>
      </c>
      <c r="EU86" s="90">
        <f ca="1">$ES86*EU$5*皮肤宠物!$J$76/4</f>
        <v>529.09775000000002</v>
      </c>
      <c r="EV86" s="90">
        <f ca="1">$ES86*EV$5*皮肤宠物!$J$77/4</f>
        <v>143.31731250000001</v>
      </c>
      <c r="EW86" s="90">
        <f ca="1">_xlfn.IFNA(INDEX(皮肤宠物!$H$18:$H$67,MATCH(ET86,皮肤宠物!L$18:L$67,1)),0)</f>
        <v>20</v>
      </c>
      <c r="EX86" s="90">
        <f ca="1">_xlfn.IFNA(INDEX(皮肤宠物!$H$18:$H$67,MATCH(EU86,皮肤宠物!M$18:M$67,1)),0)</f>
        <v>15</v>
      </c>
      <c r="EY86" s="90">
        <f ca="1">_xlfn.IFNA(INDEX(皮肤宠物!$H$18:$H$67,MATCH(EV86,皮肤宠物!N$18:N$67,1)),0)</f>
        <v>11</v>
      </c>
      <c r="EZ86" s="90">
        <f ca="1">_xlfn.IFNA(INDEX(皮肤宠物!C$18:C$67,MATCH(EW86,皮肤宠物!$A$18:$A$67,0))+1,1)</f>
        <v>1.2</v>
      </c>
      <c r="FA86" s="90">
        <f ca="1">_xlfn.IFNA(INDEX(皮肤宠物!D$18:D$67,MATCH(EX86,皮肤宠物!$A$18:$A$67,0))+1,1)</f>
        <v>1.3</v>
      </c>
      <c r="FB86" s="90">
        <f ca="1">_xlfn.IFNA(INDEX(皮肤宠物!E$18:E$67,MATCH(EY86,皮肤宠物!$A$18:$A$67,0))+1,1)</f>
        <v>1.44</v>
      </c>
      <c r="FD86" s="90">
        <f t="shared" ca="1" si="123"/>
        <v>9.6800000000000015</v>
      </c>
      <c r="FE86" s="90">
        <f t="shared" si="124"/>
        <v>1.9800000000000002</v>
      </c>
      <c r="FF86" s="90">
        <f t="shared" ca="1" si="125"/>
        <v>1.44</v>
      </c>
      <c r="FG86" s="90">
        <f t="shared" ca="1" si="126"/>
        <v>27.599616000000008</v>
      </c>
    </row>
    <row r="87" spans="1:163" x14ac:dyDescent="0.25">
      <c r="A87" s="123">
        <v>81</v>
      </c>
      <c r="B87" s="123">
        <f>INDEX(关卡对比!$Y:$Y,MATCH(关卡对比!Z87,关卡对比!$AA:$AA,1))</f>
        <v>54</v>
      </c>
      <c r="C87" s="124">
        <f>INDEX(关卡对比!$Y:$Y,MATCH(关卡对比!Z87,关卡对比!$AB:$AB,1))</f>
        <v>45</v>
      </c>
      <c r="D87" s="125">
        <f t="shared" si="63"/>
        <v>329.5</v>
      </c>
      <c r="E87" s="125">
        <v>2</v>
      </c>
      <c r="F87" s="128">
        <v>16</v>
      </c>
      <c r="G87" s="90">
        <v>16</v>
      </c>
      <c r="H87" s="90">
        <v>5</v>
      </c>
      <c r="J87" s="128">
        <v>81</v>
      </c>
      <c r="K87" s="90">
        <f t="shared" si="88"/>
        <v>16</v>
      </c>
      <c r="L87" s="90">
        <f t="shared" si="89"/>
        <v>16</v>
      </c>
      <c r="M87" s="90">
        <f t="shared" si="90"/>
        <v>5</v>
      </c>
      <c r="N87" s="140">
        <f>INDEX($A:$A,MATCH(SUM($K$7:K87),$D:$D,1))</f>
        <v>200</v>
      </c>
      <c r="O87" s="140">
        <v>0</v>
      </c>
      <c r="P87" s="141">
        <v>0</v>
      </c>
      <c r="Q87" s="126">
        <f>_xlfn.MAXIFS(关卡产出!X:X,关卡产出!$A:$A,玩家节奏2!$N$6,关卡产出!$B:$B,玩家节奏2!$N87)+_xlfn.MAXIFS(关卡产出!X:X,关卡产出!$A:$A,玩家节奏2!$O$6,关卡产出!$B:$B,玩家节奏2!$O87)+_xlfn.MAXIFS(关卡产出!X:X,关卡产出!$A:$A,玩家节奏2!$P$6,关卡产出!$B:$B,玩家节奏2!$P87)</f>
        <v>38500</v>
      </c>
      <c r="R87" s="90">
        <f>_xlfn.MAXIFS(关卡产出!Y:Y,关卡产出!$A:$A,玩家节奏2!$N$6,关卡产出!$B:$B,玩家节奏2!$N87)+_xlfn.MAXIFS(关卡产出!Y:Y,关卡产出!$A:$A,玩家节奏2!$O$6,关卡产出!$B:$B,玩家节奏2!$O87)+_xlfn.MAXIFS(关卡产出!Y:Y,关卡产出!$A:$A,玩家节奏2!$P$6,关卡产出!$B:$B,玩家节奏2!$P87)</f>
        <v>11610000</v>
      </c>
      <c r="S87" s="90">
        <f>_xlfn.MAXIFS(关卡产出!Z:Z,关卡产出!$A:$A,玩家节奏2!$N$6,关卡产出!$B:$B,玩家节奏2!$N87)+_xlfn.MAXIFS(关卡产出!Z:Z,关卡产出!$A:$A,玩家节奏2!$O$6,关卡产出!$B:$B,玩家节奏2!$O87)+_xlfn.MAXIFS(关卡产出!Z:Z,关卡产出!$A:$A,玩家节奏2!$P$6,关卡产出!$B:$B,玩家节奏2!$P87)</f>
        <v>78866</v>
      </c>
      <c r="T87" s="90">
        <f>_xlfn.MAXIFS(关卡产出!AA:AA,关卡产出!$A:$A,玩家节奏2!$N$6,关卡产出!$B:$B,玩家节奏2!$N87)+_xlfn.MAXIFS(关卡产出!AA:AA,关卡产出!$A:$A,玩家节奏2!$O$6,关卡产出!$B:$B,玩家节奏2!$O87)+_xlfn.MAXIFS(关卡产出!AA:AA,关卡产出!$A:$A,玩家节奏2!$P$6,关卡产出!$B:$B,玩家节奏2!$P87)</f>
        <v>39434</v>
      </c>
      <c r="U87" s="90">
        <f>_xlfn.MAXIFS(关卡产出!AB:AB,关卡产出!$A:$A,玩家节奏2!$N$6,关卡产出!$B:$B,玩家节奏2!$N87)+_xlfn.MAXIFS(关卡产出!AB:AB,关卡产出!$A:$A,玩家节奏2!$O$6,关卡产出!$B:$B,玩家节奏2!$O87)+_xlfn.MAXIFS(关卡产出!AB:AB,关卡产出!$A:$A,玩家节奏2!$P$6,关卡产出!$B:$B,玩家节奏2!$P87)</f>
        <v>19113</v>
      </c>
      <c r="V87" s="130">
        <f>_xlfn.MAXIFS(关卡产出!AC:AC,关卡产出!$A:$A,玩家节奏2!$N$6,关卡产出!$B:$B,玩家节奏2!$N87)+_xlfn.MAXIFS(关卡产出!AC:AC,关卡产出!$A:$A,玩家节奏2!$O$6,关卡产出!$B:$B,玩家节奏2!$O87)+_xlfn.MAXIFS(关卡产出!AC:AC,关卡产出!$A:$A,玩家节奏2!$P$6,关卡产出!$B:$B,玩家节奏2!$P87)</f>
        <v>1200</v>
      </c>
      <c r="W87" s="126">
        <f>INDEX(关卡产出!C$8:C$207,MATCH(玩家节奏2!$N87,关卡产出!$B$8:$B$207,0))*$K87</f>
        <v>2528</v>
      </c>
      <c r="X87" s="126">
        <f>INDEX(关卡产出!D$8:D$207,MATCH(玩家节奏2!$N87,关卡产出!$B$8:$B$207,0))*$K87</f>
        <v>1264</v>
      </c>
      <c r="Y87" s="126">
        <f>INDEX(关卡产出!E$8:E$207,MATCH(玩家节奏2!$N87,关卡产出!$B$8:$B$207,0))*$K87</f>
        <v>624</v>
      </c>
      <c r="Z87" s="144">
        <f>INDEX(关卡产出!F$8:F$207,MATCH(玩家节奏2!$N87,关卡产出!$B$8:$B$207,0))*$K87</f>
        <v>32800</v>
      </c>
      <c r="AA87" s="126">
        <f>SUM(W$7:W87)</f>
        <v>146638</v>
      </c>
      <c r="AB87" s="126">
        <f>SUM(X$7:X87)</f>
        <v>73155</v>
      </c>
      <c r="AC87" s="126">
        <f>SUM(Y$7:Y87)</f>
        <v>35891</v>
      </c>
      <c r="AD87" s="177">
        <f>SUM(Z$7:Z87)</f>
        <v>1930330</v>
      </c>
      <c r="AE87" s="128">
        <f>INDEX(图鉴!AQ:AQ,MATCH($N87,图鉴!$S:$S,0))*34</f>
        <v>714</v>
      </c>
      <c r="AF87" s="90">
        <f>INDEX(图鉴!AR:AR,MATCH($N87,图鉴!$S:$S,0))*34</f>
        <v>510</v>
      </c>
      <c r="AG87" s="90">
        <f>INDEX(图鉴!AS:AS,MATCH($N87,图鉴!$S:$S,0))*34</f>
        <v>204</v>
      </c>
      <c r="AH87" s="129">
        <f ca="1">INDEX(图鉴!AT:AT,MATCH($N87,图鉴!$S:$S,0))*34</f>
        <v>55930</v>
      </c>
      <c r="AI87" s="128">
        <f>SUM($AE$7:AE87)</f>
        <v>55930</v>
      </c>
      <c r="AJ87" s="90">
        <f>SUM(AF$7:AF87)</f>
        <v>37842</v>
      </c>
      <c r="AK87" s="90">
        <f>SUM(AG$7:AG87)</f>
        <v>14586</v>
      </c>
      <c r="AL87" s="130">
        <f ca="1">SUM(AH$7:AH87)</f>
        <v>3700696</v>
      </c>
      <c r="AM87" s="133">
        <f>IF(M87=0,0,INDEX(关卡产出!$AU$11:$AU$15,MATCH(玩家节奏2!N87,关卡产出!$AW$11:$AW$15,1))*M87)</f>
        <v>61000</v>
      </c>
      <c r="AN87" s="126">
        <f>IF(L87=0,0,$L87*关卡产出!AU$21)</f>
        <v>16000</v>
      </c>
      <c r="AO87" s="90">
        <f>IF(M87=0,0,$L87*关卡产出!AV$21)</f>
        <v>800</v>
      </c>
      <c r="AP87" s="129">
        <f>IF(N87=0,0,$L87*关卡产出!AW$21)</f>
        <v>16</v>
      </c>
      <c r="AQ87" s="138">
        <f>SUM(AN$7:AN87)</f>
        <v>1248000</v>
      </c>
      <c r="AR87" s="126">
        <f>SUM(AO$7:AO87)</f>
        <v>62400</v>
      </c>
      <c r="AS87" s="129">
        <f>SUM(AP$7:AP87)</f>
        <v>1248</v>
      </c>
      <c r="AT87" s="128">
        <v>3000</v>
      </c>
      <c r="AU87" s="129">
        <v>600</v>
      </c>
      <c r="AV87" s="128">
        <f>SUM(AT$7:AT87)</f>
        <v>243000</v>
      </c>
      <c r="AW87" s="90">
        <f>SUM(AU$7:AU87)</f>
        <v>48600</v>
      </c>
      <c r="AY87" s="128">
        <f t="shared" si="91"/>
        <v>38500</v>
      </c>
      <c r="AZ87" s="90">
        <f t="shared" si="92"/>
        <v>62400</v>
      </c>
      <c r="BA87" s="90">
        <f t="shared" si="93"/>
        <v>48600</v>
      </c>
      <c r="BB87" s="90">
        <f t="shared" ca="1" si="127"/>
        <v>32300</v>
      </c>
      <c r="BC87" s="90">
        <f t="shared" ca="1" si="129"/>
        <v>93075</v>
      </c>
      <c r="BD87" s="90">
        <f t="shared" ca="1" si="130"/>
        <v>88725</v>
      </c>
      <c r="BE87" s="90">
        <f t="shared" ca="1" si="94"/>
        <v>181800</v>
      </c>
      <c r="BF87" s="142">
        <f t="shared" ca="1" si="75"/>
        <v>0.41364491001880205</v>
      </c>
      <c r="BG87" s="142">
        <f t="shared" ca="1" si="76"/>
        <v>0.67042707493956488</v>
      </c>
      <c r="BH87" s="142">
        <f t="shared" ca="1" si="77"/>
        <v>0.52215954875100723</v>
      </c>
      <c r="BI87" s="142">
        <f t="shared" ca="1" si="95"/>
        <v>0.34703196347031962</v>
      </c>
      <c r="BJ87" s="143"/>
      <c r="BK87" s="128">
        <f ca="1">INDEX(商城宝箱!$L:$L,MATCH(BC87,商城宝箱!$N:$N,1))</f>
        <v>11</v>
      </c>
      <c r="BL87" s="90">
        <f ca="1">_xlfn.IFNA(INDEX(商城宝箱!T:T,MATCH(玩家节奏2!$BK87,商城宝箱!$L:$L,0)),0)+($BC87-INDEX(商城宝箱!$N:$N,MATCH(玩家节奏2!$BK87,商城宝箱!$L:$L,0)))/$BK$5*INDEX(商城宝箱!E$23:E$42,MATCH(玩家节奏2!$BK87+1,商城宝箱!$C$23:$C$42,0))</f>
        <v>232687.5</v>
      </c>
      <c r="BM87" s="90">
        <f ca="1">_xlfn.IFNA(INDEX(商城宝箱!U:U,MATCH(玩家节奏2!$BK87,商城宝箱!$L:$L,0)),0)+($BC87-INDEX(商城宝箱!$N:$N,MATCH(玩家节奏2!$BK87,商城宝箱!$L:$L,0)))/$BK$5*INDEX(商城宝箱!F$23:F$42,MATCH(玩家节奏2!$BK87+1,商城宝箱!$C$23:$C$42,0))</f>
        <v>218770</v>
      </c>
      <c r="BN87" s="90">
        <f ca="1">_xlfn.IFNA(INDEX(商城宝箱!V:V,MATCH(玩家节奏2!$BK87,商城宝箱!$L:$L,0)),0)+($BC87-INDEX(商城宝箱!$N:$N,MATCH(玩家节奏2!$BK87,商城宝箱!$L:$L,0)))/$BK$5*INDEX(商城宝箱!G$23:G$42,MATCH(玩家节奏2!$BK87+1,商城宝箱!$C$23:$C$42,0))</f>
        <v>115093.25</v>
      </c>
      <c r="BO87" s="90">
        <f ca="1">_xlfn.IFNA(INDEX(商城宝箱!W:W,MATCH(玩家节奏2!$BK87,商城宝箱!$L:$L,0)),0)+($BC87-INDEX(商城宝箱!$N:$N,MATCH(玩家节奏2!$BK87,商城宝箱!$L:$L,0)))/$BK$5*INDEX(商城宝箱!H$23:H$42,MATCH(玩家节奏2!$BK87+1,商城宝箱!$C$23:$C$42,0))</f>
        <v>17424</v>
      </c>
      <c r="BQ87" s="128">
        <f t="shared" si="79"/>
        <v>11610000</v>
      </c>
      <c r="BR87" s="90">
        <f t="shared" si="80"/>
        <v>1930330</v>
      </c>
      <c r="BS87" s="90">
        <f t="shared" ca="1" si="81"/>
        <v>3700696</v>
      </c>
      <c r="BT87" s="90">
        <f t="shared" si="82"/>
        <v>61000</v>
      </c>
      <c r="BU87" s="90">
        <f t="shared" si="83"/>
        <v>1248000</v>
      </c>
      <c r="BV87" s="90">
        <f t="shared" si="84"/>
        <v>243000</v>
      </c>
      <c r="BW87" s="90">
        <f t="shared" ca="1" si="96"/>
        <v>232687.5</v>
      </c>
      <c r="BX87" s="90">
        <f t="shared" ca="1" si="97"/>
        <v>19025713.5</v>
      </c>
      <c r="BY87" s="142">
        <f t="shared" ca="1" si="74"/>
        <v>0.61022678597572699</v>
      </c>
      <c r="BZ87" s="142">
        <f t="shared" ca="1" si="74"/>
        <v>0.10145900704328381</v>
      </c>
      <c r="CA87" s="142">
        <f t="shared" ca="1" si="73"/>
        <v>0.19451023479355978</v>
      </c>
      <c r="CB87" s="142">
        <f t="shared" ca="1" si="73"/>
        <v>3.2061872475899525E-3</v>
      </c>
      <c r="CC87" s="142">
        <f t="shared" ca="1" si="73"/>
        <v>6.5595437458889516E-2</v>
      </c>
      <c r="CD87" s="142">
        <f t="shared" ca="1" si="73"/>
        <v>1.2772188543678007E-2</v>
      </c>
      <c r="CE87" s="142">
        <f t="shared" ca="1" si="73"/>
        <v>1.2230158937271919E-2</v>
      </c>
      <c r="CG87" s="128">
        <f t="shared" si="98"/>
        <v>200</v>
      </c>
      <c r="CH87" s="90">
        <f ca="1">INDEX(角色升级!$A:$A,MATCH(玩家节奏2!$BX87,角色升级!$J:$J,1))</f>
        <v>936</v>
      </c>
      <c r="CI87" s="90">
        <f ca="1">INDEX(角色升级!$O:$O,MATCH(玩家节奏2!$BX87,角色升级!$J:$J,1))</f>
        <v>77526.637650000004</v>
      </c>
      <c r="CJ87" s="90">
        <f>INDEX(关卡对比!$J:$J,MATCH(玩家节奏2!N87,关卡对比!$A:$A,0))</f>
        <v>86200</v>
      </c>
      <c r="CK87" s="147">
        <f t="shared" ca="1" si="99"/>
        <v>1.1118758998572409</v>
      </c>
      <c r="CL87" s="128">
        <f ca="1">INDEX(角色升级!$P:$P,MATCH(玩家节奏2!$CH87,角色升级!$A:$A,0))</f>
        <v>32300</v>
      </c>
      <c r="CM87" s="90">
        <f ca="1">INDEX(角色升级!Q:Q,MATCH(玩家节奏2!$CH87,角色升级!$A:$A,0))</f>
        <v>2</v>
      </c>
      <c r="CO87" s="128">
        <f t="shared" si="100"/>
        <v>78866</v>
      </c>
      <c r="CP87" s="90">
        <f t="shared" si="101"/>
        <v>146638</v>
      </c>
      <c r="CQ87" s="90">
        <f t="shared" si="102"/>
        <v>55930</v>
      </c>
      <c r="CR87" s="90">
        <f t="shared" ca="1" si="103"/>
        <v>218770</v>
      </c>
      <c r="CS87" s="90">
        <f t="shared" ca="1" si="104"/>
        <v>500204</v>
      </c>
      <c r="CT87" s="142">
        <f t="shared" ca="1" si="105"/>
        <v>0.15766767158999129</v>
      </c>
      <c r="CU87" s="142">
        <f t="shared" ca="1" si="105"/>
        <v>0.29315639219198569</v>
      </c>
      <c r="CV87" s="142">
        <f t="shared" ca="1" si="105"/>
        <v>0.1118143797330689</v>
      </c>
      <c r="CW87" s="142">
        <f t="shared" ca="1" si="105"/>
        <v>0.43736155648495412</v>
      </c>
      <c r="CY87" s="128">
        <f t="shared" si="106"/>
        <v>39434</v>
      </c>
      <c r="CZ87" s="90">
        <f t="shared" si="107"/>
        <v>73155</v>
      </c>
      <c r="DA87" s="90">
        <f t="shared" si="108"/>
        <v>37842</v>
      </c>
      <c r="DB87" s="90">
        <f t="shared" ca="1" si="128"/>
        <v>115093.25</v>
      </c>
      <c r="DC87" s="90">
        <f t="shared" ca="1" si="109"/>
        <v>265524.25</v>
      </c>
      <c r="DD87" s="142">
        <f t="shared" ca="1" si="110"/>
        <v>0.14851374215349444</v>
      </c>
      <c r="DE87" s="142">
        <f t="shared" ca="1" si="110"/>
        <v>0.27551155873710215</v>
      </c>
      <c r="DF87" s="142">
        <f t="shared" ca="1" si="110"/>
        <v>0.14251805626039807</v>
      </c>
      <c r="DG87" s="142">
        <f t="shared" ca="1" si="110"/>
        <v>0.43345664284900531</v>
      </c>
      <c r="DI87" s="128">
        <f t="shared" si="111"/>
        <v>19113</v>
      </c>
      <c r="DJ87" s="90">
        <f t="shared" si="112"/>
        <v>35891</v>
      </c>
      <c r="DK87" s="90">
        <f t="shared" si="113"/>
        <v>14586</v>
      </c>
      <c r="DL87" s="90">
        <f t="shared" ca="1" si="114"/>
        <v>17424</v>
      </c>
      <c r="DM87" s="90">
        <f t="shared" ca="1" si="115"/>
        <v>87014</v>
      </c>
      <c r="DN87" s="142">
        <f t="shared" ca="1" si="116"/>
        <v>0.21965430850208012</v>
      </c>
      <c r="DO87" s="142">
        <f t="shared" ca="1" si="116"/>
        <v>0.41247385478198911</v>
      </c>
      <c r="DP87" s="142">
        <f t="shared" ca="1" si="116"/>
        <v>0.1676281977612798</v>
      </c>
      <c r="DQ87" s="142">
        <f t="shared" ca="1" si="116"/>
        <v>0.20024363895465097</v>
      </c>
      <c r="DS87" s="128">
        <f t="shared" ca="1" si="117"/>
        <v>500204</v>
      </c>
      <c r="DT87" s="90">
        <f t="shared" ca="1" si="118"/>
        <v>265524.25</v>
      </c>
      <c r="DU87" s="90">
        <f t="shared" ca="1" si="119"/>
        <v>87014</v>
      </c>
      <c r="DV87" s="90">
        <f t="shared" si="120"/>
        <v>1248</v>
      </c>
      <c r="DW87" s="90">
        <f ca="1">_xlfn.IFNA(INDEX(武器升级消耗!$H:$H,MATCH(玩家节奏2!DS87/玩家节奏2!DS$5,武器升级消耗!M:M,1)),0)</f>
        <v>62</v>
      </c>
      <c r="DX87" s="90">
        <f ca="1">_xlfn.IFNA(INDEX(武器升级消耗!$H:$H,MATCH(玩家节奏2!DT87/玩家节奏2!DT$5,武器升级消耗!N:N,1)),0)</f>
        <v>54</v>
      </c>
      <c r="DY87" s="90">
        <f ca="1">_xlfn.IFNA(INDEX(武器升级消耗!$H:$H,MATCH(玩家节奏2!DU87/玩家节奏2!DU$5,武器升级消耗!O:O,1)),0)</f>
        <v>41</v>
      </c>
      <c r="DZ87" s="90">
        <f>_xlfn.IFNA(INDEX(武器升级消耗!$H:$H,MATCH(玩家节奏2!DV87/玩家节奏2!DV$5,武器升级消耗!P:P,1)),0)</f>
        <v>25</v>
      </c>
      <c r="EA87" s="90">
        <f ca="1">_xlfn.IFNA(INDEX(武器升级消耗!$Q:$Q,MATCH(玩家节奏2!DW87,武器升级消耗!$H:$H,0))*2*EA$4,0)</f>
        <v>7.919999999999999</v>
      </c>
      <c r="EB87" s="90">
        <f ca="1">_xlfn.IFNA(INDEX(武器升级消耗!$Q:$Q,MATCH(玩家节奏2!DX87,武器升级消耗!$H:$H,0))*2*EB$4,0)</f>
        <v>8.6999999999999993</v>
      </c>
      <c r="EC87" s="90">
        <f ca="1">_xlfn.IFNA(INDEX(武器升级消耗!$Q:$Q,MATCH(玩家节奏2!DY87,武器升级消耗!$H:$H,0))*2*EC$4,0)</f>
        <v>9.9</v>
      </c>
      <c r="ED87" s="90">
        <f>_xlfn.IFNA(INDEX(武器升级消耗!$Q:$Q,MATCH(玩家节奏2!DZ87,武器升级消耗!$H:$H,0))*2*ED$4,0)</f>
        <v>8.6999999999999993</v>
      </c>
      <c r="EF87" s="128">
        <f t="shared" si="85"/>
        <v>0</v>
      </c>
      <c r="EG87" s="90">
        <f t="shared" si="86"/>
        <v>0</v>
      </c>
      <c r="EH87" s="90">
        <v>243</v>
      </c>
      <c r="EI87" s="90">
        <v>243</v>
      </c>
      <c r="EJ87" s="90">
        <f>_xlfn.IFNA(INDEX(皮肤宠物!$J$4:$J$13,MATCH(EF87+EH87,皮肤宠物!$L$4:$L$13,1)),0)</f>
        <v>8</v>
      </c>
      <c r="EK87" s="90">
        <f>_xlfn.IFNA(INDEX(皮肤宠物!$J$4:$J$13,MATCH(EG87+EI87,皮肤宠物!$L$4:$L$13,1)),0)</f>
        <v>8</v>
      </c>
      <c r="EL87" s="90">
        <f>_xlfn.IFNA(INDEX(皮肤宠物!$N$4:$N$13,MATCH(EF87+EH87,皮肤宠物!$L$4:$L$13,1)),1)</f>
        <v>1.9800000000000002</v>
      </c>
      <c r="EM87" s="90">
        <f>_xlfn.IFNA(INDEX(皮肤宠物!$N$4:$N$13,MATCH(EG87+EI87,皮肤宠物!$L$4:$L$13,1)),1)</f>
        <v>1.9800000000000002</v>
      </c>
      <c r="EO87" s="128">
        <v>243</v>
      </c>
      <c r="EP87" s="90">
        <v>81</v>
      </c>
      <c r="EQ87" s="90">
        <f t="shared" ca="1" si="121"/>
        <v>88725</v>
      </c>
      <c r="ER87" s="90">
        <f t="shared" si="87"/>
        <v>0</v>
      </c>
      <c r="ES87" s="90">
        <f t="shared" ca="1" si="122"/>
        <v>968.25</v>
      </c>
      <c r="ET87" s="90">
        <f ca="1">$ES87*ET$5*皮肤宠物!$J$75/4</f>
        <v>3196.1932500000003</v>
      </c>
      <c r="EU87" s="90">
        <f ca="1">$ES87*EU$5*皮肤宠物!$J$76/4</f>
        <v>533.50575000000003</v>
      </c>
      <c r="EV87" s="90">
        <f ca="1">$ES87*EV$5*皮肤宠物!$J$77/4</f>
        <v>144.5113125</v>
      </c>
      <c r="EW87" s="90">
        <f ca="1">_xlfn.IFNA(INDEX(皮肤宠物!$H$18:$H$67,MATCH(ET87,皮肤宠物!L$18:L$67,1)),0)</f>
        <v>20</v>
      </c>
      <c r="EX87" s="90">
        <f ca="1">_xlfn.IFNA(INDEX(皮肤宠物!$H$18:$H$67,MATCH(EU87,皮肤宠物!M$18:M$67,1)),0)</f>
        <v>15</v>
      </c>
      <c r="EY87" s="90">
        <f ca="1">_xlfn.IFNA(INDEX(皮肤宠物!$H$18:$H$67,MATCH(EV87,皮肤宠物!N$18:N$67,1)),0)</f>
        <v>11</v>
      </c>
      <c r="EZ87" s="90">
        <f ca="1">_xlfn.IFNA(INDEX(皮肤宠物!C$18:C$67,MATCH(EW87,皮肤宠物!$A$18:$A$67,0))+1,1)</f>
        <v>1.2</v>
      </c>
      <c r="FA87" s="90">
        <f ca="1">_xlfn.IFNA(INDEX(皮肤宠物!D$18:D$67,MATCH(EX87,皮肤宠物!$A$18:$A$67,0))+1,1)</f>
        <v>1.3</v>
      </c>
      <c r="FB87" s="90">
        <f ca="1">_xlfn.IFNA(INDEX(皮肤宠物!E$18:E$67,MATCH(EY87,皮肤宠物!$A$18:$A$67,0))+1,1)</f>
        <v>1.44</v>
      </c>
      <c r="FD87" s="90">
        <f t="shared" ca="1" si="123"/>
        <v>9.9</v>
      </c>
      <c r="FE87" s="90">
        <f t="shared" si="124"/>
        <v>1.9800000000000002</v>
      </c>
      <c r="FF87" s="90">
        <f t="shared" ca="1" si="125"/>
        <v>1.44</v>
      </c>
      <c r="FG87" s="90">
        <f t="shared" ca="1" si="126"/>
        <v>28.226880000000005</v>
      </c>
    </row>
    <row r="88" spans="1:163" x14ac:dyDescent="0.25">
      <c r="A88" s="123">
        <v>82</v>
      </c>
      <c r="B88" s="123">
        <f>INDEX(关卡对比!$Y:$Y,MATCH(关卡对比!Z88,关卡对比!$AA:$AA,1))</f>
        <v>54</v>
      </c>
      <c r="C88" s="124">
        <f>INDEX(关卡对比!$Y:$Y,MATCH(关卡对比!Z88,关卡对比!$AB:$AB,1))</f>
        <v>45</v>
      </c>
      <c r="D88" s="125">
        <f t="shared" ref="D88:D151" si="131">A88*E88+B88*E88+C88*E88-4.5-10-16</f>
        <v>331.5</v>
      </c>
      <c r="E88" s="125">
        <v>2</v>
      </c>
      <c r="F88" s="128">
        <v>16</v>
      </c>
      <c r="G88" s="90">
        <v>16</v>
      </c>
      <c r="H88" s="90">
        <v>5</v>
      </c>
      <c r="J88" s="128">
        <v>82</v>
      </c>
      <c r="K88" s="90">
        <f t="shared" si="88"/>
        <v>16</v>
      </c>
      <c r="L88" s="90">
        <f t="shared" si="89"/>
        <v>16</v>
      </c>
      <c r="M88" s="90">
        <f t="shared" si="90"/>
        <v>5</v>
      </c>
      <c r="N88" s="140">
        <f>INDEX($A:$A,MATCH(SUM($K$7:K88),$D:$D,1))</f>
        <v>200</v>
      </c>
      <c r="O88" s="140">
        <v>0</v>
      </c>
      <c r="P88" s="141">
        <v>0</v>
      </c>
      <c r="Q88" s="126">
        <f>_xlfn.MAXIFS(关卡产出!X:X,关卡产出!$A:$A,玩家节奏2!$N$6,关卡产出!$B:$B,玩家节奏2!$N88)+_xlfn.MAXIFS(关卡产出!X:X,关卡产出!$A:$A,玩家节奏2!$O$6,关卡产出!$B:$B,玩家节奏2!$O88)+_xlfn.MAXIFS(关卡产出!X:X,关卡产出!$A:$A,玩家节奏2!$P$6,关卡产出!$B:$B,玩家节奏2!$P88)</f>
        <v>38500</v>
      </c>
      <c r="R88" s="90">
        <f>_xlfn.MAXIFS(关卡产出!Y:Y,关卡产出!$A:$A,玩家节奏2!$N$6,关卡产出!$B:$B,玩家节奏2!$N88)+_xlfn.MAXIFS(关卡产出!Y:Y,关卡产出!$A:$A,玩家节奏2!$O$6,关卡产出!$B:$B,玩家节奏2!$O88)+_xlfn.MAXIFS(关卡产出!Y:Y,关卡产出!$A:$A,玩家节奏2!$P$6,关卡产出!$B:$B,玩家节奏2!$P88)</f>
        <v>11610000</v>
      </c>
      <c r="S88" s="90">
        <f>_xlfn.MAXIFS(关卡产出!Z:Z,关卡产出!$A:$A,玩家节奏2!$N$6,关卡产出!$B:$B,玩家节奏2!$N88)+_xlfn.MAXIFS(关卡产出!Z:Z,关卡产出!$A:$A,玩家节奏2!$O$6,关卡产出!$B:$B,玩家节奏2!$O88)+_xlfn.MAXIFS(关卡产出!Z:Z,关卡产出!$A:$A,玩家节奏2!$P$6,关卡产出!$B:$B,玩家节奏2!$P88)</f>
        <v>78866</v>
      </c>
      <c r="T88" s="90">
        <f>_xlfn.MAXIFS(关卡产出!AA:AA,关卡产出!$A:$A,玩家节奏2!$N$6,关卡产出!$B:$B,玩家节奏2!$N88)+_xlfn.MAXIFS(关卡产出!AA:AA,关卡产出!$A:$A,玩家节奏2!$O$6,关卡产出!$B:$B,玩家节奏2!$O88)+_xlfn.MAXIFS(关卡产出!AA:AA,关卡产出!$A:$A,玩家节奏2!$P$6,关卡产出!$B:$B,玩家节奏2!$P88)</f>
        <v>39434</v>
      </c>
      <c r="U88" s="90">
        <f>_xlfn.MAXIFS(关卡产出!AB:AB,关卡产出!$A:$A,玩家节奏2!$N$6,关卡产出!$B:$B,玩家节奏2!$N88)+_xlfn.MAXIFS(关卡产出!AB:AB,关卡产出!$A:$A,玩家节奏2!$O$6,关卡产出!$B:$B,玩家节奏2!$O88)+_xlfn.MAXIFS(关卡产出!AB:AB,关卡产出!$A:$A,玩家节奏2!$P$6,关卡产出!$B:$B,玩家节奏2!$P88)</f>
        <v>19113</v>
      </c>
      <c r="V88" s="130">
        <f>_xlfn.MAXIFS(关卡产出!AC:AC,关卡产出!$A:$A,玩家节奏2!$N$6,关卡产出!$B:$B,玩家节奏2!$N88)+_xlfn.MAXIFS(关卡产出!AC:AC,关卡产出!$A:$A,玩家节奏2!$O$6,关卡产出!$B:$B,玩家节奏2!$O88)+_xlfn.MAXIFS(关卡产出!AC:AC,关卡产出!$A:$A,玩家节奏2!$P$6,关卡产出!$B:$B,玩家节奏2!$P88)</f>
        <v>1200</v>
      </c>
      <c r="W88" s="126">
        <f>INDEX(关卡产出!C$8:C$207,MATCH(玩家节奏2!$N88,关卡产出!$B$8:$B$207,0))*$K88</f>
        <v>2528</v>
      </c>
      <c r="X88" s="126">
        <f>INDEX(关卡产出!D$8:D$207,MATCH(玩家节奏2!$N88,关卡产出!$B$8:$B$207,0))*$K88</f>
        <v>1264</v>
      </c>
      <c r="Y88" s="126">
        <f>INDEX(关卡产出!E$8:E$207,MATCH(玩家节奏2!$N88,关卡产出!$B$8:$B$207,0))*$K88</f>
        <v>624</v>
      </c>
      <c r="Z88" s="144">
        <f>INDEX(关卡产出!F$8:F$207,MATCH(玩家节奏2!$N88,关卡产出!$B$8:$B$207,0))*$K88</f>
        <v>32800</v>
      </c>
      <c r="AA88" s="126">
        <f>SUM(W$7:W88)</f>
        <v>149166</v>
      </c>
      <c r="AB88" s="126">
        <f>SUM(X$7:X88)</f>
        <v>74419</v>
      </c>
      <c r="AC88" s="126">
        <f>SUM(Y$7:Y88)</f>
        <v>36515</v>
      </c>
      <c r="AD88" s="177">
        <f>SUM(Z$7:Z88)</f>
        <v>1963130</v>
      </c>
      <c r="AE88" s="128">
        <f>INDEX(图鉴!AQ:AQ,MATCH($N88,图鉴!$S:$S,0))*34</f>
        <v>714</v>
      </c>
      <c r="AF88" s="90">
        <f>INDEX(图鉴!AR:AR,MATCH($N88,图鉴!$S:$S,0))*34</f>
        <v>510</v>
      </c>
      <c r="AG88" s="90">
        <f>INDEX(图鉴!AS:AS,MATCH($N88,图鉴!$S:$S,0))*34</f>
        <v>204</v>
      </c>
      <c r="AH88" s="129">
        <f ca="1">INDEX(图鉴!AT:AT,MATCH($N88,图鉴!$S:$S,0))*34</f>
        <v>55930</v>
      </c>
      <c r="AI88" s="128">
        <f>SUM($AE$7:AE88)</f>
        <v>56644</v>
      </c>
      <c r="AJ88" s="90">
        <f>SUM(AF$7:AF88)</f>
        <v>38352</v>
      </c>
      <c r="AK88" s="90">
        <f>SUM(AG$7:AG88)</f>
        <v>14790</v>
      </c>
      <c r="AL88" s="130">
        <f ca="1">SUM(AH$7:AH88)</f>
        <v>3756626</v>
      </c>
      <c r="AM88" s="133">
        <f>IF(M88=0,0,INDEX(关卡产出!$AU$11:$AU$15,MATCH(玩家节奏2!N88,关卡产出!$AW$11:$AW$15,1))*M88)</f>
        <v>61000</v>
      </c>
      <c r="AN88" s="126">
        <f>IF(L88=0,0,$L88*关卡产出!AU$21)</f>
        <v>16000</v>
      </c>
      <c r="AO88" s="90">
        <f>IF(M88=0,0,$L88*关卡产出!AV$21)</f>
        <v>800</v>
      </c>
      <c r="AP88" s="129">
        <f>IF(N88=0,0,$L88*关卡产出!AW$21)</f>
        <v>16</v>
      </c>
      <c r="AQ88" s="138">
        <f>SUM(AN$7:AN88)</f>
        <v>1264000</v>
      </c>
      <c r="AR88" s="126">
        <f>SUM(AO$7:AO88)</f>
        <v>63200</v>
      </c>
      <c r="AS88" s="129">
        <f>SUM(AP$7:AP88)</f>
        <v>1264</v>
      </c>
      <c r="AT88" s="128">
        <v>3000</v>
      </c>
      <c r="AU88" s="129">
        <v>600</v>
      </c>
      <c r="AV88" s="128">
        <f>SUM(AT$7:AT88)</f>
        <v>246000</v>
      </c>
      <c r="AW88" s="90">
        <f>SUM(AU$7:AU88)</f>
        <v>49200</v>
      </c>
      <c r="AY88" s="128">
        <f t="shared" si="91"/>
        <v>38500</v>
      </c>
      <c r="AZ88" s="90">
        <f t="shared" si="92"/>
        <v>63200</v>
      </c>
      <c r="BA88" s="90">
        <f t="shared" si="93"/>
        <v>49200</v>
      </c>
      <c r="BB88" s="90">
        <f t="shared" ca="1" si="127"/>
        <v>32300</v>
      </c>
      <c r="BC88" s="90">
        <f t="shared" ca="1" si="129"/>
        <v>93775</v>
      </c>
      <c r="BD88" s="90">
        <f t="shared" ca="1" si="130"/>
        <v>89425</v>
      </c>
      <c r="BE88" s="90">
        <f t="shared" ca="1" si="94"/>
        <v>183200</v>
      </c>
      <c r="BF88" s="142">
        <f t="shared" ca="1" si="75"/>
        <v>0.41055718475073316</v>
      </c>
      <c r="BG88" s="142">
        <f t="shared" ca="1" si="76"/>
        <v>0.6739536123700347</v>
      </c>
      <c r="BH88" s="142">
        <f t="shared" ca="1" si="77"/>
        <v>0.5246600906424953</v>
      </c>
      <c r="BI88" s="142">
        <f t="shared" ca="1" si="95"/>
        <v>0.34444148227139432</v>
      </c>
      <c r="BJ88" s="143"/>
      <c r="BK88" s="128">
        <f ca="1">INDEX(商城宝箱!$L:$L,MATCH(BC88,商城宝箱!$N:$N,1))</f>
        <v>11</v>
      </c>
      <c r="BL88" s="90">
        <f ca="1">_xlfn.IFNA(INDEX(商城宝箱!T:T,MATCH(玩家节奏2!$BK88,商城宝箱!$L:$L,0)),0)+($BC88-INDEX(商城宝箱!$N:$N,MATCH(玩家节奏2!$BK88,商城宝箱!$L:$L,0)))/$BK$5*INDEX(商城宝箱!E$23:E$42,MATCH(玩家节奏2!$BK88+1,商城宝箱!$C$23:$C$42,0))</f>
        <v>234437.5</v>
      </c>
      <c r="BM88" s="90">
        <f ca="1">_xlfn.IFNA(INDEX(商城宝箱!U:U,MATCH(玩家节奏2!$BK88,商城宝箱!$L:$L,0)),0)+($BC88-INDEX(商城宝箱!$N:$N,MATCH(玩家节奏2!$BK88,商城宝箱!$L:$L,0)))/$BK$5*INDEX(商城宝箱!F$23:F$42,MATCH(玩家节奏2!$BK88+1,商城宝箱!$C$23:$C$42,0))</f>
        <v>221360</v>
      </c>
      <c r="BN88" s="90">
        <f ca="1">_xlfn.IFNA(INDEX(商城宝箱!V:V,MATCH(玩家节奏2!$BK88,商城宝箱!$L:$L,0)),0)+($BC88-INDEX(商城宝箱!$N:$N,MATCH(玩家节奏2!$BK88,商城宝箱!$L:$L,0)))/$BK$5*INDEX(商城宝箱!G$23:G$42,MATCH(玩家节奏2!$BK88+1,商城宝箱!$C$23:$C$42,0))</f>
        <v>116318.25</v>
      </c>
      <c r="BO88" s="90">
        <f ca="1">_xlfn.IFNA(INDEX(商城宝箱!W:W,MATCH(玩家节奏2!$BK88,商城宝箱!$L:$L,0)),0)+($BC88-INDEX(商城宝箱!$N:$N,MATCH(玩家节奏2!$BK88,商城宝箱!$L:$L,0)))/$BK$5*INDEX(商城宝箱!H$23:H$42,MATCH(玩家节奏2!$BK88+1,商城宝箱!$C$23:$C$42,0))</f>
        <v>17634</v>
      </c>
      <c r="BQ88" s="128">
        <f t="shared" si="79"/>
        <v>11610000</v>
      </c>
      <c r="BR88" s="90">
        <f t="shared" si="80"/>
        <v>1963130</v>
      </c>
      <c r="BS88" s="90">
        <f t="shared" ca="1" si="81"/>
        <v>3756626</v>
      </c>
      <c r="BT88" s="90">
        <f t="shared" si="82"/>
        <v>61000</v>
      </c>
      <c r="BU88" s="90">
        <f t="shared" si="83"/>
        <v>1264000</v>
      </c>
      <c r="BV88" s="90">
        <f t="shared" si="84"/>
        <v>246000</v>
      </c>
      <c r="BW88" s="90">
        <f t="shared" ca="1" si="96"/>
        <v>234437.5</v>
      </c>
      <c r="BX88" s="90">
        <f t="shared" ca="1" si="97"/>
        <v>19135193.5</v>
      </c>
      <c r="BY88" s="142">
        <f t="shared" ca="1" si="74"/>
        <v>0.60673543750681169</v>
      </c>
      <c r="BZ88" s="142">
        <f t="shared" ca="1" si="74"/>
        <v>0.10259263905536152</v>
      </c>
      <c r="CA88" s="142">
        <f t="shared" ca="1" si="73"/>
        <v>0.19632025147799001</v>
      </c>
      <c r="CB88" s="142">
        <f t="shared" ca="1" si="73"/>
        <v>3.1878433839720513E-3</v>
      </c>
      <c r="CC88" s="142">
        <f t="shared" ca="1" si="73"/>
        <v>6.6056295694109396E-2</v>
      </c>
      <c r="CD88" s="142">
        <f t="shared" ca="1" si="73"/>
        <v>1.2855892991100404E-2</v>
      </c>
      <c r="CE88" s="142">
        <f t="shared" ca="1" si="73"/>
        <v>1.2251639890654881E-2</v>
      </c>
      <c r="CG88" s="128">
        <f t="shared" si="98"/>
        <v>200</v>
      </c>
      <c r="CH88" s="90">
        <f ca="1">INDEX(角色升级!$A:$A,MATCH(玩家节奏2!$BX88,角色升级!$J:$J,1))</f>
        <v>937</v>
      </c>
      <c r="CI88" s="90">
        <f ca="1">INDEX(角色升级!$O:$O,MATCH(玩家节奏2!$BX88,角色升级!$J:$J,1))</f>
        <v>78010.234610000014</v>
      </c>
      <c r="CJ88" s="90">
        <f>INDEX(关卡对比!$J:$J,MATCH(玩家节奏2!N88,关卡对比!$A:$A,0))</f>
        <v>86200</v>
      </c>
      <c r="CK88" s="147">
        <f t="shared" ca="1" si="99"/>
        <v>1.1049832170220155</v>
      </c>
      <c r="CL88" s="128">
        <f ca="1">INDEX(角色升级!$P:$P,MATCH(玩家节奏2!$CH88,角色升级!$A:$A,0))</f>
        <v>32300</v>
      </c>
      <c r="CM88" s="90">
        <f ca="1">INDEX(角色升级!Q:Q,MATCH(玩家节奏2!$CH88,角色升级!$A:$A,0))</f>
        <v>2</v>
      </c>
      <c r="CO88" s="128">
        <f t="shared" si="100"/>
        <v>78866</v>
      </c>
      <c r="CP88" s="90">
        <f t="shared" si="101"/>
        <v>149166</v>
      </c>
      <c r="CQ88" s="90">
        <f t="shared" si="102"/>
        <v>56644</v>
      </c>
      <c r="CR88" s="90">
        <f t="shared" ca="1" si="103"/>
        <v>221360</v>
      </c>
      <c r="CS88" s="90">
        <f t="shared" ca="1" si="104"/>
        <v>506036</v>
      </c>
      <c r="CT88" s="142">
        <f t="shared" ca="1" si="105"/>
        <v>0.15585057189607063</v>
      </c>
      <c r="CU88" s="142">
        <f t="shared" ca="1" si="105"/>
        <v>0.29477349437589423</v>
      </c>
      <c r="CV88" s="142">
        <f t="shared" ca="1" si="105"/>
        <v>0.11193670015572015</v>
      </c>
      <c r="CW88" s="142">
        <f t="shared" ca="1" si="105"/>
        <v>0.43743923357231501</v>
      </c>
      <c r="CY88" s="128">
        <f t="shared" si="106"/>
        <v>39434</v>
      </c>
      <c r="CZ88" s="90">
        <f t="shared" si="107"/>
        <v>74419</v>
      </c>
      <c r="DA88" s="90">
        <f t="shared" si="108"/>
        <v>38352</v>
      </c>
      <c r="DB88" s="90">
        <f t="shared" ca="1" si="128"/>
        <v>116318.25</v>
      </c>
      <c r="DC88" s="90">
        <f t="shared" ca="1" si="109"/>
        <v>268523.25</v>
      </c>
      <c r="DD88" s="142">
        <f t="shared" ca="1" si="110"/>
        <v>0.14685506748484536</v>
      </c>
      <c r="DE88" s="142">
        <f t="shared" ca="1" si="110"/>
        <v>0.27714173726111241</v>
      </c>
      <c r="DF88" s="142">
        <f t="shared" ca="1" si="110"/>
        <v>0.14282562124508771</v>
      </c>
      <c r="DG88" s="142">
        <f t="shared" ca="1" si="110"/>
        <v>0.43317757400895451</v>
      </c>
      <c r="DI88" s="128">
        <f t="shared" si="111"/>
        <v>19113</v>
      </c>
      <c r="DJ88" s="90">
        <f t="shared" si="112"/>
        <v>36515</v>
      </c>
      <c r="DK88" s="90">
        <f t="shared" si="113"/>
        <v>14790</v>
      </c>
      <c r="DL88" s="90">
        <f t="shared" ca="1" si="114"/>
        <v>17634</v>
      </c>
      <c r="DM88" s="90">
        <f t="shared" ca="1" si="115"/>
        <v>88052</v>
      </c>
      <c r="DN88" s="142">
        <f t="shared" ca="1" si="116"/>
        <v>0.21706491618589016</v>
      </c>
      <c r="DO88" s="142">
        <f t="shared" ca="1" si="116"/>
        <v>0.41469813292145552</v>
      </c>
      <c r="DP88" s="142">
        <f t="shared" ca="1" si="116"/>
        <v>0.16796892745196021</v>
      </c>
      <c r="DQ88" s="142">
        <f t="shared" ca="1" si="116"/>
        <v>0.20026802344069414</v>
      </c>
      <c r="DS88" s="128">
        <f t="shared" ca="1" si="117"/>
        <v>506036</v>
      </c>
      <c r="DT88" s="90">
        <f t="shared" ca="1" si="118"/>
        <v>268523.25</v>
      </c>
      <c r="DU88" s="90">
        <f t="shared" ca="1" si="119"/>
        <v>88052</v>
      </c>
      <c r="DV88" s="90">
        <f t="shared" si="120"/>
        <v>1264</v>
      </c>
      <c r="DW88" s="90">
        <f ca="1">_xlfn.IFNA(INDEX(武器升级消耗!$H:$H,MATCH(玩家节奏2!DS88/玩家节奏2!DS$5,武器升级消耗!M:M,1)),0)</f>
        <v>62</v>
      </c>
      <c r="DX88" s="90">
        <f ca="1">_xlfn.IFNA(INDEX(武器升级消耗!$H:$H,MATCH(玩家节奏2!DT88/玩家节奏2!DT$5,武器升级消耗!N:N,1)),0)</f>
        <v>55</v>
      </c>
      <c r="DY88" s="90">
        <f ca="1">_xlfn.IFNA(INDEX(武器升级消耗!$H:$H,MATCH(玩家节奏2!DU88/玩家节奏2!DU$5,武器升级消耗!O:O,1)),0)</f>
        <v>41</v>
      </c>
      <c r="DZ88" s="90">
        <f>_xlfn.IFNA(INDEX(武器升级消耗!$H:$H,MATCH(玩家节奏2!DV88/玩家节奏2!DV$5,武器升级消耗!P:P,1)),0)</f>
        <v>26</v>
      </c>
      <c r="EA88" s="90">
        <f ca="1">_xlfn.IFNA(INDEX(武器升级消耗!$Q:$Q,MATCH(玩家节奏2!DW88,武器升级消耗!$H:$H,0))*2*EA$4,0)</f>
        <v>7.919999999999999</v>
      </c>
      <c r="EB88" s="90">
        <f ca="1">_xlfn.IFNA(INDEX(武器升级消耗!$Q:$Q,MATCH(玩家节奏2!DX88,武器升级消耗!$H:$H,0))*2*EB$4,0)</f>
        <v>8.8500000000000014</v>
      </c>
      <c r="EC88" s="90">
        <f ca="1">_xlfn.IFNA(INDEX(武器升级消耗!$Q:$Q,MATCH(玩家节奏2!DY88,武器升级消耗!$H:$H,0))*2*EC$4,0)</f>
        <v>9.9</v>
      </c>
      <c r="ED88" s="90">
        <f>_xlfn.IFNA(INDEX(武器升级消耗!$Q:$Q,MATCH(玩家节奏2!DZ88,武器升级消耗!$H:$H,0))*2*ED$4,0)</f>
        <v>9</v>
      </c>
      <c r="EF88" s="128">
        <f t="shared" si="85"/>
        <v>0</v>
      </c>
      <c r="EG88" s="90">
        <f t="shared" si="86"/>
        <v>0</v>
      </c>
      <c r="EH88" s="90">
        <v>246</v>
      </c>
      <c r="EI88" s="90">
        <v>246</v>
      </c>
      <c r="EJ88" s="90">
        <f>_xlfn.IFNA(INDEX(皮肤宠物!$J$4:$J$13,MATCH(EF88+EH88,皮肤宠物!$L$4:$L$13,1)),0)</f>
        <v>8</v>
      </c>
      <c r="EK88" s="90">
        <f>_xlfn.IFNA(INDEX(皮肤宠物!$J$4:$J$13,MATCH(EG88+EI88,皮肤宠物!$L$4:$L$13,1)),0)</f>
        <v>8</v>
      </c>
      <c r="EL88" s="90">
        <f>_xlfn.IFNA(INDEX(皮肤宠物!$N$4:$N$13,MATCH(EF88+EH88,皮肤宠物!$L$4:$L$13,1)),1)</f>
        <v>1.9800000000000002</v>
      </c>
      <c r="EM88" s="90">
        <f>_xlfn.IFNA(INDEX(皮肤宠物!$N$4:$N$13,MATCH(EG88+EI88,皮肤宠物!$L$4:$L$13,1)),1)</f>
        <v>1.9800000000000002</v>
      </c>
      <c r="EO88" s="128">
        <v>246</v>
      </c>
      <c r="EP88" s="90">
        <v>82</v>
      </c>
      <c r="EQ88" s="90">
        <f t="shared" ca="1" si="121"/>
        <v>89425</v>
      </c>
      <c r="ER88" s="90">
        <f t="shared" si="87"/>
        <v>0</v>
      </c>
      <c r="ES88" s="90">
        <f t="shared" ca="1" si="122"/>
        <v>976.25</v>
      </c>
      <c r="ET88" s="90">
        <f ca="1">$ES88*ET$5*皮肤宠物!$J$75/4</f>
        <v>3222.6012500000002</v>
      </c>
      <c r="EU88" s="90">
        <f ca="1">$ES88*EU$5*皮肤宠物!$J$76/4</f>
        <v>537.91375000000005</v>
      </c>
      <c r="EV88" s="90">
        <f ca="1">$ES88*EV$5*皮肤宠物!$J$77/4</f>
        <v>145.70531250000002</v>
      </c>
      <c r="EW88" s="90">
        <f ca="1">_xlfn.IFNA(INDEX(皮肤宠物!$H$18:$H$67,MATCH(ET88,皮肤宠物!L$18:L$67,1)),0)</f>
        <v>20</v>
      </c>
      <c r="EX88" s="90">
        <f ca="1">_xlfn.IFNA(INDEX(皮肤宠物!$H$18:$H$67,MATCH(EU88,皮肤宠物!M$18:M$67,1)),0)</f>
        <v>15</v>
      </c>
      <c r="EY88" s="90">
        <f ca="1">_xlfn.IFNA(INDEX(皮肤宠物!$H$18:$H$67,MATCH(EV88,皮肤宠物!N$18:N$67,1)),0)</f>
        <v>11</v>
      </c>
      <c r="EZ88" s="90">
        <f ca="1">_xlfn.IFNA(INDEX(皮肤宠物!C$18:C$67,MATCH(EW88,皮肤宠物!$A$18:$A$67,0))+1,1)</f>
        <v>1.2</v>
      </c>
      <c r="FA88" s="90">
        <f ca="1">_xlfn.IFNA(INDEX(皮肤宠物!D$18:D$67,MATCH(EX88,皮肤宠物!$A$18:$A$67,0))+1,1)</f>
        <v>1.3</v>
      </c>
      <c r="FB88" s="90">
        <f ca="1">_xlfn.IFNA(INDEX(皮肤宠物!E$18:E$67,MATCH(EY88,皮肤宠物!$A$18:$A$67,0))+1,1)</f>
        <v>1.44</v>
      </c>
      <c r="FD88" s="90">
        <f t="shared" ca="1" si="123"/>
        <v>9.9</v>
      </c>
      <c r="FE88" s="90">
        <f t="shared" si="124"/>
        <v>1.9800000000000002</v>
      </c>
      <c r="FF88" s="90">
        <f t="shared" ca="1" si="125"/>
        <v>1.44</v>
      </c>
      <c r="FG88" s="90">
        <f t="shared" ca="1" si="126"/>
        <v>28.226880000000005</v>
      </c>
    </row>
    <row r="89" spans="1:163" x14ac:dyDescent="0.25">
      <c r="A89" s="123">
        <v>83</v>
      </c>
      <c r="B89" s="123">
        <f>INDEX(关卡对比!$Y:$Y,MATCH(关卡对比!Z89,关卡对比!$AA:$AA,1))</f>
        <v>55</v>
      </c>
      <c r="C89" s="124">
        <f>INDEX(关卡对比!$Y:$Y,MATCH(关卡对比!Z89,关卡对比!$AB:$AB,1))</f>
        <v>46</v>
      </c>
      <c r="D89" s="125">
        <f t="shared" si="131"/>
        <v>337.5</v>
      </c>
      <c r="E89" s="125">
        <v>2</v>
      </c>
      <c r="F89" s="128">
        <v>16</v>
      </c>
      <c r="G89" s="90">
        <v>16</v>
      </c>
      <c r="H89" s="90">
        <v>5</v>
      </c>
      <c r="J89" s="128">
        <v>83</v>
      </c>
      <c r="K89" s="90">
        <f t="shared" si="88"/>
        <v>16</v>
      </c>
      <c r="L89" s="90">
        <f t="shared" si="89"/>
        <v>16</v>
      </c>
      <c r="M89" s="90">
        <f t="shared" si="90"/>
        <v>5</v>
      </c>
      <c r="N89" s="140">
        <f>INDEX($A:$A,MATCH(SUM($K$7:K89),$D:$D,1))</f>
        <v>200</v>
      </c>
      <c r="O89" s="140">
        <v>0</v>
      </c>
      <c r="P89" s="141">
        <v>0</v>
      </c>
      <c r="Q89" s="126">
        <f>_xlfn.MAXIFS(关卡产出!X:X,关卡产出!$A:$A,玩家节奏2!$N$6,关卡产出!$B:$B,玩家节奏2!$N89)+_xlfn.MAXIFS(关卡产出!X:X,关卡产出!$A:$A,玩家节奏2!$O$6,关卡产出!$B:$B,玩家节奏2!$O89)+_xlfn.MAXIFS(关卡产出!X:X,关卡产出!$A:$A,玩家节奏2!$P$6,关卡产出!$B:$B,玩家节奏2!$P89)</f>
        <v>38500</v>
      </c>
      <c r="R89" s="90">
        <f>_xlfn.MAXIFS(关卡产出!Y:Y,关卡产出!$A:$A,玩家节奏2!$N$6,关卡产出!$B:$B,玩家节奏2!$N89)+_xlfn.MAXIFS(关卡产出!Y:Y,关卡产出!$A:$A,玩家节奏2!$O$6,关卡产出!$B:$B,玩家节奏2!$O89)+_xlfn.MAXIFS(关卡产出!Y:Y,关卡产出!$A:$A,玩家节奏2!$P$6,关卡产出!$B:$B,玩家节奏2!$P89)</f>
        <v>11610000</v>
      </c>
      <c r="S89" s="90">
        <f>_xlfn.MAXIFS(关卡产出!Z:Z,关卡产出!$A:$A,玩家节奏2!$N$6,关卡产出!$B:$B,玩家节奏2!$N89)+_xlfn.MAXIFS(关卡产出!Z:Z,关卡产出!$A:$A,玩家节奏2!$O$6,关卡产出!$B:$B,玩家节奏2!$O89)+_xlfn.MAXIFS(关卡产出!Z:Z,关卡产出!$A:$A,玩家节奏2!$P$6,关卡产出!$B:$B,玩家节奏2!$P89)</f>
        <v>78866</v>
      </c>
      <c r="T89" s="90">
        <f>_xlfn.MAXIFS(关卡产出!AA:AA,关卡产出!$A:$A,玩家节奏2!$N$6,关卡产出!$B:$B,玩家节奏2!$N89)+_xlfn.MAXIFS(关卡产出!AA:AA,关卡产出!$A:$A,玩家节奏2!$O$6,关卡产出!$B:$B,玩家节奏2!$O89)+_xlfn.MAXIFS(关卡产出!AA:AA,关卡产出!$A:$A,玩家节奏2!$P$6,关卡产出!$B:$B,玩家节奏2!$P89)</f>
        <v>39434</v>
      </c>
      <c r="U89" s="90">
        <f>_xlfn.MAXIFS(关卡产出!AB:AB,关卡产出!$A:$A,玩家节奏2!$N$6,关卡产出!$B:$B,玩家节奏2!$N89)+_xlfn.MAXIFS(关卡产出!AB:AB,关卡产出!$A:$A,玩家节奏2!$O$6,关卡产出!$B:$B,玩家节奏2!$O89)+_xlfn.MAXIFS(关卡产出!AB:AB,关卡产出!$A:$A,玩家节奏2!$P$6,关卡产出!$B:$B,玩家节奏2!$P89)</f>
        <v>19113</v>
      </c>
      <c r="V89" s="130">
        <f>_xlfn.MAXIFS(关卡产出!AC:AC,关卡产出!$A:$A,玩家节奏2!$N$6,关卡产出!$B:$B,玩家节奏2!$N89)+_xlfn.MAXIFS(关卡产出!AC:AC,关卡产出!$A:$A,玩家节奏2!$O$6,关卡产出!$B:$B,玩家节奏2!$O89)+_xlfn.MAXIFS(关卡产出!AC:AC,关卡产出!$A:$A,玩家节奏2!$P$6,关卡产出!$B:$B,玩家节奏2!$P89)</f>
        <v>1200</v>
      </c>
      <c r="W89" s="126">
        <f>INDEX(关卡产出!C$8:C$207,MATCH(玩家节奏2!$N89,关卡产出!$B$8:$B$207,0))*$K89</f>
        <v>2528</v>
      </c>
      <c r="X89" s="126">
        <f>INDEX(关卡产出!D$8:D$207,MATCH(玩家节奏2!$N89,关卡产出!$B$8:$B$207,0))*$K89</f>
        <v>1264</v>
      </c>
      <c r="Y89" s="126">
        <f>INDEX(关卡产出!E$8:E$207,MATCH(玩家节奏2!$N89,关卡产出!$B$8:$B$207,0))*$K89</f>
        <v>624</v>
      </c>
      <c r="Z89" s="144">
        <f>INDEX(关卡产出!F$8:F$207,MATCH(玩家节奏2!$N89,关卡产出!$B$8:$B$207,0))*$K89</f>
        <v>32800</v>
      </c>
      <c r="AA89" s="126">
        <f>SUM(W$7:W89)</f>
        <v>151694</v>
      </c>
      <c r="AB89" s="126">
        <f>SUM(X$7:X89)</f>
        <v>75683</v>
      </c>
      <c r="AC89" s="126">
        <f>SUM(Y$7:Y89)</f>
        <v>37139</v>
      </c>
      <c r="AD89" s="177">
        <f>SUM(Z$7:Z89)</f>
        <v>1995930</v>
      </c>
      <c r="AE89" s="128">
        <f>INDEX(图鉴!AQ:AQ,MATCH($N89,图鉴!$S:$S,0))*34</f>
        <v>714</v>
      </c>
      <c r="AF89" s="90">
        <f>INDEX(图鉴!AR:AR,MATCH($N89,图鉴!$S:$S,0))*34</f>
        <v>510</v>
      </c>
      <c r="AG89" s="90">
        <f>INDEX(图鉴!AS:AS,MATCH($N89,图鉴!$S:$S,0))*34</f>
        <v>204</v>
      </c>
      <c r="AH89" s="129">
        <f ca="1">INDEX(图鉴!AT:AT,MATCH($N89,图鉴!$S:$S,0))*34</f>
        <v>55930</v>
      </c>
      <c r="AI89" s="128">
        <f>SUM($AE$7:AE89)</f>
        <v>57358</v>
      </c>
      <c r="AJ89" s="90">
        <f>SUM(AF$7:AF89)</f>
        <v>38862</v>
      </c>
      <c r="AK89" s="90">
        <f>SUM(AG$7:AG89)</f>
        <v>14994</v>
      </c>
      <c r="AL89" s="130">
        <f ca="1">SUM(AH$7:AH89)</f>
        <v>3812556</v>
      </c>
      <c r="AM89" s="133">
        <f>IF(M89=0,0,INDEX(关卡产出!$AU$11:$AU$15,MATCH(玩家节奏2!N89,关卡产出!$AW$11:$AW$15,1))*M89)</f>
        <v>61000</v>
      </c>
      <c r="AN89" s="126">
        <f>IF(L89=0,0,$L89*关卡产出!AU$21)</f>
        <v>16000</v>
      </c>
      <c r="AO89" s="90">
        <f>IF(M89=0,0,$L89*关卡产出!AV$21)</f>
        <v>800</v>
      </c>
      <c r="AP89" s="129">
        <f>IF(N89=0,0,$L89*关卡产出!AW$21)</f>
        <v>16</v>
      </c>
      <c r="AQ89" s="138">
        <f>SUM(AN$7:AN89)</f>
        <v>1280000</v>
      </c>
      <c r="AR89" s="126">
        <f>SUM(AO$7:AO89)</f>
        <v>64000</v>
      </c>
      <c r="AS89" s="129">
        <f>SUM(AP$7:AP89)</f>
        <v>1280</v>
      </c>
      <c r="AT89" s="128">
        <v>3000</v>
      </c>
      <c r="AU89" s="129">
        <v>600</v>
      </c>
      <c r="AV89" s="128">
        <f>SUM(AT$7:AT89)</f>
        <v>249000</v>
      </c>
      <c r="AW89" s="90">
        <f>SUM(AU$7:AU89)</f>
        <v>49800</v>
      </c>
      <c r="AY89" s="128">
        <f t="shared" si="91"/>
        <v>38500</v>
      </c>
      <c r="AZ89" s="90">
        <f t="shared" si="92"/>
        <v>64000</v>
      </c>
      <c r="BA89" s="90">
        <f t="shared" si="93"/>
        <v>49800</v>
      </c>
      <c r="BB89" s="90">
        <f t="shared" ca="1" si="127"/>
        <v>32300</v>
      </c>
      <c r="BC89" s="90">
        <f t="shared" ca="1" si="129"/>
        <v>94475</v>
      </c>
      <c r="BD89" s="90">
        <f t="shared" ca="1" si="130"/>
        <v>90125</v>
      </c>
      <c r="BE89" s="90">
        <f t="shared" ca="1" si="94"/>
        <v>184600</v>
      </c>
      <c r="BF89" s="142">
        <f t="shared" ca="1" si="75"/>
        <v>0.40751521566551996</v>
      </c>
      <c r="BG89" s="142">
        <f t="shared" ca="1" si="76"/>
        <v>0.67742789097644884</v>
      </c>
      <c r="BH89" s="142">
        <f t="shared" ca="1" si="77"/>
        <v>0.52712357766604923</v>
      </c>
      <c r="BI89" s="142">
        <f t="shared" ca="1" si="95"/>
        <v>0.3418893887271765</v>
      </c>
      <c r="BJ89" s="143"/>
      <c r="BK89" s="128">
        <f ca="1">INDEX(商城宝箱!$L:$L,MATCH(BC89,商城宝箱!$N:$N,1))</f>
        <v>11</v>
      </c>
      <c r="BL89" s="90">
        <f ca="1">_xlfn.IFNA(INDEX(商城宝箱!T:T,MATCH(玩家节奏2!$BK89,商城宝箱!$L:$L,0)),0)+($BC89-INDEX(商城宝箱!$N:$N,MATCH(玩家节奏2!$BK89,商城宝箱!$L:$L,0)))/$BK$5*INDEX(商城宝箱!E$23:E$42,MATCH(玩家节奏2!$BK89+1,商城宝箱!$C$23:$C$42,0))</f>
        <v>236187.5</v>
      </c>
      <c r="BM89" s="90">
        <f ca="1">_xlfn.IFNA(INDEX(商城宝箱!U:U,MATCH(玩家节奏2!$BK89,商城宝箱!$L:$L,0)),0)+($BC89-INDEX(商城宝箱!$N:$N,MATCH(玩家节奏2!$BK89,商城宝箱!$L:$L,0)))/$BK$5*INDEX(商城宝箱!F$23:F$42,MATCH(玩家节奏2!$BK89+1,商城宝箱!$C$23:$C$42,0))</f>
        <v>223950</v>
      </c>
      <c r="BN89" s="90">
        <f ca="1">_xlfn.IFNA(INDEX(商城宝箱!V:V,MATCH(玩家节奏2!$BK89,商城宝箱!$L:$L,0)),0)+($BC89-INDEX(商城宝箱!$N:$N,MATCH(玩家节奏2!$BK89,商城宝箱!$L:$L,0)))/$BK$5*INDEX(商城宝箱!G$23:G$42,MATCH(玩家节奏2!$BK89+1,商城宝箱!$C$23:$C$42,0))</f>
        <v>117543.25</v>
      </c>
      <c r="BO89" s="90">
        <f ca="1">_xlfn.IFNA(INDEX(商城宝箱!W:W,MATCH(玩家节奏2!$BK89,商城宝箱!$L:$L,0)),0)+($BC89-INDEX(商城宝箱!$N:$N,MATCH(玩家节奏2!$BK89,商城宝箱!$L:$L,0)))/$BK$5*INDEX(商城宝箱!H$23:H$42,MATCH(玩家节奏2!$BK89+1,商城宝箱!$C$23:$C$42,0))</f>
        <v>17844</v>
      </c>
      <c r="BQ89" s="128">
        <f t="shared" si="79"/>
        <v>11610000</v>
      </c>
      <c r="BR89" s="90">
        <f t="shared" si="80"/>
        <v>1995930</v>
      </c>
      <c r="BS89" s="90">
        <f t="shared" ca="1" si="81"/>
        <v>3812556</v>
      </c>
      <c r="BT89" s="90">
        <f t="shared" si="82"/>
        <v>61000</v>
      </c>
      <c r="BU89" s="90">
        <f t="shared" si="83"/>
        <v>1280000</v>
      </c>
      <c r="BV89" s="90">
        <f t="shared" si="84"/>
        <v>249000</v>
      </c>
      <c r="BW89" s="90">
        <f t="shared" ca="1" si="96"/>
        <v>236187.5</v>
      </c>
      <c r="BX89" s="90">
        <f t="shared" ca="1" si="97"/>
        <v>19244673.5</v>
      </c>
      <c r="BY89" s="142">
        <f t="shared" ca="1" si="74"/>
        <v>0.60328381253129604</v>
      </c>
      <c r="BZ89" s="142">
        <f t="shared" ca="1" si="74"/>
        <v>0.10371337294966319</v>
      </c>
      <c r="CA89" s="142">
        <f t="shared" ca="1" si="73"/>
        <v>0.19810967434703425</v>
      </c>
      <c r="CB89" s="142">
        <f t="shared" ca="1" si="73"/>
        <v>3.1697082312152503E-3</v>
      </c>
      <c r="CC89" s="142">
        <f t="shared" ca="1" si="73"/>
        <v>6.6511910425500337E-2</v>
      </c>
      <c r="CD89" s="142">
        <f t="shared" ca="1" si="73"/>
        <v>1.2938645074960611E-2</v>
      </c>
      <c r="CE89" s="142">
        <f t="shared" ca="1" si="73"/>
        <v>1.2272876440330359E-2</v>
      </c>
      <c r="CG89" s="128">
        <f t="shared" si="98"/>
        <v>200</v>
      </c>
      <c r="CH89" s="90">
        <f ca="1">INDEX(角色升级!$A:$A,MATCH(玩家节奏2!$BX89,角色升级!$J:$J,1))</f>
        <v>939</v>
      </c>
      <c r="CI89" s="90">
        <f ca="1">INDEX(角色升级!$O:$O,MATCH(玩家节奏2!$BX89,角色升级!$J:$J,1))</f>
        <v>78977.428530000005</v>
      </c>
      <c r="CJ89" s="90">
        <f>INDEX(关卡对比!$J:$J,MATCH(玩家节奏2!N89,关卡对比!$A:$A,0))</f>
        <v>86200</v>
      </c>
      <c r="CK89" s="147">
        <f t="shared" ca="1" si="99"/>
        <v>1.0914510842456266</v>
      </c>
      <c r="CL89" s="128">
        <f ca="1">INDEX(角色升级!$P:$P,MATCH(玩家节奏2!$CH89,角色升级!$A:$A,0))</f>
        <v>32300</v>
      </c>
      <c r="CM89" s="90">
        <f ca="1">INDEX(角色升级!Q:Q,MATCH(玩家节奏2!$CH89,角色升级!$A:$A,0))</f>
        <v>2</v>
      </c>
      <c r="CO89" s="128">
        <f t="shared" si="100"/>
        <v>78866</v>
      </c>
      <c r="CP89" s="90">
        <f t="shared" si="101"/>
        <v>151694</v>
      </c>
      <c r="CQ89" s="90">
        <f t="shared" si="102"/>
        <v>57358</v>
      </c>
      <c r="CR89" s="90">
        <f t="shared" ca="1" si="103"/>
        <v>223950</v>
      </c>
      <c r="CS89" s="90">
        <f t="shared" ca="1" si="104"/>
        <v>511868</v>
      </c>
      <c r="CT89" s="142">
        <f t="shared" ca="1" si="105"/>
        <v>0.1540748786796596</v>
      </c>
      <c r="CU89" s="142">
        <f t="shared" ca="1" si="105"/>
        <v>0.29635374745051457</v>
      </c>
      <c r="CV89" s="142">
        <f t="shared" ca="1" si="105"/>
        <v>0.11205623324763415</v>
      </c>
      <c r="CW89" s="142">
        <f t="shared" ca="1" si="105"/>
        <v>0.43751514062219166</v>
      </c>
      <c r="CY89" s="128">
        <f t="shared" si="106"/>
        <v>39434</v>
      </c>
      <c r="CZ89" s="90">
        <f t="shared" si="107"/>
        <v>75683</v>
      </c>
      <c r="DA89" s="90">
        <f t="shared" si="108"/>
        <v>38862</v>
      </c>
      <c r="DB89" s="90">
        <f t="shared" ca="1" si="128"/>
        <v>117543.25</v>
      </c>
      <c r="DC89" s="90">
        <f t="shared" ca="1" si="109"/>
        <v>271522.25</v>
      </c>
      <c r="DD89" s="142">
        <f t="shared" ca="1" si="110"/>
        <v>0.14523303338860813</v>
      </c>
      <c r="DE89" s="142">
        <f t="shared" ca="1" si="110"/>
        <v>0.27873590470025938</v>
      </c>
      <c r="DF89" s="142">
        <f t="shared" ca="1" si="110"/>
        <v>0.14312639203601177</v>
      </c>
      <c r="DG89" s="142">
        <f t="shared" ca="1" si="110"/>
        <v>0.43290466987512072</v>
      </c>
      <c r="DI89" s="128">
        <f t="shared" si="111"/>
        <v>19113</v>
      </c>
      <c r="DJ89" s="90">
        <f t="shared" si="112"/>
        <v>37139</v>
      </c>
      <c r="DK89" s="90">
        <f t="shared" si="113"/>
        <v>14994</v>
      </c>
      <c r="DL89" s="90">
        <f t="shared" ca="1" si="114"/>
        <v>17844</v>
      </c>
      <c r="DM89" s="90">
        <f t="shared" ca="1" si="115"/>
        <v>89090</v>
      </c>
      <c r="DN89" s="142">
        <f t="shared" ca="1" si="116"/>
        <v>0.21453586261084298</v>
      </c>
      <c r="DO89" s="142">
        <f t="shared" ca="1" si="116"/>
        <v>0.41687058031204399</v>
      </c>
      <c r="DP89" s="142">
        <f t="shared" ca="1" si="116"/>
        <v>0.16830171736446289</v>
      </c>
      <c r="DQ89" s="142">
        <f t="shared" ca="1" si="116"/>
        <v>0.20029183971265013</v>
      </c>
      <c r="DS89" s="128">
        <f t="shared" ca="1" si="117"/>
        <v>511868</v>
      </c>
      <c r="DT89" s="90">
        <f t="shared" ca="1" si="118"/>
        <v>271522.25</v>
      </c>
      <c r="DU89" s="90">
        <f t="shared" ca="1" si="119"/>
        <v>89090</v>
      </c>
      <c r="DV89" s="90">
        <f t="shared" si="120"/>
        <v>1280</v>
      </c>
      <c r="DW89" s="90">
        <f ca="1">_xlfn.IFNA(INDEX(武器升级消耗!$H:$H,MATCH(玩家节奏2!DS89/玩家节奏2!DS$5,武器升级消耗!M:M,1)),0)</f>
        <v>62</v>
      </c>
      <c r="DX89" s="90">
        <f ca="1">_xlfn.IFNA(INDEX(武器升级消耗!$H:$H,MATCH(玩家节奏2!DT89/玩家节奏2!DT$5,武器升级消耗!N:N,1)),0)</f>
        <v>55</v>
      </c>
      <c r="DY89" s="90">
        <f ca="1">_xlfn.IFNA(INDEX(武器升级消耗!$H:$H,MATCH(玩家节奏2!DU89/玩家节奏2!DU$5,武器升级消耗!O:O,1)),0)</f>
        <v>41</v>
      </c>
      <c r="DZ89" s="90">
        <f>_xlfn.IFNA(INDEX(武器升级消耗!$H:$H,MATCH(玩家节奏2!DV89/玩家节奏2!DV$5,武器升级消耗!P:P,1)),0)</f>
        <v>26</v>
      </c>
      <c r="EA89" s="90">
        <f ca="1">_xlfn.IFNA(INDEX(武器升级消耗!$Q:$Q,MATCH(玩家节奏2!DW89,武器升级消耗!$H:$H,0))*2*EA$4,0)</f>
        <v>7.919999999999999</v>
      </c>
      <c r="EB89" s="90">
        <f ca="1">_xlfn.IFNA(INDEX(武器升级消耗!$Q:$Q,MATCH(玩家节奏2!DX89,武器升级消耗!$H:$H,0))*2*EB$4,0)</f>
        <v>8.8500000000000014</v>
      </c>
      <c r="EC89" s="90">
        <f ca="1">_xlfn.IFNA(INDEX(武器升级消耗!$Q:$Q,MATCH(玩家节奏2!DY89,武器升级消耗!$H:$H,0))*2*EC$4,0)</f>
        <v>9.9</v>
      </c>
      <c r="ED89" s="90">
        <f>_xlfn.IFNA(INDEX(武器升级消耗!$Q:$Q,MATCH(玩家节奏2!DZ89,武器升级消耗!$H:$H,0))*2*ED$4,0)</f>
        <v>9</v>
      </c>
      <c r="EF89" s="128">
        <f t="shared" si="85"/>
        <v>0</v>
      </c>
      <c r="EG89" s="90">
        <f t="shared" si="86"/>
        <v>0</v>
      </c>
      <c r="EH89" s="90">
        <v>249</v>
      </c>
      <c r="EI89" s="90">
        <v>249</v>
      </c>
      <c r="EJ89" s="90">
        <f>_xlfn.IFNA(INDEX(皮肤宠物!$J$4:$J$13,MATCH(EF89+EH89,皮肤宠物!$L$4:$L$13,1)),0)</f>
        <v>8</v>
      </c>
      <c r="EK89" s="90">
        <f>_xlfn.IFNA(INDEX(皮肤宠物!$J$4:$J$13,MATCH(EG89+EI89,皮肤宠物!$L$4:$L$13,1)),0)</f>
        <v>8</v>
      </c>
      <c r="EL89" s="90">
        <f>_xlfn.IFNA(INDEX(皮肤宠物!$N$4:$N$13,MATCH(EF89+EH89,皮肤宠物!$L$4:$L$13,1)),1)</f>
        <v>1.9800000000000002</v>
      </c>
      <c r="EM89" s="90">
        <f>_xlfn.IFNA(INDEX(皮肤宠物!$N$4:$N$13,MATCH(EG89+EI89,皮肤宠物!$L$4:$L$13,1)),1)</f>
        <v>1.9800000000000002</v>
      </c>
      <c r="EO89" s="128">
        <v>249</v>
      </c>
      <c r="EP89" s="90">
        <v>83</v>
      </c>
      <c r="EQ89" s="90">
        <f t="shared" ca="1" si="121"/>
        <v>90125</v>
      </c>
      <c r="ER89" s="90">
        <f t="shared" si="87"/>
        <v>0</v>
      </c>
      <c r="ES89" s="90">
        <f t="shared" ca="1" si="122"/>
        <v>984.25</v>
      </c>
      <c r="ET89" s="90">
        <f ca="1">$ES89*ET$5*皮肤宠物!$J$75/4</f>
        <v>3249.0092500000001</v>
      </c>
      <c r="EU89" s="90">
        <f ca="1">$ES89*EU$5*皮肤宠物!$J$76/4</f>
        <v>542.32175000000007</v>
      </c>
      <c r="EV89" s="90">
        <f ca="1">$ES89*EV$5*皮肤宠物!$J$77/4</f>
        <v>146.89931250000001</v>
      </c>
      <c r="EW89" s="90">
        <f ca="1">_xlfn.IFNA(INDEX(皮肤宠物!$H$18:$H$67,MATCH(ET89,皮肤宠物!L$18:L$67,1)),0)</f>
        <v>20</v>
      </c>
      <c r="EX89" s="90">
        <f ca="1">_xlfn.IFNA(INDEX(皮肤宠物!$H$18:$H$67,MATCH(EU89,皮肤宠物!M$18:M$67,1)),0)</f>
        <v>15</v>
      </c>
      <c r="EY89" s="90">
        <f ca="1">_xlfn.IFNA(INDEX(皮肤宠物!$H$18:$H$67,MATCH(EV89,皮肤宠物!N$18:N$67,1)),0)</f>
        <v>11</v>
      </c>
      <c r="EZ89" s="90">
        <f ca="1">_xlfn.IFNA(INDEX(皮肤宠物!C$18:C$67,MATCH(EW89,皮肤宠物!$A$18:$A$67,0))+1,1)</f>
        <v>1.2</v>
      </c>
      <c r="FA89" s="90">
        <f ca="1">_xlfn.IFNA(INDEX(皮肤宠物!D$18:D$67,MATCH(EX89,皮肤宠物!$A$18:$A$67,0))+1,1)</f>
        <v>1.3</v>
      </c>
      <c r="FB89" s="90">
        <f ca="1">_xlfn.IFNA(INDEX(皮肤宠物!E$18:E$67,MATCH(EY89,皮肤宠物!$A$18:$A$67,0))+1,1)</f>
        <v>1.44</v>
      </c>
      <c r="FD89" s="90">
        <f t="shared" ca="1" si="123"/>
        <v>9.9</v>
      </c>
      <c r="FE89" s="90">
        <f t="shared" si="124"/>
        <v>1.9800000000000002</v>
      </c>
      <c r="FF89" s="90">
        <f t="shared" ca="1" si="125"/>
        <v>1.44</v>
      </c>
      <c r="FG89" s="90">
        <f t="shared" ca="1" si="126"/>
        <v>28.226880000000005</v>
      </c>
    </row>
    <row r="90" spans="1:163" x14ac:dyDescent="0.25">
      <c r="A90" s="123">
        <v>84</v>
      </c>
      <c r="B90" s="123">
        <f>INDEX(关卡对比!$Y:$Y,MATCH(关卡对比!Z90,关卡对比!$AA:$AA,1))</f>
        <v>55</v>
      </c>
      <c r="C90" s="124">
        <f>INDEX(关卡对比!$Y:$Y,MATCH(关卡对比!Z90,关卡对比!$AB:$AB,1))</f>
        <v>46</v>
      </c>
      <c r="D90" s="125">
        <f t="shared" si="131"/>
        <v>339.5</v>
      </c>
      <c r="E90" s="125">
        <v>2</v>
      </c>
      <c r="F90" s="128">
        <v>16</v>
      </c>
      <c r="G90" s="90">
        <v>16</v>
      </c>
      <c r="H90" s="90">
        <v>5</v>
      </c>
      <c r="J90" s="128">
        <v>84</v>
      </c>
      <c r="K90" s="90">
        <f t="shared" si="88"/>
        <v>16</v>
      </c>
      <c r="L90" s="90">
        <f t="shared" si="89"/>
        <v>16</v>
      </c>
      <c r="M90" s="90">
        <f t="shared" si="90"/>
        <v>5</v>
      </c>
      <c r="N90" s="140">
        <f>INDEX($A:$A,MATCH(SUM($K$7:K90),$D:$D,1))</f>
        <v>200</v>
      </c>
      <c r="O90" s="140">
        <v>0</v>
      </c>
      <c r="P90" s="141">
        <v>0</v>
      </c>
      <c r="Q90" s="126">
        <f>_xlfn.MAXIFS(关卡产出!X:X,关卡产出!$A:$A,玩家节奏2!$N$6,关卡产出!$B:$B,玩家节奏2!$N90)+_xlfn.MAXIFS(关卡产出!X:X,关卡产出!$A:$A,玩家节奏2!$O$6,关卡产出!$B:$B,玩家节奏2!$O90)+_xlfn.MAXIFS(关卡产出!X:X,关卡产出!$A:$A,玩家节奏2!$P$6,关卡产出!$B:$B,玩家节奏2!$P90)</f>
        <v>38500</v>
      </c>
      <c r="R90" s="90">
        <f>_xlfn.MAXIFS(关卡产出!Y:Y,关卡产出!$A:$A,玩家节奏2!$N$6,关卡产出!$B:$B,玩家节奏2!$N90)+_xlfn.MAXIFS(关卡产出!Y:Y,关卡产出!$A:$A,玩家节奏2!$O$6,关卡产出!$B:$B,玩家节奏2!$O90)+_xlfn.MAXIFS(关卡产出!Y:Y,关卡产出!$A:$A,玩家节奏2!$P$6,关卡产出!$B:$B,玩家节奏2!$P90)</f>
        <v>11610000</v>
      </c>
      <c r="S90" s="90">
        <f>_xlfn.MAXIFS(关卡产出!Z:Z,关卡产出!$A:$A,玩家节奏2!$N$6,关卡产出!$B:$B,玩家节奏2!$N90)+_xlfn.MAXIFS(关卡产出!Z:Z,关卡产出!$A:$A,玩家节奏2!$O$6,关卡产出!$B:$B,玩家节奏2!$O90)+_xlfn.MAXIFS(关卡产出!Z:Z,关卡产出!$A:$A,玩家节奏2!$P$6,关卡产出!$B:$B,玩家节奏2!$P90)</f>
        <v>78866</v>
      </c>
      <c r="T90" s="90">
        <f>_xlfn.MAXIFS(关卡产出!AA:AA,关卡产出!$A:$A,玩家节奏2!$N$6,关卡产出!$B:$B,玩家节奏2!$N90)+_xlfn.MAXIFS(关卡产出!AA:AA,关卡产出!$A:$A,玩家节奏2!$O$6,关卡产出!$B:$B,玩家节奏2!$O90)+_xlfn.MAXIFS(关卡产出!AA:AA,关卡产出!$A:$A,玩家节奏2!$P$6,关卡产出!$B:$B,玩家节奏2!$P90)</f>
        <v>39434</v>
      </c>
      <c r="U90" s="90">
        <f>_xlfn.MAXIFS(关卡产出!AB:AB,关卡产出!$A:$A,玩家节奏2!$N$6,关卡产出!$B:$B,玩家节奏2!$N90)+_xlfn.MAXIFS(关卡产出!AB:AB,关卡产出!$A:$A,玩家节奏2!$O$6,关卡产出!$B:$B,玩家节奏2!$O90)+_xlfn.MAXIFS(关卡产出!AB:AB,关卡产出!$A:$A,玩家节奏2!$P$6,关卡产出!$B:$B,玩家节奏2!$P90)</f>
        <v>19113</v>
      </c>
      <c r="V90" s="130">
        <f>_xlfn.MAXIFS(关卡产出!AC:AC,关卡产出!$A:$A,玩家节奏2!$N$6,关卡产出!$B:$B,玩家节奏2!$N90)+_xlfn.MAXIFS(关卡产出!AC:AC,关卡产出!$A:$A,玩家节奏2!$O$6,关卡产出!$B:$B,玩家节奏2!$O90)+_xlfn.MAXIFS(关卡产出!AC:AC,关卡产出!$A:$A,玩家节奏2!$P$6,关卡产出!$B:$B,玩家节奏2!$P90)</f>
        <v>1200</v>
      </c>
      <c r="W90" s="126">
        <f>INDEX(关卡产出!C$8:C$207,MATCH(玩家节奏2!$N90,关卡产出!$B$8:$B$207,0))*$K90</f>
        <v>2528</v>
      </c>
      <c r="X90" s="126">
        <f>INDEX(关卡产出!D$8:D$207,MATCH(玩家节奏2!$N90,关卡产出!$B$8:$B$207,0))*$K90</f>
        <v>1264</v>
      </c>
      <c r="Y90" s="126">
        <f>INDEX(关卡产出!E$8:E$207,MATCH(玩家节奏2!$N90,关卡产出!$B$8:$B$207,0))*$K90</f>
        <v>624</v>
      </c>
      <c r="Z90" s="144">
        <f>INDEX(关卡产出!F$8:F$207,MATCH(玩家节奏2!$N90,关卡产出!$B$8:$B$207,0))*$K90</f>
        <v>32800</v>
      </c>
      <c r="AA90" s="126">
        <f>SUM(W$7:W90)</f>
        <v>154222</v>
      </c>
      <c r="AB90" s="126">
        <f>SUM(X$7:X90)</f>
        <v>76947</v>
      </c>
      <c r="AC90" s="126">
        <f>SUM(Y$7:Y90)</f>
        <v>37763</v>
      </c>
      <c r="AD90" s="177">
        <f>SUM(Z$7:Z90)</f>
        <v>2028730</v>
      </c>
      <c r="AE90" s="128">
        <f>INDEX(图鉴!AQ:AQ,MATCH($N90,图鉴!$S:$S,0))*34</f>
        <v>714</v>
      </c>
      <c r="AF90" s="90">
        <f>INDEX(图鉴!AR:AR,MATCH($N90,图鉴!$S:$S,0))*34</f>
        <v>510</v>
      </c>
      <c r="AG90" s="90">
        <f>INDEX(图鉴!AS:AS,MATCH($N90,图鉴!$S:$S,0))*34</f>
        <v>204</v>
      </c>
      <c r="AH90" s="129">
        <f ca="1">INDEX(图鉴!AT:AT,MATCH($N90,图鉴!$S:$S,0))*34</f>
        <v>55930</v>
      </c>
      <c r="AI90" s="128">
        <f>SUM($AE$7:AE90)</f>
        <v>58072</v>
      </c>
      <c r="AJ90" s="90">
        <f>SUM(AF$7:AF90)</f>
        <v>39372</v>
      </c>
      <c r="AK90" s="90">
        <f>SUM(AG$7:AG90)</f>
        <v>15198</v>
      </c>
      <c r="AL90" s="130">
        <f ca="1">SUM(AH$7:AH90)</f>
        <v>3868486</v>
      </c>
      <c r="AM90" s="133">
        <f>IF(M90=0,0,INDEX(关卡产出!$AU$11:$AU$15,MATCH(玩家节奏2!N90,关卡产出!$AW$11:$AW$15,1))*M90)</f>
        <v>61000</v>
      </c>
      <c r="AN90" s="126">
        <f>IF(L90=0,0,$L90*关卡产出!AU$21)</f>
        <v>16000</v>
      </c>
      <c r="AO90" s="90">
        <f>IF(M90=0,0,$L90*关卡产出!AV$21)</f>
        <v>800</v>
      </c>
      <c r="AP90" s="129">
        <f>IF(N90=0,0,$L90*关卡产出!AW$21)</f>
        <v>16</v>
      </c>
      <c r="AQ90" s="138">
        <f>SUM(AN$7:AN90)</f>
        <v>1296000</v>
      </c>
      <c r="AR90" s="126">
        <f>SUM(AO$7:AO90)</f>
        <v>64800</v>
      </c>
      <c r="AS90" s="129">
        <f>SUM(AP$7:AP90)</f>
        <v>1296</v>
      </c>
      <c r="AT90" s="128">
        <v>3000</v>
      </c>
      <c r="AU90" s="129">
        <v>600</v>
      </c>
      <c r="AV90" s="128">
        <f>SUM(AT$7:AT90)</f>
        <v>252000</v>
      </c>
      <c r="AW90" s="90">
        <f>SUM(AU$7:AU90)</f>
        <v>50400</v>
      </c>
      <c r="AY90" s="128">
        <f t="shared" si="91"/>
        <v>38500</v>
      </c>
      <c r="AZ90" s="90">
        <f t="shared" si="92"/>
        <v>64800</v>
      </c>
      <c r="BA90" s="90">
        <f t="shared" si="93"/>
        <v>50400</v>
      </c>
      <c r="BB90" s="90">
        <f t="shared" ca="1" si="127"/>
        <v>32300</v>
      </c>
      <c r="BC90" s="90">
        <f t="shared" ca="1" si="129"/>
        <v>95175</v>
      </c>
      <c r="BD90" s="90">
        <f t="shared" ca="1" si="130"/>
        <v>90825</v>
      </c>
      <c r="BE90" s="90">
        <f t="shared" ca="1" si="94"/>
        <v>186000</v>
      </c>
      <c r="BF90" s="142">
        <f t="shared" ca="1" si="75"/>
        <v>0.40451799317047543</v>
      </c>
      <c r="BG90" s="142">
        <f t="shared" ca="1" si="76"/>
        <v>0.68085106382978722</v>
      </c>
      <c r="BH90" s="142">
        <f t="shared" ca="1" si="77"/>
        <v>0.52955082742316784</v>
      </c>
      <c r="BI90" s="142">
        <f t="shared" ca="1" si="95"/>
        <v>0.33937483582873657</v>
      </c>
      <c r="BJ90" s="143"/>
      <c r="BK90" s="128">
        <f ca="1">INDEX(商城宝箱!$L:$L,MATCH(BC90,商城宝箱!$N:$N,1))</f>
        <v>11</v>
      </c>
      <c r="BL90" s="90">
        <f ca="1">_xlfn.IFNA(INDEX(商城宝箱!T:T,MATCH(玩家节奏2!$BK90,商城宝箱!$L:$L,0)),0)+($BC90-INDEX(商城宝箱!$N:$N,MATCH(玩家节奏2!$BK90,商城宝箱!$L:$L,0)))/$BK$5*INDEX(商城宝箱!E$23:E$42,MATCH(玩家节奏2!$BK90+1,商城宝箱!$C$23:$C$42,0))</f>
        <v>237937.5</v>
      </c>
      <c r="BM90" s="90">
        <f ca="1">_xlfn.IFNA(INDEX(商城宝箱!U:U,MATCH(玩家节奏2!$BK90,商城宝箱!$L:$L,0)),0)+($BC90-INDEX(商城宝箱!$N:$N,MATCH(玩家节奏2!$BK90,商城宝箱!$L:$L,0)))/$BK$5*INDEX(商城宝箱!F$23:F$42,MATCH(玩家节奏2!$BK90+1,商城宝箱!$C$23:$C$42,0))</f>
        <v>226540</v>
      </c>
      <c r="BN90" s="90">
        <f ca="1">_xlfn.IFNA(INDEX(商城宝箱!V:V,MATCH(玩家节奏2!$BK90,商城宝箱!$L:$L,0)),0)+($BC90-INDEX(商城宝箱!$N:$N,MATCH(玩家节奏2!$BK90,商城宝箱!$L:$L,0)))/$BK$5*INDEX(商城宝箱!G$23:G$42,MATCH(玩家节奏2!$BK90+1,商城宝箱!$C$23:$C$42,0))</f>
        <v>118768.25</v>
      </c>
      <c r="BO90" s="90">
        <f ca="1">_xlfn.IFNA(INDEX(商城宝箱!W:W,MATCH(玩家节奏2!$BK90,商城宝箱!$L:$L,0)),0)+($BC90-INDEX(商城宝箱!$N:$N,MATCH(玩家节奏2!$BK90,商城宝箱!$L:$L,0)))/$BK$5*INDEX(商城宝箱!H$23:H$42,MATCH(玩家节奏2!$BK90+1,商城宝箱!$C$23:$C$42,0))</f>
        <v>18054</v>
      </c>
      <c r="BQ90" s="128">
        <f t="shared" si="79"/>
        <v>11610000</v>
      </c>
      <c r="BR90" s="90">
        <f t="shared" si="80"/>
        <v>2028730</v>
      </c>
      <c r="BS90" s="90">
        <f t="shared" ca="1" si="81"/>
        <v>3868486</v>
      </c>
      <c r="BT90" s="90">
        <f t="shared" si="82"/>
        <v>61000</v>
      </c>
      <c r="BU90" s="90">
        <f t="shared" si="83"/>
        <v>1296000</v>
      </c>
      <c r="BV90" s="90">
        <f t="shared" si="84"/>
        <v>252000</v>
      </c>
      <c r="BW90" s="90">
        <f t="shared" ca="1" si="96"/>
        <v>237937.5</v>
      </c>
      <c r="BX90" s="90">
        <f t="shared" ca="1" si="97"/>
        <v>19354153.5</v>
      </c>
      <c r="BY90" s="142">
        <f t="shared" ca="1" si="74"/>
        <v>0.59987123694146582</v>
      </c>
      <c r="BZ90" s="142">
        <f t="shared" ca="1" si="74"/>
        <v>0.10482142760725753</v>
      </c>
      <c r="CA90" s="142">
        <f t="shared" ca="1" si="73"/>
        <v>0.19987885287775567</v>
      </c>
      <c r="CB90" s="142">
        <f t="shared" ca="1" si="73"/>
        <v>3.1517782474960736E-3</v>
      </c>
      <c r="CC90" s="142">
        <f t="shared" ca="1" si="73"/>
        <v>6.6962370635326424E-2</v>
      </c>
      <c r="CD90" s="142">
        <f t="shared" ca="1" si="73"/>
        <v>1.3020460956869026E-2</v>
      </c>
      <c r="CE90" s="142">
        <f t="shared" ca="1" si="73"/>
        <v>1.229387273382946E-2</v>
      </c>
      <c r="CG90" s="128">
        <f t="shared" si="98"/>
        <v>200</v>
      </c>
      <c r="CH90" s="90">
        <f ca="1">INDEX(角色升级!$A:$A,MATCH(玩家节奏2!$BX90,角色升级!$J:$J,1))</f>
        <v>941</v>
      </c>
      <c r="CI90" s="90">
        <f ca="1">INDEX(角色升级!$O:$O,MATCH(玩家节奏2!$BX90,角色升级!$J:$J,1))</f>
        <v>79521.729099999997</v>
      </c>
      <c r="CJ90" s="90">
        <f>INDEX(关卡对比!$J:$J,MATCH(玩家节奏2!N90,关卡对比!$A:$A,0))</f>
        <v>86200</v>
      </c>
      <c r="CK90" s="147">
        <f t="shared" ca="1" si="99"/>
        <v>1.0839804538405089</v>
      </c>
      <c r="CL90" s="128">
        <f ca="1">INDEX(角色升级!$P:$P,MATCH(玩家节奏2!$CH90,角色升级!$A:$A,0))</f>
        <v>35000</v>
      </c>
      <c r="CM90" s="90">
        <f ca="1">INDEX(角色升级!Q:Q,MATCH(玩家节奏2!$CH90,角色升级!$A:$A,0))</f>
        <v>2</v>
      </c>
      <c r="CO90" s="128">
        <f t="shared" si="100"/>
        <v>78866</v>
      </c>
      <c r="CP90" s="90">
        <f t="shared" si="101"/>
        <v>154222</v>
      </c>
      <c r="CQ90" s="90">
        <f t="shared" si="102"/>
        <v>58072</v>
      </c>
      <c r="CR90" s="90">
        <f t="shared" ca="1" si="103"/>
        <v>226540</v>
      </c>
      <c r="CS90" s="90">
        <f t="shared" ca="1" si="104"/>
        <v>517700</v>
      </c>
      <c r="CT90" s="142">
        <f t="shared" ca="1" si="105"/>
        <v>0.15233919258257678</v>
      </c>
      <c r="CU90" s="142">
        <f t="shared" ca="1" si="105"/>
        <v>0.29789839675487734</v>
      </c>
      <c r="CV90" s="142">
        <f t="shared" ca="1" si="105"/>
        <v>0.11217307320842186</v>
      </c>
      <c r="CW90" s="142">
        <f t="shared" ca="1" si="105"/>
        <v>0.43758933745412398</v>
      </c>
      <c r="CY90" s="128">
        <f t="shared" si="106"/>
        <v>39434</v>
      </c>
      <c r="CZ90" s="90">
        <f t="shared" si="107"/>
        <v>76947</v>
      </c>
      <c r="DA90" s="90">
        <f t="shared" si="108"/>
        <v>39372</v>
      </c>
      <c r="DB90" s="90">
        <f t="shared" ca="1" si="128"/>
        <v>118768.25</v>
      </c>
      <c r="DC90" s="90">
        <f t="shared" ca="1" si="109"/>
        <v>274521.25</v>
      </c>
      <c r="DD90" s="142">
        <f t="shared" ca="1" si="110"/>
        <v>0.14364643902794411</v>
      </c>
      <c r="DE90" s="142">
        <f t="shared" ca="1" si="110"/>
        <v>0.28029524126092242</v>
      </c>
      <c r="DF90" s="142">
        <f t="shared" ca="1" si="110"/>
        <v>0.14342059130213053</v>
      </c>
      <c r="DG90" s="142">
        <f t="shared" ca="1" si="110"/>
        <v>0.43263772840900294</v>
      </c>
      <c r="DI90" s="128">
        <f t="shared" si="111"/>
        <v>19113</v>
      </c>
      <c r="DJ90" s="90">
        <f t="shared" si="112"/>
        <v>37763</v>
      </c>
      <c r="DK90" s="90">
        <f t="shared" si="113"/>
        <v>15198</v>
      </c>
      <c r="DL90" s="90">
        <f t="shared" ca="1" si="114"/>
        <v>18054</v>
      </c>
      <c r="DM90" s="90">
        <f t="shared" ca="1" si="115"/>
        <v>90128</v>
      </c>
      <c r="DN90" s="142">
        <f t="shared" ca="1" si="116"/>
        <v>0.21206506302148057</v>
      </c>
      <c r="DO90" s="142">
        <f t="shared" ca="1" si="116"/>
        <v>0.4189929877507545</v>
      </c>
      <c r="DP90" s="142">
        <f t="shared" ca="1" si="116"/>
        <v>0.16862684182496004</v>
      </c>
      <c r="DQ90" s="142">
        <f t="shared" ca="1" si="116"/>
        <v>0.20031510740280489</v>
      </c>
      <c r="DS90" s="128">
        <f t="shared" ca="1" si="117"/>
        <v>517700</v>
      </c>
      <c r="DT90" s="90">
        <f t="shared" ca="1" si="118"/>
        <v>274521.25</v>
      </c>
      <c r="DU90" s="90">
        <f t="shared" ca="1" si="119"/>
        <v>90128</v>
      </c>
      <c r="DV90" s="90">
        <f t="shared" si="120"/>
        <v>1296</v>
      </c>
      <c r="DW90" s="90">
        <f ca="1">_xlfn.IFNA(INDEX(武器升级消耗!$H:$H,MATCH(玩家节奏2!DS90/玩家节奏2!DS$5,武器升级消耗!M:M,1)),0)</f>
        <v>63</v>
      </c>
      <c r="DX90" s="90">
        <f ca="1">_xlfn.IFNA(INDEX(武器升级消耗!$H:$H,MATCH(玩家节奏2!DT90/玩家节奏2!DT$5,武器升级消耗!N:N,1)),0)</f>
        <v>55</v>
      </c>
      <c r="DY90" s="90">
        <f ca="1">_xlfn.IFNA(INDEX(武器升级消耗!$H:$H,MATCH(玩家节奏2!DU90/玩家节奏2!DU$5,武器升级消耗!O:O,1)),0)</f>
        <v>41</v>
      </c>
      <c r="DZ90" s="90">
        <f>_xlfn.IFNA(INDEX(武器升级消耗!$H:$H,MATCH(玩家节奏2!DV90/玩家节奏2!DV$5,武器升级消耗!P:P,1)),0)</f>
        <v>26</v>
      </c>
      <c r="EA90" s="90">
        <f ca="1">_xlfn.IFNA(INDEX(武器升级消耗!$Q:$Q,MATCH(玩家节奏2!DW90,武器升级消耗!$H:$H,0))*2*EA$4,0)</f>
        <v>8.0399999999999991</v>
      </c>
      <c r="EB90" s="90">
        <f ca="1">_xlfn.IFNA(INDEX(武器升级消耗!$Q:$Q,MATCH(玩家节奏2!DX90,武器升级消耗!$H:$H,0))*2*EB$4,0)</f>
        <v>8.8500000000000014</v>
      </c>
      <c r="EC90" s="90">
        <f ca="1">_xlfn.IFNA(INDEX(武器升级消耗!$Q:$Q,MATCH(玩家节奏2!DY90,武器升级消耗!$H:$H,0))*2*EC$4,0)</f>
        <v>9.9</v>
      </c>
      <c r="ED90" s="90">
        <f>_xlfn.IFNA(INDEX(武器升级消耗!$Q:$Q,MATCH(玩家节奏2!DZ90,武器升级消耗!$H:$H,0))*2*ED$4,0)</f>
        <v>9</v>
      </c>
      <c r="EF90" s="128">
        <f t="shared" si="85"/>
        <v>0</v>
      </c>
      <c r="EG90" s="90">
        <f t="shared" si="86"/>
        <v>0</v>
      </c>
      <c r="EH90" s="90">
        <v>252</v>
      </c>
      <c r="EI90" s="90">
        <v>252</v>
      </c>
      <c r="EJ90" s="90">
        <f>_xlfn.IFNA(INDEX(皮肤宠物!$J$4:$J$13,MATCH(EF90+EH90,皮肤宠物!$L$4:$L$13,1)),0)</f>
        <v>8</v>
      </c>
      <c r="EK90" s="90">
        <f>_xlfn.IFNA(INDEX(皮肤宠物!$J$4:$J$13,MATCH(EG90+EI90,皮肤宠物!$L$4:$L$13,1)),0)</f>
        <v>8</v>
      </c>
      <c r="EL90" s="90">
        <f>_xlfn.IFNA(INDEX(皮肤宠物!$N$4:$N$13,MATCH(EF90+EH90,皮肤宠物!$L$4:$L$13,1)),1)</f>
        <v>1.9800000000000002</v>
      </c>
      <c r="EM90" s="90">
        <f>_xlfn.IFNA(INDEX(皮肤宠物!$N$4:$N$13,MATCH(EG90+EI90,皮肤宠物!$L$4:$L$13,1)),1)</f>
        <v>1.9800000000000002</v>
      </c>
      <c r="EO90" s="128">
        <v>252</v>
      </c>
      <c r="EP90" s="90">
        <v>84</v>
      </c>
      <c r="EQ90" s="90">
        <f t="shared" ca="1" si="121"/>
        <v>90825</v>
      </c>
      <c r="ER90" s="90">
        <f t="shared" si="87"/>
        <v>0</v>
      </c>
      <c r="ES90" s="90">
        <f t="shared" ca="1" si="122"/>
        <v>992.25</v>
      </c>
      <c r="ET90" s="90">
        <f ca="1">$ES90*ET$5*皮肤宠物!$J$75/4</f>
        <v>3275.41725</v>
      </c>
      <c r="EU90" s="90">
        <f ca="1">$ES90*EU$5*皮肤宠物!$J$76/4</f>
        <v>546.72975000000008</v>
      </c>
      <c r="EV90" s="90">
        <f ca="1">$ES90*EV$5*皮肤宠物!$J$77/4</f>
        <v>148.0933125</v>
      </c>
      <c r="EW90" s="90">
        <f ca="1">_xlfn.IFNA(INDEX(皮肤宠物!$H$18:$H$67,MATCH(ET90,皮肤宠物!L$18:L$67,1)),0)</f>
        <v>20</v>
      </c>
      <c r="EX90" s="90">
        <f ca="1">_xlfn.IFNA(INDEX(皮肤宠物!$H$18:$H$67,MATCH(EU90,皮肤宠物!M$18:M$67,1)),0)</f>
        <v>16</v>
      </c>
      <c r="EY90" s="90">
        <f ca="1">_xlfn.IFNA(INDEX(皮肤宠物!$H$18:$H$67,MATCH(EV90,皮肤宠物!N$18:N$67,1)),0)</f>
        <v>11</v>
      </c>
      <c r="EZ90" s="90">
        <f ca="1">_xlfn.IFNA(INDEX(皮肤宠物!C$18:C$67,MATCH(EW90,皮肤宠物!$A$18:$A$67,0))+1,1)</f>
        <v>1.2</v>
      </c>
      <c r="FA90" s="90">
        <f ca="1">_xlfn.IFNA(INDEX(皮肤宠物!D$18:D$67,MATCH(EX90,皮肤宠物!$A$18:$A$67,0))+1,1)</f>
        <v>1.32</v>
      </c>
      <c r="FB90" s="90">
        <f ca="1">_xlfn.IFNA(INDEX(皮肤宠物!E$18:E$67,MATCH(EY90,皮肤宠物!$A$18:$A$67,0))+1,1)</f>
        <v>1.44</v>
      </c>
      <c r="FD90" s="90">
        <f t="shared" ca="1" si="123"/>
        <v>9.9</v>
      </c>
      <c r="FE90" s="90">
        <f t="shared" si="124"/>
        <v>1.9800000000000002</v>
      </c>
      <c r="FF90" s="90">
        <f t="shared" ca="1" si="125"/>
        <v>1.44</v>
      </c>
      <c r="FG90" s="90">
        <f t="shared" ca="1" si="126"/>
        <v>28.226880000000005</v>
      </c>
    </row>
    <row r="91" spans="1:163" x14ac:dyDescent="0.25">
      <c r="A91" s="123">
        <v>85</v>
      </c>
      <c r="B91" s="123">
        <f>INDEX(关卡对比!$Y:$Y,MATCH(关卡对比!Z91,关卡对比!$AA:$AA,1))</f>
        <v>56</v>
      </c>
      <c r="C91" s="124">
        <f>INDEX(关卡对比!$Y:$Y,MATCH(关卡对比!Z91,关卡对比!$AB:$AB,1))</f>
        <v>46</v>
      </c>
      <c r="D91" s="125">
        <f t="shared" si="131"/>
        <v>343.5</v>
      </c>
      <c r="E91" s="125">
        <v>2</v>
      </c>
      <c r="F91" s="128">
        <v>16</v>
      </c>
      <c r="G91" s="90">
        <v>16</v>
      </c>
      <c r="H91" s="90">
        <v>5</v>
      </c>
      <c r="J91" s="128">
        <v>85</v>
      </c>
      <c r="K91" s="90">
        <f t="shared" si="88"/>
        <v>16</v>
      </c>
      <c r="L91" s="90">
        <f t="shared" si="89"/>
        <v>16</v>
      </c>
      <c r="M91" s="90">
        <f t="shared" si="90"/>
        <v>5</v>
      </c>
      <c r="N91" s="140">
        <f>INDEX($A:$A,MATCH(SUM($K$7:K91),$D:$D,1))</f>
        <v>200</v>
      </c>
      <c r="O91" s="140">
        <v>0</v>
      </c>
      <c r="P91" s="141">
        <v>0</v>
      </c>
      <c r="Q91" s="126">
        <f>_xlfn.MAXIFS(关卡产出!X:X,关卡产出!$A:$A,玩家节奏2!$N$6,关卡产出!$B:$B,玩家节奏2!$N91)+_xlfn.MAXIFS(关卡产出!X:X,关卡产出!$A:$A,玩家节奏2!$O$6,关卡产出!$B:$B,玩家节奏2!$O91)+_xlfn.MAXIFS(关卡产出!X:X,关卡产出!$A:$A,玩家节奏2!$P$6,关卡产出!$B:$B,玩家节奏2!$P91)</f>
        <v>38500</v>
      </c>
      <c r="R91" s="90">
        <f>_xlfn.MAXIFS(关卡产出!Y:Y,关卡产出!$A:$A,玩家节奏2!$N$6,关卡产出!$B:$B,玩家节奏2!$N91)+_xlfn.MAXIFS(关卡产出!Y:Y,关卡产出!$A:$A,玩家节奏2!$O$6,关卡产出!$B:$B,玩家节奏2!$O91)+_xlfn.MAXIFS(关卡产出!Y:Y,关卡产出!$A:$A,玩家节奏2!$P$6,关卡产出!$B:$B,玩家节奏2!$P91)</f>
        <v>11610000</v>
      </c>
      <c r="S91" s="90">
        <f>_xlfn.MAXIFS(关卡产出!Z:Z,关卡产出!$A:$A,玩家节奏2!$N$6,关卡产出!$B:$B,玩家节奏2!$N91)+_xlfn.MAXIFS(关卡产出!Z:Z,关卡产出!$A:$A,玩家节奏2!$O$6,关卡产出!$B:$B,玩家节奏2!$O91)+_xlfn.MAXIFS(关卡产出!Z:Z,关卡产出!$A:$A,玩家节奏2!$P$6,关卡产出!$B:$B,玩家节奏2!$P91)</f>
        <v>78866</v>
      </c>
      <c r="T91" s="90">
        <f>_xlfn.MAXIFS(关卡产出!AA:AA,关卡产出!$A:$A,玩家节奏2!$N$6,关卡产出!$B:$B,玩家节奏2!$N91)+_xlfn.MAXIFS(关卡产出!AA:AA,关卡产出!$A:$A,玩家节奏2!$O$6,关卡产出!$B:$B,玩家节奏2!$O91)+_xlfn.MAXIFS(关卡产出!AA:AA,关卡产出!$A:$A,玩家节奏2!$P$6,关卡产出!$B:$B,玩家节奏2!$P91)</f>
        <v>39434</v>
      </c>
      <c r="U91" s="90">
        <f>_xlfn.MAXIFS(关卡产出!AB:AB,关卡产出!$A:$A,玩家节奏2!$N$6,关卡产出!$B:$B,玩家节奏2!$N91)+_xlfn.MAXIFS(关卡产出!AB:AB,关卡产出!$A:$A,玩家节奏2!$O$6,关卡产出!$B:$B,玩家节奏2!$O91)+_xlfn.MAXIFS(关卡产出!AB:AB,关卡产出!$A:$A,玩家节奏2!$P$6,关卡产出!$B:$B,玩家节奏2!$P91)</f>
        <v>19113</v>
      </c>
      <c r="V91" s="130">
        <f>_xlfn.MAXIFS(关卡产出!AC:AC,关卡产出!$A:$A,玩家节奏2!$N$6,关卡产出!$B:$B,玩家节奏2!$N91)+_xlfn.MAXIFS(关卡产出!AC:AC,关卡产出!$A:$A,玩家节奏2!$O$6,关卡产出!$B:$B,玩家节奏2!$O91)+_xlfn.MAXIFS(关卡产出!AC:AC,关卡产出!$A:$A,玩家节奏2!$P$6,关卡产出!$B:$B,玩家节奏2!$P91)</f>
        <v>1200</v>
      </c>
      <c r="W91" s="126">
        <f>INDEX(关卡产出!C$8:C$207,MATCH(玩家节奏2!$N91,关卡产出!$B$8:$B$207,0))*$K91</f>
        <v>2528</v>
      </c>
      <c r="X91" s="126">
        <f>INDEX(关卡产出!D$8:D$207,MATCH(玩家节奏2!$N91,关卡产出!$B$8:$B$207,0))*$K91</f>
        <v>1264</v>
      </c>
      <c r="Y91" s="126">
        <f>INDEX(关卡产出!E$8:E$207,MATCH(玩家节奏2!$N91,关卡产出!$B$8:$B$207,0))*$K91</f>
        <v>624</v>
      </c>
      <c r="Z91" s="144">
        <f>INDEX(关卡产出!F$8:F$207,MATCH(玩家节奏2!$N91,关卡产出!$B$8:$B$207,0))*$K91</f>
        <v>32800</v>
      </c>
      <c r="AA91" s="126">
        <f>SUM(W$7:W91)</f>
        <v>156750</v>
      </c>
      <c r="AB91" s="126">
        <f>SUM(X$7:X91)</f>
        <v>78211</v>
      </c>
      <c r="AC91" s="126">
        <f>SUM(Y$7:Y91)</f>
        <v>38387</v>
      </c>
      <c r="AD91" s="177">
        <f>SUM(Z$7:Z91)</f>
        <v>2061530</v>
      </c>
      <c r="AE91" s="128">
        <f>INDEX(图鉴!AQ:AQ,MATCH($N91,图鉴!$S:$S,0))*34</f>
        <v>714</v>
      </c>
      <c r="AF91" s="90">
        <f>INDEX(图鉴!AR:AR,MATCH($N91,图鉴!$S:$S,0))*34</f>
        <v>510</v>
      </c>
      <c r="AG91" s="90">
        <f>INDEX(图鉴!AS:AS,MATCH($N91,图鉴!$S:$S,0))*34</f>
        <v>204</v>
      </c>
      <c r="AH91" s="129">
        <f ca="1">INDEX(图鉴!AT:AT,MATCH($N91,图鉴!$S:$S,0))*34</f>
        <v>55930</v>
      </c>
      <c r="AI91" s="128">
        <f>SUM($AE$7:AE91)</f>
        <v>58786</v>
      </c>
      <c r="AJ91" s="90">
        <f>SUM(AF$7:AF91)</f>
        <v>39882</v>
      </c>
      <c r="AK91" s="90">
        <f>SUM(AG$7:AG91)</f>
        <v>15402</v>
      </c>
      <c r="AL91" s="130">
        <f ca="1">SUM(AH$7:AH91)</f>
        <v>3924416</v>
      </c>
      <c r="AM91" s="133">
        <f>IF(M91=0,0,INDEX(关卡产出!$AU$11:$AU$15,MATCH(玩家节奏2!N91,关卡产出!$AW$11:$AW$15,1))*M91)</f>
        <v>61000</v>
      </c>
      <c r="AN91" s="126">
        <f>IF(L91=0,0,$L91*关卡产出!AU$21)</f>
        <v>16000</v>
      </c>
      <c r="AO91" s="90">
        <f>IF(M91=0,0,$L91*关卡产出!AV$21)</f>
        <v>800</v>
      </c>
      <c r="AP91" s="129">
        <f>IF(N91=0,0,$L91*关卡产出!AW$21)</f>
        <v>16</v>
      </c>
      <c r="AQ91" s="138">
        <f>SUM(AN$7:AN91)</f>
        <v>1312000</v>
      </c>
      <c r="AR91" s="126">
        <f>SUM(AO$7:AO91)</f>
        <v>65600</v>
      </c>
      <c r="AS91" s="129">
        <f>SUM(AP$7:AP91)</f>
        <v>1312</v>
      </c>
      <c r="AT91" s="128">
        <v>3000</v>
      </c>
      <c r="AU91" s="129">
        <v>600</v>
      </c>
      <c r="AV91" s="128">
        <f>SUM(AT$7:AT91)</f>
        <v>255000</v>
      </c>
      <c r="AW91" s="90">
        <f>SUM(AU$7:AU91)</f>
        <v>51000</v>
      </c>
      <c r="AY91" s="128">
        <f t="shared" si="91"/>
        <v>38500</v>
      </c>
      <c r="AZ91" s="90">
        <f t="shared" si="92"/>
        <v>65600</v>
      </c>
      <c r="BA91" s="90">
        <f t="shared" si="93"/>
        <v>51000</v>
      </c>
      <c r="BB91" s="90">
        <f t="shared" ca="1" si="127"/>
        <v>35000</v>
      </c>
      <c r="BC91" s="90">
        <f t="shared" ca="1" si="129"/>
        <v>97225</v>
      </c>
      <c r="BD91" s="90">
        <f t="shared" ca="1" si="130"/>
        <v>92875</v>
      </c>
      <c r="BE91" s="90">
        <f t="shared" ca="1" si="94"/>
        <v>190100</v>
      </c>
      <c r="BF91" s="142">
        <f t="shared" ca="1" si="75"/>
        <v>0.39598868603754178</v>
      </c>
      <c r="BG91" s="142">
        <f t="shared" ca="1" si="76"/>
        <v>0.674723579326305</v>
      </c>
      <c r="BH91" s="142">
        <f t="shared" ca="1" si="77"/>
        <v>0.52455644124453582</v>
      </c>
      <c r="BI91" s="142">
        <f t="shared" ca="1" si="95"/>
        <v>0.35998971457958345</v>
      </c>
      <c r="BJ91" s="143"/>
      <c r="BK91" s="128">
        <f ca="1">INDEX(商城宝箱!$L:$L,MATCH(BC91,商城宝箱!$N:$N,1))</f>
        <v>11</v>
      </c>
      <c r="BL91" s="90">
        <f ca="1">_xlfn.IFNA(INDEX(商城宝箱!T:T,MATCH(玩家节奏2!$BK91,商城宝箱!$L:$L,0)),0)+($BC91-INDEX(商城宝箱!$N:$N,MATCH(玩家节奏2!$BK91,商城宝箱!$L:$L,0)))/$BK$5*INDEX(商城宝箱!E$23:E$42,MATCH(玩家节奏2!$BK91+1,商城宝箱!$C$23:$C$42,0))</f>
        <v>243062.5</v>
      </c>
      <c r="BM91" s="90">
        <f ca="1">_xlfn.IFNA(INDEX(商城宝箱!U:U,MATCH(玩家节奏2!$BK91,商城宝箱!$L:$L,0)),0)+($BC91-INDEX(商城宝箱!$N:$N,MATCH(玩家节奏2!$BK91,商城宝箱!$L:$L,0)))/$BK$5*INDEX(商城宝箱!F$23:F$42,MATCH(玩家节奏2!$BK91+1,商城宝箱!$C$23:$C$42,0))</f>
        <v>234125</v>
      </c>
      <c r="BN91" s="90">
        <f ca="1">_xlfn.IFNA(INDEX(商城宝箱!V:V,MATCH(玩家节奏2!$BK91,商城宝箱!$L:$L,0)),0)+($BC91-INDEX(商城宝箱!$N:$N,MATCH(玩家节奏2!$BK91,商城宝箱!$L:$L,0)))/$BK$5*INDEX(商城宝箱!G$23:G$42,MATCH(玩家节奏2!$BK91+1,商城宝箱!$C$23:$C$42,0))</f>
        <v>122355.75</v>
      </c>
      <c r="BO91" s="90">
        <f ca="1">_xlfn.IFNA(INDEX(商城宝箱!W:W,MATCH(玩家节奏2!$BK91,商城宝箱!$L:$L,0)),0)+($BC91-INDEX(商城宝箱!$N:$N,MATCH(玩家节奏2!$BK91,商城宝箱!$L:$L,0)))/$BK$5*INDEX(商城宝箱!H$23:H$42,MATCH(玩家节奏2!$BK91+1,商城宝箱!$C$23:$C$42,0))</f>
        <v>18669</v>
      </c>
      <c r="BQ91" s="128">
        <f t="shared" si="79"/>
        <v>11610000</v>
      </c>
      <c r="BR91" s="90">
        <f t="shared" si="80"/>
        <v>2061530</v>
      </c>
      <c r="BS91" s="90">
        <f t="shared" ca="1" si="81"/>
        <v>3924416</v>
      </c>
      <c r="BT91" s="90">
        <f t="shared" si="82"/>
        <v>61000</v>
      </c>
      <c r="BU91" s="90">
        <f t="shared" si="83"/>
        <v>1312000</v>
      </c>
      <c r="BV91" s="90">
        <f t="shared" si="84"/>
        <v>255000</v>
      </c>
      <c r="BW91" s="90">
        <f t="shared" ca="1" si="96"/>
        <v>243062.5</v>
      </c>
      <c r="BX91" s="90">
        <f t="shared" ca="1" si="97"/>
        <v>19467008.5</v>
      </c>
      <c r="BY91" s="142">
        <f t="shared" ca="1" si="74"/>
        <v>0.59639363695762504</v>
      </c>
      <c r="BZ91" s="142">
        <f t="shared" ca="1" si="74"/>
        <v>0.10589865412551702</v>
      </c>
      <c r="CA91" s="142">
        <f t="shared" ca="1" si="73"/>
        <v>0.20159317236646812</v>
      </c>
      <c r="CB91" s="142">
        <f t="shared" ca="1" si="73"/>
        <v>3.1335066196739986E-3</v>
      </c>
      <c r="CC91" s="142">
        <f t="shared" ca="1" si="73"/>
        <v>6.7396076803480101E-2</v>
      </c>
      <c r="CD91" s="142">
        <f t="shared" ca="1" si="73"/>
        <v>1.3099085049456879E-2</v>
      </c>
      <c r="CE91" s="142">
        <f t="shared" ca="1" si="73"/>
        <v>1.2485868077778874E-2</v>
      </c>
      <c r="CG91" s="128">
        <f t="shared" si="98"/>
        <v>200</v>
      </c>
      <c r="CH91" s="90">
        <f ca="1">INDEX(角色升级!$A:$A,MATCH(玩家节奏2!$BX91,角色升级!$J:$J,1))</f>
        <v>944</v>
      </c>
      <c r="CI91" s="90">
        <f ca="1">INDEX(角色升级!$O:$O,MATCH(玩家节奏2!$BX91,角色升级!$J:$J,1))</f>
        <v>79703.839930000002</v>
      </c>
      <c r="CJ91" s="90">
        <f>INDEX(关卡对比!$J:$J,MATCH(玩家节奏2!N91,关卡对比!$A:$A,0))</f>
        <v>86200</v>
      </c>
      <c r="CK91" s="147">
        <f t="shared" ca="1" si="99"/>
        <v>1.081503727746433</v>
      </c>
      <c r="CL91" s="128">
        <f ca="1">INDEX(角色升级!$P:$P,MATCH(玩家节奏2!$CH91,角色升级!$A:$A,0))</f>
        <v>35000</v>
      </c>
      <c r="CM91" s="90">
        <f ca="1">INDEX(角色升级!Q:Q,MATCH(玩家节奏2!$CH91,角色升级!$A:$A,0))</f>
        <v>2</v>
      </c>
      <c r="CO91" s="128">
        <f t="shared" si="100"/>
        <v>78866</v>
      </c>
      <c r="CP91" s="90">
        <f t="shared" si="101"/>
        <v>156750</v>
      </c>
      <c r="CQ91" s="90">
        <f t="shared" si="102"/>
        <v>58786</v>
      </c>
      <c r="CR91" s="90">
        <f t="shared" ca="1" si="103"/>
        <v>234125</v>
      </c>
      <c r="CS91" s="90">
        <f t="shared" ca="1" si="104"/>
        <v>528527</v>
      </c>
      <c r="CT91" s="142">
        <f t="shared" ca="1" si="105"/>
        <v>0.14921848836483284</v>
      </c>
      <c r="CU91" s="142">
        <f t="shared" ca="1" si="105"/>
        <v>0.29657898271989891</v>
      </c>
      <c r="CV91" s="142">
        <f t="shared" ca="1" si="105"/>
        <v>0.11122610576186269</v>
      </c>
      <c r="CW91" s="142">
        <f t="shared" ca="1" si="105"/>
        <v>0.44297642315340557</v>
      </c>
      <c r="CY91" s="128">
        <f t="shared" si="106"/>
        <v>39434</v>
      </c>
      <c r="CZ91" s="90">
        <f t="shared" si="107"/>
        <v>78211</v>
      </c>
      <c r="DA91" s="90">
        <f t="shared" si="108"/>
        <v>39882</v>
      </c>
      <c r="DB91" s="90">
        <f t="shared" ca="1" si="128"/>
        <v>122355.75</v>
      </c>
      <c r="DC91" s="90">
        <f t="shared" ca="1" si="109"/>
        <v>279882.75</v>
      </c>
      <c r="DD91" s="142">
        <f t="shared" ca="1" si="110"/>
        <v>0.14089471394717967</v>
      </c>
      <c r="DE91" s="142">
        <f t="shared" ca="1" si="110"/>
        <v>0.27944201634434418</v>
      </c>
      <c r="DF91" s="142">
        <f t="shared" ca="1" si="110"/>
        <v>0.14249538422785971</v>
      </c>
      <c r="DG91" s="142">
        <f t="shared" ca="1" si="110"/>
        <v>0.43716788548061641</v>
      </c>
      <c r="DI91" s="128">
        <f t="shared" si="111"/>
        <v>19113</v>
      </c>
      <c r="DJ91" s="90">
        <f t="shared" si="112"/>
        <v>38387</v>
      </c>
      <c r="DK91" s="90">
        <f t="shared" si="113"/>
        <v>15402</v>
      </c>
      <c r="DL91" s="90">
        <f t="shared" ca="1" si="114"/>
        <v>18669</v>
      </c>
      <c r="DM91" s="90">
        <f t="shared" ca="1" si="115"/>
        <v>91571</v>
      </c>
      <c r="DN91" s="142">
        <f t="shared" ca="1" si="116"/>
        <v>0.20872328575640758</v>
      </c>
      <c r="DO91" s="142">
        <f t="shared" ca="1" si="116"/>
        <v>0.41920477006912671</v>
      </c>
      <c r="DP91" s="142">
        <f t="shared" ca="1" si="116"/>
        <v>0.16819735505782399</v>
      </c>
      <c r="DQ91" s="142">
        <f t="shared" ca="1" si="116"/>
        <v>0.20387458911664172</v>
      </c>
      <c r="DS91" s="128">
        <f t="shared" ca="1" si="117"/>
        <v>528527</v>
      </c>
      <c r="DT91" s="90">
        <f t="shared" ca="1" si="118"/>
        <v>279882.75</v>
      </c>
      <c r="DU91" s="90">
        <f t="shared" ca="1" si="119"/>
        <v>91571</v>
      </c>
      <c r="DV91" s="90">
        <f t="shared" si="120"/>
        <v>1312</v>
      </c>
      <c r="DW91" s="90">
        <f ca="1">_xlfn.IFNA(INDEX(武器升级消耗!$H:$H,MATCH(玩家节奏2!DS91/玩家节奏2!DS$5,武器升级消耗!M:M,1)),0)</f>
        <v>63</v>
      </c>
      <c r="DX91" s="90">
        <f ca="1">_xlfn.IFNA(INDEX(武器升级消耗!$H:$H,MATCH(玩家节奏2!DT91/玩家节奏2!DT$5,武器升级消耗!N:N,1)),0)</f>
        <v>56</v>
      </c>
      <c r="DY91" s="90">
        <f ca="1">_xlfn.IFNA(INDEX(武器升级消耗!$H:$H,MATCH(玩家节奏2!DU91/玩家节奏2!DU$5,武器升级消耗!O:O,1)),0)</f>
        <v>42</v>
      </c>
      <c r="DZ91" s="90">
        <f>_xlfn.IFNA(INDEX(武器升级消耗!$H:$H,MATCH(玩家节奏2!DV91/玩家节奏2!DV$5,武器升级消耗!P:P,1)),0)</f>
        <v>26</v>
      </c>
      <c r="EA91" s="90">
        <f ca="1">_xlfn.IFNA(INDEX(武器升级消耗!$Q:$Q,MATCH(玩家节奏2!DW91,武器升级消耗!$H:$H,0))*2*EA$4,0)</f>
        <v>8.0399999999999991</v>
      </c>
      <c r="EB91" s="90">
        <f ca="1">_xlfn.IFNA(INDEX(武器升级消耗!$Q:$Q,MATCH(玩家节奏2!DX91,武器升级消耗!$H:$H,0))*2*EB$4,0)</f>
        <v>9</v>
      </c>
      <c r="EC91" s="90">
        <f ca="1">_xlfn.IFNA(INDEX(武器升级消耗!$Q:$Q,MATCH(玩家节奏2!DY91,武器升级消耗!$H:$H,0))*2*EC$4,0)</f>
        <v>10.119999999999999</v>
      </c>
      <c r="ED91" s="90">
        <f>_xlfn.IFNA(INDEX(武器升级消耗!$Q:$Q,MATCH(玩家节奏2!DZ91,武器升级消耗!$H:$H,0))*2*ED$4,0)</f>
        <v>9</v>
      </c>
      <c r="EF91" s="128">
        <f t="shared" si="85"/>
        <v>0</v>
      </c>
      <c r="EG91" s="90">
        <f t="shared" si="86"/>
        <v>0</v>
      </c>
      <c r="EH91" s="90">
        <v>255</v>
      </c>
      <c r="EI91" s="90">
        <v>255</v>
      </c>
      <c r="EJ91" s="90">
        <f>_xlfn.IFNA(INDEX(皮肤宠物!$J$4:$J$13,MATCH(EF91+EH91,皮肤宠物!$L$4:$L$13,1)),0)</f>
        <v>8</v>
      </c>
      <c r="EK91" s="90">
        <f>_xlfn.IFNA(INDEX(皮肤宠物!$J$4:$J$13,MATCH(EG91+EI91,皮肤宠物!$L$4:$L$13,1)),0)</f>
        <v>8</v>
      </c>
      <c r="EL91" s="90">
        <f>_xlfn.IFNA(INDEX(皮肤宠物!$N$4:$N$13,MATCH(EF91+EH91,皮肤宠物!$L$4:$L$13,1)),1)</f>
        <v>1.9800000000000002</v>
      </c>
      <c r="EM91" s="90">
        <f>_xlfn.IFNA(INDEX(皮肤宠物!$N$4:$N$13,MATCH(EG91+EI91,皮肤宠物!$L$4:$L$13,1)),1)</f>
        <v>1.9800000000000002</v>
      </c>
      <c r="EO91" s="128">
        <v>255</v>
      </c>
      <c r="EP91" s="90">
        <v>85</v>
      </c>
      <c r="EQ91" s="90">
        <f t="shared" ca="1" si="121"/>
        <v>92875</v>
      </c>
      <c r="ER91" s="90">
        <f t="shared" si="87"/>
        <v>0</v>
      </c>
      <c r="ES91" s="90">
        <f t="shared" ca="1" si="122"/>
        <v>1013.75</v>
      </c>
      <c r="ET91" s="90">
        <f ca="1">$ES91*ET$5*皮肤宠物!$J$75/4</f>
        <v>3346.3887500000001</v>
      </c>
      <c r="EU91" s="90">
        <f ca="1">$ES91*EU$5*皮肤宠物!$J$76/4</f>
        <v>558.57625000000007</v>
      </c>
      <c r="EV91" s="90">
        <f ca="1">$ES91*EV$5*皮肤宠物!$J$77/4</f>
        <v>151.3021875</v>
      </c>
      <c r="EW91" s="90">
        <f ca="1">_xlfn.IFNA(INDEX(皮肤宠物!$H$18:$H$67,MATCH(ET91,皮肤宠物!L$18:L$67,1)),0)</f>
        <v>20</v>
      </c>
      <c r="EX91" s="90">
        <f ca="1">_xlfn.IFNA(INDEX(皮肤宠物!$H$18:$H$67,MATCH(EU91,皮肤宠物!M$18:M$67,1)),0)</f>
        <v>16</v>
      </c>
      <c r="EY91" s="90">
        <f ca="1">_xlfn.IFNA(INDEX(皮肤宠物!$H$18:$H$67,MATCH(EV91,皮肤宠物!N$18:N$67,1)),0)</f>
        <v>11</v>
      </c>
      <c r="EZ91" s="90">
        <f ca="1">_xlfn.IFNA(INDEX(皮肤宠物!C$18:C$67,MATCH(EW91,皮肤宠物!$A$18:$A$67,0))+1,1)</f>
        <v>1.2</v>
      </c>
      <c r="FA91" s="90">
        <f ca="1">_xlfn.IFNA(INDEX(皮肤宠物!D$18:D$67,MATCH(EX91,皮肤宠物!$A$18:$A$67,0))+1,1)</f>
        <v>1.32</v>
      </c>
      <c r="FB91" s="90">
        <f ca="1">_xlfn.IFNA(INDEX(皮肤宠物!E$18:E$67,MATCH(EY91,皮肤宠物!$A$18:$A$67,0))+1,1)</f>
        <v>1.44</v>
      </c>
      <c r="FD91" s="90">
        <f t="shared" ca="1" si="123"/>
        <v>10.119999999999999</v>
      </c>
      <c r="FE91" s="90">
        <f t="shared" si="124"/>
        <v>1.9800000000000002</v>
      </c>
      <c r="FF91" s="90">
        <f t="shared" ca="1" si="125"/>
        <v>1.44</v>
      </c>
      <c r="FG91" s="90">
        <f t="shared" ca="1" si="126"/>
        <v>28.854144000000002</v>
      </c>
    </row>
    <row r="92" spans="1:163" x14ac:dyDescent="0.25">
      <c r="A92" s="123">
        <v>86</v>
      </c>
      <c r="B92" s="123">
        <f>INDEX(关卡对比!$Y:$Y,MATCH(关卡对比!Z92,关卡对比!$AA:$AA,1))</f>
        <v>56</v>
      </c>
      <c r="C92" s="124">
        <f>INDEX(关卡对比!$Y:$Y,MATCH(关卡对比!Z92,关卡对比!$AB:$AB,1))</f>
        <v>47</v>
      </c>
      <c r="D92" s="125">
        <f t="shared" si="131"/>
        <v>347.5</v>
      </c>
      <c r="E92" s="125">
        <v>2</v>
      </c>
      <c r="F92" s="128">
        <v>16</v>
      </c>
      <c r="G92" s="90">
        <v>16</v>
      </c>
      <c r="H92" s="90">
        <v>5</v>
      </c>
      <c r="J92" s="128">
        <v>86</v>
      </c>
      <c r="K92" s="90">
        <f t="shared" si="88"/>
        <v>16</v>
      </c>
      <c r="L92" s="90">
        <f t="shared" si="89"/>
        <v>16</v>
      </c>
      <c r="M92" s="90">
        <f t="shared" si="90"/>
        <v>5</v>
      </c>
      <c r="N92" s="140">
        <f>INDEX($A:$A,MATCH(SUM($K$7:K92),$D:$D,1))</f>
        <v>200</v>
      </c>
      <c r="O92" s="140">
        <v>0</v>
      </c>
      <c r="P92" s="141">
        <v>0</v>
      </c>
      <c r="Q92" s="126">
        <f>_xlfn.MAXIFS(关卡产出!X:X,关卡产出!$A:$A,玩家节奏2!$N$6,关卡产出!$B:$B,玩家节奏2!$N92)+_xlfn.MAXIFS(关卡产出!X:X,关卡产出!$A:$A,玩家节奏2!$O$6,关卡产出!$B:$B,玩家节奏2!$O92)+_xlfn.MAXIFS(关卡产出!X:X,关卡产出!$A:$A,玩家节奏2!$P$6,关卡产出!$B:$B,玩家节奏2!$P92)</f>
        <v>38500</v>
      </c>
      <c r="R92" s="90">
        <f>_xlfn.MAXIFS(关卡产出!Y:Y,关卡产出!$A:$A,玩家节奏2!$N$6,关卡产出!$B:$B,玩家节奏2!$N92)+_xlfn.MAXIFS(关卡产出!Y:Y,关卡产出!$A:$A,玩家节奏2!$O$6,关卡产出!$B:$B,玩家节奏2!$O92)+_xlfn.MAXIFS(关卡产出!Y:Y,关卡产出!$A:$A,玩家节奏2!$P$6,关卡产出!$B:$B,玩家节奏2!$P92)</f>
        <v>11610000</v>
      </c>
      <c r="S92" s="90">
        <f>_xlfn.MAXIFS(关卡产出!Z:Z,关卡产出!$A:$A,玩家节奏2!$N$6,关卡产出!$B:$B,玩家节奏2!$N92)+_xlfn.MAXIFS(关卡产出!Z:Z,关卡产出!$A:$A,玩家节奏2!$O$6,关卡产出!$B:$B,玩家节奏2!$O92)+_xlfn.MAXIFS(关卡产出!Z:Z,关卡产出!$A:$A,玩家节奏2!$P$6,关卡产出!$B:$B,玩家节奏2!$P92)</f>
        <v>78866</v>
      </c>
      <c r="T92" s="90">
        <f>_xlfn.MAXIFS(关卡产出!AA:AA,关卡产出!$A:$A,玩家节奏2!$N$6,关卡产出!$B:$B,玩家节奏2!$N92)+_xlfn.MAXIFS(关卡产出!AA:AA,关卡产出!$A:$A,玩家节奏2!$O$6,关卡产出!$B:$B,玩家节奏2!$O92)+_xlfn.MAXIFS(关卡产出!AA:AA,关卡产出!$A:$A,玩家节奏2!$P$6,关卡产出!$B:$B,玩家节奏2!$P92)</f>
        <v>39434</v>
      </c>
      <c r="U92" s="90">
        <f>_xlfn.MAXIFS(关卡产出!AB:AB,关卡产出!$A:$A,玩家节奏2!$N$6,关卡产出!$B:$B,玩家节奏2!$N92)+_xlfn.MAXIFS(关卡产出!AB:AB,关卡产出!$A:$A,玩家节奏2!$O$6,关卡产出!$B:$B,玩家节奏2!$O92)+_xlfn.MAXIFS(关卡产出!AB:AB,关卡产出!$A:$A,玩家节奏2!$P$6,关卡产出!$B:$B,玩家节奏2!$P92)</f>
        <v>19113</v>
      </c>
      <c r="V92" s="130">
        <f>_xlfn.MAXIFS(关卡产出!AC:AC,关卡产出!$A:$A,玩家节奏2!$N$6,关卡产出!$B:$B,玩家节奏2!$N92)+_xlfn.MAXIFS(关卡产出!AC:AC,关卡产出!$A:$A,玩家节奏2!$O$6,关卡产出!$B:$B,玩家节奏2!$O92)+_xlfn.MAXIFS(关卡产出!AC:AC,关卡产出!$A:$A,玩家节奏2!$P$6,关卡产出!$B:$B,玩家节奏2!$P92)</f>
        <v>1200</v>
      </c>
      <c r="W92" s="126">
        <f>INDEX(关卡产出!C$8:C$207,MATCH(玩家节奏2!$N92,关卡产出!$B$8:$B$207,0))*$K92</f>
        <v>2528</v>
      </c>
      <c r="X92" s="126">
        <f>INDEX(关卡产出!D$8:D$207,MATCH(玩家节奏2!$N92,关卡产出!$B$8:$B$207,0))*$K92</f>
        <v>1264</v>
      </c>
      <c r="Y92" s="126">
        <f>INDEX(关卡产出!E$8:E$207,MATCH(玩家节奏2!$N92,关卡产出!$B$8:$B$207,0))*$K92</f>
        <v>624</v>
      </c>
      <c r="Z92" s="144">
        <f>INDEX(关卡产出!F$8:F$207,MATCH(玩家节奏2!$N92,关卡产出!$B$8:$B$207,0))*$K92</f>
        <v>32800</v>
      </c>
      <c r="AA92" s="126">
        <f>SUM(W$7:W92)</f>
        <v>159278</v>
      </c>
      <c r="AB92" s="126">
        <f>SUM(X$7:X92)</f>
        <v>79475</v>
      </c>
      <c r="AC92" s="126">
        <f>SUM(Y$7:Y92)</f>
        <v>39011</v>
      </c>
      <c r="AD92" s="177">
        <f>SUM(Z$7:Z92)</f>
        <v>2094330</v>
      </c>
      <c r="AE92" s="128">
        <f>INDEX(图鉴!AQ:AQ,MATCH($N92,图鉴!$S:$S,0))*34</f>
        <v>714</v>
      </c>
      <c r="AF92" s="90">
        <f>INDEX(图鉴!AR:AR,MATCH($N92,图鉴!$S:$S,0))*34</f>
        <v>510</v>
      </c>
      <c r="AG92" s="90">
        <f>INDEX(图鉴!AS:AS,MATCH($N92,图鉴!$S:$S,0))*34</f>
        <v>204</v>
      </c>
      <c r="AH92" s="129">
        <f ca="1">INDEX(图鉴!AT:AT,MATCH($N92,图鉴!$S:$S,0))*34</f>
        <v>55930</v>
      </c>
      <c r="AI92" s="128">
        <f>SUM($AE$7:AE92)</f>
        <v>59500</v>
      </c>
      <c r="AJ92" s="90">
        <f>SUM(AF$7:AF92)</f>
        <v>40392</v>
      </c>
      <c r="AK92" s="90">
        <f>SUM(AG$7:AG92)</f>
        <v>15606</v>
      </c>
      <c r="AL92" s="130">
        <f ca="1">SUM(AH$7:AH92)</f>
        <v>3980346</v>
      </c>
      <c r="AM92" s="133">
        <f>IF(M92=0,0,INDEX(关卡产出!$AU$11:$AU$15,MATCH(玩家节奏2!N92,关卡产出!$AW$11:$AW$15,1))*M92)</f>
        <v>61000</v>
      </c>
      <c r="AN92" s="126">
        <f>IF(L92=0,0,$L92*关卡产出!AU$21)</f>
        <v>16000</v>
      </c>
      <c r="AO92" s="90">
        <f>IF(M92=0,0,$L92*关卡产出!AV$21)</f>
        <v>800</v>
      </c>
      <c r="AP92" s="129">
        <f>IF(N92=0,0,$L92*关卡产出!AW$21)</f>
        <v>16</v>
      </c>
      <c r="AQ92" s="138">
        <f>SUM(AN$7:AN92)</f>
        <v>1328000</v>
      </c>
      <c r="AR92" s="126">
        <f>SUM(AO$7:AO92)</f>
        <v>66400</v>
      </c>
      <c r="AS92" s="129">
        <f>SUM(AP$7:AP92)</f>
        <v>1328</v>
      </c>
      <c r="AT92" s="128">
        <v>3000</v>
      </c>
      <c r="AU92" s="129">
        <v>600</v>
      </c>
      <c r="AV92" s="128">
        <f>SUM(AT$7:AT92)</f>
        <v>258000</v>
      </c>
      <c r="AW92" s="90">
        <f>SUM(AU$7:AU92)</f>
        <v>51600</v>
      </c>
      <c r="AY92" s="128">
        <f t="shared" si="91"/>
        <v>38500</v>
      </c>
      <c r="AZ92" s="90">
        <f t="shared" si="92"/>
        <v>66400</v>
      </c>
      <c r="BA92" s="90">
        <f t="shared" si="93"/>
        <v>51600</v>
      </c>
      <c r="BB92" s="90">
        <f t="shared" ca="1" si="127"/>
        <v>35000</v>
      </c>
      <c r="BC92" s="90">
        <f t="shared" ca="1" si="129"/>
        <v>97925</v>
      </c>
      <c r="BD92" s="90">
        <f t="shared" ca="1" si="130"/>
        <v>93575</v>
      </c>
      <c r="BE92" s="90">
        <f t="shared" ca="1" si="94"/>
        <v>191500</v>
      </c>
      <c r="BF92" s="142">
        <f t="shared" ca="1" si="75"/>
        <v>0.39315802910390607</v>
      </c>
      <c r="BG92" s="142">
        <f t="shared" ca="1" si="76"/>
        <v>0.67806995149348992</v>
      </c>
      <c r="BH92" s="142">
        <f t="shared" ca="1" si="77"/>
        <v>0.52693387796783253</v>
      </c>
      <c r="BI92" s="142">
        <f t="shared" ca="1" si="95"/>
        <v>0.35741639009446002</v>
      </c>
      <c r="BJ92" s="143"/>
      <c r="BK92" s="128">
        <f ca="1">INDEX(商城宝箱!$L:$L,MATCH(BC92,商城宝箱!$N:$N,1))</f>
        <v>11</v>
      </c>
      <c r="BL92" s="90">
        <f ca="1">_xlfn.IFNA(INDEX(商城宝箱!T:T,MATCH(玩家节奏2!$BK92,商城宝箱!$L:$L,0)),0)+($BC92-INDEX(商城宝箱!$N:$N,MATCH(玩家节奏2!$BK92,商城宝箱!$L:$L,0)))/$BK$5*INDEX(商城宝箱!E$23:E$42,MATCH(玩家节奏2!$BK92+1,商城宝箱!$C$23:$C$42,0))</f>
        <v>244812.5</v>
      </c>
      <c r="BM92" s="90">
        <f ca="1">_xlfn.IFNA(INDEX(商城宝箱!U:U,MATCH(玩家节奏2!$BK92,商城宝箱!$L:$L,0)),0)+($BC92-INDEX(商城宝箱!$N:$N,MATCH(玩家节奏2!$BK92,商城宝箱!$L:$L,0)))/$BK$5*INDEX(商城宝箱!F$23:F$42,MATCH(玩家节奏2!$BK92+1,商城宝箱!$C$23:$C$42,0))</f>
        <v>236715</v>
      </c>
      <c r="BN92" s="90">
        <f ca="1">_xlfn.IFNA(INDEX(商城宝箱!V:V,MATCH(玩家节奏2!$BK92,商城宝箱!$L:$L,0)),0)+($BC92-INDEX(商城宝箱!$N:$N,MATCH(玩家节奏2!$BK92,商城宝箱!$L:$L,0)))/$BK$5*INDEX(商城宝箱!G$23:G$42,MATCH(玩家节奏2!$BK92+1,商城宝箱!$C$23:$C$42,0))</f>
        <v>123580.75</v>
      </c>
      <c r="BO92" s="90">
        <f ca="1">_xlfn.IFNA(INDEX(商城宝箱!W:W,MATCH(玩家节奏2!$BK92,商城宝箱!$L:$L,0)),0)+($BC92-INDEX(商城宝箱!$N:$N,MATCH(玩家节奏2!$BK92,商城宝箱!$L:$L,0)))/$BK$5*INDEX(商城宝箱!H$23:H$42,MATCH(玩家节奏2!$BK92+1,商城宝箱!$C$23:$C$42,0))</f>
        <v>18879</v>
      </c>
      <c r="BQ92" s="128">
        <f t="shared" si="79"/>
        <v>11610000</v>
      </c>
      <c r="BR92" s="90">
        <f t="shared" si="80"/>
        <v>2094330</v>
      </c>
      <c r="BS92" s="90">
        <f t="shared" ca="1" si="81"/>
        <v>3980346</v>
      </c>
      <c r="BT92" s="90">
        <f t="shared" si="82"/>
        <v>61000</v>
      </c>
      <c r="BU92" s="90">
        <f t="shared" si="83"/>
        <v>1328000</v>
      </c>
      <c r="BV92" s="90">
        <f t="shared" si="84"/>
        <v>258000</v>
      </c>
      <c r="BW92" s="90">
        <f t="shared" ca="1" si="96"/>
        <v>244812.5</v>
      </c>
      <c r="BX92" s="90">
        <f t="shared" ca="1" si="97"/>
        <v>19576488.5</v>
      </c>
      <c r="BY92" s="142">
        <f t="shared" ca="1" si="74"/>
        <v>0.59305835160376186</v>
      </c>
      <c r="BZ92" s="142">
        <f t="shared" ca="1" si="74"/>
        <v>0.10698190331733906</v>
      </c>
      <c r="CA92" s="142">
        <f t="shared" ca="1" si="73"/>
        <v>0.20332277670737528</v>
      </c>
      <c r="CB92" s="142">
        <f t="shared" ca="1" si="73"/>
        <v>3.115982725911238E-3</v>
      </c>
      <c r="CC92" s="142">
        <f t="shared" ca="1" si="73"/>
        <v>6.7836476393608583E-2</v>
      </c>
      <c r="CD92" s="142">
        <f t="shared" ca="1" si="73"/>
        <v>1.3179074480083597E-2</v>
      </c>
      <c r="CE92" s="142">
        <f t="shared" ca="1" si="73"/>
        <v>1.2505434771920409E-2</v>
      </c>
      <c r="CG92" s="128">
        <f t="shared" si="98"/>
        <v>200</v>
      </c>
      <c r="CH92" s="90">
        <f ca="1">INDEX(角色升级!$A:$A,MATCH(玩家节奏2!$BX92,角色升级!$J:$J,1))</f>
        <v>946</v>
      </c>
      <c r="CI92" s="90">
        <f ca="1">INDEX(角色升级!$O:$O,MATCH(玩家节奏2!$BX92,角色升级!$J:$J,1))</f>
        <v>79825.247149999981</v>
      </c>
      <c r="CJ92" s="90">
        <f>INDEX(关卡对比!$J:$J,MATCH(玩家节奏2!N92,关卡对比!$A:$A,0))</f>
        <v>86200</v>
      </c>
      <c r="CK92" s="147">
        <f t="shared" ca="1" si="99"/>
        <v>1.079858855156705</v>
      </c>
      <c r="CL92" s="128">
        <f ca="1">INDEX(角色升级!$P:$P,MATCH(玩家节奏2!$CH92,角色升级!$A:$A,0))</f>
        <v>35000</v>
      </c>
      <c r="CM92" s="90">
        <f ca="1">INDEX(角色升级!Q:Q,MATCH(玩家节奏2!$CH92,角色升级!$A:$A,0))</f>
        <v>2</v>
      </c>
      <c r="CO92" s="128">
        <f t="shared" si="100"/>
        <v>78866</v>
      </c>
      <c r="CP92" s="90">
        <f t="shared" si="101"/>
        <v>159278</v>
      </c>
      <c r="CQ92" s="90">
        <f t="shared" si="102"/>
        <v>59500</v>
      </c>
      <c r="CR92" s="90">
        <f t="shared" ca="1" si="103"/>
        <v>236715</v>
      </c>
      <c r="CS92" s="90">
        <f t="shared" ca="1" si="104"/>
        <v>534359</v>
      </c>
      <c r="CT92" s="142">
        <f t="shared" ca="1" si="105"/>
        <v>0.14758991614251843</v>
      </c>
      <c r="CU92" s="142">
        <f t="shared" ca="1" si="105"/>
        <v>0.29807301832663058</v>
      </c>
      <c r="CV92" s="142">
        <f t="shared" ca="1" si="105"/>
        <v>0.11134836317906127</v>
      </c>
      <c r="CW92" s="142">
        <f t="shared" ca="1" si="105"/>
        <v>0.44298870235178972</v>
      </c>
      <c r="CY92" s="128">
        <f t="shared" si="106"/>
        <v>39434</v>
      </c>
      <c r="CZ92" s="90">
        <f t="shared" si="107"/>
        <v>79475</v>
      </c>
      <c r="DA92" s="90">
        <f t="shared" si="108"/>
        <v>40392</v>
      </c>
      <c r="DB92" s="90">
        <f t="shared" ca="1" si="128"/>
        <v>123580.75</v>
      </c>
      <c r="DC92" s="90">
        <f t="shared" ca="1" si="109"/>
        <v>282881.75</v>
      </c>
      <c r="DD92" s="142">
        <f t="shared" ca="1" si="110"/>
        <v>0.13940100412981749</v>
      </c>
      <c r="DE92" s="142">
        <f t="shared" ca="1" si="110"/>
        <v>0.2809477811841874</v>
      </c>
      <c r="DF92" s="142">
        <f t="shared" ca="1" si="110"/>
        <v>0.14278757820184582</v>
      </c>
      <c r="DG92" s="142">
        <f t="shared" ca="1" si="110"/>
        <v>0.43686363648414928</v>
      </c>
      <c r="DI92" s="128">
        <f t="shared" si="111"/>
        <v>19113</v>
      </c>
      <c r="DJ92" s="90">
        <f t="shared" si="112"/>
        <v>39011</v>
      </c>
      <c r="DK92" s="90">
        <f t="shared" si="113"/>
        <v>15606</v>
      </c>
      <c r="DL92" s="90">
        <f t="shared" ca="1" si="114"/>
        <v>18879</v>
      </c>
      <c r="DM92" s="90">
        <f t="shared" ca="1" si="115"/>
        <v>92609</v>
      </c>
      <c r="DN92" s="142">
        <f t="shared" ca="1" si="116"/>
        <v>0.20638382878553921</v>
      </c>
      <c r="DO92" s="142">
        <f t="shared" ca="1" si="116"/>
        <v>0.4212441555356391</v>
      </c>
      <c r="DP92" s="142">
        <f t="shared" ca="1" si="116"/>
        <v>0.16851493915278212</v>
      </c>
      <c r="DQ92" s="142">
        <f t="shared" ca="1" si="116"/>
        <v>0.2038570765260396</v>
      </c>
      <c r="DS92" s="128">
        <f t="shared" ca="1" si="117"/>
        <v>534359</v>
      </c>
      <c r="DT92" s="90">
        <f t="shared" ca="1" si="118"/>
        <v>282881.75</v>
      </c>
      <c r="DU92" s="90">
        <f t="shared" ca="1" si="119"/>
        <v>92609</v>
      </c>
      <c r="DV92" s="90">
        <f t="shared" si="120"/>
        <v>1328</v>
      </c>
      <c r="DW92" s="90">
        <f ca="1">_xlfn.IFNA(INDEX(武器升级消耗!$H:$H,MATCH(玩家节奏2!DS92/玩家节奏2!DS$5,武器升级消耗!M:M,1)),0)</f>
        <v>64</v>
      </c>
      <c r="DX92" s="90">
        <f ca="1">_xlfn.IFNA(INDEX(武器升级消耗!$H:$H,MATCH(玩家节奏2!DT92/玩家节奏2!DT$5,武器升级消耗!N:N,1)),0)</f>
        <v>56</v>
      </c>
      <c r="DY92" s="90">
        <f ca="1">_xlfn.IFNA(INDEX(武器升级消耗!$H:$H,MATCH(玩家节奏2!DU92/玩家节奏2!DU$5,武器升级消耗!O:O,1)),0)</f>
        <v>42</v>
      </c>
      <c r="DZ92" s="90">
        <f>_xlfn.IFNA(INDEX(武器升级消耗!$H:$H,MATCH(玩家节奏2!DV92/玩家节奏2!DV$5,武器升级消耗!P:P,1)),0)</f>
        <v>26</v>
      </c>
      <c r="EA92" s="90">
        <f ca="1">_xlfn.IFNA(INDEX(武器升级消耗!$Q:$Q,MATCH(玩家节奏2!DW92,武器升级消耗!$H:$H,0))*2*EA$4,0)</f>
        <v>8.16</v>
      </c>
      <c r="EB92" s="90">
        <f ca="1">_xlfn.IFNA(INDEX(武器升级消耗!$Q:$Q,MATCH(玩家节奏2!DX92,武器升级消耗!$H:$H,0))*2*EB$4,0)</f>
        <v>9</v>
      </c>
      <c r="EC92" s="90">
        <f ca="1">_xlfn.IFNA(INDEX(武器升级消耗!$Q:$Q,MATCH(玩家节奏2!DY92,武器升级消耗!$H:$H,0))*2*EC$4,0)</f>
        <v>10.119999999999999</v>
      </c>
      <c r="ED92" s="90">
        <f>_xlfn.IFNA(INDEX(武器升级消耗!$Q:$Q,MATCH(玩家节奏2!DZ92,武器升级消耗!$H:$H,0))*2*ED$4,0)</f>
        <v>9</v>
      </c>
      <c r="EF92" s="128">
        <f t="shared" si="85"/>
        <v>0</v>
      </c>
      <c r="EG92" s="90">
        <f t="shared" si="86"/>
        <v>0</v>
      </c>
      <c r="EH92" s="90">
        <v>258</v>
      </c>
      <c r="EI92" s="90">
        <v>258</v>
      </c>
      <c r="EJ92" s="90">
        <f>_xlfn.IFNA(INDEX(皮肤宠物!$J$4:$J$13,MATCH(EF92+EH92,皮肤宠物!$L$4:$L$13,1)),0)</f>
        <v>8</v>
      </c>
      <c r="EK92" s="90">
        <f>_xlfn.IFNA(INDEX(皮肤宠物!$J$4:$J$13,MATCH(EG92+EI92,皮肤宠物!$L$4:$L$13,1)),0)</f>
        <v>8</v>
      </c>
      <c r="EL92" s="90">
        <f>_xlfn.IFNA(INDEX(皮肤宠物!$N$4:$N$13,MATCH(EF92+EH92,皮肤宠物!$L$4:$L$13,1)),1)</f>
        <v>1.9800000000000002</v>
      </c>
      <c r="EM92" s="90">
        <f>_xlfn.IFNA(INDEX(皮肤宠物!$N$4:$N$13,MATCH(EG92+EI92,皮肤宠物!$L$4:$L$13,1)),1)</f>
        <v>1.9800000000000002</v>
      </c>
      <c r="EO92" s="128">
        <v>258</v>
      </c>
      <c r="EP92" s="90">
        <v>86</v>
      </c>
      <c r="EQ92" s="90">
        <f t="shared" ca="1" si="121"/>
        <v>93575</v>
      </c>
      <c r="ER92" s="90">
        <f t="shared" si="87"/>
        <v>0</v>
      </c>
      <c r="ES92" s="90">
        <f t="shared" ca="1" si="122"/>
        <v>1021.75</v>
      </c>
      <c r="ET92" s="90">
        <f ca="1">$ES92*ET$5*皮肤宠物!$J$75/4</f>
        <v>3372.79675</v>
      </c>
      <c r="EU92" s="90">
        <f ca="1">$ES92*EU$5*皮肤宠物!$J$76/4</f>
        <v>562.98425000000009</v>
      </c>
      <c r="EV92" s="90">
        <f ca="1">$ES92*EV$5*皮肤宠物!$J$77/4</f>
        <v>152.49618750000002</v>
      </c>
      <c r="EW92" s="90">
        <f ca="1">_xlfn.IFNA(INDEX(皮肤宠物!$H$18:$H$67,MATCH(ET92,皮肤宠物!L$18:L$67,1)),0)</f>
        <v>20</v>
      </c>
      <c r="EX92" s="90">
        <f ca="1">_xlfn.IFNA(INDEX(皮肤宠物!$H$18:$H$67,MATCH(EU92,皮肤宠物!M$18:M$67,1)),0)</f>
        <v>16</v>
      </c>
      <c r="EY92" s="90">
        <f ca="1">_xlfn.IFNA(INDEX(皮肤宠物!$H$18:$H$67,MATCH(EV92,皮肤宠物!N$18:N$67,1)),0)</f>
        <v>11</v>
      </c>
      <c r="EZ92" s="90">
        <f ca="1">_xlfn.IFNA(INDEX(皮肤宠物!C$18:C$67,MATCH(EW92,皮肤宠物!$A$18:$A$67,0))+1,1)</f>
        <v>1.2</v>
      </c>
      <c r="FA92" s="90">
        <f ca="1">_xlfn.IFNA(INDEX(皮肤宠物!D$18:D$67,MATCH(EX92,皮肤宠物!$A$18:$A$67,0))+1,1)</f>
        <v>1.32</v>
      </c>
      <c r="FB92" s="90">
        <f ca="1">_xlfn.IFNA(INDEX(皮肤宠物!E$18:E$67,MATCH(EY92,皮肤宠物!$A$18:$A$67,0))+1,1)</f>
        <v>1.44</v>
      </c>
      <c r="FD92" s="90">
        <f t="shared" ca="1" si="123"/>
        <v>10.119999999999999</v>
      </c>
      <c r="FE92" s="90">
        <f t="shared" si="124"/>
        <v>1.9800000000000002</v>
      </c>
      <c r="FF92" s="90">
        <f t="shared" ca="1" si="125"/>
        <v>1.44</v>
      </c>
      <c r="FG92" s="90">
        <f t="shared" ca="1" si="126"/>
        <v>28.854144000000002</v>
      </c>
    </row>
    <row r="93" spans="1:163" x14ac:dyDescent="0.25">
      <c r="A93" s="123">
        <v>87</v>
      </c>
      <c r="B93" s="123">
        <f>INDEX(关卡对比!$Y:$Y,MATCH(关卡对比!Z93,关卡对比!$AA:$AA,1))</f>
        <v>57</v>
      </c>
      <c r="C93" s="124">
        <f>INDEX(关卡对比!$Y:$Y,MATCH(关卡对比!Z93,关卡对比!$AB:$AB,1))</f>
        <v>47</v>
      </c>
      <c r="D93" s="125">
        <f t="shared" si="131"/>
        <v>351.5</v>
      </c>
      <c r="E93" s="125">
        <v>2</v>
      </c>
      <c r="F93" s="128">
        <v>16</v>
      </c>
      <c r="G93" s="90">
        <v>16</v>
      </c>
      <c r="H93" s="90">
        <v>5</v>
      </c>
      <c r="J93" s="128">
        <v>87</v>
      </c>
      <c r="K93" s="90">
        <f t="shared" si="88"/>
        <v>16</v>
      </c>
      <c r="L93" s="90">
        <f t="shared" si="89"/>
        <v>16</v>
      </c>
      <c r="M93" s="90">
        <f t="shared" si="90"/>
        <v>5</v>
      </c>
      <c r="N93" s="140">
        <f>INDEX($A:$A,MATCH(SUM($K$7:K93),$D:$D,1))</f>
        <v>200</v>
      </c>
      <c r="O93" s="140">
        <v>0</v>
      </c>
      <c r="P93" s="141">
        <v>0</v>
      </c>
      <c r="Q93" s="126">
        <f>_xlfn.MAXIFS(关卡产出!X:X,关卡产出!$A:$A,玩家节奏2!$N$6,关卡产出!$B:$B,玩家节奏2!$N93)+_xlfn.MAXIFS(关卡产出!X:X,关卡产出!$A:$A,玩家节奏2!$O$6,关卡产出!$B:$B,玩家节奏2!$O93)+_xlfn.MAXIFS(关卡产出!X:X,关卡产出!$A:$A,玩家节奏2!$P$6,关卡产出!$B:$B,玩家节奏2!$P93)</f>
        <v>38500</v>
      </c>
      <c r="R93" s="90">
        <f>_xlfn.MAXIFS(关卡产出!Y:Y,关卡产出!$A:$A,玩家节奏2!$N$6,关卡产出!$B:$B,玩家节奏2!$N93)+_xlfn.MAXIFS(关卡产出!Y:Y,关卡产出!$A:$A,玩家节奏2!$O$6,关卡产出!$B:$B,玩家节奏2!$O93)+_xlfn.MAXIFS(关卡产出!Y:Y,关卡产出!$A:$A,玩家节奏2!$P$6,关卡产出!$B:$B,玩家节奏2!$P93)</f>
        <v>11610000</v>
      </c>
      <c r="S93" s="90">
        <f>_xlfn.MAXIFS(关卡产出!Z:Z,关卡产出!$A:$A,玩家节奏2!$N$6,关卡产出!$B:$B,玩家节奏2!$N93)+_xlfn.MAXIFS(关卡产出!Z:Z,关卡产出!$A:$A,玩家节奏2!$O$6,关卡产出!$B:$B,玩家节奏2!$O93)+_xlfn.MAXIFS(关卡产出!Z:Z,关卡产出!$A:$A,玩家节奏2!$P$6,关卡产出!$B:$B,玩家节奏2!$P93)</f>
        <v>78866</v>
      </c>
      <c r="T93" s="90">
        <f>_xlfn.MAXIFS(关卡产出!AA:AA,关卡产出!$A:$A,玩家节奏2!$N$6,关卡产出!$B:$B,玩家节奏2!$N93)+_xlfn.MAXIFS(关卡产出!AA:AA,关卡产出!$A:$A,玩家节奏2!$O$6,关卡产出!$B:$B,玩家节奏2!$O93)+_xlfn.MAXIFS(关卡产出!AA:AA,关卡产出!$A:$A,玩家节奏2!$P$6,关卡产出!$B:$B,玩家节奏2!$P93)</f>
        <v>39434</v>
      </c>
      <c r="U93" s="90">
        <f>_xlfn.MAXIFS(关卡产出!AB:AB,关卡产出!$A:$A,玩家节奏2!$N$6,关卡产出!$B:$B,玩家节奏2!$N93)+_xlfn.MAXIFS(关卡产出!AB:AB,关卡产出!$A:$A,玩家节奏2!$O$6,关卡产出!$B:$B,玩家节奏2!$O93)+_xlfn.MAXIFS(关卡产出!AB:AB,关卡产出!$A:$A,玩家节奏2!$P$6,关卡产出!$B:$B,玩家节奏2!$P93)</f>
        <v>19113</v>
      </c>
      <c r="V93" s="130">
        <f>_xlfn.MAXIFS(关卡产出!AC:AC,关卡产出!$A:$A,玩家节奏2!$N$6,关卡产出!$B:$B,玩家节奏2!$N93)+_xlfn.MAXIFS(关卡产出!AC:AC,关卡产出!$A:$A,玩家节奏2!$O$6,关卡产出!$B:$B,玩家节奏2!$O93)+_xlfn.MAXIFS(关卡产出!AC:AC,关卡产出!$A:$A,玩家节奏2!$P$6,关卡产出!$B:$B,玩家节奏2!$P93)</f>
        <v>1200</v>
      </c>
      <c r="W93" s="126">
        <f>INDEX(关卡产出!C$8:C$207,MATCH(玩家节奏2!$N93,关卡产出!$B$8:$B$207,0))*$K93</f>
        <v>2528</v>
      </c>
      <c r="X93" s="126">
        <f>INDEX(关卡产出!D$8:D$207,MATCH(玩家节奏2!$N93,关卡产出!$B$8:$B$207,0))*$K93</f>
        <v>1264</v>
      </c>
      <c r="Y93" s="126">
        <f>INDEX(关卡产出!E$8:E$207,MATCH(玩家节奏2!$N93,关卡产出!$B$8:$B$207,0))*$K93</f>
        <v>624</v>
      </c>
      <c r="Z93" s="144">
        <f>INDEX(关卡产出!F$8:F$207,MATCH(玩家节奏2!$N93,关卡产出!$B$8:$B$207,0))*$K93</f>
        <v>32800</v>
      </c>
      <c r="AA93" s="126">
        <f>SUM(W$7:W93)</f>
        <v>161806</v>
      </c>
      <c r="AB93" s="126">
        <f>SUM(X$7:X93)</f>
        <v>80739</v>
      </c>
      <c r="AC93" s="126">
        <f>SUM(Y$7:Y93)</f>
        <v>39635</v>
      </c>
      <c r="AD93" s="177">
        <f>SUM(Z$7:Z93)</f>
        <v>2127130</v>
      </c>
      <c r="AE93" s="128">
        <f>INDEX(图鉴!AQ:AQ,MATCH($N93,图鉴!$S:$S,0))*34</f>
        <v>714</v>
      </c>
      <c r="AF93" s="90">
        <f>INDEX(图鉴!AR:AR,MATCH($N93,图鉴!$S:$S,0))*34</f>
        <v>510</v>
      </c>
      <c r="AG93" s="90">
        <f>INDEX(图鉴!AS:AS,MATCH($N93,图鉴!$S:$S,0))*34</f>
        <v>204</v>
      </c>
      <c r="AH93" s="129">
        <f ca="1">INDEX(图鉴!AT:AT,MATCH($N93,图鉴!$S:$S,0))*34</f>
        <v>55930</v>
      </c>
      <c r="AI93" s="128">
        <f>SUM($AE$7:AE93)</f>
        <v>60214</v>
      </c>
      <c r="AJ93" s="90">
        <f>SUM(AF$7:AF93)</f>
        <v>40902</v>
      </c>
      <c r="AK93" s="90">
        <f>SUM(AG$7:AG93)</f>
        <v>15810</v>
      </c>
      <c r="AL93" s="130">
        <f ca="1">SUM(AH$7:AH93)</f>
        <v>4036276</v>
      </c>
      <c r="AM93" s="133">
        <f>IF(M93=0,0,INDEX(关卡产出!$AU$11:$AU$15,MATCH(玩家节奏2!N93,关卡产出!$AW$11:$AW$15,1))*M93)</f>
        <v>61000</v>
      </c>
      <c r="AN93" s="126">
        <f>IF(L93=0,0,$L93*关卡产出!AU$21)</f>
        <v>16000</v>
      </c>
      <c r="AO93" s="90">
        <f>IF(M93=0,0,$L93*关卡产出!AV$21)</f>
        <v>800</v>
      </c>
      <c r="AP93" s="129">
        <f>IF(N93=0,0,$L93*关卡产出!AW$21)</f>
        <v>16</v>
      </c>
      <c r="AQ93" s="138">
        <f>SUM(AN$7:AN93)</f>
        <v>1344000</v>
      </c>
      <c r="AR93" s="126">
        <f>SUM(AO$7:AO93)</f>
        <v>67200</v>
      </c>
      <c r="AS93" s="129">
        <f>SUM(AP$7:AP93)</f>
        <v>1344</v>
      </c>
      <c r="AT93" s="128">
        <v>3000</v>
      </c>
      <c r="AU93" s="129">
        <v>600</v>
      </c>
      <c r="AV93" s="128">
        <f>SUM(AT$7:AT93)</f>
        <v>261000</v>
      </c>
      <c r="AW93" s="90">
        <f>SUM(AU$7:AU93)</f>
        <v>52200</v>
      </c>
      <c r="AY93" s="128">
        <f t="shared" si="91"/>
        <v>38500</v>
      </c>
      <c r="AZ93" s="90">
        <f t="shared" si="92"/>
        <v>67200</v>
      </c>
      <c r="BA93" s="90">
        <f t="shared" si="93"/>
        <v>52200</v>
      </c>
      <c r="BB93" s="90">
        <f t="shared" ca="1" si="127"/>
        <v>35000</v>
      </c>
      <c r="BC93" s="90">
        <f t="shared" ca="1" si="129"/>
        <v>98625</v>
      </c>
      <c r="BD93" s="90">
        <f t="shared" ca="1" si="130"/>
        <v>94275</v>
      </c>
      <c r="BE93" s="90">
        <f t="shared" ca="1" si="94"/>
        <v>192900</v>
      </c>
      <c r="BF93" s="142">
        <f t="shared" ca="1" si="75"/>
        <v>0.39036755386565275</v>
      </c>
      <c r="BG93" s="142">
        <f t="shared" ca="1" si="76"/>
        <v>0.68136882129277565</v>
      </c>
      <c r="BH93" s="142">
        <f t="shared" ca="1" si="77"/>
        <v>0.52927756653992397</v>
      </c>
      <c r="BI93" s="142">
        <f t="shared" ca="1" si="95"/>
        <v>0.35487959442332068</v>
      </c>
      <c r="BJ93" s="143"/>
      <c r="BK93" s="128">
        <f ca="1">INDEX(商城宝箱!$L:$L,MATCH(BC93,商城宝箱!$N:$N,1))</f>
        <v>11</v>
      </c>
      <c r="BL93" s="90">
        <f ca="1">_xlfn.IFNA(INDEX(商城宝箱!T:T,MATCH(玩家节奏2!$BK93,商城宝箱!$L:$L,0)),0)+($BC93-INDEX(商城宝箱!$N:$N,MATCH(玩家节奏2!$BK93,商城宝箱!$L:$L,0)))/$BK$5*INDEX(商城宝箱!E$23:E$42,MATCH(玩家节奏2!$BK93+1,商城宝箱!$C$23:$C$42,0))</f>
        <v>246562.5</v>
      </c>
      <c r="BM93" s="90">
        <f ca="1">_xlfn.IFNA(INDEX(商城宝箱!U:U,MATCH(玩家节奏2!$BK93,商城宝箱!$L:$L,0)),0)+($BC93-INDEX(商城宝箱!$N:$N,MATCH(玩家节奏2!$BK93,商城宝箱!$L:$L,0)))/$BK$5*INDEX(商城宝箱!F$23:F$42,MATCH(玩家节奏2!$BK93+1,商城宝箱!$C$23:$C$42,0))</f>
        <v>239305</v>
      </c>
      <c r="BN93" s="90">
        <f ca="1">_xlfn.IFNA(INDEX(商城宝箱!V:V,MATCH(玩家节奏2!$BK93,商城宝箱!$L:$L,0)),0)+($BC93-INDEX(商城宝箱!$N:$N,MATCH(玩家节奏2!$BK93,商城宝箱!$L:$L,0)))/$BK$5*INDEX(商城宝箱!G$23:G$42,MATCH(玩家节奏2!$BK93+1,商城宝箱!$C$23:$C$42,0))</f>
        <v>124805.75</v>
      </c>
      <c r="BO93" s="90">
        <f ca="1">_xlfn.IFNA(INDEX(商城宝箱!W:W,MATCH(玩家节奏2!$BK93,商城宝箱!$L:$L,0)),0)+($BC93-INDEX(商城宝箱!$N:$N,MATCH(玩家节奏2!$BK93,商城宝箱!$L:$L,0)))/$BK$5*INDEX(商城宝箱!H$23:H$42,MATCH(玩家节奏2!$BK93+1,商城宝箱!$C$23:$C$42,0))</f>
        <v>19089</v>
      </c>
      <c r="BQ93" s="128">
        <f t="shared" si="79"/>
        <v>11610000</v>
      </c>
      <c r="BR93" s="90">
        <f t="shared" si="80"/>
        <v>2127130</v>
      </c>
      <c r="BS93" s="90">
        <f t="shared" ca="1" si="81"/>
        <v>4036276</v>
      </c>
      <c r="BT93" s="90">
        <f t="shared" si="82"/>
        <v>61000</v>
      </c>
      <c r="BU93" s="90">
        <f t="shared" si="83"/>
        <v>1344000</v>
      </c>
      <c r="BV93" s="90">
        <f t="shared" si="84"/>
        <v>261000</v>
      </c>
      <c r="BW93" s="90">
        <f t="shared" ca="1" si="96"/>
        <v>246562.5</v>
      </c>
      <c r="BX93" s="90">
        <f t="shared" ca="1" si="97"/>
        <v>19685968.5</v>
      </c>
      <c r="BY93" s="142">
        <f t="shared" ca="1" si="74"/>
        <v>0.58976016343823778</v>
      </c>
      <c r="BZ93" s="142">
        <f t="shared" ca="1" si="74"/>
        <v>0.10805310391510582</v>
      </c>
      <c r="CA93" s="142">
        <f t="shared" ca="1" si="73"/>
        <v>0.20503314327664396</v>
      </c>
      <c r="CB93" s="142">
        <f t="shared" ca="1" si="73"/>
        <v>3.0986537441630062E-3</v>
      </c>
      <c r="CC93" s="142">
        <f t="shared" ca="1" si="73"/>
        <v>6.8271977576312787E-2</v>
      </c>
      <c r="CD93" s="142">
        <f t="shared" ca="1" si="73"/>
        <v>1.3258174216828601E-2</v>
      </c>
      <c r="CE93" s="142">
        <f t="shared" ca="1" si="73"/>
        <v>1.2524783832708053E-2</v>
      </c>
      <c r="CG93" s="128">
        <f t="shared" si="98"/>
        <v>200</v>
      </c>
      <c r="CH93" s="90">
        <f ca="1">INDEX(角色升级!$A:$A,MATCH(玩家节奏2!$BX93,角色升级!$J:$J,1))</f>
        <v>949</v>
      </c>
      <c r="CI93" s="90">
        <f ca="1">INDEX(角色升级!$O:$O,MATCH(玩家节奏2!$BX93,角色升级!$J:$J,1))</f>
        <v>80007.357979999986</v>
      </c>
      <c r="CJ93" s="90">
        <f>INDEX(关卡对比!$J:$J,MATCH(玩家节奏2!N93,关卡对比!$A:$A,0))</f>
        <v>86200</v>
      </c>
      <c r="CK93" s="147">
        <f t="shared" ca="1" si="99"/>
        <v>1.0774009063209915</v>
      </c>
      <c r="CL93" s="128">
        <f ca="1">INDEX(角色升级!$P:$P,MATCH(玩家节奏2!$CH93,角色升级!$A:$A,0))</f>
        <v>35000</v>
      </c>
      <c r="CM93" s="90">
        <f ca="1">INDEX(角色升级!Q:Q,MATCH(玩家节奏2!$CH93,角色升级!$A:$A,0))</f>
        <v>2</v>
      </c>
      <c r="CO93" s="128">
        <f t="shared" si="100"/>
        <v>78866</v>
      </c>
      <c r="CP93" s="90">
        <f t="shared" si="101"/>
        <v>161806</v>
      </c>
      <c r="CQ93" s="90">
        <f t="shared" si="102"/>
        <v>60214</v>
      </c>
      <c r="CR93" s="90">
        <f t="shared" ca="1" si="103"/>
        <v>239305</v>
      </c>
      <c r="CS93" s="90">
        <f t="shared" ca="1" si="104"/>
        <v>540191</v>
      </c>
      <c r="CT93" s="142">
        <f t="shared" ca="1" si="105"/>
        <v>0.14599650864231356</v>
      </c>
      <c r="CU93" s="142">
        <f t="shared" ca="1" si="105"/>
        <v>0.29953479417465306</v>
      </c>
      <c r="CV93" s="142">
        <f t="shared" ca="1" si="105"/>
        <v>0.11146798076976477</v>
      </c>
      <c r="CW93" s="142">
        <f t="shared" ca="1" si="105"/>
        <v>0.44300071641326866</v>
      </c>
      <c r="CY93" s="128">
        <f t="shared" si="106"/>
        <v>39434</v>
      </c>
      <c r="CZ93" s="90">
        <f t="shared" si="107"/>
        <v>80739</v>
      </c>
      <c r="DA93" s="90">
        <f t="shared" si="108"/>
        <v>40902</v>
      </c>
      <c r="DB93" s="90">
        <f t="shared" ca="1" si="128"/>
        <v>124805.75</v>
      </c>
      <c r="DC93" s="90">
        <f t="shared" ca="1" si="109"/>
        <v>285880.75</v>
      </c>
      <c r="DD93" s="142">
        <f t="shared" ca="1" si="110"/>
        <v>0.13793863350365493</v>
      </c>
      <c r="DE93" s="142">
        <f t="shared" ca="1" si="110"/>
        <v>0.28242195390910368</v>
      </c>
      <c r="DF93" s="142">
        <f t="shared" ca="1" si="110"/>
        <v>0.14307364171949319</v>
      </c>
      <c r="DG93" s="142">
        <f t="shared" ca="1" si="110"/>
        <v>0.43656577086774817</v>
      </c>
      <c r="DI93" s="128">
        <f t="shared" si="111"/>
        <v>19113</v>
      </c>
      <c r="DJ93" s="90">
        <f t="shared" si="112"/>
        <v>39635</v>
      </c>
      <c r="DK93" s="90">
        <f t="shared" si="113"/>
        <v>15810</v>
      </c>
      <c r="DL93" s="90">
        <f t="shared" ca="1" si="114"/>
        <v>19089</v>
      </c>
      <c r="DM93" s="90">
        <f t="shared" ca="1" si="115"/>
        <v>93647</v>
      </c>
      <c r="DN93" s="142">
        <f t="shared" ca="1" si="116"/>
        <v>0.20409623372879004</v>
      </c>
      <c r="DO93" s="142">
        <f t="shared" ca="1" si="116"/>
        <v>0.42323833117985626</v>
      </c>
      <c r="DP93" s="142">
        <f t="shared" ca="1" si="116"/>
        <v>0.16882548293057972</v>
      </c>
      <c r="DQ93" s="142">
        <f t="shared" ca="1" si="116"/>
        <v>0.20383995216077397</v>
      </c>
      <c r="DS93" s="128">
        <f t="shared" ca="1" si="117"/>
        <v>540191</v>
      </c>
      <c r="DT93" s="90">
        <f t="shared" ca="1" si="118"/>
        <v>285880.75</v>
      </c>
      <c r="DU93" s="90">
        <f t="shared" ca="1" si="119"/>
        <v>93647</v>
      </c>
      <c r="DV93" s="90">
        <f t="shared" si="120"/>
        <v>1344</v>
      </c>
      <c r="DW93" s="90">
        <f ca="1">_xlfn.IFNA(INDEX(武器升级消耗!$H:$H,MATCH(玩家节奏2!DS93/玩家节奏2!DS$5,武器升级消耗!M:M,1)),0)</f>
        <v>64</v>
      </c>
      <c r="DX93" s="90">
        <f ca="1">_xlfn.IFNA(INDEX(武器升级消耗!$H:$H,MATCH(玩家节奏2!DT93/玩家节奏2!DT$5,武器升级消耗!N:N,1)),0)</f>
        <v>56</v>
      </c>
      <c r="DY93" s="90">
        <f ca="1">_xlfn.IFNA(INDEX(武器升级消耗!$H:$H,MATCH(玩家节奏2!DU93/玩家节奏2!DU$5,武器升级消耗!O:O,1)),0)</f>
        <v>42</v>
      </c>
      <c r="DZ93" s="90">
        <f>_xlfn.IFNA(INDEX(武器升级消耗!$H:$H,MATCH(玩家节奏2!DV93/玩家节奏2!DV$5,武器升级消耗!P:P,1)),0)</f>
        <v>26</v>
      </c>
      <c r="EA93" s="90">
        <f ca="1">_xlfn.IFNA(INDEX(武器升级消耗!$Q:$Q,MATCH(玩家节奏2!DW93,武器升级消耗!$H:$H,0))*2*EA$4,0)</f>
        <v>8.16</v>
      </c>
      <c r="EB93" s="90">
        <f ca="1">_xlfn.IFNA(INDEX(武器升级消耗!$Q:$Q,MATCH(玩家节奏2!DX93,武器升级消耗!$H:$H,0))*2*EB$4,0)</f>
        <v>9</v>
      </c>
      <c r="EC93" s="90">
        <f ca="1">_xlfn.IFNA(INDEX(武器升级消耗!$Q:$Q,MATCH(玩家节奏2!DY93,武器升级消耗!$H:$H,0))*2*EC$4,0)</f>
        <v>10.119999999999999</v>
      </c>
      <c r="ED93" s="90">
        <f>_xlfn.IFNA(INDEX(武器升级消耗!$Q:$Q,MATCH(玩家节奏2!DZ93,武器升级消耗!$H:$H,0))*2*ED$4,0)</f>
        <v>9</v>
      </c>
      <c r="EF93" s="128">
        <f t="shared" si="85"/>
        <v>0</v>
      </c>
      <c r="EG93" s="90">
        <f t="shared" si="86"/>
        <v>0</v>
      </c>
      <c r="EH93" s="90">
        <v>261</v>
      </c>
      <c r="EI93" s="90">
        <v>261</v>
      </c>
      <c r="EJ93" s="90">
        <f>_xlfn.IFNA(INDEX(皮肤宠物!$J$4:$J$13,MATCH(EF93+EH93,皮肤宠物!$L$4:$L$13,1)),0)</f>
        <v>8</v>
      </c>
      <c r="EK93" s="90">
        <f>_xlfn.IFNA(INDEX(皮肤宠物!$J$4:$J$13,MATCH(EG93+EI93,皮肤宠物!$L$4:$L$13,1)),0)</f>
        <v>8</v>
      </c>
      <c r="EL93" s="90">
        <f>_xlfn.IFNA(INDEX(皮肤宠物!$N$4:$N$13,MATCH(EF93+EH93,皮肤宠物!$L$4:$L$13,1)),1)</f>
        <v>1.9800000000000002</v>
      </c>
      <c r="EM93" s="90">
        <f>_xlfn.IFNA(INDEX(皮肤宠物!$N$4:$N$13,MATCH(EG93+EI93,皮肤宠物!$L$4:$L$13,1)),1)</f>
        <v>1.9800000000000002</v>
      </c>
      <c r="EO93" s="128">
        <v>261</v>
      </c>
      <c r="EP93" s="90">
        <v>87</v>
      </c>
      <c r="EQ93" s="90">
        <f t="shared" ca="1" si="121"/>
        <v>94275</v>
      </c>
      <c r="ER93" s="90">
        <f t="shared" si="87"/>
        <v>0</v>
      </c>
      <c r="ES93" s="90">
        <f t="shared" ca="1" si="122"/>
        <v>1029.75</v>
      </c>
      <c r="ET93" s="90">
        <f ca="1">$ES93*ET$5*皮肤宠物!$J$75/4</f>
        <v>3399.2047499999999</v>
      </c>
      <c r="EU93" s="90">
        <f ca="1">$ES93*EU$5*皮肤宠物!$J$76/4</f>
        <v>567.39224999999999</v>
      </c>
      <c r="EV93" s="90">
        <f ca="1">$ES93*EV$5*皮肤宠物!$J$77/4</f>
        <v>153.69018750000001</v>
      </c>
      <c r="EW93" s="90">
        <f ca="1">_xlfn.IFNA(INDEX(皮肤宠物!$H$18:$H$67,MATCH(ET93,皮肤宠物!L$18:L$67,1)),0)</f>
        <v>20</v>
      </c>
      <c r="EX93" s="90">
        <f ca="1">_xlfn.IFNA(INDEX(皮肤宠物!$H$18:$H$67,MATCH(EU93,皮肤宠物!M$18:M$67,1)),0)</f>
        <v>16</v>
      </c>
      <c r="EY93" s="90">
        <f ca="1">_xlfn.IFNA(INDEX(皮肤宠物!$H$18:$H$67,MATCH(EV93,皮肤宠物!N$18:N$67,1)),0)</f>
        <v>11</v>
      </c>
      <c r="EZ93" s="90">
        <f ca="1">_xlfn.IFNA(INDEX(皮肤宠物!C$18:C$67,MATCH(EW93,皮肤宠物!$A$18:$A$67,0))+1,1)</f>
        <v>1.2</v>
      </c>
      <c r="FA93" s="90">
        <f ca="1">_xlfn.IFNA(INDEX(皮肤宠物!D$18:D$67,MATCH(EX93,皮肤宠物!$A$18:$A$67,0))+1,1)</f>
        <v>1.32</v>
      </c>
      <c r="FB93" s="90">
        <f ca="1">_xlfn.IFNA(INDEX(皮肤宠物!E$18:E$67,MATCH(EY93,皮肤宠物!$A$18:$A$67,0))+1,1)</f>
        <v>1.44</v>
      </c>
      <c r="FD93" s="90">
        <f t="shared" ca="1" si="123"/>
        <v>10.119999999999999</v>
      </c>
      <c r="FE93" s="90">
        <f t="shared" si="124"/>
        <v>1.9800000000000002</v>
      </c>
      <c r="FF93" s="90">
        <f t="shared" ca="1" si="125"/>
        <v>1.44</v>
      </c>
      <c r="FG93" s="90">
        <f t="shared" ca="1" si="126"/>
        <v>28.854144000000002</v>
      </c>
    </row>
    <row r="94" spans="1:163" x14ac:dyDescent="0.25">
      <c r="A94" s="123">
        <v>88</v>
      </c>
      <c r="B94" s="123">
        <f>INDEX(关卡对比!$Y:$Y,MATCH(关卡对比!Z94,关卡对比!$AA:$AA,1))</f>
        <v>57</v>
      </c>
      <c r="C94" s="124">
        <f>INDEX(关卡对比!$Y:$Y,MATCH(关卡对比!Z94,关卡对比!$AB:$AB,1))</f>
        <v>47</v>
      </c>
      <c r="D94" s="125">
        <f t="shared" si="131"/>
        <v>353.5</v>
      </c>
      <c r="E94" s="125">
        <v>2</v>
      </c>
      <c r="F94" s="128">
        <v>16</v>
      </c>
      <c r="G94" s="90">
        <v>16</v>
      </c>
      <c r="H94" s="90">
        <v>5</v>
      </c>
      <c r="J94" s="128">
        <v>88</v>
      </c>
      <c r="K94" s="90">
        <f t="shared" si="88"/>
        <v>16</v>
      </c>
      <c r="L94" s="90">
        <f t="shared" si="89"/>
        <v>16</v>
      </c>
      <c r="M94" s="90">
        <f t="shared" si="90"/>
        <v>5</v>
      </c>
      <c r="N94" s="140">
        <f>INDEX($A:$A,MATCH(SUM($K$7:K94),$D:$D,1))</f>
        <v>200</v>
      </c>
      <c r="O94" s="140">
        <v>0</v>
      </c>
      <c r="P94" s="141">
        <v>0</v>
      </c>
      <c r="Q94" s="126">
        <f>_xlfn.MAXIFS(关卡产出!X:X,关卡产出!$A:$A,玩家节奏2!$N$6,关卡产出!$B:$B,玩家节奏2!$N94)+_xlfn.MAXIFS(关卡产出!X:X,关卡产出!$A:$A,玩家节奏2!$O$6,关卡产出!$B:$B,玩家节奏2!$O94)+_xlfn.MAXIFS(关卡产出!X:X,关卡产出!$A:$A,玩家节奏2!$P$6,关卡产出!$B:$B,玩家节奏2!$P94)</f>
        <v>38500</v>
      </c>
      <c r="R94" s="90">
        <f>_xlfn.MAXIFS(关卡产出!Y:Y,关卡产出!$A:$A,玩家节奏2!$N$6,关卡产出!$B:$B,玩家节奏2!$N94)+_xlfn.MAXIFS(关卡产出!Y:Y,关卡产出!$A:$A,玩家节奏2!$O$6,关卡产出!$B:$B,玩家节奏2!$O94)+_xlfn.MAXIFS(关卡产出!Y:Y,关卡产出!$A:$A,玩家节奏2!$P$6,关卡产出!$B:$B,玩家节奏2!$P94)</f>
        <v>11610000</v>
      </c>
      <c r="S94" s="90">
        <f>_xlfn.MAXIFS(关卡产出!Z:Z,关卡产出!$A:$A,玩家节奏2!$N$6,关卡产出!$B:$B,玩家节奏2!$N94)+_xlfn.MAXIFS(关卡产出!Z:Z,关卡产出!$A:$A,玩家节奏2!$O$6,关卡产出!$B:$B,玩家节奏2!$O94)+_xlfn.MAXIFS(关卡产出!Z:Z,关卡产出!$A:$A,玩家节奏2!$P$6,关卡产出!$B:$B,玩家节奏2!$P94)</f>
        <v>78866</v>
      </c>
      <c r="T94" s="90">
        <f>_xlfn.MAXIFS(关卡产出!AA:AA,关卡产出!$A:$A,玩家节奏2!$N$6,关卡产出!$B:$B,玩家节奏2!$N94)+_xlfn.MAXIFS(关卡产出!AA:AA,关卡产出!$A:$A,玩家节奏2!$O$6,关卡产出!$B:$B,玩家节奏2!$O94)+_xlfn.MAXIFS(关卡产出!AA:AA,关卡产出!$A:$A,玩家节奏2!$P$6,关卡产出!$B:$B,玩家节奏2!$P94)</f>
        <v>39434</v>
      </c>
      <c r="U94" s="90">
        <f>_xlfn.MAXIFS(关卡产出!AB:AB,关卡产出!$A:$A,玩家节奏2!$N$6,关卡产出!$B:$B,玩家节奏2!$N94)+_xlfn.MAXIFS(关卡产出!AB:AB,关卡产出!$A:$A,玩家节奏2!$O$6,关卡产出!$B:$B,玩家节奏2!$O94)+_xlfn.MAXIFS(关卡产出!AB:AB,关卡产出!$A:$A,玩家节奏2!$P$6,关卡产出!$B:$B,玩家节奏2!$P94)</f>
        <v>19113</v>
      </c>
      <c r="V94" s="130">
        <f>_xlfn.MAXIFS(关卡产出!AC:AC,关卡产出!$A:$A,玩家节奏2!$N$6,关卡产出!$B:$B,玩家节奏2!$N94)+_xlfn.MAXIFS(关卡产出!AC:AC,关卡产出!$A:$A,玩家节奏2!$O$6,关卡产出!$B:$B,玩家节奏2!$O94)+_xlfn.MAXIFS(关卡产出!AC:AC,关卡产出!$A:$A,玩家节奏2!$P$6,关卡产出!$B:$B,玩家节奏2!$P94)</f>
        <v>1200</v>
      </c>
      <c r="W94" s="126">
        <f>INDEX(关卡产出!C$8:C$207,MATCH(玩家节奏2!$N94,关卡产出!$B$8:$B$207,0))*$K94</f>
        <v>2528</v>
      </c>
      <c r="X94" s="126">
        <f>INDEX(关卡产出!D$8:D$207,MATCH(玩家节奏2!$N94,关卡产出!$B$8:$B$207,0))*$K94</f>
        <v>1264</v>
      </c>
      <c r="Y94" s="126">
        <f>INDEX(关卡产出!E$8:E$207,MATCH(玩家节奏2!$N94,关卡产出!$B$8:$B$207,0))*$K94</f>
        <v>624</v>
      </c>
      <c r="Z94" s="144">
        <f>INDEX(关卡产出!F$8:F$207,MATCH(玩家节奏2!$N94,关卡产出!$B$8:$B$207,0))*$K94</f>
        <v>32800</v>
      </c>
      <c r="AA94" s="126">
        <f>SUM(W$7:W94)</f>
        <v>164334</v>
      </c>
      <c r="AB94" s="126">
        <f>SUM(X$7:X94)</f>
        <v>82003</v>
      </c>
      <c r="AC94" s="126">
        <f>SUM(Y$7:Y94)</f>
        <v>40259</v>
      </c>
      <c r="AD94" s="177">
        <f>SUM(Z$7:Z94)</f>
        <v>2159930</v>
      </c>
      <c r="AE94" s="128">
        <f>INDEX(图鉴!AQ:AQ,MATCH($N94,图鉴!$S:$S,0))*34</f>
        <v>714</v>
      </c>
      <c r="AF94" s="90">
        <f>INDEX(图鉴!AR:AR,MATCH($N94,图鉴!$S:$S,0))*34</f>
        <v>510</v>
      </c>
      <c r="AG94" s="90">
        <f>INDEX(图鉴!AS:AS,MATCH($N94,图鉴!$S:$S,0))*34</f>
        <v>204</v>
      </c>
      <c r="AH94" s="129">
        <f ca="1">INDEX(图鉴!AT:AT,MATCH($N94,图鉴!$S:$S,0))*34</f>
        <v>55930</v>
      </c>
      <c r="AI94" s="128">
        <f>SUM($AE$7:AE94)</f>
        <v>60928</v>
      </c>
      <c r="AJ94" s="90">
        <f>SUM(AF$7:AF94)</f>
        <v>41412</v>
      </c>
      <c r="AK94" s="90">
        <f>SUM(AG$7:AG94)</f>
        <v>16014</v>
      </c>
      <c r="AL94" s="130">
        <f ca="1">SUM(AH$7:AH94)</f>
        <v>4092206</v>
      </c>
      <c r="AM94" s="133">
        <f>IF(M94=0,0,INDEX(关卡产出!$AU$11:$AU$15,MATCH(玩家节奏2!N94,关卡产出!$AW$11:$AW$15,1))*M94)</f>
        <v>61000</v>
      </c>
      <c r="AN94" s="126">
        <f>IF(L94=0,0,$L94*关卡产出!AU$21)</f>
        <v>16000</v>
      </c>
      <c r="AO94" s="90">
        <f>IF(M94=0,0,$L94*关卡产出!AV$21)</f>
        <v>800</v>
      </c>
      <c r="AP94" s="129">
        <f>IF(N94=0,0,$L94*关卡产出!AW$21)</f>
        <v>16</v>
      </c>
      <c r="AQ94" s="138">
        <f>SUM(AN$7:AN94)</f>
        <v>1360000</v>
      </c>
      <c r="AR94" s="126">
        <f>SUM(AO$7:AO94)</f>
        <v>68000</v>
      </c>
      <c r="AS94" s="129">
        <f>SUM(AP$7:AP94)</f>
        <v>1360</v>
      </c>
      <c r="AT94" s="128">
        <v>3000</v>
      </c>
      <c r="AU94" s="129">
        <v>600</v>
      </c>
      <c r="AV94" s="128">
        <f>SUM(AT$7:AT94)</f>
        <v>264000</v>
      </c>
      <c r="AW94" s="90">
        <f>SUM(AU$7:AU94)</f>
        <v>52800</v>
      </c>
      <c r="AY94" s="128">
        <f t="shared" si="91"/>
        <v>38500</v>
      </c>
      <c r="AZ94" s="90">
        <f t="shared" si="92"/>
        <v>68000</v>
      </c>
      <c r="BA94" s="90">
        <f t="shared" si="93"/>
        <v>52800</v>
      </c>
      <c r="BB94" s="90">
        <f t="shared" ca="1" si="127"/>
        <v>35000</v>
      </c>
      <c r="BC94" s="90">
        <f t="shared" ca="1" si="129"/>
        <v>99325</v>
      </c>
      <c r="BD94" s="90">
        <f t="shared" ca="1" si="130"/>
        <v>94975</v>
      </c>
      <c r="BE94" s="90">
        <f t="shared" ca="1" si="94"/>
        <v>194300</v>
      </c>
      <c r="BF94" s="142">
        <f t="shared" ca="1" si="75"/>
        <v>0.38761641077271586</v>
      </c>
      <c r="BG94" s="142">
        <f t="shared" ca="1" si="76"/>
        <v>0.68462119305310853</v>
      </c>
      <c r="BH94" s="142">
        <f t="shared" ca="1" si="77"/>
        <v>0.53158822048829601</v>
      </c>
      <c r="BI94" s="142">
        <f t="shared" ca="1" si="95"/>
        <v>0.3523785552479235</v>
      </c>
      <c r="BJ94" s="143"/>
      <c r="BK94" s="128">
        <f ca="1">INDEX(商城宝箱!$L:$L,MATCH(BC94,商城宝箱!$N:$N,1))</f>
        <v>11</v>
      </c>
      <c r="BL94" s="90">
        <f ca="1">_xlfn.IFNA(INDEX(商城宝箱!T:T,MATCH(玩家节奏2!$BK94,商城宝箱!$L:$L,0)),0)+($BC94-INDEX(商城宝箱!$N:$N,MATCH(玩家节奏2!$BK94,商城宝箱!$L:$L,0)))/$BK$5*INDEX(商城宝箱!E$23:E$42,MATCH(玩家节奏2!$BK94+1,商城宝箱!$C$23:$C$42,0))</f>
        <v>248312.5</v>
      </c>
      <c r="BM94" s="90">
        <f ca="1">_xlfn.IFNA(INDEX(商城宝箱!U:U,MATCH(玩家节奏2!$BK94,商城宝箱!$L:$L,0)),0)+($BC94-INDEX(商城宝箱!$N:$N,MATCH(玩家节奏2!$BK94,商城宝箱!$L:$L,0)))/$BK$5*INDEX(商城宝箱!F$23:F$42,MATCH(玩家节奏2!$BK94+1,商城宝箱!$C$23:$C$42,0))</f>
        <v>241895</v>
      </c>
      <c r="BN94" s="90">
        <f ca="1">_xlfn.IFNA(INDEX(商城宝箱!V:V,MATCH(玩家节奏2!$BK94,商城宝箱!$L:$L,0)),0)+($BC94-INDEX(商城宝箱!$N:$N,MATCH(玩家节奏2!$BK94,商城宝箱!$L:$L,0)))/$BK$5*INDEX(商城宝箱!G$23:G$42,MATCH(玩家节奏2!$BK94+1,商城宝箱!$C$23:$C$42,0))</f>
        <v>126030.75</v>
      </c>
      <c r="BO94" s="90">
        <f ca="1">_xlfn.IFNA(INDEX(商城宝箱!W:W,MATCH(玩家节奏2!$BK94,商城宝箱!$L:$L,0)),0)+($BC94-INDEX(商城宝箱!$N:$N,MATCH(玩家节奏2!$BK94,商城宝箱!$L:$L,0)))/$BK$5*INDEX(商城宝箱!H$23:H$42,MATCH(玩家节奏2!$BK94+1,商城宝箱!$C$23:$C$42,0))</f>
        <v>19299</v>
      </c>
      <c r="BQ94" s="128">
        <f t="shared" si="79"/>
        <v>11610000</v>
      </c>
      <c r="BR94" s="90">
        <f t="shared" si="80"/>
        <v>2159930</v>
      </c>
      <c r="BS94" s="90">
        <f t="shared" ca="1" si="81"/>
        <v>4092206</v>
      </c>
      <c r="BT94" s="90">
        <f t="shared" si="82"/>
        <v>61000</v>
      </c>
      <c r="BU94" s="90">
        <f t="shared" si="83"/>
        <v>1360000</v>
      </c>
      <c r="BV94" s="90">
        <f t="shared" si="84"/>
        <v>264000</v>
      </c>
      <c r="BW94" s="90">
        <f t="shared" ca="1" si="96"/>
        <v>248312.5</v>
      </c>
      <c r="BX94" s="90">
        <f t="shared" ca="1" si="97"/>
        <v>19795448.5</v>
      </c>
      <c r="BY94" s="142">
        <f t="shared" ca="1" si="74"/>
        <v>0.58649845695590075</v>
      </c>
      <c r="BZ94" s="142">
        <f t="shared" ca="1" si="74"/>
        <v>0.10911245582538835</v>
      </c>
      <c r="CA94" s="142">
        <f t="shared" ca="1" si="73"/>
        <v>0.20672459126147105</v>
      </c>
      <c r="CB94" s="142">
        <f t="shared" ca="1" si="73"/>
        <v>3.0815164405090393E-3</v>
      </c>
      <c r="CC94" s="142">
        <f t="shared" ca="1" si="73"/>
        <v>6.8702661624463826E-2</v>
      </c>
      <c r="CD94" s="142">
        <f t="shared" ca="1" si="73"/>
        <v>1.3336399021219449E-2</v>
      </c>
      <c r="CE94" s="142">
        <f t="shared" ca="1" si="73"/>
        <v>1.2543918871047555E-2</v>
      </c>
      <c r="CG94" s="128">
        <f t="shared" si="98"/>
        <v>200</v>
      </c>
      <c r="CH94" s="90">
        <f ca="1">INDEX(角色升级!$A:$A,MATCH(玩家节奏2!$BX94,角色升级!$J:$J,1))</f>
        <v>952</v>
      </c>
      <c r="CI94" s="90">
        <f ca="1">INDEX(角色升级!$O:$O,MATCH(玩家节奏2!$BX94,角色升级!$J:$J,1))</f>
        <v>80137.414609999993</v>
      </c>
      <c r="CJ94" s="90">
        <f>INDEX(关卡对比!$J:$J,MATCH(玩家节奏2!N94,关卡对比!$A:$A,0))</f>
        <v>86200</v>
      </c>
      <c r="CK94" s="147">
        <f t="shared" ca="1" si="99"/>
        <v>1.075652370612459</v>
      </c>
      <c r="CL94" s="128">
        <f ca="1">INDEX(角色升级!$P:$P,MATCH(玩家节奏2!$CH94,角色升级!$A:$A,0))</f>
        <v>35000</v>
      </c>
      <c r="CM94" s="90">
        <f ca="1">INDEX(角色升级!Q:Q,MATCH(玩家节奏2!$CH94,角色升级!$A:$A,0))</f>
        <v>2.1</v>
      </c>
      <c r="CO94" s="128">
        <f t="shared" si="100"/>
        <v>78866</v>
      </c>
      <c r="CP94" s="90">
        <f t="shared" si="101"/>
        <v>164334</v>
      </c>
      <c r="CQ94" s="90">
        <f t="shared" si="102"/>
        <v>60928</v>
      </c>
      <c r="CR94" s="90">
        <f t="shared" ca="1" si="103"/>
        <v>241895</v>
      </c>
      <c r="CS94" s="90">
        <f t="shared" ca="1" si="104"/>
        <v>546023</v>
      </c>
      <c r="CT94" s="142">
        <f t="shared" ca="1" si="105"/>
        <v>0.1444371390948733</v>
      </c>
      <c r="CU94" s="142">
        <f t="shared" ca="1" si="105"/>
        <v>0.30096534395071267</v>
      </c>
      <c r="CV94" s="142">
        <f t="shared" ca="1" si="105"/>
        <v>0.11158504312089418</v>
      </c>
      <c r="CW94" s="142">
        <f t="shared" ca="1" si="105"/>
        <v>0.44301247383351983</v>
      </c>
      <c r="CY94" s="128">
        <f t="shared" si="106"/>
        <v>39434</v>
      </c>
      <c r="CZ94" s="90">
        <f t="shared" si="107"/>
        <v>82003</v>
      </c>
      <c r="DA94" s="90">
        <f t="shared" si="108"/>
        <v>41412</v>
      </c>
      <c r="DB94" s="90">
        <f t="shared" ca="1" si="128"/>
        <v>126030.75</v>
      </c>
      <c r="DC94" s="90">
        <f t="shared" ca="1" si="109"/>
        <v>288879.75</v>
      </c>
      <c r="DD94" s="142">
        <f t="shared" ca="1" si="110"/>
        <v>0.13650662602691951</v>
      </c>
      <c r="DE94" s="142">
        <f t="shared" ca="1" si="110"/>
        <v>0.2838655184380352</v>
      </c>
      <c r="DF94" s="142">
        <f t="shared" ca="1" si="110"/>
        <v>0.14335376571047295</v>
      </c>
      <c r="DG94" s="142">
        <f t="shared" ca="1" si="110"/>
        <v>0.43627408982457233</v>
      </c>
      <c r="DI94" s="128">
        <f t="shared" si="111"/>
        <v>19113</v>
      </c>
      <c r="DJ94" s="90">
        <f t="shared" si="112"/>
        <v>40259</v>
      </c>
      <c r="DK94" s="90">
        <f t="shared" si="113"/>
        <v>16014</v>
      </c>
      <c r="DL94" s="90">
        <f t="shared" ca="1" si="114"/>
        <v>19299</v>
      </c>
      <c r="DM94" s="90">
        <f t="shared" ca="1" si="115"/>
        <v>94685</v>
      </c>
      <c r="DN94" s="142">
        <f t="shared" ca="1" si="116"/>
        <v>0.20185879495168188</v>
      </c>
      <c r="DO94" s="142">
        <f t="shared" ca="1" si="116"/>
        <v>0.42518878386228021</v>
      </c>
      <c r="DP94" s="142">
        <f t="shared" ca="1" si="116"/>
        <v>0.16912921793314675</v>
      </c>
      <c r="DQ94" s="142">
        <f t="shared" ca="1" si="116"/>
        <v>0.20382320325289116</v>
      </c>
      <c r="DS94" s="128">
        <f t="shared" ca="1" si="117"/>
        <v>546023</v>
      </c>
      <c r="DT94" s="90">
        <f t="shared" ca="1" si="118"/>
        <v>288879.75</v>
      </c>
      <c r="DU94" s="90">
        <f t="shared" ca="1" si="119"/>
        <v>94685</v>
      </c>
      <c r="DV94" s="90">
        <f t="shared" si="120"/>
        <v>1360</v>
      </c>
      <c r="DW94" s="90">
        <f ca="1">_xlfn.IFNA(INDEX(武器升级消耗!$H:$H,MATCH(玩家节奏2!DS94/玩家节奏2!DS$5,武器升级消耗!M:M,1)),0)</f>
        <v>64</v>
      </c>
      <c r="DX94" s="90">
        <f ca="1">_xlfn.IFNA(INDEX(武器升级消耗!$H:$H,MATCH(玩家节奏2!DT94/玩家节奏2!DT$5,武器升级消耗!N:N,1)),0)</f>
        <v>57</v>
      </c>
      <c r="DY94" s="90">
        <f ca="1">_xlfn.IFNA(INDEX(武器升级消耗!$H:$H,MATCH(玩家节奏2!DU94/玩家节奏2!DU$5,武器升级消耗!O:O,1)),0)</f>
        <v>42</v>
      </c>
      <c r="DZ94" s="90">
        <f>_xlfn.IFNA(INDEX(武器升级消耗!$H:$H,MATCH(玩家节奏2!DV94/玩家节奏2!DV$5,武器升级消耗!P:P,1)),0)</f>
        <v>27</v>
      </c>
      <c r="EA94" s="90">
        <f ca="1">_xlfn.IFNA(INDEX(武器升级消耗!$Q:$Q,MATCH(玩家节奏2!DW94,武器升级消耗!$H:$H,0))*2*EA$4,0)</f>
        <v>8.16</v>
      </c>
      <c r="EB94" s="90">
        <f ca="1">_xlfn.IFNA(INDEX(武器升级消耗!$Q:$Q,MATCH(玩家节奏2!DX94,武器升级消耗!$H:$H,0))*2*EB$4,0)</f>
        <v>9.1499999999999986</v>
      </c>
      <c r="EC94" s="90">
        <f ca="1">_xlfn.IFNA(INDEX(武器升级消耗!$Q:$Q,MATCH(玩家节奏2!DY94,武器升级消耗!$H:$H,0))*2*EC$4,0)</f>
        <v>10.119999999999999</v>
      </c>
      <c r="ED94" s="90">
        <f>_xlfn.IFNA(INDEX(武器升级消耗!$Q:$Q,MATCH(玩家节奏2!DZ94,武器升级消耗!$H:$H,0))*2*ED$4,0)</f>
        <v>9.3000000000000007</v>
      </c>
      <c r="EF94" s="128">
        <f t="shared" si="85"/>
        <v>0</v>
      </c>
      <c r="EG94" s="90">
        <f t="shared" si="86"/>
        <v>0</v>
      </c>
      <c r="EH94" s="90">
        <v>264</v>
      </c>
      <c r="EI94" s="90">
        <v>264</v>
      </c>
      <c r="EJ94" s="90">
        <f>_xlfn.IFNA(INDEX(皮肤宠物!$J$4:$J$13,MATCH(EF94+EH94,皮肤宠物!$L$4:$L$13,1)),0)</f>
        <v>8</v>
      </c>
      <c r="EK94" s="90">
        <f>_xlfn.IFNA(INDEX(皮肤宠物!$J$4:$J$13,MATCH(EG94+EI94,皮肤宠物!$L$4:$L$13,1)),0)</f>
        <v>8</v>
      </c>
      <c r="EL94" s="90">
        <f>_xlfn.IFNA(INDEX(皮肤宠物!$N$4:$N$13,MATCH(EF94+EH94,皮肤宠物!$L$4:$L$13,1)),1)</f>
        <v>1.9800000000000002</v>
      </c>
      <c r="EM94" s="90">
        <f>_xlfn.IFNA(INDEX(皮肤宠物!$N$4:$N$13,MATCH(EG94+EI94,皮肤宠物!$L$4:$L$13,1)),1)</f>
        <v>1.9800000000000002</v>
      </c>
      <c r="EO94" s="128">
        <v>264</v>
      </c>
      <c r="EP94" s="90">
        <v>88</v>
      </c>
      <c r="EQ94" s="90">
        <f t="shared" ca="1" si="121"/>
        <v>94975</v>
      </c>
      <c r="ER94" s="90">
        <f t="shared" si="87"/>
        <v>0</v>
      </c>
      <c r="ES94" s="90">
        <f t="shared" ca="1" si="122"/>
        <v>1037.75</v>
      </c>
      <c r="ET94" s="90">
        <f ca="1">$ES94*ET$5*皮肤宠物!$J$75/4</f>
        <v>3425.6127500000002</v>
      </c>
      <c r="EU94" s="90">
        <f ca="1">$ES94*EU$5*皮肤宠物!$J$76/4</f>
        <v>571.80025000000001</v>
      </c>
      <c r="EV94" s="90">
        <f ca="1">$ES94*EV$5*皮肤宠物!$J$77/4</f>
        <v>154.8841875</v>
      </c>
      <c r="EW94" s="90">
        <f ca="1">_xlfn.IFNA(INDEX(皮肤宠物!$H$18:$H$67,MATCH(ET94,皮肤宠物!L$18:L$67,1)),0)</f>
        <v>20</v>
      </c>
      <c r="EX94" s="90">
        <f ca="1">_xlfn.IFNA(INDEX(皮肤宠物!$H$18:$H$67,MATCH(EU94,皮肤宠物!M$18:M$67,1)),0)</f>
        <v>16</v>
      </c>
      <c r="EY94" s="90">
        <f ca="1">_xlfn.IFNA(INDEX(皮肤宠物!$H$18:$H$67,MATCH(EV94,皮肤宠物!N$18:N$67,1)),0)</f>
        <v>11</v>
      </c>
      <c r="EZ94" s="90">
        <f ca="1">_xlfn.IFNA(INDEX(皮肤宠物!C$18:C$67,MATCH(EW94,皮肤宠物!$A$18:$A$67,0))+1,1)</f>
        <v>1.2</v>
      </c>
      <c r="FA94" s="90">
        <f ca="1">_xlfn.IFNA(INDEX(皮肤宠物!D$18:D$67,MATCH(EX94,皮肤宠物!$A$18:$A$67,0))+1,1)</f>
        <v>1.32</v>
      </c>
      <c r="FB94" s="90">
        <f ca="1">_xlfn.IFNA(INDEX(皮肤宠物!E$18:E$67,MATCH(EY94,皮肤宠物!$A$18:$A$67,0))+1,1)</f>
        <v>1.44</v>
      </c>
      <c r="FD94" s="90">
        <f t="shared" ca="1" si="123"/>
        <v>10.119999999999999</v>
      </c>
      <c r="FE94" s="90">
        <f t="shared" si="124"/>
        <v>1.9800000000000002</v>
      </c>
      <c r="FF94" s="90">
        <f t="shared" ca="1" si="125"/>
        <v>1.44</v>
      </c>
      <c r="FG94" s="90">
        <f t="shared" ca="1" si="126"/>
        <v>28.854144000000002</v>
      </c>
    </row>
    <row r="95" spans="1:163" x14ac:dyDescent="0.25">
      <c r="A95" s="123">
        <v>89</v>
      </c>
      <c r="B95" s="123">
        <f>INDEX(关卡对比!$Y:$Y,MATCH(关卡对比!Z95,关卡对比!$AA:$AA,1))</f>
        <v>58</v>
      </c>
      <c r="C95" s="124">
        <f>INDEX(关卡对比!$Y:$Y,MATCH(关卡对比!Z95,关卡对比!$AB:$AB,1))</f>
        <v>48</v>
      </c>
      <c r="D95" s="125">
        <f t="shared" si="131"/>
        <v>359.5</v>
      </c>
      <c r="E95" s="125">
        <v>2</v>
      </c>
      <c r="F95" s="128">
        <v>16</v>
      </c>
      <c r="G95" s="90">
        <v>16</v>
      </c>
      <c r="H95" s="90">
        <v>5</v>
      </c>
      <c r="J95" s="128">
        <v>89</v>
      </c>
      <c r="K95" s="90">
        <f t="shared" si="88"/>
        <v>16</v>
      </c>
      <c r="L95" s="90">
        <f t="shared" si="89"/>
        <v>16</v>
      </c>
      <c r="M95" s="90">
        <f t="shared" si="90"/>
        <v>5</v>
      </c>
      <c r="N95" s="140">
        <f>INDEX($A:$A,MATCH(SUM($K$7:K95),$D:$D,1))</f>
        <v>200</v>
      </c>
      <c r="O95" s="140">
        <v>0</v>
      </c>
      <c r="P95" s="141">
        <v>0</v>
      </c>
      <c r="Q95" s="126">
        <f>_xlfn.MAXIFS(关卡产出!X:X,关卡产出!$A:$A,玩家节奏2!$N$6,关卡产出!$B:$B,玩家节奏2!$N95)+_xlfn.MAXIFS(关卡产出!X:X,关卡产出!$A:$A,玩家节奏2!$O$6,关卡产出!$B:$B,玩家节奏2!$O95)+_xlfn.MAXIFS(关卡产出!X:X,关卡产出!$A:$A,玩家节奏2!$P$6,关卡产出!$B:$B,玩家节奏2!$P95)</f>
        <v>38500</v>
      </c>
      <c r="R95" s="90">
        <f>_xlfn.MAXIFS(关卡产出!Y:Y,关卡产出!$A:$A,玩家节奏2!$N$6,关卡产出!$B:$B,玩家节奏2!$N95)+_xlfn.MAXIFS(关卡产出!Y:Y,关卡产出!$A:$A,玩家节奏2!$O$6,关卡产出!$B:$B,玩家节奏2!$O95)+_xlfn.MAXIFS(关卡产出!Y:Y,关卡产出!$A:$A,玩家节奏2!$P$6,关卡产出!$B:$B,玩家节奏2!$P95)</f>
        <v>11610000</v>
      </c>
      <c r="S95" s="90">
        <f>_xlfn.MAXIFS(关卡产出!Z:Z,关卡产出!$A:$A,玩家节奏2!$N$6,关卡产出!$B:$B,玩家节奏2!$N95)+_xlfn.MAXIFS(关卡产出!Z:Z,关卡产出!$A:$A,玩家节奏2!$O$6,关卡产出!$B:$B,玩家节奏2!$O95)+_xlfn.MAXIFS(关卡产出!Z:Z,关卡产出!$A:$A,玩家节奏2!$P$6,关卡产出!$B:$B,玩家节奏2!$P95)</f>
        <v>78866</v>
      </c>
      <c r="T95" s="90">
        <f>_xlfn.MAXIFS(关卡产出!AA:AA,关卡产出!$A:$A,玩家节奏2!$N$6,关卡产出!$B:$B,玩家节奏2!$N95)+_xlfn.MAXIFS(关卡产出!AA:AA,关卡产出!$A:$A,玩家节奏2!$O$6,关卡产出!$B:$B,玩家节奏2!$O95)+_xlfn.MAXIFS(关卡产出!AA:AA,关卡产出!$A:$A,玩家节奏2!$P$6,关卡产出!$B:$B,玩家节奏2!$P95)</f>
        <v>39434</v>
      </c>
      <c r="U95" s="90">
        <f>_xlfn.MAXIFS(关卡产出!AB:AB,关卡产出!$A:$A,玩家节奏2!$N$6,关卡产出!$B:$B,玩家节奏2!$N95)+_xlfn.MAXIFS(关卡产出!AB:AB,关卡产出!$A:$A,玩家节奏2!$O$6,关卡产出!$B:$B,玩家节奏2!$O95)+_xlfn.MAXIFS(关卡产出!AB:AB,关卡产出!$A:$A,玩家节奏2!$P$6,关卡产出!$B:$B,玩家节奏2!$P95)</f>
        <v>19113</v>
      </c>
      <c r="V95" s="130">
        <f>_xlfn.MAXIFS(关卡产出!AC:AC,关卡产出!$A:$A,玩家节奏2!$N$6,关卡产出!$B:$B,玩家节奏2!$N95)+_xlfn.MAXIFS(关卡产出!AC:AC,关卡产出!$A:$A,玩家节奏2!$O$6,关卡产出!$B:$B,玩家节奏2!$O95)+_xlfn.MAXIFS(关卡产出!AC:AC,关卡产出!$A:$A,玩家节奏2!$P$6,关卡产出!$B:$B,玩家节奏2!$P95)</f>
        <v>1200</v>
      </c>
      <c r="W95" s="126">
        <f>INDEX(关卡产出!C$8:C$207,MATCH(玩家节奏2!$N95,关卡产出!$B$8:$B$207,0))*$K95</f>
        <v>2528</v>
      </c>
      <c r="X95" s="126">
        <f>INDEX(关卡产出!D$8:D$207,MATCH(玩家节奏2!$N95,关卡产出!$B$8:$B$207,0))*$K95</f>
        <v>1264</v>
      </c>
      <c r="Y95" s="126">
        <f>INDEX(关卡产出!E$8:E$207,MATCH(玩家节奏2!$N95,关卡产出!$B$8:$B$207,0))*$K95</f>
        <v>624</v>
      </c>
      <c r="Z95" s="144">
        <f>INDEX(关卡产出!F$8:F$207,MATCH(玩家节奏2!$N95,关卡产出!$B$8:$B$207,0))*$K95</f>
        <v>32800</v>
      </c>
      <c r="AA95" s="126">
        <f>SUM(W$7:W95)</f>
        <v>166862</v>
      </c>
      <c r="AB95" s="126">
        <f>SUM(X$7:X95)</f>
        <v>83267</v>
      </c>
      <c r="AC95" s="126">
        <f>SUM(Y$7:Y95)</f>
        <v>40883</v>
      </c>
      <c r="AD95" s="177">
        <f>SUM(Z$7:Z95)</f>
        <v>2192730</v>
      </c>
      <c r="AE95" s="128">
        <f>INDEX(图鉴!AQ:AQ,MATCH($N95,图鉴!$S:$S,0))*34</f>
        <v>714</v>
      </c>
      <c r="AF95" s="90">
        <f>INDEX(图鉴!AR:AR,MATCH($N95,图鉴!$S:$S,0))*34</f>
        <v>510</v>
      </c>
      <c r="AG95" s="90">
        <f>INDEX(图鉴!AS:AS,MATCH($N95,图鉴!$S:$S,0))*34</f>
        <v>204</v>
      </c>
      <c r="AH95" s="129">
        <f ca="1">INDEX(图鉴!AT:AT,MATCH($N95,图鉴!$S:$S,0))*34</f>
        <v>55930</v>
      </c>
      <c r="AI95" s="128">
        <f>SUM($AE$7:AE95)</f>
        <v>61642</v>
      </c>
      <c r="AJ95" s="90">
        <f>SUM(AF$7:AF95)</f>
        <v>41922</v>
      </c>
      <c r="AK95" s="90">
        <f>SUM(AG$7:AG95)</f>
        <v>16218</v>
      </c>
      <c r="AL95" s="130">
        <f ca="1">SUM(AH$7:AH95)</f>
        <v>4148136</v>
      </c>
      <c r="AM95" s="133">
        <f>IF(M95=0,0,INDEX(关卡产出!$AU$11:$AU$15,MATCH(玩家节奏2!N95,关卡产出!$AW$11:$AW$15,1))*M95)</f>
        <v>61000</v>
      </c>
      <c r="AN95" s="126">
        <f>IF(L95=0,0,$L95*关卡产出!AU$21)</f>
        <v>16000</v>
      </c>
      <c r="AO95" s="90">
        <f>IF(M95=0,0,$L95*关卡产出!AV$21)</f>
        <v>800</v>
      </c>
      <c r="AP95" s="129">
        <f>IF(N95=0,0,$L95*关卡产出!AW$21)</f>
        <v>16</v>
      </c>
      <c r="AQ95" s="138">
        <f>SUM(AN$7:AN95)</f>
        <v>1376000</v>
      </c>
      <c r="AR95" s="126">
        <f>SUM(AO$7:AO95)</f>
        <v>68800</v>
      </c>
      <c r="AS95" s="129">
        <f>SUM(AP$7:AP95)</f>
        <v>1376</v>
      </c>
      <c r="AT95" s="128">
        <v>3000</v>
      </c>
      <c r="AU95" s="129">
        <v>600</v>
      </c>
      <c r="AV95" s="128">
        <f>SUM(AT$7:AT95)</f>
        <v>267000</v>
      </c>
      <c r="AW95" s="90">
        <f>SUM(AU$7:AU95)</f>
        <v>53400</v>
      </c>
      <c r="AY95" s="128">
        <f t="shared" si="91"/>
        <v>38500</v>
      </c>
      <c r="AZ95" s="90">
        <f t="shared" si="92"/>
        <v>68800</v>
      </c>
      <c r="BA95" s="90">
        <f t="shared" si="93"/>
        <v>53400</v>
      </c>
      <c r="BB95" s="90">
        <f t="shared" ca="1" si="127"/>
        <v>35000</v>
      </c>
      <c r="BC95" s="90">
        <f t="shared" ca="1" si="129"/>
        <v>100025</v>
      </c>
      <c r="BD95" s="90">
        <f t="shared" ca="1" si="130"/>
        <v>95675</v>
      </c>
      <c r="BE95" s="90">
        <f t="shared" ca="1" si="94"/>
        <v>195700</v>
      </c>
      <c r="BF95" s="142">
        <f t="shared" ca="1" si="75"/>
        <v>0.3849037740564859</v>
      </c>
      <c r="BG95" s="142">
        <f t="shared" ca="1" si="76"/>
        <v>0.68782804298925271</v>
      </c>
      <c r="BH95" s="142">
        <f t="shared" ca="1" si="77"/>
        <v>0.53386653336665835</v>
      </c>
      <c r="BI95" s="142">
        <f t="shared" ca="1" si="95"/>
        <v>0.34991252186953264</v>
      </c>
      <c r="BJ95" s="143"/>
      <c r="BK95" s="128">
        <f ca="1">INDEX(商城宝箱!$L:$L,MATCH(BC95,商城宝箱!$N:$N,1))</f>
        <v>11</v>
      </c>
      <c r="BL95" s="90">
        <f ca="1">_xlfn.IFNA(INDEX(商城宝箱!T:T,MATCH(玩家节奏2!$BK95,商城宝箱!$L:$L,0)),0)+($BC95-INDEX(商城宝箱!$N:$N,MATCH(玩家节奏2!$BK95,商城宝箱!$L:$L,0)))/$BK$5*INDEX(商城宝箱!E$23:E$42,MATCH(玩家节奏2!$BK95+1,商城宝箱!$C$23:$C$42,0))</f>
        <v>250062.5</v>
      </c>
      <c r="BM95" s="90">
        <f ca="1">_xlfn.IFNA(INDEX(商城宝箱!U:U,MATCH(玩家节奏2!$BK95,商城宝箱!$L:$L,0)),0)+($BC95-INDEX(商城宝箱!$N:$N,MATCH(玩家节奏2!$BK95,商城宝箱!$L:$L,0)))/$BK$5*INDEX(商城宝箱!F$23:F$42,MATCH(玩家节奏2!$BK95+1,商城宝箱!$C$23:$C$42,0))</f>
        <v>244485</v>
      </c>
      <c r="BN95" s="90">
        <f ca="1">_xlfn.IFNA(INDEX(商城宝箱!V:V,MATCH(玩家节奏2!$BK95,商城宝箱!$L:$L,0)),0)+($BC95-INDEX(商城宝箱!$N:$N,MATCH(玩家节奏2!$BK95,商城宝箱!$L:$L,0)))/$BK$5*INDEX(商城宝箱!G$23:G$42,MATCH(玩家节奏2!$BK95+1,商城宝箱!$C$23:$C$42,0))</f>
        <v>127255.75</v>
      </c>
      <c r="BO95" s="90">
        <f ca="1">_xlfn.IFNA(INDEX(商城宝箱!W:W,MATCH(玩家节奏2!$BK95,商城宝箱!$L:$L,0)),0)+($BC95-INDEX(商城宝箱!$N:$N,MATCH(玩家节奏2!$BK95,商城宝箱!$L:$L,0)))/$BK$5*INDEX(商城宝箱!H$23:H$42,MATCH(玩家节奏2!$BK95+1,商城宝箱!$C$23:$C$42,0))</f>
        <v>19509</v>
      </c>
      <c r="BQ95" s="128">
        <f t="shared" si="79"/>
        <v>11610000</v>
      </c>
      <c r="BR95" s="90">
        <f t="shared" si="80"/>
        <v>2192730</v>
      </c>
      <c r="BS95" s="90">
        <f t="shared" ca="1" si="81"/>
        <v>4148136</v>
      </c>
      <c r="BT95" s="90">
        <f t="shared" si="82"/>
        <v>61000</v>
      </c>
      <c r="BU95" s="90">
        <f t="shared" si="83"/>
        <v>1376000</v>
      </c>
      <c r="BV95" s="90">
        <f t="shared" si="84"/>
        <v>267000</v>
      </c>
      <c r="BW95" s="90">
        <f t="shared" ca="1" si="96"/>
        <v>250062.5</v>
      </c>
      <c r="BX95" s="90">
        <f t="shared" ca="1" si="97"/>
        <v>19904928.5</v>
      </c>
      <c r="BY95" s="142">
        <f t="shared" ca="1" si="74"/>
        <v>0.58327263019307007</v>
      </c>
      <c r="BZ95" s="142">
        <f t="shared" ca="1" si="74"/>
        <v>0.11016015455669685</v>
      </c>
      <c r="CA95" s="142">
        <f t="shared" ca="1" si="73"/>
        <v>0.20839743282674941</v>
      </c>
      <c r="CB95" s="142">
        <f t="shared" ca="1" si="73"/>
        <v>3.0645676521771983E-3</v>
      </c>
      <c r="CC95" s="142">
        <f t="shared" ca="1" si="73"/>
        <v>6.9128608022882371E-2</v>
      </c>
      <c r="CD95" s="142">
        <f t="shared" ca="1" si="73"/>
        <v>1.3413763330021507E-2</v>
      </c>
      <c r="CE95" s="142">
        <f t="shared" ca="1" si="73"/>
        <v>1.2562843418402633E-2</v>
      </c>
      <c r="CG95" s="128">
        <f t="shared" si="98"/>
        <v>200</v>
      </c>
      <c r="CH95" s="90">
        <f ca="1">INDEX(角色升级!$A:$A,MATCH(玩家节奏2!$BX95,角色升级!$J:$J,1))</f>
        <v>955</v>
      </c>
      <c r="CI95" s="90">
        <f ca="1">INDEX(角色升级!$O:$O,MATCH(玩家节奏2!$BX95,角色升级!$J:$J,1))</f>
        <v>80241.444139999992</v>
      </c>
      <c r="CJ95" s="90">
        <f>INDEX(关卡对比!$J:$J,MATCH(玩家节奏2!N95,关卡对比!$A:$A,0))</f>
        <v>86200</v>
      </c>
      <c r="CK95" s="147">
        <f t="shared" ca="1" si="99"/>
        <v>1.0742578342633504</v>
      </c>
      <c r="CL95" s="128">
        <f ca="1">INDEX(角色升级!$P:$P,MATCH(玩家节奏2!$CH95,角色升级!$A:$A,0))</f>
        <v>35000</v>
      </c>
      <c r="CM95" s="90">
        <f ca="1">INDEX(角色升级!Q:Q,MATCH(玩家节奏2!$CH95,角色升级!$A:$A,0))</f>
        <v>2.1</v>
      </c>
      <c r="CO95" s="128">
        <f t="shared" si="100"/>
        <v>78866</v>
      </c>
      <c r="CP95" s="90">
        <f t="shared" si="101"/>
        <v>166862</v>
      </c>
      <c r="CQ95" s="90">
        <f t="shared" si="102"/>
        <v>61642</v>
      </c>
      <c r="CR95" s="90">
        <f t="shared" ca="1" si="103"/>
        <v>244485</v>
      </c>
      <c r="CS95" s="90">
        <f t="shared" ca="1" si="104"/>
        <v>551855</v>
      </c>
      <c r="CT95" s="142">
        <f t="shared" ca="1" si="105"/>
        <v>0.14291072836161672</v>
      </c>
      <c r="CU95" s="142">
        <f t="shared" ca="1" si="105"/>
        <v>0.30236565764557721</v>
      </c>
      <c r="CV95" s="142">
        <f t="shared" ca="1" si="105"/>
        <v>0.11169963124371438</v>
      </c>
      <c r="CW95" s="142">
        <f t="shared" ca="1" si="105"/>
        <v>0.44302398274909172</v>
      </c>
      <c r="CY95" s="128">
        <f t="shared" si="106"/>
        <v>39434</v>
      </c>
      <c r="CZ95" s="90">
        <f t="shared" si="107"/>
        <v>83267</v>
      </c>
      <c r="DA95" s="90">
        <f t="shared" si="108"/>
        <v>41922</v>
      </c>
      <c r="DB95" s="90">
        <f t="shared" ca="1" si="128"/>
        <v>127255.75</v>
      </c>
      <c r="DC95" s="90">
        <f t="shared" ca="1" si="109"/>
        <v>291878.75</v>
      </c>
      <c r="DD95" s="142">
        <f t="shared" ca="1" si="110"/>
        <v>0.13510404577243118</v>
      </c>
      <c r="DE95" s="142">
        <f t="shared" ca="1" si="110"/>
        <v>0.28527941825158565</v>
      </c>
      <c r="DF95" s="142">
        <f t="shared" ca="1" si="110"/>
        <v>0.14362813325738855</v>
      </c>
      <c r="DG95" s="142">
        <f t="shared" ca="1" si="110"/>
        <v>0.43598840271859463</v>
      </c>
      <c r="DI95" s="128">
        <f t="shared" si="111"/>
        <v>19113</v>
      </c>
      <c r="DJ95" s="90">
        <f t="shared" si="112"/>
        <v>40883</v>
      </c>
      <c r="DK95" s="90">
        <f t="shared" si="113"/>
        <v>16218</v>
      </c>
      <c r="DL95" s="90">
        <f t="shared" ca="1" si="114"/>
        <v>19509</v>
      </c>
      <c r="DM95" s="90">
        <f t="shared" ca="1" si="115"/>
        <v>95723</v>
      </c>
      <c r="DN95" s="142">
        <f t="shared" ca="1" si="116"/>
        <v>0.19966988080189715</v>
      </c>
      <c r="DO95" s="142">
        <f t="shared" ca="1" si="116"/>
        <v>0.42709693595060749</v>
      </c>
      <c r="DP95" s="142">
        <f t="shared" ca="1" si="116"/>
        <v>0.16942636565924596</v>
      </c>
      <c r="DQ95" s="142">
        <f t="shared" ca="1" si="116"/>
        <v>0.20380681758824942</v>
      </c>
      <c r="DS95" s="128">
        <f t="shared" ca="1" si="117"/>
        <v>551855</v>
      </c>
      <c r="DT95" s="90">
        <f t="shared" ca="1" si="118"/>
        <v>291878.75</v>
      </c>
      <c r="DU95" s="90">
        <f t="shared" ca="1" si="119"/>
        <v>95723</v>
      </c>
      <c r="DV95" s="90">
        <f t="shared" si="120"/>
        <v>1376</v>
      </c>
      <c r="DW95" s="90">
        <f ca="1">_xlfn.IFNA(INDEX(武器升级消耗!$H:$H,MATCH(玩家节奏2!DS95/玩家节奏2!DS$5,武器升级消耗!M:M,1)),0)</f>
        <v>65</v>
      </c>
      <c r="DX95" s="90">
        <f ca="1">_xlfn.IFNA(INDEX(武器升级消耗!$H:$H,MATCH(玩家节奏2!DT95/玩家节奏2!DT$5,武器升级消耗!N:N,1)),0)</f>
        <v>57</v>
      </c>
      <c r="DY95" s="90">
        <f ca="1">_xlfn.IFNA(INDEX(武器升级消耗!$H:$H,MATCH(玩家节奏2!DU95/玩家节奏2!DU$5,武器升级消耗!O:O,1)),0)</f>
        <v>43</v>
      </c>
      <c r="DZ95" s="90">
        <f>_xlfn.IFNA(INDEX(武器升级消耗!$H:$H,MATCH(玩家节奏2!DV95/玩家节奏2!DV$5,武器升级消耗!P:P,1)),0)</f>
        <v>27</v>
      </c>
      <c r="EA95" s="90">
        <f ca="1">_xlfn.IFNA(INDEX(武器升级消耗!$Q:$Q,MATCH(玩家节奏2!DW95,武器升级消耗!$H:$H,0))*2*EA$4,0)</f>
        <v>8.2799999999999994</v>
      </c>
      <c r="EB95" s="90">
        <f ca="1">_xlfn.IFNA(INDEX(武器升级消耗!$Q:$Q,MATCH(玩家节奏2!DX95,武器升级消耗!$H:$H,0))*2*EB$4,0)</f>
        <v>9.1499999999999986</v>
      </c>
      <c r="EC95" s="90">
        <f ca="1">_xlfn.IFNA(INDEX(武器升级消耗!$Q:$Q,MATCH(玩家节奏2!DY95,武器升级消耗!$H:$H,0))*2*EC$4,0)</f>
        <v>10.340000000000002</v>
      </c>
      <c r="ED95" s="90">
        <f>_xlfn.IFNA(INDEX(武器升级消耗!$Q:$Q,MATCH(玩家节奏2!DZ95,武器升级消耗!$H:$H,0))*2*ED$4,0)</f>
        <v>9.3000000000000007</v>
      </c>
      <c r="EF95" s="128">
        <f t="shared" si="85"/>
        <v>0</v>
      </c>
      <c r="EG95" s="90">
        <f t="shared" si="86"/>
        <v>0</v>
      </c>
      <c r="EH95" s="90">
        <v>267</v>
      </c>
      <c r="EI95" s="90">
        <v>267</v>
      </c>
      <c r="EJ95" s="90">
        <f>_xlfn.IFNA(INDEX(皮肤宠物!$J$4:$J$13,MATCH(EF95+EH95,皮肤宠物!$L$4:$L$13,1)),0)</f>
        <v>8</v>
      </c>
      <c r="EK95" s="90">
        <f>_xlfn.IFNA(INDEX(皮肤宠物!$J$4:$J$13,MATCH(EG95+EI95,皮肤宠物!$L$4:$L$13,1)),0)</f>
        <v>8</v>
      </c>
      <c r="EL95" s="90">
        <f>_xlfn.IFNA(INDEX(皮肤宠物!$N$4:$N$13,MATCH(EF95+EH95,皮肤宠物!$L$4:$L$13,1)),1)</f>
        <v>1.9800000000000002</v>
      </c>
      <c r="EM95" s="90">
        <f>_xlfn.IFNA(INDEX(皮肤宠物!$N$4:$N$13,MATCH(EG95+EI95,皮肤宠物!$L$4:$L$13,1)),1)</f>
        <v>1.9800000000000002</v>
      </c>
      <c r="EO95" s="128">
        <v>267</v>
      </c>
      <c r="EP95" s="90">
        <v>89</v>
      </c>
      <c r="EQ95" s="90">
        <f t="shared" ca="1" si="121"/>
        <v>95675</v>
      </c>
      <c r="ER95" s="90">
        <f t="shared" si="87"/>
        <v>0</v>
      </c>
      <c r="ES95" s="90">
        <f t="shared" ca="1" si="122"/>
        <v>1045.75</v>
      </c>
      <c r="ET95" s="90">
        <f ca="1">$ES95*ET$5*皮肤宠物!$J$75/4</f>
        <v>3452.0207500000001</v>
      </c>
      <c r="EU95" s="90">
        <f ca="1">$ES95*EU$5*皮肤宠物!$J$76/4</f>
        <v>576.20825000000002</v>
      </c>
      <c r="EV95" s="90">
        <f ca="1">$ES95*EV$5*皮肤宠物!$J$77/4</f>
        <v>156.07818750000001</v>
      </c>
      <c r="EW95" s="90">
        <f ca="1">_xlfn.IFNA(INDEX(皮肤宠物!$H$18:$H$67,MATCH(ET95,皮肤宠物!L$18:L$67,1)),0)</f>
        <v>20</v>
      </c>
      <c r="EX95" s="90">
        <f ca="1">_xlfn.IFNA(INDEX(皮肤宠物!$H$18:$H$67,MATCH(EU95,皮肤宠物!M$18:M$67,1)),0)</f>
        <v>16</v>
      </c>
      <c r="EY95" s="90">
        <f ca="1">_xlfn.IFNA(INDEX(皮肤宠物!$H$18:$H$67,MATCH(EV95,皮肤宠物!N$18:N$67,1)),0)</f>
        <v>12</v>
      </c>
      <c r="EZ95" s="90">
        <f ca="1">_xlfn.IFNA(INDEX(皮肤宠物!C$18:C$67,MATCH(EW95,皮肤宠物!$A$18:$A$67,0))+1,1)</f>
        <v>1.2</v>
      </c>
      <c r="FA95" s="90">
        <f ca="1">_xlfn.IFNA(INDEX(皮肤宠物!D$18:D$67,MATCH(EX95,皮肤宠物!$A$18:$A$67,0))+1,1)</f>
        <v>1.32</v>
      </c>
      <c r="FB95" s="90">
        <f ca="1">_xlfn.IFNA(INDEX(皮肤宠物!E$18:E$67,MATCH(EY95,皮肤宠物!$A$18:$A$67,0))+1,1)</f>
        <v>1.48</v>
      </c>
      <c r="FD95" s="90">
        <f t="shared" ca="1" si="123"/>
        <v>10.340000000000002</v>
      </c>
      <c r="FE95" s="90">
        <f t="shared" si="124"/>
        <v>1.9800000000000002</v>
      </c>
      <c r="FF95" s="90">
        <f t="shared" ca="1" si="125"/>
        <v>1.48</v>
      </c>
      <c r="FG95" s="90">
        <f t="shared" ca="1" si="126"/>
        <v>30.300336000000005</v>
      </c>
    </row>
    <row r="96" spans="1:163" x14ac:dyDescent="0.25">
      <c r="A96" s="123">
        <v>90</v>
      </c>
      <c r="B96" s="123">
        <f>INDEX(关卡对比!$Y:$Y,MATCH(关卡对比!Z96,关卡对比!$AA:$AA,1))</f>
        <v>58</v>
      </c>
      <c r="C96" s="124">
        <f>INDEX(关卡对比!$Y:$Y,MATCH(关卡对比!Z96,关卡对比!$AB:$AB,1))</f>
        <v>48</v>
      </c>
      <c r="D96" s="125">
        <f t="shared" si="131"/>
        <v>361.5</v>
      </c>
      <c r="E96" s="125">
        <v>2</v>
      </c>
      <c r="F96" s="128">
        <v>16</v>
      </c>
      <c r="G96" s="90">
        <v>16</v>
      </c>
      <c r="H96" s="90">
        <v>5</v>
      </c>
      <c r="J96" s="128">
        <v>90</v>
      </c>
      <c r="K96" s="90">
        <f t="shared" si="88"/>
        <v>16</v>
      </c>
      <c r="L96" s="90">
        <f t="shared" si="89"/>
        <v>16</v>
      </c>
      <c r="M96" s="90">
        <f t="shared" si="90"/>
        <v>5</v>
      </c>
      <c r="N96" s="140">
        <f>INDEX($A:$A,MATCH(SUM($K$7:K96),$D:$D,1))</f>
        <v>200</v>
      </c>
      <c r="O96" s="140">
        <v>0</v>
      </c>
      <c r="P96" s="141">
        <v>0</v>
      </c>
      <c r="Q96" s="126">
        <f>_xlfn.MAXIFS(关卡产出!X:X,关卡产出!$A:$A,玩家节奏2!$N$6,关卡产出!$B:$B,玩家节奏2!$N96)+_xlfn.MAXIFS(关卡产出!X:X,关卡产出!$A:$A,玩家节奏2!$O$6,关卡产出!$B:$B,玩家节奏2!$O96)+_xlfn.MAXIFS(关卡产出!X:X,关卡产出!$A:$A,玩家节奏2!$P$6,关卡产出!$B:$B,玩家节奏2!$P96)</f>
        <v>38500</v>
      </c>
      <c r="R96" s="90">
        <f>_xlfn.MAXIFS(关卡产出!Y:Y,关卡产出!$A:$A,玩家节奏2!$N$6,关卡产出!$B:$B,玩家节奏2!$N96)+_xlfn.MAXIFS(关卡产出!Y:Y,关卡产出!$A:$A,玩家节奏2!$O$6,关卡产出!$B:$B,玩家节奏2!$O96)+_xlfn.MAXIFS(关卡产出!Y:Y,关卡产出!$A:$A,玩家节奏2!$P$6,关卡产出!$B:$B,玩家节奏2!$P96)</f>
        <v>11610000</v>
      </c>
      <c r="S96" s="90">
        <f>_xlfn.MAXIFS(关卡产出!Z:Z,关卡产出!$A:$A,玩家节奏2!$N$6,关卡产出!$B:$B,玩家节奏2!$N96)+_xlfn.MAXIFS(关卡产出!Z:Z,关卡产出!$A:$A,玩家节奏2!$O$6,关卡产出!$B:$B,玩家节奏2!$O96)+_xlfn.MAXIFS(关卡产出!Z:Z,关卡产出!$A:$A,玩家节奏2!$P$6,关卡产出!$B:$B,玩家节奏2!$P96)</f>
        <v>78866</v>
      </c>
      <c r="T96" s="90">
        <f>_xlfn.MAXIFS(关卡产出!AA:AA,关卡产出!$A:$A,玩家节奏2!$N$6,关卡产出!$B:$B,玩家节奏2!$N96)+_xlfn.MAXIFS(关卡产出!AA:AA,关卡产出!$A:$A,玩家节奏2!$O$6,关卡产出!$B:$B,玩家节奏2!$O96)+_xlfn.MAXIFS(关卡产出!AA:AA,关卡产出!$A:$A,玩家节奏2!$P$6,关卡产出!$B:$B,玩家节奏2!$P96)</f>
        <v>39434</v>
      </c>
      <c r="U96" s="90">
        <f>_xlfn.MAXIFS(关卡产出!AB:AB,关卡产出!$A:$A,玩家节奏2!$N$6,关卡产出!$B:$B,玩家节奏2!$N96)+_xlfn.MAXIFS(关卡产出!AB:AB,关卡产出!$A:$A,玩家节奏2!$O$6,关卡产出!$B:$B,玩家节奏2!$O96)+_xlfn.MAXIFS(关卡产出!AB:AB,关卡产出!$A:$A,玩家节奏2!$P$6,关卡产出!$B:$B,玩家节奏2!$P96)</f>
        <v>19113</v>
      </c>
      <c r="V96" s="130">
        <f>_xlfn.MAXIFS(关卡产出!AC:AC,关卡产出!$A:$A,玩家节奏2!$N$6,关卡产出!$B:$B,玩家节奏2!$N96)+_xlfn.MAXIFS(关卡产出!AC:AC,关卡产出!$A:$A,玩家节奏2!$O$6,关卡产出!$B:$B,玩家节奏2!$O96)+_xlfn.MAXIFS(关卡产出!AC:AC,关卡产出!$A:$A,玩家节奏2!$P$6,关卡产出!$B:$B,玩家节奏2!$P96)</f>
        <v>1200</v>
      </c>
      <c r="W96" s="126">
        <f>INDEX(关卡产出!C$8:C$207,MATCH(玩家节奏2!$N96,关卡产出!$B$8:$B$207,0))*$K96</f>
        <v>2528</v>
      </c>
      <c r="X96" s="126">
        <f>INDEX(关卡产出!D$8:D$207,MATCH(玩家节奏2!$N96,关卡产出!$B$8:$B$207,0))*$K96</f>
        <v>1264</v>
      </c>
      <c r="Y96" s="126">
        <f>INDEX(关卡产出!E$8:E$207,MATCH(玩家节奏2!$N96,关卡产出!$B$8:$B$207,0))*$K96</f>
        <v>624</v>
      </c>
      <c r="Z96" s="144">
        <f>INDEX(关卡产出!F$8:F$207,MATCH(玩家节奏2!$N96,关卡产出!$B$8:$B$207,0))*$K96</f>
        <v>32800</v>
      </c>
      <c r="AA96" s="126">
        <f>SUM(W$7:W96)</f>
        <v>169390</v>
      </c>
      <c r="AB96" s="126">
        <f>SUM(X$7:X96)</f>
        <v>84531</v>
      </c>
      <c r="AC96" s="126">
        <f>SUM(Y$7:Y96)</f>
        <v>41507</v>
      </c>
      <c r="AD96" s="177">
        <f>SUM(Z$7:Z96)</f>
        <v>2225530</v>
      </c>
      <c r="AE96" s="128">
        <f>INDEX(图鉴!AQ:AQ,MATCH($N96,图鉴!$S:$S,0))*34</f>
        <v>714</v>
      </c>
      <c r="AF96" s="90">
        <f>INDEX(图鉴!AR:AR,MATCH($N96,图鉴!$S:$S,0))*34</f>
        <v>510</v>
      </c>
      <c r="AG96" s="90">
        <f>INDEX(图鉴!AS:AS,MATCH($N96,图鉴!$S:$S,0))*34</f>
        <v>204</v>
      </c>
      <c r="AH96" s="129">
        <f ca="1">INDEX(图鉴!AT:AT,MATCH($N96,图鉴!$S:$S,0))*34</f>
        <v>55930</v>
      </c>
      <c r="AI96" s="128">
        <f>SUM($AE$7:AE96)</f>
        <v>62356</v>
      </c>
      <c r="AJ96" s="90">
        <f>SUM(AF$7:AF96)</f>
        <v>42432</v>
      </c>
      <c r="AK96" s="90">
        <f>SUM(AG$7:AG96)</f>
        <v>16422</v>
      </c>
      <c r="AL96" s="130">
        <f ca="1">SUM(AH$7:AH96)</f>
        <v>4204066</v>
      </c>
      <c r="AM96" s="133">
        <f>IF(M96=0,0,INDEX(关卡产出!$AU$11:$AU$15,MATCH(玩家节奏2!N96,关卡产出!$AW$11:$AW$15,1))*M96)</f>
        <v>61000</v>
      </c>
      <c r="AN96" s="126">
        <f>IF(L96=0,0,$L96*关卡产出!AU$21)</f>
        <v>16000</v>
      </c>
      <c r="AO96" s="90">
        <f>IF(M96=0,0,$L96*关卡产出!AV$21)</f>
        <v>800</v>
      </c>
      <c r="AP96" s="129">
        <f>IF(N96=0,0,$L96*关卡产出!AW$21)</f>
        <v>16</v>
      </c>
      <c r="AQ96" s="138">
        <f>SUM(AN$7:AN96)</f>
        <v>1392000</v>
      </c>
      <c r="AR96" s="126">
        <f>SUM(AO$7:AO96)</f>
        <v>69600</v>
      </c>
      <c r="AS96" s="129">
        <f>SUM(AP$7:AP96)</f>
        <v>1392</v>
      </c>
      <c r="AT96" s="128">
        <v>3000</v>
      </c>
      <c r="AU96" s="129">
        <v>600</v>
      </c>
      <c r="AV96" s="128">
        <f>SUM(AT$7:AT96)</f>
        <v>270000</v>
      </c>
      <c r="AW96" s="90">
        <f>SUM(AU$7:AU96)</f>
        <v>54000</v>
      </c>
      <c r="AY96" s="128">
        <f t="shared" si="91"/>
        <v>38500</v>
      </c>
      <c r="AZ96" s="90">
        <f t="shared" si="92"/>
        <v>69600</v>
      </c>
      <c r="BA96" s="90">
        <f t="shared" si="93"/>
        <v>54000</v>
      </c>
      <c r="BB96" s="90">
        <f t="shared" ca="1" si="127"/>
        <v>35000</v>
      </c>
      <c r="BC96" s="90">
        <f t="shared" ca="1" si="129"/>
        <v>100725</v>
      </c>
      <c r="BD96" s="90">
        <f t="shared" ca="1" si="130"/>
        <v>96375</v>
      </c>
      <c r="BE96" s="90">
        <f t="shared" ca="1" si="94"/>
        <v>197100</v>
      </c>
      <c r="BF96" s="142">
        <f t="shared" ca="1" si="75"/>
        <v>0.38222884090345</v>
      </c>
      <c r="BG96" s="142">
        <f t="shared" ca="1" si="76"/>
        <v>0.69099032017870443</v>
      </c>
      <c r="BH96" s="142">
        <f t="shared" ca="1" si="77"/>
        <v>0.53611317944899484</v>
      </c>
      <c r="BI96" s="142">
        <f t="shared" ca="1" si="95"/>
        <v>0.34748076445768183</v>
      </c>
      <c r="BJ96" s="143"/>
      <c r="BK96" s="128">
        <f ca="1">INDEX(商城宝箱!$L:$L,MATCH(BC96,商城宝箱!$N:$N,1))</f>
        <v>11</v>
      </c>
      <c r="BL96" s="90">
        <f ca="1">_xlfn.IFNA(INDEX(商城宝箱!T:T,MATCH(玩家节奏2!$BK96,商城宝箱!$L:$L,0)),0)+($BC96-INDEX(商城宝箱!$N:$N,MATCH(玩家节奏2!$BK96,商城宝箱!$L:$L,0)))/$BK$5*INDEX(商城宝箱!E$23:E$42,MATCH(玩家节奏2!$BK96+1,商城宝箱!$C$23:$C$42,0))</f>
        <v>251812.5</v>
      </c>
      <c r="BM96" s="90">
        <f ca="1">_xlfn.IFNA(INDEX(商城宝箱!U:U,MATCH(玩家节奏2!$BK96,商城宝箱!$L:$L,0)),0)+($BC96-INDEX(商城宝箱!$N:$N,MATCH(玩家节奏2!$BK96,商城宝箱!$L:$L,0)))/$BK$5*INDEX(商城宝箱!F$23:F$42,MATCH(玩家节奏2!$BK96+1,商城宝箱!$C$23:$C$42,0))</f>
        <v>247075</v>
      </c>
      <c r="BN96" s="90">
        <f ca="1">_xlfn.IFNA(INDEX(商城宝箱!V:V,MATCH(玩家节奏2!$BK96,商城宝箱!$L:$L,0)),0)+($BC96-INDEX(商城宝箱!$N:$N,MATCH(玩家节奏2!$BK96,商城宝箱!$L:$L,0)))/$BK$5*INDEX(商城宝箱!G$23:G$42,MATCH(玩家节奏2!$BK96+1,商城宝箱!$C$23:$C$42,0))</f>
        <v>128480.75</v>
      </c>
      <c r="BO96" s="90">
        <f ca="1">_xlfn.IFNA(INDEX(商城宝箱!W:W,MATCH(玩家节奏2!$BK96,商城宝箱!$L:$L,0)),0)+($BC96-INDEX(商城宝箱!$N:$N,MATCH(玩家节奏2!$BK96,商城宝箱!$L:$L,0)))/$BK$5*INDEX(商城宝箱!H$23:H$42,MATCH(玩家节奏2!$BK96+1,商城宝箱!$C$23:$C$42,0))</f>
        <v>19719</v>
      </c>
      <c r="BQ96" s="128">
        <f t="shared" si="79"/>
        <v>11610000</v>
      </c>
      <c r="BR96" s="90">
        <f t="shared" si="80"/>
        <v>2225530</v>
      </c>
      <c r="BS96" s="90">
        <f t="shared" ca="1" si="81"/>
        <v>4204066</v>
      </c>
      <c r="BT96" s="90">
        <f t="shared" si="82"/>
        <v>61000</v>
      </c>
      <c r="BU96" s="90">
        <f t="shared" si="83"/>
        <v>1392000</v>
      </c>
      <c r="BV96" s="90">
        <f t="shared" si="84"/>
        <v>270000</v>
      </c>
      <c r="BW96" s="90">
        <f t="shared" ca="1" si="96"/>
        <v>251812.5</v>
      </c>
      <c r="BX96" s="90">
        <f t="shared" ca="1" si="97"/>
        <v>20014408.5</v>
      </c>
      <c r="BY96" s="142">
        <f t="shared" ca="1" si="74"/>
        <v>0.58008209435717273</v>
      </c>
      <c r="BZ96" s="142">
        <f t="shared" ca="1" si="74"/>
        <v>0.11119639133976905</v>
      </c>
      <c r="CA96" s="142">
        <f t="shared" ca="1" si="73"/>
        <v>0.21005197330713021</v>
      </c>
      <c r="CB96" s="142">
        <f t="shared" ca="1" si="73"/>
        <v>3.0478042855975485E-3</v>
      </c>
      <c r="CC96" s="142">
        <f t="shared" ca="1" si="73"/>
        <v>6.9549894517242417E-2</v>
      </c>
      <c r="CD96" s="142">
        <f t="shared" ca="1" si="73"/>
        <v>1.3490281264120297E-2</v>
      </c>
      <c r="CE96" s="142">
        <f t="shared" ca="1" si="73"/>
        <v>1.2581560928967749E-2</v>
      </c>
      <c r="CG96" s="128">
        <f t="shared" si="98"/>
        <v>200</v>
      </c>
      <c r="CH96" s="90">
        <f ca="1">INDEX(角色升级!$A:$A,MATCH(玩家节奏2!$BX96,角色升级!$J:$J,1))</f>
        <v>958</v>
      </c>
      <c r="CI96" s="90">
        <f ca="1">INDEX(角色升级!$O:$O,MATCH(玩家节奏2!$BX96,角色升级!$J:$J,1))</f>
        <v>80345.473669999992</v>
      </c>
      <c r="CJ96" s="90">
        <f>INDEX(关卡对比!$J:$J,MATCH(玩家节奏2!N96,关卡对比!$A:$A,0))</f>
        <v>86200</v>
      </c>
      <c r="CK96" s="147">
        <f t="shared" ca="1" si="99"/>
        <v>1.0728669091434582</v>
      </c>
      <c r="CL96" s="128">
        <f ca="1">INDEX(角色升级!$P:$P,MATCH(玩家节奏2!$CH96,角色升级!$A:$A,0))</f>
        <v>35000</v>
      </c>
      <c r="CM96" s="90">
        <f ca="1">INDEX(角色升级!Q:Q,MATCH(玩家节奏2!$CH96,角色升级!$A:$A,0))</f>
        <v>2.1</v>
      </c>
      <c r="CO96" s="128">
        <f t="shared" si="100"/>
        <v>78866</v>
      </c>
      <c r="CP96" s="90">
        <f t="shared" si="101"/>
        <v>169390</v>
      </c>
      <c r="CQ96" s="90">
        <f t="shared" si="102"/>
        <v>62356</v>
      </c>
      <c r="CR96" s="90">
        <f t="shared" ca="1" si="103"/>
        <v>247075</v>
      </c>
      <c r="CS96" s="90">
        <f t="shared" ca="1" si="104"/>
        <v>557687</v>
      </c>
      <c r="CT96" s="142">
        <f t="shared" ca="1" si="105"/>
        <v>0.14141624244423842</v>
      </c>
      <c r="CU96" s="142">
        <f t="shared" ca="1" si="105"/>
        <v>0.30373668383878411</v>
      </c>
      <c r="CV96" s="142">
        <f t="shared" ca="1" si="105"/>
        <v>0.11181182276079593</v>
      </c>
      <c r="CW96" s="142">
        <f t="shared" ca="1" si="105"/>
        <v>0.44303525095618151</v>
      </c>
      <c r="CY96" s="128">
        <f t="shared" si="106"/>
        <v>39434</v>
      </c>
      <c r="CZ96" s="90">
        <f t="shared" si="107"/>
        <v>84531</v>
      </c>
      <c r="DA96" s="90">
        <f t="shared" si="108"/>
        <v>42432</v>
      </c>
      <c r="DB96" s="90">
        <f t="shared" ca="1" si="128"/>
        <v>128480.75</v>
      </c>
      <c r="DC96" s="90">
        <f t="shared" ca="1" si="109"/>
        <v>294877.75</v>
      </c>
      <c r="DD96" s="142">
        <f t="shared" ca="1" si="110"/>
        <v>0.13372999488771195</v>
      </c>
      <c r="DE96" s="142">
        <f t="shared" ca="1" si="110"/>
        <v>0.28666455844837396</v>
      </c>
      <c r="DF96" s="142">
        <f t="shared" ca="1" si="110"/>
        <v>0.14389691999481141</v>
      </c>
      <c r="DG96" s="142">
        <f t="shared" ca="1" si="110"/>
        <v>0.4357085266691027</v>
      </c>
      <c r="DI96" s="128">
        <f t="shared" si="111"/>
        <v>19113</v>
      </c>
      <c r="DJ96" s="90">
        <f t="shared" si="112"/>
        <v>41507</v>
      </c>
      <c r="DK96" s="90">
        <f t="shared" si="113"/>
        <v>16422</v>
      </c>
      <c r="DL96" s="90">
        <f t="shared" ca="1" si="114"/>
        <v>19719</v>
      </c>
      <c r="DM96" s="90">
        <f t="shared" ca="1" si="115"/>
        <v>96761</v>
      </c>
      <c r="DN96" s="142">
        <f t="shared" ca="1" si="116"/>
        <v>0.19752792964107441</v>
      </c>
      <c r="DO96" s="142">
        <f t="shared" ca="1" si="116"/>
        <v>0.42896414877895017</v>
      </c>
      <c r="DP96" s="142">
        <f t="shared" ca="1" si="116"/>
        <v>0.16971713810316139</v>
      </c>
      <c r="DQ96" s="142">
        <f t="shared" ca="1" si="116"/>
        <v>0.20379078347681401</v>
      </c>
      <c r="DS96" s="128">
        <f t="shared" ca="1" si="117"/>
        <v>557687</v>
      </c>
      <c r="DT96" s="90">
        <f t="shared" ca="1" si="118"/>
        <v>294877.75</v>
      </c>
      <c r="DU96" s="90">
        <f t="shared" ca="1" si="119"/>
        <v>96761</v>
      </c>
      <c r="DV96" s="90">
        <f t="shared" si="120"/>
        <v>1392</v>
      </c>
      <c r="DW96" s="90">
        <f ca="1">_xlfn.IFNA(INDEX(武器升级消耗!$H:$H,MATCH(玩家节奏2!DS96/玩家节奏2!DS$5,武器升级消耗!M:M,1)),0)</f>
        <v>65</v>
      </c>
      <c r="DX96" s="90">
        <f ca="1">_xlfn.IFNA(INDEX(武器升级消耗!$H:$H,MATCH(玩家节奏2!DT96/玩家节奏2!DT$5,武器升级消耗!N:N,1)),0)</f>
        <v>57</v>
      </c>
      <c r="DY96" s="90">
        <f ca="1">_xlfn.IFNA(INDEX(武器升级消耗!$H:$H,MATCH(玩家节奏2!DU96/玩家节奏2!DU$5,武器升级消耗!O:O,1)),0)</f>
        <v>43</v>
      </c>
      <c r="DZ96" s="90">
        <f>_xlfn.IFNA(INDEX(武器升级消耗!$H:$H,MATCH(玩家节奏2!DV96/玩家节奏2!DV$5,武器升级消耗!P:P,1)),0)</f>
        <v>27</v>
      </c>
      <c r="EA96" s="90">
        <f ca="1">_xlfn.IFNA(INDEX(武器升级消耗!$Q:$Q,MATCH(玩家节奏2!DW96,武器升级消耗!$H:$H,0))*2*EA$4,0)</f>
        <v>8.2799999999999994</v>
      </c>
      <c r="EB96" s="90">
        <f ca="1">_xlfn.IFNA(INDEX(武器升级消耗!$Q:$Q,MATCH(玩家节奏2!DX96,武器升级消耗!$H:$H,0))*2*EB$4,0)</f>
        <v>9.1499999999999986</v>
      </c>
      <c r="EC96" s="90">
        <f ca="1">_xlfn.IFNA(INDEX(武器升级消耗!$Q:$Q,MATCH(玩家节奏2!DY96,武器升级消耗!$H:$H,0))*2*EC$4,0)</f>
        <v>10.340000000000002</v>
      </c>
      <c r="ED96" s="90">
        <f>_xlfn.IFNA(INDEX(武器升级消耗!$Q:$Q,MATCH(玩家节奏2!DZ96,武器升级消耗!$H:$H,0))*2*ED$4,0)</f>
        <v>9.3000000000000007</v>
      </c>
      <c r="EF96" s="128">
        <f t="shared" si="85"/>
        <v>0</v>
      </c>
      <c r="EG96" s="90">
        <f t="shared" si="86"/>
        <v>0</v>
      </c>
      <c r="EH96" s="90">
        <v>270</v>
      </c>
      <c r="EI96" s="90">
        <v>270</v>
      </c>
      <c r="EJ96" s="90">
        <f>_xlfn.IFNA(INDEX(皮肤宠物!$J$4:$J$13,MATCH(EF96+EH96,皮肤宠物!$L$4:$L$13,1)),0)</f>
        <v>8</v>
      </c>
      <c r="EK96" s="90">
        <f>_xlfn.IFNA(INDEX(皮肤宠物!$J$4:$J$13,MATCH(EG96+EI96,皮肤宠物!$L$4:$L$13,1)),0)</f>
        <v>8</v>
      </c>
      <c r="EL96" s="90">
        <f>_xlfn.IFNA(INDEX(皮肤宠物!$N$4:$N$13,MATCH(EF96+EH96,皮肤宠物!$L$4:$L$13,1)),1)</f>
        <v>1.9800000000000002</v>
      </c>
      <c r="EM96" s="90">
        <f>_xlfn.IFNA(INDEX(皮肤宠物!$N$4:$N$13,MATCH(EG96+EI96,皮肤宠物!$L$4:$L$13,1)),1)</f>
        <v>1.9800000000000002</v>
      </c>
      <c r="EO96" s="128">
        <v>270</v>
      </c>
      <c r="EP96" s="90">
        <v>90</v>
      </c>
      <c r="EQ96" s="90">
        <f t="shared" ca="1" si="121"/>
        <v>96375</v>
      </c>
      <c r="ER96" s="90">
        <f t="shared" si="87"/>
        <v>0</v>
      </c>
      <c r="ES96" s="90">
        <f t="shared" ca="1" si="122"/>
        <v>1053.75</v>
      </c>
      <c r="ET96" s="90">
        <f ca="1">$ES96*ET$5*皮肤宠物!$J$75/4</f>
        <v>3478.42875</v>
      </c>
      <c r="EU96" s="90">
        <f ca="1">$ES96*EU$5*皮肤宠物!$J$76/4</f>
        <v>580.61625000000004</v>
      </c>
      <c r="EV96" s="90">
        <f ca="1">$ES96*EV$5*皮肤宠物!$J$77/4</f>
        <v>157.2721875</v>
      </c>
      <c r="EW96" s="90">
        <f ca="1">_xlfn.IFNA(INDEX(皮肤宠物!$H$18:$H$67,MATCH(ET96,皮肤宠物!L$18:L$67,1)),0)</f>
        <v>21</v>
      </c>
      <c r="EX96" s="90">
        <f ca="1">_xlfn.IFNA(INDEX(皮肤宠物!$H$18:$H$67,MATCH(EU96,皮肤宠物!M$18:M$67,1)),0)</f>
        <v>16</v>
      </c>
      <c r="EY96" s="90">
        <f ca="1">_xlfn.IFNA(INDEX(皮肤宠物!$H$18:$H$67,MATCH(EV96,皮肤宠物!N$18:N$67,1)),0)</f>
        <v>12</v>
      </c>
      <c r="EZ96" s="90">
        <f ca="1">_xlfn.IFNA(INDEX(皮肤宠物!C$18:C$67,MATCH(EW96,皮肤宠物!$A$18:$A$67,0))+1,1)</f>
        <v>1.21</v>
      </c>
      <c r="FA96" s="90">
        <f ca="1">_xlfn.IFNA(INDEX(皮肤宠物!D$18:D$67,MATCH(EX96,皮肤宠物!$A$18:$A$67,0))+1,1)</f>
        <v>1.32</v>
      </c>
      <c r="FB96" s="90">
        <f ca="1">_xlfn.IFNA(INDEX(皮肤宠物!E$18:E$67,MATCH(EY96,皮肤宠物!$A$18:$A$67,0))+1,1)</f>
        <v>1.48</v>
      </c>
      <c r="FD96" s="90">
        <f t="shared" ca="1" si="123"/>
        <v>10.340000000000002</v>
      </c>
      <c r="FE96" s="90">
        <f t="shared" si="124"/>
        <v>1.9800000000000002</v>
      </c>
      <c r="FF96" s="90">
        <f t="shared" ca="1" si="125"/>
        <v>1.48</v>
      </c>
      <c r="FG96" s="90">
        <f t="shared" ca="1" si="126"/>
        <v>30.300336000000005</v>
      </c>
    </row>
    <row r="97" spans="1:163" x14ac:dyDescent="0.25">
      <c r="A97" s="123">
        <v>91</v>
      </c>
      <c r="B97" s="123">
        <f>INDEX(关卡对比!$Y:$Y,MATCH(关卡对比!Z97,关卡对比!$AA:$AA,1))</f>
        <v>59</v>
      </c>
      <c r="C97" s="124">
        <f>INDEX(关卡对比!$Y:$Y,MATCH(关卡对比!Z97,关卡对比!$AB:$AB,1))</f>
        <v>48</v>
      </c>
      <c r="D97" s="125">
        <f t="shared" si="131"/>
        <v>365.5</v>
      </c>
      <c r="E97" s="125">
        <v>2</v>
      </c>
      <c r="F97" s="128">
        <v>16</v>
      </c>
      <c r="G97" s="90">
        <v>16</v>
      </c>
      <c r="H97" s="90">
        <v>5</v>
      </c>
      <c r="J97" s="128">
        <v>91</v>
      </c>
      <c r="K97" s="90">
        <f t="shared" si="88"/>
        <v>16</v>
      </c>
      <c r="L97" s="90">
        <f t="shared" si="89"/>
        <v>16</v>
      </c>
      <c r="M97" s="90">
        <f t="shared" si="90"/>
        <v>5</v>
      </c>
      <c r="N97" s="140">
        <f>INDEX($A:$A,MATCH(SUM($K$7:K97),$D:$D,1))</f>
        <v>200</v>
      </c>
      <c r="O97" s="140">
        <v>0</v>
      </c>
      <c r="P97" s="141">
        <v>0</v>
      </c>
      <c r="Q97" s="126">
        <f>_xlfn.MAXIFS(关卡产出!X:X,关卡产出!$A:$A,玩家节奏2!$N$6,关卡产出!$B:$B,玩家节奏2!$N97)+_xlfn.MAXIFS(关卡产出!X:X,关卡产出!$A:$A,玩家节奏2!$O$6,关卡产出!$B:$B,玩家节奏2!$O97)+_xlfn.MAXIFS(关卡产出!X:X,关卡产出!$A:$A,玩家节奏2!$P$6,关卡产出!$B:$B,玩家节奏2!$P97)</f>
        <v>38500</v>
      </c>
      <c r="R97" s="90">
        <f>_xlfn.MAXIFS(关卡产出!Y:Y,关卡产出!$A:$A,玩家节奏2!$N$6,关卡产出!$B:$B,玩家节奏2!$N97)+_xlfn.MAXIFS(关卡产出!Y:Y,关卡产出!$A:$A,玩家节奏2!$O$6,关卡产出!$B:$B,玩家节奏2!$O97)+_xlfn.MAXIFS(关卡产出!Y:Y,关卡产出!$A:$A,玩家节奏2!$P$6,关卡产出!$B:$B,玩家节奏2!$P97)</f>
        <v>11610000</v>
      </c>
      <c r="S97" s="90">
        <f>_xlfn.MAXIFS(关卡产出!Z:Z,关卡产出!$A:$A,玩家节奏2!$N$6,关卡产出!$B:$B,玩家节奏2!$N97)+_xlfn.MAXIFS(关卡产出!Z:Z,关卡产出!$A:$A,玩家节奏2!$O$6,关卡产出!$B:$B,玩家节奏2!$O97)+_xlfn.MAXIFS(关卡产出!Z:Z,关卡产出!$A:$A,玩家节奏2!$P$6,关卡产出!$B:$B,玩家节奏2!$P97)</f>
        <v>78866</v>
      </c>
      <c r="T97" s="90">
        <f>_xlfn.MAXIFS(关卡产出!AA:AA,关卡产出!$A:$A,玩家节奏2!$N$6,关卡产出!$B:$B,玩家节奏2!$N97)+_xlfn.MAXIFS(关卡产出!AA:AA,关卡产出!$A:$A,玩家节奏2!$O$6,关卡产出!$B:$B,玩家节奏2!$O97)+_xlfn.MAXIFS(关卡产出!AA:AA,关卡产出!$A:$A,玩家节奏2!$P$6,关卡产出!$B:$B,玩家节奏2!$P97)</f>
        <v>39434</v>
      </c>
      <c r="U97" s="90">
        <f>_xlfn.MAXIFS(关卡产出!AB:AB,关卡产出!$A:$A,玩家节奏2!$N$6,关卡产出!$B:$B,玩家节奏2!$N97)+_xlfn.MAXIFS(关卡产出!AB:AB,关卡产出!$A:$A,玩家节奏2!$O$6,关卡产出!$B:$B,玩家节奏2!$O97)+_xlfn.MAXIFS(关卡产出!AB:AB,关卡产出!$A:$A,玩家节奏2!$P$6,关卡产出!$B:$B,玩家节奏2!$P97)</f>
        <v>19113</v>
      </c>
      <c r="V97" s="130">
        <f>_xlfn.MAXIFS(关卡产出!AC:AC,关卡产出!$A:$A,玩家节奏2!$N$6,关卡产出!$B:$B,玩家节奏2!$N97)+_xlfn.MAXIFS(关卡产出!AC:AC,关卡产出!$A:$A,玩家节奏2!$O$6,关卡产出!$B:$B,玩家节奏2!$O97)+_xlfn.MAXIFS(关卡产出!AC:AC,关卡产出!$A:$A,玩家节奏2!$P$6,关卡产出!$B:$B,玩家节奏2!$P97)</f>
        <v>1200</v>
      </c>
      <c r="W97" s="126">
        <f>INDEX(关卡产出!C$8:C$207,MATCH(玩家节奏2!$N97,关卡产出!$B$8:$B$207,0))*$K97</f>
        <v>2528</v>
      </c>
      <c r="X97" s="126">
        <f>INDEX(关卡产出!D$8:D$207,MATCH(玩家节奏2!$N97,关卡产出!$B$8:$B$207,0))*$K97</f>
        <v>1264</v>
      </c>
      <c r="Y97" s="126">
        <f>INDEX(关卡产出!E$8:E$207,MATCH(玩家节奏2!$N97,关卡产出!$B$8:$B$207,0))*$K97</f>
        <v>624</v>
      </c>
      <c r="Z97" s="144">
        <f>INDEX(关卡产出!F$8:F$207,MATCH(玩家节奏2!$N97,关卡产出!$B$8:$B$207,0))*$K97</f>
        <v>32800</v>
      </c>
      <c r="AA97" s="126">
        <f>SUM(W$7:W97)</f>
        <v>171918</v>
      </c>
      <c r="AB97" s="126">
        <f>SUM(X$7:X97)</f>
        <v>85795</v>
      </c>
      <c r="AC97" s="126">
        <f>SUM(Y$7:Y97)</f>
        <v>42131</v>
      </c>
      <c r="AD97" s="177">
        <f>SUM(Z$7:Z97)</f>
        <v>2258330</v>
      </c>
      <c r="AE97" s="128">
        <f>INDEX(图鉴!AQ:AQ,MATCH($N97,图鉴!$S:$S,0))*34</f>
        <v>714</v>
      </c>
      <c r="AF97" s="90">
        <f>INDEX(图鉴!AR:AR,MATCH($N97,图鉴!$S:$S,0))*34</f>
        <v>510</v>
      </c>
      <c r="AG97" s="90">
        <f>INDEX(图鉴!AS:AS,MATCH($N97,图鉴!$S:$S,0))*34</f>
        <v>204</v>
      </c>
      <c r="AH97" s="129">
        <f ca="1">INDEX(图鉴!AT:AT,MATCH($N97,图鉴!$S:$S,0))*34</f>
        <v>55930</v>
      </c>
      <c r="AI97" s="128">
        <f>SUM($AE$7:AE97)</f>
        <v>63070</v>
      </c>
      <c r="AJ97" s="90">
        <f>SUM(AF$7:AF97)</f>
        <v>42942</v>
      </c>
      <c r="AK97" s="90">
        <f>SUM(AG$7:AG97)</f>
        <v>16626</v>
      </c>
      <c r="AL97" s="130">
        <f ca="1">SUM(AH$7:AH97)</f>
        <v>4259996</v>
      </c>
      <c r="AM97" s="133">
        <f>IF(M97=0,0,INDEX(关卡产出!$AU$11:$AU$15,MATCH(玩家节奏2!N97,关卡产出!$AW$11:$AW$15,1))*M97)</f>
        <v>61000</v>
      </c>
      <c r="AN97" s="126">
        <f>IF(L97=0,0,$L97*关卡产出!AU$21)</f>
        <v>16000</v>
      </c>
      <c r="AO97" s="90">
        <f>IF(M97=0,0,$L97*关卡产出!AV$21)</f>
        <v>800</v>
      </c>
      <c r="AP97" s="129">
        <f>IF(N97=0,0,$L97*关卡产出!AW$21)</f>
        <v>16</v>
      </c>
      <c r="AQ97" s="138">
        <f>SUM(AN$7:AN97)</f>
        <v>1408000</v>
      </c>
      <c r="AR97" s="126">
        <f>SUM(AO$7:AO97)</f>
        <v>70400</v>
      </c>
      <c r="AS97" s="129">
        <f>SUM(AP$7:AP97)</f>
        <v>1408</v>
      </c>
      <c r="AT97" s="128">
        <v>3000</v>
      </c>
      <c r="AU97" s="129">
        <v>600</v>
      </c>
      <c r="AV97" s="128">
        <f>SUM(AT$7:AT97)</f>
        <v>273000</v>
      </c>
      <c r="AW97" s="90">
        <f>SUM(AU$7:AU97)</f>
        <v>54600</v>
      </c>
      <c r="AY97" s="128">
        <f t="shared" si="91"/>
        <v>38500</v>
      </c>
      <c r="AZ97" s="90">
        <f t="shared" si="92"/>
        <v>70400</v>
      </c>
      <c r="BA97" s="90">
        <f t="shared" si="93"/>
        <v>54600</v>
      </c>
      <c r="BB97" s="90">
        <f t="shared" ca="1" si="127"/>
        <v>35000</v>
      </c>
      <c r="BC97" s="90">
        <f t="shared" ca="1" si="129"/>
        <v>101425</v>
      </c>
      <c r="BD97" s="90">
        <f t="shared" ca="1" si="130"/>
        <v>97075</v>
      </c>
      <c r="BE97" s="90">
        <f t="shared" ca="1" si="94"/>
        <v>198500</v>
      </c>
      <c r="BF97" s="142">
        <f t="shared" ca="1" si="75"/>
        <v>0.37959083066305149</v>
      </c>
      <c r="BG97" s="142">
        <f t="shared" ca="1" si="76"/>
        <v>0.69410894749815133</v>
      </c>
      <c r="BH97" s="142">
        <f t="shared" ca="1" si="77"/>
        <v>0.53832881439487301</v>
      </c>
      <c r="BI97" s="142">
        <f t="shared" ca="1" si="95"/>
        <v>0.34508257333004683</v>
      </c>
      <c r="BJ97" s="143"/>
      <c r="BK97" s="128">
        <f ca="1">INDEX(商城宝箱!$L:$L,MATCH(BC97,商城宝箱!$N:$N,1))</f>
        <v>11</v>
      </c>
      <c r="BL97" s="90">
        <f ca="1">_xlfn.IFNA(INDEX(商城宝箱!T:T,MATCH(玩家节奏2!$BK97,商城宝箱!$L:$L,0)),0)+($BC97-INDEX(商城宝箱!$N:$N,MATCH(玩家节奏2!$BK97,商城宝箱!$L:$L,0)))/$BK$5*INDEX(商城宝箱!E$23:E$42,MATCH(玩家节奏2!$BK97+1,商城宝箱!$C$23:$C$42,0))</f>
        <v>253562.5</v>
      </c>
      <c r="BM97" s="90">
        <f ca="1">_xlfn.IFNA(INDEX(商城宝箱!U:U,MATCH(玩家节奏2!$BK97,商城宝箱!$L:$L,0)),0)+($BC97-INDEX(商城宝箱!$N:$N,MATCH(玩家节奏2!$BK97,商城宝箱!$L:$L,0)))/$BK$5*INDEX(商城宝箱!F$23:F$42,MATCH(玩家节奏2!$BK97+1,商城宝箱!$C$23:$C$42,0))</f>
        <v>249665</v>
      </c>
      <c r="BN97" s="90">
        <f ca="1">_xlfn.IFNA(INDEX(商城宝箱!V:V,MATCH(玩家节奏2!$BK97,商城宝箱!$L:$L,0)),0)+($BC97-INDEX(商城宝箱!$N:$N,MATCH(玩家节奏2!$BK97,商城宝箱!$L:$L,0)))/$BK$5*INDEX(商城宝箱!G$23:G$42,MATCH(玩家节奏2!$BK97+1,商城宝箱!$C$23:$C$42,0))</f>
        <v>129705.75</v>
      </c>
      <c r="BO97" s="90">
        <f ca="1">_xlfn.IFNA(INDEX(商城宝箱!W:W,MATCH(玩家节奏2!$BK97,商城宝箱!$L:$L,0)),0)+($BC97-INDEX(商城宝箱!$N:$N,MATCH(玩家节奏2!$BK97,商城宝箱!$L:$L,0)))/$BK$5*INDEX(商城宝箱!H$23:H$42,MATCH(玩家节奏2!$BK97+1,商城宝箱!$C$23:$C$42,0))</f>
        <v>19929</v>
      </c>
      <c r="BQ97" s="128">
        <f t="shared" si="79"/>
        <v>11610000</v>
      </c>
      <c r="BR97" s="90">
        <f t="shared" si="80"/>
        <v>2258330</v>
      </c>
      <c r="BS97" s="90">
        <f t="shared" ca="1" si="81"/>
        <v>4259996</v>
      </c>
      <c r="BT97" s="90">
        <f t="shared" si="82"/>
        <v>61000</v>
      </c>
      <c r="BU97" s="90">
        <f t="shared" si="83"/>
        <v>1408000</v>
      </c>
      <c r="BV97" s="90">
        <f t="shared" si="84"/>
        <v>273000</v>
      </c>
      <c r="BW97" s="90">
        <f t="shared" ca="1" si="96"/>
        <v>253562.5</v>
      </c>
      <c r="BX97" s="90">
        <f t="shared" ca="1" si="97"/>
        <v>20123888.5</v>
      </c>
      <c r="BY97" s="142">
        <f t="shared" ca="1" si="74"/>
        <v>0.57692627346847003</v>
      </c>
      <c r="BZ97" s="142">
        <f t="shared" ca="1" si="74"/>
        <v>0.11222135324393195</v>
      </c>
      <c r="CA97" s="142">
        <f t="shared" ca="1" si="73"/>
        <v>0.21168851139281555</v>
      </c>
      <c r="CB97" s="142">
        <f t="shared" ca="1" si="73"/>
        <v>3.0312233145199548E-3</v>
      </c>
      <c r="CC97" s="142">
        <f t="shared" ca="1" si="73"/>
        <v>6.9966597161378624E-2</v>
      </c>
      <c r="CD97" s="142">
        <f t="shared" ca="1" si="73"/>
        <v>1.3565966637113895E-2</v>
      </c>
      <c r="CE97" s="142">
        <f t="shared" ca="1" si="73"/>
        <v>1.2600074781769935E-2</v>
      </c>
      <c r="CG97" s="128">
        <f t="shared" si="98"/>
        <v>200</v>
      </c>
      <c r="CH97" s="90">
        <f ca="1">INDEX(角色升级!$A:$A,MATCH(玩家节奏2!$BX97,角色升级!$J:$J,1))</f>
        <v>960</v>
      </c>
      <c r="CI97" s="90">
        <f ca="1">INDEX(角色升级!$O:$O,MATCH(玩家节奏2!$BX97,角色升级!$J:$J,1))</f>
        <v>80414.826689999987</v>
      </c>
      <c r="CJ97" s="90">
        <f>INDEX(关卡对比!$J:$J,MATCH(玩家节奏2!N97,关卡对比!$A:$A,0))</f>
        <v>86200</v>
      </c>
      <c r="CK97" s="147">
        <f t="shared" ca="1" si="99"/>
        <v>1.0719416250476037</v>
      </c>
      <c r="CL97" s="128">
        <f ca="1">INDEX(角色升级!$P:$P,MATCH(玩家节奏2!$CH97,角色升级!$A:$A,0))</f>
        <v>35000</v>
      </c>
      <c r="CM97" s="90">
        <f ca="1">INDEX(角色升级!Q:Q,MATCH(玩家节奏2!$CH97,角色升级!$A:$A,0))</f>
        <v>2.1</v>
      </c>
      <c r="CO97" s="128">
        <f t="shared" si="100"/>
        <v>78866</v>
      </c>
      <c r="CP97" s="90">
        <f t="shared" si="101"/>
        <v>171918</v>
      </c>
      <c r="CQ97" s="90">
        <f t="shared" si="102"/>
        <v>63070</v>
      </c>
      <c r="CR97" s="90">
        <f t="shared" ca="1" si="103"/>
        <v>249665</v>
      </c>
      <c r="CS97" s="90">
        <f t="shared" ca="1" si="104"/>
        <v>563519</v>
      </c>
      <c r="CT97" s="142">
        <f t="shared" ca="1" si="105"/>
        <v>0.1399526901488681</v>
      </c>
      <c r="CU97" s="142">
        <f t="shared" ca="1" si="105"/>
        <v>0.30507933184151731</v>
      </c>
      <c r="CV97" s="142">
        <f t="shared" ca="1" si="105"/>
        <v>0.11192169208136726</v>
      </c>
      <c r="CW97" s="142">
        <f t="shared" ca="1" si="105"/>
        <v>0.4430462859282473</v>
      </c>
      <c r="CY97" s="128">
        <f t="shared" si="106"/>
        <v>39434</v>
      </c>
      <c r="CZ97" s="90">
        <f t="shared" si="107"/>
        <v>85795</v>
      </c>
      <c r="DA97" s="90">
        <f t="shared" si="108"/>
        <v>42942</v>
      </c>
      <c r="DB97" s="90">
        <f t="shared" ca="1" si="128"/>
        <v>129705.75</v>
      </c>
      <c r="DC97" s="90">
        <f t="shared" ca="1" si="109"/>
        <v>297876.75</v>
      </c>
      <c r="DD97" s="142">
        <f t="shared" ca="1" si="110"/>
        <v>0.13238361167831997</v>
      </c>
      <c r="DE97" s="142">
        <f t="shared" ca="1" si="110"/>
        <v>0.28802180767716851</v>
      </c>
      <c r="DF97" s="142">
        <f t="shared" ca="1" si="110"/>
        <v>0.144160294484212</v>
      </c>
      <c r="DG97" s="142">
        <f t="shared" ca="1" si="110"/>
        <v>0.4354342861602995</v>
      </c>
      <c r="DI97" s="128">
        <f t="shared" si="111"/>
        <v>19113</v>
      </c>
      <c r="DJ97" s="90">
        <f t="shared" si="112"/>
        <v>42131</v>
      </c>
      <c r="DK97" s="90">
        <f t="shared" si="113"/>
        <v>16626</v>
      </c>
      <c r="DL97" s="90">
        <f t="shared" ca="1" si="114"/>
        <v>19929</v>
      </c>
      <c r="DM97" s="90">
        <f t="shared" ca="1" si="115"/>
        <v>97799</v>
      </c>
      <c r="DN97" s="142">
        <f t="shared" ca="1" si="116"/>
        <v>0.19543144612930602</v>
      </c>
      <c r="DO97" s="142">
        <f t="shared" ca="1" si="116"/>
        <v>0.43079172588676778</v>
      </c>
      <c r="DP97" s="142">
        <f t="shared" ca="1" si="116"/>
        <v>0.17000173825908241</v>
      </c>
      <c r="DQ97" s="142">
        <f t="shared" ca="1" si="116"/>
        <v>0.20377508972484382</v>
      </c>
      <c r="DS97" s="128">
        <f t="shared" ca="1" si="117"/>
        <v>563519</v>
      </c>
      <c r="DT97" s="90">
        <f t="shared" ca="1" si="118"/>
        <v>297876.75</v>
      </c>
      <c r="DU97" s="90">
        <f t="shared" ca="1" si="119"/>
        <v>97799</v>
      </c>
      <c r="DV97" s="90">
        <f t="shared" si="120"/>
        <v>1408</v>
      </c>
      <c r="DW97" s="90">
        <f ca="1">_xlfn.IFNA(INDEX(武器升级消耗!$H:$H,MATCH(玩家节奏2!DS97/玩家节奏2!DS$5,武器升级消耗!M:M,1)),0)</f>
        <v>65</v>
      </c>
      <c r="DX97" s="90">
        <f ca="1">_xlfn.IFNA(INDEX(武器升级消耗!$H:$H,MATCH(玩家节奏2!DT97/玩家节奏2!DT$5,武器升级消耗!N:N,1)),0)</f>
        <v>57</v>
      </c>
      <c r="DY97" s="90">
        <f ca="1">_xlfn.IFNA(INDEX(武器升级消耗!$H:$H,MATCH(玩家节奏2!DU97/玩家节奏2!DU$5,武器升级消耗!O:O,1)),0)</f>
        <v>43</v>
      </c>
      <c r="DZ97" s="90">
        <f>_xlfn.IFNA(INDEX(武器升级消耗!$H:$H,MATCH(玩家节奏2!DV97/玩家节奏2!DV$5,武器升级消耗!P:P,1)),0)</f>
        <v>27</v>
      </c>
      <c r="EA97" s="90">
        <f ca="1">_xlfn.IFNA(INDEX(武器升级消耗!$Q:$Q,MATCH(玩家节奏2!DW97,武器升级消耗!$H:$H,0))*2*EA$4,0)</f>
        <v>8.2799999999999994</v>
      </c>
      <c r="EB97" s="90">
        <f ca="1">_xlfn.IFNA(INDEX(武器升级消耗!$Q:$Q,MATCH(玩家节奏2!DX97,武器升级消耗!$H:$H,0))*2*EB$4,0)</f>
        <v>9.1499999999999986</v>
      </c>
      <c r="EC97" s="90">
        <f ca="1">_xlfn.IFNA(INDEX(武器升级消耗!$Q:$Q,MATCH(玩家节奏2!DY97,武器升级消耗!$H:$H,0))*2*EC$4,0)</f>
        <v>10.340000000000002</v>
      </c>
      <c r="ED97" s="90">
        <f>_xlfn.IFNA(INDEX(武器升级消耗!$Q:$Q,MATCH(玩家节奏2!DZ97,武器升级消耗!$H:$H,0))*2*ED$4,0)</f>
        <v>9.3000000000000007</v>
      </c>
      <c r="EF97" s="128">
        <f t="shared" si="85"/>
        <v>0</v>
      </c>
      <c r="EG97" s="90">
        <f t="shared" si="86"/>
        <v>0</v>
      </c>
      <c r="EH97" s="90">
        <v>273</v>
      </c>
      <c r="EI97" s="90">
        <v>273</v>
      </c>
      <c r="EJ97" s="90">
        <f>_xlfn.IFNA(INDEX(皮肤宠物!$J$4:$J$13,MATCH(EF97+EH97,皮肤宠物!$L$4:$L$13,1)),0)</f>
        <v>8</v>
      </c>
      <c r="EK97" s="90">
        <f>_xlfn.IFNA(INDEX(皮肤宠物!$J$4:$J$13,MATCH(EG97+EI97,皮肤宠物!$L$4:$L$13,1)),0)</f>
        <v>8</v>
      </c>
      <c r="EL97" s="90">
        <f>_xlfn.IFNA(INDEX(皮肤宠物!$N$4:$N$13,MATCH(EF97+EH97,皮肤宠物!$L$4:$L$13,1)),1)</f>
        <v>1.9800000000000002</v>
      </c>
      <c r="EM97" s="90">
        <f>_xlfn.IFNA(INDEX(皮肤宠物!$N$4:$N$13,MATCH(EG97+EI97,皮肤宠物!$L$4:$L$13,1)),1)</f>
        <v>1.9800000000000002</v>
      </c>
      <c r="EO97" s="128">
        <v>273</v>
      </c>
      <c r="EP97" s="90">
        <v>91</v>
      </c>
      <c r="EQ97" s="90">
        <f t="shared" ca="1" si="121"/>
        <v>97075</v>
      </c>
      <c r="ER97" s="90">
        <f t="shared" si="87"/>
        <v>0</v>
      </c>
      <c r="ES97" s="90">
        <f t="shared" ca="1" si="122"/>
        <v>1061.75</v>
      </c>
      <c r="ET97" s="90">
        <f ca="1">$ES97*ET$5*皮肤宠物!$J$75/4</f>
        <v>3504.8367499999999</v>
      </c>
      <c r="EU97" s="90">
        <f ca="1">$ES97*EU$5*皮肤宠物!$J$76/4</f>
        <v>585.02425000000005</v>
      </c>
      <c r="EV97" s="90">
        <f ca="1">$ES97*EV$5*皮肤宠物!$J$77/4</f>
        <v>158.46618750000002</v>
      </c>
      <c r="EW97" s="90">
        <f ca="1">_xlfn.IFNA(INDEX(皮肤宠物!$H$18:$H$67,MATCH(ET97,皮肤宠物!L$18:L$67,1)),0)</f>
        <v>21</v>
      </c>
      <c r="EX97" s="90">
        <f ca="1">_xlfn.IFNA(INDEX(皮肤宠物!$H$18:$H$67,MATCH(EU97,皮肤宠物!M$18:M$67,1)),0)</f>
        <v>16</v>
      </c>
      <c r="EY97" s="90">
        <f ca="1">_xlfn.IFNA(INDEX(皮肤宠物!$H$18:$H$67,MATCH(EV97,皮肤宠物!N$18:N$67,1)),0)</f>
        <v>12</v>
      </c>
      <c r="EZ97" s="90">
        <f ca="1">_xlfn.IFNA(INDEX(皮肤宠物!C$18:C$67,MATCH(EW97,皮肤宠物!$A$18:$A$67,0))+1,1)</f>
        <v>1.21</v>
      </c>
      <c r="FA97" s="90">
        <f ca="1">_xlfn.IFNA(INDEX(皮肤宠物!D$18:D$67,MATCH(EX97,皮肤宠物!$A$18:$A$67,0))+1,1)</f>
        <v>1.32</v>
      </c>
      <c r="FB97" s="90">
        <f ca="1">_xlfn.IFNA(INDEX(皮肤宠物!E$18:E$67,MATCH(EY97,皮肤宠物!$A$18:$A$67,0))+1,1)</f>
        <v>1.48</v>
      </c>
      <c r="FD97" s="90">
        <f t="shared" ca="1" si="123"/>
        <v>10.340000000000002</v>
      </c>
      <c r="FE97" s="90">
        <f t="shared" si="124"/>
        <v>1.9800000000000002</v>
      </c>
      <c r="FF97" s="90">
        <f t="shared" ca="1" si="125"/>
        <v>1.48</v>
      </c>
      <c r="FG97" s="90">
        <f t="shared" ca="1" si="126"/>
        <v>30.300336000000005</v>
      </c>
    </row>
    <row r="98" spans="1:163" x14ac:dyDescent="0.25">
      <c r="A98" s="123">
        <v>92</v>
      </c>
      <c r="B98" s="123">
        <f>INDEX(关卡对比!$Y:$Y,MATCH(关卡对比!Z98,关卡对比!$AA:$AA,1))</f>
        <v>59</v>
      </c>
      <c r="C98" s="124">
        <f>INDEX(关卡对比!$Y:$Y,MATCH(关卡对比!Z98,关卡对比!$AB:$AB,1))</f>
        <v>49</v>
      </c>
      <c r="D98" s="125">
        <f t="shared" si="131"/>
        <v>369.5</v>
      </c>
      <c r="E98" s="125">
        <v>2</v>
      </c>
      <c r="F98" s="128">
        <v>16</v>
      </c>
      <c r="G98" s="90">
        <v>16</v>
      </c>
      <c r="H98" s="90">
        <v>5</v>
      </c>
      <c r="J98" s="128">
        <v>92</v>
      </c>
      <c r="K98" s="90">
        <f t="shared" si="88"/>
        <v>16</v>
      </c>
      <c r="L98" s="90">
        <f t="shared" si="89"/>
        <v>16</v>
      </c>
      <c r="M98" s="90">
        <f t="shared" si="90"/>
        <v>5</v>
      </c>
      <c r="N98" s="140">
        <f>INDEX($A:$A,MATCH(SUM($K$7:K98),$D:$D,1))</f>
        <v>200</v>
      </c>
      <c r="O98" s="140">
        <v>0</v>
      </c>
      <c r="P98" s="141">
        <v>0</v>
      </c>
      <c r="Q98" s="126">
        <f>_xlfn.MAXIFS(关卡产出!X:X,关卡产出!$A:$A,玩家节奏2!$N$6,关卡产出!$B:$B,玩家节奏2!$N98)+_xlfn.MAXIFS(关卡产出!X:X,关卡产出!$A:$A,玩家节奏2!$O$6,关卡产出!$B:$B,玩家节奏2!$O98)+_xlfn.MAXIFS(关卡产出!X:X,关卡产出!$A:$A,玩家节奏2!$P$6,关卡产出!$B:$B,玩家节奏2!$P98)</f>
        <v>38500</v>
      </c>
      <c r="R98" s="90">
        <f>_xlfn.MAXIFS(关卡产出!Y:Y,关卡产出!$A:$A,玩家节奏2!$N$6,关卡产出!$B:$B,玩家节奏2!$N98)+_xlfn.MAXIFS(关卡产出!Y:Y,关卡产出!$A:$A,玩家节奏2!$O$6,关卡产出!$B:$B,玩家节奏2!$O98)+_xlfn.MAXIFS(关卡产出!Y:Y,关卡产出!$A:$A,玩家节奏2!$P$6,关卡产出!$B:$B,玩家节奏2!$P98)</f>
        <v>11610000</v>
      </c>
      <c r="S98" s="90">
        <f>_xlfn.MAXIFS(关卡产出!Z:Z,关卡产出!$A:$A,玩家节奏2!$N$6,关卡产出!$B:$B,玩家节奏2!$N98)+_xlfn.MAXIFS(关卡产出!Z:Z,关卡产出!$A:$A,玩家节奏2!$O$6,关卡产出!$B:$B,玩家节奏2!$O98)+_xlfn.MAXIFS(关卡产出!Z:Z,关卡产出!$A:$A,玩家节奏2!$P$6,关卡产出!$B:$B,玩家节奏2!$P98)</f>
        <v>78866</v>
      </c>
      <c r="T98" s="90">
        <f>_xlfn.MAXIFS(关卡产出!AA:AA,关卡产出!$A:$A,玩家节奏2!$N$6,关卡产出!$B:$B,玩家节奏2!$N98)+_xlfn.MAXIFS(关卡产出!AA:AA,关卡产出!$A:$A,玩家节奏2!$O$6,关卡产出!$B:$B,玩家节奏2!$O98)+_xlfn.MAXIFS(关卡产出!AA:AA,关卡产出!$A:$A,玩家节奏2!$P$6,关卡产出!$B:$B,玩家节奏2!$P98)</f>
        <v>39434</v>
      </c>
      <c r="U98" s="90">
        <f>_xlfn.MAXIFS(关卡产出!AB:AB,关卡产出!$A:$A,玩家节奏2!$N$6,关卡产出!$B:$B,玩家节奏2!$N98)+_xlfn.MAXIFS(关卡产出!AB:AB,关卡产出!$A:$A,玩家节奏2!$O$6,关卡产出!$B:$B,玩家节奏2!$O98)+_xlfn.MAXIFS(关卡产出!AB:AB,关卡产出!$A:$A,玩家节奏2!$P$6,关卡产出!$B:$B,玩家节奏2!$P98)</f>
        <v>19113</v>
      </c>
      <c r="V98" s="130">
        <f>_xlfn.MAXIFS(关卡产出!AC:AC,关卡产出!$A:$A,玩家节奏2!$N$6,关卡产出!$B:$B,玩家节奏2!$N98)+_xlfn.MAXIFS(关卡产出!AC:AC,关卡产出!$A:$A,玩家节奏2!$O$6,关卡产出!$B:$B,玩家节奏2!$O98)+_xlfn.MAXIFS(关卡产出!AC:AC,关卡产出!$A:$A,玩家节奏2!$P$6,关卡产出!$B:$B,玩家节奏2!$P98)</f>
        <v>1200</v>
      </c>
      <c r="W98" s="126">
        <f>INDEX(关卡产出!C$8:C$207,MATCH(玩家节奏2!$N98,关卡产出!$B$8:$B$207,0))*$K98</f>
        <v>2528</v>
      </c>
      <c r="X98" s="126">
        <f>INDEX(关卡产出!D$8:D$207,MATCH(玩家节奏2!$N98,关卡产出!$B$8:$B$207,0))*$K98</f>
        <v>1264</v>
      </c>
      <c r="Y98" s="126">
        <f>INDEX(关卡产出!E$8:E$207,MATCH(玩家节奏2!$N98,关卡产出!$B$8:$B$207,0))*$K98</f>
        <v>624</v>
      </c>
      <c r="Z98" s="144">
        <f>INDEX(关卡产出!F$8:F$207,MATCH(玩家节奏2!$N98,关卡产出!$B$8:$B$207,0))*$K98</f>
        <v>32800</v>
      </c>
      <c r="AA98" s="126">
        <f>SUM(W$7:W98)</f>
        <v>174446</v>
      </c>
      <c r="AB98" s="126">
        <f>SUM(X$7:X98)</f>
        <v>87059</v>
      </c>
      <c r="AC98" s="126">
        <f>SUM(Y$7:Y98)</f>
        <v>42755</v>
      </c>
      <c r="AD98" s="177">
        <f>SUM(Z$7:Z98)</f>
        <v>2291130</v>
      </c>
      <c r="AE98" s="128">
        <f>INDEX(图鉴!AQ:AQ,MATCH($N98,图鉴!$S:$S,0))*34</f>
        <v>714</v>
      </c>
      <c r="AF98" s="90">
        <f>INDEX(图鉴!AR:AR,MATCH($N98,图鉴!$S:$S,0))*34</f>
        <v>510</v>
      </c>
      <c r="AG98" s="90">
        <f>INDEX(图鉴!AS:AS,MATCH($N98,图鉴!$S:$S,0))*34</f>
        <v>204</v>
      </c>
      <c r="AH98" s="129">
        <f ca="1">INDEX(图鉴!AT:AT,MATCH($N98,图鉴!$S:$S,0))*34</f>
        <v>55930</v>
      </c>
      <c r="AI98" s="128">
        <f>SUM($AE$7:AE98)</f>
        <v>63784</v>
      </c>
      <c r="AJ98" s="90">
        <f>SUM(AF$7:AF98)</f>
        <v>43452</v>
      </c>
      <c r="AK98" s="90">
        <f>SUM(AG$7:AG98)</f>
        <v>16830</v>
      </c>
      <c r="AL98" s="130">
        <f ca="1">SUM(AH$7:AH98)</f>
        <v>4315926</v>
      </c>
      <c r="AM98" s="133">
        <f>IF(M98=0,0,INDEX(关卡产出!$AU$11:$AU$15,MATCH(玩家节奏2!N98,关卡产出!$AW$11:$AW$15,1))*M98)</f>
        <v>61000</v>
      </c>
      <c r="AN98" s="126">
        <f>IF(L98=0,0,$L98*关卡产出!AU$21)</f>
        <v>16000</v>
      </c>
      <c r="AO98" s="90">
        <f>IF(M98=0,0,$L98*关卡产出!AV$21)</f>
        <v>800</v>
      </c>
      <c r="AP98" s="129">
        <f>IF(N98=0,0,$L98*关卡产出!AW$21)</f>
        <v>16</v>
      </c>
      <c r="AQ98" s="138">
        <f>SUM(AN$7:AN98)</f>
        <v>1424000</v>
      </c>
      <c r="AR98" s="126">
        <f>SUM(AO$7:AO98)</f>
        <v>71200</v>
      </c>
      <c r="AS98" s="129">
        <f>SUM(AP$7:AP98)</f>
        <v>1424</v>
      </c>
      <c r="AT98" s="128">
        <v>3000</v>
      </c>
      <c r="AU98" s="129">
        <v>600</v>
      </c>
      <c r="AV98" s="128">
        <f>SUM(AT$7:AT98)</f>
        <v>276000</v>
      </c>
      <c r="AW98" s="90">
        <f>SUM(AU$7:AU98)</f>
        <v>55200</v>
      </c>
      <c r="AY98" s="128">
        <f t="shared" si="91"/>
        <v>38500</v>
      </c>
      <c r="AZ98" s="90">
        <f t="shared" si="92"/>
        <v>71200</v>
      </c>
      <c r="BA98" s="90">
        <f t="shared" si="93"/>
        <v>55200</v>
      </c>
      <c r="BB98" s="90">
        <f t="shared" ca="1" si="127"/>
        <v>35000</v>
      </c>
      <c r="BC98" s="90">
        <f t="shared" ca="1" si="129"/>
        <v>102125</v>
      </c>
      <c r="BD98" s="90">
        <f t="shared" ca="1" si="130"/>
        <v>97775</v>
      </c>
      <c r="BE98" s="90">
        <f t="shared" ca="1" si="94"/>
        <v>199900</v>
      </c>
      <c r="BF98" s="142">
        <f t="shared" ca="1" si="75"/>
        <v>0.37698898408812731</v>
      </c>
      <c r="BG98" s="142">
        <f t="shared" ca="1" si="76"/>
        <v>0.69718482252141978</v>
      </c>
      <c r="BH98" s="142">
        <f t="shared" ca="1" si="77"/>
        <v>0.54051407588739286</v>
      </c>
      <c r="BI98" s="142">
        <f t="shared" ca="1" si="95"/>
        <v>0.34271725826193389</v>
      </c>
      <c r="BJ98" s="143"/>
      <c r="BK98" s="128">
        <f ca="1">INDEX(商城宝箱!$L:$L,MATCH(BC98,商城宝箱!$N:$N,1))</f>
        <v>11</v>
      </c>
      <c r="BL98" s="90">
        <f ca="1">_xlfn.IFNA(INDEX(商城宝箱!T:T,MATCH(玩家节奏2!$BK98,商城宝箱!$L:$L,0)),0)+($BC98-INDEX(商城宝箱!$N:$N,MATCH(玩家节奏2!$BK98,商城宝箱!$L:$L,0)))/$BK$5*INDEX(商城宝箱!E$23:E$42,MATCH(玩家节奏2!$BK98+1,商城宝箱!$C$23:$C$42,0))</f>
        <v>255312.5</v>
      </c>
      <c r="BM98" s="90">
        <f ca="1">_xlfn.IFNA(INDEX(商城宝箱!U:U,MATCH(玩家节奏2!$BK98,商城宝箱!$L:$L,0)),0)+($BC98-INDEX(商城宝箱!$N:$N,MATCH(玩家节奏2!$BK98,商城宝箱!$L:$L,0)))/$BK$5*INDEX(商城宝箱!F$23:F$42,MATCH(玩家节奏2!$BK98+1,商城宝箱!$C$23:$C$42,0))</f>
        <v>252255</v>
      </c>
      <c r="BN98" s="90">
        <f ca="1">_xlfn.IFNA(INDEX(商城宝箱!V:V,MATCH(玩家节奏2!$BK98,商城宝箱!$L:$L,0)),0)+($BC98-INDEX(商城宝箱!$N:$N,MATCH(玩家节奏2!$BK98,商城宝箱!$L:$L,0)))/$BK$5*INDEX(商城宝箱!G$23:G$42,MATCH(玩家节奏2!$BK98+1,商城宝箱!$C$23:$C$42,0))</f>
        <v>130930.75</v>
      </c>
      <c r="BO98" s="90">
        <f ca="1">_xlfn.IFNA(INDEX(商城宝箱!W:W,MATCH(玩家节奏2!$BK98,商城宝箱!$L:$L,0)),0)+($BC98-INDEX(商城宝箱!$N:$N,MATCH(玩家节奏2!$BK98,商城宝箱!$L:$L,0)))/$BK$5*INDEX(商城宝箱!H$23:H$42,MATCH(玩家节奏2!$BK98+1,商城宝箱!$C$23:$C$42,0))</f>
        <v>20139</v>
      </c>
      <c r="BQ98" s="128">
        <f t="shared" si="79"/>
        <v>11610000</v>
      </c>
      <c r="BR98" s="90">
        <f t="shared" si="80"/>
        <v>2291130</v>
      </c>
      <c r="BS98" s="90">
        <f t="shared" ca="1" si="81"/>
        <v>4315926</v>
      </c>
      <c r="BT98" s="90">
        <f t="shared" si="82"/>
        <v>61000</v>
      </c>
      <c r="BU98" s="90">
        <f t="shared" si="83"/>
        <v>1424000</v>
      </c>
      <c r="BV98" s="90">
        <f t="shared" si="84"/>
        <v>276000</v>
      </c>
      <c r="BW98" s="90">
        <f t="shared" ca="1" si="96"/>
        <v>255312.5</v>
      </c>
      <c r="BX98" s="90">
        <f t="shared" ca="1" si="97"/>
        <v>20233368.5</v>
      </c>
      <c r="BY98" s="142">
        <f t="shared" ca="1" si="74"/>
        <v>0.57380460401341482</v>
      </c>
      <c r="BZ98" s="142">
        <f t="shared" ca="1" si="74"/>
        <v>0.11323522328968605</v>
      </c>
      <c r="CA98" s="142">
        <f t="shared" ca="1" si="73"/>
        <v>0.21330733930931967</v>
      </c>
      <c r="CB98" s="142">
        <f t="shared" ca="1" si="73"/>
        <v>3.0148217781927906E-3</v>
      </c>
      <c r="CC98" s="142">
        <f t="shared" ca="1" si="73"/>
        <v>7.0378790363057941E-2</v>
      </c>
      <c r="CD98" s="142">
        <f t="shared" ca="1" si="73"/>
        <v>1.3640832963626398E-2</v>
      </c>
      <c r="CE98" s="142">
        <f t="shared" ca="1" si="73"/>
        <v>1.2618388282702408E-2</v>
      </c>
      <c r="CG98" s="128">
        <f t="shared" si="98"/>
        <v>200</v>
      </c>
      <c r="CH98" s="90">
        <f ca="1">INDEX(角色升级!$A:$A,MATCH(玩家节奏2!$BX98,角色升级!$J:$J,1))</f>
        <v>962</v>
      </c>
      <c r="CI98" s="90">
        <f ca="1">INDEX(角色升级!$O:$O,MATCH(玩家节奏2!$BX98,角色升级!$J:$J,1))</f>
        <v>81408.924014999982</v>
      </c>
      <c r="CJ98" s="90">
        <f>INDEX(关卡对比!$J:$J,MATCH(玩家节奏2!N98,关卡对比!$A:$A,0))</f>
        <v>86200</v>
      </c>
      <c r="CK98" s="147">
        <f t="shared" ca="1" si="99"/>
        <v>1.0588519752959422</v>
      </c>
      <c r="CL98" s="128">
        <f ca="1">INDEX(角色升级!$P:$P,MATCH(玩家节奏2!$CH98,角色升级!$A:$A,0))</f>
        <v>35000</v>
      </c>
      <c r="CM98" s="90">
        <f ca="1">INDEX(角色升级!Q:Q,MATCH(玩家节奏2!$CH98,角色升级!$A:$A,0))</f>
        <v>2.1</v>
      </c>
      <c r="CO98" s="128">
        <f t="shared" si="100"/>
        <v>78866</v>
      </c>
      <c r="CP98" s="90">
        <f t="shared" si="101"/>
        <v>174446</v>
      </c>
      <c r="CQ98" s="90">
        <f t="shared" si="102"/>
        <v>63784</v>
      </c>
      <c r="CR98" s="90">
        <f t="shared" ca="1" si="103"/>
        <v>252255</v>
      </c>
      <c r="CS98" s="90">
        <f t="shared" ca="1" si="104"/>
        <v>569351</v>
      </c>
      <c r="CT98" s="142">
        <f t="shared" ca="1" si="105"/>
        <v>0.13851912089378959</v>
      </c>
      <c r="CU98" s="142">
        <f t="shared" ca="1" si="105"/>
        <v>0.30639447370778305</v>
      </c>
      <c r="CV98" s="142">
        <f t="shared" ca="1" si="105"/>
        <v>0.11202931056588994</v>
      </c>
      <c r="CW98" s="142">
        <f t="shared" ca="1" si="105"/>
        <v>0.44305709483253741</v>
      </c>
      <c r="CY98" s="128">
        <f t="shared" si="106"/>
        <v>39434</v>
      </c>
      <c r="CZ98" s="90">
        <f t="shared" si="107"/>
        <v>87059</v>
      </c>
      <c r="DA98" s="90">
        <f t="shared" si="108"/>
        <v>43452</v>
      </c>
      <c r="DB98" s="90">
        <f t="shared" ca="1" si="128"/>
        <v>130930.75</v>
      </c>
      <c r="DC98" s="90">
        <f t="shared" ca="1" si="109"/>
        <v>300875.75</v>
      </c>
      <c r="DD98" s="142">
        <f t="shared" ca="1" si="110"/>
        <v>0.13106406880581103</v>
      </c>
      <c r="DE98" s="142">
        <f t="shared" ca="1" si="110"/>
        <v>0.28935199995346916</v>
      </c>
      <c r="DF98" s="142">
        <f t="shared" ca="1" si="110"/>
        <v>0.14441841856646806</v>
      </c>
      <c r="DG98" s="142">
        <f t="shared" ca="1" si="110"/>
        <v>0.43516551267425174</v>
      </c>
      <c r="DI98" s="128">
        <f t="shared" si="111"/>
        <v>19113</v>
      </c>
      <c r="DJ98" s="90">
        <f t="shared" si="112"/>
        <v>42755</v>
      </c>
      <c r="DK98" s="90">
        <f t="shared" si="113"/>
        <v>16830</v>
      </c>
      <c r="DL98" s="90">
        <f t="shared" ca="1" si="114"/>
        <v>20139</v>
      </c>
      <c r="DM98" s="90">
        <f t="shared" ca="1" si="115"/>
        <v>98837</v>
      </c>
      <c r="DN98" s="142">
        <f t="shared" ca="1" si="116"/>
        <v>0.19337899774375994</v>
      </c>
      <c r="DO98" s="142">
        <f t="shared" ca="1" si="116"/>
        <v>0.43258091605370458</v>
      </c>
      <c r="DP98" s="142">
        <f t="shared" ca="1" si="116"/>
        <v>0.1702803605937048</v>
      </c>
      <c r="DQ98" s="142">
        <f t="shared" ca="1" si="116"/>
        <v>0.20375972560883071</v>
      </c>
      <c r="DS98" s="128">
        <f t="shared" ca="1" si="117"/>
        <v>569351</v>
      </c>
      <c r="DT98" s="90">
        <f t="shared" ca="1" si="118"/>
        <v>300875.75</v>
      </c>
      <c r="DU98" s="90">
        <f t="shared" ca="1" si="119"/>
        <v>98837</v>
      </c>
      <c r="DV98" s="90">
        <f t="shared" si="120"/>
        <v>1424</v>
      </c>
      <c r="DW98" s="90">
        <f ca="1">_xlfn.IFNA(INDEX(武器升级消耗!$H:$H,MATCH(玩家节奏2!DS98/玩家节奏2!DS$5,武器升级消耗!M:M,1)),0)</f>
        <v>66</v>
      </c>
      <c r="DX98" s="90">
        <f ca="1">_xlfn.IFNA(INDEX(武器升级消耗!$H:$H,MATCH(玩家节奏2!DT98/玩家节奏2!DT$5,武器升级消耗!N:N,1)),0)</f>
        <v>58</v>
      </c>
      <c r="DY98" s="90">
        <f ca="1">_xlfn.IFNA(INDEX(武器升级消耗!$H:$H,MATCH(玩家节奏2!DU98/玩家节奏2!DU$5,武器升级消耗!O:O,1)),0)</f>
        <v>43</v>
      </c>
      <c r="DZ98" s="90">
        <f>_xlfn.IFNA(INDEX(武器升级消耗!$H:$H,MATCH(玩家节奏2!DV98/玩家节奏2!DV$5,武器升级消耗!P:P,1)),0)</f>
        <v>27</v>
      </c>
      <c r="EA98" s="90">
        <f ca="1">_xlfn.IFNA(INDEX(武器升级消耗!$Q:$Q,MATCH(玩家节奏2!DW98,武器升级消耗!$H:$H,0))*2*EA$4,0)</f>
        <v>8.4</v>
      </c>
      <c r="EB98" s="90">
        <f ca="1">_xlfn.IFNA(INDEX(武器升级消耗!$Q:$Q,MATCH(玩家节奏2!DX98,武器升级消耗!$H:$H,0))*2*EB$4,0)</f>
        <v>9.3000000000000007</v>
      </c>
      <c r="EC98" s="90">
        <f ca="1">_xlfn.IFNA(INDEX(武器升级消耗!$Q:$Q,MATCH(玩家节奏2!DY98,武器升级消耗!$H:$H,0))*2*EC$4,0)</f>
        <v>10.340000000000002</v>
      </c>
      <c r="ED98" s="90">
        <f>_xlfn.IFNA(INDEX(武器升级消耗!$Q:$Q,MATCH(玩家节奏2!DZ98,武器升级消耗!$H:$H,0))*2*ED$4,0)</f>
        <v>9.3000000000000007</v>
      </c>
      <c r="EF98" s="128">
        <f t="shared" si="85"/>
        <v>0</v>
      </c>
      <c r="EG98" s="90">
        <f t="shared" si="86"/>
        <v>0</v>
      </c>
      <c r="EH98" s="90">
        <v>276</v>
      </c>
      <c r="EI98" s="90">
        <v>276</v>
      </c>
      <c r="EJ98" s="90">
        <f>_xlfn.IFNA(INDEX(皮肤宠物!$J$4:$J$13,MATCH(EF98+EH98,皮肤宠物!$L$4:$L$13,1)),0)</f>
        <v>8</v>
      </c>
      <c r="EK98" s="90">
        <f>_xlfn.IFNA(INDEX(皮肤宠物!$J$4:$J$13,MATCH(EG98+EI98,皮肤宠物!$L$4:$L$13,1)),0)</f>
        <v>8</v>
      </c>
      <c r="EL98" s="90">
        <f>_xlfn.IFNA(INDEX(皮肤宠物!$N$4:$N$13,MATCH(EF98+EH98,皮肤宠物!$L$4:$L$13,1)),1)</f>
        <v>1.9800000000000002</v>
      </c>
      <c r="EM98" s="90">
        <f>_xlfn.IFNA(INDEX(皮肤宠物!$N$4:$N$13,MATCH(EG98+EI98,皮肤宠物!$L$4:$L$13,1)),1)</f>
        <v>1.9800000000000002</v>
      </c>
      <c r="EO98" s="128">
        <v>276</v>
      </c>
      <c r="EP98" s="90">
        <v>92</v>
      </c>
      <c r="EQ98" s="90">
        <f t="shared" ca="1" si="121"/>
        <v>97775</v>
      </c>
      <c r="ER98" s="90">
        <f t="shared" si="87"/>
        <v>0</v>
      </c>
      <c r="ES98" s="90">
        <f t="shared" ca="1" si="122"/>
        <v>1069.75</v>
      </c>
      <c r="ET98" s="90">
        <f ca="1">$ES98*ET$5*皮肤宠物!$J$75/4</f>
        <v>3531.2447499999998</v>
      </c>
      <c r="EU98" s="90">
        <f ca="1">$ES98*EU$5*皮肤宠物!$J$76/4</f>
        <v>589.43225000000007</v>
      </c>
      <c r="EV98" s="90">
        <f ca="1">$ES98*EV$5*皮肤宠物!$J$77/4</f>
        <v>159.66018750000001</v>
      </c>
      <c r="EW98" s="90">
        <f ca="1">_xlfn.IFNA(INDEX(皮肤宠物!$H$18:$H$67,MATCH(ET98,皮肤宠物!L$18:L$67,1)),0)</f>
        <v>21</v>
      </c>
      <c r="EX98" s="90">
        <f ca="1">_xlfn.IFNA(INDEX(皮肤宠物!$H$18:$H$67,MATCH(EU98,皮肤宠物!M$18:M$67,1)),0)</f>
        <v>16</v>
      </c>
      <c r="EY98" s="90">
        <f ca="1">_xlfn.IFNA(INDEX(皮肤宠物!$H$18:$H$67,MATCH(EV98,皮肤宠物!N$18:N$67,1)),0)</f>
        <v>12</v>
      </c>
      <c r="EZ98" s="90">
        <f ca="1">_xlfn.IFNA(INDEX(皮肤宠物!C$18:C$67,MATCH(EW98,皮肤宠物!$A$18:$A$67,0))+1,1)</f>
        <v>1.21</v>
      </c>
      <c r="FA98" s="90">
        <f ca="1">_xlfn.IFNA(INDEX(皮肤宠物!D$18:D$67,MATCH(EX98,皮肤宠物!$A$18:$A$67,0))+1,1)</f>
        <v>1.32</v>
      </c>
      <c r="FB98" s="90">
        <f ca="1">_xlfn.IFNA(INDEX(皮肤宠物!E$18:E$67,MATCH(EY98,皮肤宠物!$A$18:$A$67,0))+1,1)</f>
        <v>1.48</v>
      </c>
      <c r="FD98" s="90">
        <f t="shared" ca="1" si="123"/>
        <v>10.340000000000002</v>
      </c>
      <c r="FE98" s="90">
        <f t="shared" si="124"/>
        <v>1.9800000000000002</v>
      </c>
      <c r="FF98" s="90">
        <f t="shared" ca="1" si="125"/>
        <v>1.48</v>
      </c>
      <c r="FG98" s="90">
        <f t="shared" ca="1" si="126"/>
        <v>30.300336000000005</v>
      </c>
    </row>
    <row r="99" spans="1:163" x14ac:dyDescent="0.25">
      <c r="A99" s="123">
        <v>93</v>
      </c>
      <c r="B99" s="123">
        <f>INDEX(关卡对比!$Y:$Y,MATCH(关卡对比!Z99,关卡对比!$AA:$AA,1))</f>
        <v>60</v>
      </c>
      <c r="C99" s="124">
        <f>INDEX(关卡对比!$Y:$Y,MATCH(关卡对比!Z99,关卡对比!$AB:$AB,1))</f>
        <v>49</v>
      </c>
      <c r="D99" s="125">
        <f t="shared" si="131"/>
        <v>373.5</v>
      </c>
      <c r="E99" s="125">
        <v>2</v>
      </c>
      <c r="F99" s="128">
        <v>16</v>
      </c>
      <c r="G99" s="90">
        <v>16</v>
      </c>
      <c r="H99" s="90">
        <v>5</v>
      </c>
      <c r="J99" s="128">
        <v>93</v>
      </c>
      <c r="K99" s="90">
        <f t="shared" si="88"/>
        <v>16</v>
      </c>
      <c r="L99" s="90">
        <f t="shared" si="89"/>
        <v>16</v>
      </c>
      <c r="M99" s="90">
        <f t="shared" si="90"/>
        <v>5</v>
      </c>
      <c r="N99" s="140">
        <f>INDEX($A:$A,MATCH(SUM($K$7:K99),$D:$D,1))</f>
        <v>200</v>
      </c>
      <c r="O99" s="140">
        <v>0</v>
      </c>
      <c r="P99" s="141">
        <v>0</v>
      </c>
      <c r="Q99" s="126">
        <f>_xlfn.MAXIFS(关卡产出!X:X,关卡产出!$A:$A,玩家节奏2!$N$6,关卡产出!$B:$B,玩家节奏2!$N99)+_xlfn.MAXIFS(关卡产出!X:X,关卡产出!$A:$A,玩家节奏2!$O$6,关卡产出!$B:$B,玩家节奏2!$O99)+_xlfn.MAXIFS(关卡产出!X:X,关卡产出!$A:$A,玩家节奏2!$P$6,关卡产出!$B:$B,玩家节奏2!$P99)</f>
        <v>38500</v>
      </c>
      <c r="R99" s="90">
        <f>_xlfn.MAXIFS(关卡产出!Y:Y,关卡产出!$A:$A,玩家节奏2!$N$6,关卡产出!$B:$B,玩家节奏2!$N99)+_xlfn.MAXIFS(关卡产出!Y:Y,关卡产出!$A:$A,玩家节奏2!$O$6,关卡产出!$B:$B,玩家节奏2!$O99)+_xlfn.MAXIFS(关卡产出!Y:Y,关卡产出!$A:$A,玩家节奏2!$P$6,关卡产出!$B:$B,玩家节奏2!$P99)</f>
        <v>11610000</v>
      </c>
      <c r="S99" s="90">
        <f>_xlfn.MAXIFS(关卡产出!Z:Z,关卡产出!$A:$A,玩家节奏2!$N$6,关卡产出!$B:$B,玩家节奏2!$N99)+_xlfn.MAXIFS(关卡产出!Z:Z,关卡产出!$A:$A,玩家节奏2!$O$6,关卡产出!$B:$B,玩家节奏2!$O99)+_xlfn.MAXIFS(关卡产出!Z:Z,关卡产出!$A:$A,玩家节奏2!$P$6,关卡产出!$B:$B,玩家节奏2!$P99)</f>
        <v>78866</v>
      </c>
      <c r="T99" s="90">
        <f>_xlfn.MAXIFS(关卡产出!AA:AA,关卡产出!$A:$A,玩家节奏2!$N$6,关卡产出!$B:$B,玩家节奏2!$N99)+_xlfn.MAXIFS(关卡产出!AA:AA,关卡产出!$A:$A,玩家节奏2!$O$6,关卡产出!$B:$B,玩家节奏2!$O99)+_xlfn.MAXIFS(关卡产出!AA:AA,关卡产出!$A:$A,玩家节奏2!$P$6,关卡产出!$B:$B,玩家节奏2!$P99)</f>
        <v>39434</v>
      </c>
      <c r="U99" s="90">
        <f>_xlfn.MAXIFS(关卡产出!AB:AB,关卡产出!$A:$A,玩家节奏2!$N$6,关卡产出!$B:$B,玩家节奏2!$N99)+_xlfn.MAXIFS(关卡产出!AB:AB,关卡产出!$A:$A,玩家节奏2!$O$6,关卡产出!$B:$B,玩家节奏2!$O99)+_xlfn.MAXIFS(关卡产出!AB:AB,关卡产出!$A:$A,玩家节奏2!$P$6,关卡产出!$B:$B,玩家节奏2!$P99)</f>
        <v>19113</v>
      </c>
      <c r="V99" s="130">
        <f>_xlfn.MAXIFS(关卡产出!AC:AC,关卡产出!$A:$A,玩家节奏2!$N$6,关卡产出!$B:$B,玩家节奏2!$N99)+_xlfn.MAXIFS(关卡产出!AC:AC,关卡产出!$A:$A,玩家节奏2!$O$6,关卡产出!$B:$B,玩家节奏2!$O99)+_xlfn.MAXIFS(关卡产出!AC:AC,关卡产出!$A:$A,玩家节奏2!$P$6,关卡产出!$B:$B,玩家节奏2!$P99)</f>
        <v>1200</v>
      </c>
      <c r="W99" s="126">
        <f>INDEX(关卡产出!C$8:C$207,MATCH(玩家节奏2!$N99,关卡产出!$B$8:$B$207,0))*$K99</f>
        <v>2528</v>
      </c>
      <c r="X99" s="126">
        <f>INDEX(关卡产出!D$8:D$207,MATCH(玩家节奏2!$N99,关卡产出!$B$8:$B$207,0))*$K99</f>
        <v>1264</v>
      </c>
      <c r="Y99" s="126">
        <f>INDEX(关卡产出!E$8:E$207,MATCH(玩家节奏2!$N99,关卡产出!$B$8:$B$207,0))*$K99</f>
        <v>624</v>
      </c>
      <c r="Z99" s="144">
        <f>INDEX(关卡产出!F$8:F$207,MATCH(玩家节奏2!$N99,关卡产出!$B$8:$B$207,0))*$K99</f>
        <v>32800</v>
      </c>
      <c r="AA99" s="126">
        <f>SUM(W$7:W99)</f>
        <v>176974</v>
      </c>
      <c r="AB99" s="126">
        <f>SUM(X$7:X99)</f>
        <v>88323</v>
      </c>
      <c r="AC99" s="126">
        <f>SUM(Y$7:Y99)</f>
        <v>43379</v>
      </c>
      <c r="AD99" s="177">
        <f>SUM(Z$7:Z99)</f>
        <v>2323930</v>
      </c>
      <c r="AE99" s="128">
        <f>INDEX(图鉴!AQ:AQ,MATCH($N99,图鉴!$S:$S,0))*34</f>
        <v>714</v>
      </c>
      <c r="AF99" s="90">
        <f>INDEX(图鉴!AR:AR,MATCH($N99,图鉴!$S:$S,0))*34</f>
        <v>510</v>
      </c>
      <c r="AG99" s="90">
        <f>INDEX(图鉴!AS:AS,MATCH($N99,图鉴!$S:$S,0))*34</f>
        <v>204</v>
      </c>
      <c r="AH99" s="129">
        <f ca="1">INDEX(图鉴!AT:AT,MATCH($N99,图鉴!$S:$S,0))*34</f>
        <v>55930</v>
      </c>
      <c r="AI99" s="128">
        <f>SUM($AE$7:AE99)</f>
        <v>64498</v>
      </c>
      <c r="AJ99" s="90">
        <f>SUM(AF$7:AF99)</f>
        <v>43962</v>
      </c>
      <c r="AK99" s="90">
        <f>SUM(AG$7:AG99)</f>
        <v>17034</v>
      </c>
      <c r="AL99" s="130">
        <f ca="1">SUM(AH$7:AH99)</f>
        <v>4371856</v>
      </c>
      <c r="AM99" s="133">
        <f>IF(M99=0,0,INDEX(关卡产出!$AU$11:$AU$15,MATCH(玩家节奏2!N99,关卡产出!$AW$11:$AW$15,1))*M99)</f>
        <v>61000</v>
      </c>
      <c r="AN99" s="126">
        <f>IF(L99=0,0,$L99*关卡产出!AU$21)</f>
        <v>16000</v>
      </c>
      <c r="AO99" s="90">
        <f>IF(M99=0,0,$L99*关卡产出!AV$21)</f>
        <v>800</v>
      </c>
      <c r="AP99" s="129">
        <f>IF(N99=0,0,$L99*关卡产出!AW$21)</f>
        <v>16</v>
      </c>
      <c r="AQ99" s="138">
        <f>SUM(AN$7:AN99)</f>
        <v>1440000</v>
      </c>
      <c r="AR99" s="126">
        <f>SUM(AO$7:AO99)</f>
        <v>72000</v>
      </c>
      <c r="AS99" s="129">
        <f>SUM(AP$7:AP99)</f>
        <v>1440</v>
      </c>
      <c r="AT99" s="128">
        <v>3000</v>
      </c>
      <c r="AU99" s="129">
        <v>600</v>
      </c>
      <c r="AV99" s="128">
        <f>SUM(AT$7:AT99)</f>
        <v>279000</v>
      </c>
      <c r="AW99" s="90">
        <f>SUM(AU$7:AU99)</f>
        <v>55800</v>
      </c>
      <c r="AY99" s="128">
        <f t="shared" si="91"/>
        <v>38500</v>
      </c>
      <c r="AZ99" s="90">
        <f t="shared" si="92"/>
        <v>72000</v>
      </c>
      <c r="BA99" s="90">
        <f t="shared" si="93"/>
        <v>55800</v>
      </c>
      <c r="BB99" s="90">
        <f t="shared" ca="1" si="127"/>
        <v>35000</v>
      </c>
      <c r="BC99" s="90">
        <f t="shared" ca="1" si="129"/>
        <v>102825</v>
      </c>
      <c r="BD99" s="90">
        <f t="shared" ca="1" si="130"/>
        <v>98475</v>
      </c>
      <c r="BE99" s="90">
        <f t="shared" ca="1" si="94"/>
        <v>201300</v>
      </c>
      <c r="BF99" s="142">
        <f t="shared" ca="1" si="75"/>
        <v>0.37442256260637002</v>
      </c>
      <c r="BG99" s="142">
        <f t="shared" ca="1" si="76"/>
        <v>0.70021881838074396</v>
      </c>
      <c r="BH99" s="142">
        <f t="shared" ca="1" si="77"/>
        <v>0.54266958424507661</v>
      </c>
      <c r="BI99" s="142">
        <f t="shared" ca="1" si="95"/>
        <v>0.34038414782397275</v>
      </c>
      <c r="BJ99" s="143"/>
      <c r="BK99" s="128">
        <f ca="1">INDEX(商城宝箱!$L:$L,MATCH(BC99,商城宝箱!$N:$N,1))</f>
        <v>11</v>
      </c>
      <c r="BL99" s="90">
        <f ca="1">_xlfn.IFNA(INDEX(商城宝箱!T:T,MATCH(玩家节奏2!$BK99,商城宝箱!$L:$L,0)),0)+($BC99-INDEX(商城宝箱!$N:$N,MATCH(玩家节奏2!$BK99,商城宝箱!$L:$L,0)))/$BK$5*INDEX(商城宝箱!E$23:E$42,MATCH(玩家节奏2!$BK99+1,商城宝箱!$C$23:$C$42,0))</f>
        <v>257062.5</v>
      </c>
      <c r="BM99" s="90">
        <f ca="1">_xlfn.IFNA(INDEX(商城宝箱!U:U,MATCH(玩家节奏2!$BK99,商城宝箱!$L:$L,0)),0)+($BC99-INDEX(商城宝箱!$N:$N,MATCH(玩家节奏2!$BK99,商城宝箱!$L:$L,0)))/$BK$5*INDEX(商城宝箱!F$23:F$42,MATCH(玩家节奏2!$BK99+1,商城宝箱!$C$23:$C$42,0))</f>
        <v>254845</v>
      </c>
      <c r="BN99" s="90">
        <f ca="1">_xlfn.IFNA(INDEX(商城宝箱!V:V,MATCH(玩家节奏2!$BK99,商城宝箱!$L:$L,0)),0)+($BC99-INDEX(商城宝箱!$N:$N,MATCH(玩家节奏2!$BK99,商城宝箱!$L:$L,0)))/$BK$5*INDEX(商城宝箱!G$23:G$42,MATCH(玩家节奏2!$BK99+1,商城宝箱!$C$23:$C$42,0))</f>
        <v>132155.75</v>
      </c>
      <c r="BO99" s="90">
        <f ca="1">_xlfn.IFNA(INDEX(商城宝箱!W:W,MATCH(玩家节奏2!$BK99,商城宝箱!$L:$L,0)),0)+($BC99-INDEX(商城宝箱!$N:$N,MATCH(玩家节奏2!$BK99,商城宝箱!$L:$L,0)))/$BK$5*INDEX(商城宝箱!H$23:H$42,MATCH(玩家节奏2!$BK99+1,商城宝箱!$C$23:$C$42,0))</f>
        <v>20349</v>
      </c>
      <c r="BQ99" s="128">
        <f t="shared" si="79"/>
        <v>11610000</v>
      </c>
      <c r="BR99" s="90">
        <f t="shared" si="80"/>
        <v>2323930</v>
      </c>
      <c r="BS99" s="90">
        <f t="shared" ca="1" si="81"/>
        <v>4371856</v>
      </c>
      <c r="BT99" s="90">
        <f t="shared" si="82"/>
        <v>61000</v>
      </c>
      <c r="BU99" s="90">
        <f t="shared" si="83"/>
        <v>1440000</v>
      </c>
      <c r="BV99" s="90">
        <f t="shared" si="84"/>
        <v>279000</v>
      </c>
      <c r="BW99" s="90">
        <f t="shared" ca="1" si="96"/>
        <v>257062.5</v>
      </c>
      <c r="BX99" s="90">
        <f t="shared" ca="1" si="97"/>
        <v>20342848.5</v>
      </c>
      <c r="BY99" s="142">
        <f t="shared" ca="1" si="74"/>
        <v>0.5707165346092018</v>
      </c>
      <c r="BZ99" s="142">
        <f t="shared" ca="1" si="74"/>
        <v>0.11423818055765396</v>
      </c>
      <c r="CA99" s="142">
        <f t="shared" ca="1" si="73"/>
        <v>0.21490874299142521</v>
      </c>
      <c r="CB99" s="142">
        <f t="shared" ca="1" si="73"/>
        <v>2.9985967796004576E-3</v>
      </c>
      <c r="CC99" s="142">
        <f t="shared" ca="1" si="73"/>
        <v>7.0786546928273103E-2</v>
      </c>
      <c r="CD99" s="142">
        <f t="shared" ca="1" si="73"/>
        <v>1.3714893467352912E-2</v>
      </c>
      <c r="CE99" s="142">
        <f t="shared" ca="1" si="73"/>
        <v>1.2636504666492502E-2</v>
      </c>
      <c r="CG99" s="128">
        <f t="shared" si="98"/>
        <v>200</v>
      </c>
      <c r="CH99" s="90">
        <f ca="1">INDEX(角色升级!$A:$A,MATCH(玩家节奏2!$BX99,角色升级!$J:$J,1))</f>
        <v>964</v>
      </c>
      <c r="CI99" s="90">
        <f ca="1">INDEX(角色升级!$O:$O,MATCH(玩家节奏2!$BX99,角色升级!$J:$J,1))</f>
        <v>82418.315145</v>
      </c>
      <c r="CJ99" s="90">
        <f>INDEX(关卡对比!$J:$J,MATCH(玩家节奏2!N99,关卡对比!$A:$A,0))</f>
        <v>86200</v>
      </c>
      <c r="CK99" s="147">
        <f t="shared" ca="1" si="99"/>
        <v>1.0458840349787157</v>
      </c>
      <c r="CL99" s="128">
        <f ca="1">INDEX(角色升级!$P:$P,MATCH(玩家节奏2!$CH99,角色升级!$A:$A,0))</f>
        <v>35000</v>
      </c>
      <c r="CM99" s="90">
        <f ca="1">INDEX(角色升级!Q:Q,MATCH(玩家节奏2!$CH99,角色升级!$A:$A,0))</f>
        <v>2.1</v>
      </c>
      <c r="CO99" s="128">
        <f t="shared" si="100"/>
        <v>78866</v>
      </c>
      <c r="CP99" s="90">
        <f t="shared" si="101"/>
        <v>176974</v>
      </c>
      <c r="CQ99" s="90">
        <f t="shared" si="102"/>
        <v>64498</v>
      </c>
      <c r="CR99" s="90">
        <f t="shared" ca="1" si="103"/>
        <v>254845</v>
      </c>
      <c r="CS99" s="90">
        <f t="shared" ca="1" si="104"/>
        <v>575183</v>
      </c>
      <c r="CT99" s="142">
        <f t="shared" ca="1" si="105"/>
        <v>0.13711462265053034</v>
      </c>
      <c r="CU99" s="142">
        <f t="shared" ca="1" si="105"/>
        <v>0.30768294612323382</v>
      </c>
      <c r="CV99" s="142">
        <f t="shared" ca="1" si="105"/>
        <v>0.11213474668062165</v>
      </c>
      <c r="CW99" s="142">
        <f t="shared" ca="1" si="105"/>
        <v>0.44306768454561418</v>
      </c>
      <c r="CY99" s="128">
        <f t="shared" si="106"/>
        <v>39434</v>
      </c>
      <c r="CZ99" s="90">
        <f t="shared" si="107"/>
        <v>88323</v>
      </c>
      <c r="DA99" s="90">
        <f t="shared" si="108"/>
        <v>43962</v>
      </c>
      <c r="DB99" s="90">
        <f t="shared" ca="1" si="128"/>
        <v>132155.75</v>
      </c>
      <c r="DC99" s="90">
        <f t="shared" ca="1" si="109"/>
        <v>303874.75</v>
      </c>
      <c r="DD99" s="142">
        <f t="shared" ca="1" si="110"/>
        <v>0.12977057159240774</v>
      </c>
      <c r="DE99" s="142">
        <f t="shared" ca="1" si="110"/>
        <v>0.29065593636852027</v>
      </c>
      <c r="DF99" s="142">
        <f t="shared" ca="1" si="110"/>
        <v>0.14467144769349871</v>
      </c>
      <c r="DG99" s="142">
        <f t="shared" ca="1" si="110"/>
        <v>0.43490204434557328</v>
      </c>
      <c r="DI99" s="128">
        <f t="shared" si="111"/>
        <v>19113</v>
      </c>
      <c r="DJ99" s="90">
        <f t="shared" si="112"/>
        <v>43379</v>
      </c>
      <c r="DK99" s="90">
        <f t="shared" si="113"/>
        <v>17034</v>
      </c>
      <c r="DL99" s="90">
        <f t="shared" ca="1" si="114"/>
        <v>20349</v>
      </c>
      <c r="DM99" s="90">
        <f t="shared" ca="1" si="115"/>
        <v>99875</v>
      </c>
      <c r="DN99" s="142">
        <f t="shared" ca="1" si="116"/>
        <v>0.19136921151439298</v>
      </c>
      <c r="DO99" s="142">
        <f t="shared" ca="1" si="116"/>
        <v>0.43433291614518149</v>
      </c>
      <c r="DP99" s="142">
        <f t="shared" ca="1" si="116"/>
        <v>0.17055319148936171</v>
      </c>
      <c r="DQ99" s="142">
        <f t="shared" ca="1" si="116"/>
        <v>0.20374468085106384</v>
      </c>
      <c r="DS99" s="128">
        <f t="shared" ca="1" si="117"/>
        <v>575183</v>
      </c>
      <c r="DT99" s="90">
        <f t="shared" ca="1" si="118"/>
        <v>303874.75</v>
      </c>
      <c r="DU99" s="90">
        <f t="shared" ca="1" si="119"/>
        <v>99875</v>
      </c>
      <c r="DV99" s="90">
        <f t="shared" si="120"/>
        <v>1440</v>
      </c>
      <c r="DW99" s="90">
        <f ca="1">_xlfn.IFNA(INDEX(武器升级消耗!$H:$H,MATCH(玩家节奏2!DS99/玩家节奏2!DS$5,武器升级消耗!M:M,1)),0)</f>
        <v>66</v>
      </c>
      <c r="DX99" s="90">
        <f ca="1">_xlfn.IFNA(INDEX(武器升级消耗!$H:$H,MATCH(玩家节奏2!DT99/玩家节奏2!DT$5,武器升级消耗!N:N,1)),0)</f>
        <v>58</v>
      </c>
      <c r="DY99" s="90">
        <f ca="1">_xlfn.IFNA(INDEX(武器升级消耗!$H:$H,MATCH(玩家节奏2!DU99/玩家节奏2!DU$5,武器升级消耗!O:O,1)),0)</f>
        <v>44</v>
      </c>
      <c r="DZ99" s="90">
        <f>_xlfn.IFNA(INDEX(武器升级消耗!$H:$H,MATCH(玩家节奏2!DV99/玩家节奏2!DV$5,武器升级消耗!P:P,1)),0)</f>
        <v>27</v>
      </c>
      <c r="EA99" s="90">
        <f ca="1">_xlfn.IFNA(INDEX(武器升级消耗!$Q:$Q,MATCH(玩家节奏2!DW99,武器升级消耗!$H:$H,0))*2*EA$4,0)</f>
        <v>8.4</v>
      </c>
      <c r="EB99" s="90">
        <f ca="1">_xlfn.IFNA(INDEX(武器升级消耗!$Q:$Q,MATCH(玩家节奏2!DX99,武器升级消耗!$H:$H,0))*2*EB$4,0)</f>
        <v>9.3000000000000007</v>
      </c>
      <c r="EC99" s="90">
        <f ca="1">_xlfn.IFNA(INDEX(武器升级消耗!$Q:$Q,MATCH(玩家节奏2!DY99,武器升级消耗!$H:$H,0))*2*EC$4,0)</f>
        <v>10.56</v>
      </c>
      <c r="ED99" s="90">
        <f>_xlfn.IFNA(INDEX(武器升级消耗!$Q:$Q,MATCH(玩家节奏2!DZ99,武器升级消耗!$H:$H,0))*2*ED$4,0)</f>
        <v>9.3000000000000007</v>
      </c>
      <c r="EF99" s="128">
        <f t="shared" si="85"/>
        <v>0</v>
      </c>
      <c r="EG99" s="90">
        <f t="shared" si="86"/>
        <v>0</v>
      </c>
      <c r="EH99" s="90">
        <v>279</v>
      </c>
      <c r="EI99" s="90">
        <v>279</v>
      </c>
      <c r="EJ99" s="90">
        <f>_xlfn.IFNA(INDEX(皮肤宠物!$J$4:$J$13,MATCH(EF99+EH99,皮肤宠物!$L$4:$L$13,1)),0)</f>
        <v>8</v>
      </c>
      <c r="EK99" s="90">
        <f>_xlfn.IFNA(INDEX(皮肤宠物!$J$4:$J$13,MATCH(EG99+EI99,皮肤宠物!$L$4:$L$13,1)),0)</f>
        <v>8</v>
      </c>
      <c r="EL99" s="90">
        <f>_xlfn.IFNA(INDEX(皮肤宠物!$N$4:$N$13,MATCH(EF99+EH99,皮肤宠物!$L$4:$L$13,1)),1)</f>
        <v>1.9800000000000002</v>
      </c>
      <c r="EM99" s="90">
        <f>_xlfn.IFNA(INDEX(皮肤宠物!$N$4:$N$13,MATCH(EG99+EI99,皮肤宠物!$L$4:$L$13,1)),1)</f>
        <v>1.9800000000000002</v>
      </c>
      <c r="EO99" s="128">
        <v>279</v>
      </c>
      <c r="EP99" s="90">
        <v>93</v>
      </c>
      <c r="EQ99" s="90">
        <f t="shared" ca="1" si="121"/>
        <v>98475</v>
      </c>
      <c r="ER99" s="90">
        <f t="shared" si="87"/>
        <v>0</v>
      </c>
      <c r="ES99" s="90">
        <f t="shared" ca="1" si="122"/>
        <v>1077.75</v>
      </c>
      <c r="ET99" s="90">
        <f ca="1">$ES99*ET$5*皮肤宠物!$J$75/4</f>
        <v>3557.6527500000002</v>
      </c>
      <c r="EU99" s="90">
        <f ca="1">$ES99*EU$5*皮肤宠物!$J$76/4</f>
        <v>593.84025000000008</v>
      </c>
      <c r="EV99" s="90">
        <f ca="1">$ES99*EV$5*皮肤宠物!$J$77/4</f>
        <v>160.85418749999999</v>
      </c>
      <c r="EW99" s="90">
        <f ca="1">_xlfn.IFNA(INDEX(皮肤宠物!$H$18:$H$67,MATCH(ET99,皮肤宠物!L$18:L$67,1)),0)</f>
        <v>21</v>
      </c>
      <c r="EX99" s="90">
        <f ca="1">_xlfn.IFNA(INDEX(皮肤宠物!$H$18:$H$67,MATCH(EU99,皮肤宠物!M$18:M$67,1)),0)</f>
        <v>16</v>
      </c>
      <c r="EY99" s="90">
        <f ca="1">_xlfn.IFNA(INDEX(皮肤宠物!$H$18:$H$67,MATCH(EV99,皮肤宠物!N$18:N$67,1)),0)</f>
        <v>12</v>
      </c>
      <c r="EZ99" s="90">
        <f ca="1">_xlfn.IFNA(INDEX(皮肤宠物!C$18:C$67,MATCH(EW99,皮肤宠物!$A$18:$A$67,0))+1,1)</f>
        <v>1.21</v>
      </c>
      <c r="FA99" s="90">
        <f ca="1">_xlfn.IFNA(INDEX(皮肤宠物!D$18:D$67,MATCH(EX99,皮肤宠物!$A$18:$A$67,0))+1,1)</f>
        <v>1.32</v>
      </c>
      <c r="FB99" s="90">
        <f ca="1">_xlfn.IFNA(INDEX(皮肤宠物!E$18:E$67,MATCH(EY99,皮肤宠物!$A$18:$A$67,0))+1,1)</f>
        <v>1.48</v>
      </c>
      <c r="FD99" s="90">
        <f t="shared" ca="1" si="123"/>
        <v>10.56</v>
      </c>
      <c r="FE99" s="90">
        <f t="shared" si="124"/>
        <v>1.9800000000000002</v>
      </c>
      <c r="FF99" s="90">
        <f t="shared" ca="1" si="125"/>
        <v>1.48</v>
      </c>
      <c r="FG99" s="90">
        <f t="shared" ca="1" si="126"/>
        <v>30.945024000000004</v>
      </c>
    </row>
    <row r="100" spans="1:163" x14ac:dyDescent="0.25">
      <c r="A100" s="123">
        <v>94</v>
      </c>
      <c r="B100" s="123">
        <f>INDEX(关卡对比!$Y:$Y,MATCH(关卡对比!Z100,关卡对比!$AA:$AA,1))</f>
        <v>60</v>
      </c>
      <c r="C100" s="124">
        <f>INDEX(关卡对比!$Y:$Y,MATCH(关卡对比!Z100,关卡对比!$AB:$AB,1))</f>
        <v>49</v>
      </c>
      <c r="D100" s="125">
        <f t="shared" si="131"/>
        <v>375.5</v>
      </c>
      <c r="E100" s="125">
        <v>2</v>
      </c>
      <c r="F100" s="128">
        <v>16</v>
      </c>
      <c r="G100" s="90">
        <v>16</v>
      </c>
      <c r="H100" s="90">
        <v>5</v>
      </c>
      <c r="J100" s="128">
        <v>94</v>
      </c>
      <c r="K100" s="90">
        <f t="shared" si="88"/>
        <v>16</v>
      </c>
      <c r="L100" s="90">
        <f t="shared" si="89"/>
        <v>16</v>
      </c>
      <c r="M100" s="90">
        <f t="shared" si="90"/>
        <v>5</v>
      </c>
      <c r="N100" s="140">
        <f>INDEX($A:$A,MATCH(SUM($K$7:K100),$D:$D,1))</f>
        <v>200</v>
      </c>
      <c r="O100" s="140">
        <v>0</v>
      </c>
      <c r="P100" s="141">
        <v>0</v>
      </c>
      <c r="Q100" s="126">
        <f>_xlfn.MAXIFS(关卡产出!X:X,关卡产出!$A:$A,玩家节奏2!$N$6,关卡产出!$B:$B,玩家节奏2!$N100)+_xlfn.MAXIFS(关卡产出!X:X,关卡产出!$A:$A,玩家节奏2!$O$6,关卡产出!$B:$B,玩家节奏2!$O100)+_xlfn.MAXIFS(关卡产出!X:X,关卡产出!$A:$A,玩家节奏2!$P$6,关卡产出!$B:$B,玩家节奏2!$P100)</f>
        <v>38500</v>
      </c>
      <c r="R100" s="90">
        <f>_xlfn.MAXIFS(关卡产出!Y:Y,关卡产出!$A:$A,玩家节奏2!$N$6,关卡产出!$B:$B,玩家节奏2!$N100)+_xlfn.MAXIFS(关卡产出!Y:Y,关卡产出!$A:$A,玩家节奏2!$O$6,关卡产出!$B:$B,玩家节奏2!$O100)+_xlfn.MAXIFS(关卡产出!Y:Y,关卡产出!$A:$A,玩家节奏2!$P$6,关卡产出!$B:$B,玩家节奏2!$P100)</f>
        <v>11610000</v>
      </c>
      <c r="S100" s="90">
        <f>_xlfn.MAXIFS(关卡产出!Z:Z,关卡产出!$A:$A,玩家节奏2!$N$6,关卡产出!$B:$B,玩家节奏2!$N100)+_xlfn.MAXIFS(关卡产出!Z:Z,关卡产出!$A:$A,玩家节奏2!$O$6,关卡产出!$B:$B,玩家节奏2!$O100)+_xlfn.MAXIFS(关卡产出!Z:Z,关卡产出!$A:$A,玩家节奏2!$P$6,关卡产出!$B:$B,玩家节奏2!$P100)</f>
        <v>78866</v>
      </c>
      <c r="T100" s="90">
        <f>_xlfn.MAXIFS(关卡产出!AA:AA,关卡产出!$A:$A,玩家节奏2!$N$6,关卡产出!$B:$B,玩家节奏2!$N100)+_xlfn.MAXIFS(关卡产出!AA:AA,关卡产出!$A:$A,玩家节奏2!$O$6,关卡产出!$B:$B,玩家节奏2!$O100)+_xlfn.MAXIFS(关卡产出!AA:AA,关卡产出!$A:$A,玩家节奏2!$P$6,关卡产出!$B:$B,玩家节奏2!$P100)</f>
        <v>39434</v>
      </c>
      <c r="U100" s="90">
        <f>_xlfn.MAXIFS(关卡产出!AB:AB,关卡产出!$A:$A,玩家节奏2!$N$6,关卡产出!$B:$B,玩家节奏2!$N100)+_xlfn.MAXIFS(关卡产出!AB:AB,关卡产出!$A:$A,玩家节奏2!$O$6,关卡产出!$B:$B,玩家节奏2!$O100)+_xlfn.MAXIFS(关卡产出!AB:AB,关卡产出!$A:$A,玩家节奏2!$P$6,关卡产出!$B:$B,玩家节奏2!$P100)</f>
        <v>19113</v>
      </c>
      <c r="V100" s="130">
        <f>_xlfn.MAXIFS(关卡产出!AC:AC,关卡产出!$A:$A,玩家节奏2!$N$6,关卡产出!$B:$B,玩家节奏2!$N100)+_xlfn.MAXIFS(关卡产出!AC:AC,关卡产出!$A:$A,玩家节奏2!$O$6,关卡产出!$B:$B,玩家节奏2!$O100)+_xlfn.MAXIFS(关卡产出!AC:AC,关卡产出!$A:$A,玩家节奏2!$P$6,关卡产出!$B:$B,玩家节奏2!$P100)</f>
        <v>1200</v>
      </c>
      <c r="W100" s="126">
        <f>INDEX(关卡产出!C$8:C$207,MATCH(玩家节奏2!$N100,关卡产出!$B$8:$B$207,0))*$K100</f>
        <v>2528</v>
      </c>
      <c r="X100" s="126">
        <f>INDEX(关卡产出!D$8:D$207,MATCH(玩家节奏2!$N100,关卡产出!$B$8:$B$207,0))*$K100</f>
        <v>1264</v>
      </c>
      <c r="Y100" s="126">
        <f>INDEX(关卡产出!E$8:E$207,MATCH(玩家节奏2!$N100,关卡产出!$B$8:$B$207,0))*$K100</f>
        <v>624</v>
      </c>
      <c r="Z100" s="144">
        <f>INDEX(关卡产出!F$8:F$207,MATCH(玩家节奏2!$N100,关卡产出!$B$8:$B$207,0))*$K100</f>
        <v>32800</v>
      </c>
      <c r="AA100" s="126">
        <f>SUM(W$7:W100)</f>
        <v>179502</v>
      </c>
      <c r="AB100" s="126">
        <f>SUM(X$7:X100)</f>
        <v>89587</v>
      </c>
      <c r="AC100" s="126">
        <f>SUM(Y$7:Y100)</f>
        <v>44003</v>
      </c>
      <c r="AD100" s="177">
        <f>SUM(Z$7:Z100)</f>
        <v>2356730</v>
      </c>
      <c r="AE100" s="128">
        <f>INDEX(图鉴!AQ:AQ,MATCH($N100,图鉴!$S:$S,0))*34</f>
        <v>714</v>
      </c>
      <c r="AF100" s="90">
        <f>INDEX(图鉴!AR:AR,MATCH($N100,图鉴!$S:$S,0))*34</f>
        <v>510</v>
      </c>
      <c r="AG100" s="90">
        <f>INDEX(图鉴!AS:AS,MATCH($N100,图鉴!$S:$S,0))*34</f>
        <v>204</v>
      </c>
      <c r="AH100" s="129">
        <f ca="1">INDEX(图鉴!AT:AT,MATCH($N100,图鉴!$S:$S,0))*34</f>
        <v>55930</v>
      </c>
      <c r="AI100" s="128">
        <f>SUM($AE$7:AE100)</f>
        <v>65212</v>
      </c>
      <c r="AJ100" s="90">
        <f>SUM(AF$7:AF100)</f>
        <v>44472</v>
      </c>
      <c r="AK100" s="90">
        <f>SUM(AG$7:AG100)</f>
        <v>17238</v>
      </c>
      <c r="AL100" s="130">
        <f ca="1">SUM(AH$7:AH100)</f>
        <v>4427786</v>
      </c>
      <c r="AM100" s="133">
        <f>IF(M100=0,0,INDEX(关卡产出!$AU$11:$AU$15,MATCH(玩家节奏2!N100,关卡产出!$AW$11:$AW$15,1))*M100)</f>
        <v>61000</v>
      </c>
      <c r="AN100" s="126">
        <f>IF(L100=0,0,$L100*关卡产出!AU$21)</f>
        <v>16000</v>
      </c>
      <c r="AO100" s="90">
        <f>IF(M100=0,0,$L100*关卡产出!AV$21)</f>
        <v>800</v>
      </c>
      <c r="AP100" s="129">
        <f>IF(N100=0,0,$L100*关卡产出!AW$21)</f>
        <v>16</v>
      </c>
      <c r="AQ100" s="138">
        <f>SUM(AN$7:AN100)</f>
        <v>1456000</v>
      </c>
      <c r="AR100" s="126">
        <f>SUM(AO$7:AO100)</f>
        <v>72800</v>
      </c>
      <c r="AS100" s="129">
        <f>SUM(AP$7:AP100)</f>
        <v>1456</v>
      </c>
      <c r="AT100" s="128">
        <v>3000</v>
      </c>
      <c r="AU100" s="129">
        <v>600</v>
      </c>
      <c r="AV100" s="128">
        <f>SUM(AT$7:AT100)</f>
        <v>282000</v>
      </c>
      <c r="AW100" s="90">
        <f>SUM(AU$7:AU100)</f>
        <v>56400</v>
      </c>
      <c r="AY100" s="128">
        <f t="shared" si="91"/>
        <v>38500</v>
      </c>
      <c r="AZ100" s="90">
        <f t="shared" si="92"/>
        <v>72800</v>
      </c>
      <c r="BA100" s="90">
        <f t="shared" si="93"/>
        <v>56400</v>
      </c>
      <c r="BB100" s="90">
        <f t="shared" ca="1" si="127"/>
        <v>35000</v>
      </c>
      <c r="BC100" s="90">
        <f t="shared" ca="1" si="129"/>
        <v>103525</v>
      </c>
      <c r="BD100" s="90">
        <f t="shared" ca="1" si="130"/>
        <v>99175</v>
      </c>
      <c r="BE100" s="90">
        <f t="shared" ca="1" si="94"/>
        <v>202700</v>
      </c>
      <c r="BF100" s="142">
        <f t="shared" ca="1" si="75"/>
        <v>0.3718908476213475</v>
      </c>
      <c r="BG100" s="142">
        <f t="shared" ca="1" si="76"/>
        <v>0.70321178459309341</v>
      </c>
      <c r="BH100" s="142">
        <f t="shared" ca="1" si="77"/>
        <v>0.54479594300893508</v>
      </c>
      <c r="BI100" s="142">
        <f t="shared" ca="1" si="95"/>
        <v>0.33808258874667957</v>
      </c>
      <c r="BJ100" s="143"/>
      <c r="BK100" s="128">
        <f ca="1">INDEX(商城宝箱!$L:$L,MATCH(BC100,商城宝箱!$N:$N,1))</f>
        <v>11</v>
      </c>
      <c r="BL100" s="90">
        <f ca="1">_xlfn.IFNA(INDEX(商城宝箱!T:T,MATCH(玩家节奏2!$BK100,商城宝箱!$L:$L,0)),0)+($BC100-INDEX(商城宝箱!$N:$N,MATCH(玩家节奏2!$BK100,商城宝箱!$L:$L,0)))/$BK$5*INDEX(商城宝箱!E$23:E$42,MATCH(玩家节奏2!$BK100+1,商城宝箱!$C$23:$C$42,0))</f>
        <v>258812.5</v>
      </c>
      <c r="BM100" s="90">
        <f ca="1">_xlfn.IFNA(INDEX(商城宝箱!U:U,MATCH(玩家节奏2!$BK100,商城宝箱!$L:$L,0)),0)+($BC100-INDEX(商城宝箱!$N:$N,MATCH(玩家节奏2!$BK100,商城宝箱!$L:$L,0)))/$BK$5*INDEX(商城宝箱!F$23:F$42,MATCH(玩家节奏2!$BK100+1,商城宝箱!$C$23:$C$42,0))</f>
        <v>257435</v>
      </c>
      <c r="BN100" s="90">
        <f ca="1">_xlfn.IFNA(INDEX(商城宝箱!V:V,MATCH(玩家节奏2!$BK100,商城宝箱!$L:$L,0)),0)+($BC100-INDEX(商城宝箱!$N:$N,MATCH(玩家节奏2!$BK100,商城宝箱!$L:$L,0)))/$BK$5*INDEX(商城宝箱!G$23:G$42,MATCH(玩家节奏2!$BK100+1,商城宝箱!$C$23:$C$42,0))</f>
        <v>133380.75</v>
      </c>
      <c r="BO100" s="90">
        <f ca="1">_xlfn.IFNA(INDEX(商城宝箱!W:W,MATCH(玩家节奏2!$BK100,商城宝箱!$L:$L,0)),0)+($BC100-INDEX(商城宝箱!$N:$N,MATCH(玩家节奏2!$BK100,商城宝箱!$L:$L,0)))/$BK$5*INDEX(商城宝箱!H$23:H$42,MATCH(玩家节奏2!$BK100+1,商城宝箱!$C$23:$C$42,0))</f>
        <v>20559</v>
      </c>
      <c r="BQ100" s="128">
        <f t="shared" si="79"/>
        <v>11610000</v>
      </c>
      <c r="BR100" s="90">
        <f t="shared" si="80"/>
        <v>2356730</v>
      </c>
      <c r="BS100" s="90">
        <f t="shared" ca="1" si="81"/>
        <v>4427786</v>
      </c>
      <c r="BT100" s="90">
        <f t="shared" si="82"/>
        <v>61000</v>
      </c>
      <c r="BU100" s="90">
        <f t="shared" si="83"/>
        <v>1456000</v>
      </c>
      <c r="BV100" s="90">
        <f t="shared" si="84"/>
        <v>282000</v>
      </c>
      <c r="BW100" s="90">
        <f t="shared" ca="1" si="96"/>
        <v>258812.5</v>
      </c>
      <c r="BX100" s="90">
        <f t="shared" ca="1" si="97"/>
        <v>20452328.5</v>
      </c>
      <c r="BY100" s="142">
        <f t="shared" ca="1" si="74"/>
        <v>0.56766152567909323</v>
      </c>
      <c r="BZ100" s="142">
        <f t="shared" ca="1" si="74"/>
        <v>0.11523040029403009</v>
      </c>
      <c r="CA100" s="142">
        <f t="shared" ca="1" si="73"/>
        <v>0.21649300225155294</v>
      </c>
      <c r="CB100" s="142">
        <f t="shared" ca="1" si="73"/>
        <v>2.9825454837575094E-3</v>
      </c>
      <c r="CC100" s="142">
        <f t="shared" ca="1" si="73"/>
        <v>7.118993810411367E-2</v>
      </c>
      <c r="CD100" s="142">
        <f t="shared" ca="1" si="73"/>
        <v>1.3788161088846191E-2</v>
      </c>
      <c r="CE100" s="142">
        <f t="shared" ca="1" si="73"/>
        <v>1.26544270986064E-2</v>
      </c>
      <c r="CG100" s="128">
        <f t="shared" si="98"/>
        <v>200</v>
      </c>
      <c r="CH100" s="90">
        <f ca="1">INDEX(角色升级!$A:$A,MATCH(玩家节奏2!$BX100,角色升级!$J:$J,1))</f>
        <v>965</v>
      </c>
      <c r="CI100" s="90">
        <f ca="1">INDEX(角色升级!$O:$O,MATCH(玩家节奏2!$BX100,角色升级!$J:$J,1))</f>
        <v>82923.010710000002</v>
      </c>
      <c r="CJ100" s="90">
        <f>INDEX(关卡对比!$J:$J,MATCH(玩家节奏2!N100,关卡对比!$A:$A,0))</f>
        <v>86200</v>
      </c>
      <c r="CK100" s="147">
        <f t="shared" ca="1" si="99"/>
        <v>1.0395184552748615</v>
      </c>
      <c r="CL100" s="128">
        <f ca="1">INDEX(角色升级!$P:$P,MATCH(玩家节奏2!$CH100,角色升级!$A:$A,0))</f>
        <v>35000</v>
      </c>
      <c r="CM100" s="90">
        <f ca="1">INDEX(角色升级!Q:Q,MATCH(玩家节奏2!$CH100,角色升级!$A:$A,0))</f>
        <v>2.1</v>
      </c>
      <c r="CO100" s="128">
        <f t="shared" si="100"/>
        <v>78866</v>
      </c>
      <c r="CP100" s="90">
        <f t="shared" si="101"/>
        <v>179502</v>
      </c>
      <c r="CQ100" s="90">
        <f t="shared" si="102"/>
        <v>65212</v>
      </c>
      <c r="CR100" s="90">
        <f t="shared" ca="1" si="103"/>
        <v>257435</v>
      </c>
      <c r="CS100" s="90">
        <f t="shared" ca="1" si="104"/>
        <v>581015</v>
      </c>
      <c r="CT100" s="142">
        <f t="shared" ca="1" si="105"/>
        <v>0.13573832000894986</v>
      </c>
      <c r="CU100" s="142">
        <f t="shared" ca="1" si="105"/>
        <v>0.30894555218023634</v>
      </c>
      <c r="CV100" s="142">
        <f t="shared" ca="1" si="105"/>
        <v>0.11223806614287067</v>
      </c>
      <c r="CW100" s="142">
        <f t="shared" ca="1" si="105"/>
        <v>0.44307806166794317</v>
      </c>
      <c r="CY100" s="128">
        <f t="shared" si="106"/>
        <v>39434</v>
      </c>
      <c r="CZ100" s="90">
        <f t="shared" si="107"/>
        <v>89587</v>
      </c>
      <c r="DA100" s="90">
        <f t="shared" si="108"/>
        <v>44472</v>
      </c>
      <c r="DB100" s="90">
        <f t="shared" ca="1" si="128"/>
        <v>133380.75</v>
      </c>
      <c r="DC100" s="90">
        <f t="shared" ca="1" si="109"/>
        <v>306873.75</v>
      </c>
      <c r="DD100" s="142">
        <f t="shared" ca="1" si="110"/>
        <v>0.1285023564250771</v>
      </c>
      <c r="DE100" s="142">
        <f t="shared" ca="1" si="110"/>
        <v>0.29193438669811284</v>
      </c>
      <c r="DF100" s="142">
        <f t="shared" ca="1" si="110"/>
        <v>0.14491953124045312</v>
      </c>
      <c r="DG100" s="142">
        <f t="shared" ca="1" si="110"/>
        <v>0.43464372563635695</v>
      </c>
      <c r="DI100" s="128">
        <f t="shared" si="111"/>
        <v>19113</v>
      </c>
      <c r="DJ100" s="90">
        <f t="shared" si="112"/>
        <v>44003</v>
      </c>
      <c r="DK100" s="90">
        <f t="shared" si="113"/>
        <v>17238</v>
      </c>
      <c r="DL100" s="90">
        <f t="shared" ca="1" si="114"/>
        <v>20559</v>
      </c>
      <c r="DM100" s="90">
        <f t="shared" ca="1" si="115"/>
        <v>100913</v>
      </c>
      <c r="DN100" s="142">
        <f t="shared" ca="1" si="116"/>
        <v>0.18940077096112493</v>
      </c>
      <c r="DO100" s="142">
        <f t="shared" ca="1" si="116"/>
        <v>0.43604887378236701</v>
      </c>
      <c r="DP100" s="142">
        <f t="shared" ca="1" si="116"/>
        <v>0.17082040965980597</v>
      </c>
      <c r="DQ100" s="142">
        <f t="shared" ca="1" si="116"/>
        <v>0.2037299455967021</v>
      </c>
      <c r="DS100" s="128">
        <f t="shared" ca="1" si="117"/>
        <v>581015</v>
      </c>
      <c r="DT100" s="90">
        <f t="shared" ca="1" si="118"/>
        <v>306873.75</v>
      </c>
      <c r="DU100" s="90">
        <f t="shared" ca="1" si="119"/>
        <v>100913</v>
      </c>
      <c r="DV100" s="90">
        <f t="shared" si="120"/>
        <v>1456</v>
      </c>
      <c r="DW100" s="90">
        <f ca="1">_xlfn.IFNA(INDEX(武器升级消耗!$H:$H,MATCH(玩家节奏2!DS100/玩家节奏2!DS$5,武器升级消耗!M:M,1)),0)</f>
        <v>66</v>
      </c>
      <c r="DX100" s="90">
        <f ca="1">_xlfn.IFNA(INDEX(武器升级消耗!$H:$H,MATCH(玩家节奏2!DT100/玩家节奏2!DT$5,武器升级消耗!N:N,1)),0)</f>
        <v>58</v>
      </c>
      <c r="DY100" s="90">
        <f ca="1">_xlfn.IFNA(INDEX(武器升级消耗!$H:$H,MATCH(玩家节奏2!DU100/玩家节奏2!DU$5,武器升级消耗!O:O,1)),0)</f>
        <v>44</v>
      </c>
      <c r="DZ100" s="90">
        <f>_xlfn.IFNA(INDEX(武器升级消耗!$H:$H,MATCH(玩家节奏2!DV100/玩家节奏2!DV$5,武器升级消耗!P:P,1)),0)</f>
        <v>27</v>
      </c>
      <c r="EA100" s="90">
        <f ca="1">_xlfn.IFNA(INDEX(武器升级消耗!$Q:$Q,MATCH(玩家节奏2!DW100,武器升级消耗!$H:$H,0))*2*EA$4,0)</f>
        <v>8.4</v>
      </c>
      <c r="EB100" s="90">
        <f ca="1">_xlfn.IFNA(INDEX(武器升级消耗!$Q:$Q,MATCH(玩家节奏2!DX100,武器升级消耗!$H:$H,0))*2*EB$4,0)</f>
        <v>9.3000000000000007</v>
      </c>
      <c r="EC100" s="90">
        <f ca="1">_xlfn.IFNA(INDEX(武器升级消耗!$Q:$Q,MATCH(玩家节奏2!DY100,武器升级消耗!$H:$H,0))*2*EC$4,0)</f>
        <v>10.56</v>
      </c>
      <c r="ED100" s="90">
        <f>_xlfn.IFNA(INDEX(武器升级消耗!$Q:$Q,MATCH(玩家节奏2!DZ100,武器升级消耗!$H:$H,0))*2*ED$4,0)</f>
        <v>9.3000000000000007</v>
      </c>
      <c r="EF100" s="128">
        <f t="shared" si="85"/>
        <v>0</v>
      </c>
      <c r="EG100" s="90">
        <f t="shared" si="86"/>
        <v>0</v>
      </c>
      <c r="EH100" s="90">
        <v>282</v>
      </c>
      <c r="EI100" s="90">
        <v>282</v>
      </c>
      <c r="EJ100" s="90">
        <f>_xlfn.IFNA(INDEX(皮肤宠物!$J$4:$J$13,MATCH(EF100+EH100,皮肤宠物!$L$4:$L$13,1)),0)</f>
        <v>8</v>
      </c>
      <c r="EK100" s="90">
        <f>_xlfn.IFNA(INDEX(皮肤宠物!$J$4:$J$13,MATCH(EG100+EI100,皮肤宠物!$L$4:$L$13,1)),0)</f>
        <v>8</v>
      </c>
      <c r="EL100" s="90">
        <f>_xlfn.IFNA(INDEX(皮肤宠物!$N$4:$N$13,MATCH(EF100+EH100,皮肤宠物!$L$4:$L$13,1)),1)</f>
        <v>1.9800000000000002</v>
      </c>
      <c r="EM100" s="90">
        <f>_xlfn.IFNA(INDEX(皮肤宠物!$N$4:$N$13,MATCH(EG100+EI100,皮肤宠物!$L$4:$L$13,1)),1)</f>
        <v>1.9800000000000002</v>
      </c>
      <c r="EO100" s="128">
        <v>282</v>
      </c>
      <c r="EP100" s="90">
        <v>94</v>
      </c>
      <c r="EQ100" s="90">
        <f t="shared" ca="1" si="121"/>
        <v>99175</v>
      </c>
      <c r="ER100" s="90">
        <f t="shared" si="87"/>
        <v>0</v>
      </c>
      <c r="ES100" s="90">
        <f t="shared" ca="1" si="122"/>
        <v>1085.75</v>
      </c>
      <c r="ET100" s="90">
        <f ca="1">$ES100*ET$5*皮肤宠物!$J$75/4</f>
        <v>3584.0607500000001</v>
      </c>
      <c r="EU100" s="90">
        <f ca="1">$ES100*EU$5*皮肤宠物!$J$76/4</f>
        <v>598.24824999999998</v>
      </c>
      <c r="EV100" s="90">
        <f ca="1">$ES100*EV$5*皮肤宠物!$J$77/4</f>
        <v>162.04818750000001</v>
      </c>
      <c r="EW100" s="90">
        <f ca="1">_xlfn.IFNA(INDEX(皮肤宠物!$H$18:$H$67,MATCH(ET100,皮肤宠物!L$18:L$67,1)),0)</f>
        <v>21</v>
      </c>
      <c r="EX100" s="90">
        <f ca="1">_xlfn.IFNA(INDEX(皮肤宠物!$H$18:$H$67,MATCH(EU100,皮肤宠物!M$18:M$67,1)),0)</f>
        <v>16</v>
      </c>
      <c r="EY100" s="90">
        <f ca="1">_xlfn.IFNA(INDEX(皮肤宠物!$H$18:$H$67,MATCH(EV100,皮肤宠物!N$18:N$67,1)),0)</f>
        <v>12</v>
      </c>
      <c r="EZ100" s="90">
        <f ca="1">_xlfn.IFNA(INDEX(皮肤宠物!C$18:C$67,MATCH(EW100,皮肤宠物!$A$18:$A$67,0))+1,1)</f>
        <v>1.21</v>
      </c>
      <c r="FA100" s="90">
        <f ca="1">_xlfn.IFNA(INDEX(皮肤宠物!D$18:D$67,MATCH(EX100,皮肤宠物!$A$18:$A$67,0))+1,1)</f>
        <v>1.32</v>
      </c>
      <c r="FB100" s="90">
        <f ca="1">_xlfn.IFNA(INDEX(皮肤宠物!E$18:E$67,MATCH(EY100,皮肤宠物!$A$18:$A$67,0))+1,1)</f>
        <v>1.48</v>
      </c>
      <c r="FD100" s="90">
        <f t="shared" ca="1" si="123"/>
        <v>10.56</v>
      </c>
      <c r="FE100" s="90">
        <f t="shared" si="124"/>
        <v>1.9800000000000002</v>
      </c>
      <c r="FF100" s="90">
        <f t="shared" ca="1" si="125"/>
        <v>1.48</v>
      </c>
      <c r="FG100" s="90">
        <f t="shared" ca="1" si="126"/>
        <v>30.945024000000004</v>
      </c>
    </row>
    <row r="101" spans="1:163" x14ac:dyDescent="0.25">
      <c r="A101" s="123">
        <v>95</v>
      </c>
      <c r="B101" s="123">
        <f>INDEX(关卡对比!$Y:$Y,MATCH(关卡对比!Z101,关卡对比!$AA:$AA,1))</f>
        <v>61</v>
      </c>
      <c r="C101" s="124">
        <f>INDEX(关卡对比!$Y:$Y,MATCH(关卡对比!Z101,关卡对比!$AB:$AB,1))</f>
        <v>50</v>
      </c>
      <c r="D101" s="125">
        <f t="shared" si="131"/>
        <v>381.5</v>
      </c>
      <c r="E101" s="125">
        <v>2</v>
      </c>
      <c r="F101" s="128">
        <v>16</v>
      </c>
      <c r="G101" s="90">
        <v>16</v>
      </c>
      <c r="H101" s="90">
        <v>5</v>
      </c>
      <c r="J101" s="128">
        <v>95</v>
      </c>
      <c r="K101" s="90">
        <f t="shared" si="88"/>
        <v>16</v>
      </c>
      <c r="L101" s="90">
        <f t="shared" si="89"/>
        <v>16</v>
      </c>
      <c r="M101" s="90">
        <f t="shared" si="90"/>
        <v>5</v>
      </c>
      <c r="N101" s="140">
        <f>INDEX($A:$A,MATCH(SUM($K$7:K101),$D:$D,1))</f>
        <v>200</v>
      </c>
      <c r="O101" s="140">
        <v>0</v>
      </c>
      <c r="P101" s="141">
        <v>0</v>
      </c>
      <c r="Q101" s="126">
        <f>_xlfn.MAXIFS(关卡产出!X:X,关卡产出!$A:$A,玩家节奏2!$N$6,关卡产出!$B:$B,玩家节奏2!$N101)+_xlfn.MAXIFS(关卡产出!X:X,关卡产出!$A:$A,玩家节奏2!$O$6,关卡产出!$B:$B,玩家节奏2!$O101)+_xlfn.MAXIFS(关卡产出!X:X,关卡产出!$A:$A,玩家节奏2!$P$6,关卡产出!$B:$B,玩家节奏2!$P101)</f>
        <v>38500</v>
      </c>
      <c r="R101" s="90">
        <f>_xlfn.MAXIFS(关卡产出!Y:Y,关卡产出!$A:$A,玩家节奏2!$N$6,关卡产出!$B:$B,玩家节奏2!$N101)+_xlfn.MAXIFS(关卡产出!Y:Y,关卡产出!$A:$A,玩家节奏2!$O$6,关卡产出!$B:$B,玩家节奏2!$O101)+_xlfn.MAXIFS(关卡产出!Y:Y,关卡产出!$A:$A,玩家节奏2!$P$6,关卡产出!$B:$B,玩家节奏2!$P101)</f>
        <v>11610000</v>
      </c>
      <c r="S101" s="90">
        <f>_xlfn.MAXIFS(关卡产出!Z:Z,关卡产出!$A:$A,玩家节奏2!$N$6,关卡产出!$B:$B,玩家节奏2!$N101)+_xlfn.MAXIFS(关卡产出!Z:Z,关卡产出!$A:$A,玩家节奏2!$O$6,关卡产出!$B:$B,玩家节奏2!$O101)+_xlfn.MAXIFS(关卡产出!Z:Z,关卡产出!$A:$A,玩家节奏2!$P$6,关卡产出!$B:$B,玩家节奏2!$P101)</f>
        <v>78866</v>
      </c>
      <c r="T101" s="90">
        <f>_xlfn.MAXIFS(关卡产出!AA:AA,关卡产出!$A:$A,玩家节奏2!$N$6,关卡产出!$B:$B,玩家节奏2!$N101)+_xlfn.MAXIFS(关卡产出!AA:AA,关卡产出!$A:$A,玩家节奏2!$O$6,关卡产出!$B:$B,玩家节奏2!$O101)+_xlfn.MAXIFS(关卡产出!AA:AA,关卡产出!$A:$A,玩家节奏2!$P$6,关卡产出!$B:$B,玩家节奏2!$P101)</f>
        <v>39434</v>
      </c>
      <c r="U101" s="90">
        <f>_xlfn.MAXIFS(关卡产出!AB:AB,关卡产出!$A:$A,玩家节奏2!$N$6,关卡产出!$B:$B,玩家节奏2!$N101)+_xlfn.MAXIFS(关卡产出!AB:AB,关卡产出!$A:$A,玩家节奏2!$O$6,关卡产出!$B:$B,玩家节奏2!$O101)+_xlfn.MAXIFS(关卡产出!AB:AB,关卡产出!$A:$A,玩家节奏2!$P$6,关卡产出!$B:$B,玩家节奏2!$P101)</f>
        <v>19113</v>
      </c>
      <c r="V101" s="130">
        <f>_xlfn.MAXIFS(关卡产出!AC:AC,关卡产出!$A:$A,玩家节奏2!$N$6,关卡产出!$B:$B,玩家节奏2!$N101)+_xlfn.MAXIFS(关卡产出!AC:AC,关卡产出!$A:$A,玩家节奏2!$O$6,关卡产出!$B:$B,玩家节奏2!$O101)+_xlfn.MAXIFS(关卡产出!AC:AC,关卡产出!$A:$A,玩家节奏2!$P$6,关卡产出!$B:$B,玩家节奏2!$P101)</f>
        <v>1200</v>
      </c>
      <c r="W101" s="126">
        <f>INDEX(关卡产出!C$8:C$207,MATCH(玩家节奏2!$N101,关卡产出!$B$8:$B$207,0))*$K101</f>
        <v>2528</v>
      </c>
      <c r="X101" s="126">
        <f>INDEX(关卡产出!D$8:D$207,MATCH(玩家节奏2!$N101,关卡产出!$B$8:$B$207,0))*$K101</f>
        <v>1264</v>
      </c>
      <c r="Y101" s="126">
        <f>INDEX(关卡产出!E$8:E$207,MATCH(玩家节奏2!$N101,关卡产出!$B$8:$B$207,0))*$K101</f>
        <v>624</v>
      </c>
      <c r="Z101" s="144">
        <f>INDEX(关卡产出!F$8:F$207,MATCH(玩家节奏2!$N101,关卡产出!$B$8:$B$207,0))*$K101</f>
        <v>32800</v>
      </c>
      <c r="AA101" s="126">
        <f>SUM(W$7:W101)</f>
        <v>182030</v>
      </c>
      <c r="AB101" s="126">
        <f>SUM(X$7:X101)</f>
        <v>90851</v>
      </c>
      <c r="AC101" s="126">
        <f>SUM(Y$7:Y101)</f>
        <v>44627</v>
      </c>
      <c r="AD101" s="177">
        <f>SUM(Z$7:Z101)</f>
        <v>2389530</v>
      </c>
      <c r="AE101" s="128">
        <f>INDEX(图鉴!AQ:AQ,MATCH($N101,图鉴!$S:$S,0))*34</f>
        <v>714</v>
      </c>
      <c r="AF101" s="90">
        <f>INDEX(图鉴!AR:AR,MATCH($N101,图鉴!$S:$S,0))*34</f>
        <v>510</v>
      </c>
      <c r="AG101" s="90">
        <f>INDEX(图鉴!AS:AS,MATCH($N101,图鉴!$S:$S,0))*34</f>
        <v>204</v>
      </c>
      <c r="AH101" s="129">
        <f ca="1">INDEX(图鉴!AT:AT,MATCH($N101,图鉴!$S:$S,0))*34</f>
        <v>55930</v>
      </c>
      <c r="AI101" s="128">
        <f>SUM($AE$7:AE101)</f>
        <v>65926</v>
      </c>
      <c r="AJ101" s="90">
        <f>SUM(AF$7:AF101)</f>
        <v>44982</v>
      </c>
      <c r="AK101" s="90">
        <f>SUM(AG$7:AG101)</f>
        <v>17442</v>
      </c>
      <c r="AL101" s="130">
        <f ca="1">SUM(AH$7:AH101)</f>
        <v>4483716</v>
      </c>
      <c r="AM101" s="133">
        <f>IF(M101=0,0,INDEX(关卡产出!$AU$11:$AU$15,MATCH(玩家节奏2!N101,关卡产出!$AW$11:$AW$15,1))*M101)</f>
        <v>61000</v>
      </c>
      <c r="AN101" s="126">
        <f>IF(L101=0,0,$L101*关卡产出!AU$21)</f>
        <v>16000</v>
      </c>
      <c r="AO101" s="90">
        <f>IF(M101=0,0,$L101*关卡产出!AV$21)</f>
        <v>800</v>
      </c>
      <c r="AP101" s="129">
        <f>IF(N101=0,0,$L101*关卡产出!AW$21)</f>
        <v>16</v>
      </c>
      <c r="AQ101" s="138">
        <f>SUM(AN$7:AN101)</f>
        <v>1472000</v>
      </c>
      <c r="AR101" s="126">
        <f>SUM(AO$7:AO101)</f>
        <v>73600</v>
      </c>
      <c r="AS101" s="129">
        <f>SUM(AP$7:AP101)</f>
        <v>1472</v>
      </c>
      <c r="AT101" s="128">
        <v>3000</v>
      </c>
      <c r="AU101" s="129">
        <v>600</v>
      </c>
      <c r="AV101" s="128">
        <f>SUM(AT$7:AT101)</f>
        <v>285000</v>
      </c>
      <c r="AW101" s="90">
        <f>SUM(AU$7:AU101)</f>
        <v>57000</v>
      </c>
      <c r="AY101" s="128">
        <f t="shared" si="91"/>
        <v>38500</v>
      </c>
      <c r="AZ101" s="90">
        <f t="shared" si="92"/>
        <v>73600</v>
      </c>
      <c r="BA101" s="90">
        <f t="shared" si="93"/>
        <v>57000</v>
      </c>
      <c r="BB101" s="90">
        <f t="shared" ca="1" si="127"/>
        <v>35000</v>
      </c>
      <c r="BC101" s="90">
        <f t="shared" ca="1" si="129"/>
        <v>104225</v>
      </c>
      <c r="BD101" s="90">
        <f t="shared" ca="1" si="130"/>
        <v>99875</v>
      </c>
      <c r="BE101" s="90">
        <f t="shared" ca="1" si="94"/>
        <v>204100</v>
      </c>
      <c r="BF101" s="142">
        <f t="shared" ca="1" si="75"/>
        <v>0.36939313984168864</v>
      </c>
      <c r="BG101" s="142">
        <f t="shared" ca="1" si="76"/>
        <v>0.70616454785320215</v>
      </c>
      <c r="BH101" s="142">
        <f t="shared" ca="1" si="77"/>
        <v>0.54689373950587672</v>
      </c>
      <c r="BI101" s="142">
        <f t="shared" ca="1" si="95"/>
        <v>0.33581194531062603</v>
      </c>
      <c r="BJ101" s="143"/>
      <c r="BK101" s="128">
        <f ca="1">INDEX(商城宝箱!$L:$L,MATCH(BC101,商城宝箱!$N:$N,1))</f>
        <v>12</v>
      </c>
      <c r="BL101" s="90">
        <f ca="1">_xlfn.IFNA(INDEX(商城宝箱!T:T,MATCH(玩家节奏2!$BK101,商城宝箱!$L:$L,0)),0)+($BC101-INDEX(商城宝箱!$N:$N,MATCH(玩家节奏2!$BK101,商城宝箱!$L:$L,0)))/$BK$5*INDEX(商城宝箱!E$23:E$42,MATCH(玩家节奏2!$BK101+1,商城宝箱!$C$23:$C$42,0))</f>
        <v>260562.5</v>
      </c>
      <c r="BM101" s="90">
        <f ca="1">_xlfn.IFNA(INDEX(商城宝箱!U:U,MATCH(玩家节奏2!$BK101,商城宝箱!$L:$L,0)),0)+($BC101-INDEX(商城宝箱!$N:$N,MATCH(玩家节奏2!$BK101,商城宝箱!$L:$L,0)))/$BK$5*INDEX(商城宝箱!F$23:F$42,MATCH(玩家节奏2!$BK101+1,商城宝箱!$C$23:$C$42,0))</f>
        <v>260087.5</v>
      </c>
      <c r="BN101" s="90">
        <f ca="1">_xlfn.IFNA(INDEX(商城宝箱!V:V,MATCH(玩家节奏2!$BK101,商城宝箱!$L:$L,0)),0)+($BC101-INDEX(商城宝箱!$N:$N,MATCH(玩家节奏2!$BK101,商城宝箱!$L:$L,0)))/$BK$5*INDEX(商城宝箱!G$23:G$42,MATCH(玩家节奏2!$BK101+1,商城宝箱!$C$23:$C$42,0))</f>
        <v>134637</v>
      </c>
      <c r="BO101" s="90">
        <f ca="1">_xlfn.IFNA(INDEX(商城宝箱!W:W,MATCH(玩家节奏2!$BK101,商城宝箱!$L:$L,0)),0)+($BC101-INDEX(商城宝箱!$N:$N,MATCH(玩家节奏2!$BK101,商城宝箱!$L:$L,0)))/$BK$5*INDEX(商城宝箱!H$23:H$42,MATCH(玩家节奏2!$BK101+1,商城宝箱!$C$23:$C$42,0))</f>
        <v>20775.25</v>
      </c>
      <c r="BQ101" s="128">
        <f t="shared" si="79"/>
        <v>11610000</v>
      </c>
      <c r="BR101" s="90">
        <f t="shared" si="80"/>
        <v>2389530</v>
      </c>
      <c r="BS101" s="90">
        <f t="shared" ca="1" si="81"/>
        <v>4483716</v>
      </c>
      <c r="BT101" s="90">
        <f t="shared" si="82"/>
        <v>61000</v>
      </c>
      <c r="BU101" s="90">
        <f t="shared" si="83"/>
        <v>1472000</v>
      </c>
      <c r="BV101" s="90">
        <f t="shared" si="84"/>
        <v>285000</v>
      </c>
      <c r="BW101" s="90">
        <f t="shared" ca="1" si="96"/>
        <v>260562.5</v>
      </c>
      <c r="BX101" s="90">
        <f t="shared" ca="1" si="97"/>
        <v>20561808.5</v>
      </c>
      <c r="BY101" s="142">
        <f t="shared" ca="1" si="74"/>
        <v>0.56463904913811447</v>
      </c>
      <c r="BZ101" s="142">
        <f t="shared" ca="1" si="74"/>
        <v>0.11621205401266138</v>
      </c>
      <c r="CA101" s="142">
        <f t="shared" ca="1" si="73"/>
        <v>0.21806039094275195</v>
      </c>
      <c r="CB101" s="142">
        <f t="shared" ca="1" si="73"/>
        <v>2.9666651160572769E-3</v>
      </c>
      <c r="CC101" s="142">
        <f t="shared" ca="1" si="73"/>
        <v>7.1589033620267403E-2</v>
      </c>
      <c r="CD101" s="142">
        <f t="shared" ca="1" si="73"/>
        <v>1.3860648493054489E-2</v>
      </c>
      <c r="CE101" s="142">
        <f t="shared" ca="1" si="73"/>
        <v>1.267215867709302E-2</v>
      </c>
      <c r="CG101" s="128">
        <f t="shared" si="98"/>
        <v>200</v>
      </c>
      <c r="CH101" s="90">
        <f ca="1">INDEX(角色升级!$A:$A,MATCH(玩家节奏2!$BX101,角色升级!$J:$J,1))</f>
        <v>967</v>
      </c>
      <c r="CI101" s="90">
        <f ca="1">INDEX(角色升级!$O:$O,MATCH(玩家节奏2!$BX101,角色升级!$J:$J,1))</f>
        <v>83932.401839999977</v>
      </c>
      <c r="CJ101" s="90">
        <f>INDEX(关卡对比!$J:$J,MATCH(玩家节奏2!N101,关卡对比!$A:$A,0))</f>
        <v>86200</v>
      </c>
      <c r="CK101" s="147">
        <f t="shared" ca="1" si="99"/>
        <v>1.0270169578171102</v>
      </c>
      <c r="CL101" s="128">
        <f ca="1">INDEX(角色升级!$P:$P,MATCH(玩家节奏2!$CH101,角色升级!$A:$A,0))</f>
        <v>35000</v>
      </c>
      <c r="CM101" s="90">
        <f ca="1">INDEX(角色升级!Q:Q,MATCH(玩家节奏2!$CH101,角色升级!$A:$A,0))</f>
        <v>2.1</v>
      </c>
      <c r="CO101" s="128">
        <f t="shared" si="100"/>
        <v>78866</v>
      </c>
      <c r="CP101" s="90">
        <f t="shared" si="101"/>
        <v>182030</v>
      </c>
      <c r="CQ101" s="90">
        <f t="shared" si="102"/>
        <v>65926</v>
      </c>
      <c r="CR101" s="90">
        <f t="shared" ca="1" si="103"/>
        <v>260087.5</v>
      </c>
      <c r="CS101" s="90">
        <f t="shared" ca="1" si="104"/>
        <v>586909.5</v>
      </c>
      <c r="CT101" s="142">
        <f t="shared" ca="1" si="105"/>
        <v>0.13437506123175719</v>
      </c>
      <c r="CU101" s="142">
        <f t="shared" ca="1" si="105"/>
        <v>0.3101500316488317</v>
      </c>
      <c r="CV101" s="142">
        <f t="shared" ca="1" si="105"/>
        <v>0.11232736904071242</v>
      </c>
      <c r="CW101" s="142">
        <f t="shared" ca="1" si="105"/>
        <v>0.44314753807869867</v>
      </c>
      <c r="CY101" s="128">
        <f t="shared" si="106"/>
        <v>39434</v>
      </c>
      <c r="CZ101" s="90">
        <f t="shared" si="107"/>
        <v>90851</v>
      </c>
      <c r="DA101" s="90">
        <f t="shared" si="108"/>
        <v>44982</v>
      </c>
      <c r="DB101" s="90">
        <f t="shared" ca="1" si="128"/>
        <v>134637</v>
      </c>
      <c r="DC101" s="90">
        <f t="shared" ca="1" si="109"/>
        <v>309904</v>
      </c>
      <c r="DD101" s="142">
        <f t="shared" ca="1" si="110"/>
        <v>0.12724585678145489</v>
      </c>
      <c r="DE101" s="142">
        <f t="shared" ca="1" si="110"/>
        <v>0.29315852651143581</v>
      </c>
      <c r="DF101" s="142">
        <f t="shared" ca="1" si="110"/>
        <v>0.14514817491868451</v>
      </c>
      <c r="DG101" s="142">
        <f t="shared" ca="1" si="110"/>
        <v>0.43444744178842482</v>
      </c>
      <c r="DI101" s="128">
        <f t="shared" si="111"/>
        <v>19113</v>
      </c>
      <c r="DJ101" s="90">
        <f t="shared" si="112"/>
        <v>44627</v>
      </c>
      <c r="DK101" s="90">
        <f t="shared" si="113"/>
        <v>17442</v>
      </c>
      <c r="DL101" s="90">
        <f t="shared" ca="1" si="114"/>
        <v>20775.25</v>
      </c>
      <c r="DM101" s="90">
        <f t="shared" ca="1" si="115"/>
        <v>101957.25</v>
      </c>
      <c r="DN101" s="142">
        <f t="shared" ca="1" si="116"/>
        <v>0.18746092112135232</v>
      </c>
      <c r="DO101" s="142">
        <f t="shared" ca="1" si="116"/>
        <v>0.4377030569184634</v>
      </c>
      <c r="DP101" s="142">
        <f t="shared" ca="1" si="116"/>
        <v>0.17107169916803366</v>
      </c>
      <c r="DQ101" s="142">
        <f t="shared" ca="1" si="116"/>
        <v>0.20376432279215062</v>
      </c>
      <c r="DS101" s="128">
        <f t="shared" ca="1" si="117"/>
        <v>586909.5</v>
      </c>
      <c r="DT101" s="90">
        <f t="shared" ca="1" si="118"/>
        <v>309904</v>
      </c>
      <c r="DU101" s="90">
        <f t="shared" ca="1" si="119"/>
        <v>101957.25</v>
      </c>
      <c r="DV101" s="90">
        <f t="shared" si="120"/>
        <v>1472</v>
      </c>
      <c r="DW101" s="90">
        <f ca="1">_xlfn.IFNA(INDEX(武器升级消耗!$H:$H,MATCH(玩家节奏2!DS101/玩家节奏2!DS$5,武器升级消耗!M:M,1)),0)</f>
        <v>67</v>
      </c>
      <c r="DX101" s="90">
        <f ca="1">_xlfn.IFNA(INDEX(武器升级消耗!$H:$H,MATCH(玩家节奏2!DT101/玩家节奏2!DT$5,武器升级消耗!N:N,1)),0)</f>
        <v>59</v>
      </c>
      <c r="DY101" s="90">
        <f ca="1">_xlfn.IFNA(INDEX(武器升级消耗!$H:$H,MATCH(玩家节奏2!DU101/玩家节奏2!DU$5,武器升级消耗!O:O,1)),0)</f>
        <v>44</v>
      </c>
      <c r="DZ101" s="90">
        <f>_xlfn.IFNA(INDEX(武器升级消耗!$H:$H,MATCH(玩家节奏2!DV101/玩家节奏2!DV$5,武器升级消耗!P:P,1)),0)</f>
        <v>28</v>
      </c>
      <c r="EA101" s="90">
        <f ca="1">_xlfn.IFNA(INDEX(武器升级消耗!$Q:$Q,MATCH(玩家节奏2!DW101,武器升级消耗!$H:$H,0))*2*EA$4,0)</f>
        <v>8.52</v>
      </c>
      <c r="EB101" s="90">
        <f ca="1">_xlfn.IFNA(INDEX(武器升级消耗!$Q:$Q,MATCH(玩家节奏2!DX101,武器升级消耗!$H:$H,0))*2*EB$4,0)</f>
        <v>9.4499999999999993</v>
      </c>
      <c r="EC101" s="90">
        <f ca="1">_xlfn.IFNA(INDEX(武器升级消耗!$Q:$Q,MATCH(玩家节奏2!DY101,武器升级消耗!$H:$H,0))*2*EC$4,0)</f>
        <v>10.56</v>
      </c>
      <c r="ED101" s="90">
        <f>_xlfn.IFNA(INDEX(武器升级消耗!$Q:$Q,MATCH(玩家节奏2!DZ101,武器升级消耗!$H:$H,0))*2*ED$4,0)</f>
        <v>9.6000000000000014</v>
      </c>
      <c r="EF101" s="128">
        <f t="shared" si="85"/>
        <v>0</v>
      </c>
      <c r="EG101" s="90">
        <f t="shared" si="86"/>
        <v>0</v>
      </c>
      <c r="EH101" s="90">
        <v>285</v>
      </c>
      <c r="EI101" s="90">
        <v>285</v>
      </c>
      <c r="EJ101" s="90">
        <f>_xlfn.IFNA(INDEX(皮肤宠物!$J$4:$J$13,MATCH(EF101+EH101,皮肤宠物!$L$4:$L$13,1)),0)</f>
        <v>8</v>
      </c>
      <c r="EK101" s="90">
        <f>_xlfn.IFNA(INDEX(皮肤宠物!$J$4:$J$13,MATCH(EG101+EI101,皮肤宠物!$L$4:$L$13,1)),0)</f>
        <v>8</v>
      </c>
      <c r="EL101" s="90">
        <f>_xlfn.IFNA(INDEX(皮肤宠物!$N$4:$N$13,MATCH(EF101+EH101,皮肤宠物!$L$4:$L$13,1)),1)</f>
        <v>1.9800000000000002</v>
      </c>
      <c r="EM101" s="90">
        <f>_xlfn.IFNA(INDEX(皮肤宠物!$N$4:$N$13,MATCH(EG101+EI101,皮肤宠物!$L$4:$L$13,1)),1)</f>
        <v>1.9800000000000002</v>
      </c>
      <c r="EO101" s="128">
        <v>285</v>
      </c>
      <c r="EP101" s="90">
        <v>95</v>
      </c>
      <c r="EQ101" s="90">
        <f t="shared" ca="1" si="121"/>
        <v>99875</v>
      </c>
      <c r="ER101" s="90">
        <f t="shared" si="87"/>
        <v>0</v>
      </c>
      <c r="ES101" s="90">
        <f t="shared" ca="1" si="122"/>
        <v>1093.75</v>
      </c>
      <c r="ET101" s="90">
        <f ca="1">$ES101*ET$5*皮肤宠物!$J$75/4</f>
        <v>3610.46875</v>
      </c>
      <c r="EU101" s="90">
        <f ca="1">$ES101*EU$5*皮肤宠物!$J$76/4</f>
        <v>602.65625</v>
      </c>
      <c r="EV101" s="90">
        <f ca="1">$ES101*EV$5*皮肤宠物!$J$77/4</f>
        <v>163.2421875</v>
      </c>
      <c r="EW101" s="90">
        <f ca="1">_xlfn.IFNA(INDEX(皮肤宠物!$H$18:$H$67,MATCH(ET101,皮肤宠物!L$18:L$67,1)),0)</f>
        <v>21</v>
      </c>
      <c r="EX101" s="90">
        <f ca="1">_xlfn.IFNA(INDEX(皮肤宠物!$H$18:$H$67,MATCH(EU101,皮肤宠物!M$18:M$67,1)),0)</f>
        <v>16</v>
      </c>
      <c r="EY101" s="90">
        <f ca="1">_xlfn.IFNA(INDEX(皮肤宠物!$H$18:$H$67,MATCH(EV101,皮肤宠物!N$18:N$67,1)),0)</f>
        <v>12</v>
      </c>
      <c r="EZ101" s="90">
        <f ca="1">_xlfn.IFNA(INDEX(皮肤宠物!C$18:C$67,MATCH(EW101,皮肤宠物!$A$18:$A$67,0))+1,1)</f>
        <v>1.21</v>
      </c>
      <c r="FA101" s="90">
        <f ca="1">_xlfn.IFNA(INDEX(皮肤宠物!D$18:D$67,MATCH(EX101,皮肤宠物!$A$18:$A$67,0))+1,1)</f>
        <v>1.32</v>
      </c>
      <c r="FB101" s="90">
        <f ca="1">_xlfn.IFNA(INDEX(皮肤宠物!E$18:E$67,MATCH(EY101,皮肤宠物!$A$18:$A$67,0))+1,1)</f>
        <v>1.48</v>
      </c>
      <c r="FD101" s="90">
        <f t="shared" ca="1" si="123"/>
        <v>10.56</v>
      </c>
      <c r="FE101" s="90">
        <f t="shared" si="124"/>
        <v>1.9800000000000002</v>
      </c>
      <c r="FF101" s="90">
        <f t="shared" ca="1" si="125"/>
        <v>1.48</v>
      </c>
      <c r="FG101" s="90">
        <f t="shared" ca="1" si="126"/>
        <v>30.945024000000004</v>
      </c>
    </row>
    <row r="102" spans="1:163" x14ac:dyDescent="0.25">
      <c r="A102" s="123">
        <v>96</v>
      </c>
      <c r="B102" s="123">
        <f>INDEX(关卡对比!$Y:$Y,MATCH(关卡对比!Z102,关卡对比!$AA:$AA,1))</f>
        <v>61</v>
      </c>
      <c r="C102" s="124">
        <f>INDEX(关卡对比!$Y:$Y,MATCH(关卡对比!Z102,关卡对比!$AB:$AB,1))</f>
        <v>50</v>
      </c>
      <c r="D102" s="125">
        <f t="shared" si="131"/>
        <v>383.5</v>
      </c>
      <c r="E102" s="125">
        <v>2</v>
      </c>
      <c r="F102" s="128">
        <v>16</v>
      </c>
      <c r="G102" s="90">
        <v>16</v>
      </c>
      <c r="H102" s="90">
        <v>5</v>
      </c>
      <c r="J102" s="128">
        <v>96</v>
      </c>
      <c r="K102" s="90">
        <f t="shared" si="88"/>
        <v>16</v>
      </c>
      <c r="L102" s="90">
        <f t="shared" si="89"/>
        <v>16</v>
      </c>
      <c r="M102" s="90">
        <f t="shared" si="90"/>
        <v>5</v>
      </c>
      <c r="N102" s="140">
        <f>INDEX($A:$A,MATCH(SUM($K$7:K102),$D:$D,1))</f>
        <v>200</v>
      </c>
      <c r="O102" s="140">
        <v>0</v>
      </c>
      <c r="P102" s="141">
        <v>0</v>
      </c>
      <c r="Q102" s="126">
        <f>_xlfn.MAXIFS(关卡产出!X:X,关卡产出!$A:$A,玩家节奏2!$N$6,关卡产出!$B:$B,玩家节奏2!$N102)+_xlfn.MAXIFS(关卡产出!X:X,关卡产出!$A:$A,玩家节奏2!$O$6,关卡产出!$B:$B,玩家节奏2!$O102)+_xlfn.MAXIFS(关卡产出!X:X,关卡产出!$A:$A,玩家节奏2!$P$6,关卡产出!$B:$B,玩家节奏2!$P102)</f>
        <v>38500</v>
      </c>
      <c r="R102" s="90">
        <f>_xlfn.MAXIFS(关卡产出!Y:Y,关卡产出!$A:$A,玩家节奏2!$N$6,关卡产出!$B:$B,玩家节奏2!$N102)+_xlfn.MAXIFS(关卡产出!Y:Y,关卡产出!$A:$A,玩家节奏2!$O$6,关卡产出!$B:$B,玩家节奏2!$O102)+_xlfn.MAXIFS(关卡产出!Y:Y,关卡产出!$A:$A,玩家节奏2!$P$6,关卡产出!$B:$B,玩家节奏2!$P102)</f>
        <v>11610000</v>
      </c>
      <c r="S102" s="90">
        <f>_xlfn.MAXIFS(关卡产出!Z:Z,关卡产出!$A:$A,玩家节奏2!$N$6,关卡产出!$B:$B,玩家节奏2!$N102)+_xlfn.MAXIFS(关卡产出!Z:Z,关卡产出!$A:$A,玩家节奏2!$O$6,关卡产出!$B:$B,玩家节奏2!$O102)+_xlfn.MAXIFS(关卡产出!Z:Z,关卡产出!$A:$A,玩家节奏2!$P$6,关卡产出!$B:$B,玩家节奏2!$P102)</f>
        <v>78866</v>
      </c>
      <c r="T102" s="90">
        <f>_xlfn.MAXIFS(关卡产出!AA:AA,关卡产出!$A:$A,玩家节奏2!$N$6,关卡产出!$B:$B,玩家节奏2!$N102)+_xlfn.MAXIFS(关卡产出!AA:AA,关卡产出!$A:$A,玩家节奏2!$O$6,关卡产出!$B:$B,玩家节奏2!$O102)+_xlfn.MAXIFS(关卡产出!AA:AA,关卡产出!$A:$A,玩家节奏2!$P$6,关卡产出!$B:$B,玩家节奏2!$P102)</f>
        <v>39434</v>
      </c>
      <c r="U102" s="90">
        <f>_xlfn.MAXIFS(关卡产出!AB:AB,关卡产出!$A:$A,玩家节奏2!$N$6,关卡产出!$B:$B,玩家节奏2!$N102)+_xlfn.MAXIFS(关卡产出!AB:AB,关卡产出!$A:$A,玩家节奏2!$O$6,关卡产出!$B:$B,玩家节奏2!$O102)+_xlfn.MAXIFS(关卡产出!AB:AB,关卡产出!$A:$A,玩家节奏2!$P$6,关卡产出!$B:$B,玩家节奏2!$P102)</f>
        <v>19113</v>
      </c>
      <c r="V102" s="130">
        <f>_xlfn.MAXIFS(关卡产出!AC:AC,关卡产出!$A:$A,玩家节奏2!$N$6,关卡产出!$B:$B,玩家节奏2!$N102)+_xlfn.MAXIFS(关卡产出!AC:AC,关卡产出!$A:$A,玩家节奏2!$O$6,关卡产出!$B:$B,玩家节奏2!$O102)+_xlfn.MAXIFS(关卡产出!AC:AC,关卡产出!$A:$A,玩家节奏2!$P$6,关卡产出!$B:$B,玩家节奏2!$P102)</f>
        <v>1200</v>
      </c>
      <c r="W102" s="126">
        <f>INDEX(关卡产出!C$8:C$207,MATCH(玩家节奏2!$N102,关卡产出!$B$8:$B$207,0))*$K102</f>
        <v>2528</v>
      </c>
      <c r="X102" s="126">
        <f>INDEX(关卡产出!D$8:D$207,MATCH(玩家节奏2!$N102,关卡产出!$B$8:$B$207,0))*$K102</f>
        <v>1264</v>
      </c>
      <c r="Y102" s="126">
        <f>INDEX(关卡产出!E$8:E$207,MATCH(玩家节奏2!$N102,关卡产出!$B$8:$B$207,0))*$K102</f>
        <v>624</v>
      </c>
      <c r="Z102" s="144">
        <f>INDEX(关卡产出!F$8:F$207,MATCH(玩家节奏2!$N102,关卡产出!$B$8:$B$207,0))*$K102</f>
        <v>32800</v>
      </c>
      <c r="AA102" s="126">
        <f>SUM(W$7:W102)</f>
        <v>184558</v>
      </c>
      <c r="AB102" s="126">
        <f>SUM(X$7:X102)</f>
        <v>92115</v>
      </c>
      <c r="AC102" s="126">
        <f>SUM(Y$7:Y102)</f>
        <v>45251</v>
      </c>
      <c r="AD102" s="177">
        <f>SUM(Z$7:Z102)</f>
        <v>2422330</v>
      </c>
      <c r="AE102" s="128">
        <f>INDEX(图鉴!AQ:AQ,MATCH($N102,图鉴!$S:$S,0))*34</f>
        <v>714</v>
      </c>
      <c r="AF102" s="90">
        <f>INDEX(图鉴!AR:AR,MATCH($N102,图鉴!$S:$S,0))*34</f>
        <v>510</v>
      </c>
      <c r="AG102" s="90">
        <f>INDEX(图鉴!AS:AS,MATCH($N102,图鉴!$S:$S,0))*34</f>
        <v>204</v>
      </c>
      <c r="AH102" s="129">
        <f ca="1">INDEX(图鉴!AT:AT,MATCH($N102,图鉴!$S:$S,0))*34</f>
        <v>55930</v>
      </c>
      <c r="AI102" s="128">
        <f>SUM($AE$7:AE102)</f>
        <v>66640</v>
      </c>
      <c r="AJ102" s="90">
        <f>SUM(AF$7:AF102)</f>
        <v>45492</v>
      </c>
      <c r="AK102" s="90">
        <f>SUM(AG$7:AG102)</f>
        <v>17646</v>
      </c>
      <c r="AL102" s="130">
        <f ca="1">SUM(AH$7:AH102)</f>
        <v>4539646</v>
      </c>
      <c r="AM102" s="133">
        <f>IF(M102=0,0,INDEX(关卡产出!$AU$11:$AU$15,MATCH(玩家节奏2!N102,关卡产出!$AW$11:$AW$15,1))*M102)</f>
        <v>61000</v>
      </c>
      <c r="AN102" s="126">
        <f>IF(L102=0,0,$L102*关卡产出!AU$21)</f>
        <v>16000</v>
      </c>
      <c r="AO102" s="90">
        <f>IF(M102=0,0,$L102*关卡产出!AV$21)</f>
        <v>800</v>
      </c>
      <c r="AP102" s="129">
        <f>IF(N102=0,0,$L102*关卡产出!AW$21)</f>
        <v>16</v>
      </c>
      <c r="AQ102" s="138">
        <f>SUM(AN$7:AN102)</f>
        <v>1488000</v>
      </c>
      <c r="AR102" s="126">
        <f>SUM(AO$7:AO102)</f>
        <v>74400</v>
      </c>
      <c r="AS102" s="129">
        <f>SUM(AP$7:AP102)</f>
        <v>1488</v>
      </c>
      <c r="AT102" s="128">
        <v>3000</v>
      </c>
      <c r="AU102" s="129">
        <v>600</v>
      </c>
      <c r="AV102" s="128">
        <f>SUM(AT$7:AT102)</f>
        <v>288000</v>
      </c>
      <c r="AW102" s="90">
        <f>SUM(AU$7:AU102)</f>
        <v>57600</v>
      </c>
      <c r="AY102" s="128">
        <f t="shared" si="91"/>
        <v>38500</v>
      </c>
      <c r="AZ102" s="90">
        <f t="shared" si="92"/>
        <v>74400</v>
      </c>
      <c r="BA102" s="90">
        <f t="shared" si="93"/>
        <v>57600</v>
      </c>
      <c r="BB102" s="90">
        <f t="shared" ca="1" si="127"/>
        <v>35000</v>
      </c>
      <c r="BC102" s="90">
        <f t="shared" ca="1" si="129"/>
        <v>104925</v>
      </c>
      <c r="BD102" s="90">
        <f t="shared" ca="1" si="130"/>
        <v>100575</v>
      </c>
      <c r="BE102" s="90">
        <f t="shared" ca="1" si="94"/>
        <v>205500</v>
      </c>
      <c r="BF102" s="142">
        <f t="shared" ca="1" si="75"/>
        <v>0.36692875863712177</v>
      </c>
      <c r="BG102" s="142">
        <f t="shared" ca="1" si="76"/>
        <v>0.70907791279485344</v>
      </c>
      <c r="BH102" s="142">
        <f t="shared" ca="1" si="77"/>
        <v>0.54896354538956393</v>
      </c>
      <c r="BI102" s="142">
        <f t="shared" ca="1" si="95"/>
        <v>0.33357159876101977</v>
      </c>
      <c r="BJ102" s="143"/>
      <c r="BK102" s="128">
        <f ca="1">INDEX(商城宝箱!$L:$L,MATCH(BC102,商城宝箱!$N:$N,1))</f>
        <v>12</v>
      </c>
      <c r="BL102" s="90">
        <f ca="1">_xlfn.IFNA(INDEX(商城宝箱!T:T,MATCH(玩家节奏2!$BK102,商城宝箱!$L:$L,0)),0)+($BC102-INDEX(商城宝箱!$N:$N,MATCH(玩家节奏2!$BK102,商城宝箱!$L:$L,0)))/$BK$5*INDEX(商城宝箱!E$23:E$42,MATCH(玩家节奏2!$BK102+1,商城宝箱!$C$23:$C$42,0))</f>
        <v>262312.5</v>
      </c>
      <c r="BM102" s="90">
        <f ca="1">_xlfn.IFNA(INDEX(商城宝箱!U:U,MATCH(玩家节奏2!$BK102,商城宝箱!$L:$L,0)),0)+($BC102-INDEX(商城宝箱!$N:$N,MATCH(玩家节奏2!$BK102,商城宝箱!$L:$L,0)))/$BK$5*INDEX(商城宝箱!F$23:F$42,MATCH(玩家节奏2!$BK102+1,商城宝箱!$C$23:$C$42,0))</f>
        <v>263027.5</v>
      </c>
      <c r="BN102" s="90">
        <f ca="1">_xlfn.IFNA(INDEX(商城宝箱!V:V,MATCH(玩家节奏2!$BK102,商城宝箱!$L:$L,0)),0)+($BC102-INDEX(商城宝箱!$N:$N,MATCH(玩家节奏2!$BK102,商城宝箱!$L:$L,0)))/$BK$5*INDEX(商城宝箱!G$23:G$42,MATCH(玩家节奏2!$BK102+1,商城宝箱!$C$23:$C$42,0))</f>
        <v>136037</v>
      </c>
      <c r="BO102" s="90">
        <f ca="1">_xlfn.IFNA(INDEX(商城宝箱!W:W,MATCH(玩家节奏2!$BK102,商城宝箱!$L:$L,0)),0)+($BC102-INDEX(商城宝箱!$N:$N,MATCH(玩家节奏2!$BK102,商城宝箱!$L:$L,0)))/$BK$5*INDEX(商城宝箱!H$23:H$42,MATCH(玩家节奏2!$BK102+1,商城宝箱!$C$23:$C$42,0))</f>
        <v>21020.25</v>
      </c>
      <c r="BQ102" s="128">
        <f t="shared" si="79"/>
        <v>11610000</v>
      </c>
      <c r="BR102" s="90">
        <f t="shared" si="80"/>
        <v>2422330</v>
      </c>
      <c r="BS102" s="90">
        <f t="shared" ca="1" si="81"/>
        <v>4539646</v>
      </c>
      <c r="BT102" s="90">
        <f t="shared" si="82"/>
        <v>61000</v>
      </c>
      <c r="BU102" s="90">
        <f t="shared" si="83"/>
        <v>1488000</v>
      </c>
      <c r="BV102" s="90">
        <f t="shared" si="84"/>
        <v>288000</v>
      </c>
      <c r="BW102" s="90">
        <f t="shared" ca="1" si="96"/>
        <v>262312.5</v>
      </c>
      <c r="BX102" s="90">
        <f t="shared" ca="1" si="97"/>
        <v>20671288.5</v>
      </c>
      <c r="BY102" s="142">
        <f t="shared" ca="1" si="74"/>
        <v>0.56164858808873963</v>
      </c>
      <c r="BZ102" s="142">
        <f t="shared" ca="1" si="74"/>
        <v>0.11718330959388429</v>
      </c>
      <c r="CA102" s="142">
        <f t="shared" ca="1" si="73"/>
        <v>0.21961117711651115</v>
      </c>
      <c r="CB102" s="142">
        <f t="shared" ca="1" si="73"/>
        <v>2.9509529606729645E-3</v>
      </c>
      <c r="CC102" s="142">
        <f t="shared" ca="1" si="73"/>
        <v>7.1983901729202798E-2</v>
      </c>
      <c r="CD102" s="142">
        <f t="shared" ca="1" si="73"/>
        <v>1.3932368076619897E-2</v>
      </c>
      <c r="CE102" s="142">
        <f t="shared" ca="1" si="73"/>
        <v>1.2689702434369295E-2</v>
      </c>
      <c r="CG102" s="128">
        <f t="shared" si="98"/>
        <v>200</v>
      </c>
      <c r="CH102" s="90">
        <f ca="1">INDEX(角色升级!$A:$A,MATCH(玩家节奏2!$BX102,角色升级!$J:$J,1))</f>
        <v>968</v>
      </c>
      <c r="CI102" s="90">
        <f ca="1">INDEX(角色升级!$O:$O,MATCH(玩家节奏2!$BX102,角色升级!$J:$J,1))</f>
        <v>84437.097404999993</v>
      </c>
      <c r="CJ102" s="90">
        <f>INDEX(关卡对比!$J:$J,MATCH(玩家节奏2!N102,关卡对比!$A:$A,0))</f>
        <v>86200</v>
      </c>
      <c r="CK102" s="147">
        <f t="shared" ca="1" si="99"/>
        <v>1.0208782946024815</v>
      </c>
      <c r="CL102" s="128">
        <f ca="1">INDEX(角色升级!$P:$P,MATCH(玩家节奏2!$CH102,角色升级!$A:$A,0))</f>
        <v>35000</v>
      </c>
      <c r="CM102" s="90">
        <f ca="1">INDEX(角色升级!Q:Q,MATCH(玩家节奏2!$CH102,角色升级!$A:$A,0))</f>
        <v>2.1</v>
      </c>
      <c r="CO102" s="128">
        <f t="shared" si="100"/>
        <v>78866</v>
      </c>
      <c r="CP102" s="90">
        <f t="shared" si="101"/>
        <v>184558</v>
      </c>
      <c r="CQ102" s="90">
        <f t="shared" si="102"/>
        <v>66640</v>
      </c>
      <c r="CR102" s="90">
        <f t="shared" ca="1" si="103"/>
        <v>263027.5</v>
      </c>
      <c r="CS102" s="90">
        <f t="shared" ca="1" si="104"/>
        <v>593091.5</v>
      </c>
      <c r="CT102" s="142">
        <f t="shared" ca="1" si="105"/>
        <v>0.13297442300218432</v>
      </c>
      <c r="CU102" s="142">
        <f t="shared" ca="1" si="105"/>
        <v>0.31117964091544054</v>
      </c>
      <c r="CV102" s="142">
        <f t="shared" ca="1" si="105"/>
        <v>0.11236040307439914</v>
      </c>
      <c r="CW102" s="142">
        <f t="shared" ca="1" si="105"/>
        <v>0.443485533007976</v>
      </c>
      <c r="CY102" s="128">
        <f t="shared" si="106"/>
        <v>39434</v>
      </c>
      <c r="CZ102" s="90">
        <f t="shared" si="107"/>
        <v>92115</v>
      </c>
      <c r="DA102" s="90">
        <f t="shared" si="108"/>
        <v>45492</v>
      </c>
      <c r="DB102" s="90">
        <f t="shared" ca="1" si="128"/>
        <v>136037</v>
      </c>
      <c r="DC102" s="90">
        <f t="shared" ca="1" si="109"/>
        <v>313078</v>
      </c>
      <c r="DD102" s="142">
        <f t="shared" ca="1" si="110"/>
        <v>0.12595583209296085</v>
      </c>
      <c r="DE102" s="142">
        <f t="shared" ca="1" si="110"/>
        <v>0.29422380365276385</v>
      </c>
      <c r="DF102" s="142">
        <f t="shared" ca="1" si="110"/>
        <v>0.14530564268329299</v>
      </c>
      <c r="DG102" s="142">
        <f t="shared" ca="1" si="110"/>
        <v>0.43451472157098231</v>
      </c>
      <c r="DI102" s="128">
        <f t="shared" si="111"/>
        <v>19113</v>
      </c>
      <c r="DJ102" s="90">
        <f t="shared" si="112"/>
        <v>45251</v>
      </c>
      <c r="DK102" s="90">
        <f t="shared" si="113"/>
        <v>17646</v>
      </c>
      <c r="DL102" s="90">
        <f t="shared" ca="1" si="114"/>
        <v>21020.25</v>
      </c>
      <c r="DM102" s="90">
        <f t="shared" ca="1" si="115"/>
        <v>103030.25</v>
      </c>
      <c r="DN102" s="142">
        <f t="shared" ca="1" si="116"/>
        <v>0.18550862489414516</v>
      </c>
      <c r="DO102" s="142">
        <f t="shared" ca="1" si="116"/>
        <v>0.43920110841233523</v>
      </c>
      <c r="DP102" s="142">
        <f t="shared" ca="1" si="116"/>
        <v>0.17127008815372186</v>
      </c>
      <c r="DQ102" s="142">
        <f t="shared" ca="1" si="116"/>
        <v>0.20402017853979779</v>
      </c>
      <c r="DS102" s="128">
        <f t="shared" ca="1" si="117"/>
        <v>593091.5</v>
      </c>
      <c r="DT102" s="90">
        <f t="shared" ca="1" si="118"/>
        <v>313078</v>
      </c>
      <c r="DU102" s="90">
        <f t="shared" ca="1" si="119"/>
        <v>103030.25</v>
      </c>
      <c r="DV102" s="90">
        <f t="shared" si="120"/>
        <v>1488</v>
      </c>
      <c r="DW102" s="90">
        <f ca="1">_xlfn.IFNA(INDEX(武器升级消耗!$H:$H,MATCH(玩家节奏2!DS102/玩家节奏2!DS$5,武器升级消耗!M:M,1)),0)</f>
        <v>67</v>
      </c>
      <c r="DX102" s="90">
        <f ca="1">_xlfn.IFNA(INDEX(武器升级消耗!$H:$H,MATCH(玩家节奏2!DT102/玩家节奏2!DT$5,武器升级消耗!N:N,1)),0)</f>
        <v>59</v>
      </c>
      <c r="DY102" s="90">
        <f ca="1">_xlfn.IFNA(INDEX(武器升级消耗!$H:$H,MATCH(玩家节奏2!DU102/玩家节奏2!DU$5,武器升级消耗!O:O,1)),0)</f>
        <v>44</v>
      </c>
      <c r="DZ102" s="90">
        <f>_xlfn.IFNA(INDEX(武器升级消耗!$H:$H,MATCH(玩家节奏2!DV102/玩家节奏2!DV$5,武器升级消耗!P:P,1)),0)</f>
        <v>28</v>
      </c>
      <c r="EA102" s="90">
        <f ca="1">_xlfn.IFNA(INDEX(武器升级消耗!$Q:$Q,MATCH(玩家节奏2!DW102,武器升级消耗!$H:$H,0))*2*EA$4,0)</f>
        <v>8.52</v>
      </c>
      <c r="EB102" s="90">
        <f ca="1">_xlfn.IFNA(INDEX(武器升级消耗!$Q:$Q,MATCH(玩家节奏2!DX102,武器升级消耗!$H:$H,0))*2*EB$4,0)</f>
        <v>9.4499999999999993</v>
      </c>
      <c r="EC102" s="90">
        <f ca="1">_xlfn.IFNA(INDEX(武器升级消耗!$Q:$Q,MATCH(玩家节奏2!DY102,武器升级消耗!$H:$H,0))*2*EC$4,0)</f>
        <v>10.56</v>
      </c>
      <c r="ED102" s="90">
        <f>_xlfn.IFNA(INDEX(武器升级消耗!$Q:$Q,MATCH(玩家节奏2!DZ102,武器升级消耗!$H:$H,0))*2*ED$4,0)</f>
        <v>9.6000000000000014</v>
      </c>
      <c r="EF102" s="128">
        <f t="shared" si="85"/>
        <v>0</v>
      </c>
      <c r="EG102" s="90">
        <f t="shared" si="86"/>
        <v>0</v>
      </c>
      <c r="EH102" s="90">
        <v>288</v>
      </c>
      <c r="EI102" s="90">
        <v>288</v>
      </c>
      <c r="EJ102" s="90">
        <f>_xlfn.IFNA(INDEX(皮肤宠物!$J$4:$J$13,MATCH(EF102+EH102,皮肤宠物!$L$4:$L$13,1)),0)</f>
        <v>8</v>
      </c>
      <c r="EK102" s="90">
        <f>_xlfn.IFNA(INDEX(皮肤宠物!$J$4:$J$13,MATCH(EG102+EI102,皮肤宠物!$L$4:$L$13,1)),0)</f>
        <v>8</v>
      </c>
      <c r="EL102" s="90">
        <f>_xlfn.IFNA(INDEX(皮肤宠物!$N$4:$N$13,MATCH(EF102+EH102,皮肤宠物!$L$4:$L$13,1)),1)</f>
        <v>1.9800000000000002</v>
      </c>
      <c r="EM102" s="90">
        <f>_xlfn.IFNA(INDEX(皮肤宠物!$N$4:$N$13,MATCH(EG102+EI102,皮肤宠物!$L$4:$L$13,1)),1)</f>
        <v>1.9800000000000002</v>
      </c>
      <c r="EO102" s="128">
        <v>288</v>
      </c>
      <c r="EP102" s="90">
        <v>96</v>
      </c>
      <c r="EQ102" s="90">
        <f t="shared" ca="1" si="121"/>
        <v>100575</v>
      </c>
      <c r="ER102" s="90">
        <f t="shared" si="87"/>
        <v>0</v>
      </c>
      <c r="ES102" s="90">
        <f t="shared" ca="1" si="122"/>
        <v>1101.75</v>
      </c>
      <c r="ET102" s="90">
        <f ca="1">$ES102*ET$5*皮肤宠物!$J$75/4</f>
        <v>3636.8767499999999</v>
      </c>
      <c r="EU102" s="90">
        <f ca="1">$ES102*EU$5*皮肤宠物!$J$76/4</f>
        <v>607.06425000000002</v>
      </c>
      <c r="EV102" s="90">
        <f ca="1">$ES102*EV$5*皮肤宠物!$J$77/4</f>
        <v>164.43618750000002</v>
      </c>
      <c r="EW102" s="90">
        <f ca="1">_xlfn.IFNA(INDEX(皮肤宠物!$H$18:$H$67,MATCH(ET102,皮肤宠物!L$18:L$67,1)),0)</f>
        <v>21</v>
      </c>
      <c r="EX102" s="90">
        <f ca="1">_xlfn.IFNA(INDEX(皮肤宠物!$H$18:$H$67,MATCH(EU102,皮肤宠物!M$18:M$67,1)),0)</f>
        <v>16</v>
      </c>
      <c r="EY102" s="90">
        <f ca="1">_xlfn.IFNA(INDEX(皮肤宠物!$H$18:$H$67,MATCH(EV102,皮肤宠物!N$18:N$67,1)),0)</f>
        <v>12</v>
      </c>
      <c r="EZ102" s="90">
        <f ca="1">_xlfn.IFNA(INDEX(皮肤宠物!C$18:C$67,MATCH(EW102,皮肤宠物!$A$18:$A$67,0))+1,1)</f>
        <v>1.21</v>
      </c>
      <c r="FA102" s="90">
        <f ca="1">_xlfn.IFNA(INDEX(皮肤宠物!D$18:D$67,MATCH(EX102,皮肤宠物!$A$18:$A$67,0))+1,1)</f>
        <v>1.32</v>
      </c>
      <c r="FB102" s="90">
        <f ca="1">_xlfn.IFNA(INDEX(皮肤宠物!E$18:E$67,MATCH(EY102,皮肤宠物!$A$18:$A$67,0))+1,1)</f>
        <v>1.48</v>
      </c>
      <c r="FD102" s="90">
        <f t="shared" ca="1" si="123"/>
        <v>10.56</v>
      </c>
      <c r="FE102" s="90">
        <f t="shared" si="124"/>
        <v>1.9800000000000002</v>
      </c>
      <c r="FF102" s="90">
        <f t="shared" ca="1" si="125"/>
        <v>1.48</v>
      </c>
      <c r="FG102" s="90">
        <f t="shared" ca="1" si="126"/>
        <v>30.945024000000004</v>
      </c>
    </row>
    <row r="103" spans="1:163" x14ac:dyDescent="0.25">
      <c r="A103" s="123">
        <v>97</v>
      </c>
      <c r="B103" s="123">
        <f>INDEX(关卡对比!$Y:$Y,MATCH(关卡对比!Z103,关卡对比!$AA:$AA,1))</f>
        <v>62</v>
      </c>
      <c r="C103" s="124">
        <f>INDEX(关卡对比!$Y:$Y,MATCH(关卡对比!Z103,关卡对比!$AB:$AB,1))</f>
        <v>50</v>
      </c>
      <c r="D103" s="125">
        <f t="shared" si="131"/>
        <v>387.5</v>
      </c>
      <c r="E103" s="125">
        <v>2</v>
      </c>
      <c r="F103" s="128">
        <v>16</v>
      </c>
      <c r="G103" s="90">
        <v>16</v>
      </c>
      <c r="H103" s="90">
        <v>5</v>
      </c>
      <c r="J103" s="128">
        <v>97</v>
      </c>
      <c r="K103" s="90">
        <f t="shared" si="88"/>
        <v>16</v>
      </c>
      <c r="L103" s="90">
        <f t="shared" si="89"/>
        <v>16</v>
      </c>
      <c r="M103" s="90">
        <f t="shared" si="90"/>
        <v>5</v>
      </c>
      <c r="N103" s="140">
        <f>INDEX($A:$A,MATCH(SUM($K$7:K103),$D:$D,1))</f>
        <v>200</v>
      </c>
      <c r="O103" s="140">
        <v>0</v>
      </c>
      <c r="P103" s="141">
        <v>0</v>
      </c>
      <c r="Q103" s="126">
        <f>_xlfn.MAXIFS(关卡产出!X:X,关卡产出!$A:$A,玩家节奏2!$N$6,关卡产出!$B:$B,玩家节奏2!$N103)+_xlfn.MAXIFS(关卡产出!X:X,关卡产出!$A:$A,玩家节奏2!$O$6,关卡产出!$B:$B,玩家节奏2!$O103)+_xlfn.MAXIFS(关卡产出!X:X,关卡产出!$A:$A,玩家节奏2!$P$6,关卡产出!$B:$B,玩家节奏2!$P103)</f>
        <v>38500</v>
      </c>
      <c r="R103" s="90">
        <f>_xlfn.MAXIFS(关卡产出!Y:Y,关卡产出!$A:$A,玩家节奏2!$N$6,关卡产出!$B:$B,玩家节奏2!$N103)+_xlfn.MAXIFS(关卡产出!Y:Y,关卡产出!$A:$A,玩家节奏2!$O$6,关卡产出!$B:$B,玩家节奏2!$O103)+_xlfn.MAXIFS(关卡产出!Y:Y,关卡产出!$A:$A,玩家节奏2!$P$6,关卡产出!$B:$B,玩家节奏2!$P103)</f>
        <v>11610000</v>
      </c>
      <c r="S103" s="90">
        <f>_xlfn.MAXIFS(关卡产出!Z:Z,关卡产出!$A:$A,玩家节奏2!$N$6,关卡产出!$B:$B,玩家节奏2!$N103)+_xlfn.MAXIFS(关卡产出!Z:Z,关卡产出!$A:$A,玩家节奏2!$O$6,关卡产出!$B:$B,玩家节奏2!$O103)+_xlfn.MAXIFS(关卡产出!Z:Z,关卡产出!$A:$A,玩家节奏2!$P$6,关卡产出!$B:$B,玩家节奏2!$P103)</f>
        <v>78866</v>
      </c>
      <c r="T103" s="90">
        <f>_xlfn.MAXIFS(关卡产出!AA:AA,关卡产出!$A:$A,玩家节奏2!$N$6,关卡产出!$B:$B,玩家节奏2!$N103)+_xlfn.MAXIFS(关卡产出!AA:AA,关卡产出!$A:$A,玩家节奏2!$O$6,关卡产出!$B:$B,玩家节奏2!$O103)+_xlfn.MAXIFS(关卡产出!AA:AA,关卡产出!$A:$A,玩家节奏2!$P$6,关卡产出!$B:$B,玩家节奏2!$P103)</f>
        <v>39434</v>
      </c>
      <c r="U103" s="90">
        <f>_xlfn.MAXIFS(关卡产出!AB:AB,关卡产出!$A:$A,玩家节奏2!$N$6,关卡产出!$B:$B,玩家节奏2!$N103)+_xlfn.MAXIFS(关卡产出!AB:AB,关卡产出!$A:$A,玩家节奏2!$O$6,关卡产出!$B:$B,玩家节奏2!$O103)+_xlfn.MAXIFS(关卡产出!AB:AB,关卡产出!$A:$A,玩家节奏2!$P$6,关卡产出!$B:$B,玩家节奏2!$P103)</f>
        <v>19113</v>
      </c>
      <c r="V103" s="130">
        <f>_xlfn.MAXIFS(关卡产出!AC:AC,关卡产出!$A:$A,玩家节奏2!$N$6,关卡产出!$B:$B,玩家节奏2!$N103)+_xlfn.MAXIFS(关卡产出!AC:AC,关卡产出!$A:$A,玩家节奏2!$O$6,关卡产出!$B:$B,玩家节奏2!$O103)+_xlfn.MAXIFS(关卡产出!AC:AC,关卡产出!$A:$A,玩家节奏2!$P$6,关卡产出!$B:$B,玩家节奏2!$P103)</f>
        <v>1200</v>
      </c>
      <c r="W103" s="126">
        <f>INDEX(关卡产出!C$8:C$207,MATCH(玩家节奏2!$N103,关卡产出!$B$8:$B$207,0))*$K103</f>
        <v>2528</v>
      </c>
      <c r="X103" s="126">
        <f>INDEX(关卡产出!D$8:D$207,MATCH(玩家节奏2!$N103,关卡产出!$B$8:$B$207,0))*$K103</f>
        <v>1264</v>
      </c>
      <c r="Y103" s="126">
        <f>INDEX(关卡产出!E$8:E$207,MATCH(玩家节奏2!$N103,关卡产出!$B$8:$B$207,0))*$K103</f>
        <v>624</v>
      </c>
      <c r="Z103" s="144">
        <f>INDEX(关卡产出!F$8:F$207,MATCH(玩家节奏2!$N103,关卡产出!$B$8:$B$207,0))*$K103</f>
        <v>32800</v>
      </c>
      <c r="AA103" s="126">
        <f>SUM(W$7:W103)</f>
        <v>187086</v>
      </c>
      <c r="AB103" s="126">
        <f>SUM(X$7:X103)</f>
        <v>93379</v>
      </c>
      <c r="AC103" s="126">
        <f>SUM(Y$7:Y103)</f>
        <v>45875</v>
      </c>
      <c r="AD103" s="177">
        <f>SUM(Z$7:Z103)</f>
        <v>2455130</v>
      </c>
      <c r="AE103" s="128">
        <f>INDEX(图鉴!AQ:AQ,MATCH($N103,图鉴!$S:$S,0))*34</f>
        <v>714</v>
      </c>
      <c r="AF103" s="90">
        <f>INDEX(图鉴!AR:AR,MATCH($N103,图鉴!$S:$S,0))*34</f>
        <v>510</v>
      </c>
      <c r="AG103" s="90">
        <f>INDEX(图鉴!AS:AS,MATCH($N103,图鉴!$S:$S,0))*34</f>
        <v>204</v>
      </c>
      <c r="AH103" s="129">
        <f ca="1">INDEX(图鉴!AT:AT,MATCH($N103,图鉴!$S:$S,0))*34</f>
        <v>55930</v>
      </c>
      <c r="AI103" s="128">
        <f>SUM($AE$7:AE103)</f>
        <v>67354</v>
      </c>
      <c r="AJ103" s="90">
        <f>SUM(AF$7:AF103)</f>
        <v>46002</v>
      </c>
      <c r="AK103" s="90">
        <f>SUM(AG$7:AG103)</f>
        <v>17850</v>
      </c>
      <c r="AL103" s="130">
        <f ca="1">SUM(AH$7:AH103)</f>
        <v>4595576</v>
      </c>
      <c r="AM103" s="133">
        <f>IF(M103=0,0,INDEX(关卡产出!$AU$11:$AU$15,MATCH(玩家节奏2!N103,关卡产出!$AW$11:$AW$15,1))*M103)</f>
        <v>61000</v>
      </c>
      <c r="AN103" s="126">
        <f>IF(L103=0,0,$L103*关卡产出!AU$21)</f>
        <v>16000</v>
      </c>
      <c r="AO103" s="90">
        <f>IF(M103=0,0,$L103*关卡产出!AV$21)</f>
        <v>800</v>
      </c>
      <c r="AP103" s="129">
        <f>IF(N103=0,0,$L103*关卡产出!AW$21)</f>
        <v>16</v>
      </c>
      <c r="AQ103" s="138">
        <f>SUM(AN$7:AN103)</f>
        <v>1504000</v>
      </c>
      <c r="AR103" s="126">
        <f>SUM(AO$7:AO103)</f>
        <v>75200</v>
      </c>
      <c r="AS103" s="129">
        <f>SUM(AP$7:AP103)</f>
        <v>1504</v>
      </c>
      <c r="AT103" s="128">
        <v>3000</v>
      </c>
      <c r="AU103" s="129">
        <v>600</v>
      </c>
      <c r="AV103" s="128">
        <f>SUM(AT$7:AT103)</f>
        <v>291000</v>
      </c>
      <c r="AW103" s="90">
        <f>SUM(AU$7:AU103)</f>
        <v>58200</v>
      </c>
      <c r="AY103" s="128">
        <f t="shared" si="91"/>
        <v>38500</v>
      </c>
      <c r="AZ103" s="90">
        <f t="shared" si="92"/>
        <v>75200</v>
      </c>
      <c r="BA103" s="90">
        <f t="shared" si="93"/>
        <v>58200</v>
      </c>
      <c r="BB103" s="90">
        <f t="shared" ca="1" si="127"/>
        <v>35000</v>
      </c>
      <c r="BC103" s="90">
        <f t="shared" ca="1" si="129"/>
        <v>105625</v>
      </c>
      <c r="BD103" s="90">
        <f t="shared" ca="1" si="130"/>
        <v>101275</v>
      </c>
      <c r="BE103" s="90">
        <f t="shared" ca="1" si="94"/>
        <v>206900</v>
      </c>
      <c r="BF103" s="142">
        <f t="shared" ref="BF103:BF134" ca="1" si="132">AY103/$BC103</f>
        <v>0.36449704142011835</v>
      </c>
      <c r="BG103" s="142">
        <f t="shared" ref="BG103:BG134" ca="1" si="133">AZ103/$BC103</f>
        <v>0.7119526627218935</v>
      </c>
      <c r="BH103" s="142">
        <f t="shared" ref="BH103:BH134" ca="1" si="134">BA103/$BC103</f>
        <v>0.55100591715976333</v>
      </c>
      <c r="BI103" s="142">
        <f t="shared" ca="1" si="95"/>
        <v>0.33136094674556216</v>
      </c>
      <c r="BJ103" s="143"/>
      <c r="BK103" s="128">
        <f ca="1">INDEX(商城宝箱!$L:$L,MATCH(BC103,商城宝箱!$N:$N,1))</f>
        <v>12</v>
      </c>
      <c r="BL103" s="90">
        <f ca="1">_xlfn.IFNA(INDEX(商城宝箱!T:T,MATCH(玩家节奏2!$BK103,商城宝箱!$L:$L,0)),0)+($BC103-INDEX(商城宝箱!$N:$N,MATCH(玩家节奏2!$BK103,商城宝箱!$L:$L,0)))/$BK$5*INDEX(商城宝箱!E$23:E$42,MATCH(玩家节奏2!$BK103+1,商城宝箱!$C$23:$C$42,0))</f>
        <v>264062.5</v>
      </c>
      <c r="BM103" s="90">
        <f ca="1">_xlfn.IFNA(INDEX(商城宝箱!U:U,MATCH(玩家节奏2!$BK103,商城宝箱!$L:$L,0)),0)+($BC103-INDEX(商城宝箱!$N:$N,MATCH(玩家节奏2!$BK103,商城宝箱!$L:$L,0)))/$BK$5*INDEX(商城宝箱!F$23:F$42,MATCH(玩家节奏2!$BK103+1,商城宝箱!$C$23:$C$42,0))</f>
        <v>265967.5</v>
      </c>
      <c r="BN103" s="90">
        <f ca="1">_xlfn.IFNA(INDEX(商城宝箱!V:V,MATCH(玩家节奏2!$BK103,商城宝箱!$L:$L,0)),0)+($BC103-INDEX(商城宝箱!$N:$N,MATCH(玩家节奏2!$BK103,商城宝箱!$L:$L,0)))/$BK$5*INDEX(商城宝箱!G$23:G$42,MATCH(玩家节奏2!$BK103+1,商城宝箱!$C$23:$C$42,0))</f>
        <v>137437</v>
      </c>
      <c r="BO103" s="90">
        <f ca="1">_xlfn.IFNA(INDEX(商城宝箱!W:W,MATCH(玩家节奏2!$BK103,商城宝箱!$L:$L,0)),0)+($BC103-INDEX(商城宝箱!$N:$N,MATCH(玩家节奏2!$BK103,商城宝箱!$L:$L,0)))/$BK$5*INDEX(商城宝箱!H$23:H$42,MATCH(玩家节奏2!$BK103+1,商城宝箱!$C$23:$C$42,0))</f>
        <v>21265.25</v>
      </c>
      <c r="BQ103" s="128">
        <f t="shared" si="79"/>
        <v>11610000</v>
      </c>
      <c r="BR103" s="90">
        <f t="shared" si="80"/>
        <v>2455130</v>
      </c>
      <c r="BS103" s="90">
        <f t="shared" ref="BS103:BS134" ca="1" si="135">AL103</f>
        <v>4595576</v>
      </c>
      <c r="BT103" s="90">
        <f t="shared" ref="BT103:BT134" si="136">AM103</f>
        <v>61000</v>
      </c>
      <c r="BU103" s="90">
        <f t="shared" si="83"/>
        <v>1504000</v>
      </c>
      <c r="BV103" s="90">
        <f t="shared" si="84"/>
        <v>291000</v>
      </c>
      <c r="BW103" s="90">
        <f t="shared" ca="1" si="96"/>
        <v>264062.5</v>
      </c>
      <c r="BX103" s="90">
        <f t="shared" ca="1" si="97"/>
        <v>20780768.5</v>
      </c>
      <c r="BY103" s="142">
        <f t="shared" ca="1" si="74"/>
        <v>0.55868963652619485</v>
      </c>
      <c r="BZ103" s="142">
        <f t="shared" ca="1" si="74"/>
        <v>0.11814433138023746</v>
      </c>
      <c r="CA103" s="142">
        <f t="shared" ca="1" si="73"/>
        <v>0.22114562317558178</v>
      </c>
      <c r="CB103" s="142">
        <f t="shared" ca="1" si="73"/>
        <v>2.9354063590092926E-3</v>
      </c>
      <c r="CC103" s="142">
        <f t="shared" ca="1" si="73"/>
        <v>7.2374609245081573E-2</v>
      </c>
      <c r="CD103" s="142">
        <f t="shared" ca="1" si="73"/>
        <v>1.400333197494597E-2</v>
      </c>
      <c r="CE103" s="142">
        <f t="shared" ca="1" si="73"/>
        <v>1.2707061338949038E-2</v>
      </c>
      <c r="CG103" s="128">
        <f t="shared" si="98"/>
        <v>200</v>
      </c>
      <c r="CH103" s="90">
        <f ca="1">INDEX(角色升级!$A:$A,MATCH(玩家节奏2!$BX103,角色升级!$J:$J,1))</f>
        <v>970</v>
      </c>
      <c r="CI103" s="90">
        <f ca="1">INDEX(角色升级!$O:$O,MATCH(玩家节奏2!$BX103,角色升级!$J:$J,1))</f>
        <v>85446.488535000011</v>
      </c>
      <c r="CJ103" s="90">
        <f>INDEX(关卡对比!$J:$J,MATCH(玩家节奏2!N103,关卡对比!$A:$A,0))</f>
        <v>86200</v>
      </c>
      <c r="CK103" s="147">
        <f t="shared" ca="1" si="99"/>
        <v>1.0088185187936816</v>
      </c>
      <c r="CL103" s="128">
        <f ca="1">INDEX(角色升级!$P:$P,MATCH(玩家节奏2!$CH103,角色升级!$A:$A,0))</f>
        <v>37800</v>
      </c>
      <c r="CM103" s="90">
        <f ca="1">INDEX(角色升级!Q:Q,MATCH(玩家节奏2!$CH103,角色升级!$A:$A,0))</f>
        <v>2.1</v>
      </c>
      <c r="CO103" s="128">
        <f t="shared" si="100"/>
        <v>78866</v>
      </c>
      <c r="CP103" s="90">
        <f t="shared" si="101"/>
        <v>187086</v>
      </c>
      <c r="CQ103" s="90">
        <f t="shared" si="102"/>
        <v>67354</v>
      </c>
      <c r="CR103" s="90">
        <f t="shared" ca="1" si="103"/>
        <v>265967.5</v>
      </c>
      <c r="CS103" s="90">
        <f t="shared" ca="1" si="104"/>
        <v>599273.5</v>
      </c>
      <c r="CT103" s="142">
        <f t="shared" ca="1" si="105"/>
        <v>0.13160268224775498</v>
      </c>
      <c r="CU103" s="142">
        <f t="shared" ca="1" si="105"/>
        <v>0.31218800764592458</v>
      </c>
      <c r="CV103" s="142">
        <f t="shared" ca="1" si="105"/>
        <v>0.11239275556152575</v>
      </c>
      <c r="CW103" s="142">
        <f t="shared" ca="1" si="105"/>
        <v>0.44381655454479463</v>
      </c>
      <c r="CY103" s="128">
        <f t="shared" si="106"/>
        <v>39434</v>
      </c>
      <c r="CZ103" s="90">
        <f t="shared" si="107"/>
        <v>93379</v>
      </c>
      <c r="DA103" s="90">
        <f t="shared" si="108"/>
        <v>46002</v>
      </c>
      <c r="DB103" s="90">
        <f t="shared" ca="1" si="128"/>
        <v>137437</v>
      </c>
      <c r="DC103" s="90">
        <f t="shared" ca="1" si="109"/>
        <v>316252</v>
      </c>
      <c r="DD103" s="142">
        <f t="shared" ca="1" si="110"/>
        <v>0.12469170155445657</v>
      </c>
      <c r="DE103" s="142">
        <f t="shared" ca="1" si="110"/>
        <v>0.29526769791179186</v>
      </c>
      <c r="DF103" s="142">
        <f t="shared" ca="1" si="110"/>
        <v>0.14545994966039741</v>
      </c>
      <c r="DG103" s="142">
        <f t="shared" ca="1" si="110"/>
        <v>0.43458065087335418</v>
      </c>
      <c r="DI103" s="128">
        <f t="shared" si="111"/>
        <v>19113</v>
      </c>
      <c r="DJ103" s="90">
        <f t="shared" si="112"/>
        <v>45875</v>
      </c>
      <c r="DK103" s="90">
        <f t="shared" si="113"/>
        <v>17850</v>
      </c>
      <c r="DL103" s="90">
        <f t="shared" ca="1" si="114"/>
        <v>21265.25</v>
      </c>
      <c r="DM103" s="90">
        <f t="shared" ca="1" si="115"/>
        <v>104103.25</v>
      </c>
      <c r="DN103" s="142">
        <f t="shared" ca="1" si="116"/>
        <v>0.18359657359400403</v>
      </c>
      <c r="DO103" s="142">
        <f t="shared" ca="1" si="116"/>
        <v>0.44066827884816279</v>
      </c>
      <c r="DP103" s="142">
        <f t="shared" ca="1" si="116"/>
        <v>0.17146438751912163</v>
      </c>
      <c r="DQ103" s="142">
        <f t="shared" ca="1" si="116"/>
        <v>0.20427076003871156</v>
      </c>
      <c r="DS103" s="128">
        <f t="shared" ca="1" si="117"/>
        <v>599273.5</v>
      </c>
      <c r="DT103" s="90">
        <f t="shared" ca="1" si="118"/>
        <v>316252</v>
      </c>
      <c r="DU103" s="90">
        <f t="shared" ca="1" si="119"/>
        <v>104103.25</v>
      </c>
      <c r="DV103" s="90">
        <f t="shared" si="120"/>
        <v>1504</v>
      </c>
      <c r="DW103" s="90">
        <f ca="1">_xlfn.IFNA(INDEX(武器升级消耗!$H:$H,MATCH(玩家节奏2!DS103/玩家节奏2!DS$5,武器升级消耗!M:M,1)),0)</f>
        <v>67</v>
      </c>
      <c r="DX103" s="90">
        <f ca="1">_xlfn.IFNA(INDEX(武器升级消耗!$H:$H,MATCH(玩家节奏2!DT103/玩家节奏2!DT$5,武器升级消耗!N:N,1)),0)</f>
        <v>59</v>
      </c>
      <c r="DY103" s="90">
        <f ca="1">_xlfn.IFNA(INDEX(武器升级消耗!$H:$H,MATCH(玩家节奏2!DU103/玩家节奏2!DU$5,武器升级消耗!O:O,1)),0)</f>
        <v>44</v>
      </c>
      <c r="DZ103" s="90">
        <f>_xlfn.IFNA(INDEX(武器升级消耗!$H:$H,MATCH(玩家节奏2!DV103/玩家节奏2!DV$5,武器升级消耗!P:P,1)),0)</f>
        <v>28</v>
      </c>
      <c r="EA103" s="90">
        <f ca="1">_xlfn.IFNA(INDEX(武器升级消耗!$Q:$Q,MATCH(玩家节奏2!DW103,武器升级消耗!$H:$H,0))*2*EA$4,0)</f>
        <v>8.52</v>
      </c>
      <c r="EB103" s="90">
        <f ca="1">_xlfn.IFNA(INDEX(武器升级消耗!$Q:$Q,MATCH(玩家节奏2!DX103,武器升级消耗!$H:$H,0))*2*EB$4,0)</f>
        <v>9.4499999999999993</v>
      </c>
      <c r="EC103" s="90">
        <f ca="1">_xlfn.IFNA(INDEX(武器升级消耗!$Q:$Q,MATCH(玩家节奏2!DY103,武器升级消耗!$H:$H,0))*2*EC$4,0)</f>
        <v>10.56</v>
      </c>
      <c r="ED103" s="90">
        <f>_xlfn.IFNA(INDEX(武器升级消耗!$Q:$Q,MATCH(玩家节奏2!DZ103,武器升级消耗!$H:$H,0))*2*ED$4,0)</f>
        <v>9.6000000000000014</v>
      </c>
      <c r="EF103" s="128">
        <f t="shared" si="85"/>
        <v>0</v>
      </c>
      <c r="EG103" s="90">
        <f t="shared" si="86"/>
        <v>0</v>
      </c>
      <c r="EH103" s="90">
        <v>291</v>
      </c>
      <c r="EI103" s="90">
        <v>291</v>
      </c>
      <c r="EJ103" s="90">
        <f>_xlfn.IFNA(INDEX(皮肤宠物!$J$4:$J$13,MATCH(EF103+EH103,皮肤宠物!$L$4:$L$13,1)),0)</f>
        <v>8</v>
      </c>
      <c r="EK103" s="90">
        <f>_xlfn.IFNA(INDEX(皮肤宠物!$J$4:$J$13,MATCH(EG103+EI103,皮肤宠物!$L$4:$L$13,1)),0)</f>
        <v>8</v>
      </c>
      <c r="EL103" s="90">
        <f>_xlfn.IFNA(INDEX(皮肤宠物!$N$4:$N$13,MATCH(EF103+EH103,皮肤宠物!$L$4:$L$13,1)),1)</f>
        <v>1.9800000000000002</v>
      </c>
      <c r="EM103" s="90">
        <f>_xlfn.IFNA(INDEX(皮肤宠物!$N$4:$N$13,MATCH(EG103+EI103,皮肤宠物!$L$4:$L$13,1)),1)</f>
        <v>1.9800000000000002</v>
      </c>
      <c r="EO103" s="128">
        <v>291</v>
      </c>
      <c r="EP103" s="90">
        <v>97</v>
      </c>
      <c r="EQ103" s="90">
        <f t="shared" ca="1" si="121"/>
        <v>101275</v>
      </c>
      <c r="ER103" s="90">
        <f t="shared" si="87"/>
        <v>0</v>
      </c>
      <c r="ES103" s="90">
        <f t="shared" ca="1" si="122"/>
        <v>1109.75</v>
      </c>
      <c r="ET103" s="90">
        <f ca="1">$ES103*ET$5*皮肤宠物!$J$75/4</f>
        <v>3663.2847500000003</v>
      </c>
      <c r="EU103" s="90">
        <f ca="1">$ES103*EU$5*皮肤宠物!$J$76/4</f>
        <v>611.47225000000003</v>
      </c>
      <c r="EV103" s="90">
        <f ca="1">$ES103*EV$5*皮肤宠物!$J$77/4</f>
        <v>165.63018750000001</v>
      </c>
      <c r="EW103" s="90">
        <f ca="1">_xlfn.IFNA(INDEX(皮肤宠物!$H$18:$H$67,MATCH(ET103,皮肤宠物!L$18:L$67,1)),0)</f>
        <v>21</v>
      </c>
      <c r="EX103" s="90">
        <f ca="1">_xlfn.IFNA(INDEX(皮肤宠物!$H$18:$H$67,MATCH(EU103,皮肤宠物!M$18:M$67,1)),0)</f>
        <v>16</v>
      </c>
      <c r="EY103" s="90">
        <f ca="1">_xlfn.IFNA(INDEX(皮肤宠物!$H$18:$H$67,MATCH(EV103,皮肤宠物!N$18:N$67,1)),0)</f>
        <v>12</v>
      </c>
      <c r="EZ103" s="90">
        <f ca="1">_xlfn.IFNA(INDEX(皮肤宠物!C$18:C$67,MATCH(EW103,皮肤宠物!$A$18:$A$67,0))+1,1)</f>
        <v>1.21</v>
      </c>
      <c r="FA103" s="90">
        <f ca="1">_xlfn.IFNA(INDEX(皮肤宠物!D$18:D$67,MATCH(EX103,皮肤宠物!$A$18:$A$67,0))+1,1)</f>
        <v>1.32</v>
      </c>
      <c r="FB103" s="90">
        <f ca="1">_xlfn.IFNA(INDEX(皮肤宠物!E$18:E$67,MATCH(EY103,皮肤宠物!$A$18:$A$67,0))+1,1)</f>
        <v>1.48</v>
      </c>
      <c r="FD103" s="90">
        <f t="shared" ca="1" si="123"/>
        <v>10.56</v>
      </c>
      <c r="FE103" s="90">
        <f t="shared" si="124"/>
        <v>1.9800000000000002</v>
      </c>
      <c r="FF103" s="90">
        <f t="shared" ca="1" si="125"/>
        <v>1.48</v>
      </c>
      <c r="FG103" s="90">
        <f t="shared" ca="1" si="126"/>
        <v>30.945024000000004</v>
      </c>
    </row>
    <row r="104" spans="1:163" x14ac:dyDescent="0.25">
      <c r="A104" s="123">
        <v>98</v>
      </c>
      <c r="B104" s="123">
        <f>INDEX(关卡对比!$Y:$Y,MATCH(关卡对比!Z104,关卡对比!$AA:$AA,1))</f>
        <v>62</v>
      </c>
      <c r="C104" s="124">
        <f>INDEX(关卡对比!$Y:$Y,MATCH(关卡对比!Z104,关卡对比!$AB:$AB,1))</f>
        <v>51</v>
      </c>
      <c r="D104" s="125">
        <f t="shared" si="131"/>
        <v>391.5</v>
      </c>
      <c r="E104" s="125">
        <v>2</v>
      </c>
      <c r="F104" s="128">
        <v>16</v>
      </c>
      <c r="G104" s="90">
        <v>16</v>
      </c>
      <c r="H104" s="90">
        <v>5</v>
      </c>
      <c r="J104" s="128">
        <v>98</v>
      </c>
      <c r="K104" s="90">
        <f t="shared" si="88"/>
        <v>16</v>
      </c>
      <c r="L104" s="90">
        <f t="shared" si="89"/>
        <v>16</v>
      </c>
      <c r="M104" s="90">
        <f t="shared" si="90"/>
        <v>5</v>
      </c>
      <c r="N104" s="140">
        <f>INDEX($A:$A,MATCH(SUM($K$7:K104),$D:$D,1))</f>
        <v>200</v>
      </c>
      <c r="O104" s="140">
        <v>0</v>
      </c>
      <c r="P104" s="141">
        <v>0</v>
      </c>
      <c r="Q104" s="126">
        <f>_xlfn.MAXIFS(关卡产出!X:X,关卡产出!$A:$A,玩家节奏2!$N$6,关卡产出!$B:$B,玩家节奏2!$N104)+_xlfn.MAXIFS(关卡产出!X:X,关卡产出!$A:$A,玩家节奏2!$O$6,关卡产出!$B:$B,玩家节奏2!$O104)+_xlfn.MAXIFS(关卡产出!X:X,关卡产出!$A:$A,玩家节奏2!$P$6,关卡产出!$B:$B,玩家节奏2!$P104)</f>
        <v>38500</v>
      </c>
      <c r="R104" s="90">
        <f>_xlfn.MAXIFS(关卡产出!Y:Y,关卡产出!$A:$A,玩家节奏2!$N$6,关卡产出!$B:$B,玩家节奏2!$N104)+_xlfn.MAXIFS(关卡产出!Y:Y,关卡产出!$A:$A,玩家节奏2!$O$6,关卡产出!$B:$B,玩家节奏2!$O104)+_xlfn.MAXIFS(关卡产出!Y:Y,关卡产出!$A:$A,玩家节奏2!$P$6,关卡产出!$B:$B,玩家节奏2!$P104)</f>
        <v>11610000</v>
      </c>
      <c r="S104" s="90">
        <f>_xlfn.MAXIFS(关卡产出!Z:Z,关卡产出!$A:$A,玩家节奏2!$N$6,关卡产出!$B:$B,玩家节奏2!$N104)+_xlfn.MAXIFS(关卡产出!Z:Z,关卡产出!$A:$A,玩家节奏2!$O$6,关卡产出!$B:$B,玩家节奏2!$O104)+_xlfn.MAXIFS(关卡产出!Z:Z,关卡产出!$A:$A,玩家节奏2!$P$6,关卡产出!$B:$B,玩家节奏2!$P104)</f>
        <v>78866</v>
      </c>
      <c r="T104" s="90">
        <f>_xlfn.MAXIFS(关卡产出!AA:AA,关卡产出!$A:$A,玩家节奏2!$N$6,关卡产出!$B:$B,玩家节奏2!$N104)+_xlfn.MAXIFS(关卡产出!AA:AA,关卡产出!$A:$A,玩家节奏2!$O$6,关卡产出!$B:$B,玩家节奏2!$O104)+_xlfn.MAXIFS(关卡产出!AA:AA,关卡产出!$A:$A,玩家节奏2!$P$6,关卡产出!$B:$B,玩家节奏2!$P104)</f>
        <v>39434</v>
      </c>
      <c r="U104" s="90">
        <f>_xlfn.MAXIFS(关卡产出!AB:AB,关卡产出!$A:$A,玩家节奏2!$N$6,关卡产出!$B:$B,玩家节奏2!$N104)+_xlfn.MAXIFS(关卡产出!AB:AB,关卡产出!$A:$A,玩家节奏2!$O$6,关卡产出!$B:$B,玩家节奏2!$O104)+_xlfn.MAXIFS(关卡产出!AB:AB,关卡产出!$A:$A,玩家节奏2!$P$6,关卡产出!$B:$B,玩家节奏2!$P104)</f>
        <v>19113</v>
      </c>
      <c r="V104" s="130">
        <f>_xlfn.MAXIFS(关卡产出!AC:AC,关卡产出!$A:$A,玩家节奏2!$N$6,关卡产出!$B:$B,玩家节奏2!$N104)+_xlfn.MAXIFS(关卡产出!AC:AC,关卡产出!$A:$A,玩家节奏2!$O$6,关卡产出!$B:$B,玩家节奏2!$O104)+_xlfn.MAXIFS(关卡产出!AC:AC,关卡产出!$A:$A,玩家节奏2!$P$6,关卡产出!$B:$B,玩家节奏2!$P104)</f>
        <v>1200</v>
      </c>
      <c r="W104" s="126">
        <f>INDEX(关卡产出!C$8:C$207,MATCH(玩家节奏2!$N104,关卡产出!$B$8:$B$207,0))*$K104</f>
        <v>2528</v>
      </c>
      <c r="X104" s="126">
        <f>INDEX(关卡产出!D$8:D$207,MATCH(玩家节奏2!$N104,关卡产出!$B$8:$B$207,0))*$K104</f>
        <v>1264</v>
      </c>
      <c r="Y104" s="126">
        <f>INDEX(关卡产出!E$8:E$207,MATCH(玩家节奏2!$N104,关卡产出!$B$8:$B$207,0))*$K104</f>
        <v>624</v>
      </c>
      <c r="Z104" s="144">
        <f>INDEX(关卡产出!F$8:F$207,MATCH(玩家节奏2!$N104,关卡产出!$B$8:$B$207,0))*$K104</f>
        <v>32800</v>
      </c>
      <c r="AA104" s="126">
        <f>SUM(W$7:W104)</f>
        <v>189614</v>
      </c>
      <c r="AB104" s="126">
        <f>SUM(X$7:X104)</f>
        <v>94643</v>
      </c>
      <c r="AC104" s="126">
        <f>SUM(Y$7:Y104)</f>
        <v>46499</v>
      </c>
      <c r="AD104" s="177">
        <f>SUM(Z$7:Z104)</f>
        <v>2487930</v>
      </c>
      <c r="AE104" s="128">
        <f>INDEX(图鉴!AQ:AQ,MATCH($N104,图鉴!$S:$S,0))*34</f>
        <v>714</v>
      </c>
      <c r="AF104" s="90">
        <f>INDEX(图鉴!AR:AR,MATCH($N104,图鉴!$S:$S,0))*34</f>
        <v>510</v>
      </c>
      <c r="AG104" s="90">
        <f>INDEX(图鉴!AS:AS,MATCH($N104,图鉴!$S:$S,0))*34</f>
        <v>204</v>
      </c>
      <c r="AH104" s="129">
        <f ca="1">INDEX(图鉴!AT:AT,MATCH($N104,图鉴!$S:$S,0))*34</f>
        <v>55930</v>
      </c>
      <c r="AI104" s="128">
        <f>SUM($AE$7:AE104)</f>
        <v>68068</v>
      </c>
      <c r="AJ104" s="90">
        <f>SUM(AF$7:AF104)</f>
        <v>46512</v>
      </c>
      <c r="AK104" s="90">
        <f>SUM(AG$7:AG104)</f>
        <v>18054</v>
      </c>
      <c r="AL104" s="130">
        <f ca="1">SUM(AH$7:AH104)</f>
        <v>4651506</v>
      </c>
      <c r="AM104" s="133">
        <f>IF(M104=0,0,INDEX(关卡产出!$AU$11:$AU$15,MATCH(玩家节奏2!N104,关卡产出!$AW$11:$AW$15,1))*M104)</f>
        <v>61000</v>
      </c>
      <c r="AN104" s="126">
        <f>IF(L104=0,0,$L104*关卡产出!AU$21)</f>
        <v>16000</v>
      </c>
      <c r="AO104" s="90">
        <f>IF(M104=0,0,$L104*关卡产出!AV$21)</f>
        <v>800</v>
      </c>
      <c r="AP104" s="129">
        <f>IF(N104=0,0,$L104*关卡产出!AW$21)</f>
        <v>16</v>
      </c>
      <c r="AQ104" s="138">
        <f>SUM(AN$7:AN104)</f>
        <v>1520000</v>
      </c>
      <c r="AR104" s="126">
        <f>SUM(AO$7:AO104)</f>
        <v>76000</v>
      </c>
      <c r="AS104" s="129">
        <f>SUM(AP$7:AP104)</f>
        <v>1520</v>
      </c>
      <c r="AT104" s="128">
        <v>3000</v>
      </c>
      <c r="AU104" s="129">
        <v>600</v>
      </c>
      <c r="AV104" s="128">
        <f>SUM(AT$7:AT104)</f>
        <v>294000</v>
      </c>
      <c r="AW104" s="90">
        <f>SUM(AU$7:AU104)</f>
        <v>58800</v>
      </c>
      <c r="AY104" s="128">
        <f t="shared" si="91"/>
        <v>38500</v>
      </c>
      <c r="AZ104" s="90">
        <f t="shared" si="92"/>
        <v>76000</v>
      </c>
      <c r="BA104" s="90">
        <f t="shared" si="93"/>
        <v>58800</v>
      </c>
      <c r="BB104" s="90">
        <f t="shared" ca="1" si="127"/>
        <v>37800</v>
      </c>
      <c r="BC104" s="90">
        <f t="shared" ca="1" si="129"/>
        <v>107725</v>
      </c>
      <c r="BD104" s="90">
        <f t="shared" ca="1" si="130"/>
        <v>103375</v>
      </c>
      <c r="BE104" s="90">
        <f t="shared" ca="1" si="94"/>
        <v>211100</v>
      </c>
      <c r="BF104" s="142">
        <f t="shared" ca="1" si="132"/>
        <v>0.35739150614991877</v>
      </c>
      <c r="BG104" s="142">
        <f t="shared" ca="1" si="133"/>
        <v>0.70550011603620333</v>
      </c>
      <c r="BH104" s="142">
        <f t="shared" ca="1" si="134"/>
        <v>0.54583430030169411</v>
      </c>
      <c r="BI104" s="142">
        <f t="shared" ref="BI104:BI134" ca="1" si="137">BB104/$BC104</f>
        <v>0.3508934787653748</v>
      </c>
      <c r="BJ104" s="143"/>
      <c r="BK104" s="128">
        <f ca="1">INDEX(商城宝箱!$L:$L,MATCH(BC104,商城宝箱!$N:$N,1))</f>
        <v>12</v>
      </c>
      <c r="BL104" s="90">
        <f ca="1">_xlfn.IFNA(INDEX(商城宝箱!T:T,MATCH(玩家节奏2!$BK104,商城宝箱!$L:$L,0)),0)+($BC104-INDEX(商城宝箱!$N:$N,MATCH(玩家节奏2!$BK104,商城宝箱!$L:$L,0)))/$BK$5*INDEX(商城宝箱!E$23:E$42,MATCH(玩家节奏2!$BK104+1,商城宝箱!$C$23:$C$42,0))</f>
        <v>269312.5</v>
      </c>
      <c r="BM104" s="90">
        <f ca="1">_xlfn.IFNA(INDEX(商城宝箱!U:U,MATCH(玩家节奏2!$BK104,商城宝箱!$L:$L,0)),0)+($BC104-INDEX(商城宝箱!$N:$N,MATCH(玩家节奏2!$BK104,商城宝箱!$L:$L,0)))/$BK$5*INDEX(商城宝箱!F$23:F$42,MATCH(玩家节奏2!$BK104+1,商城宝箱!$C$23:$C$42,0))</f>
        <v>274787.5</v>
      </c>
      <c r="BN104" s="90">
        <f ca="1">_xlfn.IFNA(INDEX(商城宝箱!V:V,MATCH(玩家节奏2!$BK104,商城宝箱!$L:$L,0)),0)+($BC104-INDEX(商城宝箱!$N:$N,MATCH(玩家节奏2!$BK104,商城宝箱!$L:$L,0)))/$BK$5*INDEX(商城宝箱!G$23:G$42,MATCH(玩家节奏2!$BK104+1,商城宝箱!$C$23:$C$42,0))</f>
        <v>141637</v>
      </c>
      <c r="BO104" s="90">
        <f ca="1">_xlfn.IFNA(INDEX(商城宝箱!W:W,MATCH(玩家节奏2!$BK104,商城宝箱!$L:$L,0)),0)+($BC104-INDEX(商城宝箱!$N:$N,MATCH(玩家节奏2!$BK104,商城宝箱!$L:$L,0)))/$BK$5*INDEX(商城宝箱!H$23:H$42,MATCH(玩家节奏2!$BK104+1,商城宝箱!$C$23:$C$42,0))</f>
        <v>22000.25</v>
      </c>
      <c r="BQ104" s="128">
        <f t="shared" si="79"/>
        <v>11610000</v>
      </c>
      <c r="BR104" s="90">
        <f t="shared" si="80"/>
        <v>2487930</v>
      </c>
      <c r="BS104" s="90">
        <f t="shared" ca="1" si="135"/>
        <v>4651506</v>
      </c>
      <c r="BT104" s="90">
        <f t="shared" si="136"/>
        <v>61000</v>
      </c>
      <c r="BU104" s="90">
        <f t="shared" si="83"/>
        <v>1520000</v>
      </c>
      <c r="BV104" s="90">
        <f t="shared" si="84"/>
        <v>294000</v>
      </c>
      <c r="BW104" s="90">
        <f t="shared" ca="1" si="96"/>
        <v>269312.5</v>
      </c>
      <c r="BX104" s="90">
        <f t="shared" ca="1" si="97"/>
        <v>20893748.5</v>
      </c>
      <c r="BY104" s="142">
        <f t="shared" ca="1" si="74"/>
        <v>0.55566860106505067</v>
      </c>
      <c r="BZ104" s="142">
        <f t="shared" ca="1" si="74"/>
        <v>0.11907533011608712</v>
      </c>
      <c r="CA104" s="142">
        <f t="shared" ca="1" si="73"/>
        <v>0.22262668663787161</v>
      </c>
      <c r="CB104" s="142">
        <f t="shared" ca="1" si="73"/>
        <v>2.9195335628740817E-3</v>
      </c>
      <c r="CC104" s="142">
        <f t="shared" ca="1" si="73"/>
        <v>7.2749033042108266E-2</v>
      </c>
      <c r="CD104" s="142">
        <f t="shared" ca="1" si="73"/>
        <v>1.4071194548934098E-2</v>
      </c>
      <c r="CE104" s="142">
        <f t="shared" ca="1" si="73"/>
        <v>1.2889621027074199E-2</v>
      </c>
      <c r="CG104" s="128">
        <f t="shared" si="98"/>
        <v>200</v>
      </c>
      <c r="CH104" s="90">
        <f ca="1">INDEX(角色升级!$A:$A,MATCH(玩家节奏2!$BX104,角色升级!$J:$J,1))</f>
        <v>972</v>
      </c>
      <c r="CI104" s="90">
        <f ca="1">INDEX(角色升级!$O:$O,MATCH(玩家节奏2!$BX104,角色升级!$J:$J,1))</f>
        <v>85576.051065000007</v>
      </c>
      <c r="CJ104" s="90">
        <f>INDEX(关卡对比!$J:$J,MATCH(玩家节奏2!N104,关卡对比!$A:$A,0))</f>
        <v>86200</v>
      </c>
      <c r="CK104" s="147">
        <f t="shared" ca="1" si="99"/>
        <v>1.0072911629741605</v>
      </c>
      <c r="CL104" s="128">
        <f ca="1">INDEX(角色升级!$P:$P,MATCH(玩家节奏2!$CH104,角色升级!$A:$A,0))</f>
        <v>37800</v>
      </c>
      <c r="CM104" s="90">
        <f ca="1">INDEX(角色升级!Q:Q,MATCH(玩家节奏2!$CH104,角色升级!$A:$A,0))</f>
        <v>2.1</v>
      </c>
      <c r="CO104" s="128">
        <f t="shared" si="100"/>
        <v>78866</v>
      </c>
      <c r="CP104" s="90">
        <f t="shared" si="101"/>
        <v>189614</v>
      </c>
      <c r="CQ104" s="90">
        <f t="shared" si="102"/>
        <v>68068</v>
      </c>
      <c r="CR104" s="90">
        <f t="shared" ca="1" si="103"/>
        <v>274787.5</v>
      </c>
      <c r="CS104" s="90">
        <f t="shared" ca="1" si="104"/>
        <v>611335.5</v>
      </c>
      <c r="CT104" s="142">
        <f t="shared" ca="1" si="105"/>
        <v>0.12900608585629331</v>
      </c>
      <c r="CU104" s="142">
        <f t="shared" ca="1" si="105"/>
        <v>0.31016356812257756</v>
      </c>
      <c r="CV104" s="142">
        <f t="shared" ca="1" si="105"/>
        <v>0.11134311683191962</v>
      </c>
      <c r="CW104" s="142">
        <f t="shared" ca="1" si="105"/>
        <v>0.44948722918920953</v>
      </c>
      <c r="CY104" s="128">
        <f t="shared" si="106"/>
        <v>39434</v>
      </c>
      <c r="CZ104" s="90">
        <f t="shared" si="107"/>
        <v>94643</v>
      </c>
      <c r="DA104" s="90">
        <f t="shared" si="108"/>
        <v>46512</v>
      </c>
      <c r="DB104" s="90">
        <f t="shared" ca="1" si="128"/>
        <v>141637</v>
      </c>
      <c r="DC104" s="90">
        <f t="shared" ca="1" si="109"/>
        <v>322226</v>
      </c>
      <c r="DD104" s="142">
        <f t="shared" ca="1" si="110"/>
        <v>0.12237994451099539</v>
      </c>
      <c r="DE104" s="142">
        <f t="shared" ca="1" si="110"/>
        <v>0.2937162116030364</v>
      </c>
      <c r="DF104" s="142">
        <f t="shared" ca="1" si="110"/>
        <v>0.14434589387572697</v>
      </c>
      <c r="DG104" s="142">
        <f t="shared" ca="1" si="110"/>
        <v>0.43955795001024128</v>
      </c>
      <c r="DI104" s="128">
        <f t="shared" si="111"/>
        <v>19113</v>
      </c>
      <c r="DJ104" s="90">
        <f t="shared" si="112"/>
        <v>46499</v>
      </c>
      <c r="DK104" s="90">
        <f t="shared" si="113"/>
        <v>18054</v>
      </c>
      <c r="DL104" s="90">
        <f t="shared" ca="1" si="114"/>
        <v>22000.25</v>
      </c>
      <c r="DM104" s="90">
        <f t="shared" ca="1" si="115"/>
        <v>105666.25</v>
      </c>
      <c r="DN104" s="142">
        <f t="shared" ca="1" si="116"/>
        <v>0.18088083943548675</v>
      </c>
      <c r="DO104" s="142">
        <f t="shared" ca="1" si="116"/>
        <v>0.44005536299433357</v>
      </c>
      <c r="DP104" s="142">
        <f t="shared" ca="1" si="116"/>
        <v>0.1708587178971526</v>
      </c>
      <c r="DQ104" s="142">
        <f t="shared" ca="1" si="116"/>
        <v>0.20820507967302709</v>
      </c>
      <c r="DS104" s="128">
        <f t="shared" ca="1" si="117"/>
        <v>611335.5</v>
      </c>
      <c r="DT104" s="90">
        <f t="shared" ca="1" si="118"/>
        <v>322226</v>
      </c>
      <c r="DU104" s="90">
        <f t="shared" ca="1" si="119"/>
        <v>105666.25</v>
      </c>
      <c r="DV104" s="90">
        <f t="shared" si="120"/>
        <v>1520</v>
      </c>
      <c r="DW104" s="90">
        <f ca="1">_xlfn.IFNA(INDEX(武器升级消耗!$H:$H,MATCH(玩家节奏2!DS104/玩家节奏2!DS$5,武器升级消耗!M:M,1)),0)</f>
        <v>68</v>
      </c>
      <c r="DX104" s="90">
        <f ca="1">_xlfn.IFNA(INDEX(武器升级消耗!$H:$H,MATCH(玩家节奏2!DT104/玩家节奏2!DT$5,武器升级消耗!N:N,1)),0)</f>
        <v>60</v>
      </c>
      <c r="DY104" s="90">
        <f ca="1">_xlfn.IFNA(INDEX(武器升级消耗!$H:$H,MATCH(玩家节奏2!DU104/玩家节奏2!DU$5,武器升级消耗!O:O,1)),0)</f>
        <v>45</v>
      </c>
      <c r="DZ104" s="90">
        <f>_xlfn.IFNA(INDEX(武器升级消耗!$H:$H,MATCH(玩家节奏2!DV104/玩家节奏2!DV$5,武器升级消耗!P:P,1)),0)</f>
        <v>28</v>
      </c>
      <c r="EA104" s="90">
        <f ca="1">_xlfn.IFNA(INDEX(武器升级消耗!$Q:$Q,MATCH(玩家节奏2!DW104,武器升级消耗!$H:$H,0))*2*EA$4,0)</f>
        <v>8.64</v>
      </c>
      <c r="EB104" s="90">
        <f ca="1">_xlfn.IFNA(INDEX(武器升级消耗!$Q:$Q,MATCH(玩家节奏2!DX104,武器升级消耗!$H:$H,0))*2*EB$4,0)</f>
        <v>9.6000000000000014</v>
      </c>
      <c r="EC104" s="90">
        <f ca="1">_xlfn.IFNA(INDEX(武器升级消耗!$Q:$Q,MATCH(玩家节奏2!DY104,武器升级消耗!$H:$H,0))*2*EC$4,0)</f>
        <v>10.780000000000001</v>
      </c>
      <c r="ED104" s="90">
        <f>_xlfn.IFNA(INDEX(武器升级消耗!$Q:$Q,MATCH(玩家节奏2!DZ104,武器升级消耗!$H:$H,0))*2*ED$4,0)</f>
        <v>9.6000000000000014</v>
      </c>
      <c r="EF104" s="128">
        <f t="shared" si="85"/>
        <v>0</v>
      </c>
      <c r="EG104" s="90">
        <f t="shared" si="86"/>
        <v>0</v>
      </c>
      <c r="EH104" s="90">
        <v>294</v>
      </c>
      <c r="EI104" s="90">
        <v>294</v>
      </c>
      <c r="EJ104" s="90">
        <f>_xlfn.IFNA(INDEX(皮肤宠物!$J$4:$J$13,MATCH(EF104+EH104,皮肤宠物!$L$4:$L$13,1)),0)</f>
        <v>8</v>
      </c>
      <c r="EK104" s="90">
        <f>_xlfn.IFNA(INDEX(皮肤宠物!$J$4:$J$13,MATCH(EG104+EI104,皮肤宠物!$L$4:$L$13,1)),0)</f>
        <v>8</v>
      </c>
      <c r="EL104" s="90">
        <f>_xlfn.IFNA(INDEX(皮肤宠物!$N$4:$N$13,MATCH(EF104+EH104,皮肤宠物!$L$4:$L$13,1)),1)</f>
        <v>1.9800000000000002</v>
      </c>
      <c r="EM104" s="90">
        <f>_xlfn.IFNA(INDEX(皮肤宠物!$N$4:$N$13,MATCH(EG104+EI104,皮肤宠物!$L$4:$L$13,1)),1)</f>
        <v>1.9800000000000002</v>
      </c>
      <c r="EO104" s="128">
        <v>294</v>
      </c>
      <c r="EP104" s="90">
        <v>98</v>
      </c>
      <c r="EQ104" s="90">
        <f t="shared" ca="1" si="121"/>
        <v>103375</v>
      </c>
      <c r="ER104" s="90">
        <f t="shared" si="87"/>
        <v>0</v>
      </c>
      <c r="ES104" s="90">
        <f t="shared" ca="1" si="122"/>
        <v>1131.75</v>
      </c>
      <c r="ET104" s="90">
        <f ca="1">$ES104*ET$5*皮肤宠物!$J$75/4</f>
        <v>3735.9067500000001</v>
      </c>
      <c r="EU104" s="90">
        <f ca="1">$ES104*EU$5*皮肤宠物!$J$76/4</f>
        <v>623.59424999999999</v>
      </c>
      <c r="EV104" s="90">
        <f ca="1">$ES104*EV$5*皮肤宠物!$J$77/4</f>
        <v>168.91368750000001</v>
      </c>
      <c r="EW104" s="90">
        <f ca="1">_xlfn.IFNA(INDEX(皮肤宠物!$H$18:$H$67,MATCH(ET104,皮肤宠物!L$18:L$67,1)),0)</f>
        <v>21</v>
      </c>
      <c r="EX104" s="90">
        <f ca="1">_xlfn.IFNA(INDEX(皮肤宠物!$H$18:$H$67,MATCH(EU104,皮肤宠物!M$18:M$67,1)),0)</f>
        <v>17</v>
      </c>
      <c r="EY104" s="90">
        <f ca="1">_xlfn.IFNA(INDEX(皮肤宠物!$H$18:$H$67,MATCH(EV104,皮肤宠物!N$18:N$67,1)),0)</f>
        <v>12</v>
      </c>
      <c r="EZ104" s="90">
        <f ca="1">_xlfn.IFNA(INDEX(皮肤宠物!C$18:C$67,MATCH(EW104,皮肤宠物!$A$18:$A$67,0))+1,1)</f>
        <v>1.21</v>
      </c>
      <c r="FA104" s="90">
        <f ca="1">_xlfn.IFNA(INDEX(皮肤宠物!D$18:D$67,MATCH(EX104,皮肤宠物!$A$18:$A$67,0))+1,1)</f>
        <v>1.34</v>
      </c>
      <c r="FB104" s="90">
        <f ca="1">_xlfn.IFNA(INDEX(皮肤宠物!E$18:E$67,MATCH(EY104,皮肤宠物!$A$18:$A$67,0))+1,1)</f>
        <v>1.48</v>
      </c>
      <c r="FD104" s="90">
        <f t="shared" ca="1" si="123"/>
        <v>10.780000000000001</v>
      </c>
      <c r="FE104" s="90">
        <f t="shared" si="124"/>
        <v>1.9800000000000002</v>
      </c>
      <c r="FF104" s="90">
        <f t="shared" ca="1" si="125"/>
        <v>1.48</v>
      </c>
      <c r="FG104" s="90">
        <f t="shared" ca="1" si="126"/>
        <v>31.589712000000006</v>
      </c>
    </row>
    <row r="105" spans="1:163" x14ac:dyDescent="0.25">
      <c r="A105" s="123">
        <v>99</v>
      </c>
      <c r="B105" s="123">
        <f>INDEX(关卡对比!$Y:$Y,MATCH(关卡对比!Z105,关卡对比!$AA:$AA,1))</f>
        <v>63</v>
      </c>
      <c r="C105" s="124">
        <f>INDEX(关卡对比!$Y:$Y,MATCH(关卡对比!Z105,关卡对比!$AB:$AB,1))</f>
        <v>51</v>
      </c>
      <c r="D105" s="125">
        <f t="shared" si="131"/>
        <v>395.5</v>
      </c>
      <c r="E105" s="125">
        <v>2</v>
      </c>
      <c r="F105" s="128">
        <v>16</v>
      </c>
      <c r="G105" s="90">
        <v>16</v>
      </c>
      <c r="H105" s="90">
        <v>5</v>
      </c>
      <c r="J105" s="128">
        <v>99</v>
      </c>
      <c r="K105" s="90">
        <f t="shared" si="88"/>
        <v>16</v>
      </c>
      <c r="L105" s="90">
        <f t="shared" si="89"/>
        <v>16</v>
      </c>
      <c r="M105" s="90">
        <f t="shared" si="90"/>
        <v>5</v>
      </c>
      <c r="N105" s="140">
        <f>INDEX($A:$A,MATCH(SUM($K$7:K105),$D:$D,1))</f>
        <v>200</v>
      </c>
      <c r="O105" s="140">
        <v>0</v>
      </c>
      <c r="P105" s="141">
        <v>0</v>
      </c>
      <c r="Q105" s="126">
        <f>_xlfn.MAXIFS(关卡产出!X:X,关卡产出!$A:$A,玩家节奏2!$N$6,关卡产出!$B:$B,玩家节奏2!$N105)+_xlfn.MAXIFS(关卡产出!X:X,关卡产出!$A:$A,玩家节奏2!$O$6,关卡产出!$B:$B,玩家节奏2!$O105)+_xlfn.MAXIFS(关卡产出!X:X,关卡产出!$A:$A,玩家节奏2!$P$6,关卡产出!$B:$B,玩家节奏2!$P105)</f>
        <v>38500</v>
      </c>
      <c r="R105" s="90">
        <f>_xlfn.MAXIFS(关卡产出!Y:Y,关卡产出!$A:$A,玩家节奏2!$N$6,关卡产出!$B:$B,玩家节奏2!$N105)+_xlfn.MAXIFS(关卡产出!Y:Y,关卡产出!$A:$A,玩家节奏2!$O$6,关卡产出!$B:$B,玩家节奏2!$O105)+_xlfn.MAXIFS(关卡产出!Y:Y,关卡产出!$A:$A,玩家节奏2!$P$6,关卡产出!$B:$B,玩家节奏2!$P105)</f>
        <v>11610000</v>
      </c>
      <c r="S105" s="90">
        <f>_xlfn.MAXIFS(关卡产出!Z:Z,关卡产出!$A:$A,玩家节奏2!$N$6,关卡产出!$B:$B,玩家节奏2!$N105)+_xlfn.MAXIFS(关卡产出!Z:Z,关卡产出!$A:$A,玩家节奏2!$O$6,关卡产出!$B:$B,玩家节奏2!$O105)+_xlfn.MAXIFS(关卡产出!Z:Z,关卡产出!$A:$A,玩家节奏2!$P$6,关卡产出!$B:$B,玩家节奏2!$P105)</f>
        <v>78866</v>
      </c>
      <c r="T105" s="90">
        <f>_xlfn.MAXIFS(关卡产出!AA:AA,关卡产出!$A:$A,玩家节奏2!$N$6,关卡产出!$B:$B,玩家节奏2!$N105)+_xlfn.MAXIFS(关卡产出!AA:AA,关卡产出!$A:$A,玩家节奏2!$O$6,关卡产出!$B:$B,玩家节奏2!$O105)+_xlfn.MAXIFS(关卡产出!AA:AA,关卡产出!$A:$A,玩家节奏2!$P$6,关卡产出!$B:$B,玩家节奏2!$P105)</f>
        <v>39434</v>
      </c>
      <c r="U105" s="90">
        <f>_xlfn.MAXIFS(关卡产出!AB:AB,关卡产出!$A:$A,玩家节奏2!$N$6,关卡产出!$B:$B,玩家节奏2!$N105)+_xlfn.MAXIFS(关卡产出!AB:AB,关卡产出!$A:$A,玩家节奏2!$O$6,关卡产出!$B:$B,玩家节奏2!$O105)+_xlfn.MAXIFS(关卡产出!AB:AB,关卡产出!$A:$A,玩家节奏2!$P$6,关卡产出!$B:$B,玩家节奏2!$P105)</f>
        <v>19113</v>
      </c>
      <c r="V105" s="130">
        <f>_xlfn.MAXIFS(关卡产出!AC:AC,关卡产出!$A:$A,玩家节奏2!$N$6,关卡产出!$B:$B,玩家节奏2!$N105)+_xlfn.MAXIFS(关卡产出!AC:AC,关卡产出!$A:$A,玩家节奏2!$O$6,关卡产出!$B:$B,玩家节奏2!$O105)+_xlfn.MAXIFS(关卡产出!AC:AC,关卡产出!$A:$A,玩家节奏2!$P$6,关卡产出!$B:$B,玩家节奏2!$P105)</f>
        <v>1200</v>
      </c>
      <c r="W105" s="126">
        <f>INDEX(关卡产出!C$8:C$207,MATCH(玩家节奏2!$N105,关卡产出!$B$8:$B$207,0))*$K105</f>
        <v>2528</v>
      </c>
      <c r="X105" s="126">
        <f>INDEX(关卡产出!D$8:D$207,MATCH(玩家节奏2!$N105,关卡产出!$B$8:$B$207,0))*$K105</f>
        <v>1264</v>
      </c>
      <c r="Y105" s="126">
        <f>INDEX(关卡产出!E$8:E$207,MATCH(玩家节奏2!$N105,关卡产出!$B$8:$B$207,0))*$K105</f>
        <v>624</v>
      </c>
      <c r="Z105" s="144">
        <f>INDEX(关卡产出!F$8:F$207,MATCH(玩家节奏2!$N105,关卡产出!$B$8:$B$207,0))*$K105</f>
        <v>32800</v>
      </c>
      <c r="AA105" s="126">
        <f>SUM(W$7:W105)</f>
        <v>192142</v>
      </c>
      <c r="AB105" s="126">
        <f>SUM(X$7:X105)</f>
        <v>95907</v>
      </c>
      <c r="AC105" s="126">
        <f>SUM(Y$7:Y105)</f>
        <v>47123</v>
      </c>
      <c r="AD105" s="177">
        <f>SUM(Z$7:Z105)</f>
        <v>2520730</v>
      </c>
      <c r="AE105" s="128">
        <f>INDEX(图鉴!AQ:AQ,MATCH($N105,图鉴!$S:$S,0))*34</f>
        <v>714</v>
      </c>
      <c r="AF105" s="90">
        <f>INDEX(图鉴!AR:AR,MATCH($N105,图鉴!$S:$S,0))*34</f>
        <v>510</v>
      </c>
      <c r="AG105" s="90">
        <f>INDEX(图鉴!AS:AS,MATCH($N105,图鉴!$S:$S,0))*34</f>
        <v>204</v>
      </c>
      <c r="AH105" s="129">
        <f ca="1">INDEX(图鉴!AT:AT,MATCH($N105,图鉴!$S:$S,0))*34</f>
        <v>55930</v>
      </c>
      <c r="AI105" s="128">
        <f>SUM($AE$7:AE105)</f>
        <v>68782</v>
      </c>
      <c r="AJ105" s="90">
        <f>SUM(AF$7:AF105)</f>
        <v>47022</v>
      </c>
      <c r="AK105" s="90">
        <f>SUM(AG$7:AG105)</f>
        <v>18258</v>
      </c>
      <c r="AL105" s="130">
        <f ca="1">SUM(AH$7:AH105)</f>
        <v>4707436</v>
      </c>
      <c r="AM105" s="133">
        <f>IF(M105=0,0,INDEX(关卡产出!$AU$11:$AU$15,MATCH(玩家节奏2!N105,关卡产出!$AW$11:$AW$15,1))*M105)</f>
        <v>61000</v>
      </c>
      <c r="AN105" s="126">
        <f>IF(L105=0,0,$L105*关卡产出!AU$21)</f>
        <v>16000</v>
      </c>
      <c r="AO105" s="90">
        <f>IF(M105=0,0,$L105*关卡产出!AV$21)</f>
        <v>800</v>
      </c>
      <c r="AP105" s="129">
        <f>IF(N105=0,0,$L105*关卡产出!AW$21)</f>
        <v>16</v>
      </c>
      <c r="AQ105" s="138">
        <f>SUM(AN$7:AN105)</f>
        <v>1536000</v>
      </c>
      <c r="AR105" s="126">
        <f>SUM(AO$7:AO105)</f>
        <v>76800</v>
      </c>
      <c r="AS105" s="129">
        <f>SUM(AP$7:AP105)</f>
        <v>1536</v>
      </c>
      <c r="AT105" s="128">
        <v>3000</v>
      </c>
      <c r="AU105" s="129">
        <v>600</v>
      </c>
      <c r="AV105" s="128">
        <f>SUM(AT$7:AT105)</f>
        <v>297000</v>
      </c>
      <c r="AW105" s="90">
        <f>SUM(AU$7:AU105)</f>
        <v>59400</v>
      </c>
      <c r="AY105" s="128">
        <f t="shared" si="91"/>
        <v>38500</v>
      </c>
      <c r="AZ105" s="90">
        <f t="shared" si="92"/>
        <v>76800</v>
      </c>
      <c r="BA105" s="90">
        <f t="shared" si="93"/>
        <v>59400</v>
      </c>
      <c r="BB105" s="90">
        <f t="shared" ca="1" si="127"/>
        <v>37800</v>
      </c>
      <c r="BC105" s="90">
        <f t="shared" ca="1" si="129"/>
        <v>108425</v>
      </c>
      <c r="BD105" s="90">
        <f t="shared" ca="1" si="130"/>
        <v>104075</v>
      </c>
      <c r="BE105" s="90">
        <f t="shared" ca="1" si="94"/>
        <v>212500</v>
      </c>
      <c r="BF105" s="142">
        <f t="shared" ca="1" si="132"/>
        <v>0.35508415955729766</v>
      </c>
      <c r="BG105" s="142">
        <f t="shared" ca="1" si="133"/>
        <v>0.70832372607793403</v>
      </c>
      <c r="BH105" s="142">
        <f t="shared" ca="1" si="134"/>
        <v>0.54784413188840209</v>
      </c>
      <c r="BI105" s="142">
        <f t="shared" ca="1" si="137"/>
        <v>0.34862808392898315</v>
      </c>
      <c r="BJ105" s="143"/>
      <c r="BK105" s="128">
        <f ca="1">INDEX(商城宝箱!$L:$L,MATCH(BC105,商城宝箱!$N:$N,1))</f>
        <v>12</v>
      </c>
      <c r="BL105" s="90">
        <f ca="1">_xlfn.IFNA(INDEX(商城宝箱!T:T,MATCH(玩家节奏2!$BK105,商城宝箱!$L:$L,0)),0)+($BC105-INDEX(商城宝箱!$N:$N,MATCH(玩家节奏2!$BK105,商城宝箱!$L:$L,0)))/$BK$5*INDEX(商城宝箱!E$23:E$42,MATCH(玩家节奏2!$BK105+1,商城宝箱!$C$23:$C$42,0))</f>
        <v>271062.5</v>
      </c>
      <c r="BM105" s="90">
        <f ca="1">_xlfn.IFNA(INDEX(商城宝箱!U:U,MATCH(玩家节奏2!$BK105,商城宝箱!$L:$L,0)),0)+($BC105-INDEX(商城宝箱!$N:$N,MATCH(玩家节奏2!$BK105,商城宝箱!$L:$L,0)))/$BK$5*INDEX(商城宝箱!F$23:F$42,MATCH(玩家节奏2!$BK105+1,商城宝箱!$C$23:$C$42,0))</f>
        <v>277727.5</v>
      </c>
      <c r="BN105" s="90">
        <f ca="1">_xlfn.IFNA(INDEX(商城宝箱!V:V,MATCH(玩家节奏2!$BK105,商城宝箱!$L:$L,0)),0)+($BC105-INDEX(商城宝箱!$N:$N,MATCH(玩家节奏2!$BK105,商城宝箱!$L:$L,0)))/$BK$5*INDEX(商城宝箱!G$23:G$42,MATCH(玩家节奏2!$BK105+1,商城宝箱!$C$23:$C$42,0))</f>
        <v>143037</v>
      </c>
      <c r="BO105" s="90">
        <f ca="1">_xlfn.IFNA(INDEX(商城宝箱!W:W,MATCH(玩家节奏2!$BK105,商城宝箱!$L:$L,0)),0)+($BC105-INDEX(商城宝箱!$N:$N,MATCH(玩家节奏2!$BK105,商城宝箱!$L:$L,0)))/$BK$5*INDEX(商城宝箱!H$23:H$42,MATCH(玩家节奏2!$BK105+1,商城宝箱!$C$23:$C$42,0))</f>
        <v>22245.25</v>
      </c>
      <c r="BQ105" s="128">
        <f t="shared" si="79"/>
        <v>11610000</v>
      </c>
      <c r="BR105" s="90">
        <f t="shared" si="80"/>
        <v>2520730</v>
      </c>
      <c r="BS105" s="90">
        <f t="shared" ca="1" si="135"/>
        <v>4707436</v>
      </c>
      <c r="BT105" s="90">
        <f t="shared" si="136"/>
        <v>61000</v>
      </c>
      <c r="BU105" s="90">
        <f t="shared" si="83"/>
        <v>1536000</v>
      </c>
      <c r="BV105" s="90">
        <f t="shared" si="84"/>
        <v>297000</v>
      </c>
      <c r="BW105" s="90">
        <f t="shared" ca="1" si="96"/>
        <v>271062.5</v>
      </c>
      <c r="BX105" s="90">
        <f t="shared" ca="1" si="97"/>
        <v>21003228.5</v>
      </c>
      <c r="BY105" s="142">
        <f t="shared" ca="1" si="74"/>
        <v>0.55277216071805346</v>
      </c>
      <c r="BZ105" s="142">
        <f t="shared" ca="1" si="74"/>
        <v>0.12001631082573805</v>
      </c>
      <c r="CA105" s="142">
        <f t="shared" ca="1" si="73"/>
        <v>0.22412916185718781</v>
      </c>
      <c r="CB105" s="142">
        <f t="shared" ca="1" si="73"/>
        <v>2.9043154008442083E-3</v>
      </c>
      <c r="CC105" s="142">
        <f t="shared" ca="1" si="73"/>
        <v>7.3131614027814817E-2</v>
      </c>
      <c r="CD105" s="142">
        <f t="shared" ca="1" si="73"/>
        <v>1.4140683181159505E-2</v>
      </c>
      <c r="CE105" s="142">
        <f t="shared" ca="1" si="73"/>
        <v>1.2905753989202184E-2</v>
      </c>
      <c r="CG105" s="128">
        <f t="shared" si="98"/>
        <v>200</v>
      </c>
      <c r="CH105" s="90">
        <f ca="1">INDEX(角色升级!$A:$A,MATCH(玩家节奏2!$BX105,角色升级!$J:$J,1))</f>
        <v>975</v>
      </c>
      <c r="CI105" s="90">
        <f ca="1">INDEX(角色升级!$O:$O,MATCH(玩家节奏2!$BX105,角色升级!$J:$J,1))</f>
        <v>85770.394860000015</v>
      </c>
      <c r="CJ105" s="90">
        <f>INDEX(关卡对比!$J:$J,MATCH(玩家节奏2!N105,关卡对比!$A:$A,0))</f>
        <v>86200</v>
      </c>
      <c r="CK105" s="147">
        <f t="shared" ca="1" si="99"/>
        <v>1.005008781184944</v>
      </c>
      <c r="CL105" s="128">
        <f ca="1">INDEX(角色升级!$P:$P,MATCH(玩家节奏2!$CH105,角色升级!$A:$A,0))</f>
        <v>37800</v>
      </c>
      <c r="CM105" s="90">
        <f ca="1">INDEX(角色升级!Q:Q,MATCH(玩家节奏2!$CH105,角色升级!$A:$A,0))</f>
        <v>2.1</v>
      </c>
      <c r="CO105" s="128">
        <f t="shared" si="100"/>
        <v>78866</v>
      </c>
      <c r="CP105" s="90">
        <f t="shared" si="101"/>
        <v>192142</v>
      </c>
      <c r="CQ105" s="90">
        <f t="shared" si="102"/>
        <v>68782</v>
      </c>
      <c r="CR105" s="90">
        <f t="shared" ca="1" si="103"/>
        <v>277727.5</v>
      </c>
      <c r="CS105" s="90">
        <f t="shared" ca="1" si="104"/>
        <v>617517.5</v>
      </c>
      <c r="CT105" s="142">
        <f t="shared" ca="1" si="105"/>
        <v>0.12771459918139971</v>
      </c>
      <c r="CU105" s="142">
        <f t="shared" ca="1" si="105"/>
        <v>0.31115231552142247</v>
      </c>
      <c r="CV105" s="142">
        <f t="shared" ca="1" si="105"/>
        <v>0.11138469759966317</v>
      </c>
      <c r="CW105" s="142">
        <f t="shared" ca="1" si="105"/>
        <v>0.44974838769751463</v>
      </c>
      <c r="CY105" s="128">
        <f t="shared" si="106"/>
        <v>39434</v>
      </c>
      <c r="CZ105" s="90">
        <f t="shared" si="107"/>
        <v>95907</v>
      </c>
      <c r="DA105" s="90">
        <f t="shared" si="108"/>
        <v>47022</v>
      </c>
      <c r="DB105" s="90">
        <f t="shared" ca="1" si="128"/>
        <v>143037</v>
      </c>
      <c r="DC105" s="90">
        <f t="shared" ca="1" si="109"/>
        <v>325400</v>
      </c>
      <c r="DD105" s="142">
        <f t="shared" ca="1" si="110"/>
        <v>0.12118623232944069</v>
      </c>
      <c r="DE105" s="142">
        <f t="shared" ca="1" si="110"/>
        <v>0.29473570989551323</v>
      </c>
      <c r="DF105" s="142">
        <f t="shared" ca="1" si="110"/>
        <v>0.14450522433927473</v>
      </c>
      <c r="DG105" s="142">
        <f t="shared" ca="1" si="110"/>
        <v>0.43957283343577136</v>
      </c>
      <c r="DI105" s="128">
        <f t="shared" si="111"/>
        <v>19113</v>
      </c>
      <c r="DJ105" s="90">
        <f t="shared" si="112"/>
        <v>47123</v>
      </c>
      <c r="DK105" s="90">
        <f t="shared" si="113"/>
        <v>18258</v>
      </c>
      <c r="DL105" s="90">
        <f t="shared" ca="1" si="114"/>
        <v>22245.25</v>
      </c>
      <c r="DM105" s="90">
        <f t="shared" ca="1" si="115"/>
        <v>106739.25</v>
      </c>
      <c r="DN105" s="142">
        <f t="shared" ca="1" si="116"/>
        <v>0.17906252854502913</v>
      </c>
      <c r="DO105" s="142">
        <f t="shared" ca="1" si="116"/>
        <v>0.44147771321233753</v>
      </c>
      <c r="DP105" s="142">
        <f t="shared" ca="1" si="116"/>
        <v>0.1710523542183405</v>
      </c>
      <c r="DQ105" s="142">
        <f t="shared" ca="1" si="116"/>
        <v>0.20840740402429284</v>
      </c>
      <c r="DS105" s="128">
        <f t="shared" ca="1" si="117"/>
        <v>617517.5</v>
      </c>
      <c r="DT105" s="90">
        <f t="shared" ca="1" si="118"/>
        <v>325400</v>
      </c>
      <c r="DU105" s="90">
        <f t="shared" ca="1" si="119"/>
        <v>106739.25</v>
      </c>
      <c r="DV105" s="90">
        <f t="shared" si="120"/>
        <v>1536</v>
      </c>
      <c r="DW105" s="90">
        <f ca="1">_xlfn.IFNA(INDEX(武器升级消耗!$H:$H,MATCH(玩家节奏2!DS105/玩家节奏2!DS$5,武器升级消耗!M:M,1)),0)</f>
        <v>68</v>
      </c>
      <c r="DX105" s="90">
        <f ca="1">_xlfn.IFNA(INDEX(武器升级消耗!$H:$H,MATCH(玩家节奏2!DT105/玩家节奏2!DT$5,武器升级消耗!N:N,1)),0)</f>
        <v>60</v>
      </c>
      <c r="DY105" s="90">
        <f ca="1">_xlfn.IFNA(INDEX(武器升级消耗!$H:$H,MATCH(玩家节奏2!DU105/玩家节奏2!DU$5,武器升级消耗!O:O,1)),0)</f>
        <v>45</v>
      </c>
      <c r="DZ105" s="90">
        <f>_xlfn.IFNA(INDEX(武器升级消耗!$H:$H,MATCH(玩家节奏2!DV105/玩家节奏2!DV$5,武器升级消耗!P:P,1)),0)</f>
        <v>28</v>
      </c>
      <c r="EA105" s="90">
        <f ca="1">_xlfn.IFNA(INDEX(武器升级消耗!$Q:$Q,MATCH(玩家节奏2!DW105,武器升级消耗!$H:$H,0))*2*EA$4,0)</f>
        <v>8.64</v>
      </c>
      <c r="EB105" s="90">
        <f ca="1">_xlfn.IFNA(INDEX(武器升级消耗!$Q:$Q,MATCH(玩家节奏2!DX105,武器升级消耗!$H:$H,0))*2*EB$4,0)</f>
        <v>9.6000000000000014</v>
      </c>
      <c r="EC105" s="90">
        <f ca="1">_xlfn.IFNA(INDEX(武器升级消耗!$Q:$Q,MATCH(玩家节奏2!DY105,武器升级消耗!$H:$H,0))*2*EC$4,0)</f>
        <v>10.780000000000001</v>
      </c>
      <c r="ED105" s="90">
        <f>_xlfn.IFNA(INDEX(武器升级消耗!$Q:$Q,MATCH(玩家节奏2!DZ105,武器升级消耗!$H:$H,0))*2*ED$4,0)</f>
        <v>9.6000000000000014</v>
      </c>
      <c r="EF105" s="128">
        <f t="shared" si="85"/>
        <v>0</v>
      </c>
      <c r="EG105" s="90">
        <f t="shared" si="86"/>
        <v>0</v>
      </c>
      <c r="EH105" s="90">
        <v>297</v>
      </c>
      <c r="EI105" s="90">
        <v>297</v>
      </c>
      <c r="EJ105" s="90">
        <f>_xlfn.IFNA(INDEX(皮肤宠物!$J$4:$J$13,MATCH(EF105+EH105,皮肤宠物!$L$4:$L$13,1)),0)</f>
        <v>9</v>
      </c>
      <c r="EK105" s="90">
        <f>_xlfn.IFNA(INDEX(皮肤宠物!$J$4:$J$13,MATCH(EG105+EI105,皮肤宠物!$L$4:$L$13,1)),0)</f>
        <v>9</v>
      </c>
      <c r="EL105" s="90">
        <f>_xlfn.IFNA(INDEX(皮肤宠物!$N$4:$N$13,MATCH(EF105+EH105,皮肤宠物!$L$4:$L$13,1)),1)</f>
        <v>2.09</v>
      </c>
      <c r="EM105" s="90">
        <f>_xlfn.IFNA(INDEX(皮肤宠物!$N$4:$N$13,MATCH(EG105+EI105,皮肤宠物!$L$4:$L$13,1)),1)</f>
        <v>2.09</v>
      </c>
      <c r="EO105" s="128">
        <v>297</v>
      </c>
      <c r="EP105" s="90">
        <v>99</v>
      </c>
      <c r="EQ105" s="90">
        <f t="shared" ca="1" si="121"/>
        <v>104075</v>
      </c>
      <c r="ER105" s="90">
        <f t="shared" si="87"/>
        <v>0</v>
      </c>
      <c r="ES105" s="90">
        <f t="shared" ca="1" si="122"/>
        <v>1139.75</v>
      </c>
      <c r="ET105" s="90">
        <f ca="1">$ES105*ET$5*皮肤宠物!$J$75/4</f>
        <v>3762.31475</v>
      </c>
      <c r="EU105" s="90">
        <f ca="1">$ES105*EU$5*皮肤宠物!$J$76/4</f>
        <v>628.00225</v>
      </c>
      <c r="EV105" s="90">
        <f ca="1">$ES105*EV$5*皮肤宠物!$J$77/4</f>
        <v>170.1076875</v>
      </c>
      <c r="EW105" s="90">
        <f ca="1">_xlfn.IFNA(INDEX(皮肤宠物!$H$18:$H$67,MATCH(ET105,皮肤宠物!L$18:L$67,1)),0)</f>
        <v>21</v>
      </c>
      <c r="EX105" s="90">
        <f ca="1">_xlfn.IFNA(INDEX(皮肤宠物!$H$18:$H$67,MATCH(EU105,皮肤宠物!M$18:M$67,1)),0)</f>
        <v>17</v>
      </c>
      <c r="EY105" s="90">
        <f ca="1">_xlfn.IFNA(INDEX(皮肤宠物!$H$18:$H$67,MATCH(EV105,皮肤宠物!N$18:N$67,1)),0)</f>
        <v>12</v>
      </c>
      <c r="EZ105" s="90">
        <f ca="1">_xlfn.IFNA(INDEX(皮肤宠物!C$18:C$67,MATCH(EW105,皮肤宠物!$A$18:$A$67,0))+1,1)</f>
        <v>1.21</v>
      </c>
      <c r="FA105" s="90">
        <f ca="1">_xlfn.IFNA(INDEX(皮肤宠物!D$18:D$67,MATCH(EX105,皮肤宠物!$A$18:$A$67,0))+1,1)</f>
        <v>1.34</v>
      </c>
      <c r="FB105" s="90">
        <f ca="1">_xlfn.IFNA(INDEX(皮肤宠物!E$18:E$67,MATCH(EY105,皮肤宠物!$A$18:$A$67,0))+1,1)</f>
        <v>1.48</v>
      </c>
      <c r="FD105" s="90">
        <f t="shared" ca="1" si="123"/>
        <v>10.780000000000001</v>
      </c>
      <c r="FE105" s="90">
        <f t="shared" si="124"/>
        <v>2.09</v>
      </c>
      <c r="FF105" s="90">
        <f t="shared" ca="1" si="125"/>
        <v>1.48</v>
      </c>
      <c r="FG105" s="90">
        <f t="shared" ca="1" si="126"/>
        <v>33.344696000000006</v>
      </c>
    </row>
    <row r="106" spans="1:163" ht="13.8" thickBot="1" x14ac:dyDescent="0.3">
      <c r="A106" s="148">
        <v>100</v>
      </c>
      <c r="B106" s="148">
        <f>INDEX(关卡对比!$Y:$Y,MATCH(关卡对比!Z106,关卡对比!$AA:$AA,1))</f>
        <v>63</v>
      </c>
      <c r="C106" s="149">
        <f>INDEX(关卡对比!$Y:$Y,MATCH(关卡对比!Z106,关卡对比!$AB:$AB,1))</f>
        <v>51</v>
      </c>
      <c r="D106" s="150">
        <f t="shared" si="131"/>
        <v>397.5</v>
      </c>
      <c r="E106" s="125">
        <v>2</v>
      </c>
      <c r="F106" s="128">
        <v>16</v>
      </c>
      <c r="G106" s="90">
        <v>16</v>
      </c>
      <c r="H106" s="90">
        <v>5</v>
      </c>
      <c r="J106" s="151">
        <v>100</v>
      </c>
      <c r="K106" s="152">
        <f t="shared" si="88"/>
        <v>16</v>
      </c>
      <c r="L106" s="152">
        <f t="shared" si="89"/>
        <v>16</v>
      </c>
      <c r="M106" s="152">
        <f t="shared" si="90"/>
        <v>5</v>
      </c>
      <c r="N106" s="153">
        <f>INDEX($A:$A,MATCH(SUM($K$7:K106),$D:$D,1))</f>
        <v>200</v>
      </c>
      <c r="O106" s="140">
        <v>0</v>
      </c>
      <c r="P106" s="141">
        <v>0</v>
      </c>
      <c r="Q106" s="154">
        <f>_xlfn.MAXIFS(关卡产出!X:X,关卡产出!$A:$A,玩家节奏2!$N$6,关卡产出!$B:$B,玩家节奏2!$N106)+_xlfn.MAXIFS(关卡产出!X:X,关卡产出!$A:$A,玩家节奏2!$O$6,关卡产出!$B:$B,玩家节奏2!$O106)+_xlfn.MAXIFS(关卡产出!X:X,关卡产出!$A:$A,玩家节奏2!$P$6,关卡产出!$B:$B,玩家节奏2!$P106)</f>
        <v>38500</v>
      </c>
      <c r="R106" s="152">
        <f>_xlfn.MAXIFS(关卡产出!Y:Y,关卡产出!$A:$A,玩家节奏2!$N$6,关卡产出!$B:$B,玩家节奏2!$N106)+_xlfn.MAXIFS(关卡产出!Y:Y,关卡产出!$A:$A,玩家节奏2!$O$6,关卡产出!$B:$B,玩家节奏2!$O106)+_xlfn.MAXIFS(关卡产出!Y:Y,关卡产出!$A:$A,玩家节奏2!$P$6,关卡产出!$B:$B,玩家节奏2!$P106)</f>
        <v>11610000</v>
      </c>
      <c r="S106" s="152">
        <f>_xlfn.MAXIFS(关卡产出!Z:Z,关卡产出!$A:$A,玩家节奏2!$N$6,关卡产出!$B:$B,玩家节奏2!$N106)+_xlfn.MAXIFS(关卡产出!Z:Z,关卡产出!$A:$A,玩家节奏2!$O$6,关卡产出!$B:$B,玩家节奏2!$O106)+_xlfn.MAXIFS(关卡产出!Z:Z,关卡产出!$A:$A,玩家节奏2!$P$6,关卡产出!$B:$B,玩家节奏2!$P106)</f>
        <v>78866</v>
      </c>
      <c r="T106" s="152">
        <f>_xlfn.MAXIFS(关卡产出!AA:AA,关卡产出!$A:$A,玩家节奏2!$N$6,关卡产出!$B:$B,玩家节奏2!$N106)+_xlfn.MAXIFS(关卡产出!AA:AA,关卡产出!$A:$A,玩家节奏2!$O$6,关卡产出!$B:$B,玩家节奏2!$O106)+_xlfn.MAXIFS(关卡产出!AA:AA,关卡产出!$A:$A,玩家节奏2!$P$6,关卡产出!$B:$B,玩家节奏2!$P106)</f>
        <v>39434</v>
      </c>
      <c r="U106" s="152">
        <f>_xlfn.MAXIFS(关卡产出!AB:AB,关卡产出!$A:$A,玩家节奏2!$N$6,关卡产出!$B:$B,玩家节奏2!$N106)+_xlfn.MAXIFS(关卡产出!AB:AB,关卡产出!$A:$A,玩家节奏2!$O$6,关卡产出!$B:$B,玩家节奏2!$O106)+_xlfn.MAXIFS(关卡产出!AB:AB,关卡产出!$A:$A,玩家节奏2!$P$6,关卡产出!$B:$B,玩家节奏2!$P106)</f>
        <v>19113</v>
      </c>
      <c r="V106" s="155">
        <f>_xlfn.MAXIFS(关卡产出!AC:AC,关卡产出!$A:$A,玩家节奏2!$N$6,关卡产出!$B:$B,玩家节奏2!$N106)+_xlfn.MAXIFS(关卡产出!AC:AC,关卡产出!$A:$A,玩家节奏2!$O$6,关卡产出!$B:$B,玩家节奏2!$O106)+_xlfn.MAXIFS(关卡产出!AC:AC,关卡产出!$A:$A,玩家节奏2!$P$6,关卡产出!$B:$B,玩家节奏2!$P106)</f>
        <v>1200</v>
      </c>
      <c r="W106" s="154">
        <f>INDEX(关卡产出!C$8:C$207,MATCH(玩家节奏2!$N106,关卡产出!$B$8:$B$207,0))*$K106</f>
        <v>2528</v>
      </c>
      <c r="X106" s="154">
        <f>INDEX(关卡产出!D$8:D$207,MATCH(玩家节奏2!$N106,关卡产出!$B$8:$B$207,0))*$K106</f>
        <v>1264</v>
      </c>
      <c r="Y106" s="154">
        <f>INDEX(关卡产出!E$8:E$207,MATCH(玩家节奏2!$N106,关卡产出!$B$8:$B$207,0))*$K106</f>
        <v>624</v>
      </c>
      <c r="Z106" s="144">
        <f>INDEX(关卡产出!F$8:F$207,MATCH(玩家节奏2!$N106,关卡产出!$B$8:$B$207,0))*$K106</f>
        <v>32800</v>
      </c>
      <c r="AA106" s="154">
        <f>SUM(W$7:W106)</f>
        <v>194670</v>
      </c>
      <c r="AB106" s="154">
        <f>SUM(X$7:X106)</f>
        <v>97171</v>
      </c>
      <c r="AC106" s="154">
        <f>SUM(Y$7:Y106)</f>
        <v>47747</v>
      </c>
      <c r="AD106" s="178">
        <f>SUM(Z$7:Z106)</f>
        <v>2553530</v>
      </c>
      <c r="AE106" s="128">
        <f>INDEX(图鉴!AQ:AQ,MATCH($N106,图鉴!$S:$S,0))*34</f>
        <v>714</v>
      </c>
      <c r="AF106" s="90">
        <f>INDEX(图鉴!AR:AR,MATCH($N106,图鉴!$S:$S,0))*34</f>
        <v>510</v>
      </c>
      <c r="AG106" s="90">
        <f>INDEX(图鉴!AS:AS,MATCH($N106,图鉴!$S:$S,0))*34</f>
        <v>204</v>
      </c>
      <c r="AH106" s="129">
        <f ca="1">INDEX(图鉴!AT:AT,MATCH($N106,图鉴!$S:$S,0))*34</f>
        <v>55930</v>
      </c>
      <c r="AI106" s="151">
        <f>SUM($AE$7:AE106)</f>
        <v>69496</v>
      </c>
      <c r="AJ106" s="152">
        <f>SUM(AF$7:AF106)</f>
        <v>47532</v>
      </c>
      <c r="AK106" s="152">
        <f>SUM(AG$7:AG106)</f>
        <v>18462</v>
      </c>
      <c r="AL106" s="155">
        <f ca="1">SUM(AH$7:AH106)</f>
        <v>4763366</v>
      </c>
      <c r="AM106" s="157">
        <f>IF(M106=0,0,INDEX(关卡产出!$AU$11:$AU$15,MATCH(玩家节奏2!N106,关卡产出!$AW$11:$AW$15,1))*M106)</f>
        <v>61000</v>
      </c>
      <c r="AN106" s="154">
        <f>IF(L106=0,0,$L106*关卡产出!AU$21)</f>
        <v>16000</v>
      </c>
      <c r="AO106" s="152">
        <f>IF(M106=0,0,$L106*关卡产出!AV$21)</f>
        <v>800</v>
      </c>
      <c r="AP106" s="156">
        <f>IF(N106=0,0,$L106*关卡产出!AW$21)</f>
        <v>16</v>
      </c>
      <c r="AQ106" s="158">
        <f>SUM(AN$7:AN106)</f>
        <v>1552000</v>
      </c>
      <c r="AR106" s="154">
        <f>SUM(AO$7:AO106)</f>
        <v>77600</v>
      </c>
      <c r="AS106" s="156">
        <f>SUM(AP$7:AP106)</f>
        <v>1552</v>
      </c>
      <c r="AT106" s="128">
        <v>3000</v>
      </c>
      <c r="AU106" s="129">
        <v>600</v>
      </c>
      <c r="AV106" s="128">
        <f>SUM(AT$7:AT106)</f>
        <v>300000</v>
      </c>
      <c r="AW106" s="90">
        <f>SUM(AU$7:AU106)</f>
        <v>60000</v>
      </c>
      <c r="AY106" s="151">
        <f t="shared" si="91"/>
        <v>38500</v>
      </c>
      <c r="AZ106" s="152">
        <f t="shared" si="92"/>
        <v>77600</v>
      </c>
      <c r="BA106" s="152">
        <f t="shared" si="93"/>
        <v>60000</v>
      </c>
      <c r="BB106" s="90">
        <f t="shared" ca="1" si="127"/>
        <v>37800</v>
      </c>
      <c r="BC106" s="90">
        <f t="shared" ca="1" si="129"/>
        <v>109125</v>
      </c>
      <c r="BD106" s="90">
        <f t="shared" ca="1" si="130"/>
        <v>104775</v>
      </c>
      <c r="BE106" s="90">
        <f t="shared" ca="1" si="94"/>
        <v>213900</v>
      </c>
      <c r="BF106" s="159">
        <f t="shared" ca="1" si="132"/>
        <v>0.35280641466208479</v>
      </c>
      <c r="BG106" s="159">
        <f t="shared" ca="1" si="133"/>
        <v>0.71111111111111114</v>
      </c>
      <c r="BH106" s="159">
        <f t="shared" ca="1" si="134"/>
        <v>0.54982817869415812</v>
      </c>
      <c r="BI106" s="159">
        <f t="shared" ca="1" si="137"/>
        <v>0.34639175257731958</v>
      </c>
      <c r="BJ106" s="143"/>
      <c r="BK106" s="151">
        <f ca="1">INDEX(商城宝箱!$L:$L,MATCH(BC106,商城宝箱!$N:$N,1))</f>
        <v>12</v>
      </c>
      <c r="BL106" s="152">
        <f ca="1">_xlfn.IFNA(INDEX(商城宝箱!T:T,MATCH(玩家节奏2!$BK106,商城宝箱!$L:$L,0)),0)+($BC106-INDEX(商城宝箱!$N:$N,MATCH(玩家节奏2!$BK106,商城宝箱!$L:$L,0)))/$BK$5*INDEX(商城宝箱!E$23:E$42,MATCH(玩家节奏2!$BK106+1,商城宝箱!$C$23:$C$42,0))</f>
        <v>272812.5</v>
      </c>
      <c r="BM106" s="152">
        <f ca="1">_xlfn.IFNA(INDEX(商城宝箱!U:U,MATCH(玩家节奏2!$BK106,商城宝箱!$L:$L,0)),0)+($BC106-INDEX(商城宝箱!$N:$N,MATCH(玩家节奏2!$BK106,商城宝箱!$L:$L,0)))/$BK$5*INDEX(商城宝箱!F$23:F$42,MATCH(玩家节奏2!$BK106+1,商城宝箱!$C$23:$C$42,0))</f>
        <v>280667.5</v>
      </c>
      <c r="BN106" s="152">
        <f ca="1">_xlfn.IFNA(INDEX(商城宝箱!V:V,MATCH(玩家节奏2!$BK106,商城宝箱!$L:$L,0)),0)+($BC106-INDEX(商城宝箱!$N:$N,MATCH(玩家节奏2!$BK106,商城宝箱!$L:$L,0)))/$BK$5*INDEX(商城宝箱!G$23:G$42,MATCH(玩家节奏2!$BK106+1,商城宝箱!$C$23:$C$42,0))</f>
        <v>144437</v>
      </c>
      <c r="BO106" s="152">
        <f ca="1">_xlfn.IFNA(INDEX(商城宝箱!W:W,MATCH(玩家节奏2!$BK106,商城宝箱!$L:$L,0)),0)+($BC106-INDEX(商城宝箱!$N:$N,MATCH(玩家节奏2!$BK106,商城宝箱!$L:$L,0)))/$BK$5*INDEX(商城宝箱!H$23:H$42,MATCH(玩家节奏2!$BK106+1,商城宝箱!$C$23:$C$42,0))</f>
        <v>22490.25</v>
      </c>
      <c r="BQ106" s="151">
        <f t="shared" si="79"/>
        <v>11610000</v>
      </c>
      <c r="BR106" s="152">
        <f t="shared" si="80"/>
        <v>2553530</v>
      </c>
      <c r="BS106" s="152">
        <f t="shared" ca="1" si="135"/>
        <v>4763366</v>
      </c>
      <c r="BT106" s="152">
        <f t="shared" si="136"/>
        <v>61000</v>
      </c>
      <c r="BU106" s="152">
        <f t="shared" si="83"/>
        <v>1552000</v>
      </c>
      <c r="BV106" s="152">
        <f t="shared" si="84"/>
        <v>300000</v>
      </c>
      <c r="BW106" s="152">
        <f t="shared" ca="1" si="96"/>
        <v>272812.5</v>
      </c>
      <c r="BX106" s="152">
        <f t="shared" ca="1" si="97"/>
        <v>21112708.5</v>
      </c>
      <c r="BY106" s="159">
        <f t="shared" ca="1" si="74"/>
        <v>0.54990575936763397</v>
      </c>
      <c r="BZ106" s="159">
        <f t="shared" ca="1" si="74"/>
        <v>0.12094753261998573</v>
      </c>
      <c r="CA106" s="159">
        <f t="shared" ca="1" si="73"/>
        <v>0.22561605489887762</v>
      </c>
      <c r="CB106" s="159">
        <f t="shared" ca="1" si="73"/>
        <v>2.8892550664449328E-3</v>
      </c>
      <c r="CC106" s="159">
        <f t="shared" ca="1" si="73"/>
        <v>7.3510227264303868E-2</v>
      </c>
      <c r="CD106" s="159">
        <f t="shared" ca="1" si="73"/>
        <v>1.420945114645049E-2</v>
      </c>
      <c r="CE106" s="159">
        <f t="shared" ca="1" si="73"/>
        <v>1.2921719636303414E-2</v>
      </c>
      <c r="CG106" s="128">
        <f t="shared" si="98"/>
        <v>200</v>
      </c>
      <c r="CH106" s="152">
        <f ca="1">INDEX(角色升级!$A:$A,MATCH(玩家节奏2!$BX106,角色升级!$J:$J,1))</f>
        <v>977</v>
      </c>
      <c r="CI106" s="152">
        <f ca="1">INDEX(角色升级!$O:$O,MATCH(玩家节奏2!$BX106,角色升级!$J:$J,1))</f>
        <v>85899.95739000001</v>
      </c>
      <c r="CJ106" s="152">
        <f>INDEX(关卡对比!$J:$J,MATCH(玩家节奏2!N106,关卡对比!$A:$A,0))</f>
        <v>86200</v>
      </c>
      <c r="CK106" s="160">
        <f t="shared" ca="1" si="99"/>
        <v>1.0034929308362488</v>
      </c>
      <c r="CL106" s="128">
        <f ca="1">INDEX(角色升级!$P:$P,MATCH(玩家节奏2!$CH106,角色升级!$A:$A,0))</f>
        <v>37800</v>
      </c>
      <c r="CM106" s="152">
        <f ca="1">INDEX(角色升级!Q:Q,MATCH(玩家节奏2!$CH106,角色升级!$A:$A,0))</f>
        <v>2.1</v>
      </c>
      <c r="CO106" s="128">
        <f t="shared" si="100"/>
        <v>78866</v>
      </c>
      <c r="CP106" s="90">
        <f t="shared" si="101"/>
        <v>194670</v>
      </c>
      <c r="CQ106" s="90">
        <f t="shared" si="102"/>
        <v>69496</v>
      </c>
      <c r="CR106" s="90">
        <f t="shared" ca="1" si="103"/>
        <v>280667.5</v>
      </c>
      <c r="CS106" s="152">
        <f t="shared" ca="1" si="104"/>
        <v>623699.5</v>
      </c>
      <c r="CT106" s="159">
        <f t="shared" ca="1" si="105"/>
        <v>0.12644871448510059</v>
      </c>
      <c r="CU106" s="159">
        <f t="shared" ca="1" si="105"/>
        <v>0.31212146233883464</v>
      </c>
      <c r="CV106" s="159">
        <f t="shared" ca="1" si="105"/>
        <v>0.11142545408485978</v>
      </c>
      <c r="CW106" s="159">
        <f t="shared" ca="1" si="105"/>
        <v>0.450004369091205</v>
      </c>
      <c r="CY106" s="128">
        <f t="shared" si="106"/>
        <v>39434</v>
      </c>
      <c r="CZ106" s="90">
        <f t="shared" si="107"/>
        <v>97171</v>
      </c>
      <c r="DA106" s="90">
        <f t="shared" si="108"/>
        <v>47532</v>
      </c>
      <c r="DB106" s="90">
        <f t="shared" ca="1" si="128"/>
        <v>144437</v>
      </c>
      <c r="DC106" s="152">
        <f t="shared" ca="1" si="109"/>
        <v>328574</v>
      </c>
      <c r="DD106" s="142">
        <f t="shared" ca="1" si="110"/>
        <v>0.12001558248674575</v>
      </c>
      <c r="DE106" s="142">
        <f t="shared" ca="1" si="110"/>
        <v>0.29573551163512635</v>
      </c>
      <c r="DF106" s="142">
        <f t="shared" ca="1" si="110"/>
        <v>0.14466147656235734</v>
      </c>
      <c r="DG106" s="142">
        <f t="shared" ca="1" si="110"/>
        <v>0.43958742931577055</v>
      </c>
      <c r="DI106" s="128">
        <f t="shared" si="111"/>
        <v>19113</v>
      </c>
      <c r="DJ106" s="90">
        <f t="shared" si="112"/>
        <v>47747</v>
      </c>
      <c r="DK106" s="90">
        <f t="shared" si="113"/>
        <v>18462</v>
      </c>
      <c r="DL106" s="90">
        <f t="shared" ca="1" si="114"/>
        <v>22490.25</v>
      </c>
      <c r="DM106" s="152">
        <f t="shared" ca="1" si="115"/>
        <v>107812.25</v>
      </c>
      <c r="DN106" s="142">
        <f t="shared" ca="1" si="116"/>
        <v>0.17728041108501122</v>
      </c>
      <c r="DO106" s="142">
        <f t="shared" ca="1" si="116"/>
        <v>0.44287175158667036</v>
      </c>
      <c r="DP106" s="142">
        <f t="shared" ca="1" si="116"/>
        <v>0.1712421362136492</v>
      </c>
      <c r="DQ106" s="142">
        <f t="shared" ca="1" si="116"/>
        <v>0.20860570111466925</v>
      </c>
      <c r="DS106" s="128">
        <f t="shared" ca="1" si="117"/>
        <v>623699.5</v>
      </c>
      <c r="DT106" s="90">
        <f t="shared" ca="1" si="118"/>
        <v>328574</v>
      </c>
      <c r="DU106" s="90">
        <f t="shared" ca="1" si="119"/>
        <v>107812.25</v>
      </c>
      <c r="DV106" s="90">
        <f t="shared" si="120"/>
        <v>1552</v>
      </c>
      <c r="DW106" s="90">
        <f ca="1">_xlfn.IFNA(INDEX(武器升级消耗!$H:$H,MATCH(玩家节奏2!DS106/玩家节奏2!DS$5,武器升级消耗!M:M,1)),0)</f>
        <v>69</v>
      </c>
      <c r="DX106" s="90">
        <f ca="1">_xlfn.IFNA(INDEX(武器升级消耗!$H:$H,MATCH(玩家节奏2!DT106/玩家节奏2!DT$5,武器升级消耗!N:N,1)),0)</f>
        <v>60</v>
      </c>
      <c r="DY106" s="90">
        <f ca="1">_xlfn.IFNA(INDEX(武器升级消耗!$H:$H,MATCH(玩家节奏2!DU106/玩家节奏2!DU$5,武器升级消耗!O:O,1)),0)</f>
        <v>45</v>
      </c>
      <c r="DZ106" s="90">
        <f>_xlfn.IFNA(INDEX(武器升级消耗!$H:$H,MATCH(玩家节奏2!DV106/玩家节奏2!DV$5,武器升级消耗!P:P,1)),0)</f>
        <v>28</v>
      </c>
      <c r="EA106" s="90">
        <f ca="1">_xlfn.IFNA(INDEX(武器升级消耗!$Q:$Q,MATCH(玩家节奏2!DW106,武器升级消耗!$H:$H,0))*2*EA$4,0)</f>
        <v>8.76</v>
      </c>
      <c r="EB106" s="90">
        <f ca="1">_xlfn.IFNA(INDEX(武器升级消耗!$Q:$Q,MATCH(玩家节奏2!DX106,武器升级消耗!$H:$H,0))*2*EB$4,0)</f>
        <v>9.6000000000000014</v>
      </c>
      <c r="EC106" s="90">
        <f ca="1">_xlfn.IFNA(INDEX(武器升级消耗!$Q:$Q,MATCH(玩家节奏2!DY106,武器升级消耗!$H:$H,0))*2*EC$4,0)</f>
        <v>10.780000000000001</v>
      </c>
      <c r="ED106" s="90">
        <f>_xlfn.IFNA(INDEX(武器升级消耗!$Q:$Q,MATCH(玩家节奏2!DZ106,武器升级消耗!$H:$H,0))*2*ED$4,0)</f>
        <v>9.6000000000000014</v>
      </c>
      <c r="EF106" s="151">
        <f t="shared" si="85"/>
        <v>0</v>
      </c>
      <c r="EG106" s="152">
        <f t="shared" si="86"/>
        <v>0</v>
      </c>
      <c r="EH106" s="90">
        <v>300</v>
      </c>
      <c r="EI106" s="90">
        <v>300</v>
      </c>
      <c r="EJ106" s="90">
        <f>_xlfn.IFNA(INDEX(皮肤宠物!$J$4:$J$13,MATCH(EF106+EH106,皮肤宠物!$L$4:$L$13,1)),0)</f>
        <v>9</v>
      </c>
      <c r="EK106" s="90">
        <f>_xlfn.IFNA(INDEX(皮肤宠物!$J$4:$J$13,MATCH(EG106+EI106,皮肤宠物!$L$4:$L$13,1)),0)</f>
        <v>9</v>
      </c>
      <c r="EL106" s="90">
        <f>_xlfn.IFNA(INDEX(皮肤宠物!$N$4:$N$13,MATCH(EF106+EH106,皮肤宠物!$L$4:$L$13,1)),1)</f>
        <v>2.09</v>
      </c>
      <c r="EM106" s="90">
        <f>_xlfn.IFNA(INDEX(皮肤宠物!$N$4:$N$13,MATCH(EG106+EI106,皮肤宠物!$L$4:$L$13,1)),1)</f>
        <v>2.09</v>
      </c>
      <c r="EO106" s="128">
        <v>300</v>
      </c>
      <c r="EP106" s="90">
        <v>100</v>
      </c>
      <c r="EQ106" s="90">
        <f t="shared" ca="1" si="121"/>
        <v>104775</v>
      </c>
      <c r="ER106" s="90">
        <f t="shared" si="87"/>
        <v>0</v>
      </c>
      <c r="ES106" s="90">
        <f t="shared" ca="1" si="122"/>
        <v>1147.75</v>
      </c>
      <c r="ET106" s="90">
        <f ca="1">$ES106*ET$5*皮肤宠物!$J$75/4</f>
        <v>3788.7227499999999</v>
      </c>
      <c r="EU106" s="90">
        <f ca="1">$ES106*EU$5*皮肤宠物!$J$76/4</f>
        <v>632.41025000000002</v>
      </c>
      <c r="EV106" s="90">
        <f ca="1">$ES106*EV$5*皮肤宠物!$J$77/4</f>
        <v>171.30168750000001</v>
      </c>
      <c r="EW106" s="90">
        <f ca="1">_xlfn.IFNA(INDEX(皮肤宠物!$H$18:$H$67,MATCH(ET106,皮肤宠物!L$18:L$67,1)),0)</f>
        <v>21</v>
      </c>
      <c r="EX106" s="90">
        <f ca="1">_xlfn.IFNA(INDEX(皮肤宠物!$H$18:$H$67,MATCH(EU106,皮肤宠物!M$18:M$67,1)),0)</f>
        <v>17</v>
      </c>
      <c r="EY106" s="90">
        <f ca="1">_xlfn.IFNA(INDEX(皮肤宠物!$H$18:$H$67,MATCH(EV106,皮肤宠物!N$18:N$67,1)),0)</f>
        <v>12</v>
      </c>
      <c r="EZ106" s="90">
        <f ca="1">_xlfn.IFNA(INDEX(皮肤宠物!C$18:C$67,MATCH(EW106,皮肤宠物!$A$18:$A$67,0))+1,1)</f>
        <v>1.21</v>
      </c>
      <c r="FA106" s="90">
        <f ca="1">_xlfn.IFNA(INDEX(皮肤宠物!D$18:D$67,MATCH(EX106,皮肤宠物!$A$18:$A$67,0))+1,1)</f>
        <v>1.34</v>
      </c>
      <c r="FB106" s="90">
        <f ca="1">_xlfn.IFNA(INDEX(皮肤宠物!E$18:E$67,MATCH(EY106,皮肤宠物!$A$18:$A$67,0))+1,1)</f>
        <v>1.48</v>
      </c>
      <c r="FD106" s="90">
        <f t="shared" ca="1" si="123"/>
        <v>10.780000000000001</v>
      </c>
      <c r="FE106" s="90">
        <f t="shared" si="124"/>
        <v>2.09</v>
      </c>
      <c r="FF106" s="90">
        <f t="shared" ca="1" si="125"/>
        <v>1.48</v>
      </c>
      <c r="FG106" s="90">
        <f t="shared" ca="1" si="126"/>
        <v>33.344696000000006</v>
      </c>
    </row>
    <row r="107" spans="1:163" s="166" customFormat="1" ht="13.8" thickTop="1" x14ac:dyDescent="0.25">
      <c r="A107" s="161">
        <v>101</v>
      </c>
      <c r="B107" s="161">
        <f>INDEX(关卡对比!$Y:$Y,MATCH(关卡对比!Z107,关卡对比!$AA:$AA,1))</f>
        <v>64</v>
      </c>
      <c r="C107" s="162">
        <f>INDEX(关卡对比!$Y:$Y,MATCH(关卡对比!Z107,关卡对比!$AB:$AB,1))</f>
        <v>52</v>
      </c>
      <c r="D107" s="163">
        <f t="shared" si="131"/>
        <v>403.5</v>
      </c>
      <c r="E107" s="125">
        <v>2</v>
      </c>
      <c r="F107" s="128">
        <v>16</v>
      </c>
      <c r="G107" s="90">
        <v>16</v>
      </c>
      <c r="H107" s="90">
        <v>5</v>
      </c>
      <c r="J107" s="164">
        <v>101</v>
      </c>
      <c r="K107" s="165">
        <f t="shared" si="88"/>
        <v>16</v>
      </c>
      <c r="L107" s="165">
        <f t="shared" si="89"/>
        <v>16</v>
      </c>
      <c r="M107" s="165">
        <f t="shared" si="90"/>
        <v>5</v>
      </c>
      <c r="N107" s="167">
        <f>INDEX($A:$A,MATCH(SUM($K$7:K107),$D:$D,1))</f>
        <v>200</v>
      </c>
      <c r="O107" s="140">
        <v>0</v>
      </c>
      <c r="P107" s="141">
        <v>0</v>
      </c>
      <c r="Q107" s="168">
        <f>_xlfn.MAXIFS(关卡产出!X:X,关卡产出!$A:$A,玩家节奏2!$N$6,关卡产出!$B:$B,玩家节奏2!$N107)+_xlfn.MAXIFS(关卡产出!X:X,关卡产出!$A:$A,玩家节奏2!$O$6,关卡产出!$B:$B,玩家节奏2!$O107)+_xlfn.MAXIFS(关卡产出!X:X,关卡产出!$A:$A,玩家节奏2!$P$6,关卡产出!$B:$B,玩家节奏2!$P107)</f>
        <v>38500</v>
      </c>
      <c r="R107" s="165">
        <f>_xlfn.MAXIFS(关卡产出!Y:Y,关卡产出!$A:$A,玩家节奏2!$N$6,关卡产出!$B:$B,玩家节奏2!$N107)+_xlfn.MAXIFS(关卡产出!Y:Y,关卡产出!$A:$A,玩家节奏2!$O$6,关卡产出!$B:$B,玩家节奏2!$O107)+_xlfn.MAXIFS(关卡产出!Y:Y,关卡产出!$A:$A,玩家节奏2!$P$6,关卡产出!$B:$B,玩家节奏2!$P107)</f>
        <v>11610000</v>
      </c>
      <c r="S107" s="165">
        <f>_xlfn.MAXIFS(关卡产出!Z:Z,关卡产出!$A:$A,玩家节奏2!$N$6,关卡产出!$B:$B,玩家节奏2!$N107)+_xlfn.MAXIFS(关卡产出!Z:Z,关卡产出!$A:$A,玩家节奏2!$O$6,关卡产出!$B:$B,玩家节奏2!$O107)+_xlfn.MAXIFS(关卡产出!Z:Z,关卡产出!$A:$A,玩家节奏2!$P$6,关卡产出!$B:$B,玩家节奏2!$P107)</f>
        <v>78866</v>
      </c>
      <c r="T107" s="165">
        <f>_xlfn.MAXIFS(关卡产出!AA:AA,关卡产出!$A:$A,玩家节奏2!$N$6,关卡产出!$B:$B,玩家节奏2!$N107)+_xlfn.MAXIFS(关卡产出!AA:AA,关卡产出!$A:$A,玩家节奏2!$O$6,关卡产出!$B:$B,玩家节奏2!$O107)+_xlfn.MAXIFS(关卡产出!AA:AA,关卡产出!$A:$A,玩家节奏2!$P$6,关卡产出!$B:$B,玩家节奏2!$P107)</f>
        <v>39434</v>
      </c>
      <c r="U107" s="165">
        <f>_xlfn.MAXIFS(关卡产出!AB:AB,关卡产出!$A:$A,玩家节奏2!$N$6,关卡产出!$B:$B,玩家节奏2!$N107)+_xlfn.MAXIFS(关卡产出!AB:AB,关卡产出!$A:$A,玩家节奏2!$O$6,关卡产出!$B:$B,玩家节奏2!$O107)+_xlfn.MAXIFS(关卡产出!AB:AB,关卡产出!$A:$A,玩家节奏2!$P$6,关卡产出!$B:$B,玩家节奏2!$P107)</f>
        <v>19113</v>
      </c>
      <c r="V107" s="169">
        <f>_xlfn.MAXIFS(关卡产出!AC:AC,关卡产出!$A:$A,玩家节奏2!$N$6,关卡产出!$B:$B,玩家节奏2!$N107)+_xlfn.MAXIFS(关卡产出!AC:AC,关卡产出!$A:$A,玩家节奏2!$O$6,关卡产出!$B:$B,玩家节奏2!$O107)+_xlfn.MAXIFS(关卡产出!AC:AC,关卡产出!$A:$A,玩家节奏2!$P$6,关卡产出!$B:$B,玩家节奏2!$P107)</f>
        <v>1200</v>
      </c>
      <c r="W107" s="168">
        <f>INDEX(关卡产出!C$8:C$207,MATCH(玩家节奏2!$N107,关卡产出!$B$8:$B$207,0))*$K107</f>
        <v>2528</v>
      </c>
      <c r="X107" s="168">
        <f>INDEX(关卡产出!D$8:D$207,MATCH(玩家节奏2!$N107,关卡产出!$B$8:$B$207,0))*$K107</f>
        <v>1264</v>
      </c>
      <c r="Y107" s="168">
        <f>INDEX(关卡产出!E$8:E$207,MATCH(玩家节奏2!$N107,关卡产出!$B$8:$B$207,0))*$K107</f>
        <v>624</v>
      </c>
      <c r="Z107" s="144">
        <f>INDEX(关卡产出!F$8:F$207,MATCH(玩家节奏2!$N107,关卡产出!$B$8:$B$207,0))*$K107</f>
        <v>32800</v>
      </c>
      <c r="AA107" s="168">
        <f>SUM(W$7:W107)</f>
        <v>197198</v>
      </c>
      <c r="AB107" s="168">
        <f>SUM(X$7:X107)</f>
        <v>98435</v>
      </c>
      <c r="AC107" s="168">
        <f>SUM(Y$7:Y107)</f>
        <v>48371</v>
      </c>
      <c r="AD107" s="179">
        <f>SUM(Z$7:Z107)</f>
        <v>2586330</v>
      </c>
      <c r="AE107" s="128">
        <f>INDEX(图鉴!AQ:AQ,MATCH($N107,图鉴!$S:$S,0))*34</f>
        <v>714</v>
      </c>
      <c r="AF107" s="90">
        <f>INDEX(图鉴!AR:AR,MATCH($N107,图鉴!$S:$S,0))*34</f>
        <v>510</v>
      </c>
      <c r="AG107" s="90">
        <f>INDEX(图鉴!AS:AS,MATCH($N107,图鉴!$S:$S,0))*34</f>
        <v>204</v>
      </c>
      <c r="AH107" s="129">
        <f ca="1">INDEX(图鉴!AT:AT,MATCH($N107,图鉴!$S:$S,0))*34</f>
        <v>55930</v>
      </c>
      <c r="AI107" s="164">
        <f>SUM($AE$7:AE107)</f>
        <v>70210</v>
      </c>
      <c r="AJ107" s="165">
        <f>SUM(AF$7:AF107)</f>
        <v>48042</v>
      </c>
      <c r="AK107" s="165">
        <f>SUM(AG$7:AG107)</f>
        <v>18666</v>
      </c>
      <c r="AL107" s="169">
        <f ca="1">SUM(AH$7:AH107)</f>
        <v>4819296</v>
      </c>
      <c r="AM107" s="171">
        <f>IF(M107=0,0,INDEX(关卡产出!$AU$11:$AU$15,MATCH(玩家节奏2!N107,关卡产出!$AW$11:$AW$15,1))*M107)</f>
        <v>61000</v>
      </c>
      <c r="AN107" s="168">
        <f>IF(L107=0,0,$L107*关卡产出!AU$21)</f>
        <v>16000</v>
      </c>
      <c r="AO107" s="165">
        <f>IF(M107=0,0,$L107*关卡产出!AV$21)</f>
        <v>800</v>
      </c>
      <c r="AP107" s="170">
        <f>IF(N107=0,0,$L107*关卡产出!AW$21)</f>
        <v>16</v>
      </c>
      <c r="AQ107" s="172">
        <f>SUM(AN$7:AN107)</f>
        <v>1568000</v>
      </c>
      <c r="AR107" s="168">
        <f>SUM(AO$7:AO107)</f>
        <v>78400</v>
      </c>
      <c r="AS107" s="170">
        <f>SUM(AP$7:AP107)</f>
        <v>1568</v>
      </c>
      <c r="AT107" s="128">
        <v>3000</v>
      </c>
      <c r="AU107" s="129">
        <v>600</v>
      </c>
      <c r="AV107" s="128">
        <f>SUM(AT$7:AT107)</f>
        <v>303000</v>
      </c>
      <c r="AW107" s="90">
        <f>SUM(AU$7:AU107)</f>
        <v>60600</v>
      </c>
      <c r="AY107" s="164">
        <f t="shared" si="91"/>
        <v>38500</v>
      </c>
      <c r="AZ107" s="165">
        <f t="shared" si="92"/>
        <v>78400</v>
      </c>
      <c r="BA107" s="165">
        <f t="shared" si="93"/>
        <v>60600</v>
      </c>
      <c r="BB107" s="90">
        <f t="shared" ca="1" si="127"/>
        <v>37800</v>
      </c>
      <c r="BC107" s="90">
        <f t="shared" ca="1" si="129"/>
        <v>109825</v>
      </c>
      <c r="BD107" s="90">
        <f t="shared" ca="1" si="130"/>
        <v>105475</v>
      </c>
      <c r="BE107" s="90">
        <f t="shared" ca="1" si="94"/>
        <v>215300</v>
      </c>
      <c r="BF107" s="173">
        <f t="shared" ca="1" si="132"/>
        <v>0.35055770544047349</v>
      </c>
      <c r="BG107" s="173">
        <f t="shared" ca="1" si="133"/>
        <v>0.71386296380605507</v>
      </c>
      <c r="BH107" s="173">
        <f t="shared" ca="1" si="134"/>
        <v>0.55178693375825172</v>
      </c>
      <c r="BI107" s="173">
        <f t="shared" ca="1" si="137"/>
        <v>0.34418392897791944</v>
      </c>
      <c r="BJ107" s="174"/>
      <c r="BK107" s="164">
        <f ca="1">INDEX(商城宝箱!$L:$L,MATCH(BC107,商城宝箱!$N:$N,1))</f>
        <v>12</v>
      </c>
      <c r="BL107" s="165">
        <f ca="1">_xlfn.IFNA(INDEX(商城宝箱!T:T,MATCH(玩家节奏2!$BK107,商城宝箱!$L:$L,0)),0)+($BC107-INDEX(商城宝箱!$N:$N,MATCH(玩家节奏2!$BK107,商城宝箱!$L:$L,0)))/$BK$5*INDEX(商城宝箱!E$23:E$42,MATCH(玩家节奏2!$BK107+1,商城宝箱!$C$23:$C$42,0))</f>
        <v>274562.5</v>
      </c>
      <c r="BM107" s="165">
        <f ca="1">_xlfn.IFNA(INDEX(商城宝箱!U:U,MATCH(玩家节奏2!$BK107,商城宝箱!$L:$L,0)),0)+($BC107-INDEX(商城宝箱!$N:$N,MATCH(玩家节奏2!$BK107,商城宝箱!$L:$L,0)))/$BK$5*INDEX(商城宝箱!F$23:F$42,MATCH(玩家节奏2!$BK107+1,商城宝箱!$C$23:$C$42,0))</f>
        <v>283607.5</v>
      </c>
      <c r="BN107" s="165">
        <f ca="1">_xlfn.IFNA(INDEX(商城宝箱!V:V,MATCH(玩家节奏2!$BK107,商城宝箱!$L:$L,0)),0)+($BC107-INDEX(商城宝箱!$N:$N,MATCH(玩家节奏2!$BK107,商城宝箱!$L:$L,0)))/$BK$5*INDEX(商城宝箱!G$23:G$42,MATCH(玩家节奏2!$BK107+1,商城宝箱!$C$23:$C$42,0))</f>
        <v>145837</v>
      </c>
      <c r="BO107" s="165">
        <f ca="1">_xlfn.IFNA(INDEX(商城宝箱!W:W,MATCH(玩家节奏2!$BK107,商城宝箱!$L:$L,0)),0)+($BC107-INDEX(商城宝箱!$N:$N,MATCH(玩家节奏2!$BK107,商城宝箱!$L:$L,0)))/$BK$5*INDEX(商城宝箱!H$23:H$42,MATCH(玩家节奏2!$BK107+1,商城宝箱!$C$23:$C$42,0))</f>
        <v>22735.25</v>
      </c>
      <c r="BQ107" s="164">
        <f t="shared" si="79"/>
        <v>11610000</v>
      </c>
      <c r="BR107" s="165">
        <f t="shared" si="80"/>
        <v>2586330</v>
      </c>
      <c r="BS107" s="165">
        <f t="shared" ca="1" si="135"/>
        <v>4819296</v>
      </c>
      <c r="BT107" s="165">
        <f t="shared" si="136"/>
        <v>61000</v>
      </c>
      <c r="BU107" s="165">
        <f t="shared" si="83"/>
        <v>1568000</v>
      </c>
      <c r="BV107" s="165">
        <f t="shared" si="84"/>
        <v>303000</v>
      </c>
      <c r="BW107" s="165">
        <f t="shared" ca="1" si="96"/>
        <v>274562.5</v>
      </c>
      <c r="BX107" s="165">
        <f t="shared" ca="1" si="97"/>
        <v>21222188.5</v>
      </c>
      <c r="BY107" s="173">
        <f t="shared" ca="1" si="74"/>
        <v>0.54706893212262253</v>
      </c>
      <c r="BZ107" s="173">
        <f t="shared" ca="1" si="74"/>
        <v>0.12186914653029304</v>
      </c>
      <c r="CA107" s="173">
        <f t="shared" ca="1" si="73"/>
        <v>0.22708760691669477</v>
      </c>
      <c r="CB107" s="173">
        <f t="shared" ca="1" si="73"/>
        <v>2.8743501170956048E-3</v>
      </c>
      <c r="CC107" s="173">
        <f t="shared" ca="1" si="73"/>
        <v>7.3884934157473908E-2</v>
      </c>
      <c r="CD107" s="173">
        <f t="shared" ca="1" si="73"/>
        <v>1.4277509598032267E-2</v>
      </c>
      <c r="CE107" s="173">
        <f t="shared" ca="1" si="73"/>
        <v>1.2937520557787902E-2</v>
      </c>
      <c r="CG107" s="128">
        <f t="shared" si="98"/>
        <v>200</v>
      </c>
      <c r="CH107" s="165">
        <f ca="1">INDEX(角色升级!$A:$A,MATCH(玩家节奏2!$BX107,角色升级!$J:$J,1))</f>
        <v>980</v>
      </c>
      <c r="CI107" s="165">
        <f ca="1">INDEX(角色升级!$O:$O,MATCH(玩家节奏2!$BX107,角色升级!$J:$J,1))</f>
        <v>86094.301185000004</v>
      </c>
      <c r="CJ107" s="165">
        <f>INDEX(关卡对比!$J:$J,MATCH(玩家节奏2!N107,关卡对比!$A:$A,0))</f>
        <v>86200</v>
      </c>
      <c r="CK107" s="175">
        <f t="shared" ca="1" si="99"/>
        <v>1.001227709773413</v>
      </c>
      <c r="CL107" s="128">
        <f ca="1">INDEX(角色升级!$P:$P,MATCH(玩家节奏2!$CH107,角色升级!$A:$A,0))</f>
        <v>37800</v>
      </c>
      <c r="CM107" s="165">
        <f ca="1">INDEX(角色升级!Q:Q,MATCH(玩家节奏2!$CH107,角色升级!$A:$A,0))</f>
        <v>2.2000000000000002</v>
      </c>
      <c r="CO107" s="128">
        <f t="shared" si="100"/>
        <v>78866</v>
      </c>
      <c r="CP107" s="90">
        <f t="shared" si="101"/>
        <v>197198</v>
      </c>
      <c r="CQ107" s="90">
        <f t="shared" si="102"/>
        <v>70210</v>
      </c>
      <c r="CR107" s="90">
        <f t="shared" ca="1" si="103"/>
        <v>283607.5</v>
      </c>
      <c r="CS107" s="165">
        <f t="shared" ca="1" si="104"/>
        <v>629881.5</v>
      </c>
      <c r="CT107" s="173">
        <f t="shared" ca="1" si="105"/>
        <v>0.12520767795212273</v>
      </c>
      <c r="CU107" s="173">
        <f t="shared" ca="1" si="105"/>
        <v>0.3130715856871491</v>
      </c>
      <c r="CV107" s="173">
        <f t="shared" ca="1" si="105"/>
        <v>0.11146541055738261</v>
      </c>
      <c r="CW107" s="173">
        <f t="shared" ca="1" si="105"/>
        <v>0.45025532580334554</v>
      </c>
      <c r="CY107" s="128">
        <f t="shared" si="106"/>
        <v>39434</v>
      </c>
      <c r="CZ107" s="90">
        <f t="shared" si="107"/>
        <v>98435</v>
      </c>
      <c r="DA107" s="90">
        <f t="shared" si="108"/>
        <v>48042</v>
      </c>
      <c r="DB107" s="90">
        <f t="shared" ca="1" si="128"/>
        <v>145837</v>
      </c>
      <c r="DC107" s="165">
        <f t="shared" ca="1" si="109"/>
        <v>331748</v>
      </c>
      <c r="DD107" s="142">
        <f t="shared" ca="1" si="110"/>
        <v>0.11886733303591883</v>
      </c>
      <c r="DE107" s="142">
        <f t="shared" ca="1" si="110"/>
        <v>0.29671618216236423</v>
      </c>
      <c r="DF107" s="142">
        <f t="shared" ca="1" si="110"/>
        <v>0.14481473889819985</v>
      </c>
      <c r="DG107" s="142">
        <f t="shared" ca="1" si="110"/>
        <v>0.43960174590351714</v>
      </c>
      <c r="DI107" s="128">
        <f t="shared" si="111"/>
        <v>19113</v>
      </c>
      <c r="DJ107" s="90">
        <f t="shared" si="112"/>
        <v>48371</v>
      </c>
      <c r="DK107" s="90">
        <f t="shared" si="113"/>
        <v>18666</v>
      </c>
      <c r="DL107" s="90">
        <f t="shared" ca="1" si="114"/>
        <v>22735.25</v>
      </c>
      <c r="DM107" s="165">
        <f t="shared" ca="1" si="115"/>
        <v>108885.25</v>
      </c>
      <c r="DN107" s="142">
        <f t="shared" ca="1" si="116"/>
        <v>0.17553341706062117</v>
      </c>
      <c r="DO107" s="142">
        <f t="shared" ca="1" si="116"/>
        <v>0.44423831510695894</v>
      </c>
      <c r="DP107" s="142">
        <f t="shared" ca="1" si="116"/>
        <v>0.17142817782941216</v>
      </c>
      <c r="DQ107" s="142">
        <f t="shared" ca="1" si="116"/>
        <v>0.20880009000300775</v>
      </c>
      <c r="DR107" s="89"/>
      <c r="DS107" s="128">
        <f t="shared" ca="1" si="117"/>
        <v>629881.5</v>
      </c>
      <c r="DT107" s="90">
        <f t="shared" ca="1" si="118"/>
        <v>331748</v>
      </c>
      <c r="DU107" s="90">
        <f t="shared" ca="1" si="119"/>
        <v>108885.25</v>
      </c>
      <c r="DV107" s="90">
        <f t="shared" si="120"/>
        <v>1568</v>
      </c>
      <c r="DW107" s="90">
        <f ca="1">_xlfn.IFNA(INDEX(武器升级消耗!$H:$H,MATCH(玩家节奏2!DS107/玩家节奏2!DS$5,武器升级消耗!M:M,1)),0)</f>
        <v>69</v>
      </c>
      <c r="DX107" s="90">
        <f ca="1">_xlfn.IFNA(INDEX(武器升级消耗!$H:$H,MATCH(玩家节奏2!DT107/玩家节奏2!DT$5,武器升级消耗!N:N,1)),0)</f>
        <v>61</v>
      </c>
      <c r="DY107" s="90">
        <f ca="1">_xlfn.IFNA(INDEX(武器升级消耗!$H:$H,MATCH(玩家节奏2!DU107/玩家节奏2!DU$5,武器升级消耗!O:O,1)),0)</f>
        <v>45</v>
      </c>
      <c r="DZ107" s="90">
        <f>_xlfn.IFNA(INDEX(武器升级消耗!$H:$H,MATCH(玩家节奏2!DV107/玩家节奏2!DV$5,武器升级消耗!P:P,1)),0)</f>
        <v>28</v>
      </c>
      <c r="EA107" s="90">
        <f ca="1">_xlfn.IFNA(INDEX(武器升级消耗!$Q:$Q,MATCH(玩家节奏2!DW107,武器升级消耗!$H:$H,0))*2*EA$4,0)</f>
        <v>8.76</v>
      </c>
      <c r="EB107" s="90">
        <f ca="1">_xlfn.IFNA(INDEX(武器升级消耗!$Q:$Q,MATCH(玩家节奏2!DX107,武器升级消耗!$H:$H,0))*2*EB$4,0)</f>
        <v>9.75</v>
      </c>
      <c r="EC107" s="90">
        <f ca="1">_xlfn.IFNA(INDEX(武器升级消耗!$Q:$Q,MATCH(玩家节奏2!DY107,武器升级消耗!$H:$H,0))*2*EC$4,0)</f>
        <v>10.780000000000001</v>
      </c>
      <c r="ED107" s="90">
        <f>_xlfn.IFNA(INDEX(武器升级消耗!$Q:$Q,MATCH(玩家节奏2!DZ107,武器升级消耗!$H:$H,0))*2*ED$4,0)</f>
        <v>9.6000000000000014</v>
      </c>
      <c r="EE107" s="89"/>
      <c r="EF107" s="189"/>
      <c r="EH107" s="89"/>
      <c r="EI107" s="89"/>
      <c r="EJ107" s="89"/>
      <c r="EK107" s="89"/>
      <c r="EL107" s="89"/>
      <c r="EM107" s="89"/>
      <c r="EO107" s="115"/>
      <c r="EP107" s="89"/>
      <c r="EQ107" s="89"/>
      <c r="ER107" s="89"/>
      <c r="ES107" s="89"/>
      <c r="ET107" s="89"/>
      <c r="EU107" s="89"/>
      <c r="EV107" s="89"/>
      <c r="EW107" s="89"/>
      <c r="EX107" s="89"/>
      <c r="EY107" s="89"/>
      <c r="EZ107" s="89"/>
      <c r="FA107" s="89"/>
      <c r="FB107" s="89"/>
      <c r="FD107" s="89"/>
      <c r="FE107" s="89"/>
      <c r="FF107" s="89"/>
      <c r="FG107" s="89"/>
    </row>
    <row r="108" spans="1:163" x14ac:dyDescent="0.25">
      <c r="A108" s="123">
        <v>102</v>
      </c>
      <c r="B108" s="123">
        <f>INDEX(关卡对比!$Y:$Y,MATCH(关卡对比!Z108,关卡对比!$AA:$AA,1))</f>
        <v>64</v>
      </c>
      <c r="C108" s="124">
        <f>INDEX(关卡对比!$Y:$Y,MATCH(关卡对比!Z108,关卡对比!$AB:$AB,1))</f>
        <v>52</v>
      </c>
      <c r="D108" s="125">
        <f t="shared" si="131"/>
        <v>405.5</v>
      </c>
      <c r="E108" s="125">
        <v>2</v>
      </c>
      <c r="F108" s="128">
        <v>16</v>
      </c>
      <c r="G108" s="90">
        <v>16</v>
      </c>
      <c r="H108" s="90">
        <v>5</v>
      </c>
      <c r="J108" s="128">
        <v>102</v>
      </c>
      <c r="K108" s="90">
        <f t="shared" si="88"/>
        <v>16</v>
      </c>
      <c r="L108" s="90">
        <f t="shared" si="89"/>
        <v>16</v>
      </c>
      <c r="M108" s="90">
        <f t="shared" si="90"/>
        <v>5</v>
      </c>
      <c r="N108" s="140">
        <f>INDEX($A:$A,MATCH(SUM($K$7:K108),$D:$D,1))</f>
        <v>200</v>
      </c>
      <c r="O108" s="140">
        <v>0</v>
      </c>
      <c r="P108" s="141">
        <v>0</v>
      </c>
      <c r="Q108" s="126">
        <f>_xlfn.MAXIFS(关卡产出!X:X,关卡产出!$A:$A,玩家节奏2!$N$6,关卡产出!$B:$B,玩家节奏2!$N108)+_xlfn.MAXIFS(关卡产出!X:X,关卡产出!$A:$A,玩家节奏2!$O$6,关卡产出!$B:$B,玩家节奏2!$O108)+_xlfn.MAXIFS(关卡产出!X:X,关卡产出!$A:$A,玩家节奏2!$P$6,关卡产出!$B:$B,玩家节奏2!$P108)</f>
        <v>38500</v>
      </c>
      <c r="R108" s="90">
        <f>_xlfn.MAXIFS(关卡产出!Y:Y,关卡产出!$A:$A,玩家节奏2!$N$6,关卡产出!$B:$B,玩家节奏2!$N108)+_xlfn.MAXIFS(关卡产出!Y:Y,关卡产出!$A:$A,玩家节奏2!$O$6,关卡产出!$B:$B,玩家节奏2!$O108)+_xlfn.MAXIFS(关卡产出!Y:Y,关卡产出!$A:$A,玩家节奏2!$P$6,关卡产出!$B:$B,玩家节奏2!$P108)</f>
        <v>11610000</v>
      </c>
      <c r="S108" s="90">
        <f>_xlfn.MAXIFS(关卡产出!Z:Z,关卡产出!$A:$A,玩家节奏2!$N$6,关卡产出!$B:$B,玩家节奏2!$N108)+_xlfn.MAXIFS(关卡产出!Z:Z,关卡产出!$A:$A,玩家节奏2!$O$6,关卡产出!$B:$B,玩家节奏2!$O108)+_xlfn.MAXIFS(关卡产出!Z:Z,关卡产出!$A:$A,玩家节奏2!$P$6,关卡产出!$B:$B,玩家节奏2!$P108)</f>
        <v>78866</v>
      </c>
      <c r="T108" s="90">
        <f>_xlfn.MAXIFS(关卡产出!AA:AA,关卡产出!$A:$A,玩家节奏2!$N$6,关卡产出!$B:$B,玩家节奏2!$N108)+_xlfn.MAXIFS(关卡产出!AA:AA,关卡产出!$A:$A,玩家节奏2!$O$6,关卡产出!$B:$B,玩家节奏2!$O108)+_xlfn.MAXIFS(关卡产出!AA:AA,关卡产出!$A:$A,玩家节奏2!$P$6,关卡产出!$B:$B,玩家节奏2!$P108)</f>
        <v>39434</v>
      </c>
      <c r="U108" s="90">
        <f>_xlfn.MAXIFS(关卡产出!AB:AB,关卡产出!$A:$A,玩家节奏2!$N$6,关卡产出!$B:$B,玩家节奏2!$N108)+_xlfn.MAXIFS(关卡产出!AB:AB,关卡产出!$A:$A,玩家节奏2!$O$6,关卡产出!$B:$B,玩家节奏2!$O108)+_xlfn.MAXIFS(关卡产出!AB:AB,关卡产出!$A:$A,玩家节奏2!$P$6,关卡产出!$B:$B,玩家节奏2!$P108)</f>
        <v>19113</v>
      </c>
      <c r="V108" s="130">
        <f>_xlfn.MAXIFS(关卡产出!AC:AC,关卡产出!$A:$A,玩家节奏2!$N$6,关卡产出!$B:$B,玩家节奏2!$N108)+_xlfn.MAXIFS(关卡产出!AC:AC,关卡产出!$A:$A,玩家节奏2!$O$6,关卡产出!$B:$B,玩家节奏2!$O108)+_xlfn.MAXIFS(关卡产出!AC:AC,关卡产出!$A:$A,玩家节奏2!$P$6,关卡产出!$B:$B,玩家节奏2!$P108)</f>
        <v>1200</v>
      </c>
      <c r="W108" s="126">
        <f>INDEX(关卡产出!C$8:C$207,MATCH(玩家节奏2!$N108,关卡产出!$B$8:$B$207,0))*$K108</f>
        <v>2528</v>
      </c>
      <c r="X108" s="126">
        <f>INDEX(关卡产出!D$8:D$207,MATCH(玩家节奏2!$N108,关卡产出!$B$8:$B$207,0))*$K108</f>
        <v>1264</v>
      </c>
      <c r="Y108" s="126">
        <f>INDEX(关卡产出!E$8:E$207,MATCH(玩家节奏2!$N108,关卡产出!$B$8:$B$207,0))*$K108</f>
        <v>624</v>
      </c>
      <c r="Z108" s="144">
        <f>INDEX(关卡产出!F$8:F$207,MATCH(玩家节奏2!$N108,关卡产出!$B$8:$B$207,0))*$K108</f>
        <v>32800</v>
      </c>
      <c r="AA108" s="126">
        <f>SUM(W$7:W108)</f>
        <v>199726</v>
      </c>
      <c r="AB108" s="126">
        <f>SUM(X$7:X108)</f>
        <v>99699</v>
      </c>
      <c r="AC108" s="126">
        <f>SUM(Y$7:Y108)</f>
        <v>48995</v>
      </c>
      <c r="AD108" s="177">
        <f>SUM(Z$7:Z108)</f>
        <v>2619130</v>
      </c>
      <c r="AE108" s="128">
        <f>INDEX(图鉴!AQ:AQ,MATCH($N108,图鉴!$S:$S,0))*34</f>
        <v>714</v>
      </c>
      <c r="AF108" s="90">
        <f>INDEX(图鉴!AR:AR,MATCH($N108,图鉴!$S:$S,0))*34</f>
        <v>510</v>
      </c>
      <c r="AG108" s="90">
        <f>INDEX(图鉴!AS:AS,MATCH($N108,图鉴!$S:$S,0))*34</f>
        <v>204</v>
      </c>
      <c r="AH108" s="129">
        <f ca="1">INDEX(图鉴!AT:AT,MATCH($N108,图鉴!$S:$S,0))*34</f>
        <v>55930</v>
      </c>
      <c r="AI108" s="128">
        <f>SUM($AE$7:AE108)</f>
        <v>70924</v>
      </c>
      <c r="AJ108" s="90">
        <f>SUM(AF$7:AF108)</f>
        <v>48552</v>
      </c>
      <c r="AK108" s="90">
        <f>SUM(AG$7:AG108)</f>
        <v>18870</v>
      </c>
      <c r="AL108" s="130">
        <f ca="1">SUM(AH$7:AH108)</f>
        <v>4875226</v>
      </c>
      <c r="AM108" s="133">
        <f>IF(M108=0,0,INDEX(关卡产出!$AU$11:$AU$15,MATCH(玩家节奏2!N108,关卡产出!$AW$11:$AW$15,1))*M108)</f>
        <v>61000</v>
      </c>
      <c r="AN108" s="126">
        <f>IF(L108=0,0,$L108*关卡产出!AU$21)</f>
        <v>16000</v>
      </c>
      <c r="AO108" s="90">
        <f>IF(M108=0,0,$L108*关卡产出!AV$21)</f>
        <v>800</v>
      </c>
      <c r="AP108" s="129">
        <f>IF(N108=0,0,$L108*关卡产出!AW$21)</f>
        <v>16</v>
      </c>
      <c r="AQ108" s="138">
        <f>SUM(AN$7:AN108)</f>
        <v>1584000</v>
      </c>
      <c r="AR108" s="126">
        <f>SUM(AO$7:AO108)</f>
        <v>79200</v>
      </c>
      <c r="AS108" s="129">
        <f>SUM(AP$7:AP108)</f>
        <v>1584</v>
      </c>
      <c r="AT108" s="128">
        <v>3000</v>
      </c>
      <c r="AU108" s="129">
        <v>600</v>
      </c>
      <c r="AV108" s="128">
        <f>SUM(AT$7:AT108)</f>
        <v>306000</v>
      </c>
      <c r="AW108" s="90">
        <f>SUM(AU$7:AU108)</f>
        <v>61200</v>
      </c>
      <c r="AY108" s="128">
        <f t="shared" si="91"/>
        <v>38500</v>
      </c>
      <c r="AZ108" s="90">
        <f t="shared" si="92"/>
        <v>79200</v>
      </c>
      <c r="BA108" s="90">
        <f t="shared" si="93"/>
        <v>61200</v>
      </c>
      <c r="BB108" s="90">
        <f t="shared" ca="1" si="127"/>
        <v>37800</v>
      </c>
      <c r="BC108" s="90">
        <f t="shared" ca="1" si="129"/>
        <v>110525</v>
      </c>
      <c r="BD108" s="90">
        <f t="shared" ca="1" si="130"/>
        <v>106175</v>
      </c>
      <c r="BE108" s="90">
        <f t="shared" ca="1" si="94"/>
        <v>216700</v>
      </c>
      <c r="BF108" s="142">
        <f t="shared" ca="1" si="132"/>
        <v>0.34833748020809774</v>
      </c>
      <c r="BG108" s="142">
        <f t="shared" ca="1" si="133"/>
        <v>0.71657995928522955</v>
      </c>
      <c r="BH108" s="142">
        <f t="shared" ca="1" si="134"/>
        <v>0.55372087762949562</v>
      </c>
      <c r="BI108" s="142">
        <f t="shared" ca="1" si="137"/>
        <v>0.34200407147704137</v>
      </c>
      <c r="BJ108" s="143"/>
      <c r="BK108" s="128">
        <f ca="1">INDEX(商城宝箱!$L:$L,MATCH(BC108,商城宝箱!$N:$N,1))</f>
        <v>12</v>
      </c>
      <c r="BL108" s="90">
        <f ca="1">_xlfn.IFNA(INDEX(商城宝箱!T:T,MATCH(玩家节奏2!$BK108,商城宝箱!$L:$L,0)),0)+($BC108-INDEX(商城宝箱!$N:$N,MATCH(玩家节奏2!$BK108,商城宝箱!$L:$L,0)))/$BK$5*INDEX(商城宝箱!E$23:E$42,MATCH(玩家节奏2!$BK108+1,商城宝箱!$C$23:$C$42,0))</f>
        <v>276312.5</v>
      </c>
      <c r="BM108" s="90">
        <f ca="1">_xlfn.IFNA(INDEX(商城宝箱!U:U,MATCH(玩家节奏2!$BK108,商城宝箱!$L:$L,0)),0)+($BC108-INDEX(商城宝箱!$N:$N,MATCH(玩家节奏2!$BK108,商城宝箱!$L:$L,0)))/$BK$5*INDEX(商城宝箱!F$23:F$42,MATCH(玩家节奏2!$BK108+1,商城宝箱!$C$23:$C$42,0))</f>
        <v>286547.5</v>
      </c>
      <c r="BN108" s="90">
        <f ca="1">_xlfn.IFNA(INDEX(商城宝箱!V:V,MATCH(玩家节奏2!$BK108,商城宝箱!$L:$L,0)),0)+($BC108-INDEX(商城宝箱!$N:$N,MATCH(玩家节奏2!$BK108,商城宝箱!$L:$L,0)))/$BK$5*INDEX(商城宝箱!G$23:G$42,MATCH(玩家节奏2!$BK108+1,商城宝箱!$C$23:$C$42,0))</f>
        <v>147237</v>
      </c>
      <c r="BO108" s="90">
        <f ca="1">_xlfn.IFNA(INDEX(商城宝箱!W:W,MATCH(玩家节奏2!$BK108,商城宝箱!$L:$L,0)),0)+($BC108-INDEX(商城宝箱!$N:$N,MATCH(玩家节奏2!$BK108,商城宝箱!$L:$L,0)))/$BK$5*INDEX(商城宝箱!H$23:H$42,MATCH(玩家节奏2!$BK108+1,商城宝箱!$C$23:$C$42,0))</f>
        <v>22980.25</v>
      </c>
      <c r="BQ108" s="128">
        <f t="shared" si="79"/>
        <v>11610000</v>
      </c>
      <c r="BR108" s="90">
        <f t="shared" si="80"/>
        <v>2619130</v>
      </c>
      <c r="BS108" s="90">
        <f t="shared" ca="1" si="135"/>
        <v>4875226</v>
      </c>
      <c r="BT108" s="90">
        <f t="shared" si="136"/>
        <v>61000</v>
      </c>
      <c r="BU108" s="90">
        <f t="shared" si="83"/>
        <v>1584000</v>
      </c>
      <c r="BV108" s="90">
        <f t="shared" si="84"/>
        <v>306000</v>
      </c>
      <c r="BW108" s="90">
        <f t="shared" ca="1" si="96"/>
        <v>276312.5</v>
      </c>
      <c r="BX108" s="90">
        <f t="shared" ca="1" si="97"/>
        <v>21331668.5</v>
      </c>
      <c r="BY108" s="142">
        <f t="shared" ca="1" si="74"/>
        <v>0.54426122363564766</v>
      </c>
      <c r="BZ108" s="142">
        <f t="shared" ca="1" si="74"/>
        <v>0.12278130048758258</v>
      </c>
      <c r="CA108" s="142">
        <f t="shared" ca="1" si="74"/>
        <v>0.22854405411372297</v>
      </c>
      <c r="CB108" s="142">
        <f t="shared" ca="1" si="74"/>
        <v>2.8595981603595612E-3</v>
      </c>
      <c r="CC108" s="142">
        <f t="shared" ca="1" si="74"/>
        <v>7.4255794852615492E-2</v>
      </c>
      <c r="CD108" s="142">
        <f t="shared" ca="1" si="74"/>
        <v>1.4344869460164356E-2</v>
      </c>
      <c r="CE108" s="142">
        <f t="shared" ca="1" si="74"/>
        <v>1.2953159289907397E-2</v>
      </c>
      <c r="CG108" s="128">
        <f t="shared" si="98"/>
        <v>200</v>
      </c>
      <c r="CH108" s="90">
        <f ca="1">INDEX(角色升级!$A:$A,MATCH(玩家节奏2!$BX108,角色升级!$J:$J,1))</f>
        <v>983</v>
      </c>
      <c r="CI108" s="90">
        <f ca="1">INDEX(角色升级!$O:$O,MATCH(玩家节奏2!$BX108,角色升级!$J:$J,1))</f>
        <v>86205.67803000001</v>
      </c>
      <c r="CJ108" s="90">
        <f>INDEX(关卡对比!$J:$J,MATCH(玩家节奏2!N108,关卡对比!$A:$A,0))</f>
        <v>86200</v>
      </c>
      <c r="CK108" s="147">
        <f t="shared" ca="1" si="99"/>
        <v>0.99993413392099262</v>
      </c>
      <c r="CL108" s="128">
        <f ca="1">INDEX(角色升级!$P:$P,MATCH(玩家节奏2!$CH108,角色升级!$A:$A,0))</f>
        <v>37800</v>
      </c>
      <c r="CM108" s="90">
        <f ca="1">INDEX(角色升级!Q:Q,MATCH(玩家节奏2!$CH108,角色升级!$A:$A,0))</f>
        <v>2.2000000000000002</v>
      </c>
      <c r="CO108" s="128">
        <f t="shared" si="100"/>
        <v>78866</v>
      </c>
      <c r="CP108" s="90">
        <f t="shared" si="101"/>
        <v>199726</v>
      </c>
      <c r="CQ108" s="90">
        <f t="shared" si="102"/>
        <v>70924</v>
      </c>
      <c r="CR108" s="90">
        <f t="shared" ca="1" si="103"/>
        <v>286547.5</v>
      </c>
      <c r="CS108" s="90">
        <f t="shared" ca="1" si="104"/>
        <v>636063.5</v>
      </c>
      <c r="CT108" s="142">
        <f t="shared" ca="1" si="105"/>
        <v>0.12399076507298407</v>
      </c>
      <c r="CU108" s="142">
        <f t="shared" ca="1" si="105"/>
        <v>0.31400324024252296</v>
      </c>
      <c r="CV108" s="142">
        <f t="shared" ca="1" si="105"/>
        <v>0.11150459034357418</v>
      </c>
      <c r="CW108" s="142">
        <f t="shared" ca="1" si="105"/>
        <v>0.45050140434091879</v>
      </c>
      <c r="CY108" s="128">
        <f t="shared" si="106"/>
        <v>39434</v>
      </c>
      <c r="CZ108" s="90">
        <f t="shared" si="107"/>
        <v>99699</v>
      </c>
      <c r="DA108" s="90">
        <f t="shared" si="108"/>
        <v>48552</v>
      </c>
      <c r="DB108" s="90">
        <f t="shared" ca="1" si="128"/>
        <v>147237</v>
      </c>
      <c r="DC108" s="90">
        <f t="shared" ca="1" si="109"/>
        <v>334922</v>
      </c>
      <c r="DD108" s="142">
        <f t="shared" ca="1" si="110"/>
        <v>0.11774084712261362</v>
      </c>
      <c r="DE108" s="142">
        <f t="shared" ca="1" si="110"/>
        <v>0.2976782653871648</v>
      </c>
      <c r="DF108" s="142">
        <f t="shared" ca="1" si="110"/>
        <v>0.14496509635079213</v>
      </c>
      <c r="DG108" s="142">
        <f t="shared" ca="1" si="110"/>
        <v>0.4396157911394295</v>
      </c>
      <c r="DI108" s="128">
        <f t="shared" si="111"/>
        <v>19113</v>
      </c>
      <c r="DJ108" s="90">
        <f t="shared" si="112"/>
        <v>48995</v>
      </c>
      <c r="DK108" s="90">
        <f t="shared" si="113"/>
        <v>18870</v>
      </c>
      <c r="DL108" s="90">
        <f t="shared" ca="1" si="114"/>
        <v>22980.25</v>
      </c>
      <c r="DM108" s="90">
        <f t="shared" ca="1" si="115"/>
        <v>109958.25</v>
      </c>
      <c r="DN108" s="142">
        <f t="shared" ca="1" si="116"/>
        <v>0.173820518242151</v>
      </c>
      <c r="DO108" s="142">
        <f t="shared" ca="1" si="116"/>
        <v>0.44557820809261695</v>
      </c>
      <c r="DP108" s="142">
        <f t="shared" ca="1" si="116"/>
        <v>0.17161058856429601</v>
      </c>
      <c r="DQ108" s="142">
        <f t="shared" ca="1" si="116"/>
        <v>0.20899068510093605</v>
      </c>
      <c r="DS108" s="128">
        <f t="shared" ca="1" si="117"/>
        <v>636063.5</v>
      </c>
      <c r="DT108" s="90">
        <f t="shared" ca="1" si="118"/>
        <v>334922</v>
      </c>
      <c r="DU108" s="90">
        <f t="shared" ca="1" si="119"/>
        <v>109958.25</v>
      </c>
      <c r="DV108" s="90">
        <f t="shared" si="120"/>
        <v>1584</v>
      </c>
      <c r="DW108" s="90">
        <f ca="1">_xlfn.IFNA(INDEX(武器升级消耗!$H:$H,MATCH(玩家节奏2!DS108/玩家节奏2!DS$5,武器升级消耗!M:M,1)),0)</f>
        <v>69</v>
      </c>
      <c r="DX108" s="90">
        <f ca="1">_xlfn.IFNA(INDEX(武器升级消耗!$H:$H,MATCH(玩家节奏2!DT108/玩家节奏2!DT$5,武器升级消耗!N:N,1)),0)</f>
        <v>61</v>
      </c>
      <c r="DY108" s="90">
        <f ca="1">_xlfn.IFNA(INDEX(武器升级消耗!$H:$H,MATCH(玩家节奏2!DU108/玩家节奏2!DU$5,武器升级消耗!O:O,1)),0)</f>
        <v>46</v>
      </c>
      <c r="DZ108" s="90">
        <f>_xlfn.IFNA(INDEX(武器升级消耗!$H:$H,MATCH(玩家节奏2!DV108/玩家节奏2!DV$5,武器升级消耗!P:P,1)),0)</f>
        <v>29</v>
      </c>
      <c r="EA108" s="90">
        <f ca="1">_xlfn.IFNA(INDEX(武器升级消耗!$Q:$Q,MATCH(玩家节奏2!DW108,武器升级消耗!$H:$H,0))*2*EA$4,0)</f>
        <v>8.76</v>
      </c>
      <c r="EB108" s="90">
        <f ca="1">_xlfn.IFNA(INDEX(武器升级消耗!$Q:$Q,MATCH(玩家节奏2!DX108,武器升级消耗!$H:$H,0))*2*EB$4,0)</f>
        <v>9.75</v>
      </c>
      <c r="EC108" s="90">
        <f ca="1">_xlfn.IFNA(INDEX(武器升级消耗!$Q:$Q,MATCH(玩家节奏2!DY108,武器升级消耗!$H:$H,0))*2*EC$4,0)</f>
        <v>11</v>
      </c>
      <c r="ED108" s="90">
        <f>_xlfn.IFNA(INDEX(武器升级消耗!$Q:$Q,MATCH(玩家节奏2!DZ108,武器升级消耗!$H:$H,0))*2*ED$4,0)</f>
        <v>9.8999999999999986</v>
      </c>
    </row>
    <row r="109" spans="1:163" x14ac:dyDescent="0.25">
      <c r="A109" s="123">
        <v>103</v>
      </c>
      <c r="B109" s="123">
        <f>INDEX(关卡对比!$Y:$Y,MATCH(关卡对比!Z109,关卡对比!$AA:$AA,1))</f>
        <v>65</v>
      </c>
      <c r="C109" s="124">
        <f>INDEX(关卡对比!$Y:$Y,MATCH(关卡对比!Z109,关卡对比!$AB:$AB,1))</f>
        <v>52</v>
      </c>
      <c r="D109" s="125">
        <f t="shared" si="131"/>
        <v>409.5</v>
      </c>
      <c r="E109" s="125">
        <v>2</v>
      </c>
      <c r="F109" s="128">
        <v>16</v>
      </c>
      <c r="G109" s="90">
        <v>16</v>
      </c>
      <c r="H109" s="90">
        <v>5</v>
      </c>
      <c r="J109" s="128">
        <v>103</v>
      </c>
      <c r="K109" s="90">
        <f t="shared" si="88"/>
        <v>16</v>
      </c>
      <c r="L109" s="90">
        <f t="shared" si="89"/>
        <v>16</v>
      </c>
      <c r="M109" s="90">
        <f t="shared" si="90"/>
        <v>5</v>
      </c>
      <c r="N109" s="140">
        <f>INDEX($A:$A,MATCH(SUM($K$7:K109),$D:$D,1))</f>
        <v>200</v>
      </c>
      <c r="O109" s="140">
        <v>0</v>
      </c>
      <c r="P109" s="141">
        <v>0</v>
      </c>
      <c r="Q109" s="126">
        <f>_xlfn.MAXIFS(关卡产出!X:X,关卡产出!$A:$A,玩家节奏2!$N$6,关卡产出!$B:$B,玩家节奏2!$N109)+_xlfn.MAXIFS(关卡产出!X:X,关卡产出!$A:$A,玩家节奏2!$O$6,关卡产出!$B:$B,玩家节奏2!$O109)+_xlfn.MAXIFS(关卡产出!X:X,关卡产出!$A:$A,玩家节奏2!$P$6,关卡产出!$B:$B,玩家节奏2!$P109)</f>
        <v>38500</v>
      </c>
      <c r="R109" s="90">
        <f>_xlfn.MAXIFS(关卡产出!Y:Y,关卡产出!$A:$A,玩家节奏2!$N$6,关卡产出!$B:$B,玩家节奏2!$N109)+_xlfn.MAXIFS(关卡产出!Y:Y,关卡产出!$A:$A,玩家节奏2!$O$6,关卡产出!$B:$B,玩家节奏2!$O109)+_xlfn.MAXIFS(关卡产出!Y:Y,关卡产出!$A:$A,玩家节奏2!$P$6,关卡产出!$B:$B,玩家节奏2!$P109)</f>
        <v>11610000</v>
      </c>
      <c r="S109" s="90">
        <f>_xlfn.MAXIFS(关卡产出!Z:Z,关卡产出!$A:$A,玩家节奏2!$N$6,关卡产出!$B:$B,玩家节奏2!$N109)+_xlfn.MAXIFS(关卡产出!Z:Z,关卡产出!$A:$A,玩家节奏2!$O$6,关卡产出!$B:$B,玩家节奏2!$O109)+_xlfn.MAXIFS(关卡产出!Z:Z,关卡产出!$A:$A,玩家节奏2!$P$6,关卡产出!$B:$B,玩家节奏2!$P109)</f>
        <v>78866</v>
      </c>
      <c r="T109" s="90">
        <f>_xlfn.MAXIFS(关卡产出!AA:AA,关卡产出!$A:$A,玩家节奏2!$N$6,关卡产出!$B:$B,玩家节奏2!$N109)+_xlfn.MAXIFS(关卡产出!AA:AA,关卡产出!$A:$A,玩家节奏2!$O$6,关卡产出!$B:$B,玩家节奏2!$O109)+_xlfn.MAXIFS(关卡产出!AA:AA,关卡产出!$A:$A,玩家节奏2!$P$6,关卡产出!$B:$B,玩家节奏2!$P109)</f>
        <v>39434</v>
      </c>
      <c r="U109" s="90">
        <f>_xlfn.MAXIFS(关卡产出!AB:AB,关卡产出!$A:$A,玩家节奏2!$N$6,关卡产出!$B:$B,玩家节奏2!$N109)+_xlfn.MAXIFS(关卡产出!AB:AB,关卡产出!$A:$A,玩家节奏2!$O$6,关卡产出!$B:$B,玩家节奏2!$O109)+_xlfn.MAXIFS(关卡产出!AB:AB,关卡产出!$A:$A,玩家节奏2!$P$6,关卡产出!$B:$B,玩家节奏2!$P109)</f>
        <v>19113</v>
      </c>
      <c r="V109" s="130">
        <f>_xlfn.MAXIFS(关卡产出!AC:AC,关卡产出!$A:$A,玩家节奏2!$N$6,关卡产出!$B:$B,玩家节奏2!$N109)+_xlfn.MAXIFS(关卡产出!AC:AC,关卡产出!$A:$A,玩家节奏2!$O$6,关卡产出!$B:$B,玩家节奏2!$O109)+_xlfn.MAXIFS(关卡产出!AC:AC,关卡产出!$A:$A,玩家节奏2!$P$6,关卡产出!$B:$B,玩家节奏2!$P109)</f>
        <v>1200</v>
      </c>
      <c r="W109" s="126">
        <f>INDEX(关卡产出!C$8:C$207,MATCH(玩家节奏2!$N109,关卡产出!$B$8:$B$207,0))*$K109</f>
        <v>2528</v>
      </c>
      <c r="X109" s="126">
        <f>INDEX(关卡产出!D$8:D$207,MATCH(玩家节奏2!$N109,关卡产出!$B$8:$B$207,0))*$K109</f>
        <v>1264</v>
      </c>
      <c r="Y109" s="126">
        <f>INDEX(关卡产出!E$8:E$207,MATCH(玩家节奏2!$N109,关卡产出!$B$8:$B$207,0))*$K109</f>
        <v>624</v>
      </c>
      <c r="Z109" s="144">
        <f>INDEX(关卡产出!F$8:F$207,MATCH(玩家节奏2!$N109,关卡产出!$B$8:$B$207,0))*$K109</f>
        <v>32800</v>
      </c>
      <c r="AA109" s="126">
        <f>SUM(W$7:W109)</f>
        <v>202254</v>
      </c>
      <c r="AB109" s="126">
        <f>SUM(X$7:X109)</f>
        <v>100963</v>
      </c>
      <c r="AC109" s="126">
        <f>SUM(Y$7:Y109)</f>
        <v>49619</v>
      </c>
      <c r="AD109" s="177">
        <f>SUM(Z$7:Z109)</f>
        <v>2651930</v>
      </c>
      <c r="AE109" s="128">
        <f>INDEX(图鉴!AQ:AQ,MATCH($N109,图鉴!$S:$S,0))*34</f>
        <v>714</v>
      </c>
      <c r="AF109" s="90">
        <f>INDEX(图鉴!AR:AR,MATCH($N109,图鉴!$S:$S,0))*34</f>
        <v>510</v>
      </c>
      <c r="AG109" s="90">
        <f>INDEX(图鉴!AS:AS,MATCH($N109,图鉴!$S:$S,0))*34</f>
        <v>204</v>
      </c>
      <c r="AH109" s="129">
        <f ca="1">INDEX(图鉴!AT:AT,MATCH($N109,图鉴!$S:$S,0))*34</f>
        <v>55930</v>
      </c>
      <c r="AI109" s="128">
        <f>SUM($AE$7:AE109)</f>
        <v>71638</v>
      </c>
      <c r="AJ109" s="90">
        <f>SUM(AF$7:AF109)</f>
        <v>49062</v>
      </c>
      <c r="AK109" s="90">
        <f>SUM(AG$7:AG109)</f>
        <v>19074</v>
      </c>
      <c r="AL109" s="130">
        <f ca="1">SUM(AH$7:AH109)</f>
        <v>4931156</v>
      </c>
      <c r="AM109" s="133">
        <f>IF(M109=0,0,INDEX(关卡产出!$AU$11:$AU$15,MATCH(玩家节奏2!N109,关卡产出!$AW$11:$AW$15,1))*M109)</f>
        <v>61000</v>
      </c>
      <c r="AN109" s="126">
        <f>IF(L109=0,0,$L109*关卡产出!AU$21)</f>
        <v>16000</v>
      </c>
      <c r="AO109" s="90">
        <f>IF(M109=0,0,$L109*关卡产出!AV$21)</f>
        <v>800</v>
      </c>
      <c r="AP109" s="129">
        <f>IF(N109=0,0,$L109*关卡产出!AW$21)</f>
        <v>16</v>
      </c>
      <c r="AQ109" s="138">
        <f>SUM(AN$7:AN109)</f>
        <v>1600000</v>
      </c>
      <c r="AR109" s="126">
        <f>SUM(AO$7:AO109)</f>
        <v>80000</v>
      </c>
      <c r="AS109" s="129">
        <f>SUM(AP$7:AP109)</f>
        <v>1600</v>
      </c>
      <c r="AT109" s="128">
        <v>3000</v>
      </c>
      <c r="AU109" s="129">
        <v>600</v>
      </c>
      <c r="AV109" s="128">
        <f>SUM(AT$7:AT109)</f>
        <v>309000</v>
      </c>
      <c r="AW109" s="90">
        <f>SUM(AU$7:AU109)</f>
        <v>61800</v>
      </c>
      <c r="AY109" s="128">
        <f t="shared" si="91"/>
        <v>38500</v>
      </c>
      <c r="AZ109" s="90">
        <f t="shared" si="92"/>
        <v>80000</v>
      </c>
      <c r="BA109" s="90">
        <f t="shared" si="93"/>
        <v>61800</v>
      </c>
      <c r="BB109" s="90">
        <f t="shared" ca="1" si="127"/>
        <v>37800</v>
      </c>
      <c r="BC109" s="90">
        <f t="shared" ca="1" si="129"/>
        <v>111225</v>
      </c>
      <c r="BD109" s="90">
        <f t="shared" ca="1" si="130"/>
        <v>106875</v>
      </c>
      <c r="BE109" s="90">
        <f t="shared" ca="1" si="94"/>
        <v>218100</v>
      </c>
      <c r="BF109" s="142">
        <f t="shared" ca="1" si="132"/>
        <v>0.34614520116880199</v>
      </c>
      <c r="BG109" s="142">
        <f t="shared" ca="1" si="133"/>
        <v>0.71926275567543263</v>
      </c>
      <c r="BH109" s="142">
        <f t="shared" ca="1" si="134"/>
        <v>0.55563047875927174</v>
      </c>
      <c r="BI109" s="142">
        <f t="shared" ca="1" si="137"/>
        <v>0.33985165205664192</v>
      </c>
      <c r="BJ109" s="143"/>
      <c r="BK109" s="128">
        <f ca="1">INDEX(商城宝箱!$L:$L,MATCH(BC109,商城宝箱!$N:$N,1))</f>
        <v>12</v>
      </c>
      <c r="BL109" s="90">
        <f ca="1">_xlfn.IFNA(INDEX(商城宝箱!T:T,MATCH(玩家节奏2!$BK109,商城宝箱!$L:$L,0)),0)+($BC109-INDEX(商城宝箱!$N:$N,MATCH(玩家节奏2!$BK109,商城宝箱!$L:$L,0)))/$BK$5*INDEX(商城宝箱!E$23:E$42,MATCH(玩家节奏2!$BK109+1,商城宝箱!$C$23:$C$42,0))</f>
        <v>278062.5</v>
      </c>
      <c r="BM109" s="90">
        <f ca="1">_xlfn.IFNA(INDEX(商城宝箱!U:U,MATCH(玩家节奏2!$BK109,商城宝箱!$L:$L,0)),0)+($BC109-INDEX(商城宝箱!$N:$N,MATCH(玩家节奏2!$BK109,商城宝箱!$L:$L,0)))/$BK$5*INDEX(商城宝箱!F$23:F$42,MATCH(玩家节奏2!$BK109+1,商城宝箱!$C$23:$C$42,0))</f>
        <v>289487.5</v>
      </c>
      <c r="BN109" s="90">
        <f ca="1">_xlfn.IFNA(INDEX(商城宝箱!V:V,MATCH(玩家节奏2!$BK109,商城宝箱!$L:$L,0)),0)+($BC109-INDEX(商城宝箱!$N:$N,MATCH(玩家节奏2!$BK109,商城宝箱!$L:$L,0)))/$BK$5*INDEX(商城宝箱!G$23:G$42,MATCH(玩家节奏2!$BK109+1,商城宝箱!$C$23:$C$42,0))</f>
        <v>148637</v>
      </c>
      <c r="BO109" s="90">
        <f ca="1">_xlfn.IFNA(INDEX(商城宝箱!W:W,MATCH(玩家节奏2!$BK109,商城宝箱!$L:$L,0)),0)+($BC109-INDEX(商城宝箱!$N:$N,MATCH(玩家节奏2!$BK109,商城宝箱!$L:$L,0)))/$BK$5*INDEX(商城宝箱!H$23:H$42,MATCH(玩家节奏2!$BK109+1,商城宝箱!$C$23:$C$42,0))</f>
        <v>23225.25</v>
      </c>
      <c r="BQ109" s="128">
        <f t="shared" si="79"/>
        <v>11610000</v>
      </c>
      <c r="BR109" s="90">
        <f t="shared" si="80"/>
        <v>2651930</v>
      </c>
      <c r="BS109" s="90">
        <f t="shared" ca="1" si="135"/>
        <v>4931156</v>
      </c>
      <c r="BT109" s="90">
        <f t="shared" si="136"/>
        <v>61000</v>
      </c>
      <c r="BU109" s="90">
        <f t="shared" si="83"/>
        <v>1600000</v>
      </c>
      <c r="BV109" s="90">
        <f t="shared" si="84"/>
        <v>309000</v>
      </c>
      <c r="BW109" s="90">
        <f t="shared" ca="1" si="96"/>
        <v>278062.5</v>
      </c>
      <c r="BX109" s="90">
        <f t="shared" ca="1" si="97"/>
        <v>21441148.5</v>
      </c>
      <c r="BY109" s="142">
        <f t="shared" ca="1" si="74"/>
        <v>0.54148218785947966</v>
      </c>
      <c r="BZ109" s="142">
        <f t="shared" ca="1" si="74"/>
        <v>0.12368413940139447</v>
      </c>
      <c r="CA109" s="142">
        <f t="shared" ca="1" si="74"/>
        <v>0.22998562786876831</v>
      </c>
      <c r="CB109" s="142">
        <f t="shared" ca="1" si="74"/>
        <v>2.8449968526639328E-3</v>
      </c>
      <c r="CC109" s="142">
        <f t="shared" ca="1" si="74"/>
        <v>7.4622868266594949E-2</v>
      </c>
      <c r="CD109" s="142">
        <f t="shared" ca="1" si="74"/>
        <v>1.4411541433986151E-2</v>
      </c>
      <c r="CE109" s="142">
        <f t="shared" ca="1" si="74"/>
        <v>1.2968638317112537E-2</v>
      </c>
      <c r="CG109" s="128">
        <f t="shared" si="98"/>
        <v>200</v>
      </c>
      <c r="CH109" s="90">
        <f ca="1">INDEX(角色升级!$A:$A,MATCH(玩家节奏2!$BX109,角色升级!$J:$J,1))</f>
        <v>986</v>
      </c>
      <c r="CI109" s="90">
        <f ca="1">INDEX(角色升级!$O:$O,MATCH(玩家节奏2!$BX109,角色升级!$J:$J,1))</f>
        <v>86317.054875000016</v>
      </c>
      <c r="CJ109" s="90">
        <f>INDEX(关卡对比!$J:$J,MATCH(玩家节奏2!N109,关卡对比!$A:$A,0))</f>
        <v>86200</v>
      </c>
      <c r="CK109" s="147">
        <f t="shared" ca="1" si="99"/>
        <v>0.99864389632883643</v>
      </c>
      <c r="CL109" s="128">
        <f ca="1">INDEX(角色升级!$P:$P,MATCH(玩家节奏2!$CH109,角色升级!$A:$A,0))</f>
        <v>37800</v>
      </c>
      <c r="CM109" s="90">
        <f ca="1">INDEX(角色升级!Q:Q,MATCH(玩家节奏2!$CH109,角色升级!$A:$A,0))</f>
        <v>2.2000000000000002</v>
      </c>
      <c r="CO109" s="128">
        <f t="shared" si="100"/>
        <v>78866</v>
      </c>
      <c r="CP109" s="90">
        <f t="shared" si="101"/>
        <v>202254</v>
      </c>
      <c r="CQ109" s="90">
        <f t="shared" si="102"/>
        <v>71638</v>
      </c>
      <c r="CR109" s="90">
        <f t="shared" ca="1" si="103"/>
        <v>289487.5</v>
      </c>
      <c r="CS109" s="90">
        <f t="shared" ca="1" si="104"/>
        <v>642245.5</v>
      </c>
      <c r="CT109" s="142">
        <f t="shared" ca="1" si="105"/>
        <v>0.12279727923356411</v>
      </c>
      <c r="CU109" s="142">
        <f t="shared" ca="1" si="105"/>
        <v>0.31491695932474417</v>
      </c>
      <c r="CV109" s="142">
        <f t="shared" ca="1" si="105"/>
        <v>0.11154301587165656</v>
      </c>
      <c r="CW109" s="142">
        <f t="shared" ca="1" si="105"/>
        <v>0.45074274557003513</v>
      </c>
      <c r="CY109" s="128">
        <f t="shared" si="106"/>
        <v>39434</v>
      </c>
      <c r="CZ109" s="90">
        <f t="shared" si="107"/>
        <v>100963</v>
      </c>
      <c r="DA109" s="90">
        <f t="shared" si="108"/>
        <v>49062</v>
      </c>
      <c r="DB109" s="90">
        <f t="shared" ca="1" si="128"/>
        <v>148637</v>
      </c>
      <c r="DC109" s="90">
        <f t="shared" ca="1" si="109"/>
        <v>338096</v>
      </c>
      <c r="DD109" s="142">
        <f t="shared" ca="1" si="110"/>
        <v>0.11663551180729734</v>
      </c>
      <c r="DE109" s="142">
        <f t="shared" ca="1" si="110"/>
        <v>0.29862228479485114</v>
      </c>
      <c r="DF109" s="142">
        <f t="shared" ca="1" si="110"/>
        <v>0.14511263073209976</v>
      </c>
      <c r="DG109" s="142">
        <f t="shared" ca="1" si="110"/>
        <v>0.43962957266575176</v>
      </c>
      <c r="DI109" s="128">
        <f t="shared" si="111"/>
        <v>19113</v>
      </c>
      <c r="DJ109" s="90">
        <f t="shared" si="112"/>
        <v>49619</v>
      </c>
      <c r="DK109" s="90">
        <f t="shared" si="113"/>
        <v>19074</v>
      </c>
      <c r="DL109" s="90">
        <f t="shared" ca="1" si="114"/>
        <v>23225.25</v>
      </c>
      <c r="DM109" s="90">
        <f t="shared" ca="1" si="115"/>
        <v>111031.25</v>
      </c>
      <c r="DN109" s="142">
        <f t="shared" ca="1" si="116"/>
        <v>0.17214072614691811</v>
      </c>
      <c r="DO109" s="142">
        <f t="shared" ca="1" si="116"/>
        <v>0.44689220377146072</v>
      </c>
      <c r="DP109" s="142">
        <f t="shared" ca="1" si="116"/>
        <v>0.17178947368421052</v>
      </c>
      <c r="DQ109" s="142">
        <f t="shared" ca="1" si="116"/>
        <v>0.20917759639741063</v>
      </c>
      <c r="DS109" s="128">
        <f t="shared" ca="1" si="117"/>
        <v>642245.5</v>
      </c>
      <c r="DT109" s="90">
        <f t="shared" ca="1" si="118"/>
        <v>338096</v>
      </c>
      <c r="DU109" s="90">
        <f t="shared" ca="1" si="119"/>
        <v>111031.25</v>
      </c>
      <c r="DV109" s="90">
        <f t="shared" si="120"/>
        <v>1600</v>
      </c>
      <c r="DW109" s="90">
        <f ca="1">_xlfn.IFNA(INDEX(武器升级消耗!$H:$H,MATCH(玩家节奏2!DS109/玩家节奏2!DS$5,武器升级消耗!M:M,1)),0)</f>
        <v>70</v>
      </c>
      <c r="DX109" s="90">
        <f ca="1">_xlfn.IFNA(INDEX(武器升级消耗!$H:$H,MATCH(玩家节奏2!DT109/玩家节奏2!DT$5,武器升级消耗!N:N,1)),0)</f>
        <v>61</v>
      </c>
      <c r="DY109" s="90">
        <f ca="1">_xlfn.IFNA(INDEX(武器升级消耗!$H:$H,MATCH(玩家节奏2!DU109/玩家节奏2!DU$5,武器升级消耗!O:O,1)),0)</f>
        <v>46</v>
      </c>
      <c r="DZ109" s="90">
        <f>_xlfn.IFNA(INDEX(武器升级消耗!$H:$H,MATCH(玩家节奏2!DV109/玩家节奏2!DV$5,武器升级消耗!P:P,1)),0)</f>
        <v>29</v>
      </c>
      <c r="EA109" s="90">
        <f ca="1">_xlfn.IFNA(INDEX(武器升级消耗!$Q:$Q,MATCH(玩家节奏2!DW109,武器升级消耗!$H:$H,0))*2*EA$4,0)</f>
        <v>8.8800000000000008</v>
      </c>
      <c r="EB109" s="90">
        <f ca="1">_xlfn.IFNA(INDEX(武器升级消耗!$Q:$Q,MATCH(玩家节奏2!DX109,武器升级消耗!$H:$H,0))*2*EB$4,0)</f>
        <v>9.75</v>
      </c>
      <c r="EC109" s="90">
        <f ca="1">_xlfn.IFNA(INDEX(武器升级消耗!$Q:$Q,MATCH(玩家节奏2!DY109,武器升级消耗!$H:$H,0))*2*EC$4,0)</f>
        <v>11</v>
      </c>
      <c r="ED109" s="90">
        <f>_xlfn.IFNA(INDEX(武器升级消耗!$Q:$Q,MATCH(玩家节奏2!DZ109,武器升级消耗!$H:$H,0))*2*ED$4,0)</f>
        <v>9.8999999999999986</v>
      </c>
    </row>
    <row r="110" spans="1:163" x14ac:dyDescent="0.25">
      <c r="A110" s="123">
        <v>104</v>
      </c>
      <c r="B110" s="123">
        <f>INDEX(关卡对比!$Y:$Y,MATCH(关卡对比!Z110,关卡对比!$AA:$AA,1))</f>
        <v>65</v>
      </c>
      <c r="C110" s="124">
        <f>INDEX(关卡对比!$Y:$Y,MATCH(关卡对比!Z110,关卡对比!$AB:$AB,1))</f>
        <v>53</v>
      </c>
      <c r="D110" s="125">
        <f t="shared" si="131"/>
        <v>413.5</v>
      </c>
      <c r="E110" s="125">
        <v>2</v>
      </c>
      <c r="F110" s="128">
        <v>16</v>
      </c>
      <c r="G110" s="90">
        <v>16</v>
      </c>
      <c r="H110" s="90">
        <v>5</v>
      </c>
      <c r="J110" s="128">
        <v>104</v>
      </c>
      <c r="K110" s="90">
        <f t="shared" si="88"/>
        <v>16</v>
      </c>
      <c r="L110" s="90">
        <f t="shared" si="89"/>
        <v>16</v>
      </c>
      <c r="M110" s="90">
        <f t="shared" si="90"/>
        <v>5</v>
      </c>
      <c r="N110" s="140">
        <f>INDEX($A:$A,MATCH(SUM($K$7:K110),$D:$D,1))</f>
        <v>200</v>
      </c>
      <c r="O110" s="140">
        <v>0</v>
      </c>
      <c r="P110" s="141">
        <v>0</v>
      </c>
      <c r="Q110" s="126">
        <f>_xlfn.MAXIFS(关卡产出!X:X,关卡产出!$A:$A,玩家节奏2!$N$6,关卡产出!$B:$B,玩家节奏2!$N110)+_xlfn.MAXIFS(关卡产出!X:X,关卡产出!$A:$A,玩家节奏2!$O$6,关卡产出!$B:$B,玩家节奏2!$O110)+_xlfn.MAXIFS(关卡产出!X:X,关卡产出!$A:$A,玩家节奏2!$P$6,关卡产出!$B:$B,玩家节奏2!$P110)</f>
        <v>38500</v>
      </c>
      <c r="R110" s="90">
        <f>_xlfn.MAXIFS(关卡产出!Y:Y,关卡产出!$A:$A,玩家节奏2!$N$6,关卡产出!$B:$B,玩家节奏2!$N110)+_xlfn.MAXIFS(关卡产出!Y:Y,关卡产出!$A:$A,玩家节奏2!$O$6,关卡产出!$B:$B,玩家节奏2!$O110)+_xlfn.MAXIFS(关卡产出!Y:Y,关卡产出!$A:$A,玩家节奏2!$P$6,关卡产出!$B:$B,玩家节奏2!$P110)</f>
        <v>11610000</v>
      </c>
      <c r="S110" s="90">
        <f>_xlfn.MAXIFS(关卡产出!Z:Z,关卡产出!$A:$A,玩家节奏2!$N$6,关卡产出!$B:$B,玩家节奏2!$N110)+_xlfn.MAXIFS(关卡产出!Z:Z,关卡产出!$A:$A,玩家节奏2!$O$6,关卡产出!$B:$B,玩家节奏2!$O110)+_xlfn.MAXIFS(关卡产出!Z:Z,关卡产出!$A:$A,玩家节奏2!$P$6,关卡产出!$B:$B,玩家节奏2!$P110)</f>
        <v>78866</v>
      </c>
      <c r="T110" s="90">
        <f>_xlfn.MAXIFS(关卡产出!AA:AA,关卡产出!$A:$A,玩家节奏2!$N$6,关卡产出!$B:$B,玩家节奏2!$N110)+_xlfn.MAXIFS(关卡产出!AA:AA,关卡产出!$A:$A,玩家节奏2!$O$6,关卡产出!$B:$B,玩家节奏2!$O110)+_xlfn.MAXIFS(关卡产出!AA:AA,关卡产出!$A:$A,玩家节奏2!$P$6,关卡产出!$B:$B,玩家节奏2!$P110)</f>
        <v>39434</v>
      </c>
      <c r="U110" s="90">
        <f>_xlfn.MAXIFS(关卡产出!AB:AB,关卡产出!$A:$A,玩家节奏2!$N$6,关卡产出!$B:$B,玩家节奏2!$N110)+_xlfn.MAXIFS(关卡产出!AB:AB,关卡产出!$A:$A,玩家节奏2!$O$6,关卡产出!$B:$B,玩家节奏2!$O110)+_xlfn.MAXIFS(关卡产出!AB:AB,关卡产出!$A:$A,玩家节奏2!$P$6,关卡产出!$B:$B,玩家节奏2!$P110)</f>
        <v>19113</v>
      </c>
      <c r="V110" s="130">
        <f>_xlfn.MAXIFS(关卡产出!AC:AC,关卡产出!$A:$A,玩家节奏2!$N$6,关卡产出!$B:$B,玩家节奏2!$N110)+_xlfn.MAXIFS(关卡产出!AC:AC,关卡产出!$A:$A,玩家节奏2!$O$6,关卡产出!$B:$B,玩家节奏2!$O110)+_xlfn.MAXIFS(关卡产出!AC:AC,关卡产出!$A:$A,玩家节奏2!$P$6,关卡产出!$B:$B,玩家节奏2!$P110)</f>
        <v>1200</v>
      </c>
      <c r="W110" s="126">
        <f>INDEX(关卡产出!C$8:C$207,MATCH(玩家节奏2!$N110,关卡产出!$B$8:$B$207,0))*$K110</f>
        <v>2528</v>
      </c>
      <c r="X110" s="126">
        <f>INDEX(关卡产出!D$8:D$207,MATCH(玩家节奏2!$N110,关卡产出!$B$8:$B$207,0))*$K110</f>
        <v>1264</v>
      </c>
      <c r="Y110" s="126">
        <f>INDEX(关卡产出!E$8:E$207,MATCH(玩家节奏2!$N110,关卡产出!$B$8:$B$207,0))*$K110</f>
        <v>624</v>
      </c>
      <c r="Z110" s="144">
        <f>INDEX(关卡产出!F$8:F$207,MATCH(玩家节奏2!$N110,关卡产出!$B$8:$B$207,0))*$K110</f>
        <v>32800</v>
      </c>
      <c r="AA110" s="126">
        <f>SUM(W$7:W110)</f>
        <v>204782</v>
      </c>
      <c r="AB110" s="126">
        <f>SUM(X$7:X110)</f>
        <v>102227</v>
      </c>
      <c r="AC110" s="126">
        <f>SUM(Y$7:Y110)</f>
        <v>50243</v>
      </c>
      <c r="AD110" s="177">
        <f>SUM(Z$7:Z110)</f>
        <v>2684730</v>
      </c>
      <c r="AE110" s="128">
        <f>INDEX(图鉴!AQ:AQ,MATCH($N110,图鉴!$S:$S,0))*34</f>
        <v>714</v>
      </c>
      <c r="AF110" s="90">
        <f>INDEX(图鉴!AR:AR,MATCH($N110,图鉴!$S:$S,0))*34</f>
        <v>510</v>
      </c>
      <c r="AG110" s="90">
        <f>INDEX(图鉴!AS:AS,MATCH($N110,图鉴!$S:$S,0))*34</f>
        <v>204</v>
      </c>
      <c r="AH110" s="129">
        <f ca="1">INDEX(图鉴!AT:AT,MATCH($N110,图鉴!$S:$S,0))*34</f>
        <v>55930</v>
      </c>
      <c r="AI110" s="128">
        <f>SUM($AE$7:AE110)</f>
        <v>72352</v>
      </c>
      <c r="AJ110" s="90">
        <f>SUM(AF$7:AF110)</f>
        <v>49572</v>
      </c>
      <c r="AK110" s="90">
        <f>SUM(AG$7:AG110)</f>
        <v>19278</v>
      </c>
      <c r="AL110" s="130">
        <f ca="1">SUM(AH$7:AH110)</f>
        <v>4987086</v>
      </c>
      <c r="AM110" s="133">
        <f>IF(M110=0,0,INDEX(关卡产出!$AU$11:$AU$15,MATCH(玩家节奏2!N110,关卡产出!$AW$11:$AW$15,1))*M110)</f>
        <v>61000</v>
      </c>
      <c r="AN110" s="126">
        <f>IF(L110=0,0,$L110*关卡产出!AU$21)</f>
        <v>16000</v>
      </c>
      <c r="AO110" s="90">
        <f>IF(M110=0,0,$L110*关卡产出!AV$21)</f>
        <v>800</v>
      </c>
      <c r="AP110" s="129">
        <f>IF(N110=0,0,$L110*关卡产出!AW$21)</f>
        <v>16</v>
      </c>
      <c r="AQ110" s="138">
        <f>SUM(AN$7:AN110)</f>
        <v>1616000</v>
      </c>
      <c r="AR110" s="126">
        <f>SUM(AO$7:AO110)</f>
        <v>80800</v>
      </c>
      <c r="AS110" s="129">
        <f>SUM(AP$7:AP110)</f>
        <v>1616</v>
      </c>
      <c r="AT110" s="128">
        <v>3000</v>
      </c>
      <c r="AU110" s="129">
        <v>600</v>
      </c>
      <c r="AV110" s="128">
        <f>SUM(AT$7:AT110)</f>
        <v>312000</v>
      </c>
      <c r="AW110" s="90">
        <f>SUM(AU$7:AU110)</f>
        <v>62400</v>
      </c>
      <c r="AY110" s="128">
        <f t="shared" si="91"/>
        <v>38500</v>
      </c>
      <c r="AZ110" s="90">
        <f t="shared" si="92"/>
        <v>80800</v>
      </c>
      <c r="BA110" s="90">
        <f t="shared" si="93"/>
        <v>62400</v>
      </c>
      <c r="BB110" s="90">
        <f t="shared" ca="1" si="127"/>
        <v>37800</v>
      </c>
      <c r="BC110" s="90">
        <f t="shared" ca="1" si="129"/>
        <v>111925</v>
      </c>
      <c r="BD110" s="90">
        <f t="shared" ca="1" si="130"/>
        <v>107575</v>
      </c>
      <c r="BE110" s="90">
        <f t="shared" ca="1" si="94"/>
        <v>219500</v>
      </c>
      <c r="BF110" s="142">
        <f t="shared" ca="1" si="132"/>
        <v>0.34398034398034399</v>
      </c>
      <c r="BG110" s="142">
        <f t="shared" ca="1" si="133"/>
        <v>0.72191199463926736</v>
      </c>
      <c r="BH110" s="142">
        <f t="shared" ca="1" si="134"/>
        <v>0.5575161938798302</v>
      </c>
      <c r="BI110" s="142">
        <f t="shared" ca="1" si="137"/>
        <v>0.33772615590797411</v>
      </c>
      <c r="BJ110" s="143"/>
      <c r="BK110" s="128">
        <f ca="1">INDEX(商城宝箱!$L:$L,MATCH(BC110,商城宝箱!$N:$N,1))</f>
        <v>12</v>
      </c>
      <c r="BL110" s="90">
        <f ca="1">_xlfn.IFNA(INDEX(商城宝箱!T:T,MATCH(玩家节奏2!$BK110,商城宝箱!$L:$L,0)),0)+($BC110-INDEX(商城宝箱!$N:$N,MATCH(玩家节奏2!$BK110,商城宝箱!$L:$L,0)))/$BK$5*INDEX(商城宝箱!E$23:E$42,MATCH(玩家节奏2!$BK110+1,商城宝箱!$C$23:$C$42,0))</f>
        <v>279812.5</v>
      </c>
      <c r="BM110" s="90">
        <f ca="1">_xlfn.IFNA(INDEX(商城宝箱!U:U,MATCH(玩家节奏2!$BK110,商城宝箱!$L:$L,0)),0)+($BC110-INDEX(商城宝箱!$N:$N,MATCH(玩家节奏2!$BK110,商城宝箱!$L:$L,0)))/$BK$5*INDEX(商城宝箱!F$23:F$42,MATCH(玩家节奏2!$BK110+1,商城宝箱!$C$23:$C$42,0))</f>
        <v>292427.5</v>
      </c>
      <c r="BN110" s="90">
        <f ca="1">_xlfn.IFNA(INDEX(商城宝箱!V:V,MATCH(玩家节奏2!$BK110,商城宝箱!$L:$L,0)),0)+($BC110-INDEX(商城宝箱!$N:$N,MATCH(玩家节奏2!$BK110,商城宝箱!$L:$L,0)))/$BK$5*INDEX(商城宝箱!G$23:G$42,MATCH(玩家节奏2!$BK110+1,商城宝箱!$C$23:$C$42,0))</f>
        <v>150037</v>
      </c>
      <c r="BO110" s="90">
        <f ca="1">_xlfn.IFNA(INDEX(商城宝箱!W:W,MATCH(玩家节奏2!$BK110,商城宝箱!$L:$L,0)),0)+($BC110-INDEX(商城宝箱!$N:$N,MATCH(玩家节奏2!$BK110,商城宝箱!$L:$L,0)))/$BK$5*INDEX(商城宝箱!H$23:H$42,MATCH(玩家节奏2!$BK110+1,商城宝箱!$C$23:$C$42,0))</f>
        <v>23470.25</v>
      </c>
      <c r="BQ110" s="128">
        <f t="shared" si="79"/>
        <v>11610000</v>
      </c>
      <c r="BR110" s="90">
        <f t="shared" si="80"/>
        <v>2684730</v>
      </c>
      <c r="BS110" s="90">
        <f t="shared" ca="1" si="135"/>
        <v>4987086</v>
      </c>
      <c r="BT110" s="90">
        <f t="shared" si="136"/>
        <v>61000</v>
      </c>
      <c r="BU110" s="90">
        <f t="shared" si="83"/>
        <v>1616000</v>
      </c>
      <c r="BV110" s="90">
        <f t="shared" si="84"/>
        <v>312000</v>
      </c>
      <c r="BW110" s="90">
        <f t="shared" ca="1" si="96"/>
        <v>279812.5</v>
      </c>
      <c r="BX110" s="90">
        <f t="shared" ca="1" si="97"/>
        <v>21550628.5</v>
      </c>
      <c r="BY110" s="142">
        <f t="shared" ca="1" si="74"/>
        <v>0.53873138781080099</v>
      </c>
      <c r="BZ110" s="142">
        <f t="shared" ca="1" si="74"/>
        <v>0.12457780523663149</v>
      </c>
      <c r="CA110" s="142">
        <f t="shared" ca="1" si="74"/>
        <v>0.23141255485889889</v>
      </c>
      <c r="CB110" s="142">
        <f t="shared" ca="1" si="74"/>
        <v>2.8305438980584718E-3</v>
      </c>
      <c r="CC110" s="142">
        <f t="shared" ca="1" si="74"/>
        <v>7.4986212119057219E-2</v>
      </c>
      <c r="CD110" s="142">
        <f t="shared" ca="1" si="74"/>
        <v>1.4477536003184315E-2</v>
      </c>
      <c r="CE110" s="142">
        <f t="shared" ca="1" si="74"/>
        <v>1.2983960073368626E-2</v>
      </c>
      <c r="CG110" s="128">
        <f t="shared" si="98"/>
        <v>200</v>
      </c>
      <c r="CH110" s="90">
        <f ca="1">INDEX(角色升级!$A:$A,MATCH(玩家节奏2!$BX110,角色升级!$J:$J,1))</f>
        <v>989</v>
      </c>
      <c r="CI110" s="90">
        <f ca="1">INDEX(角色升级!$O:$O,MATCH(玩家节奏2!$BX110,角色升级!$J:$J,1))</f>
        <v>86428.431720000008</v>
      </c>
      <c r="CJ110" s="90">
        <f>INDEX(关卡对比!$J:$J,MATCH(玩家节奏2!N110,关卡对比!$A:$A,0))</f>
        <v>86200</v>
      </c>
      <c r="CK110" s="147">
        <f t="shared" ca="1" si="99"/>
        <v>0.99735698409129936</v>
      </c>
      <c r="CL110" s="128">
        <f ca="1">INDEX(角色升级!$P:$P,MATCH(玩家节奏2!$CH110,角色升级!$A:$A,0))</f>
        <v>37800</v>
      </c>
      <c r="CM110" s="90">
        <f ca="1">INDEX(角色升级!Q:Q,MATCH(玩家节奏2!$CH110,角色升级!$A:$A,0))</f>
        <v>2.2000000000000002</v>
      </c>
      <c r="CO110" s="128">
        <f t="shared" si="100"/>
        <v>78866</v>
      </c>
      <c r="CP110" s="90">
        <f t="shared" si="101"/>
        <v>204782</v>
      </c>
      <c r="CQ110" s="90">
        <f t="shared" si="102"/>
        <v>72352</v>
      </c>
      <c r="CR110" s="90">
        <f t="shared" ca="1" si="103"/>
        <v>292427.5</v>
      </c>
      <c r="CS110" s="90">
        <f t="shared" ca="1" si="104"/>
        <v>648427.5</v>
      </c>
      <c r="CT110" s="142">
        <f t="shared" ca="1" si="105"/>
        <v>0.12162655038535534</v>
      </c>
      <c r="CU110" s="142">
        <f t="shared" ca="1" si="105"/>
        <v>0.31581325591527193</v>
      </c>
      <c r="CV110" s="142">
        <f t="shared" ca="1" si="105"/>
        <v>0.11158070871454404</v>
      </c>
      <c r="CW110" s="142">
        <f t="shared" ca="1" si="105"/>
        <v>0.4509794849848287</v>
      </c>
      <c r="CY110" s="128">
        <f t="shared" si="106"/>
        <v>39434</v>
      </c>
      <c r="CZ110" s="90">
        <f t="shared" si="107"/>
        <v>102227</v>
      </c>
      <c r="DA110" s="90">
        <f t="shared" si="108"/>
        <v>49572</v>
      </c>
      <c r="DB110" s="90">
        <f t="shared" ca="1" si="128"/>
        <v>150037</v>
      </c>
      <c r="DC110" s="90">
        <f t="shared" ca="1" si="109"/>
        <v>341270</v>
      </c>
      <c r="DD110" s="142">
        <f t="shared" ca="1" si="110"/>
        <v>0.11555073695314561</v>
      </c>
      <c r="DE110" s="142">
        <f t="shared" ca="1" si="110"/>
        <v>0.29954874439593282</v>
      </c>
      <c r="DF110" s="142">
        <f t="shared" ca="1" si="110"/>
        <v>0.14525742081050194</v>
      </c>
      <c r="DG110" s="142">
        <f t="shared" ca="1" si="110"/>
        <v>0.43964309784041961</v>
      </c>
      <c r="DI110" s="128">
        <f t="shared" si="111"/>
        <v>19113</v>
      </c>
      <c r="DJ110" s="90">
        <f t="shared" si="112"/>
        <v>50243</v>
      </c>
      <c r="DK110" s="90">
        <f t="shared" si="113"/>
        <v>19278</v>
      </c>
      <c r="DL110" s="90">
        <f t="shared" ca="1" si="114"/>
        <v>23470.25</v>
      </c>
      <c r="DM110" s="90">
        <f t="shared" ca="1" si="115"/>
        <v>112104.25</v>
      </c>
      <c r="DN110" s="142">
        <f t="shared" ca="1" si="116"/>
        <v>0.17049309013708222</v>
      </c>
      <c r="DO110" s="142">
        <f t="shared" ca="1" si="116"/>
        <v>0.44818104576766715</v>
      </c>
      <c r="DP110" s="142">
        <f t="shared" ca="1" si="116"/>
        <v>0.17196493442487684</v>
      </c>
      <c r="DQ110" s="142">
        <f t="shared" ca="1" si="116"/>
        <v>0.20936092967037379</v>
      </c>
      <c r="DS110" s="128">
        <f t="shared" ca="1" si="117"/>
        <v>648427.5</v>
      </c>
      <c r="DT110" s="90">
        <f t="shared" ca="1" si="118"/>
        <v>341270</v>
      </c>
      <c r="DU110" s="90">
        <f t="shared" ca="1" si="119"/>
        <v>112104.25</v>
      </c>
      <c r="DV110" s="90">
        <f t="shared" si="120"/>
        <v>1616</v>
      </c>
      <c r="DW110" s="90">
        <f ca="1">_xlfn.IFNA(INDEX(武器升级消耗!$H:$H,MATCH(玩家节奏2!DS110/玩家节奏2!DS$5,武器升级消耗!M:M,1)),0)</f>
        <v>70</v>
      </c>
      <c r="DX110" s="90">
        <f ca="1">_xlfn.IFNA(INDEX(武器升级消耗!$H:$H,MATCH(玩家节奏2!DT110/玩家节奏2!DT$5,武器升级消耗!N:N,1)),0)</f>
        <v>61</v>
      </c>
      <c r="DY110" s="90">
        <f ca="1">_xlfn.IFNA(INDEX(武器升级消耗!$H:$H,MATCH(玩家节奏2!DU110/玩家节奏2!DU$5,武器升级消耗!O:O,1)),0)</f>
        <v>46</v>
      </c>
      <c r="DZ110" s="90">
        <f>_xlfn.IFNA(INDEX(武器升级消耗!$H:$H,MATCH(玩家节奏2!DV110/玩家节奏2!DV$5,武器升级消耗!P:P,1)),0)</f>
        <v>29</v>
      </c>
      <c r="EA110" s="90">
        <f ca="1">_xlfn.IFNA(INDEX(武器升级消耗!$Q:$Q,MATCH(玩家节奏2!DW110,武器升级消耗!$H:$H,0))*2*EA$4,0)</f>
        <v>8.8800000000000008</v>
      </c>
      <c r="EB110" s="90">
        <f ca="1">_xlfn.IFNA(INDEX(武器升级消耗!$Q:$Q,MATCH(玩家节奏2!DX110,武器升级消耗!$H:$H,0))*2*EB$4,0)</f>
        <v>9.75</v>
      </c>
      <c r="EC110" s="90">
        <f ca="1">_xlfn.IFNA(INDEX(武器升级消耗!$Q:$Q,MATCH(玩家节奏2!DY110,武器升级消耗!$H:$H,0))*2*EC$4,0)</f>
        <v>11</v>
      </c>
      <c r="ED110" s="90">
        <f>_xlfn.IFNA(INDEX(武器升级消耗!$Q:$Q,MATCH(玩家节奏2!DZ110,武器升级消耗!$H:$H,0))*2*ED$4,0)</f>
        <v>9.8999999999999986</v>
      </c>
    </row>
    <row r="111" spans="1:163" x14ac:dyDescent="0.25">
      <c r="A111" s="123">
        <v>105</v>
      </c>
      <c r="B111" s="123">
        <f>INDEX(关卡对比!$Y:$Y,MATCH(关卡对比!Z111,关卡对比!$AA:$AA,1))</f>
        <v>66</v>
      </c>
      <c r="C111" s="124">
        <f>INDEX(关卡对比!$Y:$Y,MATCH(关卡对比!Z111,关卡对比!$AB:$AB,1))</f>
        <v>53</v>
      </c>
      <c r="D111" s="125">
        <f t="shared" si="131"/>
        <v>417.5</v>
      </c>
      <c r="E111" s="125">
        <v>2</v>
      </c>
      <c r="F111" s="128">
        <v>16</v>
      </c>
      <c r="G111" s="90">
        <v>16</v>
      </c>
      <c r="H111" s="90">
        <v>5</v>
      </c>
      <c r="J111" s="128">
        <v>105</v>
      </c>
      <c r="K111" s="90">
        <f t="shared" si="88"/>
        <v>16</v>
      </c>
      <c r="L111" s="90">
        <f t="shared" si="89"/>
        <v>16</v>
      </c>
      <c r="M111" s="90">
        <f t="shared" si="90"/>
        <v>5</v>
      </c>
      <c r="N111" s="140">
        <f>INDEX($A:$A,MATCH(SUM($K$7:K111),$D:$D,1))</f>
        <v>200</v>
      </c>
      <c r="O111" s="140">
        <v>0</v>
      </c>
      <c r="P111" s="141">
        <v>0</v>
      </c>
      <c r="Q111" s="126">
        <f>_xlfn.MAXIFS(关卡产出!X:X,关卡产出!$A:$A,玩家节奏2!$N$6,关卡产出!$B:$B,玩家节奏2!$N111)+_xlfn.MAXIFS(关卡产出!X:X,关卡产出!$A:$A,玩家节奏2!$O$6,关卡产出!$B:$B,玩家节奏2!$O111)+_xlfn.MAXIFS(关卡产出!X:X,关卡产出!$A:$A,玩家节奏2!$P$6,关卡产出!$B:$B,玩家节奏2!$P111)</f>
        <v>38500</v>
      </c>
      <c r="R111" s="90">
        <f>_xlfn.MAXIFS(关卡产出!Y:Y,关卡产出!$A:$A,玩家节奏2!$N$6,关卡产出!$B:$B,玩家节奏2!$N111)+_xlfn.MAXIFS(关卡产出!Y:Y,关卡产出!$A:$A,玩家节奏2!$O$6,关卡产出!$B:$B,玩家节奏2!$O111)+_xlfn.MAXIFS(关卡产出!Y:Y,关卡产出!$A:$A,玩家节奏2!$P$6,关卡产出!$B:$B,玩家节奏2!$P111)</f>
        <v>11610000</v>
      </c>
      <c r="S111" s="90">
        <f>_xlfn.MAXIFS(关卡产出!Z:Z,关卡产出!$A:$A,玩家节奏2!$N$6,关卡产出!$B:$B,玩家节奏2!$N111)+_xlfn.MAXIFS(关卡产出!Z:Z,关卡产出!$A:$A,玩家节奏2!$O$6,关卡产出!$B:$B,玩家节奏2!$O111)+_xlfn.MAXIFS(关卡产出!Z:Z,关卡产出!$A:$A,玩家节奏2!$P$6,关卡产出!$B:$B,玩家节奏2!$P111)</f>
        <v>78866</v>
      </c>
      <c r="T111" s="90">
        <f>_xlfn.MAXIFS(关卡产出!AA:AA,关卡产出!$A:$A,玩家节奏2!$N$6,关卡产出!$B:$B,玩家节奏2!$N111)+_xlfn.MAXIFS(关卡产出!AA:AA,关卡产出!$A:$A,玩家节奏2!$O$6,关卡产出!$B:$B,玩家节奏2!$O111)+_xlfn.MAXIFS(关卡产出!AA:AA,关卡产出!$A:$A,玩家节奏2!$P$6,关卡产出!$B:$B,玩家节奏2!$P111)</f>
        <v>39434</v>
      </c>
      <c r="U111" s="90">
        <f>_xlfn.MAXIFS(关卡产出!AB:AB,关卡产出!$A:$A,玩家节奏2!$N$6,关卡产出!$B:$B,玩家节奏2!$N111)+_xlfn.MAXIFS(关卡产出!AB:AB,关卡产出!$A:$A,玩家节奏2!$O$6,关卡产出!$B:$B,玩家节奏2!$O111)+_xlfn.MAXIFS(关卡产出!AB:AB,关卡产出!$A:$A,玩家节奏2!$P$6,关卡产出!$B:$B,玩家节奏2!$P111)</f>
        <v>19113</v>
      </c>
      <c r="V111" s="130">
        <f>_xlfn.MAXIFS(关卡产出!AC:AC,关卡产出!$A:$A,玩家节奏2!$N$6,关卡产出!$B:$B,玩家节奏2!$N111)+_xlfn.MAXIFS(关卡产出!AC:AC,关卡产出!$A:$A,玩家节奏2!$O$6,关卡产出!$B:$B,玩家节奏2!$O111)+_xlfn.MAXIFS(关卡产出!AC:AC,关卡产出!$A:$A,玩家节奏2!$P$6,关卡产出!$B:$B,玩家节奏2!$P111)</f>
        <v>1200</v>
      </c>
      <c r="W111" s="126">
        <f>INDEX(关卡产出!C$8:C$207,MATCH(玩家节奏2!$N111,关卡产出!$B$8:$B$207,0))*$K111</f>
        <v>2528</v>
      </c>
      <c r="X111" s="126">
        <f>INDEX(关卡产出!D$8:D$207,MATCH(玩家节奏2!$N111,关卡产出!$B$8:$B$207,0))*$K111</f>
        <v>1264</v>
      </c>
      <c r="Y111" s="126">
        <f>INDEX(关卡产出!E$8:E$207,MATCH(玩家节奏2!$N111,关卡产出!$B$8:$B$207,0))*$K111</f>
        <v>624</v>
      </c>
      <c r="Z111" s="144">
        <f>INDEX(关卡产出!F$8:F$207,MATCH(玩家节奏2!$N111,关卡产出!$B$8:$B$207,0))*$K111</f>
        <v>32800</v>
      </c>
      <c r="AA111" s="126">
        <f>SUM(W$7:W111)</f>
        <v>207310</v>
      </c>
      <c r="AB111" s="126">
        <f>SUM(X$7:X111)</f>
        <v>103491</v>
      </c>
      <c r="AC111" s="126">
        <f>SUM(Y$7:Y111)</f>
        <v>50867</v>
      </c>
      <c r="AD111" s="177">
        <f>SUM(Z$7:Z111)</f>
        <v>2717530</v>
      </c>
      <c r="AE111" s="128">
        <f>INDEX(图鉴!AQ:AQ,MATCH($N111,图鉴!$S:$S,0))*34</f>
        <v>714</v>
      </c>
      <c r="AF111" s="90">
        <f>INDEX(图鉴!AR:AR,MATCH($N111,图鉴!$S:$S,0))*34</f>
        <v>510</v>
      </c>
      <c r="AG111" s="90">
        <f>INDEX(图鉴!AS:AS,MATCH($N111,图鉴!$S:$S,0))*34</f>
        <v>204</v>
      </c>
      <c r="AH111" s="129">
        <f ca="1">INDEX(图鉴!AT:AT,MATCH($N111,图鉴!$S:$S,0))*34</f>
        <v>55930</v>
      </c>
      <c r="AI111" s="128">
        <f>SUM($AE$7:AE111)</f>
        <v>73066</v>
      </c>
      <c r="AJ111" s="90">
        <f>SUM(AF$7:AF111)</f>
        <v>50082</v>
      </c>
      <c r="AK111" s="90">
        <f>SUM(AG$7:AG111)</f>
        <v>19482</v>
      </c>
      <c r="AL111" s="130">
        <f ca="1">SUM(AH$7:AH111)</f>
        <v>5043016</v>
      </c>
      <c r="AM111" s="133">
        <f>IF(M111=0,0,INDEX(关卡产出!$AU$11:$AU$15,MATCH(玩家节奏2!N111,关卡产出!$AW$11:$AW$15,1))*M111)</f>
        <v>61000</v>
      </c>
      <c r="AN111" s="126">
        <f>IF(L111=0,0,$L111*关卡产出!AU$21)</f>
        <v>16000</v>
      </c>
      <c r="AO111" s="90">
        <f>IF(M111=0,0,$L111*关卡产出!AV$21)</f>
        <v>800</v>
      </c>
      <c r="AP111" s="129">
        <f>IF(N111=0,0,$L111*关卡产出!AW$21)</f>
        <v>16</v>
      </c>
      <c r="AQ111" s="138">
        <f>SUM(AN$7:AN111)</f>
        <v>1632000</v>
      </c>
      <c r="AR111" s="126">
        <f>SUM(AO$7:AO111)</f>
        <v>81600</v>
      </c>
      <c r="AS111" s="129">
        <f>SUM(AP$7:AP111)</f>
        <v>1632</v>
      </c>
      <c r="AT111" s="128">
        <v>3000</v>
      </c>
      <c r="AU111" s="129">
        <v>600</v>
      </c>
      <c r="AV111" s="128">
        <f>SUM(AT$7:AT111)</f>
        <v>315000</v>
      </c>
      <c r="AW111" s="90">
        <f>SUM(AU$7:AU111)</f>
        <v>63000</v>
      </c>
      <c r="AY111" s="128">
        <f t="shared" si="91"/>
        <v>38500</v>
      </c>
      <c r="AZ111" s="90">
        <f t="shared" si="92"/>
        <v>81600</v>
      </c>
      <c r="BA111" s="90">
        <f t="shared" si="93"/>
        <v>63000</v>
      </c>
      <c r="BB111" s="90">
        <f t="shared" ca="1" si="127"/>
        <v>37800</v>
      </c>
      <c r="BC111" s="90">
        <f t="shared" ca="1" si="129"/>
        <v>112625</v>
      </c>
      <c r="BD111" s="90">
        <f t="shared" ca="1" si="130"/>
        <v>108275</v>
      </c>
      <c r="BE111" s="90">
        <f t="shared" ca="1" si="94"/>
        <v>220900</v>
      </c>
      <c r="BF111" s="142">
        <f t="shared" ca="1" si="132"/>
        <v>0.34184239733629301</v>
      </c>
      <c r="BG111" s="142">
        <f t="shared" ca="1" si="133"/>
        <v>0.7245283018867924</v>
      </c>
      <c r="BH111" s="142">
        <f t="shared" ca="1" si="134"/>
        <v>0.55937846836847949</v>
      </c>
      <c r="BI111" s="142">
        <f t="shared" ca="1" si="137"/>
        <v>0.33562708102108768</v>
      </c>
      <c r="BJ111" s="143"/>
      <c r="BK111" s="128">
        <f ca="1">INDEX(商城宝箱!$L:$L,MATCH(BC111,商城宝箱!$N:$N,1))</f>
        <v>12</v>
      </c>
      <c r="BL111" s="90">
        <f ca="1">_xlfn.IFNA(INDEX(商城宝箱!T:T,MATCH(玩家节奏2!$BK111,商城宝箱!$L:$L,0)),0)+($BC111-INDEX(商城宝箱!$N:$N,MATCH(玩家节奏2!$BK111,商城宝箱!$L:$L,0)))/$BK$5*INDEX(商城宝箱!E$23:E$42,MATCH(玩家节奏2!$BK111+1,商城宝箱!$C$23:$C$42,0))</f>
        <v>281562.5</v>
      </c>
      <c r="BM111" s="90">
        <f ca="1">_xlfn.IFNA(INDEX(商城宝箱!U:U,MATCH(玩家节奏2!$BK111,商城宝箱!$L:$L,0)),0)+($BC111-INDEX(商城宝箱!$N:$N,MATCH(玩家节奏2!$BK111,商城宝箱!$L:$L,0)))/$BK$5*INDEX(商城宝箱!F$23:F$42,MATCH(玩家节奏2!$BK111+1,商城宝箱!$C$23:$C$42,0))</f>
        <v>295367.5</v>
      </c>
      <c r="BN111" s="90">
        <f ca="1">_xlfn.IFNA(INDEX(商城宝箱!V:V,MATCH(玩家节奏2!$BK111,商城宝箱!$L:$L,0)),0)+($BC111-INDEX(商城宝箱!$N:$N,MATCH(玩家节奏2!$BK111,商城宝箱!$L:$L,0)))/$BK$5*INDEX(商城宝箱!G$23:G$42,MATCH(玩家节奏2!$BK111+1,商城宝箱!$C$23:$C$42,0))</f>
        <v>151437</v>
      </c>
      <c r="BO111" s="90">
        <f ca="1">_xlfn.IFNA(INDEX(商城宝箱!W:W,MATCH(玩家节奏2!$BK111,商城宝箱!$L:$L,0)),0)+($BC111-INDEX(商城宝箱!$N:$N,MATCH(玩家节奏2!$BK111,商城宝箱!$L:$L,0)))/$BK$5*INDEX(商城宝箱!H$23:H$42,MATCH(玩家节奏2!$BK111+1,商城宝箱!$C$23:$C$42,0))</f>
        <v>23715.25</v>
      </c>
      <c r="BQ111" s="128">
        <f t="shared" si="79"/>
        <v>11610000</v>
      </c>
      <c r="BR111" s="90">
        <f t="shared" si="80"/>
        <v>2717530</v>
      </c>
      <c r="BS111" s="90">
        <f t="shared" ca="1" si="135"/>
        <v>5043016</v>
      </c>
      <c r="BT111" s="90">
        <f t="shared" si="136"/>
        <v>61000</v>
      </c>
      <c r="BU111" s="90">
        <f t="shared" si="83"/>
        <v>1632000</v>
      </c>
      <c r="BV111" s="90">
        <f t="shared" si="84"/>
        <v>315000</v>
      </c>
      <c r="BW111" s="90">
        <f t="shared" ca="1" si="96"/>
        <v>281562.5</v>
      </c>
      <c r="BX111" s="90">
        <f t="shared" ca="1" si="97"/>
        <v>21660108.5</v>
      </c>
      <c r="BY111" s="142">
        <f t="shared" ca="1" si="74"/>
        <v>0.53600839534114064</v>
      </c>
      <c r="BZ111" s="142">
        <f t="shared" ca="1" si="74"/>
        <v>0.12546243708797672</v>
      </c>
      <c r="CA111" s="142">
        <f t="shared" ca="1" si="74"/>
        <v>0.23282505717826851</v>
      </c>
      <c r="CB111" s="142">
        <f t="shared" ca="1" si="74"/>
        <v>2.816237047012022E-3</v>
      </c>
      <c r="CC111" s="142">
        <f t="shared" ca="1" si="74"/>
        <v>7.5345882962682298E-2</v>
      </c>
      <c r="CD111" s="142">
        <f t="shared" ca="1" si="74"/>
        <v>1.4542863439488312E-2</v>
      </c>
      <c r="CE111" s="142">
        <f t="shared" ca="1" si="74"/>
        <v>1.2999126943431517E-2</v>
      </c>
      <c r="CG111" s="128">
        <f t="shared" si="98"/>
        <v>200</v>
      </c>
      <c r="CH111" s="90">
        <f ca="1">INDEX(角色升级!$A:$A,MATCH(玩家节奏2!$BX111,角色升级!$J:$J,1))</f>
        <v>991</v>
      </c>
      <c r="CI111" s="90">
        <f ca="1">INDEX(角色升级!$O:$O,MATCH(玩家节奏2!$BX111,角色升级!$J:$J,1))</f>
        <v>86976.272100000017</v>
      </c>
      <c r="CJ111" s="90">
        <f>INDEX(关卡对比!$J:$J,MATCH(玩家节奏2!N111,关卡对比!$A:$A,0))</f>
        <v>86200</v>
      </c>
      <c r="CK111" s="147">
        <f t="shared" ca="1" si="99"/>
        <v>0.9910748980008306</v>
      </c>
      <c r="CL111" s="128">
        <f ca="1">INDEX(角色升级!$P:$P,MATCH(玩家节奏2!$CH111,角色升级!$A:$A,0))</f>
        <v>37800</v>
      </c>
      <c r="CM111" s="90">
        <f ca="1">INDEX(角色升级!Q:Q,MATCH(玩家节奏2!$CH111,角色升级!$A:$A,0))</f>
        <v>2.2000000000000002</v>
      </c>
      <c r="CO111" s="128">
        <f t="shared" si="100"/>
        <v>78866</v>
      </c>
      <c r="CP111" s="90">
        <f t="shared" si="101"/>
        <v>207310</v>
      </c>
      <c r="CQ111" s="90">
        <f t="shared" si="102"/>
        <v>73066</v>
      </c>
      <c r="CR111" s="90">
        <f t="shared" ca="1" si="103"/>
        <v>295367.5</v>
      </c>
      <c r="CS111" s="90">
        <f t="shared" ca="1" si="104"/>
        <v>654609.5</v>
      </c>
      <c r="CT111" s="142">
        <f t="shared" ca="1" si="105"/>
        <v>0.1204779337910617</v>
      </c>
      <c r="CU111" s="142">
        <f t="shared" ca="1" si="105"/>
        <v>0.31669262361759187</v>
      </c>
      <c r="CV111" s="142">
        <f t="shared" ca="1" si="105"/>
        <v>0.11161768963022993</v>
      </c>
      <c r="CW111" s="142">
        <f t="shared" ca="1" si="105"/>
        <v>0.45121175296111649</v>
      </c>
      <c r="CY111" s="128">
        <f t="shared" si="106"/>
        <v>39434</v>
      </c>
      <c r="CZ111" s="90">
        <f t="shared" si="107"/>
        <v>103491</v>
      </c>
      <c r="DA111" s="90">
        <f t="shared" si="108"/>
        <v>50082</v>
      </c>
      <c r="DB111" s="90">
        <f t="shared" ca="1" si="128"/>
        <v>151437</v>
      </c>
      <c r="DC111" s="90">
        <f t="shared" ca="1" si="109"/>
        <v>344444</v>
      </c>
      <c r="DD111" s="142">
        <f t="shared" ca="1" si="110"/>
        <v>0.11448595417542475</v>
      </c>
      <c r="DE111" s="142">
        <f t="shared" ca="1" si="110"/>
        <v>0.30045812962339308</v>
      </c>
      <c r="DF111" s="142">
        <f t="shared" ca="1" si="110"/>
        <v>0.14539954245102252</v>
      </c>
      <c r="DG111" s="142">
        <f t="shared" ca="1" si="110"/>
        <v>0.4396563737501597</v>
      </c>
      <c r="DI111" s="128">
        <f t="shared" si="111"/>
        <v>19113</v>
      </c>
      <c r="DJ111" s="90">
        <f t="shared" si="112"/>
        <v>50867</v>
      </c>
      <c r="DK111" s="90">
        <f t="shared" si="113"/>
        <v>19482</v>
      </c>
      <c r="DL111" s="90">
        <f t="shared" ca="1" si="114"/>
        <v>23715.25</v>
      </c>
      <c r="DM111" s="90">
        <f t="shared" ca="1" si="115"/>
        <v>113177.25</v>
      </c>
      <c r="DN111" s="142">
        <f t="shared" ca="1" si="116"/>
        <v>0.16887669562566682</v>
      </c>
      <c r="DO111" s="142">
        <f t="shared" ca="1" si="116"/>
        <v>0.44944544950509047</v>
      </c>
      <c r="DP111" s="142">
        <f t="shared" ca="1" si="116"/>
        <v>0.17213706818287244</v>
      </c>
      <c r="DQ111" s="142">
        <f t="shared" ca="1" si="116"/>
        <v>0.20954078668637027</v>
      </c>
      <c r="DS111" s="128">
        <f t="shared" ca="1" si="117"/>
        <v>654609.5</v>
      </c>
      <c r="DT111" s="90">
        <f t="shared" ca="1" si="118"/>
        <v>344444</v>
      </c>
      <c r="DU111" s="90">
        <f t="shared" ca="1" si="119"/>
        <v>113177.25</v>
      </c>
      <c r="DV111" s="90">
        <f t="shared" si="120"/>
        <v>1632</v>
      </c>
      <c r="DW111" s="90">
        <f ca="1">_xlfn.IFNA(INDEX(武器升级消耗!$H:$H,MATCH(玩家节奏2!DS111/玩家节奏2!DS$5,武器升级消耗!M:M,1)),0)</f>
        <v>70</v>
      </c>
      <c r="DX111" s="90">
        <f ca="1">_xlfn.IFNA(INDEX(武器升级消耗!$H:$H,MATCH(玩家节奏2!DT111/玩家节奏2!DT$5,武器升级消耗!N:N,1)),0)</f>
        <v>62</v>
      </c>
      <c r="DY111" s="90">
        <f ca="1">_xlfn.IFNA(INDEX(武器升级消耗!$H:$H,MATCH(玩家节奏2!DU111/玩家节奏2!DU$5,武器升级消耗!O:O,1)),0)</f>
        <v>46</v>
      </c>
      <c r="DZ111" s="90">
        <f>_xlfn.IFNA(INDEX(武器升级消耗!$H:$H,MATCH(玩家节奏2!DV111/玩家节奏2!DV$5,武器升级消耗!P:P,1)),0)</f>
        <v>29</v>
      </c>
      <c r="EA111" s="90">
        <f ca="1">_xlfn.IFNA(INDEX(武器升级消耗!$Q:$Q,MATCH(玩家节奏2!DW111,武器升级消耗!$H:$H,0))*2*EA$4,0)</f>
        <v>8.8800000000000008</v>
      </c>
      <c r="EB111" s="90">
        <f ca="1">_xlfn.IFNA(INDEX(武器升级消耗!$Q:$Q,MATCH(玩家节奏2!DX111,武器升级消耗!$H:$H,0))*2*EB$4,0)</f>
        <v>9.8999999999999986</v>
      </c>
      <c r="EC111" s="90">
        <f ca="1">_xlfn.IFNA(INDEX(武器升级消耗!$Q:$Q,MATCH(玩家节奏2!DY111,武器升级消耗!$H:$H,0))*2*EC$4,0)</f>
        <v>11</v>
      </c>
      <c r="ED111" s="90">
        <f>_xlfn.IFNA(INDEX(武器升级消耗!$Q:$Q,MATCH(玩家节奏2!DZ111,武器升级消耗!$H:$H,0))*2*ED$4,0)</f>
        <v>9.8999999999999986</v>
      </c>
    </row>
    <row r="112" spans="1:163" x14ac:dyDescent="0.25">
      <c r="A112" s="123">
        <v>106</v>
      </c>
      <c r="B112" s="123">
        <f>INDEX(关卡对比!$Y:$Y,MATCH(关卡对比!Z112,关卡对比!$AA:$AA,1))</f>
        <v>66</v>
      </c>
      <c r="C112" s="124">
        <f>INDEX(关卡对比!$Y:$Y,MATCH(关卡对比!Z112,关卡对比!$AB:$AB,1))</f>
        <v>53</v>
      </c>
      <c r="D112" s="125">
        <f t="shared" si="131"/>
        <v>419.5</v>
      </c>
      <c r="E112" s="125">
        <v>2</v>
      </c>
      <c r="F112" s="128">
        <v>16</v>
      </c>
      <c r="G112" s="90">
        <v>16</v>
      </c>
      <c r="H112" s="90">
        <v>5</v>
      </c>
      <c r="J112" s="128">
        <v>106</v>
      </c>
      <c r="K112" s="90">
        <f t="shared" si="88"/>
        <v>16</v>
      </c>
      <c r="L112" s="90">
        <f t="shared" si="89"/>
        <v>16</v>
      </c>
      <c r="M112" s="90">
        <f t="shared" si="90"/>
        <v>5</v>
      </c>
      <c r="N112" s="140">
        <f>INDEX($A:$A,MATCH(SUM($K$7:K112),$D:$D,1))</f>
        <v>200</v>
      </c>
      <c r="O112" s="140">
        <v>0</v>
      </c>
      <c r="P112" s="141">
        <v>0</v>
      </c>
      <c r="Q112" s="126">
        <f>_xlfn.MAXIFS(关卡产出!X:X,关卡产出!$A:$A,玩家节奏2!$N$6,关卡产出!$B:$B,玩家节奏2!$N112)+_xlfn.MAXIFS(关卡产出!X:X,关卡产出!$A:$A,玩家节奏2!$O$6,关卡产出!$B:$B,玩家节奏2!$O112)+_xlfn.MAXIFS(关卡产出!X:X,关卡产出!$A:$A,玩家节奏2!$P$6,关卡产出!$B:$B,玩家节奏2!$P112)</f>
        <v>38500</v>
      </c>
      <c r="R112" s="90">
        <f>_xlfn.MAXIFS(关卡产出!Y:Y,关卡产出!$A:$A,玩家节奏2!$N$6,关卡产出!$B:$B,玩家节奏2!$N112)+_xlfn.MAXIFS(关卡产出!Y:Y,关卡产出!$A:$A,玩家节奏2!$O$6,关卡产出!$B:$B,玩家节奏2!$O112)+_xlfn.MAXIFS(关卡产出!Y:Y,关卡产出!$A:$A,玩家节奏2!$P$6,关卡产出!$B:$B,玩家节奏2!$P112)</f>
        <v>11610000</v>
      </c>
      <c r="S112" s="90">
        <f>_xlfn.MAXIFS(关卡产出!Z:Z,关卡产出!$A:$A,玩家节奏2!$N$6,关卡产出!$B:$B,玩家节奏2!$N112)+_xlfn.MAXIFS(关卡产出!Z:Z,关卡产出!$A:$A,玩家节奏2!$O$6,关卡产出!$B:$B,玩家节奏2!$O112)+_xlfn.MAXIFS(关卡产出!Z:Z,关卡产出!$A:$A,玩家节奏2!$P$6,关卡产出!$B:$B,玩家节奏2!$P112)</f>
        <v>78866</v>
      </c>
      <c r="T112" s="90">
        <f>_xlfn.MAXIFS(关卡产出!AA:AA,关卡产出!$A:$A,玩家节奏2!$N$6,关卡产出!$B:$B,玩家节奏2!$N112)+_xlfn.MAXIFS(关卡产出!AA:AA,关卡产出!$A:$A,玩家节奏2!$O$6,关卡产出!$B:$B,玩家节奏2!$O112)+_xlfn.MAXIFS(关卡产出!AA:AA,关卡产出!$A:$A,玩家节奏2!$P$6,关卡产出!$B:$B,玩家节奏2!$P112)</f>
        <v>39434</v>
      </c>
      <c r="U112" s="90">
        <f>_xlfn.MAXIFS(关卡产出!AB:AB,关卡产出!$A:$A,玩家节奏2!$N$6,关卡产出!$B:$B,玩家节奏2!$N112)+_xlfn.MAXIFS(关卡产出!AB:AB,关卡产出!$A:$A,玩家节奏2!$O$6,关卡产出!$B:$B,玩家节奏2!$O112)+_xlfn.MAXIFS(关卡产出!AB:AB,关卡产出!$A:$A,玩家节奏2!$P$6,关卡产出!$B:$B,玩家节奏2!$P112)</f>
        <v>19113</v>
      </c>
      <c r="V112" s="130">
        <f>_xlfn.MAXIFS(关卡产出!AC:AC,关卡产出!$A:$A,玩家节奏2!$N$6,关卡产出!$B:$B,玩家节奏2!$N112)+_xlfn.MAXIFS(关卡产出!AC:AC,关卡产出!$A:$A,玩家节奏2!$O$6,关卡产出!$B:$B,玩家节奏2!$O112)+_xlfn.MAXIFS(关卡产出!AC:AC,关卡产出!$A:$A,玩家节奏2!$P$6,关卡产出!$B:$B,玩家节奏2!$P112)</f>
        <v>1200</v>
      </c>
      <c r="W112" s="126">
        <f>INDEX(关卡产出!C$8:C$207,MATCH(玩家节奏2!$N112,关卡产出!$B$8:$B$207,0))*$K112</f>
        <v>2528</v>
      </c>
      <c r="X112" s="126">
        <f>INDEX(关卡产出!D$8:D$207,MATCH(玩家节奏2!$N112,关卡产出!$B$8:$B$207,0))*$K112</f>
        <v>1264</v>
      </c>
      <c r="Y112" s="126">
        <f>INDEX(关卡产出!E$8:E$207,MATCH(玩家节奏2!$N112,关卡产出!$B$8:$B$207,0))*$K112</f>
        <v>624</v>
      </c>
      <c r="Z112" s="144">
        <f>INDEX(关卡产出!F$8:F$207,MATCH(玩家节奏2!$N112,关卡产出!$B$8:$B$207,0))*$K112</f>
        <v>32800</v>
      </c>
      <c r="AA112" s="126">
        <f>SUM(W$7:W112)</f>
        <v>209838</v>
      </c>
      <c r="AB112" s="126">
        <f>SUM(X$7:X112)</f>
        <v>104755</v>
      </c>
      <c r="AC112" s="126">
        <f>SUM(Y$7:Y112)</f>
        <v>51491</v>
      </c>
      <c r="AD112" s="177">
        <f>SUM(Z$7:Z112)</f>
        <v>2750330</v>
      </c>
      <c r="AE112" s="128">
        <f>INDEX(图鉴!AQ:AQ,MATCH($N112,图鉴!$S:$S,0))*34</f>
        <v>714</v>
      </c>
      <c r="AF112" s="90">
        <f>INDEX(图鉴!AR:AR,MATCH($N112,图鉴!$S:$S,0))*34</f>
        <v>510</v>
      </c>
      <c r="AG112" s="90">
        <f>INDEX(图鉴!AS:AS,MATCH($N112,图鉴!$S:$S,0))*34</f>
        <v>204</v>
      </c>
      <c r="AH112" s="129">
        <f ca="1">INDEX(图鉴!AT:AT,MATCH($N112,图鉴!$S:$S,0))*34</f>
        <v>55930</v>
      </c>
      <c r="AI112" s="128">
        <f>SUM($AE$7:AE112)</f>
        <v>73780</v>
      </c>
      <c r="AJ112" s="90">
        <f>SUM(AF$7:AF112)</f>
        <v>50592</v>
      </c>
      <c r="AK112" s="90">
        <f>SUM(AG$7:AG112)</f>
        <v>19686</v>
      </c>
      <c r="AL112" s="130">
        <f ca="1">SUM(AH$7:AH112)</f>
        <v>5098946</v>
      </c>
      <c r="AM112" s="133">
        <f>IF(M112=0,0,INDEX(关卡产出!$AU$11:$AU$15,MATCH(玩家节奏2!N112,关卡产出!$AW$11:$AW$15,1))*M112)</f>
        <v>61000</v>
      </c>
      <c r="AN112" s="126">
        <f>IF(L112=0,0,$L112*关卡产出!AU$21)</f>
        <v>16000</v>
      </c>
      <c r="AO112" s="90">
        <f>IF(M112=0,0,$L112*关卡产出!AV$21)</f>
        <v>800</v>
      </c>
      <c r="AP112" s="129">
        <f>IF(N112=0,0,$L112*关卡产出!AW$21)</f>
        <v>16</v>
      </c>
      <c r="AQ112" s="138">
        <f>SUM(AN$7:AN112)</f>
        <v>1648000</v>
      </c>
      <c r="AR112" s="126">
        <f>SUM(AO$7:AO112)</f>
        <v>82400</v>
      </c>
      <c r="AS112" s="129">
        <f>SUM(AP$7:AP112)</f>
        <v>1648</v>
      </c>
      <c r="AT112" s="128">
        <v>3000</v>
      </c>
      <c r="AU112" s="129">
        <v>600</v>
      </c>
      <c r="AV112" s="128">
        <f>SUM(AT$7:AT112)</f>
        <v>318000</v>
      </c>
      <c r="AW112" s="90">
        <f>SUM(AU$7:AU112)</f>
        <v>63600</v>
      </c>
      <c r="AY112" s="128">
        <f t="shared" si="91"/>
        <v>38500</v>
      </c>
      <c r="AZ112" s="90">
        <f t="shared" si="92"/>
        <v>82400</v>
      </c>
      <c r="BA112" s="90">
        <f t="shared" si="93"/>
        <v>63600</v>
      </c>
      <c r="BB112" s="90">
        <f t="shared" ca="1" si="127"/>
        <v>37800</v>
      </c>
      <c r="BC112" s="90">
        <f t="shared" ca="1" si="129"/>
        <v>113325</v>
      </c>
      <c r="BD112" s="90">
        <f t="shared" ca="1" si="130"/>
        <v>108975</v>
      </c>
      <c r="BE112" s="90">
        <f t="shared" ca="1" si="94"/>
        <v>222300</v>
      </c>
      <c r="BF112" s="142">
        <f t="shared" ca="1" si="132"/>
        <v>0.33973086256342377</v>
      </c>
      <c r="BG112" s="142">
        <f t="shared" ca="1" si="133"/>
        <v>0.7271122876682109</v>
      </c>
      <c r="BH112" s="142">
        <f t="shared" ca="1" si="134"/>
        <v>0.56121773659827934</v>
      </c>
      <c r="BI112" s="142">
        <f t="shared" ca="1" si="137"/>
        <v>0.33355393778954334</v>
      </c>
      <c r="BJ112" s="143"/>
      <c r="BK112" s="128">
        <f ca="1">INDEX(商城宝箱!$L:$L,MATCH(BC112,商城宝箱!$N:$N,1))</f>
        <v>12</v>
      </c>
      <c r="BL112" s="90">
        <f ca="1">_xlfn.IFNA(INDEX(商城宝箱!T:T,MATCH(玩家节奏2!$BK112,商城宝箱!$L:$L,0)),0)+($BC112-INDEX(商城宝箱!$N:$N,MATCH(玩家节奏2!$BK112,商城宝箱!$L:$L,0)))/$BK$5*INDEX(商城宝箱!E$23:E$42,MATCH(玩家节奏2!$BK112+1,商城宝箱!$C$23:$C$42,0))</f>
        <v>283312.5</v>
      </c>
      <c r="BM112" s="90">
        <f ca="1">_xlfn.IFNA(INDEX(商城宝箱!U:U,MATCH(玩家节奏2!$BK112,商城宝箱!$L:$L,0)),0)+($BC112-INDEX(商城宝箱!$N:$N,MATCH(玩家节奏2!$BK112,商城宝箱!$L:$L,0)))/$BK$5*INDEX(商城宝箱!F$23:F$42,MATCH(玩家节奏2!$BK112+1,商城宝箱!$C$23:$C$42,0))</f>
        <v>298307.5</v>
      </c>
      <c r="BN112" s="90">
        <f ca="1">_xlfn.IFNA(INDEX(商城宝箱!V:V,MATCH(玩家节奏2!$BK112,商城宝箱!$L:$L,0)),0)+($BC112-INDEX(商城宝箱!$N:$N,MATCH(玩家节奏2!$BK112,商城宝箱!$L:$L,0)))/$BK$5*INDEX(商城宝箱!G$23:G$42,MATCH(玩家节奏2!$BK112+1,商城宝箱!$C$23:$C$42,0))</f>
        <v>152837</v>
      </c>
      <c r="BO112" s="90">
        <f ca="1">_xlfn.IFNA(INDEX(商城宝箱!W:W,MATCH(玩家节奏2!$BK112,商城宝箱!$L:$L,0)),0)+($BC112-INDEX(商城宝箱!$N:$N,MATCH(玩家节奏2!$BK112,商城宝箱!$L:$L,0)))/$BK$5*INDEX(商城宝箱!H$23:H$42,MATCH(玩家节奏2!$BK112+1,商城宝箱!$C$23:$C$42,0))</f>
        <v>23960.25</v>
      </c>
      <c r="BQ112" s="128">
        <f t="shared" si="79"/>
        <v>11610000</v>
      </c>
      <c r="BR112" s="90">
        <f t="shared" si="80"/>
        <v>2750330</v>
      </c>
      <c r="BS112" s="90">
        <f t="shared" ca="1" si="135"/>
        <v>5098946</v>
      </c>
      <c r="BT112" s="90">
        <f t="shared" si="136"/>
        <v>61000</v>
      </c>
      <c r="BU112" s="90">
        <f t="shared" si="83"/>
        <v>1648000</v>
      </c>
      <c r="BV112" s="90">
        <f t="shared" si="84"/>
        <v>318000</v>
      </c>
      <c r="BW112" s="90">
        <f t="shared" ca="1" si="96"/>
        <v>283312.5</v>
      </c>
      <c r="BX112" s="90">
        <f t="shared" ca="1" si="97"/>
        <v>21769588.5</v>
      </c>
      <c r="BY112" s="142">
        <f t="shared" ca="1" si="74"/>
        <v>0.53331279091472028</v>
      </c>
      <c r="BZ112" s="142">
        <f t="shared" ca="1" si="74"/>
        <v>0.1263381712520657</v>
      </c>
      <c r="CA112" s="142">
        <f t="shared" ca="1" si="74"/>
        <v>0.23422335245335482</v>
      </c>
      <c r="CB112" s="142">
        <f t="shared" ca="1" si="74"/>
        <v>2.8020740952453007E-3</v>
      </c>
      <c r="CC112" s="142">
        <f t="shared" ca="1" si="74"/>
        <v>7.570193621252877E-2</v>
      </c>
      <c r="CD112" s="142">
        <f t="shared" ca="1" si="74"/>
        <v>1.4607533808000091E-2</v>
      </c>
      <c r="CE112" s="142">
        <f t="shared" ca="1" si="74"/>
        <v>1.3014141264084986E-2</v>
      </c>
      <c r="CG112" s="128">
        <f t="shared" si="98"/>
        <v>200</v>
      </c>
      <c r="CH112" s="90">
        <f ca="1">INDEX(角色升级!$A:$A,MATCH(玩家节奏2!$BX112,角色升级!$J:$J,1))</f>
        <v>992</v>
      </c>
      <c r="CI112" s="90">
        <f ca="1">INDEX(角色升级!$O:$O,MATCH(玩家节奏2!$BX112,角色升级!$J:$J,1))</f>
        <v>87502.463070000013</v>
      </c>
      <c r="CJ112" s="90">
        <f>INDEX(关卡对比!$J:$J,MATCH(玩家节奏2!N112,关卡对比!$A:$A,0))</f>
        <v>86200</v>
      </c>
      <c r="CK112" s="147">
        <f t="shared" ca="1" si="99"/>
        <v>0.98511512677125357</v>
      </c>
      <c r="CL112" s="128">
        <f ca="1">INDEX(角色升级!$P:$P,MATCH(玩家节奏2!$CH112,角色升级!$A:$A,0))</f>
        <v>37800</v>
      </c>
      <c r="CM112" s="90">
        <f ca="1">INDEX(角色升级!Q:Q,MATCH(玩家节奏2!$CH112,角色升级!$A:$A,0))</f>
        <v>2.2000000000000002</v>
      </c>
      <c r="CO112" s="128">
        <f t="shared" si="100"/>
        <v>78866</v>
      </c>
      <c r="CP112" s="90">
        <f t="shared" si="101"/>
        <v>209838</v>
      </c>
      <c r="CQ112" s="90">
        <f t="shared" si="102"/>
        <v>73780</v>
      </c>
      <c r="CR112" s="90">
        <f t="shared" ca="1" si="103"/>
        <v>298307.5</v>
      </c>
      <c r="CS112" s="90">
        <f t="shared" ca="1" si="104"/>
        <v>660791.5</v>
      </c>
      <c r="CT112" s="142">
        <f t="shared" ca="1" si="105"/>
        <v>0.11935080884061008</v>
      </c>
      <c r="CU112" s="142">
        <f t="shared" ca="1" si="105"/>
        <v>0.31755553756366417</v>
      </c>
      <c r="CV112" s="142">
        <f t="shared" ca="1" si="105"/>
        <v>0.11165397859990632</v>
      </c>
      <c r="CW112" s="142">
        <f t="shared" ca="1" si="105"/>
        <v>0.45143967499581938</v>
      </c>
      <c r="CY112" s="128">
        <f t="shared" si="106"/>
        <v>39434</v>
      </c>
      <c r="CZ112" s="90">
        <f t="shared" si="107"/>
        <v>104755</v>
      </c>
      <c r="DA112" s="90">
        <f t="shared" si="108"/>
        <v>50592</v>
      </c>
      <c r="DB112" s="90">
        <f t="shared" ca="1" si="128"/>
        <v>152837</v>
      </c>
      <c r="DC112" s="90">
        <f t="shared" ca="1" si="109"/>
        <v>347618</v>
      </c>
      <c r="DD112" s="142">
        <f t="shared" ca="1" si="110"/>
        <v>0.11344061584843132</v>
      </c>
      <c r="DE112" s="142">
        <f t="shared" ca="1" si="110"/>
        <v>0.30135090818081917</v>
      </c>
      <c r="DF112" s="142">
        <f t="shared" ca="1" si="110"/>
        <v>0.14553906874787842</v>
      </c>
      <c r="DG112" s="142">
        <f t="shared" ca="1" si="110"/>
        <v>0.43966940722287107</v>
      </c>
      <c r="DI112" s="128">
        <f t="shared" si="111"/>
        <v>19113</v>
      </c>
      <c r="DJ112" s="90">
        <f t="shared" si="112"/>
        <v>51491</v>
      </c>
      <c r="DK112" s="90">
        <f t="shared" si="113"/>
        <v>19686</v>
      </c>
      <c r="DL112" s="90">
        <f t="shared" ca="1" si="114"/>
        <v>23960.25</v>
      </c>
      <c r="DM112" s="90">
        <f t="shared" ca="1" si="115"/>
        <v>114250.25</v>
      </c>
      <c r="DN112" s="142">
        <f t="shared" ca="1" si="116"/>
        <v>0.16729066238367093</v>
      </c>
      <c r="DO112" s="142">
        <f t="shared" ca="1" si="116"/>
        <v>0.45068610353150212</v>
      </c>
      <c r="DP112" s="142">
        <f t="shared" ca="1" si="116"/>
        <v>0.17230596869591094</v>
      </c>
      <c r="DQ112" s="142">
        <f t="shared" ca="1" si="116"/>
        <v>0.209717265388916</v>
      </c>
      <c r="DS112" s="128">
        <f t="shared" ca="1" si="117"/>
        <v>660791.5</v>
      </c>
      <c r="DT112" s="90">
        <f t="shared" ca="1" si="118"/>
        <v>347618</v>
      </c>
      <c r="DU112" s="90">
        <f t="shared" ca="1" si="119"/>
        <v>114250.25</v>
      </c>
      <c r="DV112" s="90">
        <f t="shared" si="120"/>
        <v>1648</v>
      </c>
      <c r="DW112" s="90">
        <f ca="1">_xlfn.IFNA(INDEX(武器升级消耗!$H:$H,MATCH(玩家节奏2!DS112/玩家节奏2!DS$5,武器升级消耗!M:M,1)),0)</f>
        <v>70</v>
      </c>
      <c r="DX112" s="90">
        <f ca="1">_xlfn.IFNA(INDEX(武器升级消耗!$H:$H,MATCH(玩家节奏2!DT112/玩家节奏2!DT$5,武器升级消耗!N:N,1)),0)</f>
        <v>62</v>
      </c>
      <c r="DY112" s="90">
        <f ca="1">_xlfn.IFNA(INDEX(武器升级消耗!$H:$H,MATCH(玩家节奏2!DU112/玩家节奏2!DU$5,武器升级消耗!O:O,1)),0)</f>
        <v>46</v>
      </c>
      <c r="DZ112" s="90">
        <f>_xlfn.IFNA(INDEX(武器升级消耗!$H:$H,MATCH(玩家节奏2!DV112/玩家节奏2!DV$5,武器升级消耗!P:P,1)),0)</f>
        <v>29</v>
      </c>
      <c r="EA112" s="90">
        <f ca="1">_xlfn.IFNA(INDEX(武器升级消耗!$Q:$Q,MATCH(玩家节奏2!DW112,武器升级消耗!$H:$H,0))*2*EA$4,0)</f>
        <v>8.8800000000000008</v>
      </c>
      <c r="EB112" s="90">
        <f ca="1">_xlfn.IFNA(INDEX(武器升级消耗!$Q:$Q,MATCH(玩家节奏2!DX112,武器升级消耗!$H:$H,0))*2*EB$4,0)</f>
        <v>9.8999999999999986</v>
      </c>
      <c r="EC112" s="90">
        <f ca="1">_xlfn.IFNA(INDEX(武器升级消耗!$Q:$Q,MATCH(玩家节奏2!DY112,武器升级消耗!$H:$H,0))*2*EC$4,0)</f>
        <v>11</v>
      </c>
      <c r="ED112" s="90">
        <f>_xlfn.IFNA(INDEX(武器升级消耗!$Q:$Q,MATCH(玩家节奏2!DZ112,武器升级消耗!$H:$H,0))*2*ED$4,0)</f>
        <v>9.8999999999999986</v>
      </c>
    </row>
    <row r="113" spans="1:134" x14ac:dyDescent="0.25">
      <c r="A113" s="123">
        <v>107</v>
      </c>
      <c r="B113" s="123">
        <f>INDEX(关卡对比!$Y:$Y,MATCH(关卡对比!Z113,关卡对比!$AA:$AA,1))</f>
        <v>67</v>
      </c>
      <c r="C113" s="124">
        <f>INDEX(关卡对比!$Y:$Y,MATCH(关卡对比!Z113,关卡对比!$AB:$AB,1))</f>
        <v>54</v>
      </c>
      <c r="D113" s="125">
        <f t="shared" si="131"/>
        <v>425.5</v>
      </c>
      <c r="E113" s="125">
        <v>2</v>
      </c>
      <c r="F113" s="128">
        <v>16</v>
      </c>
      <c r="G113" s="90">
        <v>16</v>
      </c>
      <c r="H113" s="90">
        <v>5</v>
      </c>
      <c r="J113" s="128">
        <v>107</v>
      </c>
      <c r="K113" s="90">
        <f t="shared" si="88"/>
        <v>16</v>
      </c>
      <c r="L113" s="90">
        <f t="shared" si="89"/>
        <v>16</v>
      </c>
      <c r="M113" s="90">
        <f t="shared" si="90"/>
        <v>5</v>
      </c>
      <c r="N113" s="140">
        <f>INDEX($A:$A,MATCH(SUM($K$7:K113),$D:$D,1))</f>
        <v>200</v>
      </c>
      <c r="O113" s="140">
        <v>0</v>
      </c>
      <c r="P113" s="141">
        <v>0</v>
      </c>
      <c r="Q113" s="126">
        <f>_xlfn.MAXIFS(关卡产出!X:X,关卡产出!$A:$A,玩家节奏2!$N$6,关卡产出!$B:$B,玩家节奏2!$N113)+_xlfn.MAXIFS(关卡产出!X:X,关卡产出!$A:$A,玩家节奏2!$O$6,关卡产出!$B:$B,玩家节奏2!$O113)+_xlfn.MAXIFS(关卡产出!X:X,关卡产出!$A:$A,玩家节奏2!$P$6,关卡产出!$B:$B,玩家节奏2!$P113)</f>
        <v>38500</v>
      </c>
      <c r="R113" s="90">
        <f>_xlfn.MAXIFS(关卡产出!Y:Y,关卡产出!$A:$A,玩家节奏2!$N$6,关卡产出!$B:$B,玩家节奏2!$N113)+_xlfn.MAXIFS(关卡产出!Y:Y,关卡产出!$A:$A,玩家节奏2!$O$6,关卡产出!$B:$B,玩家节奏2!$O113)+_xlfn.MAXIFS(关卡产出!Y:Y,关卡产出!$A:$A,玩家节奏2!$P$6,关卡产出!$B:$B,玩家节奏2!$P113)</f>
        <v>11610000</v>
      </c>
      <c r="S113" s="90">
        <f>_xlfn.MAXIFS(关卡产出!Z:Z,关卡产出!$A:$A,玩家节奏2!$N$6,关卡产出!$B:$B,玩家节奏2!$N113)+_xlfn.MAXIFS(关卡产出!Z:Z,关卡产出!$A:$A,玩家节奏2!$O$6,关卡产出!$B:$B,玩家节奏2!$O113)+_xlfn.MAXIFS(关卡产出!Z:Z,关卡产出!$A:$A,玩家节奏2!$P$6,关卡产出!$B:$B,玩家节奏2!$P113)</f>
        <v>78866</v>
      </c>
      <c r="T113" s="90">
        <f>_xlfn.MAXIFS(关卡产出!AA:AA,关卡产出!$A:$A,玩家节奏2!$N$6,关卡产出!$B:$B,玩家节奏2!$N113)+_xlfn.MAXIFS(关卡产出!AA:AA,关卡产出!$A:$A,玩家节奏2!$O$6,关卡产出!$B:$B,玩家节奏2!$O113)+_xlfn.MAXIFS(关卡产出!AA:AA,关卡产出!$A:$A,玩家节奏2!$P$6,关卡产出!$B:$B,玩家节奏2!$P113)</f>
        <v>39434</v>
      </c>
      <c r="U113" s="90">
        <f>_xlfn.MAXIFS(关卡产出!AB:AB,关卡产出!$A:$A,玩家节奏2!$N$6,关卡产出!$B:$B,玩家节奏2!$N113)+_xlfn.MAXIFS(关卡产出!AB:AB,关卡产出!$A:$A,玩家节奏2!$O$6,关卡产出!$B:$B,玩家节奏2!$O113)+_xlfn.MAXIFS(关卡产出!AB:AB,关卡产出!$A:$A,玩家节奏2!$P$6,关卡产出!$B:$B,玩家节奏2!$P113)</f>
        <v>19113</v>
      </c>
      <c r="V113" s="130">
        <f>_xlfn.MAXIFS(关卡产出!AC:AC,关卡产出!$A:$A,玩家节奏2!$N$6,关卡产出!$B:$B,玩家节奏2!$N113)+_xlfn.MAXIFS(关卡产出!AC:AC,关卡产出!$A:$A,玩家节奏2!$O$6,关卡产出!$B:$B,玩家节奏2!$O113)+_xlfn.MAXIFS(关卡产出!AC:AC,关卡产出!$A:$A,玩家节奏2!$P$6,关卡产出!$B:$B,玩家节奏2!$P113)</f>
        <v>1200</v>
      </c>
      <c r="W113" s="126">
        <f>INDEX(关卡产出!C$8:C$207,MATCH(玩家节奏2!$N113,关卡产出!$B$8:$B$207,0))*$K113</f>
        <v>2528</v>
      </c>
      <c r="X113" s="126">
        <f>INDEX(关卡产出!D$8:D$207,MATCH(玩家节奏2!$N113,关卡产出!$B$8:$B$207,0))*$K113</f>
        <v>1264</v>
      </c>
      <c r="Y113" s="126">
        <f>INDEX(关卡产出!E$8:E$207,MATCH(玩家节奏2!$N113,关卡产出!$B$8:$B$207,0))*$K113</f>
        <v>624</v>
      </c>
      <c r="Z113" s="144">
        <f>INDEX(关卡产出!F$8:F$207,MATCH(玩家节奏2!$N113,关卡产出!$B$8:$B$207,0))*$K113</f>
        <v>32800</v>
      </c>
      <c r="AA113" s="126">
        <f>SUM(W$7:W113)</f>
        <v>212366</v>
      </c>
      <c r="AB113" s="126">
        <f>SUM(X$7:X113)</f>
        <v>106019</v>
      </c>
      <c r="AC113" s="126">
        <f>SUM(Y$7:Y113)</f>
        <v>52115</v>
      </c>
      <c r="AD113" s="177">
        <f>SUM(Z$7:Z113)</f>
        <v>2783130</v>
      </c>
      <c r="AE113" s="128">
        <f>INDEX(图鉴!AQ:AQ,MATCH($N113,图鉴!$S:$S,0))*34</f>
        <v>714</v>
      </c>
      <c r="AF113" s="90">
        <f>INDEX(图鉴!AR:AR,MATCH($N113,图鉴!$S:$S,0))*34</f>
        <v>510</v>
      </c>
      <c r="AG113" s="90">
        <f>INDEX(图鉴!AS:AS,MATCH($N113,图鉴!$S:$S,0))*34</f>
        <v>204</v>
      </c>
      <c r="AH113" s="129">
        <f ca="1">INDEX(图鉴!AT:AT,MATCH($N113,图鉴!$S:$S,0))*34</f>
        <v>55930</v>
      </c>
      <c r="AI113" s="128">
        <f>SUM($AE$7:AE113)</f>
        <v>74494</v>
      </c>
      <c r="AJ113" s="90">
        <f>SUM(AF$7:AF113)</f>
        <v>51102</v>
      </c>
      <c r="AK113" s="90">
        <f>SUM(AG$7:AG113)</f>
        <v>19890</v>
      </c>
      <c r="AL113" s="130">
        <f ca="1">SUM(AH$7:AH113)</f>
        <v>5154876</v>
      </c>
      <c r="AM113" s="133">
        <f>IF(M113=0,0,INDEX(关卡产出!$AU$11:$AU$15,MATCH(玩家节奏2!N113,关卡产出!$AW$11:$AW$15,1))*M113)</f>
        <v>61000</v>
      </c>
      <c r="AN113" s="126">
        <f>IF(L113=0,0,$L113*关卡产出!AU$21)</f>
        <v>16000</v>
      </c>
      <c r="AO113" s="90">
        <f>IF(M113=0,0,$L113*关卡产出!AV$21)</f>
        <v>800</v>
      </c>
      <c r="AP113" s="129">
        <f>IF(N113=0,0,$L113*关卡产出!AW$21)</f>
        <v>16</v>
      </c>
      <c r="AQ113" s="138">
        <f>SUM(AN$7:AN113)</f>
        <v>1664000</v>
      </c>
      <c r="AR113" s="126">
        <f>SUM(AO$7:AO113)</f>
        <v>83200</v>
      </c>
      <c r="AS113" s="129">
        <f>SUM(AP$7:AP113)</f>
        <v>1664</v>
      </c>
      <c r="AT113" s="128">
        <v>3000</v>
      </c>
      <c r="AU113" s="129">
        <v>600</v>
      </c>
      <c r="AV113" s="128">
        <f>SUM(AT$7:AT113)</f>
        <v>321000</v>
      </c>
      <c r="AW113" s="90">
        <f>SUM(AU$7:AU113)</f>
        <v>64200</v>
      </c>
      <c r="AY113" s="128">
        <f t="shared" si="91"/>
        <v>38500</v>
      </c>
      <c r="AZ113" s="90">
        <f t="shared" si="92"/>
        <v>83200</v>
      </c>
      <c r="BA113" s="90">
        <f t="shared" si="93"/>
        <v>64200</v>
      </c>
      <c r="BB113" s="90">
        <f t="shared" ca="1" si="127"/>
        <v>37800</v>
      </c>
      <c r="BC113" s="90">
        <f t="shared" ca="1" si="129"/>
        <v>114025</v>
      </c>
      <c r="BD113" s="90">
        <f t="shared" ca="1" si="130"/>
        <v>109675</v>
      </c>
      <c r="BE113" s="90">
        <f t="shared" ca="1" si="94"/>
        <v>223700</v>
      </c>
      <c r="BF113" s="142">
        <f t="shared" ca="1" si="132"/>
        <v>0.3376452532339399</v>
      </c>
      <c r="BG113" s="142">
        <f t="shared" ca="1" si="133"/>
        <v>0.72966454724841046</v>
      </c>
      <c r="BH113" s="142">
        <f t="shared" ca="1" si="134"/>
        <v>0.56303442227581668</v>
      </c>
      <c r="BI113" s="142">
        <f t="shared" ca="1" si="137"/>
        <v>0.33150624862968647</v>
      </c>
      <c r="BJ113" s="143"/>
      <c r="BK113" s="128">
        <f ca="1">INDEX(商城宝箱!$L:$L,MATCH(BC113,商城宝箱!$N:$N,1))</f>
        <v>12</v>
      </c>
      <c r="BL113" s="90">
        <f ca="1">_xlfn.IFNA(INDEX(商城宝箱!T:T,MATCH(玩家节奏2!$BK113,商城宝箱!$L:$L,0)),0)+($BC113-INDEX(商城宝箱!$N:$N,MATCH(玩家节奏2!$BK113,商城宝箱!$L:$L,0)))/$BK$5*INDEX(商城宝箱!E$23:E$42,MATCH(玩家节奏2!$BK113+1,商城宝箱!$C$23:$C$42,0))</f>
        <v>285062.5</v>
      </c>
      <c r="BM113" s="90">
        <f ca="1">_xlfn.IFNA(INDEX(商城宝箱!U:U,MATCH(玩家节奏2!$BK113,商城宝箱!$L:$L,0)),0)+($BC113-INDEX(商城宝箱!$N:$N,MATCH(玩家节奏2!$BK113,商城宝箱!$L:$L,0)))/$BK$5*INDEX(商城宝箱!F$23:F$42,MATCH(玩家节奏2!$BK113+1,商城宝箱!$C$23:$C$42,0))</f>
        <v>301247.5</v>
      </c>
      <c r="BN113" s="90">
        <f ca="1">_xlfn.IFNA(INDEX(商城宝箱!V:V,MATCH(玩家节奏2!$BK113,商城宝箱!$L:$L,0)),0)+($BC113-INDEX(商城宝箱!$N:$N,MATCH(玩家节奏2!$BK113,商城宝箱!$L:$L,0)))/$BK$5*INDEX(商城宝箱!G$23:G$42,MATCH(玩家节奏2!$BK113+1,商城宝箱!$C$23:$C$42,0))</f>
        <v>154237</v>
      </c>
      <c r="BO113" s="90">
        <f ca="1">_xlfn.IFNA(INDEX(商城宝箱!W:W,MATCH(玩家节奏2!$BK113,商城宝箱!$L:$L,0)),0)+($BC113-INDEX(商城宝箱!$N:$N,MATCH(玩家节奏2!$BK113,商城宝箱!$L:$L,0)))/$BK$5*INDEX(商城宝箱!H$23:H$42,MATCH(玩家节奏2!$BK113+1,商城宝箱!$C$23:$C$42,0))</f>
        <v>24205.25</v>
      </c>
      <c r="BQ113" s="128">
        <f t="shared" si="79"/>
        <v>11610000</v>
      </c>
      <c r="BR113" s="90">
        <f t="shared" si="80"/>
        <v>2783130</v>
      </c>
      <c r="BS113" s="90">
        <f t="shared" ca="1" si="135"/>
        <v>5154876</v>
      </c>
      <c r="BT113" s="90">
        <f t="shared" si="136"/>
        <v>61000</v>
      </c>
      <c r="BU113" s="90">
        <f t="shared" si="83"/>
        <v>1664000</v>
      </c>
      <c r="BV113" s="90">
        <f t="shared" si="84"/>
        <v>321000</v>
      </c>
      <c r="BW113" s="90">
        <f t="shared" ca="1" si="96"/>
        <v>285062.5</v>
      </c>
      <c r="BX113" s="90">
        <f t="shared" ca="1" si="97"/>
        <v>21879068.5</v>
      </c>
      <c r="BY113" s="142">
        <f t="shared" ca="1" si="74"/>
        <v>0.53064416339297082</v>
      </c>
      <c r="BZ113" s="142">
        <f t="shared" ca="1" si="74"/>
        <v>0.12720514129749172</v>
      </c>
      <c r="CA113" s="142">
        <f t="shared" ca="1" si="74"/>
        <v>0.23560765395473759</v>
      </c>
      <c r="CB113" s="142">
        <f t="shared" ca="1" si="74"/>
        <v>2.7880528825987268E-3</v>
      </c>
      <c r="CC113" s="142">
        <f t="shared" ca="1" si="74"/>
        <v>7.6054426174496412E-2</v>
      </c>
      <c r="CD113" s="142">
        <f t="shared" ca="1" si="74"/>
        <v>1.4671556972363791E-2</v>
      </c>
      <c r="CE113" s="142">
        <f t="shared" ca="1" si="74"/>
        <v>1.3029005325340976E-2</v>
      </c>
      <c r="CG113" s="128">
        <f t="shared" si="98"/>
        <v>200</v>
      </c>
      <c r="CH113" s="90">
        <f ca="1">INDEX(角色升级!$A:$A,MATCH(玩家节奏2!$BX113,角色升级!$J:$J,1))</f>
        <v>994</v>
      </c>
      <c r="CI113" s="90">
        <f ca="1">INDEX(角色升级!$O:$O,MATCH(玩家节奏2!$BX113,角色升级!$J:$J,1))</f>
        <v>88554.845010000019</v>
      </c>
      <c r="CJ113" s="90">
        <f>INDEX(关卡对比!$J:$J,MATCH(玩家节奏2!N113,关卡对比!$A:$A,0))</f>
        <v>86200</v>
      </c>
      <c r="CK113" s="147">
        <f t="shared" ca="1" si="99"/>
        <v>0.97340806130106039</v>
      </c>
      <c r="CL113" s="128">
        <f ca="1">INDEX(角色升级!$P:$P,MATCH(玩家节奏2!$CH113,角色升级!$A:$A,0))</f>
        <v>37800</v>
      </c>
      <c r="CM113" s="90">
        <f ca="1">INDEX(角色升级!Q:Q,MATCH(玩家节奏2!$CH113,角色升级!$A:$A,0))</f>
        <v>2.2000000000000002</v>
      </c>
      <c r="CO113" s="128">
        <f t="shared" si="100"/>
        <v>78866</v>
      </c>
      <c r="CP113" s="90">
        <f t="shared" si="101"/>
        <v>212366</v>
      </c>
      <c r="CQ113" s="90">
        <f t="shared" si="102"/>
        <v>74494</v>
      </c>
      <c r="CR113" s="90">
        <f t="shared" ca="1" si="103"/>
        <v>301247.5</v>
      </c>
      <c r="CS113" s="90">
        <f t="shared" ca="1" si="104"/>
        <v>666973.5</v>
      </c>
      <c r="CT113" s="142">
        <f t="shared" ca="1" si="105"/>
        <v>0.11824457793300633</v>
      </c>
      <c r="CU113" s="142">
        <f t="shared" ca="1" si="105"/>
        <v>0.31840245526996203</v>
      </c>
      <c r="CV113" s="142">
        <f t="shared" ca="1" si="105"/>
        <v>0.11168959486396386</v>
      </c>
      <c r="CW113" s="142">
        <f t="shared" ca="1" si="105"/>
        <v>0.45166337193306783</v>
      </c>
      <c r="CY113" s="128">
        <f t="shared" si="106"/>
        <v>39434</v>
      </c>
      <c r="CZ113" s="90">
        <f t="shared" si="107"/>
        <v>106019</v>
      </c>
      <c r="DA113" s="90">
        <f t="shared" si="108"/>
        <v>51102</v>
      </c>
      <c r="DB113" s="90">
        <f t="shared" ca="1" si="128"/>
        <v>154237</v>
      </c>
      <c r="DC113" s="90">
        <f t="shared" ca="1" si="109"/>
        <v>350792</v>
      </c>
      <c r="DD113" s="142">
        <f t="shared" ca="1" si="110"/>
        <v>0.11241419416634359</v>
      </c>
      <c r="DE113" s="142">
        <f t="shared" ca="1" si="110"/>
        <v>0.30222753084448906</v>
      </c>
      <c r="DF113" s="142">
        <f t="shared" ca="1" si="110"/>
        <v>0.14567607014983239</v>
      </c>
      <c r="DG113" s="142">
        <f t="shared" ca="1" si="110"/>
        <v>0.43968220483933501</v>
      </c>
      <c r="DI113" s="128">
        <f t="shared" si="111"/>
        <v>19113</v>
      </c>
      <c r="DJ113" s="90">
        <f t="shared" si="112"/>
        <v>52115</v>
      </c>
      <c r="DK113" s="90">
        <f t="shared" si="113"/>
        <v>19890</v>
      </c>
      <c r="DL113" s="90">
        <f t="shared" ca="1" si="114"/>
        <v>24205.25</v>
      </c>
      <c r="DM113" s="90">
        <f t="shared" ca="1" si="115"/>
        <v>115323.25</v>
      </c>
      <c r="DN113" s="142">
        <f t="shared" ca="1" si="116"/>
        <v>0.16573414294168781</v>
      </c>
      <c r="DO113" s="142">
        <f t="shared" ca="1" si="116"/>
        <v>0.45190367076890392</v>
      </c>
      <c r="DP113" s="142">
        <f t="shared" ca="1" si="116"/>
        <v>0.17247172621305765</v>
      </c>
      <c r="DQ113" s="142">
        <f t="shared" ca="1" si="116"/>
        <v>0.20989046007635059</v>
      </c>
      <c r="DS113" s="128">
        <f t="shared" ca="1" si="117"/>
        <v>666973.5</v>
      </c>
      <c r="DT113" s="90">
        <f t="shared" ca="1" si="118"/>
        <v>350792</v>
      </c>
      <c r="DU113" s="90">
        <f t="shared" ca="1" si="119"/>
        <v>115323.25</v>
      </c>
      <c r="DV113" s="90">
        <f t="shared" si="120"/>
        <v>1664</v>
      </c>
      <c r="DW113" s="90">
        <f ca="1">_xlfn.IFNA(INDEX(武器升级消耗!$H:$H,MATCH(玩家节奏2!DS113/玩家节奏2!DS$5,武器升级消耗!M:M,1)),0)</f>
        <v>71</v>
      </c>
      <c r="DX113" s="90">
        <f ca="1">_xlfn.IFNA(INDEX(武器升级消耗!$H:$H,MATCH(玩家节奏2!DT113/玩家节奏2!DT$5,武器升级消耗!N:N,1)),0)</f>
        <v>62</v>
      </c>
      <c r="DY113" s="90">
        <f ca="1">_xlfn.IFNA(INDEX(武器升级消耗!$H:$H,MATCH(玩家节奏2!DU113/玩家节奏2!DU$5,武器升级消耗!O:O,1)),0)</f>
        <v>47</v>
      </c>
      <c r="DZ113" s="90">
        <f>_xlfn.IFNA(INDEX(武器升级消耗!$H:$H,MATCH(玩家节奏2!DV113/玩家节奏2!DV$5,武器升级消耗!P:P,1)),0)</f>
        <v>29</v>
      </c>
      <c r="EA113" s="90">
        <f ca="1">_xlfn.IFNA(INDEX(武器升级消耗!$Q:$Q,MATCH(玩家节奏2!DW113,武器升级消耗!$H:$H,0))*2*EA$4,0)</f>
        <v>8.9999999999999876</v>
      </c>
      <c r="EB113" s="90">
        <f ca="1">_xlfn.IFNA(INDEX(武器升级消耗!$Q:$Q,MATCH(玩家节奏2!DX113,武器升级消耗!$H:$H,0))*2*EB$4,0)</f>
        <v>9.8999999999999986</v>
      </c>
      <c r="EC113" s="90">
        <f ca="1">_xlfn.IFNA(INDEX(武器升级消耗!$Q:$Q,MATCH(玩家节奏2!DY113,武器升级消耗!$H:$H,0))*2*EC$4,0)</f>
        <v>11.22</v>
      </c>
      <c r="ED113" s="90">
        <f>_xlfn.IFNA(INDEX(武器升级消耗!$Q:$Q,MATCH(玩家节奏2!DZ113,武器升级消耗!$H:$H,0))*2*ED$4,0)</f>
        <v>9.8999999999999986</v>
      </c>
    </row>
    <row r="114" spans="1:134" x14ac:dyDescent="0.25">
      <c r="A114" s="123">
        <v>108</v>
      </c>
      <c r="B114" s="123">
        <f>INDEX(关卡对比!$Y:$Y,MATCH(关卡对比!Z114,关卡对比!$AA:$AA,1))</f>
        <v>67</v>
      </c>
      <c r="C114" s="124">
        <f>INDEX(关卡对比!$Y:$Y,MATCH(关卡对比!Z114,关卡对比!$AB:$AB,1))</f>
        <v>54</v>
      </c>
      <c r="D114" s="125">
        <f t="shared" si="131"/>
        <v>427.5</v>
      </c>
      <c r="E114" s="125">
        <v>2</v>
      </c>
      <c r="F114" s="128">
        <v>16</v>
      </c>
      <c r="G114" s="90">
        <v>16</v>
      </c>
      <c r="H114" s="90">
        <v>5</v>
      </c>
      <c r="J114" s="128">
        <v>108</v>
      </c>
      <c r="K114" s="90">
        <f t="shared" si="88"/>
        <v>16</v>
      </c>
      <c r="L114" s="90">
        <f t="shared" si="89"/>
        <v>16</v>
      </c>
      <c r="M114" s="90">
        <f t="shared" si="90"/>
        <v>5</v>
      </c>
      <c r="N114" s="140">
        <f>INDEX($A:$A,MATCH(SUM($K$7:K114),$D:$D,1))</f>
        <v>200</v>
      </c>
      <c r="O114" s="140">
        <v>0</v>
      </c>
      <c r="P114" s="141">
        <v>0</v>
      </c>
      <c r="Q114" s="126">
        <f>_xlfn.MAXIFS(关卡产出!X:X,关卡产出!$A:$A,玩家节奏2!$N$6,关卡产出!$B:$B,玩家节奏2!$N114)+_xlfn.MAXIFS(关卡产出!X:X,关卡产出!$A:$A,玩家节奏2!$O$6,关卡产出!$B:$B,玩家节奏2!$O114)+_xlfn.MAXIFS(关卡产出!X:X,关卡产出!$A:$A,玩家节奏2!$P$6,关卡产出!$B:$B,玩家节奏2!$P114)</f>
        <v>38500</v>
      </c>
      <c r="R114" s="90">
        <f>_xlfn.MAXIFS(关卡产出!Y:Y,关卡产出!$A:$A,玩家节奏2!$N$6,关卡产出!$B:$B,玩家节奏2!$N114)+_xlfn.MAXIFS(关卡产出!Y:Y,关卡产出!$A:$A,玩家节奏2!$O$6,关卡产出!$B:$B,玩家节奏2!$O114)+_xlfn.MAXIFS(关卡产出!Y:Y,关卡产出!$A:$A,玩家节奏2!$P$6,关卡产出!$B:$B,玩家节奏2!$P114)</f>
        <v>11610000</v>
      </c>
      <c r="S114" s="90">
        <f>_xlfn.MAXIFS(关卡产出!Z:Z,关卡产出!$A:$A,玩家节奏2!$N$6,关卡产出!$B:$B,玩家节奏2!$N114)+_xlfn.MAXIFS(关卡产出!Z:Z,关卡产出!$A:$A,玩家节奏2!$O$6,关卡产出!$B:$B,玩家节奏2!$O114)+_xlfn.MAXIFS(关卡产出!Z:Z,关卡产出!$A:$A,玩家节奏2!$P$6,关卡产出!$B:$B,玩家节奏2!$P114)</f>
        <v>78866</v>
      </c>
      <c r="T114" s="90">
        <f>_xlfn.MAXIFS(关卡产出!AA:AA,关卡产出!$A:$A,玩家节奏2!$N$6,关卡产出!$B:$B,玩家节奏2!$N114)+_xlfn.MAXIFS(关卡产出!AA:AA,关卡产出!$A:$A,玩家节奏2!$O$6,关卡产出!$B:$B,玩家节奏2!$O114)+_xlfn.MAXIFS(关卡产出!AA:AA,关卡产出!$A:$A,玩家节奏2!$P$6,关卡产出!$B:$B,玩家节奏2!$P114)</f>
        <v>39434</v>
      </c>
      <c r="U114" s="90">
        <f>_xlfn.MAXIFS(关卡产出!AB:AB,关卡产出!$A:$A,玩家节奏2!$N$6,关卡产出!$B:$B,玩家节奏2!$N114)+_xlfn.MAXIFS(关卡产出!AB:AB,关卡产出!$A:$A,玩家节奏2!$O$6,关卡产出!$B:$B,玩家节奏2!$O114)+_xlfn.MAXIFS(关卡产出!AB:AB,关卡产出!$A:$A,玩家节奏2!$P$6,关卡产出!$B:$B,玩家节奏2!$P114)</f>
        <v>19113</v>
      </c>
      <c r="V114" s="130">
        <f>_xlfn.MAXIFS(关卡产出!AC:AC,关卡产出!$A:$A,玩家节奏2!$N$6,关卡产出!$B:$B,玩家节奏2!$N114)+_xlfn.MAXIFS(关卡产出!AC:AC,关卡产出!$A:$A,玩家节奏2!$O$6,关卡产出!$B:$B,玩家节奏2!$O114)+_xlfn.MAXIFS(关卡产出!AC:AC,关卡产出!$A:$A,玩家节奏2!$P$6,关卡产出!$B:$B,玩家节奏2!$P114)</f>
        <v>1200</v>
      </c>
      <c r="W114" s="126">
        <f>INDEX(关卡产出!C$8:C$207,MATCH(玩家节奏2!$N114,关卡产出!$B$8:$B$207,0))*$K114</f>
        <v>2528</v>
      </c>
      <c r="X114" s="126">
        <f>INDEX(关卡产出!D$8:D$207,MATCH(玩家节奏2!$N114,关卡产出!$B$8:$B$207,0))*$K114</f>
        <v>1264</v>
      </c>
      <c r="Y114" s="126">
        <f>INDEX(关卡产出!E$8:E$207,MATCH(玩家节奏2!$N114,关卡产出!$B$8:$B$207,0))*$K114</f>
        <v>624</v>
      </c>
      <c r="Z114" s="144">
        <f>INDEX(关卡产出!F$8:F$207,MATCH(玩家节奏2!$N114,关卡产出!$B$8:$B$207,0))*$K114</f>
        <v>32800</v>
      </c>
      <c r="AA114" s="126">
        <f>SUM(W$7:W114)</f>
        <v>214894</v>
      </c>
      <c r="AB114" s="126">
        <f>SUM(X$7:X114)</f>
        <v>107283</v>
      </c>
      <c r="AC114" s="126">
        <f>SUM(Y$7:Y114)</f>
        <v>52739</v>
      </c>
      <c r="AD114" s="177">
        <f>SUM(Z$7:Z114)</f>
        <v>2815930</v>
      </c>
      <c r="AE114" s="128">
        <f>INDEX(图鉴!AQ:AQ,MATCH($N114,图鉴!$S:$S,0))*34</f>
        <v>714</v>
      </c>
      <c r="AF114" s="90">
        <f>INDEX(图鉴!AR:AR,MATCH($N114,图鉴!$S:$S,0))*34</f>
        <v>510</v>
      </c>
      <c r="AG114" s="90">
        <f>INDEX(图鉴!AS:AS,MATCH($N114,图鉴!$S:$S,0))*34</f>
        <v>204</v>
      </c>
      <c r="AH114" s="129">
        <f ca="1">INDEX(图鉴!AT:AT,MATCH($N114,图鉴!$S:$S,0))*34</f>
        <v>55930</v>
      </c>
      <c r="AI114" s="128">
        <f>SUM($AE$7:AE114)</f>
        <v>75208</v>
      </c>
      <c r="AJ114" s="90">
        <f>SUM(AF$7:AF114)</f>
        <v>51612</v>
      </c>
      <c r="AK114" s="90">
        <f>SUM(AG$7:AG114)</f>
        <v>20094</v>
      </c>
      <c r="AL114" s="130">
        <f ca="1">SUM(AH$7:AH114)</f>
        <v>5210806</v>
      </c>
      <c r="AM114" s="133">
        <f>IF(M114=0,0,INDEX(关卡产出!$AU$11:$AU$15,MATCH(玩家节奏2!N114,关卡产出!$AW$11:$AW$15,1))*M114)</f>
        <v>61000</v>
      </c>
      <c r="AN114" s="126">
        <f>IF(L114=0,0,$L114*关卡产出!AU$21)</f>
        <v>16000</v>
      </c>
      <c r="AO114" s="90">
        <f>IF(M114=0,0,$L114*关卡产出!AV$21)</f>
        <v>800</v>
      </c>
      <c r="AP114" s="129">
        <f>IF(N114=0,0,$L114*关卡产出!AW$21)</f>
        <v>16</v>
      </c>
      <c r="AQ114" s="138">
        <f>SUM(AN$7:AN114)</f>
        <v>1680000</v>
      </c>
      <c r="AR114" s="126">
        <f>SUM(AO$7:AO114)</f>
        <v>84000</v>
      </c>
      <c r="AS114" s="129">
        <f>SUM(AP$7:AP114)</f>
        <v>1680</v>
      </c>
      <c r="AT114" s="128">
        <v>3000</v>
      </c>
      <c r="AU114" s="129">
        <v>600</v>
      </c>
      <c r="AV114" s="128">
        <f>SUM(AT$7:AT114)</f>
        <v>324000</v>
      </c>
      <c r="AW114" s="90">
        <f>SUM(AU$7:AU114)</f>
        <v>64800</v>
      </c>
      <c r="AY114" s="128">
        <f t="shared" si="91"/>
        <v>38500</v>
      </c>
      <c r="AZ114" s="90">
        <f t="shared" si="92"/>
        <v>84000</v>
      </c>
      <c r="BA114" s="90">
        <f t="shared" si="93"/>
        <v>64800</v>
      </c>
      <c r="BB114" s="90">
        <f t="shared" ca="1" si="127"/>
        <v>37800</v>
      </c>
      <c r="BC114" s="90">
        <f t="shared" ca="1" si="129"/>
        <v>114725</v>
      </c>
      <c r="BD114" s="90">
        <f t="shared" ca="1" si="130"/>
        <v>110375</v>
      </c>
      <c r="BE114" s="90">
        <f t="shared" ca="1" si="94"/>
        <v>225100</v>
      </c>
      <c r="BF114" s="142">
        <f t="shared" ca="1" si="132"/>
        <v>0.33558509479189363</v>
      </c>
      <c r="BG114" s="142">
        <f t="shared" ca="1" si="133"/>
        <v>0.73218566136413166</v>
      </c>
      <c r="BH114" s="142">
        <f t="shared" ca="1" si="134"/>
        <v>0.56482893876661577</v>
      </c>
      <c r="BI114" s="142">
        <f t="shared" ca="1" si="137"/>
        <v>0.32948354761385923</v>
      </c>
      <c r="BJ114" s="143"/>
      <c r="BK114" s="128">
        <f ca="1">INDEX(商城宝箱!$L:$L,MATCH(BC114,商城宝箱!$N:$N,1))</f>
        <v>12</v>
      </c>
      <c r="BL114" s="90">
        <f ca="1">_xlfn.IFNA(INDEX(商城宝箱!T:T,MATCH(玩家节奏2!$BK114,商城宝箱!$L:$L,0)),0)+($BC114-INDEX(商城宝箱!$N:$N,MATCH(玩家节奏2!$BK114,商城宝箱!$L:$L,0)))/$BK$5*INDEX(商城宝箱!E$23:E$42,MATCH(玩家节奏2!$BK114+1,商城宝箱!$C$23:$C$42,0))</f>
        <v>286812.5</v>
      </c>
      <c r="BM114" s="90">
        <f ca="1">_xlfn.IFNA(INDEX(商城宝箱!U:U,MATCH(玩家节奏2!$BK114,商城宝箱!$L:$L,0)),0)+($BC114-INDEX(商城宝箱!$N:$N,MATCH(玩家节奏2!$BK114,商城宝箱!$L:$L,0)))/$BK$5*INDEX(商城宝箱!F$23:F$42,MATCH(玩家节奏2!$BK114+1,商城宝箱!$C$23:$C$42,0))</f>
        <v>304187.5</v>
      </c>
      <c r="BN114" s="90">
        <f ca="1">_xlfn.IFNA(INDEX(商城宝箱!V:V,MATCH(玩家节奏2!$BK114,商城宝箱!$L:$L,0)),0)+($BC114-INDEX(商城宝箱!$N:$N,MATCH(玩家节奏2!$BK114,商城宝箱!$L:$L,0)))/$BK$5*INDEX(商城宝箱!G$23:G$42,MATCH(玩家节奏2!$BK114+1,商城宝箱!$C$23:$C$42,0))</f>
        <v>155637</v>
      </c>
      <c r="BO114" s="90">
        <f ca="1">_xlfn.IFNA(INDEX(商城宝箱!W:W,MATCH(玩家节奏2!$BK114,商城宝箱!$L:$L,0)),0)+($BC114-INDEX(商城宝箱!$N:$N,MATCH(玩家节奏2!$BK114,商城宝箱!$L:$L,0)))/$BK$5*INDEX(商城宝箱!H$23:H$42,MATCH(玩家节奏2!$BK114+1,商城宝箱!$C$23:$C$42,0))</f>
        <v>24450.25</v>
      </c>
      <c r="BQ114" s="128">
        <f t="shared" si="79"/>
        <v>11610000</v>
      </c>
      <c r="BR114" s="90">
        <f t="shared" si="80"/>
        <v>2815930</v>
      </c>
      <c r="BS114" s="90">
        <f t="shared" ca="1" si="135"/>
        <v>5210806</v>
      </c>
      <c r="BT114" s="90">
        <f t="shared" si="136"/>
        <v>61000</v>
      </c>
      <c r="BU114" s="90">
        <f t="shared" si="83"/>
        <v>1680000</v>
      </c>
      <c r="BV114" s="90">
        <f t="shared" si="84"/>
        <v>324000</v>
      </c>
      <c r="BW114" s="90">
        <f t="shared" ca="1" si="96"/>
        <v>286812.5</v>
      </c>
      <c r="BX114" s="90">
        <f t="shared" ca="1" si="97"/>
        <v>21988548.5</v>
      </c>
      <c r="BY114" s="142">
        <f t="shared" ca="1" si="74"/>
        <v>0.52800210982548479</v>
      </c>
      <c r="BZ114" s="142">
        <f t="shared" ca="1" si="74"/>
        <v>0.12806347813271984</v>
      </c>
      <c r="CA114" s="142">
        <f t="shared" ca="1" si="74"/>
        <v>0.23697817070553792</v>
      </c>
      <c r="CB114" s="142">
        <f t="shared" ca="1" si="74"/>
        <v>2.7741712919340722E-3</v>
      </c>
      <c r="CC114" s="142">
        <f t="shared" ca="1" si="74"/>
        <v>7.6403406072938371E-2</v>
      </c>
      <c r="CD114" s="142">
        <f t="shared" ca="1" si="74"/>
        <v>1.4734942599780972E-2</v>
      </c>
      <c r="CE114" s="142">
        <f t="shared" ca="1" si="74"/>
        <v>1.304372137160395E-2</v>
      </c>
      <c r="CG114" s="128">
        <f t="shared" si="98"/>
        <v>200</v>
      </c>
      <c r="CH114" s="90">
        <f ca="1">INDEX(角色升级!$A:$A,MATCH(玩家节奏2!$BX114,角色升级!$J:$J,1))</f>
        <v>995</v>
      </c>
      <c r="CI114" s="90">
        <f ca="1">INDEX(角色升级!$O:$O,MATCH(玩家节奏2!$BX114,角色升级!$J:$J,1))</f>
        <v>89081.035980000001</v>
      </c>
      <c r="CJ114" s="90">
        <f>INDEX(关卡对比!$J:$J,MATCH(玩家节奏2!N114,关卡对比!$A:$A,0))</f>
        <v>86200</v>
      </c>
      <c r="CK114" s="147">
        <f t="shared" ca="1" si="99"/>
        <v>0.96765825690838581</v>
      </c>
      <c r="CL114" s="128">
        <f ca="1">INDEX(角色升级!$P:$P,MATCH(玩家节奏2!$CH114,角色升级!$A:$A,0))</f>
        <v>37800</v>
      </c>
      <c r="CM114" s="90">
        <f ca="1">INDEX(角色升级!Q:Q,MATCH(玩家节奏2!$CH114,角色升级!$A:$A,0))</f>
        <v>2.2000000000000002</v>
      </c>
      <c r="CO114" s="128">
        <f t="shared" si="100"/>
        <v>78866</v>
      </c>
      <c r="CP114" s="90">
        <f t="shared" si="101"/>
        <v>214894</v>
      </c>
      <c r="CQ114" s="90">
        <f t="shared" si="102"/>
        <v>75208</v>
      </c>
      <c r="CR114" s="90">
        <f t="shared" ca="1" si="103"/>
        <v>304187.5</v>
      </c>
      <c r="CS114" s="90">
        <f t="shared" ca="1" si="104"/>
        <v>673155.5</v>
      </c>
      <c r="CT114" s="142">
        <f t="shared" ca="1" si="105"/>
        <v>0.1171586654198027</v>
      </c>
      <c r="CU114" s="142">
        <f t="shared" ca="1" si="105"/>
        <v>0.31923381744634038</v>
      </c>
      <c r="CV114" s="142">
        <f t="shared" ca="1" si="105"/>
        <v>0.11172455695600794</v>
      </c>
      <c r="CW114" s="142">
        <f t="shared" ca="1" si="105"/>
        <v>0.45188296017784896</v>
      </c>
      <c r="CY114" s="128">
        <f t="shared" si="106"/>
        <v>39434</v>
      </c>
      <c r="CZ114" s="90">
        <f t="shared" si="107"/>
        <v>107283</v>
      </c>
      <c r="DA114" s="90">
        <f t="shared" si="108"/>
        <v>51612</v>
      </c>
      <c r="DB114" s="90">
        <f t="shared" ca="1" si="128"/>
        <v>155637</v>
      </c>
      <c r="DC114" s="90">
        <f t="shared" ca="1" si="109"/>
        <v>353966</v>
      </c>
      <c r="DD114" s="142">
        <f t="shared" ca="1" si="110"/>
        <v>0.11140618025460072</v>
      </c>
      <c r="DE114" s="142">
        <f t="shared" ca="1" si="110"/>
        <v>0.30308843222230386</v>
      </c>
      <c r="DF114" s="142">
        <f t="shared" ca="1" si="110"/>
        <v>0.14581061457880135</v>
      </c>
      <c r="DG114" s="142">
        <f t="shared" ca="1" si="110"/>
        <v>0.4396947729442941</v>
      </c>
      <c r="DI114" s="128">
        <f t="shared" si="111"/>
        <v>19113</v>
      </c>
      <c r="DJ114" s="90">
        <f t="shared" si="112"/>
        <v>52739</v>
      </c>
      <c r="DK114" s="90">
        <f t="shared" si="113"/>
        <v>20094</v>
      </c>
      <c r="DL114" s="90">
        <f t="shared" ca="1" si="114"/>
        <v>24450.25</v>
      </c>
      <c r="DM114" s="90">
        <f t="shared" ca="1" si="115"/>
        <v>116396.25</v>
      </c>
      <c r="DN114" s="142">
        <f t="shared" ca="1" si="116"/>
        <v>0.16420632107993169</v>
      </c>
      <c r="DO114" s="142">
        <f t="shared" ca="1" si="116"/>
        <v>0.4530987896946852</v>
      </c>
      <c r="DP114" s="142">
        <f t="shared" ca="1" si="116"/>
        <v>0.17263442765553014</v>
      </c>
      <c r="DQ114" s="142">
        <f t="shared" ca="1" si="116"/>
        <v>0.21006046156985297</v>
      </c>
      <c r="DS114" s="128">
        <f t="shared" ca="1" si="117"/>
        <v>673155.5</v>
      </c>
      <c r="DT114" s="90">
        <f t="shared" ca="1" si="118"/>
        <v>353966</v>
      </c>
      <c r="DU114" s="90">
        <f t="shared" ca="1" si="119"/>
        <v>116396.25</v>
      </c>
      <c r="DV114" s="90">
        <f t="shared" si="120"/>
        <v>1680</v>
      </c>
      <c r="DW114" s="90">
        <f ca="1">_xlfn.IFNA(INDEX(武器升级消耗!$H:$H,MATCH(玩家节奏2!DS114/玩家节奏2!DS$5,武器升级消耗!M:M,1)),0)</f>
        <v>71</v>
      </c>
      <c r="DX114" s="90">
        <f ca="1">_xlfn.IFNA(INDEX(武器升级消耗!$H:$H,MATCH(玩家节奏2!DT114/玩家节奏2!DT$5,武器升级消耗!N:N,1)),0)</f>
        <v>62</v>
      </c>
      <c r="DY114" s="90">
        <f ca="1">_xlfn.IFNA(INDEX(武器升级消耗!$H:$H,MATCH(玩家节奏2!DU114/玩家节奏2!DU$5,武器升级消耗!O:O,1)),0)</f>
        <v>47</v>
      </c>
      <c r="DZ114" s="90">
        <f>_xlfn.IFNA(INDEX(武器升级消耗!$H:$H,MATCH(玩家节奏2!DV114/玩家节奏2!DV$5,武器升级消耗!P:P,1)),0)</f>
        <v>29</v>
      </c>
      <c r="EA114" s="90">
        <f ca="1">_xlfn.IFNA(INDEX(武器升级消耗!$Q:$Q,MATCH(玩家节奏2!DW114,武器升级消耗!$H:$H,0))*2*EA$4,0)</f>
        <v>8.9999999999999876</v>
      </c>
      <c r="EB114" s="90">
        <f ca="1">_xlfn.IFNA(INDEX(武器升级消耗!$Q:$Q,MATCH(玩家节奏2!DX114,武器升级消耗!$H:$H,0))*2*EB$4,0)</f>
        <v>9.8999999999999986</v>
      </c>
      <c r="EC114" s="90">
        <f ca="1">_xlfn.IFNA(INDEX(武器升级消耗!$Q:$Q,MATCH(玩家节奏2!DY114,武器升级消耗!$H:$H,0))*2*EC$4,0)</f>
        <v>11.22</v>
      </c>
      <c r="ED114" s="90">
        <f>_xlfn.IFNA(INDEX(武器升级消耗!$Q:$Q,MATCH(玩家节奏2!DZ114,武器升级消耗!$H:$H,0))*2*ED$4,0)</f>
        <v>9.8999999999999986</v>
      </c>
    </row>
    <row r="115" spans="1:134" x14ac:dyDescent="0.25">
      <c r="A115" s="123">
        <v>109</v>
      </c>
      <c r="B115" s="123">
        <f>INDEX(关卡对比!$Y:$Y,MATCH(关卡对比!Z115,关卡对比!$AA:$AA,1))</f>
        <v>68</v>
      </c>
      <c r="C115" s="124">
        <f>INDEX(关卡对比!$Y:$Y,MATCH(关卡对比!Z115,关卡对比!$AB:$AB,1))</f>
        <v>54</v>
      </c>
      <c r="D115" s="125">
        <f t="shared" si="131"/>
        <v>431.5</v>
      </c>
      <c r="E115" s="125">
        <v>2</v>
      </c>
      <c r="F115" s="128">
        <v>16</v>
      </c>
      <c r="G115" s="90">
        <v>16</v>
      </c>
      <c r="H115" s="90">
        <v>5</v>
      </c>
      <c r="J115" s="128">
        <v>109</v>
      </c>
      <c r="K115" s="90">
        <f t="shared" si="88"/>
        <v>16</v>
      </c>
      <c r="L115" s="90">
        <f t="shared" si="89"/>
        <v>16</v>
      </c>
      <c r="M115" s="90">
        <f t="shared" si="90"/>
        <v>5</v>
      </c>
      <c r="N115" s="140">
        <f>INDEX($A:$A,MATCH(SUM($K$7:K115),$D:$D,1))</f>
        <v>200</v>
      </c>
      <c r="O115" s="140">
        <v>0</v>
      </c>
      <c r="P115" s="141">
        <v>0</v>
      </c>
      <c r="Q115" s="126">
        <f>_xlfn.MAXIFS(关卡产出!X:X,关卡产出!$A:$A,玩家节奏2!$N$6,关卡产出!$B:$B,玩家节奏2!$N115)+_xlfn.MAXIFS(关卡产出!X:X,关卡产出!$A:$A,玩家节奏2!$O$6,关卡产出!$B:$B,玩家节奏2!$O115)+_xlfn.MAXIFS(关卡产出!X:X,关卡产出!$A:$A,玩家节奏2!$P$6,关卡产出!$B:$B,玩家节奏2!$P115)</f>
        <v>38500</v>
      </c>
      <c r="R115" s="90">
        <f>_xlfn.MAXIFS(关卡产出!Y:Y,关卡产出!$A:$A,玩家节奏2!$N$6,关卡产出!$B:$B,玩家节奏2!$N115)+_xlfn.MAXIFS(关卡产出!Y:Y,关卡产出!$A:$A,玩家节奏2!$O$6,关卡产出!$B:$B,玩家节奏2!$O115)+_xlfn.MAXIFS(关卡产出!Y:Y,关卡产出!$A:$A,玩家节奏2!$P$6,关卡产出!$B:$B,玩家节奏2!$P115)</f>
        <v>11610000</v>
      </c>
      <c r="S115" s="90">
        <f>_xlfn.MAXIFS(关卡产出!Z:Z,关卡产出!$A:$A,玩家节奏2!$N$6,关卡产出!$B:$B,玩家节奏2!$N115)+_xlfn.MAXIFS(关卡产出!Z:Z,关卡产出!$A:$A,玩家节奏2!$O$6,关卡产出!$B:$B,玩家节奏2!$O115)+_xlfn.MAXIFS(关卡产出!Z:Z,关卡产出!$A:$A,玩家节奏2!$P$6,关卡产出!$B:$B,玩家节奏2!$P115)</f>
        <v>78866</v>
      </c>
      <c r="T115" s="90">
        <f>_xlfn.MAXIFS(关卡产出!AA:AA,关卡产出!$A:$A,玩家节奏2!$N$6,关卡产出!$B:$B,玩家节奏2!$N115)+_xlfn.MAXIFS(关卡产出!AA:AA,关卡产出!$A:$A,玩家节奏2!$O$6,关卡产出!$B:$B,玩家节奏2!$O115)+_xlfn.MAXIFS(关卡产出!AA:AA,关卡产出!$A:$A,玩家节奏2!$P$6,关卡产出!$B:$B,玩家节奏2!$P115)</f>
        <v>39434</v>
      </c>
      <c r="U115" s="90">
        <f>_xlfn.MAXIFS(关卡产出!AB:AB,关卡产出!$A:$A,玩家节奏2!$N$6,关卡产出!$B:$B,玩家节奏2!$N115)+_xlfn.MAXIFS(关卡产出!AB:AB,关卡产出!$A:$A,玩家节奏2!$O$6,关卡产出!$B:$B,玩家节奏2!$O115)+_xlfn.MAXIFS(关卡产出!AB:AB,关卡产出!$A:$A,玩家节奏2!$P$6,关卡产出!$B:$B,玩家节奏2!$P115)</f>
        <v>19113</v>
      </c>
      <c r="V115" s="130">
        <f>_xlfn.MAXIFS(关卡产出!AC:AC,关卡产出!$A:$A,玩家节奏2!$N$6,关卡产出!$B:$B,玩家节奏2!$N115)+_xlfn.MAXIFS(关卡产出!AC:AC,关卡产出!$A:$A,玩家节奏2!$O$6,关卡产出!$B:$B,玩家节奏2!$O115)+_xlfn.MAXIFS(关卡产出!AC:AC,关卡产出!$A:$A,玩家节奏2!$P$6,关卡产出!$B:$B,玩家节奏2!$P115)</f>
        <v>1200</v>
      </c>
      <c r="W115" s="126">
        <f>INDEX(关卡产出!C$8:C$207,MATCH(玩家节奏2!$N115,关卡产出!$B$8:$B$207,0))*$K115</f>
        <v>2528</v>
      </c>
      <c r="X115" s="126">
        <f>INDEX(关卡产出!D$8:D$207,MATCH(玩家节奏2!$N115,关卡产出!$B$8:$B$207,0))*$K115</f>
        <v>1264</v>
      </c>
      <c r="Y115" s="126">
        <f>INDEX(关卡产出!E$8:E$207,MATCH(玩家节奏2!$N115,关卡产出!$B$8:$B$207,0))*$K115</f>
        <v>624</v>
      </c>
      <c r="Z115" s="144">
        <f>INDEX(关卡产出!F$8:F$207,MATCH(玩家节奏2!$N115,关卡产出!$B$8:$B$207,0))*$K115</f>
        <v>32800</v>
      </c>
      <c r="AA115" s="126">
        <f>SUM(W$7:W115)</f>
        <v>217422</v>
      </c>
      <c r="AB115" s="126">
        <f>SUM(X$7:X115)</f>
        <v>108547</v>
      </c>
      <c r="AC115" s="126">
        <f>SUM(Y$7:Y115)</f>
        <v>53363</v>
      </c>
      <c r="AD115" s="177">
        <f>SUM(Z$7:Z115)</f>
        <v>2848730</v>
      </c>
      <c r="AE115" s="128">
        <f>INDEX(图鉴!AQ:AQ,MATCH($N115,图鉴!$S:$S,0))*34</f>
        <v>714</v>
      </c>
      <c r="AF115" s="90">
        <f>INDEX(图鉴!AR:AR,MATCH($N115,图鉴!$S:$S,0))*34</f>
        <v>510</v>
      </c>
      <c r="AG115" s="90">
        <f>INDEX(图鉴!AS:AS,MATCH($N115,图鉴!$S:$S,0))*34</f>
        <v>204</v>
      </c>
      <c r="AH115" s="129">
        <f ca="1">INDEX(图鉴!AT:AT,MATCH($N115,图鉴!$S:$S,0))*34</f>
        <v>55930</v>
      </c>
      <c r="AI115" s="128">
        <f>SUM($AE$7:AE115)</f>
        <v>75922</v>
      </c>
      <c r="AJ115" s="90">
        <f>SUM(AF$7:AF115)</f>
        <v>52122</v>
      </c>
      <c r="AK115" s="90">
        <f>SUM(AG$7:AG115)</f>
        <v>20298</v>
      </c>
      <c r="AL115" s="130">
        <f ca="1">SUM(AH$7:AH115)</f>
        <v>5266736</v>
      </c>
      <c r="AM115" s="133">
        <f>IF(M115=0,0,INDEX(关卡产出!$AU$11:$AU$15,MATCH(玩家节奏2!N115,关卡产出!$AW$11:$AW$15,1))*M115)</f>
        <v>61000</v>
      </c>
      <c r="AN115" s="126">
        <f>IF(L115=0,0,$L115*关卡产出!AU$21)</f>
        <v>16000</v>
      </c>
      <c r="AO115" s="90">
        <f>IF(M115=0,0,$L115*关卡产出!AV$21)</f>
        <v>800</v>
      </c>
      <c r="AP115" s="129">
        <f>IF(N115=0,0,$L115*关卡产出!AW$21)</f>
        <v>16</v>
      </c>
      <c r="AQ115" s="138">
        <f>SUM(AN$7:AN115)</f>
        <v>1696000</v>
      </c>
      <c r="AR115" s="126">
        <f>SUM(AO$7:AO115)</f>
        <v>84800</v>
      </c>
      <c r="AS115" s="129">
        <f>SUM(AP$7:AP115)</f>
        <v>1696</v>
      </c>
      <c r="AT115" s="128">
        <v>3000</v>
      </c>
      <c r="AU115" s="129">
        <v>600</v>
      </c>
      <c r="AV115" s="128">
        <f>SUM(AT$7:AT115)</f>
        <v>327000</v>
      </c>
      <c r="AW115" s="90">
        <f>SUM(AU$7:AU115)</f>
        <v>65400</v>
      </c>
      <c r="AY115" s="128">
        <f t="shared" si="91"/>
        <v>38500</v>
      </c>
      <c r="AZ115" s="90">
        <f t="shared" si="92"/>
        <v>84800</v>
      </c>
      <c r="BA115" s="90">
        <f t="shared" si="93"/>
        <v>65400</v>
      </c>
      <c r="BB115" s="90">
        <f t="shared" ca="1" si="127"/>
        <v>37800</v>
      </c>
      <c r="BC115" s="90">
        <f t="shared" ca="1" si="129"/>
        <v>115425</v>
      </c>
      <c r="BD115" s="90">
        <f t="shared" ca="1" si="130"/>
        <v>111075</v>
      </c>
      <c r="BE115" s="90">
        <f t="shared" ca="1" si="94"/>
        <v>226500</v>
      </c>
      <c r="BF115" s="142">
        <f t="shared" ca="1" si="132"/>
        <v>0.33354992419319907</v>
      </c>
      <c r="BG115" s="142">
        <f t="shared" ca="1" si="133"/>
        <v>0.73467619666450079</v>
      </c>
      <c r="BH115" s="142">
        <f t="shared" ca="1" si="134"/>
        <v>0.56660168940870692</v>
      </c>
      <c r="BI115" s="142">
        <f t="shared" ca="1" si="137"/>
        <v>0.32748538011695905</v>
      </c>
      <c r="BJ115" s="143"/>
      <c r="BK115" s="128">
        <f ca="1">INDEX(商城宝箱!$L:$L,MATCH(BC115,商城宝箱!$N:$N,1))</f>
        <v>12</v>
      </c>
      <c r="BL115" s="90">
        <f ca="1">_xlfn.IFNA(INDEX(商城宝箱!T:T,MATCH(玩家节奏2!$BK115,商城宝箱!$L:$L,0)),0)+($BC115-INDEX(商城宝箱!$N:$N,MATCH(玩家节奏2!$BK115,商城宝箱!$L:$L,0)))/$BK$5*INDEX(商城宝箱!E$23:E$42,MATCH(玩家节奏2!$BK115+1,商城宝箱!$C$23:$C$42,0))</f>
        <v>288562.5</v>
      </c>
      <c r="BM115" s="90">
        <f ca="1">_xlfn.IFNA(INDEX(商城宝箱!U:U,MATCH(玩家节奏2!$BK115,商城宝箱!$L:$L,0)),0)+($BC115-INDEX(商城宝箱!$N:$N,MATCH(玩家节奏2!$BK115,商城宝箱!$L:$L,0)))/$BK$5*INDEX(商城宝箱!F$23:F$42,MATCH(玩家节奏2!$BK115+1,商城宝箱!$C$23:$C$42,0))</f>
        <v>307127.5</v>
      </c>
      <c r="BN115" s="90">
        <f ca="1">_xlfn.IFNA(INDEX(商城宝箱!V:V,MATCH(玩家节奏2!$BK115,商城宝箱!$L:$L,0)),0)+($BC115-INDEX(商城宝箱!$N:$N,MATCH(玩家节奏2!$BK115,商城宝箱!$L:$L,0)))/$BK$5*INDEX(商城宝箱!G$23:G$42,MATCH(玩家节奏2!$BK115+1,商城宝箱!$C$23:$C$42,0))</f>
        <v>157037</v>
      </c>
      <c r="BO115" s="90">
        <f ca="1">_xlfn.IFNA(INDEX(商城宝箱!W:W,MATCH(玩家节奏2!$BK115,商城宝箱!$L:$L,0)),0)+($BC115-INDEX(商城宝箱!$N:$N,MATCH(玩家节奏2!$BK115,商城宝箱!$L:$L,0)))/$BK$5*INDEX(商城宝箱!H$23:H$42,MATCH(玩家节奏2!$BK115+1,商城宝箱!$C$23:$C$42,0))</f>
        <v>24695.25</v>
      </c>
      <c r="BQ115" s="128">
        <f t="shared" si="79"/>
        <v>11610000</v>
      </c>
      <c r="BR115" s="90">
        <f t="shared" si="80"/>
        <v>2848730</v>
      </c>
      <c r="BS115" s="90">
        <f t="shared" ca="1" si="135"/>
        <v>5266736</v>
      </c>
      <c r="BT115" s="90">
        <f t="shared" si="136"/>
        <v>61000</v>
      </c>
      <c r="BU115" s="90">
        <f t="shared" si="83"/>
        <v>1696000</v>
      </c>
      <c r="BV115" s="90">
        <f t="shared" si="84"/>
        <v>327000</v>
      </c>
      <c r="BW115" s="90">
        <f t="shared" ca="1" si="96"/>
        <v>288562.5</v>
      </c>
      <c r="BX115" s="90">
        <f t="shared" ca="1" si="97"/>
        <v>22098028.5</v>
      </c>
      <c r="BY115" s="142">
        <f t="shared" ca="1" si="74"/>
        <v>0.52538623524718508</v>
      </c>
      <c r="BZ115" s="142">
        <f t="shared" ca="1" si="74"/>
        <v>0.1289133100719822</v>
      </c>
      <c r="CA115" s="142">
        <f t="shared" ca="1" si="74"/>
        <v>0.23833510758663382</v>
      </c>
      <c r="CB115" s="142">
        <f t="shared" ca="1" si="74"/>
        <v>2.7604272480687589E-3</v>
      </c>
      <c r="CC115" s="142">
        <f t="shared" ca="1" si="74"/>
        <v>7.6748928077452705E-2</v>
      </c>
      <c r="CD115" s="142">
        <f t="shared" ca="1" si="74"/>
        <v>1.4797700165876788E-2</v>
      </c>
      <c r="CE115" s="142">
        <f t="shared" ca="1" si="74"/>
        <v>1.3058291602800675E-2</v>
      </c>
      <c r="CG115" s="128">
        <f t="shared" si="98"/>
        <v>200</v>
      </c>
      <c r="CH115" s="90">
        <f ca="1">INDEX(角色升级!$A:$A,MATCH(玩家节奏2!$BX115,角色升级!$J:$J,1))</f>
        <v>997</v>
      </c>
      <c r="CI115" s="90">
        <f ca="1">INDEX(角色升级!$O:$O,MATCH(玩家节奏2!$BX115,角色升级!$J:$J,1))</f>
        <v>90133.417919999993</v>
      </c>
      <c r="CJ115" s="90">
        <f>INDEX(关卡对比!$J:$J,MATCH(玩家节奏2!N115,关卡对比!$A:$A,0))</f>
        <v>86200</v>
      </c>
      <c r="CK115" s="147">
        <f t="shared" ca="1" si="99"/>
        <v>0.95636004923843909</v>
      </c>
      <c r="CL115" s="128">
        <f ca="1">INDEX(角色升级!$P:$P,MATCH(玩家节奏2!$CH115,角色升级!$A:$A,0))</f>
        <v>37800</v>
      </c>
      <c r="CM115" s="90">
        <f ca="1">INDEX(角色升级!Q:Q,MATCH(玩家节奏2!$CH115,角色升级!$A:$A,0))</f>
        <v>2.2000000000000002</v>
      </c>
      <c r="CO115" s="128">
        <f t="shared" si="100"/>
        <v>78866</v>
      </c>
      <c r="CP115" s="90">
        <f t="shared" si="101"/>
        <v>217422</v>
      </c>
      <c r="CQ115" s="90">
        <f t="shared" si="102"/>
        <v>75922</v>
      </c>
      <c r="CR115" s="90">
        <f t="shared" ca="1" si="103"/>
        <v>307127.5</v>
      </c>
      <c r="CS115" s="90">
        <f t="shared" ca="1" si="104"/>
        <v>679337.5</v>
      </c>
      <c r="CT115" s="142">
        <f t="shared" ca="1" si="105"/>
        <v>0.11609251660625242</v>
      </c>
      <c r="CU115" s="142">
        <f t="shared" ca="1" si="105"/>
        <v>0.32005004876074117</v>
      </c>
      <c r="CV115" s="142">
        <f t="shared" ca="1" si="105"/>
        <v>0.11175888273501758</v>
      </c>
      <c r="CW115" s="142">
        <f t="shared" ca="1" si="105"/>
        <v>0.45209855189798887</v>
      </c>
      <c r="CY115" s="128">
        <f t="shared" si="106"/>
        <v>39434</v>
      </c>
      <c r="CZ115" s="90">
        <f t="shared" si="107"/>
        <v>108547</v>
      </c>
      <c r="DA115" s="90">
        <f t="shared" si="108"/>
        <v>52122</v>
      </c>
      <c r="DB115" s="90">
        <f t="shared" ca="1" si="128"/>
        <v>157037</v>
      </c>
      <c r="DC115" s="90">
        <f t="shared" ca="1" si="109"/>
        <v>357140</v>
      </c>
      <c r="DD115" s="142">
        <f t="shared" ca="1" si="110"/>
        <v>0.11041608332866663</v>
      </c>
      <c r="DE115" s="142">
        <f t="shared" ca="1" si="110"/>
        <v>0.30393403147225179</v>
      </c>
      <c r="DF115" s="142">
        <f t="shared" ca="1" si="110"/>
        <v>0.14594276754214033</v>
      </c>
      <c r="DG115" s="142">
        <f t="shared" ca="1" si="110"/>
        <v>0.43970711765694126</v>
      </c>
      <c r="DI115" s="128">
        <f t="shared" si="111"/>
        <v>19113</v>
      </c>
      <c r="DJ115" s="90">
        <f t="shared" si="112"/>
        <v>53363</v>
      </c>
      <c r="DK115" s="90">
        <f t="shared" si="113"/>
        <v>20298</v>
      </c>
      <c r="DL115" s="90">
        <f t="shared" ca="1" si="114"/>
        <v>24695.25</v>
      </c>
      <c r="DM115" s="90">
        <f t="shared" ca="1" si="115"/>
        <v>117469.25</v>
      </c>
      <c r="DN115" s="142">
        <f t="shared" ca="1" si="116"/>
        <v>0.16270641040101985</v>
      </c>
      <c r="DO115" s="142">
        <f t="shared" ca="1" si="116"/>
        <v>0.45427207545804538</v>
      </c>
      <c r="DP115" s="142">
        <f t="shared" ca="1" si="116"/>
        <v>0.17279415676868629</v>
      </c>
      <c r="DQ115" s="142">
        <f t="shared" ca="1" si="116"/>
        <v>0.21022735737224849</v>
      </c>
      <c r="DS115" s="128">
        <f t="shared" ca="1" si="117"/>
        <v>679337.5</v>
      </c>
      <c r="DT115" s="90">
        <f t="shared" ca="1" si="118"/>
        <v>357140</v>
      </c>
      <c r="DU115" s="90">
        <f t="shared" ca="1" si="119"/>
        <v>117469.25</v>
      </c>
      <c r="DV115" s="90">
        <f t="shared" si="120"/>
        <v>1696</v>
      </c>
      <c r="DW115" s="90">
        <f ca="1">_xlfn.IFNA(INDEX(武器升级消耗!$H:$H,MATCH(玩家节奏2!DS115/玩家节奏2!DS$5,武器升级消耗!M:M,1)),0)</f>
        <v>71</v>
      </c>
      <c r="DX115" s="90">
        <f ca="1">_xlfn.IFNA(INDEX(武器升级消耗!$H:$H,MATCH(玩家节奏2!DT115/玩家节奏2!DT$5,武器升级消耗!N:N,1)),0)</f>
        <v>63</v>
      </c>
      <c r="DY115" s="90">
        <f ca="1">_xlfn.IFNA(INDEX(武器升级消耗!$H:$H,MATCH(玩家节奏2!DU115/玩家节奏2!DU$5,武器升级消耗!O:O,1)),0)</f>
        <v>47</v>
      </c>
      <c r="DZ115" s="90">
        <f>_xlfn.IFNA(INDEX(武器升级消耗!$H:$H,MATCH(玩家节奏2!DV115/玩家节奏2!DV$5,武器升级消耗!P:P,1)),0)</f>
        <v>30</v>
      </c>
      <c r="EA115" s="90">
        <f ca="1">_xlfn.IFNA(INDEX(武器升级消耗!$Q:$Q,MATCH(玩家节奏2!DW115,武器升级消耗!$H:$H,0))*2*EA$4,0)</f>
        <v>8.9999999999999876</v>
      </c>
      <c r="EB115" s="90">
        <f ca="1">_xlfn.IFNA(INDEX(武器升级消耗!$Q:$Q,MATCH(玩家节奏2!DX115,武器升级消耗!$H:$H,0))*2*EB$4,0)</f>
        <v>10.050000000000001</v>
      </c>
      <c r="EC115" s="90">
        <f ca="1">_xlfn.IFNA(INDEX(武器升级消耗!$Q:$Q,MATCH(玩家节奏2!DY115,武器升级消耗!$H:$H,0))*2*EC$4,0)</f>
        <v>11.22</v>
      </c>
      <c r="ED115" s="90">
        <f>_xlfn.IFNA(INDEX(武器升级消耗!$Q:$Q,MATCH(玩家节奏2!DZ115,武器升级消耗!$H:$H,0))*2*ED$4,0)</f>
        <v>10.199999999999999</v>
      </c>
    </row>
    <row r="116" spans="1:134" x14ac:dyDescent="0.25">
      <c r="A116" s="123">
        <v>110</v>
      </c>
      <c r="B116" s="123">
        <f>INDEX(关卡对比!$Y:$Y,MATCH(关卡对比!Z116,关卡对比!$AA:$AA,1))</f>
        <v>68</v>
      </c>
      <c r="C116" s="124">
        <f>INDEX(关卡对比!$Y:$Y,MATCH(关卡对比!Z116,关卡对比!$AB:$AB,1))</f>
        <v>55</v>
      </c>
      <c r="D116" s="125">
        <f t="shared" si="131"/>
        <v>435.5</v>
      </c>
      <c r="E116" s="125">
        <v>2</v>
      </c>
      <c r="F116" s="128">
        <v>16</v>
      </c>
      <c r="G116" s="90">
        <v>16</v>
      </c>
      <c r="H116" s="90">
        <v>5</v>
      </c>
      <c r="J116" s="128">
        <v>110</v>
      </c>
      <c r="K116" s="90">
        <f t="shared" si="88"/>
        <v>16</v>
      </c>
      <c r="L116" s="90">
        <f t="shared" si="89"/>
        <v>16</v>
      </c>
      <c r="M116" s="90">
        <f t="shared" si="90"/>
        <v>5</v>
      </c>
      <c r="N116" s="140">
        <f>INDEX($A:$A,MATCH(SUM($K$7:K116),$D:$D,1))</f>
        <v>200</v>
      </c>
      <c r="O116" s="140">
        <v>0</v>
      </c>
      <c r="P116" s="141">
        <v>0</v>
      </c>
      <c r="Q116" s="126">
        <f>_xlfn.MAXIFS(关卡产出!X:X,关卡产出!$A:$A,玩家节奏2!$N$6,关卡产出!$B:$B,玩家节奏2!$N116)+_xlfn.MAXIFS(关卡产出!X:X,关卡产出!$A:$A,玩家节奏2!$O$6,关卡产出!$B:$B,玩家节奏2!$O116)+_xlfn.MAXIFS(关卡产出!X:X,关卡产出!$A:$A,玩家节奏2!$P$6,关卡产出!$B:$B,玩家节奏2!$P116)</f>
        <v>38500</v>
      </c>
      <c r="R116" s="90">
        <f>_xlfn.MAXIFS(关卡产出!Y:Y,关卡产出!$A:$A,玩家节奏2!$N$6,关卡产出!$B:$B,玩家节奏2!$N116)+_xlfn.MAXIFS(关卡产出!Y:Y,关卡产出!$A:$A,玩家节奏2!$O$6,关卡产出!$B:$B,玩家节奏2!$O116)+_xlfn.MAXIFS(关卡产出!Y:Y,关卡产出!$A:$A,玩家节奏2!$P$6,关卡产出!$B:$B,玩家节奏2!$P116)</f>
        <v>11610000</v>
      </c>
      <c r="S116" s="90">
        <f>_xlfn.MAXIFS(关卡产出!Z:Z,关卡产出!$A:$A,玩家节奏2!$N$6,关卡产出!$B:$B,玩家节奏2!$N116)+_xlfn.MAXIFS(关卡产出!Z:Z,关卡产出!$A:$A,玩家节奏2!$O$6,关卡产出!$B:$B,玩家节奏2!$O116)+_xlfn.MAXIFS(关卡产出!Z:Z,关卡产出!$A:$A,玩家节奏2!$P$6,关卡产出!$B:$B,玩家节奏2!$P116)</f>
        <v>78866</v>
      </c>
      <c r="T116" s="90">
        <f>_xlfn.MAXIFS(关卡产出!AA:AA,关卡产出!$A:$A,玩家节奏2!$N$6,关卡产出!$B:$B,玩家节奏2!$N116)+_xlfn.MAXIFS(关卡产出!AA:AA,关卡产出!$A:$A,玩家节奏2!$O$6,关卡产出!$B:$B,玩家节奏2!$O116)+_xlfn.MAXIFS(关卡产出!AA:AA,关卡产出!$A:$A,玩家节奏2!$P$6,关卡产出!$B:$B,玩家节奏2!$P116)</f>
        <v>39434</v>
      </c>
      <c r="U116" s="90">
        <f>_xlfn.MAXIFS(关卡产出!AB:AB,关卡产出!$A:$A,玩家节奏2!$N$6,关卡产出!$B:$B,玩家节奏2!$N116)+_xlfn.MAXIFS(关卡产出!AB:AB,关卡产出!$A:$A,玩家节奏2!$O$6,关卡产出!$B:$B,玩家节奏2!$O116)+_xlfn.MAXIFS(关卡产出!AB:AB,关卡产出!$A:$A,玩家节奏2!$P$6,关卡产出!$B:$B,玩家节奏2!$P116)</f>
        <v>19113</v>
      </c>
      <c r="V116" s="130">
        <f>_xlfn.MAXIFS(关卡产出!AC:AC,关卡产出!$A:$A,玩家节奏2!$N$6,关卡产出!$B:$B,玩家节奏2!$N116)+_xlfn.MAXIFS(关卡产出!AC:AC,关卡产出!$A:$A,玩家节奏2!$O$6,关卡产出!$B:$B,玩家节奏2!$O116)+_xlfn.MAXIFS(关卡产出!AC:AC,关卡产出!$A:$A,玩家节奏2!$P$6,关卡产出!$B:$B,玩家节奏2!$P116)</f>
        <v>1200</v>
      </c>
      <c r="W116" s="126">
        <f>INDEX(关卡产出!C$8:C$207,MATCH(玩家节奏2!$N116,关卡产出!$B$8:$B$207,0))*$K116</f>
        <v>2528</v>
      </c>
      <c r="X116" s="126">
        <f>INDEX(关卡产出!D$8:D$207,MATCH(玩家节奏2!$N116,关卡产出!$B$8:$B$207,0))*$K116</f>
        <v>1264</v>
      </c>
      <c r="Y116" s="126">
        <f>INDEX(关卡产出!E$8:E$207,MATCH(玩家节奏2!$N116,关卡产出!$B$8:$B$207,0))*$K116</f>
        <v>624</v>
      </c>
      <c r="Z116" s="144">
        <f>INDEX(关卡产出!F$8:F$207,MATCH(玩家节奏2!$N116,关卡产出!$B$8:$B$207,0))*$K116</f>
        <v>32800</v>
      </c>
      <c r="AA116" s="126">
        <f>SUM(W$7:W116)</f>
        <v>219950</v>
      </c>
      <c r="AB116" s="126">
        <f>SUM(X$7:X116)</f>
        <v>109811</v>
      </c>
      <c r="AC116" s="126">
        <f>SUM(Y$7:Y116)</f>
        <v>53987</v>
      </c>
      <c r="AD116" s="177">
        <f>SUM(Z$7:Z116)</f>
        <v>2881530</v>
      </c>
      <c r="AE116" s="128">
        <f>INDEX(图鉴!AQ:AQ,MATCH($N116,图鉴!$S:$S,0))*34</f>
        <v>714</v>
      </c>
      <c r="AF116" s="90">
        <f>INDEX(图鉴!AR:AR,MATCH($N116,图鉴!$S:$S,0))*34</f>
        <v>510</v>
      </c>
      <c r="AG116" s="90">
        <f>INDEX(图鉴!AS:AS,MATCH($N116,图鉴!$S:$S,0))*34</f>
        <v>204</v>
      </c>
      <c r="AH116" s="129">
        <f ca="1">INDEX(图鉴!AT:AT,MATCH($N116,图鉴!$S:$S,0))*34</f>
        <v>55930</v>
      </c>
      <c r="AI116" s="128">
        <f>SUM($AE$7:AE116)</f>
        <v>76636</v>
      </c>
      <c r="AJ116" s="90">
        <f>SUM(AF$7:AF116)</f>
        <v>52632</v>
      </c>
      <c r="AK116" s="90">
        <f>SUM(AG$7:AG116)</f>
        <v>20502</v>
      </c>
      <c r="AL116" s="130">
        <f ca="1">SUM(AH$7:AH116)</f>
        <v>5322666</v>
      </c>
      <c r="AM116" s="133">
        <f>IF(M116=0,0,INDEX(关卡产出!$AU$11:$AU$15,MATCH(玩家节奏2!N116,关卡产出!$AW$11:$AW$15,1))*M116)</f>
        <v>61000</v>
      </c>
      <c r="AN116" s="126">
        <f>IF(L116=0,0,$L116*关卡产出!AU$21)</f>
        <v>16000</v>
      </c>
      <c r="AO116" s="90">
        <f>IF(M116=0,0,$L116*关卡产出!AV$21)</f>
        <v>800</v>
      </c>
      <c r="AP116" s="129">
        <f>IF(N116=0,0,$L116*关卡产出!AW$21)</f>
        <v>16</v>
      </c>
      <c r="AQ116" s="138">
        <f>SUM(AN$7:AN116)</f>
        <v>1712000</v>
      </c>
      <c r="AR116" s="126">
        <f>SUM(AO$7:AO116)</f>
        <v>85600</v>
      </c>
      <c r="AS116" s="129">
        <f>SUM(AP$7:AP116)</f>
        <v>1712</v>
      </c>
      <c r="AT116" s="128">
        <v>3000</v>
      </c>
      <c r="AU116" s="129">
        <v>600</v>
      </c>
      <c r="AV116" s="128">
        <f>SUM(AT$7:AT116)</f>
        <v>330000</v>
      </c>
      <c r="AW116" s="90">
        <f>SUM(AU$7:AU116)</f>
        <v>66000</v>
      </c>
      <c r="AY116" s="128">
        <f t="shared" si="91"/>
        <v>38500</v>
      </c>
      <c r="AZ116" s="90">
        <f t="shared" si="92"/>
        <v>85600</v>
      </c>
      <c r="BA116" s="90">
        <f t="shared" si="93"/>
        <v>66000</v>
      </c>
      <c r="BB116" s="90">
        <f t="shared" ca="1" si="127"/>
        <v>37800</v>
      </c>
      <c r="BC116" s="90">
        <f t="shared" ca="1" si="129"/>
        <v>116125</v>
      </c>
      <c r="BD116" s="90">
        <f t="shared" ca="1" si="130"/>
        <v>111775</v>
      </c>
      <c r="BE116" s="90">
        <f t="shared" ca="1" si="94"/>
        <v>227900</v>
      </c>
      <c r="BF116" s="142">
        <f t="shared" ca="1" si="132"/>
        <v>0.33153928955866524</v>
      </c>
      <c r="BG116" s="142">
        <f t="shared" ca="1" si="133"/>
        <v>0.73713670613562976</v>
      </c>
      <c r="BH116" s="142">
        <f t="shared" ca="1" si="134"/>
        <v>0.56835306781485473</v>
      </c>
      <c r="BI116" s="142">
        <f t="shared" ca="1" si="137"/>
        <v>0.32551130247578042</v>
      </c>
      <c r="BJ116" s="143"/>
      <c r="BK116" s="128">
        <f ca="1">INDEX(商城宝箱!$L:$L,MATCH(BC116,商城宝箱!$N:$N,1))</f>
        <v>12</v>
      </c>
      <c r="BL116" s="90">
        <f ca="1">_xlfn.IFNA(INDEX(商城宝箱!T:T,MATCH(玩家节奏2!$BK116,商城宝箱!$L:$L,0)),0)+($BC116-INDEX(商城宝箱!$N:$N,MATCH(玩家节奏2!$BK116,商城宝箱!$L:$L,0)))/$BK$5*INDEX(商城宝箱!E$23:E$42,MATCH(玩家节奏2!$BK116+1,商城宝箱!$C$23:$C$42,0))</f>
        <v>290312.5</v>
      </c>
      <c r="BM116" s="90">
        <f ca="1">_xlfn.IFNA(INDEX(商城宝箱!U:U,MATCH(玩家节奏2!$BK116,商城宝箱!$L:$L,0)),0)+($BC116-INDEX(商城宝箱!$N:$N,MATCH(玩家节奏2!$BK116,商城宝箱!$L:$L,0)))/$BK$5*INDEX(商城宝箱!F$23:F$42,MATCH(玩家节奏2!$BK116+1,商城宝箱!$C$23:$C$42,0))</f>
        <v>310067.5</v>
      </c>
      <c r="BN116" s="90">
        <f ca="1">_xlfn.IFNA(INDEX(商城宝箱!V:V,MATCH(玩家节奏2!$BK116,商城宝箱!$L:$L,0)),0)+($BC116-INDEX(商城宝箱!$N:$N,MATCH(玩家节奏2!$BK116,商城宝箱!$L:$L,0)))/$BK$5*INDEX(商城宝箱!G$23:G$42,MATCH(玩家节奏2!$BK116+1,商城宝箱!$C$23:$C$42,0))</f>
        <v>158437</v>
      </c>
      <c r="BO116" s="90">
        <f ca="1">_xlfn.IFNA(INDEX(商城宝箱!W:W,MATCH(玩家节奏2!$BK116,商城宝箱!$L:$L,0)),0)+($BC116-INDEX(商城宝箱!$N:$N,MATCH(玩家节奏2!$BK116,商城宝箱!$L:$L,0)))/$BK$5*INDEX(商城宝箱!H$23:H$42,MATCH(玩家节奏2!$BK116+1,商城宝箱!$C$23:$C$42,0))</f>
        <v>24940.25</v>
      </c>
      <c r="BQ116" s="128">
        <f t="shared" si="79"/>
        <v>11610000</v>
      </c>
      <c r="BR116" s="90">
        <f t="shared" si="80"/>
        <v>2881530</v>
      </c>
      <c r="BS116" s="90">
        <f t="shared" ca="1" si="135"/>
        <v>5322666</v>
      </c>
      <c r="BT116" s="90">
        <f t="shared" si="136"/>
        <v>61000</v>
      </c>
      <c r="BU116" s="90">
        <f t="shared" si="83"/>
        <v>1712000</v>
      </c>
      <c r="BV116" s="90">
        <f t="shared" si="84"/>
        <v>330000</v>
      </c>
      <c r="BW116" s="90">
        <f t="shared" ca="1" si="96"/>
        <v>290312.5</v>
      </c>
      <c r="BX116" s="90">
        <f t="shared" ca="1" si="97"/>
        <v>22207508.5</v>
      </c>
      <c r="BY116" s="142">
        <f t="shared" ca="1" si="74"/>
        <v>0.52279615248149069</v>
      </c>
      <c r="BZ116" s="142">
        <f t="shared" ca="1" si="74"/>
        <v>0.12975476289922391</v>
      </c>
      <c r="CA116" s="142">
        <f t="shared" ca="1" si="74"/>
        <v>0.23967866543876365</v>
      </c>
      <c r="CB116" s="142">
        <f t="shared" ca="1" si="74"/>
        <v>2.7468187167416823E-3</v>
      </c>
      <c r="CC116" s="142">
        <f t="shared" ca="1" si="74"/>
        <v>7.7091043328881309E-2</v>
      </c>
      <c r="CD116" s="142">
        <f t="shared" ca="1" si="74"/>
        <v>1.4859838959422215E-2</v>
      </c>
      <c r="CE116" s="142">
        <f t="shared" ca="1" si="74"/>
        <v>1.307271817547655E-2</v>
      </c>
      <c r="CG116" s="128">
        <f t="shared" si="98"/>
        <v>200</v>
      </c>
      <c r="CH116" s="90">
        <f ca="1">INDEX(角色升级!$A:$A,MATCH(玩家节奏2!$BX116,角色升级!$J:$J,1))</f>
        <v>998</v>
      </c>
      <c r="CI116" s="90">
        <f ca="1">INDEX(角色升级!$O:$O,MATCH(玩家节奏2!$BX116,角色升级!$J:$J,1))</f>
        <v>90659.608890000003</v>
      </c>
      <c r="CJ116" s="90">
        <f>INDEX(关卡对比!$J:$J,MATCH(玩家节奏2!N116,关卡对比!$A:$A,0))</f>
        <v>86200</v>
      </c>
      <c r="CK116" s="147">
        <f t="shared" ca="1" si="99"/>
        <v>0.95080930808546749</v>
      </c>
      <c r="CL116" s="128">
        <f ca="1">INDEX(角色升级!$P:$P,MATCH(玩家节奏2!$CH116,角色升级!$A:$A,0))</f>
        <v>37800</v>
      </c>
      <c r="CM116" s="90">
        <f ca="1">INDEX(角色升级!Q:Q,MATCH(玩家节奏2!$CH116,角色升级!$A:$A,0))</f>
        <v>2.2000000000000002</v>
      </c>
      <c r="CO116" s="128">
        <f t="shared" si="100"/>
        <v>78866</v>
      </c>
      <c r="CP116" s="90">
        <f t="shared" si="101"/>
        <v>219950</v>
      </c>
      <c r="CQ116" s="90">
        <f t="shared" si="102"/>
        <v>76636</v>
      </c>
      <c r="CR116" s="90">
        <f t="shared" ca="1" si="103"/>
        <v>310067.5</v>
      </c>
      <c r="CS116" s="90">
        <f t="shared" ca="1" si="104"/>
        <v>685519.5</v>
      </c>
      <c r="CT116" s="142">
        <f t="shared" ca="1" si="105"/>
        <v>0.11504559680650951</v>
      </c>
      <c r="CU116" s="142">
        <f t="shared" ca="1" si="105"/>
        <v>0.32085155856252084</v>
      </c>
      <c r="CV116" s="142">
        <f t="shared" ca="1" si="105"/>
        <v>0.11179258941576425</v>
      </c>
      <c r="CW116" s="142">
        <f t="shared" ca="1" si="105"/>
        <v>0.4523102552152054</v>
      </c>
      <c r="CY116" s="128">
        <f t="shared" si="106"/>
        <v>39434</v>
      </c>
      <c r="CZ116" s="90">
        <f t="shared" si="107"/>
        <v>109811</v>
      </c>
      <c r="DA116" s="90">
        <f t="shared" si="108"/>
        <v>52632</v>
      </c>
      <c r="DB116" s="90">
        <f t="shared" ca="1" si="128"/>
        <v>158437</v>
      </c>
      <c r="DC116" s="90">
        <f t="shared" ca="1" si="109"/>
        <v>360314</v>
      </c>
      <c r="DD116" s="142">
        <f t="shared" ca="1" si="110"/>
        <v>0.10944342989725628</v>
      </c>
      <c r="DE116" s="142">
        <f t="shared" ca="1" si="110"/>
        <v>0.30476473298289825</v>
      </c>
      <c r="DF116" s="142">
        <f t="shared" ca="1" si="110"/>
        <v>0.14607259223899155</v>
      </c>
      <c r="DG116" s="142">
        <f t="shared" ca="1" si="110"/>
        <v>0.4397192448808539</v>
      </c>
      <c r="DI116" s="128">
        <f t="shared" si="111"/>
        <v>19113</v>
      </c>
      <c r="DJ116" s="90">
        <f t="shared" si="112"/>
        <v>53987</v>
      </c>
      <c r="DK116" s="90">
        <f t="shared" si="113"/>
        <v>20502</v>
      </c>
      <c r="DL116" s="90">
        <f t="shared" ca="1" si="114"/>
        <v>24940.25</v>
      </c>
      <c r="DM116" s="90">
        <f t="shared" ca="1" si="115"/>
        <v>118542.25</v>
      </c>
      <c r="DN116" s="142">
        <f t="shared" ca="1" si="116"/>
        <v>0.16123365298026654</v>
      </c>
      <c r="DO116" s="142">
        <f t="shared" ca="1" si="116"/>
        <v>0.45542412093578449</v>
      </c>
      <c r="DP116" s="142">
        <f t="shared" ca="1" si="116"/>
        <v>0.17295099426575758</v>
      </c>
      <c r="DQ116" s="142">
        <f t="shared" ca="1" si="116"/>
        <v>0.21039123181819142</v>
      </c>
      <c r="DS116" s="128">
        <f t="shared" ca="1" si="117"/>
        <v>685519.5</v>
      </c>
      <c r="DT116" s="90">
        <f t="shared" ca="1" si="118"/>
        <v>360314</v>
      </c>
      <c r="DU116" s="90">
        <f t="shared" ca="1" si="119"/>
        <v>118542.25</v>
      </c>
      <c r="DV116" s="90">
        <f t="shared" si="120"/>
        <v>1712</v>
      </c>
      <c r="DW116" s="90">
        <f ca="1">_xlfn.IFNA(INDEX(武器升级消耗!$H:$H,MATCH(玩家节奏2!DS116/玩家节奏2!DS$5,武器升级消耗!M:M,1)),0)</f>
        <v>72</v>
      </c>
      <c r="DX116" s="90">
        <f ca="1">_xlfn.IFNA(INDEX(武器升级消耗!$H:$H,MATCH(玩家节奏2!DT116/玩家节奏2!DT$5,武器升级消耗!N:N,1)),0)</f>
        <v>63</v>
      </c>
      <c r="DY116" s="90">
        <f ca="1">_xlfn.IFNA(INDEX(武器升级消耗!$H:$H,MATCH(玩家节奏2!DU116/玩家节奏2!DU$5,武器升级消耗!O:O,1)),0)</f>
        <v>47</v>
      </c>
      <c r="DZ116" s="90">
        <f>_xlfn.IFNA(INDEX(武器升级消耗!$H:$H,MATCH(玩家节奏2!DV116/玩家节奏2!DV$5,武器升级消耗!P:P,1)),0)</f>
        <v>30</v>
      </c>
      <c r="EA116" s="90">
        <f ca="1">_xlfn.IFNA(INDEX(武器升级消耗!$Q:$Q,MATCH(玩家节奏2!DW116,武器升级消耗!$H:$H,0))*2*EA$4,0)</f>
        <v>9.1199999999999868</v>
      </c>
      <c r="EB116" s="90">
        <f ca="1">_xlfn.IFNA(INDEX(武器升级消耗!$Q:$Q,MATCH(玩家节奏2!DX116,武器升级消耗!$H:$H,0))*2*EB$4,0)</f>
        <v>10.050000000000001</v>
      </c>
      <c r="EC116" s="90">
        <f ca="1">_xlfn.IFNA(INDEX(武器升级消耗!$Q:$Q,MATCH(玩家节奏2!DY116,武器升级消耗!$H:$H,0))*2*EC$4,0)</f>
        <v>11.22</v>
      </c>
      <c r="ED116" s="90">
        <f>_xlfn.IFNA(INDEX(武器升级消耗!$Q:$Q,MATCH(玩家节奏2!DZ116,武器升级消耗!$H:$H,0))*2*ED$4,0)</f>
        <v>10.199999999999999</v>
      </c>
    </row>
    <row r="117" spans="1:134" x14ac:dyDescent="0.25">
      <c r="A117" s="123">
        <v>111</v>
      </c>
      <c r="B117" s="123">
        <f>INDEX(关卡对比!$Y:$Y,MATCH(关卡对比!Z117,关卡对比!$AA:$AA,1))</f>
        <v>69</v>
      </c>
      <c r="C117" s="124">
        <f>INDEX(关卡对比!$Y:$Y,MATCH(关卡对比!Z117,关卡对比!$AB:$AB,1))</f>
        <v>55</v>
      </c>
      <c r="D117" s="125">
        <f t="shared" si="131"/>
        <v>439.5</v>
      </c>
      <c r="E117" s="125">
        <v>2</v>
      </c>
      <c r="F117" s="128">
        <v>16</v>
      </c>
      <c r="G117" s="90">
        <v>16</v>
      </c>
      <c r="H117" s="90">
        <v>5</v>
      </c>
      <c r="J117" s="128">
        <v>111</v>
      </c>
      <c r="K117" s="90">
        <f t="shared" si="88"/>
        <v>16</v>
      </c>
      <c r="L117" s="90">
        <f t="shared" si="89"/>
        <v>16</v>
      </c>
      <c r="M117" s="90">
        <f t="shared" si="90"/>
        <v>5</v>
      </c>
      <c r="N117" s="140">
        <f>INDEX($A:$A,MATCH(SUM($K$7:K117),$D:$D,1))</f>
        <v>200</v>
      </c>
      <c r="O117" s="140">
        <v>0</v>
      </c>
      <c r="P117" s="141">
        <v>0</v>
      </c>
      <c r="Q117" s="126">
        <f>_xlfn.MAXIFS(关卡产出!X:X,关卡产出!$A:$A,玩家节奏2!$N$6,关卡产出!$B:$B,玩家节奏2!$N117)+_xlfn.MAXIFS(关卡产出!X:X,关卡产出!$A:$A,玩家节奏2!$O$6,关卡产出!$B:$B,玩家节奏2!$O117)+_xlfn.MAXIFS(关卡产出!X:X,关卡产出!$A:$A,玩家节奏2!$P$6,关卡产出!$B:$B,玩家节奏2!$P117)</f>
        <v>38500</v>
      </c>
      <c r="R117" s="90">
        <f>_xlfn.MAXIFS(关卡产出!Y:Y,关卡产出!$A:$A,玩家节奏2!$N$6,关卡产出!$B:$B,玩家节奏2!$N117)+_xlfn.MAXIFS(关卡产出!Y:Y,关卡产出!$A:$A,玩家节奏2!$O$6,关卡产出!$B:$B,玩家节奏2!$O117)+_xlfn.MAXIFS(关卡产出!Y:Y,关卡产出!$A:$A,玩家节奏2!$P$6,关卡产出!$B:$B,玩家节奏2!$P117)</f>
        <v>11610000</v>
      </c>
      <c r="S117" s="90">
        <f>_xlfn.MAXIFS(关卡产出!Z:Z,关卡产出!$A:$A,玩家节奏2!$N$6,关卡产出!$B:$B,玩家节奏2!$N117)+_xlfn.MAXIFS(关卡产出!Z:Z,关卡产出!$A:$A,玩家节奏2!$O$6,关卡产出!$B:$B,玩家节奏2!$O117)+_xlfn.MAXIFS(关卡产出!Z:Z,关卡产出!$A:$A,玩家节奏2!$P$6,关卡产出!$B:$B,玩家节奏2!$P117)</f>
        <v>78866</v>
      </c>
      <c r="T117" s="90">
        <f>_xlfn.MAXIFS(关卡产出!AA:AA,关卡产出!$A:$A,玩家节奏2!$N$6,关卡产出!$B:$B,玩家节奏2!$N117)+_xlfn.MAXIFS(关卡产出!AA:AA,关卡产出!$A:$A,玩家节奏2!$O$6,关卡产出!$B:$B,玩家节奏2!$O117)+_xlfn.MAXIFS(关卡产出!AA:AA,关卡产出!$A:$A,玩家节奏2!$P$6,关卡产出!$B:$B,玩家节奏2!$P117)</f>
        <v>39434</v>
      </c>
      <c r="U117" s="90">
        <f>_xlfn.MAXIFS(关卡产出!AB:AB,关卡产出!$A:$A,玩家节奏2!$N$6,关卡产出!$B:$B,玩家节奏2!$N117)+_xlfn.MAXIFS(关卡产出!AB:AB,关卡产出!$A:$A,玩家节奏2!$O$6,关卡产出!$B:$B,玩家节奏2!$O117)+_xlfn.MAXIFS(关卡产出!AB:AB,关卡产出!$A:$A,玩家节奏2!$P$6,关卡产出!$B:$B,玩家节奏2!$P117)</f>
        <v>19113</v>
      </c>
      <c r="V117" s="130">
        <f>_xlfn.MAXIFS(关卡产出!AC:AC,关卡产出!$A:$A,玩家节奏2!$N$6,关卡产出!$B:$B,玩家节奏2!$N117)+_xlfn.MAXIFS(关卡产出!AC:AC,关卡产出!$A:$A,玩家节奏2!$O$6,关卡产出!$B:$B,玩家节奏2!$O117)+_xlfn.MAXIFS(关卡产出!AC:AC,关卡产出!$A:$A,玩家节奏2!$P$6,关卡产出!$B:$B,玩家节奏2!$P117)</f>
        <v>1200</v>
      </c>
      <c r="W117" s="126">
        <f>INDEX(关卡产出!C$8:C$207,MATCH(玩家节奏2!$N117,关卡产出!$B$8:$B$207,0))*$K117</f>
        <v>2528</v>
      </c>
      <c r="X117" s="126">
        <f>INDEX(关卡产出!D$8:D$207,MATCH(玩家节奏2!$N117,关卡产出!$B$8:$B$207,0))*$K117</f>
        <v>1264</v>
      </c>
      <c r="Y117" s="126">
        <f>INDEX(关卡产出!E$8:E$207,MATCH(玩家节奏2!$N117,关卡产出!$B$8:$B$207,0))*$K117</f>
        <v>624</v>
      </c>
      <c r="Z117" s="144">
        <f>INDEX(关卡产出!F$8:F$207,MATCH(玩家节奏2!$N117,关卡产出!$B$8:$B$207,0))*$K117</f>
        <v>32800</v>
      </c>
      <c r="AA117" s="126">
        <f>SUM(W$7:W117)</f>
        <v>222478</v>
      </c>
      <c r="AB117" s="126">
        <f>SUM(X$7:X117)</f>
        <v>111075</v>
      </c>
      <c r="AC117" s="126">
        <f>SUM(Y$7:Y117)</f>
        <v>54611</v>
      </c>
      <c r="AD117" s="177">
        <f>SUM(Z$7:Z117)</f>
        <v>2914330</v>
      </c>
      <c r="AE117" s="128">
        <f>INDEX(图鉴!AQ:AQ,MATCH($N117,图鉴!$S:$S,0))*34</f>
        <v>714</v>
      </c>
      <c r="AF117" s="90">
        <f>INDEX(图鉴!AR:AR,MATCH($N117,图鉴!$S:$S,0))*34</f>
        <v>510</v>
      </c>
      <c r="AG117" s="90">
        <f>INDEX(图鉴!AS:AS,MATCH($N117,图鉴!$S:$S,0))*34</f>
        <v>204</v>
      </c>
      <c r="AH117" s="129">
        <f ca="1">INDEX(图鉴!AT:AT,MATCH($N117,图鉴!$S:$S,0))*34</f>
        <v>55930</v>
      </c>
      <c r="AI117" s="128">
        <f>SUM($AE$7:AE117)</f>
        <v>77350</v>
      </c>
      <c r="AJ117" s="90">
        <f>SUM(AF$7:AF117)</f>
        <v>53142</v>
      </c>
      <c r="AK117" s="90">
        <f>SUM(AG$7:AG117)</f>
        <v>20706</v>
      </c>
      <c r="AL117" s="130">
        <f ca="1">SUM(AH$7:AH117)</f>
        <v>5378596</v>
      </c>
      <c r="AM117" s="133">
        <f>IF(M117=0,0,INDEX(关卡产出!$AU$11:$AU$15,MATCH(玩家节奏2!N117,关卡产出!$AW$11:$AW$15,1))*M117)</f>
        <v>61000</v>
      </c>
      <c r="AN117" s="126">
        <f>IF(L117=0,0,$L117*关卡产出!AU$21)</f>
        <v>16000</v>
      </c>
      <c r="AO117" s="90">
        <f>IF(M117=0,0,$L117*关卡产出!AV$21)</f>
        <v>800</v>
      </c>
      <c r="AP117" s="129">
        <f>IF(N117=0,0,$L117*关卡产出!AW$21)</f>
        <v>16</v>
      </c>
      <c r="AQ117" s="138">
        <f>SUM(AN$7:AN117)</f>
        <v>1728000</v>
      </c>
      <c r="AR117" s="126">
        <f>SUM(AO$7:AO117)</f>
        <v>86400</v>
      </c>
      <c r="AS117" s="129">
        <f>SUM(AP$7:AP117)</f>
        <v>1728</v>
      </c>
      <c r="AT117" s="128">
        <v>3000</v>
      </c>
      <c r="AU117" s="129">
        <v>600</v>
      </c>
      <c r="AV117" s="128">
        <f>SUM(AT$7:AT117)</f>
        <v>333000</v>
      </c>
      <c r="AW117" s="90">
        <f>SUM(AU$7:AU117)</f>
        <v>66600</v>
      </c>
      <c r="AY117" s="128">
        <f t="shared" si="91"/>
        <v>38500</v>
      </c>
      <c r="AZ117" s="90">
        <f t="shared" si="92"/>
        <v>86400</v>
      </c>
      <c r="BA117" s="90">
        <f t="shared" si="93"/>
        <v>66600</v>
      </c>
      <c r="BB117" s="90">
        <f t="shared" ca="1" si="127"/>
        <v>37800</v>
      </c>
      <c r="BC117" s="90">
        <f t="shared" ca="1" si="129"/>
        <v>116825</v>
      </c>
      <c r="BD117" s="90">
        <f t="shared" ca="1" si="130"/>
        <v>112475</v>
      </c>
      <c r="BE117" s="90">
        <f t="shared" ca="1" si="94"/>
        <v>229300</v>
      </c>
      <c r="BF117" s="142">
        <f t="shared" ca="1" si="132"/>
        <v>0.32955274983950356</v>
      </c>
      <c r="BG117" s="142">
        <f t="shared" ca="1" si="133"/>
        <v>0.73956772950995076</v>
      </c>
      <c r="BH117" s="142">
        <f t="shared" ca="1" si="134"/>
        <v>0.57008345816392036</v>
      </c>
      <c r="BI117" s="142">
        <f t="shared" ca="1" si="137"/>
        <v>0.32356088166060348</v>
      </c>
      <c r="BJ117" s="143"/>
      <c r="BK117" s="128">
        <f ca="1">INDEX(商城宝箱!$L:$L,MATCH(BC117,商城宝箱!$N:$N,1))</f>
        <v>12</v>
      </c>
      <c r="BL117" s="90">
        <f ca="1">_xlfn.IFNA(INDEX(商城宝箱!T:T,MATCH(玩家节奏2!$BK117,商城宝箱!$L:$L,0)),0)+($BC117-INDEX(商城宝箱!$N:$N,MATCH(玩家节奏2!$BK117,商城宝箱!$L:$L,0)))/$BK$5*INDEX(商城宝箱!E$23:E$42,MATCH(玩家节奏2!$BK117+1,商城宝箱!$C$23:$C$42,0))</f>
        <v>292062.5</v>
      </c>
      <c r="BM117" s="90">
        <f ca="1">_xlfn.IFNA(INDEX(商城宝箱!U:U,MATCH(玩家节奏2!$BK117,商城宝箱!$L:$L,0)),0)+($BC117-INDEX(商城宝箱!$N:$N,MATCH(玩家节奏2!$BK117,商城宝箱!$L:$L,0)))/$BK$5*INDEX(商城宝箱!F$23:F$42,MATCH(玩家节奏2!$BK117+1,商城宝箱!$C$23:$C$42,0))</f>
        <v>313007.5</v>
      </c>
      <c r="BN117" s="90">
        <f ca="1">_xlfn.IFNA(INDEX(商城宝箱!V:V,MATCH(玩家节奏2!$BK117,商城宝箱!$L:$L,0)),0)+($BC117-INDEX(商城宝箱!$N:$N,MATCH(玩家节奏2!$BK117,商城宝箱!$L:$L,0)))/$BK$5*INDEX(商城宝箱!G$23:G$42,MATCH(玩家节奏2!$BK117+1,商城宝箱!$C$23:$C$42,0))</f>
        <v>159837</v>
      </c>
      <c r="BO117" s="90">
        <f ca="1">_xlfn.IFNA(INDEX(商城宝箱!W:W,MATCH(玩家节奏2!$BK117,商城宝箱!$L:$L,0)),0)+($BC117-INDEX(商城宝箱!$N:$N,MATCH(玩家节奏2!$BK117,商城宝箱!$L:$L,0)))/$BK$5*INDEX(商城宝箱!H$23:H$42,MATCH(玩家节奏2!$BK117+1,商城宝箱!$C$23:$C$42,0))</f>
        <v>25185.25</v>
      </c>
      <c r="BQ117" s="128">
        <f t="shared" si="79"/>
        <v>11610000</v>
      </c>
      <c r="BR117" s="90">
        <f t="shared" si="80"/>
        <v>2914330</v>
      </c>
      <c r="BS117" s="90">
        <f t="shared" ca="1" si="135"/>
        <v>5378596</v>
      </c>
      <c r="BT117" s="90">
        <f t="shared" si="136"/>
        <v>61000</v>
      </c>
      <c r="BU117" s="90">
        <f t="shared" si="83"/>
        <v>1728000</v>
      </c>
      <c r="BV117" s="90">
        <f t="shared" si="84"/>
        <v>333000</v>
      </c>
      <c r="BW117" s="90">
        <f t="shared" ca="1" si="96"/>
        <v>292062.5</v>
      </c>
      <c r="BX117" s="90">
        <f t="shared" ca="1" si="97"/>
        <v>22316988.5</v>
      </c>
      <c r="BY117" s="142">
        <f t="shared" ca="1" si="74"/>
        <v>0.52023148194927826</v>
      </c>
      <c r="BZ117" s="142">
        <f t="shared" ca="1" si="74"/>
        <v>0.13058795993016711</v>
      </c>
      <c r="CA117" s="142">
        <f t="shared" ca="1" si="74"/>
        <v>0.24100904116162447</v>
      </c>
      <c r="CB117" s="142">
        <f t="shared" ca="1" si="74"/>
        <v>2.7333437036094724E-3</v>
      </c>
      <c r="CC117" s="142">
        <f t="shared" ca="1" si="74"/>
        <v>7.7429801964543743E-2</v>
      </c>
      <c r="CD117" s="142">
        <f t="shared" ca="1" si="74"/>
        <v>1.4921368086917283E-2</v>
      </c>
      <c r="CE117" s="142">
        <f t="shared" ca="1" si="74"/>
        <v>1.3087003203859696E-2</v>
      </c>
      <c r="CG117" s="128">
        <f t="shared" si="98"/>
        <v>200</v>
      </c>
      <c r="CH117" s="90">
        <f ca="1">INDEX(角色升级!$A:$A,MATCH(玩家节奏2!$BX117,角色升级!$J:$J,1))</f>
        <v>1000</v>
      </c>
      <c r="CI117" s="90">
        <f ca="1">INDEX(角色升级!$O:$O,MATCH(玩家节奏2!$BX117,角色升级!$J:$J,1))</f>
        <v>91711.990829999995</v>
      </c>
      <c r="CJ117" s="90">
        <f>INDEX(关卡对比!$J:$J,MATCH(玩家节奏2!N117,关卡对比!$A:$A,0))</f>
        <v>86200</v>
      </c>
      <c r="CK117" s="147">
        <f t="shared" ca="1" si="99"/>
        <v>0.93989890765519224</v>
      </c>
      <c r="CL117" s="128">
        <f ca="1">INDEX(角色升级!$P:$P,MATCH(玩家节奏2!$CH117,角色升级!$A:$A,0))</f>
        <v>40800</v>
      </c>
      <c r="CM117" s="90">
        <f ca="1">INDEX(角色升级!Q:Q,MATCH(玩家节奏2!$CH117,角色升级!$A:$A,0))</f>
        <v>2.2000000000000002</v>
      </c>
      <c r="CO117" s="128">
        <f t="shared" si="100"/>
        <v>78866</v>
      </c>
      <c r="CP117" s="90">
        <f t="shared" si="101"/>
        <v>222478</v>
      </c>
      <c r="CQ117" s="90">
        <f t="shared" si="102"/>
        <v>77350</v>
      </c>
      <c r="CR117" s="90">
        <f t="shared" ca="1" si="103"/>
        <v>313007.5</v>
      </c>
      <c r="CS117" s="90">
        <f t="shared" ca="1" si="104"/>
        <v>691701.5</v>
      </c>
      <c r="CT117" s="142">
        <f t="shared" ca="1" si="105"/>
        <v>0.11401739044949302</v>
      </c>
      <c r="CU117" s="142">
        <f t="shared" ca="1" si="105"/>
        <v>0.32163874156699096</v>
      </c>
      <c r="CV117" s="142">
        <f t="shared" ca="1" si="105"/>
        <v>0.11182569359759954</v>
      </c>
      <c r="CW117" s="142">
        <f t="shared" ca="1" si="105"/>
        <v>0.45251817438591646</v>
      </c>
      <c r="CY117" s="128">
        <f t="shared" si="106"/>
        <v>39434</v>
      </c>
      <c r="CZ117" s="90">
        <f t="shared" si="107"/>
        <v>111075</v>
      </c>
      <c r="DA117" s="90">
        <f t="shared" si="108"/>
        <v>53142</v>
      </c>
      <c r="DB117" s="90">
        <f t="shared" ca="1" si="128"/>
        <v>159837</v>
      </c>
      <c r="DC117" s="90">
        <f t="shared" ca="1" si="109"/>
        <v>363488</v>
      </c>
      <c r="DD117" s="142">
        <f t="shared" ca="1" si="110"/>
        <v>0.10848776300730698</v>
      </c>
      <c r="DE117" s="142">
        <f t="shared" ca="1" si="110"/>
        <v>0.30558092701822342</v>
      </c>
      <c r="DF117" s="142">
        <f t="shared" ca="1" si="110"/>
        <v>0.14620014966106171</v>
      </c>
      <c r="DG117" s="142">
        <f t="shared" ca="1" si="110"/>
        <v>0.43973116031340787</v>
      </c>
      <c r="DI117" s="128">
        <f t="shared" si="111"/>
        <v>19113</v>
      </c>
      <c r="DJ117" s="90">
        <f t="shared" si="112"/>
        <v>54611</v>
      </c>
      <c r="DK117" s="90">
        <f t="shared" si="113"/>
        <v>20706</v>
      </c>
      <c r="DL117" s="90">
        <f t="shared" ca="1" si="114"/>
        <v>25185.25</v>
      </c>
      <c r="DM117" s="90">
        <f t="shared" ca="1" si="115"/>
        <v>119615.25</v>
      </c>
      <c r="DN117" s="142">
        <f t="shared" ca="1" si="116"/>
        <v>0.15978731808862165</v>
      </c>
      <c r="DO117" s="142">
        <f t="shared" ca="1" si="116"/>
        <v>0.45655549773126752</v>
      </c>
      <c r="DP117" s="142">
        <f t="shared" ca="1" si="116"/>
        <v>0.17310501796384659</v>
      </c>
      <c r="DQ117" s="142">
        <f t="shared" ca="1" si="116"/>
        <v>0.21055216621626424</v>
      </c>
      <c r="DS117" s="128">
        <f t="shared" ca="1" si="117"/>
        <v>691701.5</v>
      </c>
      <c r="DT117" s="90">
        <f t="shared" ca="1" si="118"/>
        <v>363488</v>
      </c>
      <c r="DU117" s="90">
        <f t="shared" ca="1" si="119"/>
        <v>119615.25</v>
      </c>
      <c r="DV117" s="90">
        <f t="shared" si="120"/>
        <v>1728</v>
      </c>
      <c r="DW117" s="90">
        <f ca="1">_xlfn.IFNA(INDEX(武器升级消耗!$H:$H,MATCH(玩家节奏2!DS117/玩家节奏2!DS$5,武器升级消耗!M:M,1)),0)</f>
        <v>72</v>
      </c>
      <c r="DX117" s="90">
        <f ca="1">_xlfn.IFNA(INDEX(武器升级消耗!$H:$H,MATCH(玩家节奏2!DT117/玩家节奏2!DT$5,武器升级消耗!N:N,1)),0)</f>
        <v>63</v>
      </c>
      <c r="DY117" s="90">
        <f ca="1">_xlfn.IFNA(INDEX(武器升级消耗!$H:$H,MATCH(玩家节奏2!DU117/玩家节奏2!DU$5,武器升级消耗!O:O,1)),0)</f>
        <v>48</v>
      </c>
      <c r="DZ117" s="90">
        <f>_xlfn.IFNA(INDEX(武器升级消耗!$H:$H,MATCH(玩家节奏2!DV117/玩家节奏2!DV$5,武器升级消耗!P:P,1)),0)</f>
        <v>30</v>
      </c>
      <c r="EA117" s="90">
        <f ca="1">_xlfn.IFNA(INDEX(武器升级消耗!$Q:$Q,MATCH(玩家节奏2!DW117,武器升级消耗!$H:$H,0))*2*EA$4,0)</f>
        <v>9.1199999999999868</v>
      </c>
      <c r="EB117" s="90">
        <f ca="1">_xlfn.IFNA(INDEX(武器升级消耗!$Q:$Q,MATCH(玩家节奏2!DX117,武器升级消耗!$H:$H,0))*2*EB$4,0)</f>
        <v>10.050000000000001</v>
      </c>
      <c r="EC117" s="90">
        <f ca="1">_xlfn.IFNA(INDEX(武器升级消耗!$Q:$Q,MATCH(玩家节奏2!DY117,武器升级消耗!$H:$H,0))*2*EC$4,0)</f>
        <v>11.440000000000001</v>
      </c>
      <c r="ED117" s="90">
        <f>_xlfn.IFNA(INDEX(武器升级消耗!$Q:$Q,MATCH(玩家节奏2!DZ117,武器升级消耗!$H:$H,0))*2*ED$4,0)</f>
        <v>10.199999999999999</v>
      </c>
    </row>
    <row r="118" spans="1:134" x14ac:dyDescent="0.25">
      <c r="A118" s="123">
        <v>112</v>
      </c>
      <c r="B118" s="123">
        <f>INDEX(关卡对比!$Y:$Y,MATCH(关卡对比!Z118,关卡对比!$AA:$AA,1))</f>
        <v>69</v>
      </c>
      <c r="C118" s="124">
        <f>INDEX(关卡对比!$Y:$Y,MATCH(关卡对比!Z118,关卡对比!$AB:$AB,1))</f>
        <v>55</v>
      </c>
      <c r="D118" s="125">
        <f t="shared" si="131"/>
        <v>441.5</v>
      </c>
      <c r="E118" s="125">
        <v>2</v>
      </c>
      <c r="F118" s="128">
        <v>16</v>
      </c>
      <c r="G118" s="90">
        <v>16</v>
      </c>
      <c r="H118" s="90">
        <v>5</v>
      </c>
      <c r="J118" s="128">
        <v>112</v>
      </c>
      <c r="K118" s="90">
        <f t="shared" si="88"/>
        <v>16</v>
      </c>
      <c r="L118" s="90">
        <f t="shared" si="89"/>
        <v>16</v>
      </c>
      <c r="M118" s="90">
        <f t="shared" si="90"/>
        <v>5</v>
      </c>
      <c r="N118" s="140">
        <f>INDEX($A:$A,MATCH(SUM($K$7:K118),$D:$D,1))</f>
        <v>200</v>
      </c>
      <c r="O118" s="140">
        <v>0</v>
      </c>
      <c r="P118" s="141">
        <v>0</v>
      </c>
      <c r="Q118" s="126">
        <f>_xlfn.MAXIFS(关卡产出!X:X,关卡产出!$A:$A,玩家节奏2!$N$6,关卡产出!$B:$B,玩家节奏2!$N118)+_xlfn.MAXIFS(关卡产出!X:X,关卡产出!$A:$A,玩家节奏2!$O$6,关卡产出!$B:$B,玩家节奏2!$O118)+_xlfn.MAXIFS(关卡产出!X:X,关卡产出!$A:$A,玩家节奏2!$P$6,关卡产出!$B:$B,玩家节奏2!$P118)</f>
        <v>38500</v>
      </c>
      <c r="R118" s="90">
        <f>_xlfn.MAXIFS(关卡产出!Y:Y,关卡产出!$A:$A,玩家节奏2!$N$6,关卡产出!$B:$B,玩家节奏2!$N118)+_xlfn.MAXIFS(关卡产出!Y:Y,关卡产出!$A:$A,玩家节奏2!$O$6,关卡产出!$B:$B,玩家节奏2!$O118)+_xlfn.MAXIFS(关卡产出!Y:Y,关卡产出!$A:$A,玩家节奏2!$P$6,关卡产出!$B:$B,玩家节奏2!$P118)</f>
        <v>11610000</v>
      </c>
      <c r="S118" s="90">
        <f>_xlfn.MAXIFS(关卡产出!Z:Z,关卡产出!$A:$A,玩家节奏2!$N$6,关卡产出!$B:$B,玩家节奏2!$N118)+_xlfn.MAXIFS(关卡产出!Z:Z,关卡产出!$A:$A,玩家节奏2!$O$6,关卡产出!$B:$B,玩家节奏2!$O118)+_xlfn.MAXIFS(关卡产出!Z:Z,关卡产出!$A:$A,玩家节奏2!$P$6,关卡产出!$B:$B,玩家节奏2!$P118)</f>
        <v>78866</v>
      </c>
      <c r="T118" s="90">
        <f>_xlfn.MAXIFS(关卡产出!AA:AA,关卡产出!$A:$A,玩家节奏2!$N$6,关卡产出!$B:$B,玩家节奏2!$N118)+_xlfn.MAXIFS(关卡产出!AA:AA,关卡产出!$A:$A,玩家节奏2!$O$6,关卡产出!$B:$B,玩家节奏2!$O118)+_xlfn.MAXIFS(关卡产出!AA:AA,关卡产出!$A:$A,玩家节奏2!$P$6,关卡产出!$B:$B,玩家节奏2!$P118)</f>
        <v>39434</v>
      </c>
      <c r="U118" s="90">
        <f>_xlfn.MAXIFS(关卡产出!AB:AB,关卡产出!$A:$A,玩家节奏2!$N$6,关卡产出!$B:$B,玩家节奏2!$N118)+_xlfn.MAXIFS(关卡产出!AB:AB,关卡产出!$A:$A,玩家节奏2!$O$6,关卡产出!$B:$B,玩家节奏2!$O118)+_xlfn.MAXIFS(关卡产出!AB:AB,关卡产出!$A:$A,玩家节奏2!$P$6,关卡产出!$B:$B,玩家节奏2!$P118)</f>
        <v>19113</v>
      </c>
      <c r="V118" s="130">
        <f>_xlfn.MAXIFS(关卡产出!AC:AC,关卡产出!$A:$A,玩家节奏2!$N$6,关卡产出!$B:$B,玩家节奏2!$N118)+_xlfn.MAXIFS(关卡产出!AC:AC,关卡产出!$A:$A,玩家节奏2!$O$6,关卡产出!$B:$B,玩家节奏2!$O118)+_xlfn.MAXIFS(关卡产出!AC:AC,关卡产出!$A:$A,玩家节奏2!$P$6,关卡产出!$B:$B,玩家节奏2!$P118)</f>
        <v>1200</v>
      </c>
      <c r="W118" s="126">
        <f>INDEX(关卡产出!C$8:C$207,MATCH(玩家节奏2!$N118,关卡产出!$B$8:$B$207,0))*$K118</f>
        <v>2528</v>
      </c>
      <c r="X118" s="126">
        <f>INDEX(关卡产出!D$8:D$207,MATCH(玩家节奏2!$N118,关卡产出!$B$8:$B$207,0))*$K118</f>
        <v>1264</v>
      </c>
      <c r="Y118" s="126">
        <f>INDEX(关卡产出!E$8:E$207,MATCH(玩家节奏2!$N118,关卡产出!$B$8:$B$207,0))*$K118</f>
        <v>624</v>
      </c>
      <c r="Z118" s="144">
        <f>INDEX(关卡产出!F$8:F$207,MATCH(玩家节奏2!$N118,关卡产出!$B$8:$B$207,0))*$K118</f>
        <v>32800</v>
      </c>
      <c r="AA118" s="126">
        <f>SUM(W$7:W118)</f>
        <v>225006</v>
      </c>
      <c r="AB118" s="126">
        <f>SUM(X$7:X118)</f>
        <v>112339</v>
      </c>
      <c r="AC118" s="126">
        <f>SUM(Y$7:Y118)</f>
        <v>55235</v>
      </c>
      <c r="AD118" s="177">
        <f>SUM(Z$7:Z118)</f>
        <v>2947130</v>
      </c>
      <c r="AE118" s="128">
        <f>INDEX(图鉴!AQ:AQ,MATCH($N118,图鉴!$S:$S,0))*34</f>
        <v>714</v>
      </c>
      <c r="AF118" s="90">
        <f>INDEX(图鉴!AR:AR,MATCH($N118,图鉴!$S:$S,0))*34</f>
        <v>510</v>
      </c>
      <c r="AG118" s="90">
        <f>INDEX(图鉴!AS:AS,MATCH($N118,图鉴!$S:$S,0))*34</f>
        <v>204</v>
      </c>
      <c r="AH118" s="129">
        <f ca="1">INDEX(图鉴!AT:AT,MATCH($N118,图鉴!$S:$S,0))*34</f>
        <v>55930</v>
      </c>
      <c r="AI118" s="128">
        <f>SUM($AE$7:AE118)</f>
        <v>78064</v>
      </c>
      <c r="AJ118" s="90">
        <f>SUM(AF$7:AF118)</f>
        <v>53652</v>
      </c>
      <c r="AK118" s="90">
        <f>SUM(AG$7:AG118)</f>
        <v>20910</v>
      </c>
      <c r="AL118" s="130">
        <f ca="1">SUM(AH$7:AH118)</f>
        <v>5434526</v>
      </c>
      <c r="AM118" s="133">
        <f>IF(M118=0,0,INDEX(关卡产出!$AU$11:$AU$15,MATCH(玩家节奏2!N118,关卡产出!$AW$11:$AW$15,1))*M118)</f>
        <v>61000</v>
      </c>
      <c r="AN118" s="126">
        <f>IF(L118=0,0,$L118*关卡产出!AU$21)</f>
        <v>16000</v>
      </c>
      <c r="AO118" s="90">
        <f>IF(M118=0,0,$L118*关卡产出!AV$21)</f>
        <v>800</v>
      </c>
      <c r="AP118" s="129">
        <f>IF(N118=0,0,$L118*关卡产出!AW$21)</f>
        <v>16</v>
      </c>
      <c r="AQ118" s="138">
        <f>SUM(AN$7:AN118)</f>
        <v>1744000</v>
      </c>
      <c r="AR118" s="126">
        <f>SUM(AO$7:AO118)</f>
        <v>87200</v>
      </c>
      <c r="AS118" s="129">
        <f>SUM(AP$7:AP118)</f>
        <v>1744</v>
      </c>
      <c r="AT118" s="128">
        <v>3000</v>
      </c>
      <c r="AU118" s="129">
        <v>600</v>
      </c>
      <c r="AV118" s="128">
        <f>SUM(AT$7:AT118)</f>
        <v>336000</v>
      </c>
      <c r="AW118" s="90">
        <f>SUM(AU$7:AU118)</f>
        <v>67200</v>
      </c>
      <c r="AY118" s="128">
        <f t="shared" si="91"/>
        <v>38500</v>
      </c>
      <c r="AZ118" s="90">
        <f t="shared" si="92"/>
        <v>87200</v>
      </c>
      <c r="BA118" s="90">
        <f t="shared" si="93"/>
        <v>67200</v>
      </c>
      <c r="BB118" s="90">
        <f t="shared" ca="1" si="127"/>
        <v>40800</v>
      </c>
      <c r="BC118" s="90">
        <f t="shared" ca="1" si="129"/>
        <v>119025</v>
      </c>
      <c r="BD118" s="90">
        <f t="shared" ca="1" si="130"/>
        <v>114675</v>
      </c>
      <c r="BE118" s="90">
        <f t="shared" ca="1" si="94"/>
        <v>233700</v>
      </c>
      <c r="BF118" s="142">
        <f t="shared" ca="1" si="132"/>
        <v>0.32346145767695861</v>
      </c>
      <c r="BG118" s="142">
        <f t="shared" ca="1" si="133"/>
        <v>0.73261919764755301</v>
      </c>
      <c r="BH118" s="142">
        <f t="shared" ca="1" si="134"/>
        <v>0.56458727158160049</v>
      </c>
      <c r="BI118" s="142">
        <f t="shared" ca="1" si="137"/>
        <v>0.34278512917454318</v>
      </c>
      <c r="BJ118" s="143"/>
      <c r="BK118" s="128">
        <f ca="1">INDEX(商城宝箱!$L:$L,MATCH(BC118,商城宝箱!$N:$N,1))</f>
        <v>12</v>
      </c>
      <c r="BL118" s="90">
        <f ca="1">_xlfn.IFNA(INDEX(商城宝箱!T:T,MATCH(玩家节奏2!$BK118,商城宝箱!$L:$L,0)),0)+($BC118-INDEX(商城宝箱!$N:$N,MATCH(玩家节奏2!$BK118,商城宝箱!$L:$L,0)))/$BK$5*INDEX(商城宝箱!E$23:E$42,MATCH(玩家节奏2!$BK118+1,商城宝箱!$C$23:$C$42,0))</f>
        <v>297562.5</v>
      </c>
      <c r="BM118" s="90">
        <f ca="1">_xlfn.IFNA(INDEX(商城宝箱!U:U,MATCH(玩家节奏2!$BK118,商城宝箱!$L:$L,0)),0)+($BC118-INDEX(商城宝箱!$N:$N,MATCH(玩家节奏2!$BK118,商城宝箱!$L:$L,0)))/$BK$5*INDEX(商城宝箱!F$23:F$42,MATCH(玩家节奏2!$BK118+1,商城宝箱!$C$23:$C$42,0))</f>
        <v>322247.5</v>
      </c>
      <c r="BN118" s="90">
        <f ca="1">_xlfn.IFNA(INDEX(商城宝箱!V:V,MATCH(玩家节奏2!$BK118,商城宝箱!$L:$L,0)),0)+($BC118-INDEX(商城宝箱!$N:$N,MATCH(玩家节奏2!$BK118,商城宝箱!$L:$L,0)))/$BK$5*INDEX(商城宝箱!G$23:G$42,MATCH(玩家节奏2!$BK118+1,商城宝箱!$C$23:$C$42,0))</f>
        <v>164237</v>
      </c>
      <c r="BO118" s="90">
        <f ca="1">_xlfn.IFNA(INDEX(商城宝箱!W:W,MATCH(玩家节奏2!$BK118,商城宝箱!$L:$L,0)),0)+($BC118-INDEX(商城宝箱!$N:$N,MATCH(玩家节奏2!$BK118,商城宝箱!$L:$L,0)))/$BK$5*INDEX(商城宝箱!H$23:H$42,MATCH(玩家节奏2!$BK118+1,商城宝箱!$C$23:$C$42,0))</f>
        <v>25955.25</v>
      </c>
      <c r="BQ118" s="128">
        <f t="shared" si="79"/>
        <v>11610000</v>
      </c>
      <c r="BR118" s="90">
        <f t="shared" si="80"/>
        <v>2947130</v>
      </c>
      <c r="BS118" s="90">
        <f t="shared" ca="1" si="135"/>
        <v>5434526</v>
      </c>
      <c r="BT118" s="90">
        <f t="shared" si="136"/>
        <v>61000</v>
      </c>
      <c r="BU118" s="90">
        <f t="shared" si="83"/>
        <v>1744000</v>
      </c>
      <c r="BV118" s="90">
        <f t="shared" si="84"/>
        <v>336000</v>
      </c>
      <c r="BW118" s="90">
        <f t="shared" ca="1" si="96"/>
        <v>297562.5</v>
      </c>
      <c r="BX118" s="90">
        <f t="shared" ca="1" si="97"/>
        <v>22430218.5</v>
      </c>
      <c r="BY118" s="142">
        <f t="shared" ca="1" si="74"/>
        <v>0.51760530108077185</v>
      </c>
      <c r="BZ118" s="142">
        <f t="shared" ca="1" si="74"/>
        <v>0.13139105176349486</v>
      </c>
      <c r="CA118" s="142">
        <f t="shared" ca="1" si="74"/>
        <v>0.24228591442388311</v>
      </c>
      <c r="CB118" s="142">
        <f t="shared" ca="1" si="74"/>
        <v>2.7195455095544432E-3</v>
      </c>
      <c r="CC118" s="142">
        <f t="shared" ca="1" si="74"/>
        <v>7.775225194529424E-2</v>
      </c>
      <c r="CD118" s="142">
        <f t="shared" ca="1" si="74"/>
        <v>1.4979791659185129E-2</v>
      </c>
      <c r="CE118" s="142">
        <f t="shared" ca="1" si="74"/>
        <v>1.3266143617816296E-2</v>
      </c>
      <c r="CG118" s="128">
        <f t="shared" si="98"/>
        <v>200</v>
      </c>
      <c r="CH118" s="90">
        <f ca="1">INDEX(角色升级!$A:$A,MATCH(玩家节奏2!$BX118,角色升级!$J:$J,1))</f>
        <v>1003</v>
      </c>
      <c r="CI118" s="90">
        <f ca="1">INDEX(角色升级!$O:$O,MATCH(玩家节奏2!$BX118,角色升级!$J:$J,1))</f>
        <v>91919.015640000012</v>
      </c>
      <c r="CJ118" s="90">
        <f>INDEX(关卡对比!$J:$J,MATCH(玩家节奏2!N118,关卡对比!$A:$A,0))</f>
        <v>86200</v>
      </c>
      <c r="CK118" s="147">
        <f t="shared" ca="1" si="99"/>
        <v>0.93778201822353624</v>
      </c>
      <c r="CL118" s="128">
        <f ca="1">INDEX(角色升级!$P:$P,MATCH(玩家节奏2!$CH118,角色升级!$A:$A,0))</f>
        <v>40800</v>
      </c>
      <c r="CM118" s="90">
        <f ca="1">INDEX(角色升级!Q:Q,MATCH(玩家节奏2!$CH118,角色升级!$A:$A,0))</f>
        <v>2.2000000000000002</v>
      </c>
      <c r="CO118" s="128">
        <f t="shared" si="100"/>
        <v>78866</v>
      </c>
      <c r="CP118" s="90">
        <f t="shared" si="101"/>
        <v>225006</v>
      </c>
      <c r="CQ118" s="90">
        <f t="shared" si="102"/>
        <v>78064</v>
      </c>
      <c r="CR118" s="90">
        <f t="shared" ca="1" si="103"/>
        <v>322247.5</v>
      </c>
      <c r="CS118" s="90">
        <f t="shared" ca="1" si="104"/>
        <v>704183.5</v>
      </c>
      <c r="CT118" s="142">
        <f t="shared" ca="1" si="105"/>
        <v>0.11199637594462239</v>
      </c>
      <c r="CU118" s="142">
        <f t="shared" ca="1" si="105"/>
        <v>0.31952750951989078</v>
      </c>
      <c r="CV118" s="142">
        <f t="shared" ca="1" si="105"/>
        <v>0.11085746825933865</v>
      </c>
      <c r="CW118" s="142">
        <f t="shared" ca="1" si="105"/>
        <v>0.45761864627614818</v>
      </c>
      <c r="CY118" s="128">
        <f t="shared" si="106"/>
        <v>39434</v>
      </c>
      <c r="CZ118" s="90">
        <f t="shared" si="107"/>
        <v>112339</v>
      </c>
      <c r="DA118" s="90">
        <f t="shared" si="108"/>
        <v>53652</v>
      </c>
      <c r="DB118" s="90">
        <f t="shared" ca="1" si="128"/>
        <v>164237</v>
      </c>
      <c r="DC118" s="90">
        <f t="shared" ca="1" si="109"/>
        <v>369662</v>
      </c>
      <c r="DD118" s="142">
        <f t="shared" ca="1" si="110"/>
        <v>0.10667582818899427</v>
      </c>
      <c r="DE118" s="142">
        <f t="shared" ca="1" si="110"/>
        <v>0.30389653250807497</v>
      </c>
      <c r="DF118" s="142">
        <f t="shared" ca="1" si="110"/>
        <v>0.14513799092143634</v>
      </c>
      <c r="DG118" s="142">
        <f t="shared" ca="1" si="110"/>
        <v>0.44428964838149443</v>
      </c>
      <c r="DI118" s="128">
        <f t="shared" si="111"/>
        <v>19113</v>
      </c>
      <c r="DJ118" s="90">
        <f t="shared" si="112"/>
        <v>55235</v>
      </c>
      <c r="DK118" s="90">
        <f t="shared" si="113"/>
        <v>20910</v>
      </c>
      <c r="DL118" s="90">
        <f t="shared" ca="1" si="114"/>
        <v>25955.25</v>
      </c>
      <c r="DM118" s="90">
        <f t="shared" ca="1" si="115"/>
        <v>121213.25</v>
      </c>
      <c r="DN118" s="142">
        <f t="shared" ca="1" si="116"/>
        <v>0.15768078159772136</v>
      </c>
      <c r="DO118" s="142">
        <f t="shared" ca="1" si="116"/>
        <v>0.45568450643803382</v>
      </c>
      <c r="DP118" s="142">
        <f t="shared" ca="1" si="116"/>
        <v>0.17250589353886642</v>
      </c>
      <c r="DQ118" s="142">
        <f t="shared" ca="1" si="116"/>
        <v>0.21412881842537843</v>
      </c>
      <c r="DS118" s="128">
        <f t="shared" ca="1" si="117"/>
        <v>704183.5</v>
      </c>
      <c r="DT118" s="90">
        <f t="shared" ca="1" si="118"/>
        <v>369662</v>
      </c>
      <c r="DU118" s="90">
        <f t="shared" ca="1" si="119"/>
        <v>121213.25</v>
      </c>
      <c r="DV118" s="90">
        <f t="shared" si="120"/>
        <v>1744</v>
      </c>
      <c r="DW118" s="90">
        <f ca="1">_xlfn.IFNA(INDEX(武器升级消耗!$H:$H,MATCH(玩家节奏2!DS118/玩家节奏2!DS$5,武器升级消耗!M:M,1)),0)</f>
        <v>73</v>
      </c>
      <c r="DX118" s="90">
        <f ca="1">_xlfn.IFNA(INDEX(武器升级消耗!$H:$H,MATCH(玩家节奏2!DT118/玩家节奏2!DT$5,武器升级消耗!N:N,1)),0)</f>
        <v>64</v>
      </c>
      <c r="DY118" s="90">
        <f ca="1">_xlfn.IFNA(INDEX(武器升级消耗!$H:$H,MATCH(玩家节奏2!DU118/玩家节奏2!DU$5,武器升级消耗!O:O,1)),0)</f>
        <v>48</v>
      </c>
      <c r="DZ118" s="90">
        <f>_xlfn.IFNA(INDEX(武器升级消耗!$H:$H,MATCH(玩家节奏2!DV118/玩家节奏2!DV$5,武器升级消耗!P:P,1)),0)</f>
        <v>30</v>
      </c>
      <c r="EA118" s="90">
        <f ca="1">_xlfn.IFNA(INDEX(武器升级消耗!$Q:$Q,MATCH(玩家节奏2!DW118,武器升级消耗!$H:$H,0))*2*EA$4,0)</f>
        <v>9.2399999999999878</v>
      </c>
      <c r="EB118" s="90">
        <f ca="1">_xlfn.IFNA(INDEX(武器升级消耗!$Q:$Q,MATCH(玩家节奏2!DX118,武器升级消耗!$H:$H,0))*2*EB$4,0)</f>
        <v>10.199999999999999</v>
      </c>
      <c r="EC118" s="90">
        <f ca="1">_xlfn.IFNA(INDEX(武器升级消耗!$Q:$Q,MATCH(玩家节奏2!DY118,武器升级消耗!$H:$H,0))*2*EC$4,0)</f>
        <v>11.440000000000001</v>
      </c>
      <c r="ED118" s="90">
        <f>_xlfn.IFNA(INDEX(武器升级消耗!$Q:$Q,MATCH(玩家节奏2!DZ118,武器升级消耗!$H:$H,0))*2*ED$4,0)</f>
        <v>10.199999999999999</v>
      </c>
    </row>
    <row r="119" spans="1:134" x14ac:dyDescent="0.25">
      <c r="A119" s="123">
        <v>113</v>
      </c>
      <c r="B119" s="123">
        <f>INDEX(关卡对比!$Y:$Y,MATCH(关卡对比!Z119,关卡对比!$AA:$AA,1))</f>
        <v>70</v>
      </c>
      <c r="C119" s="124">
        <f>INDEX(关卡对比!$Y:$Y,MATCH(关卡对比!Z119,关卡对比!$AB:$AB,1))</f>
        <v>56</v>
      </c>
      <c r="D119" s="125">
        <f t="shared" si="131"/>
        <v>447.5</v>
      </c>
      <c r="E119" s="125">
        <v>2</v>
      </c>
      <c r="F119" s="128">
        <v>16</v>
      </c>
      <c r="G119" s="90">
        <v>16</v>
      </c>
      <c r="H119" s="90">
        <v>5</v>
      </c>
      <c r="J119" s="128">
        <v>113</v>
      </c>
      <c r="K119" s="90">
        <f t="shared" si="88"/>
        <v>16</v>
      </c>
      <c r="L119" s="90">
        <f t="shared" si="89"/>
        <v>16</v>
      </c>
      <c r="M119" s="90">
        <f t="shared" si="90"/>
        <v>5</v>
      </c>
      <c r="N119" s="140">
        <f>INDEX($A:$A,MATCH(SUM($K$7:K119),$D:$D,1))</f>
        <v>200</v>
      </c>
      <c r="O119" s="140">
        <v>0</v>
      </c>
      <c r="P119" s="141">
        <v>0</v>
      </c>
      <c r="Q119" s="126">
        <f>_xlfn.MAXIFS(关卡产出!X:X,关卡产出!$A:$A,玩家节奏2!$N$6,关卡产出!$B:$B,玩家节奏2!$N119)+_xlfn.MAXIFS(关卡产出!X:X,关卡产出!$A:$A,玩家节奏2!$O$6,关卡产出!$B:$B,玩家节奏2!$O119)+_xlfn.MAXIFS(关卡产出!X:X,关卡产出!$A:$A,玩家节奏2!$P$6,关卡产出!$B:$B,玩家节奏2!$P119)</f>
        <v>38500</v>
      </c>
      <c r="R119" s="90">
        <f>_xlfn.MAXIFS(关卡产出!Y:Y,关卡产出!$A:$A,玩家节奏2!$N$6,关卡产出!$B:$B,玩家节奏2!$N119)+_xlfn.MAXIFS(关卡产出!Y:Y,关卡产出!$A:$A,玩家节奏2!$O$6,关卡产出!$B:$B,玩家节奏2!$O119)+_xlfn.MAXIFS(关卡产出!Y:Y,关卡产出!$A:$A,玩家节奏2!$P$6,关卡产出!$B:$B,玩家节奏2!$P119)</f>
        <v>11610000</v>
      </c>
      <c r="S119" s="90">
        <f>_xlfn.MAXIFS(关卡产出!Z:Z,关卡产出!$A:$A,玩家节奏2!$N$6,关卡产出!$B:$B,玩家节奏2!$N119)+_xlfn.MAXIFS(关卡产出!Z:Z,关卡产出!$A:$A,玩家节奏2!$O$6,关卡产出!$B:$B,玩家节奏2!$O119)+_xlfn.MAXIFS(关卡产出!Z:Z,关卡产出!$A:$A,玩家节奏2!$P$6,关卡产出!$B:$B,玩家节奏2!$P119)</f>
        <v>78866</v>
      </c>
      <c r="T119" s="90">
        <f>_xlfn.MAXIFS(关卡产出!AA:AA,关卡产出!$A:$A,玩家节奏2!$N$6,关卡产出!$B:$B,玩家节奏2!$N119)+_xlfn.MAXIFS(关卡产出!AA:AA,关卡产出!$A:$A,玩家节奏2!$O$6,关卡产出!$B:$B,玩家节奏2!$O119)+_xlfn.MAXIFS(关卡产出!AA:AA,关卡产出!$A:$A,玩家节奏2!$P$6,关卡产出!$B:$B,玩家节奏2!$P119)</f>
        <v>39434</v>
      </c>
      <c r="U119" s="90">
        <f>_xlfn.MAXIFS(关卡产出!AB:AB,关卡产出!$A:$A,玩家节奏2!$N$6,关卡产出!$B:$B,玩家节奏2!$N119)+_xlfn.MAXIFS(关卡产出!AB:AB,关卡产出!$A:$A,玩家节奏2!$O$6,关卡产出!$B:$B,玩家节奏2!$O119)+_xlfn.MAXIFS(关卡产出!AB:AB,关卡产出!$A:$A,玩家节奏2!$P$6,关卡产出!$B:$B,玩家节奏2!$P119)</f>
        <v>19113</v>
      </c>
      <c r="V119" s="130">
        <f>_xlfn.MAXIFS(关卡产出!AC:AC,关卡产出!$A:$A,玩家节奏2!$N$6,关卡产出!$B:$B,玩家节奏2!$N119)+_xlfn.MAXIFS(关卡产出!AC:AC,关卡产出!$A:$A,玩家节奏2!$O$6,关卡产出!$B:$B,玩家节奏2!$O119)+_xlfn.MAXIFS(关卡产出!AC:AC,关卡产出!$A:$A,玩家节奏2!$P$6,关卡产出!$B:$B,玩家节奏2!$P119)</f>
        <v>1200</v>
      </c>
      <c r="W119" s="126">
        <f>INDEX(关卡产出!C$8:C$207,MATCH(玩家节奏2!$N119,关卡产出!$B$8:$B$207,0))*$K119</f>
        <v>2528</v>
      </c>
      <c r="X119" s="126">
        <f>INDEX(关卡产出!D$8:D$207,MATCH(玩家节奏2!$N119,关卡产出!$B$8:$B$207,0))*$K119</f>
        <v>1264</v>
      </c>
      <c r="Y119" s="126">
        <f>INDEX(关卡产出!E$8:E$207,MATCH(玩家节奏2!$N119,关卡产出!$B$8:$B$207,0))*$K119</f>
        <v>624</v>
      </c>
      <c r="Z119" s="144">
        <f>INDEX(关卡产出!F$8:F$207,MATCH(玩家节奏2!$N119,关卡产出!$B$8:$B$207,0))*$K119</f>
        <v>32800</v>
      </c>
      <c r="AA119" s="126">
        <f>SUM(W$7:W119)</f>
        <v>227534</v>
      </c>
      <c r="AB119" s="126">
        <f>SUM(X$7:X119)</f>
        <v>113603</v>
      </c>
      <c r="AC119" s="126">
        <f>SUM(Y$7:Y119)</f>
        <v>55859</v>
      </c>
      <c r="AD119" s="177">
        <f>SUM(Z$7:Z119)</f>
        <v>2979930</v>
      </c>
      <c r="AE119" s="128">
        <f>INDEX(图鉴!AQ:AQ,MATCH($N119,图鉴!$S:$S,0))*34</f>
        <v>714</v>
      </c>
      <c r="AF119" s="90">
        <f>INDEX(图鉴!AR:AR,MATCH($N119,图鉴!$S:$S,0))*34</f>
        <v>510</v>
      </c>
      <c r="AG119" s="90">
        <f>INDEX(图鉴!AS:AS,MATCH($N119,图鉴!$S:$S,0))*34</f>
        <v>204</v>
      </c>
      <c r="AH119" s="129">
        <f ca="1">INDEX(图鉴!AT:AT,MATCH($N119,图鉴!$S:$S,0))*34</f>
        <v>55930</v>
      </c>
      <c r="AI119" s="128">
        <f>SUM($AE$7:AE119)</f>
        <v>78778</v>
      </c>
      <c r="AJ119" s="90">
        <f>SUM(AF$7:AF119)</f>
        <v>54162</v>
      </c>
      <c r="AK119" s="90">
        <f>SUM(AG$7:AG119)</f>
        <v>21114</v>
      </c>
      <c r="AL119" s="130">
        <f ca="1">SUM(AH$7:AH119)</f>
        <v>5490456</v>
      </c>
      <c r="AM119" s="133">
        <f>IF(M119=0,0,INDEX(关卡产出!$AU$11:$AU$15,MATCH(玩家节奏2!N119,关卡产出!$AW$11:$AW$15,1))*M119)</f>
        <v>61000</v>
      </c>
      <c r="AN119" s="126">
        <f>IF(L119=0,0,$L119*关卡产出!AU$21)</f>
        <v>16000</v>
      </c>
      <c r="AO119" s="90">
        <f>IF(M119=0,0,$L119*关卡产出!AV$21)</f>
        <v>800</v>
      </c>
      <c r="AP119" s="129">
        <f>IF(N119=0,0,$L119*关卡产出!AW$21)</f>
        <v>16</v>
      </c>
      <c r="AQ119" s="138">
        <f>SUM(AN$7:AN119)</f>
        <v>1760000</v>
      </c>
      <c r="AR119" s="126">
        <f>SUM(AO$7:AO119)</f>
        <v>88000</v>
      </c>
      <c r="AS119" s="129">
        <f>SUM(AP$7:AP119)</f>
        <v>1760</v>
      </c>
      <c r="AT119" s="128">
        <v>3000</v>
      </c>
      <c r="AU119" s="129">
        <v>600</v>
      </c>
      <c r="AV119" s="128">
        <f>SUM(AT$7:AT119)</f>
        <v>339000</v>
      </c>
      <c r="AW119" s="90">
        <f>SUM(AU$7:AU119)</f>
        <v>67800</v>
      </c>
      <c r="AY119" s="128">
        <f t="shared" si="91"/>
        <v>38500</v>
      </c>
      <c r="AZ119" s="90">
        <f t="shared" si="92"/>
        <v>88000</v>
      </c>
      <c r="BA119" s="90">
        <f t="shared" si="93"/>
        <v>67800</v>
      </c>
      <c r="BB119" s="90">
        <f t="shared" ca="1" si="127"/>
        <v>40800</v>
      </c>
      <c r="BC119" s="90">
        <f t="shared" ca="1" si="129"/>
        <v>119725</v>
      </c>
      <c r="BD119" s="90">
        <f t="shared" ca="1" si="130"/>
        <v>115375</v>
      </c>
      <c r="BE119" s="90">
        <f t="shared" ca="1" si="94"/>
        <v>235100</v>
      </c>
      <c r="BF119" s="142">
        <f t="shared" ca="1" si="132"/>
        <v>0.32157026519106285</v>
      </c>
      <c r="BG119" s="142">
        <f t="shared" ca="1" si="133"/>
        <v>0.73501774900814365</v>
      </c>
      <c r="BH119" s="142">
        <f t="shared" ca="1" si="134"/>
        <v>0.56629776571309254</v>
      </c>
      <c r="BI119" s="142">
        <f t="shared" ca="1" si="137"/>
        <v>0.34078095635832117</v>
      </c>
      <c r="BJ119" s="143"/>
      <c r="BK119" s="128">
        <f ca="1">INDEX(商城宝箱!$L:$L,MATCH(BC119,商城宝箱!$N:$N,1))</f>
        <v>12</v>
      </c>
      <c r="BL119" s="90">
        <f ca="1">_xlfn.IFNA(INDEX(商城宝箱!T:T,MATCH(玩家节奏2!$BK119,商城宝箱!$L:$L,0)),0)+($BC119-INDEX(商城宝箱!$N:$N,MATCH(玩家节奏2!$BK119,商城宝箱!$L:$L,0)))/$BK$5*INDEX(商城宝箱!E$23:E$42,MATCH(玩家节奏2!$BK119+1,商城宝箱!$C$23:$C$42,0))</f>
        <v>299312.5</v>
      </c>
      <c r="BM119" s="90">
        <f ca="1">_xlfn.IFNA(INDEX(商城宝箱!U:U,MATCH(玩家节奏2!$BK119,商城宝箱!$L:$L,0)),0)+($BC119-INDEX(商城宝箱!$N:$N,MATCH(玩家节奏2!$BK119,商城宝箱!$L:$L,0)))/$BK$5*INDEX(商城宝箱!F$23:F$42,MATCH(玩家节奏2!$BK119+1,商城宝箱!$C$23:$C$42,0))</f>
        <v>325187.5</v>
      </c>
      <c r="BN119" s="90">
        <f ca="1">_xlfn.IFNA(INDEX(商城宝箱!V:V,MATCH(玩家节奏2!$BK119,商城宝箱!$L:$L,0)),0)+($BC119-INDEX(商城宝箱!$N:$N,MATCH(玩家节奏2!$BK119,商城宝箱!$L:$L,0)))/$BK$5*INDEX(商城宝箱!G$23:G$42,MATCH(玩家节奏2!$BK119+1,商城宝箱!$C$23:$C$42,0))</f>
        <v>165637</v>
      </c>
      <c r="BO119" s="90">
        <f ca="1">_xlfn.IFNA(INDEX(商城宝箱!W:W,MATCH(玩家节奏2!$BK119,商城宝箱!$L:$L,0)),0)+($BC119-INDEX(商城宝箱!$N:$N,MATCH(玩家节奏2!$BK119,商城宝箱!$L:$L,0)))/$BK$5*INDEX(商城宝箱!H$23:H$42,MATCH(玩家节奏2!$BK119+1,商城宝箱!$C$23:$C$42,0))</f>
        <v>26200.25</v>
      </c>
      <c r="BQ119" s="128">
        <f t="shared" si="79"/>
        <v>11610000</v>
      </c>
      <c r="BR119" s="90">
        <f t="shared" si="80"/>
        <v>2979930</v>
      </c>
      <c r="BS119" s="90">
        <f t="shared" ca="1" si="135"/>
        <v>5490456</v>
      </c>
      <c r="BT119" s="90">
        <f t="shared" si="136"/>
        <v>61000</v>
      </c>
      <c r="BU119" s="90">
        <f t="shared" si="83"/>
        <v>1760000</v>
      </c>
      <c r="BV119" s="90">
        <f t="shared" si="84"/>
        <v>339000</v>
      </c>
      <c r="BW119" s="90">
        <f t="shared" ca="1" si="96"/>
        <v>299312.5</v>
      </c>
      <c r="BX119" s="90">
        <f t="shared" ca="1" si="97"/>
        <v>22539698.5</v>
      </c>
      <c r="BY119" s="142">
        <f t="shared" ca="1" si="74"/>
        <v>0.51509118456043235</v>
      </c>
      <c r="BZ119" s="142">
        <f t="shared" ca="1" si="74"/>
        <v>0.13220806835548399</v>
      </c>
      <c r="CA119" s="142">
        <f t="shared" ca="1" si="74"/>
        <v>0.24359048103505024</v>
      </c>
      <c r="CB119" s="142">
        <f t="shared" ca="1" si="74"/>
        <v>2.7063361118162248E-3</v>
      </c>
      <c r="CC119" s="142">
        <f t="shared" ca="1" si="74"/>
        <v>7.8084451750763215E-2</v>
      </c>
      <c r="CD119" s="142">
        <f t="shared" ca="1" si="74"/>
        <v>1.5040130195175415E-2</v>
      </c>
      <c r="CE119" s="142">
        <f t="shared" ca="1" si="74"/>
        <v>1.3279347991278587E-2</v>
      </c>
      <c r="CG119" s="128">
        <f t="shared" si="98"/>
        <v>200</v>
      </c>
      <c r="CH119" s="90">
        <f ca="1">INDEX(角色升级!$A:$A,MATCH(玩家节奏2!$BX119,角色升级!$J:$J,1))</f>
        <v>1005</v>
      </c>
      <c r="CI119" s="90">
        <f ca="1">INDEX(角色升级!$O:$O,MATCH(玩家节奏2!$BX119,角色升级!$J:$J,1))</f>
        <v>92057.032180000024</v>
      </c>
      <c r="CJ119" s="90">
        <f>INDEX(关卡对比!$J:$J,MATCH(玩家节奏2!N119,关卡对比!$A:$A,0))</f>
        <v>86200</v>
      </c>
      <c r="CK119" s="147">
        <f t="shared" ca="1" si="99"/>
        <v>0.93637604818122189</v>
      </c>
      <c r="CL119" s="128">
        <f ca="1">INDEX(角色升级!$P:$P,MATCH(玩家节奏2!$CH119,角色升级!$A:$A,0))</f>
        <v>40800</v>
      </c>
      <c r="CM119" s="90">
        <f ca="1">INDEX(角色升级!Q:Q,MATCH(玩家节奏2!$CH119,角色升级!$A:$A,0))</f>
        <v>2.2000000000000002</v>
      </c>
      <c r="CO119" s="128">
        <f t="shared" si="100"/>
        <v>78866</v>
      </c>
      <c r="CP119" s="90">
        <f t="shared" si="101"/>
        <v>227534</v>
      </c>
      <c r="CQ119" s="90">
        <f t="shared" si="102"/>
        <v>78778</v>
      </c>
      <c r="CR119" s="90">
        <f t="shared" ca="1" si="103"/>
        <v>325187.5</v>
      </c>
      <c r="CS119" s="90">
        <f t="shared" ca="1" si="104"/>
        <v>710365.5</v>
      </c>
      <c r="CT119" s="142">
        <f t="shared" ca="1" si="105"/>
        <v>0.11102172050866772</v>
      </c>
      <c r="CU119" s="142">
        <f t="shared" ca="1" si="105"/>
        <v>0.32030553285597346</v>
      </c>
      <c r="CV119" s="142">
        <f t="shared" ca="1" si="105"/>
        <v>0.11089784061866743</v>
      </c>
      <c r="CW119" s="142">
        <f t="shared" ca="1" si="105"/>
        <v>0.45777490601669141</v>
      </c>
      <c r="CY119" s="128">
        <f t="shared" si="106"/>
        <v>39434</v>
      </c>
      <c r="CZ119" s="90">
        <f t="shared" si="107"/>
        <v>113603</v>
      </c>
      <c r="DA119" s="90">
        <f t="shared" si="108"/>
        <v>54162</v>
      </c>
      <c r="DB119" s="90">
        <f t="shared" ca="1" si="128"/>
        <v>165637</v>
      </c>
      <c r="DC119" s="90">
        <f t="shared" ca="1" si="109"/>
        <v>372836</v>
      </c>
      <c r="DD119" s="142">
        <f t="shared" ca="1" si="110"/>
        <v>0.10576768337821454</v>
      </c>
      <c r="DE119" s="142">
        <f t="shared" ca="1" si="110"/>
        <v>0.30469965346693989</v>
      </c>
      <c r="DF119" s="142">
        <f t="shared" ca="1" si="110"/>
        <v>0.14527030651546524</v>
      </c>
      <c r="DG119" s="142">
        <f t="shared" ca="1" si="110"/>
        <v>0.4442623566393803</v>
      </c>
      <c r="DI119" s="128">
        <f t="shared" si="111"/>
        <v>19113</v>
      </c>
      <c r="DJ119" s="90">
        <f t="shared" si="112"/>
        <v>55859</v>
      </c>
      <c r="DK119" s="90">
        <f t="shared" si="113"/>
        <v>21114</v>
      </c>
      <c r="DL119" s="90">
        <f t="shared" ca="1" si="114"/>
        <v>26200.25</v>
      </c>
      <c r="DM119" s="90">
        <f t="shared" ca="1" si="115"/>
        <v>122286.25</v>
      </c>
      <c r="DN119" s="142">
        <f t="shared" ca="1" si="116"/>
        <v>0.15629721248300607</v>
      </c>
      <c r="DO119" s="142">
        <f t="shared" ca="1" si="116"/>
        <v>0.45678888673092843</v>
      </c>
      <c r="DP119" s="142">
        <f t="shared" ca="1" si="116"/>
        <v>0.17266045855523413</v>
      </c>
      <c r="DQ119" s="142">
        <f t="shared" ca="1" si="116"/>
        <v>0.21425344223083134</v>
      </c>
      <c r="DS119" s="128">
        <f t="shared" ca="1" si="117"/>
        <v>710365.5</v>
      </c>
      <c r="DT119" s="90">
        <f t="shared" ca="1" si="118"/>
        <v>372836</v>
      </c>
      <c r="DU119" s="90">
        <f t="shared" ca="1" si="119"/>
        <v>122286.25</v>
      </c>
      <c r="DV119" s="90">
        <f t="shared" si="120"/>
        <v>1760</v>
      </c>
      <c r="DW119" s="90">
        <f ca="1">_xlfn.IFNA(INDEX(武器升级消耗!$H:$H,MATCH(玩家节奏2!DS119/玩家节奏2!DS$5,武器升级消耗!M:M,1)),0)</f>
        <v>73</v>
      </c>
      <c r="DX119" s="90">
        <f ca="1">_xlfn.IFNA(INDEX(武器升级消耗!$H:$H,MATCH(玩家节奏2!DT119/玩家节奏2!DT$5,武器升级消耗!N:N,1)),0)</f>
        <v>64</v>
      </c>
      <c r="DY119" s="90">
        <f ca="1">_xlfn.IFNA(INDEX(武器升级消耗!$H:$H,MATCH(玩家节奏2!DU119/玩家节奏2!DU$5,武器升级消耗!O:O,1)),0)</f>
        <v>48</v>
      </c>
      <c r="DZ119" s="90">
        <f>_xlfn.IFNA(INDEX(武器升级消耗!$H:$H,MATCH(玩家节奏2!DV119/玩家节奏2!DV$5,武器升级消耗!P:P,1)),0)</f>
        <v>30</v>
      </c>
      <c r="EA119" s="90">
        <f ca="1">_xlfn.IFNA(INDEX(武器升级消耗!$Q:$Q,MATCH(玩家节奏2!DW119,武器升级消耗!$H:$H,0))*2*EA$4,0)</f>
        <v>9.2399999999999878</v>
      </c>
      <c r="EB119" s="90">
        <f ca="1">_xlfn.IFNA(INDEX(武器升级消耗!$Q:$Q,MATCH(玩家节奏2!DX119,武器升级消耗!$H:$H,0))*2*EB$4,0)</f>
        <v>10.199999999999999</v>
      </c>
      <c r="EC119" s="90">
        <f ca="1">_xlfn.IFNA(INDEX(武器升级消耗!$Q:$Q,MATCH(玩家节奏2!DY119,武器升级消耗!$H:$H,0))*2*EC$4,0)</f>
        <v>11.440000000000001</v>
      </c>
      <c r="ED119" s="90">
        <f>_xlfn.IFNA(INDEX(武器升级消耗!$Q:$Q,MATCH(玩家节奏2!DZ119,武器升级消耗!$H:$H,0))*2*ED$4,0)</f>
        <v>10.199999999999999</v>
      </c>
    </row>
    <row r="120" spans="1:134" x14ac:dyDescent="0.25">
      <c r="A120" s="123">
        <v>114</v>
      </c>
      <c r="B120" s="123">
        <f>INDEX(关卡对比!$Y:$Y,MATCH(关卡对比!Z120,关卡对比!$AA:$AA,1))</f>
        <v>70</v>
      </c>
      <c r="C120" s="124">
        <f>INDEX(关卡对比!$Y:$Y,MATCH(关卡对比!Z120,关卡对比!$AB:$AB,1))</f>
        <v>56</v>
      </c>
      <c r="D120" s="125">
        <f t="shared" si="131"/>
        <v>449.5</v>
      </c>
      <c r="E120" s="125">
        <v>2</v>
      </c>
      <c r="F120" s="128">
        <v>16</v>
      </c>
      <c r="G120" s="90">
        <v>16</v>
      </c>
      <c r="H120" s="90">
        <v>5</v>
      </c>
      <c r="J120" s="128">
        <v>114</v>
      </c>
      <c r="K120" s="90">
        <f t="shared" si="88"/>
        <v>16</v>
      </c>
      <c r="L120" s="90">
        <f t="shared" si="89"/>
        <v>16</v>
      </c>
      <c r="M120" s="90">
        <f t="shared" si="90"/>
        <v>5</v>
      </c>
      <c r="N120" s="140">
        <f>INDEX($A:$A,MATCH(SUM($K$7:K120),$D:$D,1))</f>
        <v>200</v>
      </c>
      <c r="O120" s="140">
        <v>0</v>
      </c>
      <c r="P120" s="141">
        <v>0</v>
      </c>
      <c r="Q120" s="126">
        <f>_xlfn.MAXIFS(关卡产出!X:X,关卡产出!$A:$A,玩家节奏2!$N$6,关卡产出!$B:$B,玩家节奏2!$N120)+_xlfn.MAXIFS(关卡产出!X:X,关卡产出!$A:$A,玩家节奏2!$O$6,关卡产出!$B:$B,玩家节奏2!$O120)+_xlfn.MAXIFS(关卡产出!X:X,关卡产出!$A:$A,玩家节奏2!$P$6,关卡产出!$B:$B,玩家节奏2!$P120)</f>
        <v>38500</v>
      </c>
      <c r="R120" s="90">
        <f>_xlfn.MAXIFS(关卡产出!Y:Y,关卡产出!$A:$A,玩家节奏2!$N$6,关卡产出!$B:$B,玩家节奏2!$N120)+_xlfn.MAXIFS(关卡产出!Y:Y,关卡产出!$A:$A,玩家节奏2!$O$6,关卡产出!$B:$B,玩家节奏2!$O120)+_xlfn.MAXIFS(关卡产出!Y:Y,关卡产出!$A:$A,玩家节奏2!$P$6,关卡产出!$B:$B,玩家节奏2!$P120)</f>
        <v>11610000</v>
      </c>
      <c r="S120" s="90">
        <f>_xlfn.MAXIFS(关卡产出!Z:Z,关卡产出!$A:$A,玩家节奏2!$N$6,关卡产出!$B:$B,玩家节奏2!$N120)+_xlfn.MAXIFS(关卡产出!Z:Z,关卡产出!$A:$A,玩家节奏2!$O$6,关卡产出!$B:$B,玩家节奏2!$O120)+_xlfn.MAXIFS(关卡产出!Z:Z,关卡产出!$A:$A,玩家节奏2!$P$6,关卡产出!$B:$B,玩家节奏2!$P120)</f>
        <v>78866</v>
      </c>
      <c r="T120" s="90">
        <f>_xlfn.MAXIFS(关卡产出!AA:AA,关卡产出!$A:$A,玩家节奏2!$N$6,关卡产出!$B:$B,玩家节奏2!$N120)+_xlfn.MAXIFS(关卡产出!AA:AA,关卡产出!$A:$A,玩家节奏2!$O$6,关卡产出!$B:$B,玩家节奏2!$O120)+_xlfn.MAXIFS(关卡产出!AA:AA,关卡产出!$A:$A,玩家节奏2!$P$6,关卡产出!$B:$B,玩家节奏2!$P120)</f>
        <v>39434</v>
      </c>
      <c r="U120" s="90">
        <f>_xlfn.MAXIFS(关卡产出!AB:AB,关卡产出!$A:$A,玩家节奏2!$N$6,关卡产出!$B:$B,玩家节奏2!$N120)+_xlfn.MAXIFS(关卡产出!AB:AB,关卡产出!$A:$A,玩家节奏2!$O$6,关卡产出!$B:$B,玩家节奏2!$O120)+_xlfn.MAXIFS(关卡产出!AB:AB,关卡产出!$A:$A,玩家节奏2!$P$6,关卡产出!$B:$B,玩家节奏2!$P120)</f>
        <v>19113</v>
      </c>
      <c r="V120" s="130">
        <f>_xlfn.MAXIFS(关卡产出!AC:AC,关卡产出!$A:$A,玩家节奏2!$N$6,关卡产出!$B:$B,玩家节奏2!$N120)+_xlfn.MAXIFS(关卡产出!AC:AC,关卡产出!$A:$A,玩家节奏2!$O$6,关卡产出!$B:$B,玩家节奏2!$O120)+_xlfn.MAXIFS(关卡产出!AC:AC,关卡产出!$A:$A,玩家节奏2!$P$6,关卡产出!$B:$B,玩家节奏2!$P120)</f>
        <v>1200</v>
      </c>
      <c r="W120" s="126">
        <f>INDEX(关卡产出!C$8:C$207,MATCH(玩家节奏2!$N120,关卡产出!$B$8:$B$207,0))*$K120</f>
        <v>2528</v>
      </c>
      <c r="X120" s="126">
        <f>INDEX(关卡产出!D$8:D$207,MATCH(玩家节奏2!$N120,关卡产出!$B$8:$B$207,0))*$K120</f>
        <v>1264</v>
      </c>
      <c r="Y120" s="126">
        <f>INDEX(关卡产出!E$8:E$207,MATCH(玩家节奏2!$N120,关卡产出!$B$8:$B$207,0))*$K120</f>
        <v>624</v>
      </c>
      <c r="Z120" s="144">
        <f>INDEX(关卡产出!F$8:F$207,MATCH(玩家节奏2!$N120,关卡产出!$B$8:$B$207,0))*$K120</f>
        <v>32800</v>
      </c>
      <c r="AA120" s="126">
        <f>SUM(W$7:W120)</f>
        <v>230062</v>
      </c>
      <c r="AB120" s="126">
        <f>SUM(X$7:X120)</f>
        <v>114867</v>
      </c>
      <c r="AC120" s="126">
        <f>SUM(Y$7:Y120)</f>
        <v>56483</v>
      </c>
      <c r="AD120" s="177">
        <f>SUM(Z$7:Z120)</f>
        <v>3012730</v>
      </c>
      <c r="AE120" s="128">
        <f>INDEX(图鉴!AQ:AQ,MATCH($N120,图鉴!$S:$S,0))*34</f>
        <v>714</v>
      </c>
      <c r="AF120" s="90">
        <f>INDEX(图鉴!AR:AR,MATCH($N120,图鉴!$S:$S,0))*34</f>
        <v>510</v>
      </c>
      <c r="AG120" s="90">
        <f>INDEX(图鉴!AS:AS,MATCH($N120,图鉴!$S:$S,0))*34</f>
        <v>204</v>
      </c>
      <c r="AH120" s="129">
        <f ca="1">INDEX(图鉴!AT:AT,MATCH($N120,图鉴!$S:$S,0))*34</f>
        <v>55930</v>
      </c>
      <c r="AI120" s="128">
        <f>SUM($AE$7:AE120)</f>
        <v>79492</v>
      </c>
      <c r="AJ120" s="90">
        <f>SUM(AF$7:AF120)</f>
        <v>54672</v>
      </c>
      <c r="AK120" s="90">
        <f>SUM(AG$7:AG120)</f>
        <v>21318</v>
      </c>
      <c r="AL120" s="130">
        <f ca="1">SUM(AH$7:AH120)</f>
        <v>5546386</v>
      </c>
      <c r="AM120" s="133">
        <f>IF(M120=0,0,INDEX(关卡产出!$AU$11:$AU$15,MATCH(玩家节奏2!N120,关卡产出!$AW$11:$AW$15,1))*M120)</f>
        <v>61000</v>
      </c>
      <c r="AN120" s="126">
        <f>IF(L120=0,0,$L120*关卡产出!AU$21)</f>
        <v>16000</v>
      </c>
      <c r="AO120" s="90">
        <f>IF(M120=0,0,$L120*关卡产出!AV$21)</f>
        <v>800</v>
      </c>
      <c r="AP120" s="129">
        <f>IF(N120=0,0,$L120*关卡产出!AW$21)</f>
        <v>16</v>
      </c>
      <c r="AQ120" s="138">
        <f>SUM(AN$7:AN120)</f>
        <v>1776000</v>
      </c>
      <c r="AR120" s="126">
        <f>SUM(AO$7:AO120)</f>
        <v>88800</v>
      </c>
      <c r="AS120" s="129">
        <f>SUM(AP$7:AP120)</f>
        <v>1776</v>
      </c>
      <c r="AT120" s="128">
        <v>3000</v>
      </c>
      <c r="AU120" s="129">
        <v>600</v>
      </c>
      <c r="AV120" s="128">
        <f>SUM(AT$7:AT120)</f>
        <v>342000</v>
      </c>
      <c r="AW120" s="90">
        <f>SUM(AU$7:AU120)</f>
        <v>68400</v>
      </c>
      <c r="AY120" s="128">
        <f t="shared" si="91"/>
        <v>38500</v>
      </c>
      <c r="AZ120" s="90">
        <f t="shared" si="92"/>
        <v>88800</v>
      </c>
      <c r="BA120" s="90">
        <f t="shared" si="93"/>
        <v>68400</v>
      </c>
      <c r="BB120" s="90">
        <f t="shared" ca="1" si="127"/>
        <v>40800</v>
      </c>
      <c r="BC120" s="90">
        <f t="shared" ca="1" si="129"/>
        <v>120425</v>
      </c>
      <c r="BD120" s="90">
        <f t="shared" ca="1" si="130"/>
        <v>116075</v>
      </c>
      <c r="BE120" s="90">
        <f t="shared" ca="1" si="94"/>
        <v>236500</v>
      </c>
      <c r="BF120" s="142">
        <f t="shared" ca="1" si="132"/>
        <v>0.3197010587502595</v>
      </c>
      <c r="BG120" s="142">
        <f t="shared" ca="1" si="133"/>
        <v>0.73738841602657257</v>
      </c>
      <c r="BH120" s="142">
        <f t="shared" ca="1" si="134"/>
        <v>0.5679883745069545</v>
      </c>
      <c r="BI120" s="142">
        <f t="shared" ca="1" si="137"/>
        <v>0.33880008303923603</v>
      </c>
      <c r="BJ120" s="143"/>
      <c r="BK120" s="128">
        <f ca="1">INDEX(商城宝箱!$L:$L,MATCH(BC120,商城宝箱!$N:$N,1))</f>
        <v>12</v>
      </c>
      <c r="BL120" s="90">
        <f ca="1">_xlfn.IFNA(INDEX(商城宝箱!T:T,MATCH(玩家节奏2!$BK120,商城宝箱!$L:$L,0)),0)+($BC120-INDEX(商城宝箱!$N:$N,MATCH(玩家节奏2!$BK120,商城宝箱!$L:$L,0)))/$BK$5*INDEX(商城宝箱!E$23:E$42,MATCH(玩家节奏2!$BK120+1,商城宝箱!$C$23:$C$42,0))</f>
        <v>301062.5</v>
      </c>
      <c r="BM120" s="90">
        <f ca="1">_xlfn.IFNA(INDEX(商城宝箱!U:U,MATCH(玩家节奏2!$BK120,商城宝箱!$L:$L,0)),0)+($BC120-INDEX(商城宝箱!$N:$N,MATCH(玩家节奏2!$BK120,商城宝箱!$L:$L,0)))/$BK$5*INDEX(商城宝箱!F$23:F$42,MATCH(玩家节奏2!$BK120+1,商城宝箱!$C$23:$C$42,0))</f>
        <v>328127.5</v>
      </c>
      <c r="BN120" s="90">
        <f ca="1">_xlfn.IFNA(INDEX(商城宝箱!V:V,MATCH(玩家节奏2!$BK120,商城宝箱!$L:$L,0)),0)+($BC120-INDEX(商城宝箱!$N:$N,MATCH(玩家节奏2!$BK120,商城宝箱!$L:$L,0)))/$BK$5*INDEX(商城宝箱!G$23:G$42,MATCH(玩家节奏2!$BK120+1,商城宝箱!$C$23:$C$42,0))</f>
        <v>167037</v>
      </c>
      <c r="BO120" s="90">
        <f ca="1">_xlfn.IFNA(INDEX(商城宝箱!W:W,MATCH(玩家节奏2!$BK120,商城宝箱!$L:$L,0)),0)+($BC120-INDEX(商城宝箱!$N:$N,MATCH(玩家节奏2!$BK120,商城宝箱!$L:$L,0)))/$BK$5*INDEX(商城宝箱!H$23:H$42,MATCH(玩家节奏2!$BK120+1,商城宝箱!$C$23:$C$42,0))</f>
        <v>26445.25</v>
      </c>
      <c r="BQ120" s="128">
        <f t="shared" si="79"/>
        <v>11610000</v>
      </c>
      <c r="BR120" s="90">
        <f t="shared" si="80"/>
        <v>3012730</v>
      </c>
      <c r="BS120" s="90">
        <f t="shared" ca="1" si="135"/>
        <v>5546386</v>
      </c>
      <c r="BT120" s="90">
        <f t="shared" si="136"/>
        <v>61000</v>
      </c>
      <c r="BU120" s="90">
        <f t="shared" si="83"/>
        <v>1776000</v>
      </c>
      <c r="BV120" s="90">
        <f t="shared" si="84"/>
        <v>342000</v>
      </c>
      <c r="BW120" s="90">
        <f t="shared" ca="1" si="96"/>
        <v>301062.5</v>
      </c>
      <c r="BX120" s="90">
        <f t="shared" ca="1" si="97"/>
        <v>22649178.5</v>
      </c>
      <c r="BY120" s="142">
        <f t="shared" ca="1" si="74"/>
        <v>0.51260137315797127</v>
      </c>
      <c r="BZ120" s="142">
        <f t="shared" ca="1" si="74"/>
        <v>0.13301718647323124</v>
      </c>
      <c r="CA120" s="142">
        <f t="shared" ca="1" si="74"/>
        <v>0.24488243580225216</v>
      </c>
      <c r="CB120" s="142">
        <f t="shared" ca="1" si="74"/>
        <v>2.6932544153864123E-3</v>
      </c>
      <c r="CC120" s="142">
        <f t="shared" ca="1" si="74"/>
        <v>7.8413440028299475E-2</v>
      </c>
      <c r="CD120" s="142">
        <f t="shared" ca="1" si="74"/>
        <v>1.5099885410854968E-2</v>
      </c>
      <c r="CE120" s="142">
        <f t="shared" ca="1" si="74"/>
        <v>1.3292424712004456E-2</v>
      </c>
      <c r="CG120" s="128">
        <f t="shared" si="98"/>
        <v>200</v>
      </c>
      <c r="CH120" s="90">
        <f ca="1">INDEX(角色升级!$A:$A,MATCH(玩家节奏2!$BX120,角色升级!$J:$J,1))</f>
        <v>1007</v>
      </c>
      <c r="CI120" s="90">
        <f ca="1">INDEX(角色升级!$O:$O,MATCH(玩家节奏2!$BX120,角色升级!$J:$J,1))</f>
        <v>92195.048720000006</v>
      </c>
      <c r="CJ120" s="90">
        <f>INDEX(关卡对比!$J:$J,MATCH(玩家节奏2!N120,关卡对比!$A:$A,0))</f>
        <v>86200</v>
      </c>
      <c r="CK120" s="147">
        <f t="shared" ca="1" si="99"/>
        <v>0.93497428763005264</v>
      </c>
      <c r="CL120" s="128">
        <f ca="1">INDEX(角色升级!$P:$P,MATCH(玩家节奏2!$CH120,角色升级!$A:$A,0))</f>
        <v>40800</v>
      </c>
      <c r="CM120" s="90">
        <f ca="1">INDEX(角色升级!Q:Q,MATCH(玩家节奏2!$CH120,角色升级!$A:$A,0))</f>
        <v>2.2000000000000002</v>
      </c>
      <c r="CO120" s="128">
        <f t="shared" si="100"/>
        <v>78866</v>
      </c>
      <c r="CP120" s="90">
        <f t="shared" si="101"/>
        <v>230062</v>
      </c>
      <c r="CQ120" s="90">
        <f t="shared" si="102"/>
        <v>79492</v>
      </c>
      <c r="CR120" s="90">
        <f t="shared" ca="1" si="103"/>
        <v>328127.5</v>
      </c>
      <c r="CS120" s="90">
        <f t="shared" ca="1" si="104"/>
        <v>716547.5</v>
      </c>
      <c r="CT120" s="142">
        <f t="shared" ca="1" si="105"/>
        <v>0.11006388271538174</v>
      </c>
      <c r="CU120" s="142">
        <f t="shared" ca="1" si="105"/>
        <v>0.32107013142883062</v>
      </c>
      <c r="CV120" s="142">
        <f t="shared" ca="1" si="105"/>
        <v>0.1109375163544636</v>
      </c>
      <c r="CW120" s="142">
        <f t="shared" ca="1" si="105"/>
        <v>0.45792846950132404</v>
      </c>
      <c r="CY120" s="128">
        <f t="shared" si="106"/>
        <v>39434</v>
      </c>
      <c r="CZ120" s="90">
        <f t="shared" si="107"/>
        <v>114867</v>
      </c>
      <c r="DA120" s="90">
        <f t="shared" si="108"/>
        <v>54672</v>
      </c>
      <c r="DB120" s="90">
        <f t="shared" ca="1" si="128"/>
        <v>167037</v>
      </c>
      <c r="DC120" s="90">
        <f t="shared" ca="1" si="109"/>
        <v>376010</v>
      </c>
      <c r="DD120" s="142">
        <f t="shared" ca="1" si="110"/>
        <v>0.10487487034919284</v>
      </c>
      <c r="DE120" s="142">
        <f t="shared" ca="1" si="110"/>
        <v>0.30548921571234805</v>
      </c>
      <c r="DF120" s="142">
        <f t="shared" ca="1" si="110"/>
        <v>0.14540038828754553</v>
      </c>
      <c r="DG120" s="142">
        <f t="shared" ca="1" si="110"/>
        <v>0.44423552565091357</v>
      </c>
      <c r="DI120" s="128">
        <f t="shared" si="111"/>
        <v>19113</v>
      </c>
      <c r="DJ120" s="90">
        <f t="shared" si="112"/>
        <v>56483</v>
      </c>
      <c r="DK120" s="90">
        <f t="shared" si="113"/>
        <v>21318</v>
      </c>
      <c r="DL120" s="90">
        <f t="shared" ca="1" si="114"/>
        <v>26445.25</v>
      </c>
      <c r="DM120" s="90">
        <f t="shared" ca="1" si="115"/>
        <v>123359.25</v>
      </c>
      <c r="DN120" s="142">
        <f t="shared" ca="1" si="116"/>
        <v>0.15493771241313481</v>
      </c>
      <c r="DO120" s="142">
        <f t="shared" ca="1" si="116"/>
        <v>0.45787405484388077</v>
      </c>
      <c r="DP120" s="142">
        <f t="shared" ca="1" si="116"/>
        <v>0.17281233470534232</v>
      </c>
      <c r="DQ120" s="142">
        <f t="shared" ca="1" si="116"/>
        <v>0.21437589803764209</v>
      </c>
      <c r="DS120" s="128">
        <f t="shared" ca="1" si="117"/>
        <v>716547.5</v>
      </c>
      <c r="DT120" s="90">
        <f t="shared" ca="1" si="118"/>
        <v>376010</v>
      </c>
      <c r="DU120" s="90">
        <f t="shared" ca="1" si="119"/>
        <v>123359.25</v>
      </c>
      <c r="DV120" s="90">
        <f t="shared" si="120"/>
        <v>1776</v>
      </c>
      <c r="DW120" s="90">
        <f ca="1">_xlfn.IFNA(INDEX(武器升级消耗!$H:$H,MATCH(玩家节奏2!DS120/玩家节奏2!DS$5,武器升级消耗!M:M,1)),0)</f>
        <v>73</v>
      </c>
      <c r="DX120" s="90">
        <f ca="1">_xlfn.IFNA(INDEX(武器升级消耗!$H:$H,MATCH(玩家节奏2!DT120/玩家节奏2!DT$5,武器升级消耗!N:N,1)),0)</f>
        <v>64</v>
      </c>
      <c r="DY120" s="90">
        <f ca="1">_xlfn.IFNA(INDEX(武器升级消耗!$H:$H,MATCH(玩家节奏2!DU120/玩家节奏2!DU$5,武器升级消耗!O:O,1)),0)</f>
        <v>48</v>
      </c>
      <c r="DZ120" s="90">
        <f>_xlfn.IFNA(INDEX(武器升级消耗!$H:$H,MATCH(玩家节奏2!DV120/玩家节奏2!DV$5,武器升级消耗!P:P,1)),0)</f>
        <v>30</v>
      </c>
      <c r="EA120" s="90">
        <f ca="1">_xlfn.IFNA(INDEX(武器升级消耗!$Q:$Q,MATCH(玩家节奏2!DW120,武器升级消耗!$H:$H,0))*2*EA$4,0)</f>
        <v>9.2399999999999878</v>
      </c>
      <c r="EB120" s="90">
        <f ca="1">_xlfn.IFNA(INDEX(武器升级消耗!$Q:$Q,MATCH(玩家节奏2!DX120,武器升级消耗!$H:$H,0))*2*EB$4,0)</f>
        <v>10.199999999999999</v>
      </c>
      <c r="EC120" s="90">
        <f ca="1">_xlfn.IFNA(INDEX(武器升级消耗!$Q:$Q,MATCH(玩家节奏2!DY120,武器升级消耗!$H:$H,0))*2*EC$4,0)</f>
        <v>11.440000000000001</v>
      </c>
      <c r="ED120" s="90">
        <f>_xlfn.IFNA(INDEX(武器升级消耗!$Q:$Q,MATCH(玩家节奏2!DZ120,武器升级消耗!$H:$H,0))*2*ED$4,0)</f>
        <v>10.199999999999999</v>
      </c>
    </row>
    <row r="121" spans="1:134" x14ac:dyDescent="0.25">
      <c r="A121" s="123">
        <v>115</v>
      </c>
      <c r="B121" s="123">
        <f>INDEX(关卡对比!$Y:$Y,MATCH(关卡对比!Z121,关卡对比!$AA:$AA,1))</f>
        <v>71</v>
      </c>
      <c r="C121" s="124">
        <f>INDEX(关卡对比!$Y:$Y,MATCH(关卡对比!Z121,关卡对比!$AB:$AB,1))</f>
        <v>56</v>
      </c>
      <c r="D121" s="125">
        <f t="shared" si="131"/>
        <v>453.5</v>
      </c>
      <c r="E121" s="125">
        <v>2</v>
      </c>
      <c r="F121" s="128">
        <v>16</v>
      </c>
      <c r="G121" s="90">
        <v>16</v>
      </c>
      <c r="H121" s="90">
        <v>5</v>
      </c>
      <c r="J121" s="128">
        <v>115</v>
      </c>
      <c r="K121" s="90">
        <f t="shared" si="88"/>
        <v>16</v>
      </c>
      <c r="L121" s="90">
        <f t="shared" si="89"/>
        <v>16</v>
      </c>
      <c r="M121" s="90">
        <f t="shared" si="90"/>
        <v>5</v>
      </c>
      <c r="N121" s="140">
        <f>INDEX($A:$A,MATCH(SUM($K$7:K121),$D:$D,1))</f>
        <v>200</v>
      </c>
      <c r="O121" s="140">
        <v>0</v>
      </c>
      <c r="P121" s="141">
        <v>0</v>
      </c>
      <c r="Q121" s="126">
        <f>_xlfn.MAXIFS(关卡产出!X:X,关卡产出!$A:$A,玩家节奏2!$N$6,关卡产出!$B:$B,玩家节奏2!$N121)+_xlfn.MAXIFS(关卡产出!X:X,关卡产出!$A:$A,玩家节奏2!$O$6,关卡产出!$B:$B,玩家节奏2!$O121)+_xlfn.MAXIFS(关卡产出!X:X,关卡产出!$A:$A,玩家节奏2!$P$6,关卡产出!$B:$B,玩家节奏2!$P121)</f>
        <v>38500</v>
      </c>
      <c r="R121" s="90">
        <f>_xlfn.MAXIFS(关卡产出!Y:Y,关卡产出!$A:$A,玩家节奏2!$N$6,关卡产出!$B:$B,玩家节奏2!$N121)+_xlfn.MAXIFS(关卡产出!Y:Y,关卡产出!$A:$A,玩家节奏2!$O$6,关卡产出!$B:$B,玩家节奏2!$O121)+_xlfn.MAXIFS(关卡产出!Y:Y,关卡产出!$A:$A,玩家节奏2!$P$6,关卡产出!$B:$B,玩家节奏2!$P121)</f>
        <v>11610000</v>
      </c>
      <c r="S121" s="90">
        <f>_xlfn.MAXIFS(关卡产出!Z:Z,关卡产出!$A:$A,玩家节奏2!$N$6,关卡产出!$B:$B,玩家节奏2!$N121)+_xlfn.MAXIFS(关卡产出!Z:Z,关卡产出!$A:$A,玩家节奏2!$O$6,关卡产出!$B:$B,玩家节奏2!$O121)+_xlfn.MAXIFS(关卡产出!Z:Z,关卡产出!$A:$A,玩家节奏2!$P$6,关卡产出!$B:$B,玩家节奏2!$P121)</f>
        <v>78866</v>
      </c>
      <c r="T121" s="90">
        <f>_xlfn.MAXIFS(关卡产出!AA:AA,关卡产出!$A:$A,玩家节奏2!$N$6,关卡产出!$B:$B,玩家节奏2!$N121)+_xlfn.MAXIFS(关卡产出!AA:AA,关卡产出!$A:$A,玩家节奏2!$O$6,关卡产出!$B:$B,玩家节奏2!$O121)+_xlfn.MAXIFS(关卡产出!AA:AA,关卡产出!$A:$A,玩家节奏2!$P$6,关卡产出!$B:$B,玩家节奏2!$P121)</f>
        <v>39434</v>
      </c>
      <c r="U121" s="90">
        <f>_xlfn.MAXIFS(关卡产出!AB:AB,关卡产出!$A:$A,玩家节奏2!$N$6,关卡产出!$B:$B,玩家节奏2!$N121)+_xlfn.MAXIFS(关卡产出!AB:AB,关卡产出!$A:$A,玩家节奏2!$O$6,关卡产出!$B:$B,玩家节奏2!$O121)+_xlfn.MAXIFS(关卡产出!AB:AB,关卡产出!$A:$A,玩家节奏2!$P$6,关卡产出!$B:$B,玩家节奏2!$P121)</f>
        <v>19113</v>
      </c>
      <c r="V121" s="130">
        <f>_xlfn.MAXIFS(关卡产出!AC:AC,关卡产出!$A:$A,玩家节奏2!$N$6,关卡产出!$B:$B,玩家节奏2!$N121)+_xlfn.MAXIFS(关卡产出!AC:AC,关卡产出!$A:$A,玩家节奏2!$O$6,关卡产出!$B:$B,玩家节奏2!$O121)+_xlfn.MAXIFS(关卡产出!AC:AC,关卡产出!$A:$A,玩家节奏2!$P$6,关卡产出!$B:$B,玩家节奏2!$P121)</f>
        <v>1200</v>
      </c>
      <c r="W121" s="126">
        <f>INDEX(关卡产出!C$8:C$207,MATCH(玩家节奏2!$N121,关卡产出!$B$8:$B$207,0))*$K121</f>
        <v>2528</v>
      </c>
      <c r="X121" s="126">
        <f>INDEX(关卡产出!D$8:D$207,MATCH(玩家节奏2!$N121,关卡产出!$B$8:$B$207,0))*$K121</f>
        <v>1264</v>
      </c>
      <c r="Y121" s="126">
        <f>INDEX(关卡产出!E$8:E$207,MATCH(玩家节奏2!$N121,关卡产出!$B$8:$B$207,0))*$K121</f>
        <v>624</v>
      </c>
      <c r="Z121" s="144">
        <f>INDEX(关卡产出!F$8:F$207,MATCH(玩家节奏2!$N121,关卡产出!$B$8:$B$207,0))*$K121</f>
        <v>32800</v>
      </c>
      <c r="AA121" s="126">
        <f>SUM(W$7:W121)</f>
        <v>232590</v>
      </c>
      <c r="AB121" s="126">
        <f>SUM(X$7:X121)</f>
        <v>116131</v>
      </c>
      <c r="AC121" s="126">
        <f>SUM(Y$7:Y121)</f>
        <v>57107</v>
      </c>
      <c r="AD121" s="177">
        <f>SUM(Z$7:Z121)</f>
        <v>3045530</v>
      </c>
      <c r="AE121" s="128">
        <f>INDEX(图鉴!AQ:AQ,MATCH($N121,图鉴!$S:$S,0))*34</f>
        <v>714</v>
      </c>
      <c r="AF121" s="90">
        <f>INDEX(图鉴!AR:AR,MATCH($N121,图鉴!$S:$S,0))*34</f>
        <v>510</v>
      </c>
      <c r="AG121" s="90">
        <f>INDEX(图鉴!AS:AS,MATCH($N121,图鉴!$S:$S,0))*34</f>
        <v>204</v>
      </c>
      <c r="AH121" s="129">
        <f ca="1">INDEX(图鉴!AT:AT,MATCH($N121,图鉴!$S:$S,0))*34</f>
        <v>55930</v>
      </c>
      <c r="AI121" s="128">
        <f>SUM($AE$7:AE121)</f>
        <v>80206</v>
      </c>
      <c r="AJ121" s="90">
        <f>SUM(AF$7:AF121)</f>
        <v>55182</v>
      </c>
      <c r="AK121" s="90">
        <f>SUM(AG$7:AG121)</f>
        <v>21522</v>
      </c>
      <c r="AL121" s="130">
        <f ca="1">SUM(AH$7:AH121)</f>
        <v>5602316</v>
      </c>
      <c r="AM121" s="133">
        <f>IF(M121=0,0,INDEX(关卡产出!$AU$11:$AU$15,MATCH(玩家节奏2!N121,关卡产出!$AW$11:$AW$15,1))*M121)</f>
        <v>61000</v>
      </c>
      <c r="AN121" s="126">
        <f>IF(L121=0,0,$L121*关卡产出!AU$21)</f>
        <v>16000</v>
      </c>
      <c r="AO121" s="90">
        <f>IF(M121=0,0,$L121*关卡产出!AV$21)</f>
        <v>800</v>
      </c>
      <c r="AP121" s="129">
        <f>IF(N121=0,0,$L121*关卡产出!AW$21)</f>
        <v>16</v>
      </c>
      <c r="AQ121" s="138">
        <f>SUM(AN$7:AN121)</f>
        <v>1792000</v>
      </c>
      <c r="AR121" s="126">
        <f>SUM(AO$7:AO121)</f>
        <v>89600</v>
      </c>
      <c r="AS121" s="129">
        <f>SUM(AP$7:AP121)</f>
        <v>1792</v>
      </c>
      <c r="AT121" s="128">
        <v>3000</v>
      </c>
      <c r="AU121" s="129">
        <v>600</v>
      </c>
      <c r="AV121" s="128">
        <f>SUM(AT$7:AT121)</f>
        <v>345000</v>
      </c>
      <c r="AW121" s="90">
        <f>SUM(AU$7:AU121)</f>
        <v>69000</v>
      </c>
      <c r="AY121" s="128">
        <f t="shared" si="91"/>
        <v>38500</v>
      </c>
      <c r="AZ121" s="90">
        <f t="shared" si="92"/>
        <v>89600</v>
      </c>
      <c r="BA121" s="90">
        <f t="shared" si="93"/>
        <v>69000</v>
      </c>
      <c r="BB121" s="90">
        <f t="shared" ca="1" si="127"/>
        <v>40800</v>
      </c>
      <c r="BC121" s="90">
        <f t="shared" ca="1" si="129"/>
        <v>121125</v>
      </c>
      <c r="BD121" s="90">
        <f t="shared" ca="1" si="130"/>
        <v>116775</v>
      </c>
      <c r="BE121" s="90">
        <f t="shared" ca="1" si="94"/>
        <v>237900</v>
      </c>
      <c r="BF121" s="142">
        <f t="shared" ca="1" si="132"/>
        <v>0.31785345717234265</v>
      </c>
      <c r="BG121" s="142">
        <f t="shared" ca="1" si="133"/>
        <v>0.73973168214654283</v>
      </c>
      <c r="BH121" s="142">
        <f t="shared" ca="1" si="134"/>
        <v>0.56965944272445823</v>
      </c>
      <c r="BI121" s="142">
        <f t="shared" ca="1" si="137"/>
        <v>0.33684210526315789</v>
      </c>
      <c r="BJ121" s="143"/>
      <c r="BK121" s="128">
        <f ca="1">INDEX(商城宝箱!$L:$L,MATCH(BC121,商城宝箱!$N:$N,1))</f>
        <v>12</v>
      </c>
      <c r="BL121" s="90">
        <f ca="1">_xlfn.IFNA(INDEX(商城宝箱!T:T,MATCH(玩家节奏2!$BK121,商城宝箱!$L:$L,0)),0)+($BC121-INDEX(商城宝箱!$N:$N,MATCH(玩家节奏2!$BK121,商城宝箱!$L:$L,0)))/$BK$5*INDEX(商城宝箱!E$23:E$42,MATCH(玩家节奏2!$BK121+1,商城宝箱!$C$23:$C$42,0))</f>
        <v>302812.5</v>
      </c>
      <c r="BM121" s="90">
        <f ca="1">_xlfn.IFNA(INDEX(商城宝箱!U:U,MATCH(玩家节奏2!$BK121,商城宝箱!$L:$L,0)),0)+($BC121-INDEX(商城宝箱!$N:$N,MATCH(玩家节奏2!$BK121,商城宝箱!$L:$L,0)))/$BK$5*INDEX(商城宝箱!F$23:F$42,MATCH(玩家节奏2!$BK121+1,商城宝箱!$C$23:$C$42,0))</f>
        <v>331067.5</v>
      </c>
      <c r="BN121" s="90">
        <f ca="1">_xlfn.IFNA(INDEX(商城宝箱!V:V,MATCH(玩家节奏2!$BK121,商城宝箱!$L:$L,0)),0)+($BC121-INDEX(商城宝箱!$N:$N,MATCH(玩家节奏2!$BK121,商城宝箱!$L:$L,0)))/$BK$5*INDEX(商城宝箱!G$23:G$42,MATCH(玩家节奏2!$BK121+1,商城宝箱!$C$23:$C$42,0))</f>
        <v>168437</v>
      </c>
      <c r="BO121" s="90">
        <f ca="1">_xlfn.IFNA(INDEX(商城宝箱!W:W,MATCH(玩家节奏2!$BK121,商城宝箱!$L:$L,0)),0)+($BC121-INDEX(商城宝箱!$N:$N,MATCH(玩家节奏2!$BK121,商城宝箱!$L:$L,0)))/$BK$5*INDEX(商城宝箱!H$23:H$42,MATCH(玩家节奏2!$BK121+1,商城宝箱!$C$23:$C$42,0))</f>
        <v>26690.25</v>
      </c>
      <c r="BQ121" s="128">
        <f t="shared" si="79"/>
        <v>11610000</v>
      </c>
      <c r="BR121" s="90">
        <f t="shared" si="80"/>
        <v>3045530</v>
      </c>
      <c r="BS121" s="90">
        <f t="shared" ca="1" si="135"/>
        <v>5602316</v>
      </c>
      <c r="BT121" s="90">
        <f t="shared" si="136"/>
        <v>61000</v>
      </c>
      <c r="BU121" s="90">
        <f t="shared" si="83"/>
        <v>1792000</v>
      </c>
      <c r="BV121" s="90">
        <f t="shared" si="84"/>
        <v>345000</v>
      </c>
      <c r="BW121" s="90">
        <f t="shared" ca="1" si="96"/>
        <v>302812.5</v>
      </c>
      <c r="BX121" s="90">
        <f t="shared" ca="1" si="97"/>
        <v>22758658.5</v>
      </c>
      <c r="BY121" s="142">
        <f t="shared" ca="1" si="74"/>
        <v>0.51013551611576757</v>
      </c>
      <c r="BZ121" s="142">
        <f t="shared" ca="1" si="74"/>
        <v>0.13381852010301926</v>
      </c>
      <c r="CA121" s="142">
        <f t="shared" ca="1" si="74"/>
        <v>0.24616196073243948</v>
      </c>
      <c r="CB121" s="142">
        <f t="shared" ca="1" si="74"/>
        <v>2.6802985773524391E-3</v>
      </c>
      <c r="CC121" s="142">
        <f t="shared" ca="1" si="74"/>
        <v>7.8739263124845429E-2</v>
      </c>
      <c r="CD121" s="142">
        <f t="shared" ca="1" si="74"/>
        <v>1.5159065724370353E-2</v>
      </c>
      <c r="CE121" s="142">
        <f t="shared" ca="1" si="74"/>
        <v>1.33053756222055E-2</v>
      </c>
      <c r="CG121" s="128">
        <f t="shared" si="98"/>
        <v>200</v>
      </c>
      <c r="CH121" s="90">
        <f ca="1">INDEX(角色升级!$A:$A,MATCH(玩家节奏2!$BX121,角色升级!$J:$J,1))</f>
        <v>1009</v>
      </c>
      <c r="CI121" s="90">
        <f ca="1">INDEX(角色升级!$O:$O,MATCH(玩家节奏2!$BX121,角色升级!$J:$J,1))</f>
        <v>92333.065260000018</v>
      </c>
      <c r="CJ121" s="90">
        <f>INDEX(关卡对比!$J:$J,MATCH(玩家节奏2!N121,关卡对比!$A:$A,0))</f>
        <v>86200</v>
      </c>
      <c r="CK121" s="147">
        <f t="shared" ca="1" si="99"/>
        <v>0.93357671769338579</v>
      </c>
      <c r="CL121" s="128">
        <f ca="1">INDEX(角色升级!$P:$P,MATCH(玩家节奏2!$CH121,角色升级!$A:$A,0))</f>
        <v>40800</v>
      </c>
      <c r="CM121" s="90">
        <f ca="1">INDEX(角色升级!Q:Q,MATCH(玩家节奏2!$CH121,角色升级!$A:$A,0))</f>
        <v>2.2000000000000002</v>
      </c>
      <c r="CO121" s="128">
        <f t="shared" si="100"/>
        <v>78866</v>
      </c>
      <c r="CP121" s="90">
        <f t="shared" si="101"/>
        <v>232590</v>
      </c>
      <c r="CQ121" s="90">
        <f t="shared" si="102"/>
        <v>80206</v>
      </c>
      <c r="CR121" s="90">
        <f t="shared" ca="1" si="103"/>
        <v>331067.5</v>
      </c>
      <c r="CS121" s="90">
        <f t="shared" ca="1" si="104"/>
        <v>722729.5</v>
      </c>
      <c r="CT121" s="142">
        <f t="shared" ca="1" si="105"/>
        <v>0.10912243100634469</v>
      </c>
      <c r="CU121" s="142">
        <f t="shared" ca="1" si="105"/>
        <v>0.32182164973202282</v>
      </c>
      <c r="CV121" s="142">
        <f t="shared" ca="1" si="105"/>
        <v>0.11097651334282052</v>
      </c>
      <c r="CW121" s="142">
        <f t="shared" ca="1" si="105"/>
        <v>0.45807940591881197</v>
      </c>
      <c r="CY121" s="128">
        <f t="shared" si="106"/>
        <v>39434</v>
      </c>
      <c r="CZ121" s="90">
        <f t="shared" si="107"/>
        <v>116131</v>
      </c>
      <c r="DA121" s="90">
        <f t="shared" si="108"/>
        <v>55182</v>
      </c>
      <c r="DB121" s="90">
        <f t="shared" ca="1" si="128"/>
        <v>168437</v>
      </c>
      <c r="DC121" s="90">
        <f t="shared" ca="1" si="109"/>
        <v>379184</v>
      </c>
      <c r="DD121" s="142">
        <f t="shared" ca="1" si="110"/>
        <v>0.10399700409299971</v>
      </c>
      <c r="DE121" s="142">
        <f t="shared" ca="1" si="110"/>
        <v>0.30626555972825859</v>
      </c>
      <c r="DF121" s="142">
        <f t="shared" ca="1" si="110"/>
        <v>0.14552829233300985</v>
      </c>
      <c r="DG121" s="142">
        <f t="shared" ca="1" si="110"/>
        <v>0.4442091438457319</v>
      </c>
      <c r="DI121" s="128">
        <f t="shared" si="111"/>
        <v>19113</v>
      </c>
      <c r="DJ121" s="90">
        <f t="shared" si="112"/>
        <v>57107</v>
      </c>
      <c r="DK121" s="90">
        <f t="shared" si="113"/>
        <v>21522</v>
      </c>
      <c r="DL121" s="90">
        <f t="shared" ca="1" si="114"/>
        <v>26690.25</v>
      </c>
      <c r="DM121" s="90">
        <f t="shared" ca="1" si="115"/>
        <v>124432.25</v>
      </c>
      <c r="DN121" s="142">
        <f t="shared" ca="1" si="116"/>
        <v>0.15360165873396969</v>
      </c>
      <c r="DO121" s="142">
        <f t="shared" ca="1" si="116"/>
        <v>0.45894050778636569</v>
      </c>
      <c r="DP121" s="142">
        <f t="shared" ca="1" si="116"/>
        <v>0.17296159154881471</v>
      </c>
      <c r="DQ121" s="142">
        <f t="shared" ca="1" si="116"/>
        <v>0.21449624193084993</v>
      </c>
      <c r="DS121" s="128">
        <f t="shared" ca="1" si="117"/>
        <v>722729.5</v>
      </c>
      <c r="DT121" s="90">
        <f t="shared" ca="1" si="118"/>
        <v>379184</v>
      </c>
      <c r="DU121" s="90">
        <f t="shared" ca="1" si="119"/>
        <v>124432.25</v>
      </c>
      <c r="DV121" s="90">
        <f t="shared" si="120"/>
        <v>1792</v>
      </c>
      <c r="DW121" s="90">
        <f ca="1">_xlfn.IFNA(INDEX(武器升级消耗!$H:$H,MATCH(玩家节奏2!DS121/玩家节奏2!DS$5,武器升级消耗!M:M,1)),0)</f>
        <v>74</v>
      </c>
      <c r="DX121" s="90">
        <f ca="1">_xlfn.IFNA(INDEX(武器升级消耗!$H:$H,MATCH(玩家节奏2!DT121/玩家节奏2!DT$5,武器升级消耗!N:N,1)),0)</f>
        <v>65</v>
      </c>
      <c r="DY121" s="90">
        <f ca="1">_xlfn.IFNA(INDEX(武器升级消耗!$H:$H,MATCH(玩家节奏2!DU121/玩家节奏2!DU$5,武器升级消耗!O:O,1)),0)</f>
        <v>49</v>
      </c>
      <c r="DZ121" s="90">
        <f>_xlfn.IFNA(INDEX(武器升级消耗!$H:$H,MATCH(玩家节奏2!DV121/玩家节奏2!DV$5,武器升级消耗!P:P,1)),0)</f>
        <v>30</v>
      </c>
      <c r="EA121" s="90">
        <f ca="1">_xlfn.IFNA(INDEX(武器升级消耗!$Q:$Q,MATCH(玩家节奏2!DW121,武器升级消耗!$H:$H,0))*2*EA$4,0)</f>
        <v>9.359999999999987</v>
      </c>
      <c r="EB121" s="90">
        <f ca="1">_xlfn.IFNA(INDEX(武器升级消耗!$Q:$Q,MATCH(玩家节奏2!DX121,武器升级消耗!$H:$H,0))*2*EB$4,0)</f>
        <v>10.350000000000001</v>
      </c>
      <c r="EC121" s="90">
        <f ca="1">_xlfn.IFNA(INDEX(武器升级消耗!$Q:$Q,MATCH(玩家节奏2!DY121,武器升级消耗!$H:$H,0))*2*EC$4,0)</f>
        <v>11.66</v>
      </c>
      <c r="ED121" s="90">
        <f>_xlfn.IFNA(INDEX(武器升级消耗!$Q:$Q,MATCH(玩家节奏2!DZ121,武器升级消耗!$H:$H,0))*2*ED$4,0)</f>
        <v>10.199999999999999</v>
      </c>
    </row>
    <row r="122" spans="1:134" x14ac:dyDescent="0.25">
      <c r="A122" s="123">
        <v>116</v>
      </c>
      <c r="B122" s="123">
        <f>INDEX(关卡对比!$Y:$Y,MATCH(关卡对比!Z122,关卡对比!$AA:$AA,1))</f>
        <v>71</v>
      </c>
      <c r="C122" s="124">
        <f>INDEX(关卡对比!$Y:$Y,MATCH(关卡对比!Z122,关卡对比!$AB:$AB,1))</f>
        <v>57</v>
      </c>
      <c r="D122" s="125">
        <f t="shared" si="131"/>
        <v>457.5</v>
      </c>
      <c r="E122" s="125">
        <v>2</v>
      </c>
      <c r="F122" s="128">
        <v>16</v>
      </c>
      <c r="G122" s="90">
        <v>16</v>
      </c>
      <c r="H122" s="90">
        <v>5</v>
      </c>
      <c r="J122" s="128">
        <v>116</v>
      </c>
      <c r="K122" s="90">
        <f t="shared" si="88"/>
        <v>16</v>
      </c>
      <c r="L122" s="90">
        <f t="shared" si="89"/>
        <v>16</v>
      </c>
      <c r="M122" s="90">
        <f t="shared" si="90"/>
        <v>5</v>
      </c>
      <c r="N122" s="140">
        <f>INDEX($A:$A,MATCH(SUM($K$7:K122),$D:$D,1))</f>
        <v>200</v>
      </c>
      <c r="O122" s="140">
        <v>0</v>
      </c>
      <c r="P122" s="141">
        <v>0</v>
      </c>
      <c r="Q122" s="126">
        <f>_xlfn.MAXIFS(关卡产出!X:X,关卡产出!$A:$A,玩家节奏2!$N$6,关卡产出!$B:$B,玩家节奏2!$N122)+_xlfn.MAXIFS(关卡产出!X:X,关卡产出!$A:$A,玩家节奏2!$O$6,关卡产出!$B:$B,玩家节奏2!$O122)+_xlfn.MAXIFS(关卡产出!X:X,关卡产出!$A:$A,玩家节奏2!$P$6,关卡产出!$B:$B,玩家节奏2!$P122)</f>
        <v>38500</v>
      </c>
      <c r="R122" s="90">
        <f>_xlfn.MAXIFS(关卡产出!Y:Y,关卡产出!$A:$A,玩家节奏2!$N$6,关卡产出!$B:$B,玩家节奏2!$N122)+_xlfn.MAXIFS(关卡产出!Y:Y,关卡产出!$A:$A,玩家节奏2!$O$6,关卡产出!$B:$B,玩家节奏2!$O122)+_xlfn.MAXIFS(关卡产出!Y:Y,关卡产出!$A:$A,玩家节奏2!$P$6,关卡产出!$B:$B,玩家节奏2!$P122)</f>
        <v>11610000</v>
      </c>
      <c r="S122" s="90">
        <f>_xlfn.MAXIFS(关卡产出!Z:Z,关卡产出!$A:$A,玩家节奏2!$N$6,关卡产出!$B:$B,玩家节奏2!$N122)+_xlfn.MAXIFS(关卡产出!Z:Z,关卡产出!$A:$A,玩家节奏2!$O$6,关卡产出!$B:$B,玩家节奏2!$O122)+_xlfn.MAXIFS(关卡产出!Z:Z,关卡产出!$A:$A,玩家节奏2!$P$6,关卡产出!$B:$B,玩家节奏2!$P122)</f>
        <v>78866</v>
      </c>
      <c r="T122" s="90">
        <f>_xlfn.MAXIFS(关卡产出!AA:AA,关卡产出!$A:$A,玩家节奏2!$N$6,关卡产出!$B:$B,玩家节奏2!$N122)+_xlfn.MAXIFS(关卡产出!AA:AA,关卡产出!$A:$A,玩家节奏2!$O$6,关卡产出!$B:$B,玩家节奏2!$O122)+_xlfn.MAXIFS(关卡产出!AA:AA,关卡产出!$A:$A,玩家节奏2!$P$6,关卡产出!$B:$B,玩家节奏2!$P122)</f>
        <v>39434</v>
      </c>
      <c r="U122" s="90">
        <f>_xlfn.MAXIFS(关卡产出!AB:AB,关卡产出!$A:$A,玩家节奏2!$N$6,关卡产出!$B:$B,玩家节奏2!$N122)+_xlfn.MAXIFS(关卡产出!AB:AB,关卡产出!$A:$A,玩家节奏2!$O$6,关卡产出!$B:$B,玩家节奏2!$O122)+_xlfn.MAXIFS(关卡产出!AB:AB,关卡产出!$A:$A,玩家节奏2!$P$6,关卡产出!$B:$B,玩家节奏2!$P122)</f>
        <v>19113</v>
      </c>
      <c r="V122" s="130">
        <f>_xlfn.MAXIFS(关卡产出!AC:AC,关卡产出!$A:$A,玩家节奏2!$N$6,关卡产出!$B:$B,玩家节奏2!$N122)+_xlfn.MAXIFS(关卡产出!AC:AC,关卡产出!$A:$A,玩家节奏2!$O$6,关卡产出!$B:$B,玩家节奏2!$O122)+_xlfn.MAXIFS(关卡产出!AC:AC,关卡产出!$A:$A,玩家节奏2!$P$6,关卡产出!$B:$B,玩家节奏2!$P122)</f>
        <v>1200</v>
      </c>
      <c r="W122" s="126">
        <f>INDEX(关卡产出!C$8:C$207,MATCH(玩家节奏2!$N122,关卡产出!$B$8:$B$207,0))*$K122</f>
        <v>2528</v>
      </c>
      <c r="X122" s="126">
        <f>INDEX(关卡产出!D$8:D$207,MATCH(玩家节奏2!$N122,关卡产出!$B$8:$B$207,0))*$K122</f>
        <v>1264</v>
      </c>
      <c r="Y122" s="126">
        <f>INDEX(关卡产出!E$8:E$207,MATCH(玩家节奏2!$N122,关卡产出!$B$8:$B$207,0))*$K122</f>
        <v>624</v>
      </c>
      <c r="Z122" s="144">
        <f>INDEX(关卡产出!F$8:F$207,MATCH(玩家节奏2!$N122,关卡产出!$B$8:$B$207,0))*$K122</f>
        <v>32800</v>
      </c>
      <c r="AA122" s="126">
        <f>SUM(W$7:W122)</f>
        <v>235118</v>
      </c>
      <c r="AB122" s="126">
        <f>SUM(X$7:X122)</f>
        <v>117395</v>
      </c>
      <c r="AC122" s="126">
        <f>SUM(Y$7:Y122)</f>
        <v>57731</v>
      </c>
      <c r="AD122" s="177">
        <f>SUM(Z$7:Z122)</f>
        <v>3078330</v>
      </c>
      <c r="AE122" s="128">
        <f>INDEX(图鉴!AQ:AQ,MATCH($N122,图鉴!$S:$S,0))*34</f>
        <v>714</v>
      </c>
      <c r="AF122" s="90">
        <f>INDEX(图鉴!AR:AR,MATCH($N122,图鉴!$S:$S,0))*34</f>
        <v>510</v>
      </c>
      <c r="AG122" s="90">
        <f>INDEX(图鉴!AS:AS,MATCH($N122,图鉴!$S:$S,0))*34</f>
        <v>204</v>
      </c>
      <c r="AH122" s="129">
        <f ca="1">INDEX(图鉴!AT:AT,MATCH($N122,图鉴!$S:$S,0))*34</f>
        <v>55930</v>
      </c>
      <c r="AI122" s="128">
        <f>SUM($AE$7:AE122)</f>
        <v>80920</v>
      </c>
      <c r="AJ122" s="90">
        <f>SUM(AF$7:AF122)</f>
        <v>55692</v>
      </c>
      <c r="AK122" s="90">
        <f>SUM(AG$7:AG122)</f>
        <v>21726</v>
      </c>
      <c r="AL122" s="130">
        <f ca="1">SUM(AH$7:AH122)</f>
        <v>5658246</v>
      </c>
      <c r="AM122" s="133">
        <f>IF(M122=0,0,INDEX(关卡产出!$AU$11:$AU$15,MATCH(玩家节奏2!N122,关卡产出!$AW$11:$AW$15,1))*M122)</f>
        <v>61000</v>
      </c>
      <c r="AN122" s="126">
        <f>IF(L122=0,0,$L122*关卡产出!AU$21)</f>
        <v>16000</v>
      </c>
      <c r="AO122" s="90">
        <f>IF(M122=0,0,$L122*关卡产出!AV$21)</f>
        <v>800</v>
      </c>
      <c r="AP122" s="129">
        <f>IF(N122=0,0,$L122*关卡产出!AW$21)</f>
        <v>16</v>
      </c>
      <c r="AQ122" s="138">
        <f>SUM(AN$7:AN122)</f>
        <v>1808000</v>
      </c>
      <c r="AR122" s="126">
        <f>SUM(AO$7:AO122)</f>
        <v>90400</v>
      </c>
      <c r="AS122" s="129">
        <f>SUM(AP$7:AP122)</f>
        <v>1808</v>
      </c>
      <c r="AT122" s="128">
        <v>3000</v>
      </c>
      <c r="AU122" s="129">
        <v>600</v>
      </c>
      <c r="AV122" s="128">
        <f>SUM(AT$7:AT122)</f>
        <v>348000</v>
      </c>
      <c r="AW122" s="90">
        <f>SUM(AU$7:AU122)</f>
        <v>69600</v>
      </c>
      <c r="AY122" s="128">
        <f t="shared" si="91"/>
        <v>38500</v>
      </c>
      <c r="AZ122" s="90">
        <f t="shared" si="92"/>
        <v>90400</v>
      </c>
      <c r="BA122" s="90">
        <f t="shared" si="93"/>
        <v>69600</v>
      </c>
      <c r="BB122" s="90">
        <f t="shared" ca="1" si="127"/>
        <v>40800</v>
      </c>
      <c r="BC122" s="90">
        <f t="shared" ca="1" si="129"/>
        <v>121825</v>
      </c>
      <c r="BD122" s="90">
        <f t="shared" ca="1" si="130"/>
        <v>117475</v>
      </c>
      <c r="BE122" s="90">
        <f t="shared" ca="1" si="94"/>
        <v>239300</v>
      </c>
      <c r="BF122" s="142">
        <f t="shared" ca="1" si="132"/>
        <v>0.3160270880361174</v>
      </c>
      <c r="BG122" s="142">
        <f t="shared" ca="1" si="133"/>
        <v>0.74204801970038992</v>
      </c>
      <c r="BH122" s="142">
        <f t="shared" ca="1" si="134"/>
        <v>0.57131130720295509</v>
      </c>
      <c r="BI122" s="142">
        <f t="shared" ca="1" si="137"/>
        <v>0.33490662836035295</v>
      </c>
      <c r="BJ122" s="143"/>
      <c r="BK122" s="128">
        <f ca="1">INDEX(商城宝箱!$L:$L,MATCH(BC122,商城宝箱!$N:$N,1))</f>
        <v>12</v>
      </c>
      <c r="BL122" s="90">
        <f ca="1">_xlfn.IFNA(INDEX(商城宝箱!T:T,MATCH(玩家节奏2!$BK122,商城宝箱!$L:$L,0)),0)+($BC122-INDEX(商城宝箱!$N:$N,MATCH(玩家节奏2!$BK122,商城宝箱!$L:$L,0)))/$BK$5*INDEX(商城宝箱!E$23:E$42,MATCH(玩家节奏2!$BK122+1,商城宝箱!$C$23:$C$42,0))</f>
        <v>304562.5</v>
      </c>
      <c r="BM122" s="90">
        <f ca="1">_xlfn.IFNA(INDEX(商城宝箱!U:U,MATCH(玩家节奏2!$BK122,商城宝箱!$L:$L,0)),0)+($BC122-INDEX(商城宝箱!$N:$N,MATCH(玩家节奏2!$BK122,商城宝箱!$L:$L,0)))/$BK$5*INDEX(商城宝箱!F$23:F$42,MATCH(玩家节奏2!$BK122+1,商城宝箱!$C$23:$C$42,0))</f>
        <v>334007.5</v>
      </c>
      <c r="BN122" s="90">
        <f ca="1">_xlfn.IFNA(INDEX(商城宝箱!V:V,MATCH(玩家节奏2!$BK122,商城宝箱!$L:$L,0)),0)+($BC122-INDEX(商城宝箱!$N:$N,MATCH(玩家节奏2!$BK122,商城宝箱!$L:$L,0)))/$BK$5*INDEX(商城宝箱!G$23:G$42,MATCH(玩家节奏2!$BK122+1,商城宝箱!$C$23:$C$42,0))</f>
        <v>169837</v>
      </c>
      <c r="BO122" s="90">
        <f ca="1">_xlfn.IFNA(INDEX(商城宝箱!W:W,MATCH(玩家节奏2!$BK122,商城宝箱!$L:$L,0)),0)+($BC122-INDEX(商城宝箱!$N:$N,MATCH(玩家节奏2!$BK122,商城宝箱!$L:$L,0)))/$BK$5*INDEX(商城宝箱!H$23:H$42,MATCH(玩家节奏2!$BK122+1,商城宝箱!$C$23:$C$42,0))</f>
        <v>26935.25</v>
      </c>
      <c r="BQ122" s="128">
        <f t="shared" si="79"/>
        <v>11610000</v>
      </c>
      <c r="BR122" s="90">
        <f t="shared" si="80"/>
        <v>3078330</v>
      </c>
      <c r="BS122" s="90">
        <f t="shared" ca="1" si="135"/>
        <v>5658246</v>
      </c>
      <c r="BT122" s="90">
        <f t="shared" si="136"/>
        <v>61000</v>
      </c>
      <c r="BU122" s="90">
        <f t="shared" si="83"/>
        <v>1808000</v>
      </c>
      <c r="BV122" s="90">
        <f t="shared" si="84"/>
        <v>348000</v>
      </c>
      <c r="BW122" s="90">
        <f t="shared" ca="1" si="96"/>
        <v>304562.5</v>
      </c>
      <c r="BX122" s="90">
        <f t="shared" ca="1" si="97"/>
        <v>22868138.5</v>
      </c>
      <c r="BY122" s="142">
        <f t="shared" ref="BY122:CE158" ca="1" si="138">BQ122/$BX122</f>
        <v>0.50769326939313408</v>
      </c>
      <c r="BZ122" s="142">
        <f t="shared" ca="1" si="138"/>
        <v>0.13461218104831751</v>
      </c>
      <c r="CA122" s="142">
        <f t="shared" ca="1" si="138"/>
        <v>0.24742923434716824</v>
      </c>
      <c r="CB122" s="142">
        <f t="shared" ca="1" si="138"/>
        <v>2.6674667900931245E-3</v>
      </c>
      <c r="CC122" s="142">
        <f t="shared" ca="1" si="138"/>
        <v>7.906196649980933E-2</v>
      </c>
      <c r="CD122" s="142">
        <f t="shared" ca="1" si="138"/>
        <v>1.5217679392662416E-2</v>
      </c>
      <c r="CE122" s="142">
        <f t="shared" ca="1" si="138"/>
        <v>1.3318202528815364E-2</v>
      </c>
      <c r="CG122" s="128">
        <f t="shared" si="98"/>
        <v>200</v>
      </c>
      <c r="CH122" s="90">
        <f ca="1">INDEX(角色升级!$A:$A,MATCH(玩家节奏2!$BX122,角色升级!$J:$J,1))</f>
        <v>1012</v>
      </c>
      <c r="CI122" s="90">
        <f ca="1">INDEX(角色升级!$O:$O,MATCH(玩家节奏2!$BX122,角色升级!$J:$J,1))</f>
        <v>92481.42267</v>
      </c>
      <c r="CJ122" s="90">
        <f>INDEX(关卡对比!$J:$J,MATCH(玩家节奏2!N122,关卡对比!$A:$A,0))</f>
        <v>86200</v>
      </c>
      <c r="CK122" s="147">
        <f t="shared" ca="1" si="99"/>
        <v>0.93207908692739405</v>
      </c>
      <c r="CL122" s="128">
        <f ca="1">INDEX(角色升级!$P:$P,MATCH(玩家节奏2!$CH122,角色升级!$A:$A,0))</f>
        <v>40800</v>
      </c>
      <c r="CM122" s="90">
        <f ca="1">INDEX(角色升级!Q:Q,MATCH(玩家节奏2!$CH122,角色升级!$A:$A,0))</f>
        <v>2.2000000000000002</v>
      </c>
      <c r="CO122" s="128">
        <f t="shared" si="100"/>
        <v>78866</v>
      </c>
      <c r="CP122" s="90">
        <f t="shared" si="101"/>
        <v>235118</v>
      </c>
      <c r="CQ122" s="90">
        <f t="shared" si="102"/>
        <v>80920</v>
      </c>
      <c r="CR122" s="90">
        <f t="shared" ca="1" si="103"/>
        <v>334007.5</v>
      </c>
      <c r="CS122" s="90">
        <f t="shared" ca="1" si="104"/>
        <v>728911.5</v>
      </c>
      <c r="CT122" s="142">
        <f t="shared" ca="1" si="105"/>
        <v>0.10819694846356519</v>
      </c>
      <c r="CU122" s="142">
        <f t="shared" ca="1" si="105"/>
        <v>0.32256042057231915</v>
      </c>
      <c r="CV122" s="142">
        <f t="shared" ca="1" si="105"/>
        <v>0.11101484885339304</v>
      </c>
      <c r="CW122" s="142">
        <f t="shared" ca="1" si="105"/>
        <v>0.45822778211072263</v>
      </c>
      <c r="CY122" s="128">
        <f t="shared" si="106"/>
        <v>39434</v>
      </c>
      <c r="CZ122" s="90">
        <f t="shared" si="107"/>
        <v>117395</v>
      </c>
      <c r="DA122" s="90">
        <f t="shared" si="108"/>
        <v>55692</v>
      </c>
      <c r="DB122" s="90">
        <f t="shared" ca="1" si="128"/>
        <v>169837</v>
      </c>
      <c r="DC122" s="90">
        <f t="shared" ca="1" si="109"/>
        <v>382358</v>
      </c>
      <c r="DD122" s="142">
        <f t="shared" ca="1" si="110"/>
        <v>0.10313371238472845</v>
      </c>
      <c r="DE122" s="142">
        <f t="shared" ca="1" si="110"/>
        <v>0.3070290146930364</v>
      </c>
      <c r="DF122" s="142">
        <f t="shared" ca="1" si="110"/>
        <v>0.14565407288457413</v>
      </c>
      <c r="DG122" s="142">
        <f t="shared" ca="1" si="110"/>
        <v>0.44418320003766104</v>
      </c>
      <c r="DI122" s="128">
        <f t="shared" si="111"/>
        <v>19113</v>
      </c>
      <c r="DJ122" s="90">
        <f t="shared" si="112"/>
        <v>57731</v>
      </c>
      <c r="DK122" s="90">
        <f t="shared" si="113"/>
        <v>21726</v>
      </c>
      <c r="DL122" s="90">
        <f t="shared" ca="1" si="114"/>
        <v>26935.25</v>
      </c>
      <c r="DM122" s="90">
        <f t="shared" ca="1" si="115"/>
        <v>125505.25</v>
      </c>
      <c r="DN122" s="142">
        <f t="shared" ca="1" si="116"/>
        <v>0.15228845008475742</v>
      </c>
      <c r="DO122" s="142">
        <f t="shared" ca="1" si="116"/>
        <v>0.45998872557124104</v>
      </c>
      <c r="DP122" s="142">
        <f t="shared" ca="1" si="116"/>
        <v>0.17310829626649085</v>
      </c>
      <c r="DQ122" s="142">
        <f t="shared" ca="1" si="116"/>
        <v>0.21461452807751069</v>
      </c>
      <c r="DS122" s="128">
        <f t="shared" ca="1" si="117"/>
        <v>728911.5</v>
      </c>
      <c r="DT122" s="90">
        <f t="shared" ca="1" si="118"/>
        <v>382358</v>
      </c>
      <c r="DU122" s="90">
        <f t="shared" ca="1" si="119"/>
        <v>125505.25</v>
      </c>
      <c r="DV122" s="90">
        <f t="shared" si="120"/>
        <v>1808</v>
      </c>
      <c r="DW122" s="90">
        <f ca="1">_xlfn.IFNA(INDEX(武器升级消耗!$H:$H,MATCH(玩家节奏2!DS122/玩家节奏2!DS$5,武器升级消耗!M:M,1)),0)</f>
        <v>74</v>
      </c>
      <c r="DX122" s="90">
        <f ca="1">_xlfn.IFNA(INDEX(武器升级消耗!$H:$H,MATCH(玩家节奏2!DT122/玩家节奏2!DT$5,武器升级消耗!N:N,1)),0)</f>
        <v>65</v>
      </c>
      <c r="DY122" s="90">
        <f ca="1">_xlfn.IFNA(INDEX(武器升级消耗!$H:$H,MATCH(玩家节奏2!DU122/玩家节奏2!DU$5,武器升级消耗!O:O,1)),0)</f>
        <v>49</v>
      </c>
      <c r="DZ122" s="90">
        <f>_xlfn.IFNA(INDEX(武器升级消耗!$H:$H,MATCH(玩家节奏2!DV122/玩家节奏2!DV$5,武器升级消耗!P:P,1)),0)</f>
        <v>31</v>
      </c>
      <c r="EA122" s="90">
        <f ca="1">_xlfn.IFNA(INDEX(武器升级消耗!$Q:$Q,MATCH(玩家节奏2!DW122,武器升级消耗!$H:$H,0))*2*EA$4,0)</f>
        <v>9.359999999999987</v>
      </c>
      <c r="EB122" s="90">
        <f ca="1">_xlfn.IFNA(INDEX(武器升级消耗!$Q:$Q,MATCH(玩家节奏2!DX122,武器升级消耗!$H:$H,0))*2*EB$4,0)</f>
        <v>10.350000000000001</v>
      </c>
      <c r="EC122" s="90">
        <f ca="1">_xlfn.IFNA(INDEX(武器升级消耗!$Q:$Q,MATCH(玩家节奏2!DY122,武器升级消耗!$H:$H,0))*2*EC$4,0)</f>
        <v>11.66</v>
      </c>
      <c r="ED122" s="90">
        <f>_xlfn.IFNA(INDEX(武器升级消耗!$Q:$Q,MATCH(玩家节奏2!DZ122,武器升级消耗!$H:$H,0))*2*ED$4,0)</f>
        <v>10.5</v>
      </c>
    </row>
    <row r="123" spans="1:134" x14ac:dyDescent="0.25">
      <c r="A123" s="123">
        <v>117</v>
      </c>
      <c r="B123" s="123">
        <f>INDEX(关卡对比!$Y:$Y,MATCH(关卡对比!Z123,关卡对比!$AA:$AA,1))</f>
        <v>72</v>
      </c>
      <c r="C123" s="124">
        <f>INDEX(关卡对比!$Y:$Y,MATCH(关卡对比!Z123,关卡对比!$AB:$AB,1))</f>
        <v>57</v>
      </c>
      <c r="D123" s="125">
        <f t="shared" si="131"/>
        <v>461.5</v>
      </c>
      <c r="E123" s="125">
        <v>2</v>
      </c>
      <c r="F123" s="128">
        <v>16</v>
      </c>
      <c r="G123" s="90">
        <v>16</v>
      </c>
      <c r="H123" s="90">
        <v>5</v>
      </c>
      <c r="J123" s="128">
        <v>117</v>
      </c>
      <c r="K123" s="90">
        <f t="shared" si="88"/>
        <v>16</v>
      </c>
      <c r="L123" s="90">
        <f t="shared" si="89"/>
        <v>16</v>
      </c>
      <c r="M123" s="90">
        <f t="shared" si="90"/>
        <v>5</v>
      </c>
      <c r="N123" s="140">
        <f>INDEX($A:$A,MATCH(SUM($K$7:K123),$D:$D,1))</f>
        <v>200</v>
      </c>
      <c r="O123" s="140">
        <v>0</v>
      </c>
      <c r="P123" s="141">
        <v>0</v>
      </c>
      <c r="Q123" s="126">
        <f>_xlfn.MAXIFS(关卡产出!X:X,关卡产出!$A:$A,玩家节奏2!$N$6,关卡产出!$B:$B,玩家节奏2!$N123)+_xlfn.MAXIFS(关卡产出!X:X,关卡产出!$A:$A,玩家节奏2!$O$6,关卡产出!$B:$B,玩家节奏2!$O123)+_xlfn.MAXIFS(关卡产出!X:X,关卡产出!$A:$A,玩家节奏2!$P$6,关卡产出!$B:$B,玩家节奏2!$P123)</f>
        <v>38500</v>
      </c>
      <c r="R123" s="90">
        <f>_xlfn.MAXIFS(关卡产出!Y:Y,关卡产出!$A:$A,玩家节奏2!$N$6,关卡产出!$B:$B,玩家节奏2!$N123)+_xlfn.MAXIFS(关卡产出!Y:Y,关卡产出!$A:$A,玩家节奏2!$O$6,关卡产出!$B:$B,玩家节奏2!$O123)+_xlfn.MAXIFS(关卡产出!Y:Y,关卡产出!$A:$A,玩家节奏2!$P$6,关卡产出!$B:$B,玩家节奏2!$P123)</f>
        <v>11610000</v>
      </c>
      <c r="S123" s="90">
        <f>_xlfn.MAXIFS(关卡产出!Z:Z,关卡产出!$A:$A,玩家节奏2!$N$6,关卡产出!$B:$B,玩家节奏2!$N123)+_xlfn.MAXIFS(关卡产出!Z:Z,关卡产出!$A:$A,玩家节奏2!$O$6,关卡产出!$B:$B,玩家节奏2!$O123)+_xlfn.MAXIFS(关卡产出!Z:Z,关卡产出!$A:$A,玩家节奏2!$P$6,关卡产出!$B:$B,玩家节奏2!$P123)</f>
        <v>78866</v>
      </c>
      <c r="T123" s="90">
        <f>_xlfn.MAXIFS(关卡产出!AA:AA,关卡产出!$A:$A,玩家节奏2!$N$6,关卡产出!$B:$B,玩家节奏2!$N123)+_xlfn.MAXIFS(关卡产出!AA:AA,关卡产出!$A:$A,玩家节奏2!$O$6,关卡产出!$B:$B,玩家节奏2!$O123)+_xlfn.MAXIFS(关卡产出!AA:AA,关卡产出!$A:$A,玩家节奏2!$P$6,关卡产出!$B:$B,玩家节奏2!$P123)</f>
        <v>39434</v>
      </c>
      <c r="U123" s="90">
        <f>_xlfn.MAXIFS(关卡产出!AB:AB,关卡产出!$A:$A,玩家节奏2!$N$6,关卡产出!$B:$B,玩家节奏2!$N123)+_xlfn.MAXIFS(关卡产出!AB:AB,关卡产出!$A:$A,玩家节奏2!$O$6,关卡产出!$B:$B,玩家节奏2!$O123)+_xlfn.MAXIFS(关卡产出!AB:AB,关卡产出!$A:$A,玩家节奏2!$P$6,关卡产出!$B:$B,玩家节奏2!$P123)</f>
        <v>19113</v>
      </c>
      <c r="V123" s="130">
        <f>_xlfn.MAXIFS(关卡产出!AC:AC,关卡产出!$A:$A,玩家节奏2!$N$6,关卡产出!$B:$B,玩家节奏2!$N123)+_xlfn.MAXIFS(关卡产出!AC:AC,关卡产出!$A:$A,玩家节奏2!$O$6,关卡产出!$B:$B,玩家节奏2!$O123)+_xlfn.MAXIFS(关卡产出!AC:AC,关卡产出!$A:$A,玩家节奏2!$P$6,关卡产出!$B:$B,玩家节奏2!$P123)</f>
        <v>1200</v>
      </c>
      <c r="W123" s="126">
        <f>INDEX(关卡产出!C$8:C$207,MATCH(玩家节奏2!$N123,关卡产出!$B$8:$B$207,0))*$K123</f>
        <v>2528</v>
      </c>
      <c r="X123" s="126">
        <f>INDEX(关卡产出!D$8:D$207,MATCH(玩家节奏2!$N123,关卡产出!$B$8:$B$207,0))*$K123</f>
        <v>1264</v>
      </c>
      <c r="Y123" s="126">
        <f>INDEX(关卡产出!E$8:E$207,MATCH(玩家节奏2!$N123,关卡产出!$B$8:$B$207,0))*$K123</f>
        <v>624</v>
      </c>
      <c r="Z123" s="144">
        <f>INDEX(关卡产出!F$8:F$207,MATCH(玩家节奏2!$N123,关卡产出!$B$8:$B$207,0))*$K123</f>
        <v>32800</v>
      </c>
      <c r="AA123" s="126">
        <f>SUM(W$7:W123)</f>
        <v>237646</v>
      </c>
      <c r="AB123" s="126">
        <f>SUM(X$7:X123)</f>
        <v>118659</v>
      </c>
      <c r="AC123" s="126">
        <f>SUM(Y$7:Y123)</f>
        <v>58355</v>
      </c>
      <c r="AD123" s="177">
        <f>SUM(Z$7:Z123)</f>
        <v>3111130</v>
      </c>
      <c r="AE123" s="128">
        <f>INDEX(图鉴!AQ:AQ,MATCH($N123,图鉴!$S:$S,0))*34</f>
        <v>714</v>
      </c>
      <c r="AF123" s="90">
        <f>INDEX(图鉴!AR:AR,MATCH($N123,图鉴!$S:$S,0))*34</f>
        <v>510</v>
      </c>
      <c r="AG123" s="90">
        <f>INDEX(图鉴!AS:AS,MATCH($N123,图鉴!$S:$S,0))*34</f>
        <v>204</v>
      </c>
      <c r="AH123" s="129">
        <f ca="1">INDEX(图鉴!AT:AT,MATCH($N123,图鉴!$S:$S,0))*34</f>
        <v>55930</v>
      </c>
      <c r="AI123" s="128">
        <f>SUM($AE$7:AE123)</f>
        <v>81634</v>
      </c>
      <c r="AJ123" s="90">
        <f>SUM(AF$7:AF123)</f>
        <v>56202</v>
      </c>
      <c r="AK123" s="90">
        <f>SUM(AG$7:AG123)</f>
        <v>21930</v>
      </c>
      <c r="AL123" s="130">
        <f ca="1">SUM(AH$7:AH123)</f>
        <v>5714176</v>
      </c>
      <c r="AM123" s="133">
        <f>IF(M123=0,0,INDEX(关卡产出!$AU$11:$AU$15,MATCH(玩家节奏2!N123,关卡产出!$AW$11:$AW$15,1))*M123)</f>
        <v>61000</v>
      </c>
      <c r="AN123" s="126">
        <f>IF(L123=0,0,$L123*关卡产出!AU$21)</f>
        <v>16000</v>
      </c>
      <c r="AO123" s="90">
        <f>IF(M123=0,0,$L123*关卡产出!AV$21)</f>
        <v>800</v>
      </c>
      <c r="AP123" s="129">
        <f>IF(N123=0,0,$L123*关卡产出!AW$21)</f>
        <v>16</v>
      </c>
      <c r="AQ123" s="138">
        <f>SUM(AN$7:AN123)</f>
        <v>1824000</v>
      </c>
      <c r="AR123" s="126">
        <f>SUM(AO$7:AO123)</f>
        <v>91200</v>
      </c>
      <c r="AS123" s="129">
        <f>SUM(AP$7:AP123)</f>
        <v>1824</v>
      </c>
      <c r="AT123" s="128">
        <v>3000</v>
      </c>
      <c r="AU123" s="129">
        <v>600</v>
      </c>
      <c r="AV123" s="128">
        <f>SUM(AT$7:AT123)</f>
        <v>351000</v>
      </c>
      <c r="AW123" s="90">
        <f>SUM(AU$7:AU123)</f>
        <v>70200</v>
      </c>
      <c r="AY123" s="128">
        <f t="shared" si="91"/>
        <v>38500</v>
      </c>
      <c r="AZ123" s="90">
        <f t="shared" si="92"/>
        <v>91200</v>
      </c>
      <c r="BA123" s="90">
        <f t="shared" si="93"/>
        <v>70200</v>
      </c>
      <c r="BB123" s="90">
        <f t="shared" ca="1" si="127"/>
        <v>40800</v>
      </c>
      <c r="BC123" s="90">
        <f t="shared" ca="1" si="129"/>
        <v>122525</v>
      </c>
      <c r="BD123" s="90">
        <f t="shared" ca="1" si="130"/>
        <v>118175</v>
      </c>
      <c r="BE123" s="90">
        <f t="shared" ca="1" si="94"/>
        <v>240700</v>
      </c>
      <c r="BF123" s="142">
        <f t="shared" ca="1" si="132"/>
        <v>0.31422158743113648</v>
      </c>
      <c r="BG123" s="142">
        <f t="shared" ca="1" si="133"/>
        <v>0.74433789022648444</v>
      </c>
      <c r="BH123" s="142">
        <f t="shared" ca="1" si="134"/>
        <v>0.57294429708222816</v>
      </c>
      <c r="BI123" s="142">
        <f t="shared" ca="1" si="137"/>
        <v>0.33299326668026935</v>
      </c>
      <c r="BJ123" s="143"/>
      <c r="BK123" s="128">
        <f ca="1">INDEX(商城宝箱!$L:$L,MATCH(BC123,商城宝箱!$N:$N,1))</f>
        <v>12</v>
      </c>
      <c r="BL123" s="90">
        <f ca="1">_xlfn.IFNA(INDEX(商城宝箱!T:T,MATCH(玩家节奏2!$BK123,商城宝箱!$L:$L,0)),0)+($BC123-INDEX(商城宝箱!$N:$N,MATCH(玩家节奏2!$BK123,商城宝箱!$L:$L,0)))/$BK$5*INDEX(商城宝箱!E$23:E$42,MATCH(玩家节奏2!$BK123+1,商城宝箱!$C$23:$C$42,0))</f>
        <v>306312.5</v>
      </c>
      <c r="BM123" s="90">
        <f ca="1">_xlfn.IFNA(INDEX(商城宝箱!U:U,MATCH(玩家节奏2!$BK123,商城宝箱!$L:$L,0)),0)+($BC123-INDEX(商城宝箱!$N:$N,MATCH(玩家节奏2!$BK123,商城宝箱!$L:$L,0)))/$BK$5*INDEX(商城宝箱!F$23:F$42,MATCH(玩家节奏2!$BK123+1,商城宝箱!$C$23:$C$42,0))</f>
        <v>336947.5</v>
      </c>
      <c r="BN123" s="90">
        <f ca="1">_xlfn.IFNA(INDEX(商城宝箱!V:V,MATCH(玩家节奏2!$BK123,商城宝箱!$L:$L,0)),0)+($BC123-INDEX(商城宝箱!$N:$N,MATCH(玩家节奏2!$BK123,商城宝箱!$L:$L,0)))/$BK$5*INDEX(商城宝箱!G$23:G$42,MATCH(玩家节奏2!$BK123+1,商城宝箱!$C$23:$C$42,0))</f>
        <v>171237</v>
      </c>
      <c r="BO123" s="90">
        <f ca="1">_xlfn.IFNA(INDEX(商城宝箱!W:W,MATCH(玩家节奏2!$BK123,商城宝箱!$L:$L,0)),0)+($BC123-INDEX(商城宝箱!$N:$N,MATCH(玩家节奏2!$BK123,商城宝箱!$L:$L,0)))/$BK$5*INDEX(商城宝箱!H$23:H$42,MATCH(玩家节奏2!$BK123+1,商城宝箱!$C$23:$C$42,0))</f>
        <v>27180.25</v>
      </c>
      <c r="BQ123" s="128">
        <f t="shared" si="79"/>
        <v>11610000</v>
      </c>
      <c r="BR123" s="90">
        <f t="shared" si="80"/>
        <v>3111130</v>
      </c>
      <c r="BS123" s="90">
        <f t="shared" ca="1" si="135"/>
        <v>5714176</v>
      </c>
      <c r="BT123" s="90">
        <f t="shared" si="136"/>
        <v>61000</v>
      </c>
      <c r="BU123" s="90">
        <f t="shared" si="83"/>
        <v>1824000</v>
      </c>
      <c r="BV123" s="90">
        <f t="shared" si="84"/>
        <v>351000</v>
      </c>
      <c r="BW123" s="90">
        <f t="shared" ca="1" si="96"/>
        <v>306312.5</v>
      </c>
      <c r="BX123" s="90">
        <f t="shared" ca="1" si="97"/>
        <v>22977618.5</v>
      </c>
      <c r="BY123" s="142">
        <f t="shared" ca="1" si="138"/>
        <v>0.50527429550629888</v>
      </c>
      <c r="BZ123" s="142">
        <f t="shared" ca="1" si="138"/>
        <v>0.13539827898178394</v>
      </c>
      <c r="CA123" s="142">
        <f t="shared" ca="1" si="138"/>
        <v>0.24868443176563315</v>
      </c>
      <c r="CB123" s="142">
        <f t="shared" ca="1" si="138"/>
        <v>2.6547572804379183E-3</v>
      </c>
      <c r="CC123" s="142">
        <f t="shared" ca="1" si="138"/>
        <v>7.9381594746209233E-2</v>
      </c>
      <c r="CD123" s="142">
        <f t="shared" ca="1" si="138"/>
        <v>1.527573451530671E-2</v>
      </c>
      <c r="CE123" s="142">
        <f t="shared" ca="1" si="138"/>
        <v>1.3330907204330162E-2</v>
      </c>
      <c r="CG123" s="128">
        <f t="shared" si="98"/>
        <v>200</v>
      </c>
      <c r="CH123" s="90">
        <f ca="1">INDEX(角色升级!$A:$A,MATCH(玩家节奏2!$BX123,角色升级!$J:$J,1))</f>
        <v>1015</v>
      </c>
      <c r="CI123" s="90">
        <f ca="1">INDEX(角色升级!$O:$O,MATCH(玩家节奏2!$BX123,角色升级!$J:$J,1))</f>
        <v>92600.446380000009</v>
      </c>
      <c r="CJ123" s="90">
        <f>INDEX(关卡对比!$J:$J,MATCH(玩家节奏2!N123,关卡对比!$A:$A,0))</f>
        <v>86200</v>
      </c>
      <c r="CK123" s="147">
        <f t="shared" ca="1" si="99"/>
        <v>0.93088104182851561</v>
      </c>
      <c r="CL123" s="128">
        <f ca="1">INDEX(角色升级!$P:$P,MATCH(玩家节奏2!$CH123,角色升级!$A:$A,0))</f>
        <v>40800</v>
      </c>
      <c r="CM123" s="90">
        <f ca="1">INDEX(角色升级!Q:Q,MATCH(玩家节奏2!$CH123,角色升级!$A:$A,0))</f>
        <v>2.2000000000000002</v>
      </c>
      <c r="CO123" s="128">
        <f t="shared" si="100"/>
        <v>78866</v>
      </c>
      <c r="CP123" s="90">
        <f t="shared" si="101"/>
        <v>237646</v>
      </c>
      <c r="CQ123" s="90">
        <f t="shared" si="102"/>
        <v>81634</v>
      </c>
      <c r="CR123" s="90">
        <f t="shared" ca="1" si="103"/>
        <v>336947.5</v>
      </c>
      <c r="CS123" s="90">
        <f t="shared" ca="1" si="104"/>
        <v>735093.5</v>
      </c>
      <c r="CT123" s="142">
        <f t="shared" ca="1" si="105"/>
        <v>0.10728703219386378</v>
      </c>
      <c r="CU123" s="142">
        <f t="shared" ca="1" si="105"/>
        <v>0.32328676556111569</v>
      </c>
      <c r="CV123" s="142">
        <f t="shared" ca="1" si="105"/>
        <v>0.11105253957489762</v>
      </c>
      <c r="CW123" s="142">
        <f t="shared" ca="1" si="105"/>
        <v>0.45837366267012292</v>
      </c>
      <c r="CY123" s="128">
        <f t="shared" si="106"/>
        <v>39434</v>
      </c>
      <c r="CZ123" s="90">
        <f t="shared" si="107"/>
        <v>118659</v>
      </c>
      <c r="DA123" s="90">
        <f t="shared" si="108"/>
        <v>56202</v>
      </c>
      <c r="DB123" s="90">
        <f t="shared" ca="1" si="128"/>
        <v>171237</v>
      </c>
      <c r="DC123" s="90">
        <f t="shared" ca="1" si="109"/>
        <v>385532</v>
      </c>
      <c r="DD123" s="142">
        <f t="shared" ca="1" si="110"/>
        <v>0.10228463525725491</v>
      </c>
      <c r="DE123" s="142">
        <f t="shared" ca="1" si="110"/>
        <v>0.30777989894483465</v>
      </c>
      <c r="DF123" s="142">
        <f t="shared" ca="1" si="110"/>
        <v>0.14577778238901051</v>
      </c>
      <c r="DG123" s="142">
        <f t="shared" ca="1" si="110"/>
        <v>0.44415768340889988</v>
      </c>
      <c r="DI123" s="128">
        <f t="shared" si="111"/>
        <v>19113</v>
      </c>
      <c r="DJ123" s="90">
        <f t="shared" si="112"/>
        <v>58355</v>
      </c>
      <c r="DK123" s="90">
        <f t="shared" si="113"/>
        <v>21930</v>
      </c>
      <c r="DL123" s="90">
        <f t="shared" ca="1" si="114"/>
        <v>27180.25</v>
      </c>
      <c r="DM123" s="90">
        <f t="shared" ca="1" si="115"/>
        <v>126578.25</v>
      </c>
      <c r="DN123" s="142">
        <f t="shared" ca="1" si="116"/>
        <v>0.15099750549561239</v>
      </c>
      <c r="DO123" s="142">
        <f t="shared" ca="1" si="116"/>
        <v>0.46101917193514685</v>
      </c>
      <c r="DP123" s="142">
        <f t="shared" ca="1" si="116"/>
        <v>0.17325251376125045</v>
      </c>
      <c r="DQ123" s="142">
        <f t="shared" ca="1" si="116"/>
        <v>0.21473080880799031</v>
      </c>
      <c r="DS123" s="128">
        <f t="shared" ca="1" si="117"/>
        <v>735093.5</v>
      </c>
      <c r="DT123" s="90">
        <f t="shared" ca="1" si="118"/>
        <v>385532</v>
      </c>
      <c r="DU123" s="90">
        <f t="shared" ca="1" si="119"/>
        <v>126578.25</v>
      </c>
      <c r="DV123" s="90">
        <f t="shared" si="120"/>
        <v>1824</v>
      </c>
      <c r="DW123" s="90">
        <f ca="1">_xlfn.IFNA(INDEX(武器升级消耗!$H:$H,MATCH(玩家节奏2!DS123/玩家节奏2!DS$5,武器升级消耗!M:M,1)),0)</f>
        <v>74</v>
      </c>
      <c r="DX123" s="90">
        <f ca="1">_xlfn.IFNA(INDEX(武器升级消耗!$H:$H,MATCH(玩家节奏2!DT123/玩家节奏2!DT$5,武器升级消耗!N:N,1)),0)</f>
        <v>65</v>
      </c>
      <c r="DY123" s="90">
        <f ca="1">_xlfn.IFNA(INDEX(武器升级消耗!$H:$H,MATCH(玩家节奏2!DU123/玩家节奏2!DU$5,武器升级消耗!O:O,1)),0)</f>
        <v>49</v>
      </c>
      <c r="DZ123" s="90">
        <f>_xlfn.IFNA(INDEX(武器升级消耗!$H:$H,MATCH(玩家节奏2!DV123/玩家节奏2!DV$5,武器升级消耗!P:P,1)),0)</f>
        <v>31</v>
      </c>
      <c r="EA123" s="90">
        <f ca="1">_xlfn.IFNA(INDEX(武器升级消耗!$Q:$Q,MATCH(玩家节奏2!DW123,武器升级消耗!$H:$H,0))*2*EA$4,0)</f>
        <v>9.359999999999987</v>
      </c>
      <c r="EB123" s="90">
        <f ca="1">_xlfn.IFNA(INDEX(武器升级消耗!$Q:$Q,MATCH(玩家节奏2!DX123,武器升级消耗!$H:$H,0))*2*EB$4,0)</f>
        <v>10.350000000000001</v>
      </c>
      <c r="EC123" s="90">
        <f ca="1">_xlfn.IFNA(INDEX(武器升级消耗!$Q:$Q,MATCH(玩家节奏2!DY123,武器升级消耗!$H:$H,0))*2*EC$4,0)</f>
        <v>11.66</v>
      </c>
      <c r="ED123" s="90">
        <f>_xlfn.IFNA(INDEX(武器升级消耗!$Q:$Q,MATCH(玩家节奏2!DZ123,武器升级消耗!$H:$H,0))*2*ED$4,0)</f>
        <v>10.5</v>
      </c>
    </row>
    <row r="124" spans="1:134" x14ac:dyDescent="0.25">
      <c r="A124" s="123">
        <v>118</v>
      </c>
      <c r="B124" s="123">
        <f>INDEX(关卡对比!$Y:$Y,MATCH(关卡对比!Z124,关卡对比!$AA:$AA,1))</f>
        <v>72</v>
      </c>
      <c r="C124" s="124">
        <f>INDEX(关卡对比!$Y:$Y,MATCH(关卡对比!Z124,关卡对比!$AB:$AB,1))</f>
        <v>57</v>
      </c>
      <c r="D124" s="125">
        <f t="shared" si="131"/>
        <v>463.5</v>
      </c>
      <c r="E124" s="125">
        <v>2</v>
      </c>
      <c r="F124" s="128">
        <v>16</v>
      </c>
      <c r="G124" s="90">
        <v>16</v>
      </c>
      <c r="H124" s="90">
        <v>5</v>
      </c>
      <c r="J124" s="128">
        <v>118</v>
      </c>
      <c r="K124" s="90">
        <f t="shared" si="88"/>
        <v>16</v>
      </c>
      <c r="L124" s="90">
        <f t="shared" si="89"/>
        <v>16</v>
      </c>
      <c r="M124" s="90">
        <f t="shared" si="90"/>
        <v>5</v>
      </c>
      <c r="N124" s="140">
        <f>INDEX($A:$A,MATCH(SUM($K$7:K124),$D:$D,1))</f>
        <v>200</v>
      </c>
      <c r="O124" s="140">
        <v>0</v>
      </c>
      <c r="P124" s="141">
        <v>0</v>
      </c>
      <c r="Q124" s="126">
        <f>_xlfn.MAXIFS(关卡产出!X:X,关卡产出!$A:$A,玩家节奏2!$N$6,关卡产出!$B:$B,玩家节奏2!$N124)+_xlfn.MAXIFS(关卡产出!X:X,关卡产出!$A:$A,玩家节奏2!$O$6,关卡产出!$B:$B,玩家节奏2!$O124)+_xlfn.MAXIFS(关卡产出!X:X,关卡产出!$A:$A,玩家节奏2!$P$6,关卡产出!$B:$B,玩家节奏2!$P124)</f>
        <v>38500</v>
      </c>
      <c r="R124" s="90">
        <f>_xlfn.MAXIFS(关卡产出!Y:Y,关卡产出!$A:$A,玩家节奏2!$N$6,关卡产出!$B:$B,玩家节奏2!$N124)+_xlfn.MAXIFS(关卡产出!Y:Y,关卡产出!$A:$A,玩家节奏2!$O$6,关卡产出!$B:$B,玩家节奏2!$O124)+_xlfn.MAXIFS(关卡产出!Y:Y,关卡产出!$A:$A,玩家节奏2!$P$6,关卡产出!$B:$B,玩家节奏2!$P124)</f>
        <v>11610000</v>
      </c>
      <c r="S124" s="90">
        <f>_xlfn.MAXIFS(关卡产出!Z:Z,关卡产出!$A:$A,玩家节奏2!$N$6,关卡产出!$B:$B,玩家节奏2!$N124)+_xlfn.MAXIFS(关卡产出!Z:Z,关卡产出!$A:$A,玩家节奏2!$O$6,关卡产出!$B:$B,玩家节奏2!$O124)+_xlfn.MAXIFS(关卡产出!Z:Z,关卡产出!$A:$A,玩家节奏2!$P$6,关卡产出!$B:$B,玩家节奏2!$P124)</f>
        <v>78866</v>
      </c>
      <c r="T124" s="90">
        <f>_xlfn.MAXIFS(关卡产出!AA:AA,关卡产出!$A:$A,玩家节奏2!$N$6,关卡产出!$B:$B,玩家节奏2!$N124)+_xlfn.MAXIFS(关卡产出!AA:AA,关卡产出!$A:$A,玩家节奏2!$O$6,关卡产出!$B:$B,玩家节奏2!$O124)+_xlfn.MAXIFS(关卡产出!AA:AA,关卡产出!$A:$A,玩家节奏2!$P$6,关卡产出!$B:$B,玩家节奏2!$P124)</f>
        <v>39434</v>
      </c>
      <c r="U124" s="90">
        <f>_xlfn.MAXIFS(关卡产出!AB:AB,关卡产出!$A:$A,玩家节奏2!$N$6,关卡产出!$B:$B,玩家节奏2!$N124)+_xlfn.MAXIFS(关卡产出!AB:AB,关卡产出!$A:$A,玩家节奏2!$O$6,关卡产出!$B:$B,玩家节奏2!$O124)+_xlfn.MAXIFS(关卡产出!AB:AB,关卡产出!$A:$A,玩家节奏2!$P$6,关卡产出!$B:$B,玩家节奏2!$P124)</f>
        <v>19113</v>
      </c>
      <c r="V124" s="130">
        <f>_xlfn.MAXIFS(关卡产出!AC:AC,关卡产出!$A:$A,玩家节奏2!$N$6,关卡产出!$B:$B,玩家节奏2!$N124)+_xlfn.MAXIFS(关卡产出!AC:AC,关卡产出!$A:$A,玩家节奏2!$O$6,关卡产出!$B:$B,玩家节奏2!$O124)+_xlfn.MAXIFS(关卡产出!AC:AC,关卡产出!$A:$A,玩家节奏2!$P$6,关卡产出!$B:$B,玩家节奏2!$P124)</f>
        <v>1200</v>
      </c>
      <c r="W124" s="126">
        <f>INDEX(关卡产出!C$8:C$207,MATCH(玩家节奏2!$N124,关卡产出!$B$8:$B$207,0))*$K124</f>
        <v>2528</v>
      </c>
      <c r="X124" s="126">
        <f>INDEX(关卡产出!D$8:D$207,MATCH(玩家节奏2!$N124,关卡产出!$B$8:$B$207,0))*$K124</f>
        <v>1264</v>
      </c>
      <c r="Y124" s="126">
        <f>INDEX(关卡产出!E$8:E$207,MATCH(玩家节奏2!$N124,关卡产出!$B$8:$B$207,0))*$K124</f>
        <v>624</v>
      </c>
      <c r="Z124" s="144">
        <f>INDEX(关卡产出!F$8:F$207,MATCH(玩家节奏2!$N124,关卡产出!$B$8:$B$207,0))*$K124</f>
        <v>32800</v>
      </c>
      <c r="AA124" s="126">
        <f>SUM(W$7:W124)</f>
        <v>240174</v>
      </c>
      <c r="AB124" s="126">
        <f>SUM(X$7:X124)</f>
        <v>119923</v>
      </c>
      <c r="AC124" s="126">
        <f>SUM(Y$7:Y124)</f>
        <v>58979</v>
      </c>
      <c r="AD124" s="177">
        <f>SUM(Z$7:Z124)</f>
        <v>3143930</v>
      </c>
      <c r="AE124" s="128">
        <f>INDEX(图鉴!AQ:AQ,MATCH($N124,图鉴!$S:$S,0))*34</f>
        <v>714</v>
      </c>
      <c r="AF124" s="90">
        <f>INDEX(图鉴!AR:AR,MATCH($N124,图鉴!$S:$S,0))*34</f>
        <v>510</v>
      </c>
      <c r="AG124" s="90">
        <f>INDEX(图鉴!AS:AS,MATCH($N124,图鉴!$S:$S,0))*34</f>
        <v>204</v>
      </c>
      <c r="AH124" s="129">
        <f ca="1">INDEX(图鉴!AT:AT,MATCH($N124,图鉴!$S:$S,0))*34</f>
        <v>55930</v>
      </c>
      <c r="AI124" s="128">
        <f>SUM($AE$7:AE124)</f>
        <v>82348</v>
      </c>
      <c r="AJ124" s="90">
        <f>SUM(AF$7:AF124)</f>
        <v>56712</v>
      </c>
      <c r="AK124" s="90">
        <f>SUM(AG$7:AG124)</f>
        <v>22134</v>
      </c>
      <c r="AL124" s="130">
        <f ca="1">SUM(AH$7:AH124)</f>
        <v>5770106</v>
      </c>
      <c r="AM124" s="133">
        <f>IF(M124=0,0,INDEX(关卡产出!$AU$11:$AU$15,MATCH(玩家节奏2!N124,关卡产出!$AW$11:$AW$15,1))*M124)</f>
        <v>61000</v>
      </c>
      <c r="AN124" s="126">
        <f>IF(L124=0,0,$L124*关卡产出!AU$21)</f>
        <v>16000</v>
      </c>
      <c r="AO124" s="90">
        <f>IF(M124=0,0,$L124*关卡产出!AV$21)</f>
        <v>800</v>
      </c>
      <c r="AP124" s="129">
        <f>IF(N124=0,0,$L124*关卡产出!AW$21)</f>
        <v>16</v>
      </c>
      <c r="AQ124" s="138">
        <f>SUM(AN$7:AN124)</f>
        <v>1840000</v>
      </c>
      <c r="AR124" s="126">
        <f>SUM(AO$7:AO124)</f>
        <v>92000</v>
      </c>
      <c r="AS124" s="129">
        <f>SUM(AP$7:AP124)</f>
        <v>1840</v>
      </c>
      <c r="AT124" s="128">
        <v>3000</v>
      </c>
      <c r="AU124" s="129">
        <v>600</v>
      </c>
      <c r="AV124" s="128">
        <f>SUM(AT$7:AT124)</f>
        <v>354000</v>
      </c>
      <c r="AW124" s="90">
        <f>SUM(AU$7:AU124)</f>
        <v>70800</v>
      </c>
      <c r="AY124" s="128">
        <f t="shared" si="91"/>
        <v>38500</v>
      </c>
      <c r="AZ124" s="90">
        <f t="shared" si="92"/>
        <v>92000</v>
      </c>
      <c r="BA124" s="90">
        <f t="shared" si="93"/>
        <v>70800</v>
      </c>
      <c r="BB124" s="90">
        <f t="shared" ca="1" si="127"/>
        <v>40800</v>
      </c>
      <c r="BC124" s="90">
        <f t="shared" ca="1" si="129"/>
        <v>123225</v>
      </c>
      <c r="BD124" s="90">
        <f t="shared" ca="1" si="130"/>
        <v>118875</v>
      </c>
      <c r="BE124" s="90">
        <f t="shared" ca="1" si="94"/>
        <v>242100</v>
      </c>
      <c r="BF124" s="142">
        <f t="shared" ca="1" si="132"/>
        <v>0.31243659971596671</v>
      </c>
      <c r="BG124" s="142">
        <f t="shared" ca="1" si="133"/>
        <v>0.74660174477581664</v>
      </c>
      <c r="BH124" s="142">
        <f t="shared" ca="1" si="134"/>
        <v>0.5745587340231284</v>
      </c>
      <c r="BI124" s="142">
        <f t="shared" ca="1" si="137"/>
        <v>0.33110164333536213</v>
      </c>
      <c r="BJ124" s="143"/>
      <c r="BK124" s="128">
        <f ca="1">INDEX(商城宝箱!$L:$L,MATCH(BC124,商城宝箱!$N:$N,1))</f>
        <v>12</v>
      </c>
      <c r="BL124" s="90">
        <f ca="1">_xlfn.IFNA(INDEX(商城宝箱!T:T,MATCH(玩家节奏2!$BK124,商城宝箱!$L:$L,0)),0)+($BC124-INDEX(商城宝箱!$N:$N,MATCH(玩家节奏2!$BK124,商城宝箱!$L:$L,0)))/$BK$5*INDEX(商城宝箱!E$23:E$42,MATCH(玩家节奏2!$BK124+1,商城宝箱!$C$23:$C$42,0))</f>
        <v>308062.5</v>
      </c>
      <c r="BM124" s="90">
        <f ca="1">_xlfn.IFNA(INDEX(商城宝箱!U:U,MATCH(玩家节奏2!$BK124,商城宝箱!$L:$L,0)),0)+($BC124-INDEX(商城宝箱!$N:$N,MATCH(玩家节奏2!$BK124,商城宝箱!$L:$L,0)))/$BK$5*INDEX(商城宝箱!F$23:F$42,MATCH(玩家节奏2!$BK124+1,商城宝箱!$C$23:$C$42,0))</f>
        <v>339887.5</v>
      </c>
      <c r="BN124" s="90">
        <f ca="1">_xlfn.IFNA(INDEX(商城宝箱!V:V,MATCH(玩家节奏2!$BK124,商城宝箱!$L:$L,0)),0)+($BC124-INDEX(商城宝箱!$N:$N,MATCH(玩家节奏2!$BK124,商城宝箱!$L:$L,0)))/$BK$5*INDEX(商城宝箱!G$23:G$42,MATCH(玩家节奏2!$BK124+1,商城宝箱!$C$23:$C$42,0))</f>
        <v>172637</v>
      </c>
      <c r="BO124" s="90">
        <f ca="1">_xlfn.IFNA(INDEX(商城宝箱!W:W,MATCH(玩家节奏2!$BK124,商城宝箱!$L:$L,0)),0)+($BC124-INDEX(商城宝箱!$N:$N,MATCH(玩家节奏2!$BK124,商城宝箱!$L:$L,0)))/$BK$5*INDEX(商城宝箱!H$23:H$42,MATCH(玩家节奏2!$BK124+1,商城宝箱!$C$23:$C$42,0))</f>
        <v>27425.25</v>
      </c>
      <c r="BQ124" s="128">
        <f t="shared" si="79"/>
        <v>11610000</v>
      </c>
      <c r="BR124" s="90">
        <f t="shared" si="80"/>
        <v>3143930</v>
      </c>
      <c r="BS124" s="90">
        <f t="shared" ca="1" si="135"/>
        <v>5770106</v>
      </c>
      <c r="BT124" s="90">
        <f t="shared" si="136"/>
        <v>61000</v>
      </c>
      <c r="BU124" s="90">
        <f t="shared" si="83"/>
        <v>1840000</v>
      </c>
      <c r="BV124" s="90">
        <f t="shared" si="84"/>
        <v>354000</v>
      </c>
      <c r="BW124" s="90">
        <f t="shared" ca="1" si="96"/>
        <v>308062.5</v>
      </c>
      <c r="BX124" s="90">
        <f t="shared" ca="1" si="97"/>
        <v>23087098.5</v>
      </c>
      <c r="BY124" s="142">
        <f t="shared" ca="1" si="138"/>
        <v>0.50287826337293962</v>
      </c>
      <c r="BZ124" s="142">
        <f t="shared" ca="1" si="138"/>
        <v>0.13617692149578692</v>
      </c>
      <c r="CA124" s="142">
        <f t="shared" ca="1" si="138"/>
        <v>0.24992772478533845</v>
      </c>
      <c r="CB124" s="142">
        <f t="shared" ca="1" si="138"/>
        <v>2.6421683088500704E-3</v>
      </c>
      <c r="CC124" s="142">
        <f t="shared" ca="1" si="138"/>
        <v>7.9698191611215247E-2</v>
      </c>
      <c r="CD124" s="142">
        <f t="shared" ca="1" si="138"/>
        <v>1.5333239038244672E-2</v>
      </c>
      <c r="CE124" s="142">
        <f t="shared" ca="1" si="138"/>
        <v>1.3343491387624997E-2</v>
      </c>
      <c r="CG124" s="128">
        <f t="shared" si="98"/>
        <v>200</v>
      </c>
      <c r="CH124" s="90">
        <f ca="1">INDEX(角色升级!$A:$A,MATCH(玩家节奏2!$BX124,角色升级!$J:$J,1))</f>
        <v>1018</v>
      </c>
      <c r="CI124" s="90">
        <f ca="1">INDEX(角色升级!$O:$O,MATCH(玩家节奏2!$BX124,角色升级!$J:$J,1))</f>
        <v>92719.470090000003</v>
      </c>
      <c r="CJ124" s="90">
        <f>INDEX(关卡对比!$J:$J,MATCH(玩家节奏2!N124,关卡对比!$A:$A,0))</f>
        <v>86200</v>
      </c>
      <c r="CK124" s="147">
        <f t="shared" ca="1" si="99"/>
        <v>0.92968607258354963</v>
      </c>
      <c r="CL124" s="128">
        <f ca="1">INDEX(角色升级!$P:$P,MATCH(玩家节奏2!$CH124,角色升级!$A:$A,0))</f>
        <v>40800</v>
      </c>
      <c r="CM124" s="90">
        <f ca="1">INDEX(角色升级!Q:Q,MATCH(玩家节奏2!$CH124,角色升级!$A:$A,0))</f>
        <v>2.2000000000000002</v>
      </c>
      <c r="CO124" s="128">
        <f t="shared" si="100"/>
        <v>78866</v>
      </c>
      <c r="CP124" s="90">
        <f t="shared" si="101"/>
        <v>240174</v>
      </c>
      <c r="CQ124" s="90">
        <f t="shared" si="102"/>
        <v>82348</v>
      </c>
      <c r="CR124" s="90">
        <f t="shared" ca="1" si="103"/>
        <v>339887.5</v>
      </c>
      <c r="CS124" s="90">
        <f t="shared" ca="1" si="104"/>
        <v>741275.5</v>
      </c>
      <c r="CT124" s="142">
        <f t="shared" ca="1" si="105"/>
        <v>0.10639229274406074</v>
      </c>
      <c r="CU124" s="142">
        <f t="shared" ca="1" si="105"/>
        <v>0.32400099558126499</v>
      </c>
      <c r="CV124" s="142">
        <f t="shared" ca="1" si="105"/>
        <v>0.11108960163933652</v>
      </c>
      <c r="CW124" s="142">
        <f t="shared" ca="1" si="105"/>
        <v>0.45851711003533774</v>
      </c>
      <c r="CY124" s="128">
        <f t="shared" si="106"/>
        <v>39434</v>
      </c>
      <c r="CZ124" s="90">
        <f t="shared" si="107"/>
        <v>119923</v>
      </c>
      <c r="DA124" s="90">
        <f t="shared" si="108"/>
        <v>56712</v>
      </c>
      <c r="DB124" s="90">
        <f t="shared" ca="1" si="128"/>
        <v>172637</v>
      </c>
      <c r="DC124" s="90">
        <f t="shared" ca="1" si="109"/>
        <v>388706</v>
      </c>
      <c r="DD124" s="142">
        <f t="shared" ca="1" si="110"/>
        <v>0.10144942450077951</v>
      </c>
      <c r="DE124" s="142">
        <f t="shared" ca="1" si="110"/>
        <v>0.3085185204241766</v>
      </c>
      <c r="DF124" s="142">
        <f t="shared" ca="1" si="110"/>
        <v>0.14589947158006308</v>
      </c>
      <c r="DG124" s="142">
        <f t="shared" ca="1" si="110"/>
        <v>0.4441325834949808</v>
      </c>
      <c r="DI124" s="128">
        <f t="shared" si="111"/>
        <v>19113</v>
      </c>
      <c r="DJ124" s="90">
        <f t="shared" si="112"/>
        <v>58979</v>
      </c>
      <c r="DK124" s="90">
        <f t="shared" si="113"/>
        <v>22134</v>
      </c>
      <c r="DL124" s="90">
        <f t="shared" ca="1" si="114"/>
        <v>27425.25</v>
      </c>
      <c r="DM124" s="90">
        <f t="shared" ca="1" si="115"/>
        <v>127651.25</v>
      </c>
      <c r="DN124" s="142">
        <f t="shared" ca="1" si="116"/>
        <v>0.14972826353051771</v>
      </c>
      <c r="DO124" s="142">
        <f t="shared" ca="1" si="116"/>
        <v>0.46203229502257126</v>
      </c>
      <c r="DP124" s="142">
        <f t="shared" ca="1" si="116"/>
        <v>0.17339430675375289</v>
      </c>
      <c r="DQ124" s="142">
        <f t="shared" ca="1" si="116"/>
        <v>0.21484513469315811</v>
      </c>
      <c r="DS124" s="128">
        <f t="shared" ca="1" si="117"/>
        <v>741275.5</v>
      </c>
      <c r="DT124" s="90">
        <f t="shared" ca="1" si="118"/>
        <v>388706</v>
      </c>
      <c r="DU124" s="90">
        <f t="shared" ca="1" si="119"/>
        <v>127651.25</v>
      </c>
      <c r="DV124" s="90">
        <f t="shared" si="120"/>
        <v>1840</v>
      </c>
      <c r="DW124" s="90">
        <f ca="1">_xlfn.IFNA(INDEX(武器升级消耗!$H:$H,MATCH(玩家节奏2!DS124/玩家节奏2!DS$5,武器升级消耗!M:M,1)),0)</f>
        <v>74</v>
      </c>
      <c r="DX124" s="90">
        <f ca="1">_xlfn.IFNA(INDEX(武器升级消耗!$H:$H,MATCH(玩家节奏2!DT124/玩家节奏2!DT$5,武器升级消耗!N:N,1)),0)</f>
        <v>65</v>
      </c>
      <c r="DY124" s="90">
        <f ca="1">_xlfn.IFNA(INDEX(武器升级消耗!$H:$H,MATCH(玩家节奏2!DU124/玩家节奏2!DU$5,武器升级消耗!O:O,1)),0)</f>
        <v>49</v>
      </c>
      <c r="DZ124" s="90">
        <f>_xlfn.IFNA(INDEX(武器升级消耗!$H:$H,MATCH(玩家节奏2!DV124/玩家节奏2!DV$5,武器升级消耗!P:P,1)),0)</f>
        <v>31</v>
      </c>
      <c r="EA124" s="90">
        <f ca="1">_xlfn.IFNA(INDEX(武器升级消耗!$Q:$Q,MATCH(玩家节奏2!DW124,武器升级消耗!$H:$H,0))*2*EA$4,0)</f>
        <v>9.359999999999987</v>
      </c>
      <c r="EB124" s="90">
        <f ca="1">_xlfn.IFNA(INDEX(武器升级消耗!$Q:$Q,MATCH(玩家节奏2!DX124,武器升级消耗!$H:$H,0))*2*EB$4,0)</f>
        <v>10.350000000000001</v>
      </c>
      <c r="EC124" s="90">
        <f ca="1">_xlfn.IFNA(INDEX(武器升级消耗!$Q:$Q,MATCH(玩家节奏2!DY124,武器升级消耗!$H:$H,0))*2*EC$4,0)</f>
        <v>11.66</v>
      </c>
      <c r="ED124" s="90">
        <f>_xlfn.IFNA(INDEX(武器升级消耗!$Q:$Q,MATCH(玩家节奏2!DZ124,武器升级消耗!$H:$H,0))*2*ED$4,0)</f>
        <v>10.5</v>
      </c>
    </row>
    <row r="125" spans="1:134" x14ac:dyDescent="0.25">
      <c r="A125" s="123">
        <v>119</v>
      </c>
      <c r="B125" s="123">
        <f>INDEX(关卡对比!$Y:$Y,MATCH(关卡对比!Z125,关卡对比!$AA:$AA,1))</f>
        <v>73</v>
      </c>
      <c r="C125" s="124">
        <f>INDEX(关卡对比!$Y:$Y,MATCH(关卡对比!Z125,关卡对比!$AB:$AB,1))</f>
        <v>58</v>
      </c>
      <c r="D125" s="125">
        <f t="shared" si="131"/>
        <v>469.5</v>
      </c>
      <c r="E125" s="125">
        <v>2</v>
      </c>
      <c r="F125" s="128">
        <v>16</v>
      </c>
      <c r="G125" s="90">
        <v>16</v>
      </c>
      <c r="H125" s="90">
        <v>5</v>
      </c>
      <c r="J125" s="128">
        <v>119</v>
      </c>
      <c r="K125" s="90">
        <f t="shared" si="88"/>
        <v>16</v>
      </c>
      <c r="L125" s="90">
        <f t="shared" si="89"/>
        <v>16</v>
      </c>
      <c r="M125" s="90">
        <f t="shared" si="90"/>
        <v>5</v>
      </c>
      <c r="N125" s="140">
        <f>INDEX($A:$A,MATCH(SUM($K$7:K125),$D:$D,1))</f>
        <v>200</v>
      </c>
      <c r="O125" s="140">
        <v>0</v>
      </c>
      <c r="P125" s="141">
        <v>0</v>
      </c>
      <c r="Q125" s="126">
        <f>_xlfn.MAXIFS(关卡产出!X:X,关卡产出!$A:$A,玩家节奏2!$N$6,关卡产出!$B:$B,玩家节奏2!$N125)+_xlfn.MAXIFS(关卡产出!X:X,关卡产出!$A:$A,玩家节奏2!$O$6,关卡产出!$B:$B,玩家节奏2!$O125)+_xlfn.MAXIFS(关卡产出!X:X,关卡产出!$A:$A,玩家节奏2!$P$6,关卡产出!$B:$B,玩家节奏2!$P125)</f>
        <v>38500</v>
      </c>
      <c r="R125" s="90">
        <f>_xlfn.MAXIFS(关卡产出!Y:Y,关卡产出!$A:$A,玩家节奏2!$N$6,关卡产出!$B:$B,玩家节奏2!$N125)+_xlfn.MAXIFS(关卡产出!Y:Y,关卡产出!$A:$A,玩家节奏2!$O$6,关卡产出!$B:$B,玩家节奏2!$O125)+_xlfn.MAXIFS(关卡产出!Y:Y,关卡产出!$A:$A,玩家节奏2!$P$6,关卡产出!$B:$B,玩家节奏2!$P125)</f>
        <v>11610000</v>
      </c>
      <c r="S125" s="90">
        <f>_xlfn.MAXIFS(关卡产出!Z:Z,关卡产出!$A:$A,玩家节奏2!$N$6,关卡产出!$B:$B,玩家节奏2!$N125)+_xlfn.MAXIFS(关卡产出!Z:Z,关卡产出!$A:$A,玩家节奏2!$O$6,关卡产出!$B:$B,玩家节奏2!$O125)+_xlfn.MAXIFS(关卡产出!Z:Z,关卡产出!$A:$A,玩家节奏2!$P$6,关卡产出!$B:$B,玩家节奏2!$P125)</f>
        <v>78866</v>
      </c>
      <c r="T125" s="90">
        <f>_xlfn.MAXIFS(关卡产出!AA:AA,关卡产出!$A:$A,玩家节奏2!$N$6,关卡产出!$B:$B,玩家节奏2!$N125)+_xlfn.MAXIFS(关卡产出!AA:AA,关卡产出!$A:$A,玩家节奏2!$O$6,关卡产出!$B:$B,玩家节奏2!$O125)+_xlfn.MAXIFS(关卡产出!AA:AA,关卡产出!$A:$A,玩家节奏2!$P$6,关卡产出!$B:$B,玩家节奏2!$P125)</f>
        <v>39434</v>
      </c>
      <c r="U125" s="90">
        <f>_xlfn.MAXIFS(关卡产出!AB:AB,关卡产出!$A:$A,玩家节奏2!$N$6,关卡产出!$B:$B,玩家节奏2!$N125)+_xlfn.MAXIFS(关卡产出!AB:AB,关卡产出!$A:$A,玩家节奏2!$O$6,关卡产出!$B:$B,玩家节奏2!$O125)+_xlfn.MAXIFS(关卡产出!AB:AB,关卡产出!$A:$A,玩家节奏2!$P$6,关卡产出!$B:$B,玩家节奏2!$P125)</f>
        <v>19113</v>
      </c>
      <c r="V125" s="130">
        <f>_xlfn.MAXIFS(关卡产出!AC:AC,关卡产出!$A:$A,玩家节奏2!$N$6,关卡产出!$B:$B,玩家节奏2!$N125)+_xlfn.MAXIFS(关卡产出!AC:AC,关卡产出!$A:$A,玩家节奏2!$O$6,关卡产出!$B:$B,玩家节奏2!$O125)+_xlfn.MAXIFS(关卡产出!AC:AC,关卡产出!$A:$A,玩家节奏2!$P$6,关卡产出!$B:$B,玩家节奏2!$P125)</f>
        <v>1200</v>
      </c>
      <c r="W125" s="126">
        <f>INDEX(关卡产出!C$8:C$207,MATCH(玩家节奏2!$N125,关卡产出!$B$8:$B$207,0))*$K125</f>
        <v>2528</v>
      </c>
      <c r="X125" s="126">
        <f>INDEX(关卡产出!D$8:D$207,MATCH(玩家节奏2!$N125,关卡产出!$B$8:$B$207,0))*$K125</f>
        <v>1264</v>
      </c>
      <c r="Y125" s="126">
        <f>INDEX(关卡产出!E$8:E$207,MATCH(玩家节奏2!$N125,关卡产出!$B$8:$B$207,0))*$K125</f>
        <v>624</v>
      </c>
      <c r="Z125" s="144">
        <f>INDEX(关卡产出!F$8:F$207,MATCH(玩家节奏2!$N125,关卡产出!$B$8:$B$207,0))*$K125</f>
        <v>32800</v>
      </c>
      <c r="AA125" s="126">
        <f>SUM(W$7:W125)</f>
        <v>242702</v>
      </c>
      <c r="AB125" s="126">
        <f>SUM(X$7:X125)</f>
        <v>121187</v>
      </c>
      <c r="AC125" s="126">
        <f>SUM(Y$7:Y125)</f>
        <v>59603</v>
      </c>
      <c r="AD125" s="177">
        <f>SUM(Z$7:Z125)</f>
        <v>3176730</v>
      </c>
      <c r="AE125" s="128">
        <f>INDEX(图鉴!AQ:AQ,MATCH($N125,图鉴!$S:$S,0))*34</f>
        <v>714</v>
      </c>
      <c r="AF125" s="90">
        <f>INDEX(图鉴!AR:AR,MATCH($N125,图鉴!$S:$S,0))*34</f>
        <v>510</v>
      </c>
      <c r="AG125" s="90">
        <f>INDEX(图鉴!AS:AS,MATCH($N125,图鉴!$S:$S,0))*34</f>
        <v>204</v>
      </c>
      <c r="AH125" s="129">
        <f ca="1">INDEX(图鉴!AT:AT,MATCH($N125,图鉴!$S:$S,0))*34</f>
        <v>55930</v>
      </c>
      <c r="AI125" s="128">
        <f>SUM($AE$7:AE125)</f>
        <v>83062</v>
      </c>
      <c r="AJ125" s="90">
        <f>SUM(AF$7:AF125)</f>
        <v>57222</v>
      </c>
      <c r="AK125" s="90">
        <f>SUM(AG$7:AG125)</f>
        <v>22338</v>
      </c>
      <c r="AL125" s="130">
        <f ca="1">SUM(AH$7:AH125)</f>
        <v>5826036</v>
      </c>
      <c r="AM125" s="133">
        <f>IF(M125=0,0,INDEX(关卡产出!$AU$11:$AU$15,MATCH(玩家节奏2!N125,关卡产出!$AW$11:$AW$15,1))*M125)</f>
        <v>61000</v>
      </c>
      <c r="AN125" s="126">
        <f>IF(L125=0,0,$L125*关卡产出!AU$21)</f>
        <v>16000</v>
      </c>
      <c r="AO125" s="90">
        <f>IF(M125=0,0,$L125*关卡产出!AV$21)</f>
        <v>800</v>
      </c>
      <c r="AP125" s="129">
        <f>IF(N125=0,0,$L125*关卡产出!AW$21)</f>
        <v>16</v>
      </c>
      <c r="AQ125" s="138">
        <f>SUM(AN$7:AN125)</f>
        <v>1856000</v>
      </c>
      <c r="AR125" s="126">
        <f>SUM(AO$7:AO125)</f>
        <v>92800</v>
      </c>
      <c r="AS125" s="129">
        <f>SUM(AP$7:AP125)</f>
        <v>1856</v>
      </c>
      <c r="AT125" s="128">
        <v>3000</v>
      </c>
      <c r="AU125" s="129">
        <v>600</v>
      </c>
      <c r="AV125" s="128">
        <f>SUM(AT$7:AT125)</f>
        <v>357000</v>
      </c>
      <c r="AW125" s="90">
        <f>SUM(AU$7:AU125)</f>
        <v>71400</v>
      </c>
      <c r="AY125" s="128">
        <f t="shared" si="91"/>
        <v>38500</v>
      </c>
      <c r="AZ125" s="90">
        <f t="shared" si="92"/>
        <v>92800</v>
      </c>
      <c r="BA125" s="90">
        <f t="shared" si="93"/>
        <v>71400</v>
      </c>
      <c r="BB125" s="90">
        <f t="shared" ca="1" si="127"/>
        <v>40800</v>
      </c>
      <c r="BC125" s="90">
        <f t="shared" ca="1" si="129"/>
        <v>123925</v>
      </c>
      <c r="BD125" s="90">
        <f t="shared" ca="1" si="130"/>
        <v>119575</v>
      </c>
      <c r="BE125" s="90">
        <f t="shared" ca="1" si="94"/>
        <v>243500</v>
      </c>
      <c r="BF125" s="142">
        <f t="shared" ca="1" si="132"/>
        <v>0.31067177728464795</v>
      </c>
      <c r="BG125" s="142">
        <f t="shared" ca="1" si="133"/>
        <v>0.7488400242081904</v>
      </c>
      <c r="BH125" s="142">
        <f t="shared" ca="1" si="134"/>
        <v>0.57615493241880167</v>
      </c>
      <c r="BI125" s="142">
        <f t="shared" ca="1" si="137"/>
        <v>0.32923138995360096</v>
      </c>
      <c r="BJ125" s="143"/>
      <c r="BK125" s="128">
        <f ca="1">INDEX(商城宝箱!$L:$L,MATCH(BC125,商城宝箱!$N:$N,1))</f>
        <v>12</v>
      </c>
      <c r="BL125" s="90">
        <f ca="1">_xlfn.IFNA(INDEX(商城宝箱!T:T,MATCH(玩家节奏2!$BK125,商城宝箱!$L:$L,0)),0)+($BC125-INDEX(商城宝箱!$N:$N,MATCH(玩家节奏2!$BK125,商城宝箱!$L:$L,0)))/$BK$5*INDEX(商城宝箱!E$23:E$42,MATCH(玩家节奏2!$BK125+1,商城宝箱!$C$23:$C$42,0))</f>
        <v>309812.5</v>
      </c>
      <c r="BM125" s="90">
        <f ca="1">_xlfn.IFNA(INDEX(商城宝箱!U:U,MATCH(玩家节奏2!$BK125,商城宝箱!$L:$L,0)),0)+($BC125-INDEX(商城宝箱!$N:$N,MATCH(玩家节奏2!$BK125,商城宝箱!$L:$L,0)))/$BK$5*INDEX(商城宝箱!F$23:F$42,MATCH(玩家节奏2!$BK125+1,商城宝箱!$C$23:$C$42,0))</f>
        <v>342827.5</v>
      </c>
      <c r="BN125" s="90">
        <f ca="1">_xlfn.IFNA(INDEX(商城宝箱!V:V,MATCH(玩家节奏2!$BK125,商城宝箱!$L:$L,0)),0)+($BC125-INDEX(商城宝箱!$N:$N,MATCH(玩家节奏2!$BK125,商城宝箱!$L:$L,0)))/$BK$5*INDEX(商城宝箱!G$23:G$42,MATCH(玩家节奏2!$BK125+1,商城宝箱!$C$23:$C$42,0))</f>
        <v>174037</v>
      </c>
      <c r="BO125" s="90">
        <f ca="1">_xlfn.IFNA(INDEX(商城宝箱!W:W,MATCH(玩家节奏2!$BK125,商城宝箱!$L:$L,0)),0)+($BC125-INDEX(商城宝箱!$N:$N,MATCH(玩家节奏2!$BK125,商城宝箱!$L:$L,0)))/$BK$5*INDEX(商城宝箱!H$23:H$42,MATCH(玩家节奏2!$BK125+1,商城宝箱!$C$23:$C$42,0))</f>
        <v>27670.25</v>
      </c>
      <c r="BQ125" s="128">
        <f t="shared" si="79"/>
        <v>11610000</v>
      </c>
      <c r="BR125" s="90">
        <f t="shared" si="80"/>
        <v>3176730</v>
      </c>
      <c r="BS125" s="90">
        <f t="shared" ca="1" si="135"/>
        <v>5826036</v>
      </c>
      <c r="BT125" s="90">
        <f t="shared" si="136"/>
        <v>61000</v>
      </c>
      <c r="BU125" s="90">
        <f t="shared" si="83"/>
        <v>1856000</v>
      </c>
      <c r="BV125" s="90">
        <f t="shared" si="84"/>
        <v>357000</v>
      </c>
      <c r="BW125" s="90">
        <f t="shared" ca="1" si="96"/>
        <v>309812.5</v>
      </c>
      <c r="BX125" s="90">
        <f t="shared" ca="1" si="97"/>
        <v>23196578.5</v>
      </c>
      <c r="BY125" s="142">
        <f t="shared" ca="1" si="138"/>
        <v>0.50050484816111995</v>
      </c>
      <c r="BZ125" s="142">
        <f t="shared" ca="1" si="138"/>
        <v>0.13694821415149652</v>
      </c>
      <c r="CA125" s="142">
        <f t="shared" ca="1" si="138"/>
        <v>0.25115928196048398</v>
      </c>
      <c r="CB125" s="142">
        <f t="shared" ca="1" si="138"/>
        <v>2.6296981686329299E-3</v>
      </c>
      <c r="CC125" s="142">
        <f t="shared" ca="1" si="138"/>
        <v>8.0011800016110135E-2</v>
      </c>
      <c r="CD125" s="142">
        <f t="shared" ca="1" si="138"/>
        <v>1.5390200757409116E-2</v>
      </c>
      <c r="CE125" s="142">
        <f t="shared" ca="1" si="138"/>
        <v>1.3355956784747372E-2</v>
      </c>
      <c r="CG125" s="128">
        <f t="shared" si="98"/>
        <v>200</v>
      </c>
      <c r="CH125" s="90">
        <f ca="1">INDEX(角色升级!$A:$A,MATCH(玩家节奏2!$BX125,角色升级!$J:$J,1))</f>
        <v>1020</v>
      </c>
      <c r="CI125" s="90">
        <f ca="1">INDEX(角色升级!$O:$O,MATCH(玩家节奏2!$BX125,角色升级!$J:$J,1))</f>
        <v>92798.819229999994</v>
      </c>
      <c r="CJ125" s="90">
        <f>INDEX(关卡对比!$J:$J,MATCH(玩家节奏2!N125,关卡对比!$A:$A,0))</f>
        <v>86200</v>
      </c>
      <c r="CK125" s="147">
        <f t="shared" ca="1" si="99"/>
        <v>0.9288911293833928</v>
      </c>
      <c r="CL125" s="128">
        <f ca="1">INDEX(角色升级!$P:$P,MATCH(玩家节奏2!$CH125,角色升级!$A:$A,0))</f>
        <v>40800</v>
      </c>
      <c r="CM125" s="90">
        <f ca="1">INDEX(角色升级!Q:Q,MATCH(玩家节奏2!$CH125,角色升级!$A:$A,0))</f>
        <v>2.2000000000000002</v>
      </c>
      <c r="CO125" s="128">
        <f t="shared" si="100"/>
        <v>78866</v>
      </c>
      <c r="CP125" s="90">
        <f t="shared" si="101"/>
        <v>242702</v>
      </c>
      <c r="CQ125" s="90">
        <f t="shared" si="102"/>
        <v>83062</v>
      </c>
      <c r="CR125" s="90">
        <f t="shared" ca="1" si="103"/>
        <v>342827.5</v>
      </c>
      <c r="CS125" s="90">
        <f t="shared" ca="1" si="104"/>
        <v>747457.5</v>
      </c>
      <c r="CT125" s="142">
        <f t="shared" ca="1" si="105"/>
        <v>0.10551235354518484</v>
      </c>
      <c r="CU125" s="142">
        <f t="shared" ca="1" si="105"/>
        <v>0.32470341123073887</v>
      </c>
      <c r="CV125" s="142">
        <f t="shared" ca="1" si="105"/>
        <v>0.11112605064501994</v>
      </c>
      <c r="CW125" s="142">
        <f t="shared" ca="1" si="105"/>
        <v>0.45865818457905633</v>
      </c>
      <c r="CY125" s="128">
        <f t="shared" si="106"/>
        <v>39434</v>
      </c>
      <c r="CZ125" s="90">
        <f t="shared" si="107"/>
        <v>121187</v>
      </c>
      <c r="DA125" s="90">
        <f t="shared" si="108"/>
        <v>57222</v>
      </c>
      <c r="DB125" s="90">
        <f t="shared" ca="1" si="128"/>
        <v>174037</v>
      </c>
      <c r="DC125" s="90">
        <f t="shared" ca="1" si="109"/>
        <v>391880</v>
      </c>
      <c r="DD125" s="142">
        <f t="shared" ca="1" si="110"/>
        <v>0.10062774318668981</v>
      </c>
      <c r="DE125" s="142">
        <f t="shared" ca="1" si="110"/>
        <v>0.30924517709502908</v>
      </c>
      <c r="DF125" s="142">
        <f t="shared" ca="1" si="110"/>
        <v>0.14601918954782075</v>
      </c>
      <c r="DG125" s="142">
        <f t="shared" ca="1" si="110"/>
        <v>0.44410789017046032</v>
      </c>
      <c r="DI125" s="128">
        <f t="shared" si="111"/>
        <v>19113</v>
      </c>
      <c r="DJ125" s="90">
        <f t="shared" si="112"/>
        <v>59603</v>
      </c>
      <c r="DK125" s="90">
        <f t="shared" si="113"/>
        <v>22338</v>
      </c>
      <c r="DL125" s="90">
        <f t="shared" ca="1" si="114"/>
        <v>27670.25</v>
      </c>
      <c r="DM125" s="90">
        <f t="shared" ca="1" si="115"/>
        <v>128724.25</v>
      </c>
      <c r="DN125" s="142">
        <f t="shared" ca="1" si="116"/>
        <v>0.14848018147318784</v>
      </c>
      <c r="DO125" s="142">
        <f t="shared" ca="1" si="116"/>
        <v>0.46302852803570421</v>
      </c>
      <c r="DP125" s="142">
        <f t="shared" ca="1" si="116"/>
        <v>0.17353373587338827</v>
      </c>
      <c r="DQ125" s="142">
        <f t="shared" ca="1" si="116"/>
        <v>0.21495755461771965</v>
      </c>
      <c r="DS125" s="128">
        <f t="shared" ca="1" si="117"/>
        <v>747457.5</v>
      </c>
      <c r="DT125" s="90">
        <f t="shared" ca="1" si="118"/>
        <v>391880</v>
      </c>
      <c r="DU125" s="90">
        <f t="shared" ca="1" si="119"/>
        <v>128724.25</v>
      </c>
      <c r="DV125" s="90">
        <f t="shared" si="120"/>
        <v>1856</v>
      </c>
      <c r="DW125" s="90">
        <f ca="1">_xlfn.IFNA(INDEX(武器升级消耗!$H:$H,MATCH(玩家节奏2!DS125/玩家节奏2!DS$5,武器升级消耗!M:M,1)),0)</f>
        <v>75</v>
      </c>
      <c r="DX125" s="90">
        <f ca="1">_xlfn.IFNA(INDEX(武器升级消耗!$H:$H,MATCH(玩家节奏2!DT125/玩家节奏2!DT$5,武器升级消耗!N:N,1)),0)</f>
        <v>66</v>
      </c>
      <c r="DY125" s="90">
        <f ca="1">_xlfn.IFNA(INDEX(武器升级消耗!$H:$H,MATCH(玩家节奏2!DU125/玩家节奏2!DU$5,武器升级消耗!O:O,1)),0)</f>
        <v>49</v>
      </c>
      <c r="DZ125" s="90">
        <f>_xlfn.IFNA(INDEX(武器升级消耗!$H:$H,MATCH(玩家节奏2!DV125/玩家节奏2!DV$5,武器升级消耗!P:P,1)),0)</f>
        <v>31</v>
      </c>
      <c r="EA125" s="90">
        <f ca="1">_xlfn.IFNA(INDEX(武器升级消耗!$Q:$Q,MATCH(玩家节奏2!DW125,武器升级消耗!$H:$H,0))*2*EA$4,0)</f>
        <v>9.479999999999988</v>
      </c>
      <c r="EB125" s="90">
        <f ca="1">_xlfn.IFNA(INDEX(武器升级消耗!$Q:$Q,MATCH(玩家节奏2!DX125,武器升级消耗!$H:$H,0))*2*EB$4,0)</f>
        <v>10.5</v>
      </c>
      <c r="EC125" s="90">
        <f ca="1">_xlfn.IFNA(INDEX(武器升级消耗!$Q:$Q,MATCH(玩家节奏2!DY125,武器升级消耗!$H:$H,0))*2*EC$4,0)</f>
        <v>11.66</v>
      </c>
      <c r="ED125" s="90">
        <f>_xlfn.IFNA(INDEX(武器升级消耗!$Q:$Q,MATCH(玩家节奏2!DZ125,武器升级消耗!$H:$H,0))*2*ED$4,0)</f>
        <v>10.5</v>
      </c>
    </row>
    <row r="126" spans="1:134" x14ac:dyDescent="0.25">
      <c r="A126" s="123">
        <v>120</v>
      </c>
      <c r="B126" s="123">
        <f>INDEX(关卡对比!$Y:$Y,MATCH(关卡对比!Z126,关卡对比!$AA:$AA,1))</f>
        <v>73</v>
      </c>
      <c r="C126" s="124">
        <f>INDEX(关卡对比!$Y:$Y,MATCH(关卡对比!Z126,关卡对比!$AB:$AB,1))</f>
        <v>58</v>
      </c>
      <c r="D126" s="125">
        <f t="shared" si="131"/>
        <v>471.5</v>
      </c>
      <c r="E126" s="125">
        <v>2</v>
      </c>
      <c r="F126" s="128">
        <v>16</v>
      </c>
      <c r="G126" s="90">
        <v>16</v>
      </c>
      <c r="H126" s="90">
        <v>5</v>
      </c>
      <c r="J126" s="128">
        <v>120</v>
      </c>
      <c r="K126" s="90">
        <f t="shared" si="88"/>
        <v>16</v>
      </c>
      <c r="L126" s="90">
        <f t="shared" si="89"/>
        <v>16</v>
      </c>
      <c r="M126" s="90">
        <f t="shared" si="90"/>
        <v>5</v>
      </c>
      <c r="N126" s="140">
        <f>INDEX($A:$A,MATCH(SUM($K$7:K126),$D:$D,1))</f>
        <v>200</v>
      </c>
      <c r="O126" s="140">
        <v>0</v>
      </c>
      <c r="P126" s="141">
        <v>0</v>
      </c>
      <c r="Q126" s="126">
        <f>_xlfn.MAXIFS(关卡产出!X:X,关卡产出!$A:$A,玩家节奏2!$N$6,关卡产出!$B:$B,玩家节奏2!$N126)+_xlfn.MAXIFS(关卡产出!X:X,关卡产出!$A:$A,玩家节奏2!$O$6,关卡产出!$B:$B,玩家节奏2!$O126)+_xlfn.MAXIFS(关卡产出!X:X,关卡产出!$A:$A,玩家节奏2!$P$6,关卡产出!$B:$B,玩家节奏2!$P126)</f>
        <v>38500</v>
      </c>
      <c r="R126" s="90">
        <f>_xlfn.MAXIFS(关卡产出!Y:Y,关卡产出!$A:$A,玩家节奏2!$N$6,关卡产出!$B:$B,玩家节奏2!$N126)+_xlfn.MAXIFS(关卡产出!Y:Y,关卡产出!$A:$A,玩家节奏2!$O$6,关卡产出!$B:$B,玩家节奏2!$O126)+_xlfn.MAXIFS(关卡产出!Y:Y,关卡产出!$A:$A,玩家节奏2!$P$6,关卡产出!$B:$B,玩家节奏2!$P126)</f>
        <v>11610000</v>
      </c>
      <c r="S126" s="90">
        <f>_xlfn.MAXIFS(关卡产出!Z:Z,关卡产出!$A:$A,玩家节奏2!$N$6,关卡产出!$B:$B,玩家节奏2!$N126)+_xlfn.MAXIFS(关卡产出!Z:Z,关卡产出!$A:$A,玩家节奏2!$O$6,关卡产出!$B:$B,玩家节奏2!$O126)+_xlfn.MAXIFS(关卡产出!Z:Z,关卡产出!$A:$A,玩家节奏2!$P$6,关卡产出!$B:$B,玩家节奏2!$P126)</f>
        <v>78866</v>
      </c>
      <c r="T126" s="90">
        <f>_xlfn.MAXIFS(关卡产出!AA:AA,关卡产出!$A:$A,玩家节奏2!$N$6,关卡产出!$B:$B,玩家节奏2!$N126)+_xlfn.MAXIFS(关卡产出!AA:AA,关卡产出!$A:$A,玩家节奏2!$O$6,关卡产出!$B:$B,玩家节奏2!$O126)+_xlfn.MAXIFS(关卡产出!AA:AA,关卡产出!$A:$A,玩家节奏2!$P$6,关卡产出!$B:$B,玩家节奏2!$P126)</f>
        <v>39434</v>
      </c>
      <c r="U126" s="90">
        <f>_xlfn.MAXIFS(关卡产出!AB:AB,关卡产出!$A:$A,玩家节奏2!$N$6,关卡产出!$B:$B,玩家节奏2!$N126)+_xlfn.MAXIFS(关卡产出!AB:AB,关卡产出!$A:$A,玩家节奏2!$O$6,关卡产出!$B:$B,玩家节奏2!$O126)+_xlfn.MAXIFS(关卡产出!AB:AB,关卡产出!$A:$A,玩家节奏2!$P$6,关卡产出!$B:$B,玩家节奏2!$P126)</f>
        <v>19113</v>
      </c>
      <c r="V126" s="130">
        <f>_xlfn.MAXIFS(关卡产出!AC:AC,关卡产出!$A:$A,玩家节奏2!$N$6,关卡产出!$B:$B,玩家节奏2!$N126)+_xlfn.MAXIFS(关卡产出!AC:AC,关卡产出!$A:$A,玩家节奏2!$O$6,关卡产出!$B:$B,玩家节奏2!$O126)+_xlfn.MAXIFS(关卡产出!AC:AC,关卡产出!$A:$A,玩家节奏2!$P$6,关卡产出!$B:$B,玩家节奏2!$P126)</f>
        <v>1200</v>
      </c>
      <c r="W126" s="126">
        <f>INDEX(关卡产出!C$8:C$207,MATCH(玩家节奏2!$N126,关卡产出!$B$8:$B$207,0))*$K126</f>
        <v>2528</v>
      </c>
      <c r="X126" s="126">
        <f>INDEX(关卡产出!D$8:D$207,MATCH(玩家节奏2!$N126,关卡产出!$B$8:$B$207,0))*$K126</f>
        <v>1264</v>
      </c>
      <c r="Y126" s="126">
        <f>INDEX(关卡产出!E$8:E$207,MATCH(玩家节奏2!$N126,关卡产出!$B$8:$B$207,0))*$K126</f>
        <v>624</v>
      </c>
      <c r="Z126" s="144">
        <f>INDEX(关卡产出!F$8:F$207,MATCH(玩家节奏2!$N126,关卡产出!$B$8:$B$207,0))*$K126</f>
        <v>32800</v>
      </c>
      <c r="AA126" s="126">
        <f>SUM(W$7:W126)</f>
        <v>245230</v>
      </c>
      <c r="AB126" s="126">
        <f>SUM(X$7:X126)</f>
        <v>122451</v>
      </c>
      <c r="AC126" s="126">
        <f>SUM(Y$7:Y126)</f>
        <v>60227</v>
      </c>
      <c r="AD126" s="177">
        <f>SUM(Z$7:Z126)</f>
        <v>3209530</v>
      </c>
      <c r="AE126" s="128">
        <f>INDEX(图鉴!AQ:AQ,MATCH($N126,图鉴!$S:$S,0))*34</f>
        <v>714</v>
      </c>
      <c r="AF126" s="90">
        <f>INDEX(图鉴!AR:AR,MATCH($N126,图鉴!$S:$S,0))*34</f>
        <v>510</v>
      </c>
      <c r="AG126" s="90">
        <f>INDEX(图鉴!AS:AS,MATCH($N126,图鉴!$S:$S,0))*34</f>
        <v>204</v>
      </c>
      <c r="AH126" s="129">
        <f ca="1">INDEX(图鉴!AT:AT,MATCH($N126,图鉴!$S:$S,0))*34</f>
        <v>55930</v>
      </c>
      <c r="AI126" s="128">
        <f>SUM($AE$7:AE126)</f>
        <v>83776</v>
      </c>
      <c r="AJ126" s="90">
        <f>SUM(AF$7:AF126)</f>
        <v>57732</v>
      </c>
      <c r="AK126" s="90">
        <f>SUM(AG$7:AG126)</f>
        <v>22542</v>
      </c>
      <c r="AL126" s="130">
        <f ca="1">SUM(AH$7:AH126)</f>
        <v>5881966</v>
      </c>
      <c r="AM126" s="133">
        <f>IF(M126=0,0,INDEX(关卡产出!$AU$11:$AU$15,MATCH(玩家节奏2!N126,关卡产出!$AW$11:$AW$15,1))*M126)</f>
        <v>61000</v>
      </c>
      <c r="AN126" s="126">
        <f>IF(L126=0,0,$L126*关卡产出!AU$21)</f>
        <v>16000</v>
      </c>
      <c r="AO126" s="90">
        <f>IF(M126=0,0,$L126*关卡产出!AV$21)</f>
        <v>800</v>
      </c>
      <c r="AP126" s="129">
        <f>IF(N126=0,0,$L126*关卡产出!AW$21)</f>
        <v>16</v>
      </c>
      <c r="AQ126" s="138">
        <f>SUM(AN$7:AN126)</f>
        <v>1872000</v>
      </c>
      <c r="AR126" s="126">
        <f>SUM(AO$7:AO126)</f>
        <v>93600</v>
      </c>
      <c r="AS126" s="129">
        <f>SUM(AP$7:AP126)</f>
        <v>1872</v>
      </c>
      <c r="AT126" s="128">
        <v>3000</v>
      </c>
      <c r="AU126" s="129">
        <v>600</v>
      </c>
      <c r="AV126" s="128">
        <f>SUM(AT$7:AT126)</f>
        <v>360000</v>
      </c>
      <c r="AW126" s="90">
        <f>SUM(AU$7:AU126)</f>
        <v>72000</v>
      </c>
      <c r="AY126" s="128">
        <f t="shared" si="91"/>
        <v>38500</v>
      </c>
      <c r="AZ126" s="90">
        <f t="shared" si="92"/>
        <v>93600</v>
      </c>
      <c r="BA126" s="90">
        <f t="shared" si="93"/>
        <v>72000</v>
      </c>
      <c r="BB126" s="90">
        <f t="shared" ca="1" si="127"/>
        <v>40800</v>
      </c>
      <c r="BC126" s="90">
        <f t="shared" ca="1" si="129"/>
        <v>124625</v>
      </c>
      <c r="BD126" s="90">
        <f t="shared" ca="1" si="130"/>
        <v>120275</v>
      </c>
      <c r="BE126" s="90">
        <f t="shared" ca="1" si="94"/>
        <v>244900</v>
      </c>
      <c r="BF126" s="142">
        <f t="shared" ca="1" si="132"/>
        <v>0.30892678034102306</v>
      </c>
      <c r="BG126" s="142">
        <f t="shared" ca="1" si="133"/>
        <v>0.75105315947843532</v>
      </c>
      <c r="BH126" s="142">
        <f t="shared" ca="1" si="134"/>
        <v>0.57773319959879643</v>
      </c>
      <c r="BI126" s="142">
        <f t="shared" ca="1" si="137"/>
        <v>0.32738214643931796</v>
      </c>
      <c r="BJ126" s="143"/>
      <c r="BK126" s="128">
        <f ca="1">INDEX(商城宝箱!$L:$L,MATCH(BC126,商城宝箱!$N:$N,1))</f>
        <v>12</v>
      </c>
      <c r="BL126" s="90">
        <f ca="1">_xlfn.IFNA(INDEX(商城宝箱!T:T,MATCH(玩家节奏2!$BK126,商城宝箱!$L:$L,0)),0)+($BC126-INDEX(商城宝箱!$N:$N,MATCH(玩家节奏2!$BK126,商城宝箱!$L:$L,0)))/$BK$5*INDEX(商城宝箱!E$23:E$42,MATCH(玩家节奏2!$BK126+1,商城宝箱!$C$23:$C$42,0))</f>
        <v>311562.5</v>
      </c>
      <c r="BM126" s="90">
        <f ca="1">_xlfn.IFNA(INDEX(商城宝箱!U:U,MATCH(玩家节奏2!$BK126,商城宝箱!$L:$L,0)),0)+($BC126-INDEX(商城宝箱!$N:$N,MATCH(玩家节奏2!$BK126,商城宝箱!$L:$L,0)))/$BK$5*INDEX(商城宝箱!F$23:F$42,MATCH(玩家节奏2!$BK126+1,商城宝箱!$C$23:$C$42,0))</f>
        <v>345767.5</v>
      </c>
      <c r="BN126" s="90">
        <f ca="1">_xlfn.IFNA(INDEX(商城宝箱!V:V,MATCH(玩家节奏2!$BK126,商城宝箱!$L:$L,0)),0)+($BC126-INDEX(商城宝箱!$N:$N,MATCH(玩家节奏2!$BK126,商城宝箱!$L:$L,0)))/$BK$5*INDEX(商城宝箱!G$23:G$42,MATCH(玩家节奏2!$BK126+1,商城宝箱!$C$23:$C$42,0))</f>
        <v>175437</v>
      </c>
      <c r="BO126" s="90">
        <f ca="1">_xlfn.IFNA(INDEX(商城宝箱!W:W,MATCH(玩家节奏2!$BK126,商城宝箱!$L:$L,0)),0)+($BC126-INDEX(商城宝箱!$N:$N,MATCH(玩家节奏2!$BK126,商城宝箱!$L:$L,0)))/$BK$5*INDEX(商城宝箱!H$23:H$42,MATCH(玩家节奏2!$BK126+1,商城宝箱!$C$23:$C$42,0))</f>
        <v>27915.25</v>
      </c>
      <c r="BQ126" s="128">
        <f t="shared" si="79"/>
        <v>11610000</v>
      </c>
      <c r="BR126" s="90">
        <f t="shared" si="80"/>
        <v>3209530</v>
      </c>
      <c r="BS126" s="90">
        <f t="shared" ca="1" si="135"/>
        <v>5881966</v>
      </c>
      <c r="BT126" s="90">
        <f t="shared" si="136"/>
        <v>61000</v>
      </c>
      <c r="BU126" s="90">
        <f t="shared" si="83"/>
        <v>1872000</v>
      </c>
      <c r="BV126" s="90">
        <f t="shared" si="84"/>
        <v>360000</v>
      </c>
      <c r="BW126" s="90">
        <f t="shared" ca="1" si="96"/>
        <v>311562.5</v>
      </c>
      <c r="BX126" s="90">
        <f t="shared" ca="1" si="97"/>
        <v>23306058.5</v>
      </c>
      <c r="BY126" s="142">
        <f t="shared" ca="1" si="138"/>
        <v>0.49815373114248385</v>
      </c>
      <c r="BZ126" s="142">
        <f t="shared" ca="1" si="138"/>
        <v>0.13771226052659227</v>
      </c>
      <c r="CA126" s="142">
        <f t="shared" ca="1" si="138"/>
        <v>0.2523792686781422</v>
      </c>
      <c r="CB126" s="142">
        <f t="shared" ca="1" si="138"/>
        <v>2.6173451851586147E-3</v>
      </c>
      <c r="CC126" s="142">
        <f t="shared" ca="1" si="138"/>
        <v>8.0322462075687315E-2</v>
      </c>
      <c r="CD126" s="142">
        <f t="shared" ca="1" si="138"/>
        <v>1.5446627322247561E-2</v>
      </c>
      <c r="CE126" s="142">
        <f t="shared" ca="1" si="138"/>
        <v>1.3368305069688211E-2</v>
      </c>
      <c r="CG126" s="128">
        <f t="shared" si="98"/>
        <v>200</v>
      </c>
      <c r="CH126" s="90">
        <f ca="1">INDEX(角色升级!$A:$A,MATCH(玩家节奏2!$BX126,角色升级!$J:$J,1))</f>
        <v>1022</v>
      </c>
      <c r="CI126" s="90">
        <f ca="1">INDEX(角色升级!$O:$O,MATCH(玩家节奏2!$BX126,角色升级!$J:$J,1))</f>
        <v>93879.331975000008</v>
      </c>
      <c r="CJ126" s="90">
        <f>INDEX(关卡对比!$J:$J,MATCH(玩家节奏2!N126,关卡对比!$A:$A,0))</f>
        <v>86200</v>
      </c>
      <c r="CK126" s="147">
        <f t="shared" ca="1" si="99"/>
        <v>0.91819997209774551</v>
      </c>
      <c r="CL126" s="128">
        <f ca="1">INDEX(角色升级!$P:$P,MATCH(玩家节奏2!$CH126,角色升级!$A:$A,0))</f>
        <v>40800</v>
      </c>
      <c r="CM126" s="90">
        <f ca="1">INDEX(角色升级!Q:Q,MATCH(玩家节奏2!$CH126,角色升级!$A:$A,0))</f>
        <v>2.2000000000000002</v>
      </c>
      <c r="CO126" s="128">
        <f t="shared" si="100"/>
        <v>78866</v>
      </c>
      <c r="CP126" s="90">
        <f t="shared" si="101"/>
        <v>245230</v>
      </c>
      <c r="CQ126" s="90">
        <f t="shared" si="102"/>
        <v>83776</v>
      </c>
      <c r="CR126" s="90">
        <f t="shared" ca="1" si="103"/>
        <v>345767.5</v>
      </c>
      <c r="CS126" s="90">
        <f t="shared" ca="1" si="104"/>
        <v>753639.5</v>
      </c>
      <c r="CT126" s="142">
        <f t="shared" ca="1" si="105"/>
        <v>0.1046468503840364</v>
      </c>
      <c r="CU126" s="142">
        <f t="shared" ca="1" si="105"/>
        <v>0.32539430324445573</v>
      </c>
      <c r="CV126" s="142">
        <f t="shared" ca="1" si="105"/>
        <v>0.11116190167845502</v>
      </c>
      <c r="CW126" s="142">
        <f t="shared" ca="1" si="105"/>
        <v>0.45879694469305282</v>
      </c>
      <c r="CY126" s="128">
        <f t="shared" si="106"/>
        <v>39434</v>
      </c>
      <c r="CZ126" s="90">
        <f t="shared" si="107"/>
        <v>122451</v>
      </c>
      <c r="DA126" s="90">
        <f t="shared" si="108"/>
        <v>57732</v>
      </c>
      <c r="DB126" s="90">
        <f t="shared" ca="1" si="128"/>
        <v>175437</v>
      </c>
      <c r="DC126" s="90">
        <f t="shared" ca="1" si="109"/>
        <v>395054</v>
      </c>
      <c r="DD126" s="142">
        <f t="shared" ca="1" si="110"/>
        <v>9.9819265214375758E-2</v>
      </c>
      <c r="DE126" s="142">
        <f t="shared" ca="1" si="110"/>
        <v>0.30996015734557808</v>
      </c>
      <c r="DF126" s="142">
        <f t="shared" ca="1" si="110"/>
        <v>0.14613698380474568</v>
      </c>
      <c r="DG126" s="142">
        <f t="shared" ca="1" si="110"/>
        <v>0.44408359363530048</v>
      </c>
      <c r="DI126" s="128">
        <f t="shared" si="111"/>
        <v>19113</v>
      </c>
      <c r="DJ126" s="90">
        <f t="shared" si="112"/>
        <v>60227</v>
      </c>
      <c r="DK126" s="90">
        <f t="shared" si="113"/>
        <v>22542</v>
      </c>
      <c r="DL126" s="90">
        <f t="shared" ca="1" si="114"/>
        <v>27915.25</v>
      </c>
      <c r="DM126" s="90">
        <f t="shared" ca="1" si="115"/>
        <v>129797.25</v>
      </c>
      <c r="DN126" s="142">
        <f t="shared" ca="1" si="116"/>
        <v>0.14725273455331295</v>
      </c>
      <c r="DO126" s="142">
        <f t="shared" ca="1" si="116"/>
        <v>0.46400828985205772</v>
      </c>
      <c r="DP126" s="142">
        <f t="shared" ca="1" si="116"/>
        <v>0.17367085974471724</v>
      </c>
      <c r="DQ126" s="142">
        <f t="shared" ca="1" si="116"/>
        <v>0.21506811584991206</v>
      </c>
      <c r="DS126" s="128">
        <f t="shared" ca="1" si="117"/>
        <v>753639.5</v>
      </c>
      <c r="DT126" s="90">
        <f t="shared" ca="1" si="118"/>
        <v>395054</v>
      </c>
      <c r="DU126" s="90">
        <f t="shared" ca="1" si="119"/>
        <v>129797.25</v>
      </c>
      <c r="DV126" s="90">
        <f t="shared" si="120"/>
        <v>1872</v>
      </c>
      <c r="DW126" s="90">
        <f ca="1">_xlfn.IFNA(INDEX(武器升级消耗!$H:$H,MATCH(玩家节奏2!DS126/玩家节奏2!DS$5,武器升级消耗!M:M,1)),0)</f>
        <v>75</v>
      </c>
      <c r="DX126" s="90">
        <f ca="1">_xlfn.IFNA(INDEX(武器升级消耗!$H:$H,MATCH(玩家节奏2!DT126/玩家节奏2!DT$5,武器升级消耗!N:N,1)),0)</f>
        <v>66</v>
      </c>
      <c r="DY126" s="90">
        <f ca="1">_xlfn.IFNA(INDEX(武器升级消耗!$H:$H,MATCH(玩家节奏2!DU126/玩家节奏2!DU$5,武器升级消耗!O:O,1)),0)</f>
        <v>50</v>
      </c>
      <c r="DZ126" s="90">
        <f>_xlfn.IFNA(INDEX(武器升级消耗!$H:$H,MATCH(玩家节奏2!DV126/玩家节奏2!DV$5,武器升级消耗!P:P,1)),0)</f>
        <v>31</v>
      </c>
      <c r="EA126" s="90">
        <f ca="1">_xlfn.IFNA(INDEX(武器升级消耗!$Q:$Q,MATCH(玩家节奏2!DW126,武器升级消耗!$H:$H,0))*2*EA$4,0)</f>
        <v>9.479999999999988</v>
      </c>
      <c r="EB126" s="90">
        <f ca="1">_xlfn.IFNA(INDEX(武器升级消耗!$Q:$Q,MATCH(玩家节奏2!DX126,武器升级消耗!$H:$H,0))*2*EB$4,0)</f>
        <v>10.5</v>
      </c>
      <c r="EC126" s="90">
        <f ca="1">_xlfn.IFNA(INDEX(武器升级消耗!$Q:$Q,MATCH(玩家节奏2!DY126,武器升级消耗!$H:$H,0))*2*EC$4,0)</f>
        <v>11.880000000000003</v>
      </c>
      <c r="ED126" s="90">
        <f>_xlfn.IFNA(INDEX(武器升级消耗!$Q:$Q,MATCH(玩家节奏2!DZ126,武器升级消耗!$H:$H,0))*2*ED$4,0)</f>
        <v>10.5</v>
      </c>
    </row>
    <row r="127" spans="1:134" x14ac:dyDescent="0.25">
      <c r="A127" s="123">
        <v>121</v>
      </c>
      <c r="B127" s="123">
        <f>INDEX(关卡对比!$Y:$Y,MATCH(关卡对比!Z127,关卡对比!$AA:$AA,1))</f>
        <v>74</v>
      </c>
      <c r="C127" s="124">
        <f>INDEX(关卡对比!$Y:$Y,MATCH(关卡对比!Z127,关卡对比!$AB:$AB,1))</f>
        <v>58</v>
      </c>
      <c r="D127" s="125">
        <f t="shared" si="131"/>
        <v>475.5</v>
      </c>
      <c r="E127" s="125">
        <v>2</v>
      </c>
      <c r="F127" s="128">
        <v>16</v>
      </c>
      <c r="G127" s="90">
        <v>16</v>
      </c>
      <c r="H127" s="90">
        <v>5</v>
      </c>
      <c r="J127" s="128">
        <v>121</v>
      </c>
      <c r="K127" s="90">
        <f t="shared" si="88"/>
        <v>16</v>
      </c>
      <c r="L127" s="90">
        <f t="shared" si="89"/>
        <v>16</v>
      </c>
      <c r="M127" s="90">
        <f t="shared" si="90"/>
        <v>5</v>
      </c>
      <c r="N127" s="140">
        <f>INDEX($A:$A,MATCH(SUM($K$7:K127),$D:$D,1))</f>
        <v>200</v>
      </c>
      <c r="O127" s="140">
        <v>0</v>
      </c>
      <c r="P127" s="141">
        <v>0</v>
      </c>
      <c r="Q127" s="126">
        <f>_xlfn.MAXIFS(关卡产出!X:X,关卡产出!$A:$A,玩家节奏2!$N$6,关卡产出!$B:$B,玩家节奏2!$N127)+_xlfn.MAXIFS(关卡产出!X:X,关卡产出!$A:$A,玩家节奏2!$O$6,关卡产出!$B:$B,玩家节奏2!$O127)+_xlfn.MAXIFS(关卡产出!X:X,关卡产出!$A:$A,玩家节奏2!$P$6,关卡产出!$B:$B,玩家节奏2!$P127)</f>
        <v>38500</v>
      </c>
      <c r="R127" s="90">
        <f>_xlfn.MAXIFS(关卡产出!Y:Y,关卡产出!$A:$A,玩家节奏2!$N$6,关卡产出!$B:$B,玩家节奏2!$N127)+_xlfn.MAXIFS(关卡产出!Y:Y,关卡产出!$A:$A,玩家节奏2!$O$6,关卡产出!$B:$B,玩家节奏2!$O127)+_xlfn.MAXIFS(关卡产出!Y:Y,关卡产出!$A:$A,玩家节奏2!$P$6,关卡产出!$B:$B,玩家节奏2!$P127)</f>
        <v>11610000</v>
      </c>
      <c r="S127" s="90">
        <f>_xlfn.MAXIFS(关卡产出!Z:Z,关卡产出!$A:$A,玩家节奏2!$N$6,关卡产出!$B:$B,玩家节奏2!$N127)+_xlfn.MAXIFS(关卡产出!Z:Z,关卡产出!$A:$A,玩家节奏2!$O$6,关卡产出!$B:$B,玩家节奏2!$O127)+_xlfn.MAXIFS(关卡产出!Z:Z,关卡产出!$A:$A,玩家节奏2!$P$6,关卡产出!$B:$B,玩家节奏2!$P127)</f>
        <v>78866</v>
      </c>
      <c r="T127" s="90">
        <f>_xlfn.MAXIFS(关卡产出!AA:AA,关卡产出!$A:$A,玩家节奏2!$N$6,关卡产出!$B:$B,玩家节奏2!$N127)+_xlfn.MAXIFS(关卡产出!AA:AA,关卡产出!$A:$A,玩家节奏2!$O$6,关卡产出!$B:$B,玩家节奏2!$O127)+_xlfn.MAXIFS(关卡产出!AA:AA,关卡产出!$A:$A,玩家节奏2!$P$6,关卡产出!$B:$B,玩家节奏2!$P127)</f>
        <v>39434</v>
      </c>
      <c r="U127" s="90">
        <f>_xlfn.MAXIFS(关卡产出!AB:AB,关卡产出!$A:$A,玩家节奏2!$N$6,关卡产出!$B:$B,玩家节奏2!$N127)+_xlfn.MAXIFS(关卡产出!AB:AB,关卡产出!$A:$A,玩家节奏2!$O$6,关卡产出!$B:$B,玩家节奏2!$O127)+_xlfn.MAXIFS(关卡产出!AB:AB,关卡产出!$A:$A,玩家节奏2!$P$6,关卡产出!$B:$B,玩家节奏2!$P127)</f>
        <v>19113</v>
      </c>
      <c r="V127" s="130">
        <f>_xlfn.MAXIFS(关卡产出!AC:AC,关卡产出!$A:$A,玩家节奏2!$N$6,关卡产出!$B:$B,玩家节奏2!$N127)+_xlfn.MAXIFS(关卡产出!AC:AC,关卡产出!$A:$A,玩家节奏2!$O$6,关卡产出!$B:$B,玩家节奏2!$O127)+_xlfn.MAXIFS(关卡产出!AC:AC,关卡产出!$A:$A,玩家节奏2!$P$6,关卡产出!$B:$B,玩家节奏2!$P127)</f>
        <v>1200</v>
      </c>
      <c r="W127" s="126">
        <f>INDEX(关卡产出!C$8:C$207,MATCH(玩家节奏2!$N127,关卡产出!$B$8:$B$207,0))*$K127</f>
        <v>2528</v>
      </c>
      <c r="X127" s="126">
        <f>INDEX(关卡产出!D$8:D$207,MATCH(玩家节奏2!$N127,关卡产出!$B$8:$B$207,0))*$K127</f>
        <v>1264</v>
      </c>
      <c r="Y127" s="126">
        <f>INDEX(关卡产出!E$8:E$207,MATCH(玩家节奏2!$N127,关卡产出!$B$8:$B$207,0))*$K127</f>
        <v>624</v>
      </c>
      <c r="Z127" s="144">
        <f>INDEX(关卡产出!F$8:F$207,MATCH(玩家节奏2!$N127,关卡产出!$B$8:$B$207,0))*$K127</f>
        <v>32800</v>
      </c>
      <c r="AA127" s="126">
        <f>SUM(W$7:W127)</f>
        <v>247758</v>
      </c>
      <c r="AB127" s="126">
        <f>SUM(X$7:X127)</f>
        <v>123715</v>
      </c>
      <c r="AC127" s="126">
        <f>SUM(Y$7:Y127)</f>
        <v>60851</v>
      </c>
      <c r="AD127" s="177">
        <f>SUM(Z$7:Z127)</f>
        <v>3242330</v>
      </c>
      <c r="AE127" s="128">
        <f>INDEX(图鉴!AQ:AQ,MATCH($N127,图鉴!$S:$S,0))*34</f>
        <v>714</v>
      </c>
      <c r="AF127" s="90">
        <f>INDEX(图鉴!AR:AR,MATCH($N127,图鉴!$S:$S,0))*34</f>
        <v>510</v>
      </c>
      <c r="AG127" s="90">
        <f>INDEX(图鉴!AS:AS,MATCH($N127,图鉴!$S:$S,0))*34</f>
        <v>204</v>
      </c>
      <c r="AH127" s="129">
        <f ca="1">INDEX(图鉴!AT:AT,MATCH($N127,图鉴!$S:$S,0))*34</f>
        <v>55930</v>
      </c>
      <c r="AI127" s="128">
        <f>SUM($AE$7:AE127)</f>
        <v>84490</v>
      </c>
      <c r="AJ127" s="90">
        <f>SUM(AF$7:AF127)</f>
        <v>58242</v>
      </c>
      <c r="AK127" s="90">
        <f>SUM(AG$7:AG127)</f>
        <v>22746</v>
      </c>
      <c r="AL127" s="130">
        <f ca="1">SUM(AH$7:AH127)</f>
        <v>5937896</v>
      </c>
      <c r="AM127" s="133">
        <f>IF(M127=0,0,INDEX(关卡产出!$AU$11:$AU$15,MATCH(玩家节奏2!N127,关卡产出!$AW$11:$AW$15,1))*M127)</f>
        <v>61000</v>
      </c>
      <c r="AN127" s="126">
        <f>IF(L127=0,0,$L127*关卡产出!AU$21)</f>
        <v>16000</v>
      </c>
      <c r="AO127" s="90">
        <f>IF(M127=0,0,$L127*关卡产出!AV$21)</f>
        <v>800</v>
      </c>
      <c r="AP127" s="129">
        <f>IF(N127=0,0,$L127*关卡产出!AW$21)</f>
        <v>16</v>
      </c>
      <c r="AQ127" s="138">
        <f>SUM(AN$7:AN127)</f>
        <v>1888000</v>
      </c>
      <c r="AR127" s="126">
        <f>SUM(AO$7:AO127)</f>
        <v>94400</v>
      </c>
      <c r="AS127" s="129">
        <f>SUM(AP$7:AP127)</f>
        <v>1888</v>
      </c>
      <c r="AT127" s="128">
        <v>3000</v>
      </c>
      <c r="AU127" s="129">
        <v>600</v>
      </c>
      <c r="AV127" s="128">
        <f>SUM(AT$7:AT127)</f>
        <v>363000</v>
      </c>
      <c r="AW127" s="90">
        <f>SUM(AU$7:AU127)</f>
        <v>72600</v>
      </c>
      <c r="AY127" s="128">
        <f t="shared" si="91"/>
        <v>38500</v>
      </c>
      <c r="AZ127" s="90">
        <f t="shared" si="92"/>
        <v>94400</v>
      </c>
      <c r="BA127" s="90">
        <f t="shared" si="93"/>
        <v>72600</v>
      </c>
      <c r="BB127" s="90">
        <f t="shared" ca="1" si="127"/>
        <v>40800</v>
      </c>
      <c r="BC127" s="90">
        <f t="shared" ca="1" si="129"/>
        <v>125325</v>
      </c>
      <c r="BD127" s="90">
        <f t="shared" ca="1" si="130"/>
        <v>120975</v>
      </c>
      <c r="BE127" s="90">
        <f t="shared" ca="1" si="94"/>
        <v>246300</v>
      </c>
      <c r="BF127" s="142">
        <f t="shared" ca="1" si="132"/>
        <v>0.30720127668063035</v>
      </c>
      <c r="BG127" s="142">
        <f t="shared" ca="1" si="133"/>
        <v>0.7532415719130261</v>
      </c>
      <c r="BH127" s="142">
        <f t="shared" ca="1" si="134"/>
        <v>0.57929383602633155</v>
      </c>
      <c r="BI127" s="142">
        <f t="shared" ca="1" si="137"/>
        <v>0.32555356074207059</v>
      </c>
      <c r="BJ127" s="143"/>
      <c r="BK127" s="128">
        <f ca="1">INDEX(商城宝箱!$L:$L,MATCH(BC127,商城宝箱!$N:$N,1))</f>
        <v>12</v>
      </c>
      <c r="BL127" s="90">
        <f ca="1">_xlfn.IFNA(INDEX(商城宝箱!T:T,MATCH(玩家节奏2!$BK127,商城宝箱!$L:$L,0)),0)+($BC127-INDEX(商城宝箱!$N:$N,MATCH(玩家节奏2!$BK127,商城宝箱!$L:$L,0)))/$BK$5*INDEX(商城宝箱!E$23:E$42,MATCH(玩家节奏2!$BK127+1,商城宝箱!$C$23:$C$42,0))</f>
        <v>313312.5</v>
      </c>
      <c r="BM127" s="90">
        <f ca="1">_xlfn.IFNA(INDEX(商城宝箱!U:U,MATCH(玩家节奏2!$BK127,商城宝箱!$L:$L,0)),0)+($BC127-INDEX(商城宝箱!$N:$N,MATCH(玩家节奏2!$BK127,商城宝箱!$L:$L,0)))/$BK$5*INDEX(商城宝箱!F$23:F$42,MATCH(玩家节奏2!$BK127+1,商城宝箱!$C$23:$C$42,0))</f>
        <v>348707.5</v>
      </c>
      <c r="BN127" s="90">
        <f ca="1">_xlfn.IFNA(INDEX(商城宝箱!V:V,MATCH(玩家节奏2!$BK127,商城宝箱!$L:$L,0)),0)+($BC127-INDEX(商城宝箱!$N:$N,MATCH(玩家节奏2!$BK127,商城宝箱!$L:$L,0)))/$BK$5*INDEX(商城宝箱!G$23:G$42,MATCH(玩家节奏2!$BK127+1,商城宝箱!$C$23:$C$42,0))</f>
        <v>176837</v>
      </c>
      <c r="BO127" s="90">
        <f ca="1">_xlfn.IFNA(INDEX(商城宝箱!W:W,MATCH(玩家节奏2!$BK127,商城宝箱!$L:$L,0)),0)+($BC127-INDEX(商城宝箱!$N:$N,MATCH(玩家节奏2!$BK127,商城宝箱!$L:$L,0)))/$BK$5*INDEX(商城宝箱!H$23:H$42,MATCH(玩家节奏2!$BK127+1,商城宝箱!$C$23:$C$42,0))</f>
        <v>28160.25</v>
      </c>
      <c r="BQ127" s="128">
        <f t="shared" si="79"/>
        <v>11610000</v>
      </c>
      <c r="BR127" s="90">
        <f t="shared" si="80"/>
        <v>3242330</v>
      </c>
      <c r="BS127" s="90">
        <f t="shared" ca="1" si="135"/>
        <v>5937896</v>
      </c>
      <c r="BT127" s="90">
        <f t="shared" si="136"/>
        <v>61000</v>
      </c>
      <c r="BU127" s="90">
        <f t="shared" si="83"/>
        <v>1888000</v>
      </c>
      <c r="BV127" s="90">
        <f t="shared" si="84"/>
        <v>363000</v>
      </c>
      <c r="BW127" s="90">
        <f t="shared" ca="1" si="96"/>
        <v>313312.5</v>
      </c>
      <c r="BX127" s="90">
        <f t="shared" ca="1" si="97"/>
        <v>23415538.5</v>
      </c>
      <c r="BY127" s="142">
        <f t="shared" ca="1" si="138"/>
        <v>0.49582459954956831</v>
      </c>
      <c r="BZ127" s="142">
        <f t="shared" ca="1" si="138"/>
        <v>0.13846916226163239</v>
      </c>
      <c r="CA127" s="142">
        <f t="shared" ca="1" si="138"/>
        <v>0.25358784723229832</v>
      </c>
      <c r="CB127" s="142">
        <f t="shared" ca="1" si="138"/>
        <v>2.6051077151183176E-3</v>
      </c>
      <c r="CC127" s="142">
        <f t="shared" ca="1" si="138"/>
        <v>8.0630219117104648E-2</v>
      </c>
      <c r="CD127" s="142">
        <f t="shared" ca="1" si="138"/>
        <v>1.550252623914671E-2</v>
      </c>
      <c r="CE127" s="142">
        <f t="shared" ca="1" si="138"/>
        <v>1.3380537885131277E-2</v>
      </c>
      <c r="CG127" s="128">
        <f t="shared" si="98"/>
        <v>200</v>
      </c>
      <c r="CH127" s="90">
        <f ca="1">INDEX(角色升级!$A:$A,MATCH(玩家节奏2!$BX127,角色升级!$J:$J,1))</f>
        <v>1023</v>
      </c>
      <c r="CI127" s="90">
        <f ca="1">INDEX(角色升级!$O:$O,MATCH(玩家节奏2!$BX127,角色升级!$J:$J,1))</f>
        <v>94427.418149999998</v>
      </c>
      <c r="CJ127" s="90">
        <f>INDEX(关卡对比!$J:$J,MATCH(玩家节奏2!N127,关卡对比!$A:$A,0))</f>
        <v>86200</v>
      </c>
      <c r="CK127" s="147">
        <f t="shared" ca="1" si="99"/>
        <v>0.91287045318838889</v>
      </c>
      <c r="CL127" s="128">
        <f ca="1">INDEX(角色升级!$P:$P,MATCH(玩家节奏2!$CH127,角色升级!$A:$A,0))</f>
        <v>40800</v>
      </c>
      <c r="CM127" s="90">
        <f ca="1">INDEX(角色升级!Q:Q,MATCH(玩家节奏2!$CH127,角色升级!$A:$A,0))</f>
        <v>2.2000000000000002</v>
      </c>
      <c r="CO127" s="128">
        <f t="shared" si="100"/>
        <v>78866</v>
      </c>
      <c r="CP127" s="90">
        <f t="shared" si="101"/>
        <v>247758</v>
      </c>
      <c r="CQ127" s="90">
        <f t="shared" si="102"/>
        <v>84490</v>
      </c>
      <c r="CR127" s="90">
        <f t="shared" ca="1" si="103"/>
        <v>348707.5</v>
      </c>
      <c r="CS127" s="90">
        <f t="shared" ca="1" si="104"/>
        <v>759821.5</v>
      </c>
      <c r="CT127" s="142">
        <f t="shared" ca="1" si="105"/>
        <v>0.10379543090054703</v>
      </c>
      <c r="CU127" s="142">
        <f t="shared" ca="1" si="105"/>
        <v>0.32607395289551561</v>
      </c>
      <c r="CV127" s="142">
        <f t="shared" ca="1" si="105"/>
        <v>0.11119716933516623</v>
      </c>
      <c r="CW127" s="142">
        <f t="shared" ca="1" si="105"/>
        <v>0.45893344686877113</v>
      </c>
      <c r="CY127" s="128">
        <f t="shared" si="106"/>
        <v>39434</v>
      </c>
      <c r="CZ127" s="90">
        <f t="shared" si="107"/>
        <v>123715</v>
      </c>
      <c r="DA127" s="90">
        <f t="shared" si="108"/>
        <v>58242</v>
      </c>
      <c r="DB127" s="90">
        <f t="shared" ca="1" si="128"/>
        <v>176837</v>
      </c>
      <c r="DC127" s="90">
        <f t="shared" ca="1" si="109"/>
        <v>398228</v>
      </c>
      <c r="DD127" s="142">
        <f t="shared" ca="1" si="110"/>
        <v>9.9023674879717152E-2</v>
      </c>
      <c r="DE127" s="142">
        <f t="shared" ca="1" si="110"/>
        <v>0.3106637403698384</v>
      </c>
      <c r="DF127" s="142">
        <f t="shared" ca="1" si="110"/>
        <v>0.14625290034854405</v>
      </c>
      <c r="DG127" s="142">
        <f t="shared" ca="1" si="110"/>
        <v>0.44405968440190041</v>
      </c>
      <c r="DI127" s="128">
        <f t="shared" si="111"/>
        <v>19113</v>
      </c>
      <c r="DJ127" s="90">
        <f t="shared" si="112"/>
        <v>60851</v>
      </c>
      <c r="DK127" s="90">
        <f t="shared" si="113"/>
        <v>22746</v>
      </c>
      <c r="DL127" s="90">
        <f t="shared" ca="1" si="114"/>
        <v>28160.25</v>
      </c>
      <c r="DM127" s="90">
        <f t="shared" ca="1" si="115"/>
        <v>130870.25</v>
      </c>
      <c r="DN127" s="142">
        <f t="shared" ca="1" si="116"/>
        <v>0.14604541521086725</v>
      </c>
      <c r="DO127" s="142">
        <f t="shared" ca="1" si="116"/>
        <v>0.46497198561170322</v>
      </c>
      <c r="DP127" s="142">
        <f t="shared" ca="1" si="116"/>
        <v>0.17380573506965868</v>
      </c>
      <c r="DQ127" s="142">
        <f t="shared" ca="1" si="116"/>
        <v>0.21517686410777087</v>
      </c>
      <c r="DS127" s="128">
        <f t="shared" ca="1" si="117"/>
        <v>759821.5</v>
      </c>
      <c r="DT127" s="90">
        <f t="shared" ca="1" si="118"/>
        <v>398228</v>
      </c>
      <c r="DU127" s="90">
        <f t="shared" ca="1" si="119"/>
        <v>130870.25</v>
      </c>
      <c r="DV127" s="90">
        <f t="shared" si="120"/>
        <v>1888</v>
      </c>
      <c r="DW127" s="90">
        <f ca="1">_xlfn.IFNA(INDEX(武器升级消耗!$H:$H,MATCH(玩家节奏2!DS127/玩家节奏2!DS$5,武器升级消耗!M:M,1)),0)</f>
        <v>75</v>
      </c>
      <c r="DX127" s="90">
        <f ca="1">_xlfn.IFNA(INDEX(武器升级消耗!$H:$H,MATCH(玩家节奏2!DT127/玩家节奏2!DT$5,武器升级消耗!N:N,1)),0)</f>
        <v>66</v>
      </c>
      <c r="DY127" s="90">
        <f ca="1">_xlfn.IFNA(INDEX(武器升级消耗!$H:$H,MATCH(玩家节奏2!DU127/玩家节奏2!DU$5,武器升级消耗!O:O,1)),0)</f>
        <v>50</v>
      </c>
      <c r="DZ127" s="90">
        <f>_xlfn.IFNA(INDEX(武器升级消耗!$H:$H,MATCH(玩家节奏2!DV127/玩家节奏2!DV$5,武器升级消耗!P:P,1)),0)</f>
        <v>31</v>
      </c>
      <c r="EA127" s="90">
        <f ca="1">_xlfn.IFNA(INDEX(武器升级消耗!$Q:$Q,MATCH(玩家节奏2!DW127,武器升级消耗!$H:$H,0))*2*EA$4,0)</f>
        <v>9.479999999999988</v>
      </c>
      <c r="EB127" s="90">
        <f ca="1">_xlfn.IFNA(INDEX(武器升级消耗!$Q:$Q,MATCH(玩家节奏2!DX127,武器升级消耗!$H:$H,0))*2*EB$4,0)</f>
        <v>10.5</v>
      </c>
      <c r="EC127" s="90">
        <f ca="1">_xlfn.IFNA(INDEX(武器升级消耗!$Q:$Q,MATCH(玩家节奏2!DY127,武器升级消耗!$H:$H,0))*2*EC$4,0)</f>
        <v>11.880000000000003</v>
      </c>
      <c r="ED127" s="90">
        <f>_xlfn.IFNA(INDEX(武器升级消耗!$Q:$Q,MATCH(玩家节奏2!DZ127,武器升级消耗!$H:$H,0))*2*ED$4,0)</f>
        <v>10.5</v>
      </c>
    </row>
    <row r="128" spans="1:134" x14ac:dyDescent="0.25">
      <c r="A128" s="123">
        <v>122</v>
      </c>
      <c r="B128" s="123">
        <f>INDEX(关卡对比!$Y:$Y,MATCH(关卡对比!Z128,关卡对比!$AA:$AA,1))</f>
        <v>74</v>
      </c>
      <c r="C128" s="124">
        <f>INDEX(关卡对比!$Y:$Y,MATCH(关卡对比!Z128,关卡对比!$AB:$AB,1))</f>
        <v>59</v>
      </c>
      <c r="D128" s="125">
        <f t="shared" si="131"/>
        <v>479.5</v>
      </c>
      <c r="E128" s="125">
        <v>2</v>
      </c>
      <c r="F128" s="128">
        <v>16</v>
      </c>
      <c r="G128" s="90">
        <v>16</v>
      </c>
      <c r="H128" s="90">
        <v>5</v>
      </c>
      <c r="J128" s="128">
        <v>122</v>
      </c>
      <c r="K128" s="90">
        <f t="shared" si="88"/>
        <v>16</v>
      </c>
      <c r="L128" s="90">
        <f t="shared" si="89"/>
        <v>16</v>
      </c>
      <c r="M128" s="90">
        <f t="shared" si="90"/>
        <v>5</v>
      </c>
      <c r="N128" s="140">
        <f>INDEX($A:$A,MATCH(SUM($K$7:K128),$D:$D,1))</f>
        <v>200</v>
      </c>
      <c r="O128" s="140">
        <v>0</v>
      </c>
      <c r="P128" s="141">
        <v>0</v>
      </c>
      <c r="Q128" s="126">
        <f>_xlfn.MAXIFS(关卡产出!X:X,关卡产出!$A:$A,玩家节奏2!$N$6,关卡产出!$B:$B,玩家节奏2!$N128)+_xlfn.MAXIFS(关卡产出!X:X,关卡产出!$A:$A,玩家节奏2!$O$6,关卡产出!$B:$B,玩家节奏2!$O128)+_xlfn.MAXIFS(关卡产出!X:X,关卡产出!$A:$A,玩家节奏2!$P$6,关卡产出!$B:$B,玩家节奏2!$P128)</f>
        <v>38500</v>
      </c>
      <c r="R128" s="90">
        <f>_xlfn.MAXIFS(关卡产出!Y:Y,关卡产出!$A:$A,玩家节奏2!$N$6,关卡产出!$B:$B,玩家节奏2!$N128)+_xlfn.MAXIFS(关卡产出!Y:Y,关卡产出!$A:$A,玩家节奏2!$O$6,关卡产出!$B:$B,玩家节奏2!$O128)+_xlfn.MAXIFS(关卡产出!Y:Y,关卡产出!$A:$A,玩家节奏2!$P$6,关卡产出!$B:$B,玩家节奏2!$P128)</f>
        <v>11610000</v>
      </c>
      <c r="S128" s="90">
        <f>_xlfn.MAXIFS(关卡产出!Z:Z,关卡产出!$A:$A,玩家节奏2!$N$6,关卡产出!$B:$B,玩家节奏2!$N128)+_xlfn.MAXIFS(关卡产出!Z:Z,关卡产出!$A:$A,玩家节奏2!$O$6,关卡产出!$B:$B,玩家节奏2!$O128)+_xlfn.MAXIFS(关卡产出!Z:Z,关卡产出!$A:$A,玩家节奏2!$P$6,关卡产出!$B:$B,玩家节奏2!$P128)</f>
        <v>78866</v>
      </c>
      <c r="T128" s="90">
        <f>_xlfn.MAXIFS(关卡产出!AA:AA,关卡产出!$A:$A,玩家节奏2!$N$6,关卡产出!$B:$B,玩家节奏2!$N128)+_xlfn.MAXIFS(关卡产出!AA:AA,关卡产出!$A:$A,玩家节奏2!$O$6,关卡产出!$B:$B,玩家节奏2!$O128)+_xlfn.MAXIFS(关卡产出!AA:AA,关卡产出!$A:$A,玩家节奏2!$P$6,关卡产出!$B:$B,玩家节奏2!$P128)</f>
        <v>39434</v>
      </c>
      <c r="U128" s="90">
        <f>_xlfn.MAXIFS(关卡产出!AB:AB,关卡产出!$A:$A,玩家节奏2!$N$6,关卡产出!$B:$B,玩家节奏2!$N128)+_xlfn.MAXIFS(关卡产出!AB:AB,关卡产出!$A:$A,玩家节奏2!$O$6,关卡产出!$B:$B,玩家节奏2!$O128)+_xlfn.MAXIFS(关卡产出!AB:AB,关卡产出!$A:$A,玩家节奏2!$P$6,关卡产出!$B:$B,玩家节奏2!$P128)</f>
        <v>19113</v>
      </c>
      <c r="V128" s="130">
        <f>_xlfn.MAXIFS(关卡产出!AC:AC,关卡产出!$A:$A,玩家节奏2!$N$6,关卡产出!$B:$B,玩家节奏2!$N128)+_xlfn.MAXIFS(关卡产出!AC:AC,关卡产出!$A:$A,玩家节奏2!$O$6,关卡产出!$B:$B,玩家节奏2!$O128)+_xlfn.MAXIFS(关卡产出!AC:AC,关卡产出!$A:$A,玩家节奏2!$P$6,关卡产出!$B:$B,玩家节奏2!$P128)</f>
        <v>1200</v>
      </c>
      <c r="W128" s="126">
        <f>INDEX(关卡产出!C$8:C$207,MATCH(玩家节奏2!$N128,关卡产出!$B$8:$B$207,0))*$K128</f>
        <v>2528</v>
      </c>
      <c r="X128" s="126">
        <f>INDEX(关卡产出!D$8:D$207,MATCH(玩家节奏2!$N128,关卡产出!$B$8:$B$207,0))*$K128</f>
        <v>1264</v>
      </c>
      <c r="Y128" s="126">
        <f>INDEX(关卡产出!E$8:E$207,MATCH(玩家节奏2!$N128,关卡产出!$B$8:$B$207,0))*$K128</f>
        <v>624</v>
      </c>
      <c r="Z128" s="144">
        <f>INDEX(关卡产出!F$8:F$207,MATCH(玩家节奏2!$N128,关卡产出!$B$8:$B$207,0))*$K128</f>
        <v>32800</v>
      </c>
      <c r="AA128" s="126">
        <f>SUM(W$7:W128)</f>
        <v>250286</v>
      </c>
      <c r="AB128" s="126">
        <f>SUM(X$7:X128)</f>
        <v>124979</v>
      </c>
      <c r="AC128" s="126">
        <f>SUM(Y$7:Y128)</f>
        <v>61475</v>
      </c>
      <c r="AD128" s="177">
        <f>SUM(Z$7:Z128)</f>
        <v>3275130</v>
      </c>
      <c r="AE128" s="128">
        <f>INDEX(图鉴!AQ:AQ,MATCH($N128,图鉴!$S:$S,0))*34</f>
        <v>714</v>
      </c>
      <c r="AF128" s="90">
        <f>INDEX(图鉴!AR:AR,MATCH($N128,图鉴!$S:$S,0))*34</f>
        <v>510</v>
      </c>
      <c r="AG128" s="90">
        <f>INDEX(图鉴!AS:AS,MATCH($N128,图鉴!$S:$S,0))*34</f>
        <v>204</v>
      </c>
      <c r="AH128" s="129">
        <f ca="1">INDEX(图鉴!AT:AT,MATCH($N128,图鉴!$S:$S,0))*34</f>
        <v>55930</v>
      </c>
      <c r="AI128" s="128">
        <f>SUM($AE$7:AE128)</f>
        <v>85204</v>
      </c>
      <c r="AJ128" s="90">
        <f>SUM(AF$7:AF128)</f>
        <v>58752</v>
      </c>
      <c r="AK128" s="90">
        <f>SUM(AG$7:AG128)</f>
        <v>22950</v>
      </c>
      <c r="AL128" s="130">
        <f ca="1">SUM(AH$7:AH128)</f>
        <v>5993826</v>
      </c>
      <c r="AM128" s="133">
        <f>IF(M128=0,0,INDEX(关卡产出!$AU$11:$AU$15,MATCH(玩家节奏2!N128,关卡产出!$AW$11:$AW$15,1))*M128)</f>
        <v>61000</v>
      </c>
      <c r="AN128" s="126">
        <f>IF(L128=0,0,$L128*关卡产出!AU$21)</f>
        <v>16000</v>
      </c>
      <c r="AO128" s="90">
        <f>IF(M128=0,0,$L128*关卡产出!AV$21)</f>
        <v>800</v>
      </c>
      <c r="AP128" s="129">
        <f>IF(N128=0,0,$L128*关卡产出!AW$21)</f>
        <v>16</v>
      </c>
      <c r="AQ128" s="138">
        <f>SUM(AN$7:AN128)</f>
        <v>1904000</v>
      </c>
      <c r="AR128" s="126">
        <f>SUM(AO$7:AO128)</f>
        <v>95200</v>
      </c>
      <c r="AS128" s="129">
        <f>SUM(AP$7:AP128)</f>
        <v>1904</v>
      </c>
      <c r="AT128" s="128">
        <v>3000</v>
      </c>
      <c r="AU128" s="129">
        <v>600</v>
      </c>
      <c r="AV128" s="128">
        <f>SUM(AT$7:AT128)</f>
        <v>366000</v>
      </c>
      <c r="AW128" s="90">
        <f>SUM(AU$7:AU128)</f>
        <v>73200</v>
      </c>
      <c r="AY128" s="128">
        <f t="shared" si="91"/>
        <v>38500</v>
      </c>
      <c r="AZ128" s="90">
        <f t="shared" si="92"/>
        <v>95200</v>
      </c>
      <c r="BA128" s="90">
        <f t="shared" si="93"/>
        <v>73200</v>
      </c>
      <c r="BB128" s="90">
        <f t="shared" ca="1" si="127"/>
        <v>40800</v>
      </c>
      <c r="BC128" s="90">
        <f t="shared" ca="1" si="129"/>
        <v>126025</v>
      </c>
      <c r="BD128" s="90">
        <f t="shared" ca="1" si="130"/>
        <v>121675</v>
      </c>
      <c r="BE128" s="90">
        <f t="shared" ca="1" si="94"/>
        <v>247700</v>
      </c>
      <c r="BF128" s="142">
        <f t="shared" ca="1" si="132"/>
        <v>0.30549494147986511</v>
      </c>
      <c r="BG128" s="142">
        <f t="shared" ca="1" si="133"/>
        <v>0.75540567347748466</v>
      </c>
      <c r="BH128" s="142">
        <f t="shared" ca="1" si="134"/>
        <v>0.5808371354889903</v>
      </c>
      <c r="BI128" s="142">
        <f t="shared" ca="1" si="137"/>
        <v>0.32374528863320767</v>
      </c>
      <c r="BJ128" s="143"/>
      <c r="BK128" s="128">
        <f ca="1">INDEX(商城宝箱!$L:$L,MATCH(BC128,商城宝箱!$N:$N,1))</f>
        <v>12</v>
      </c>
      <c r="BL128" s="90">
        <f ca="1">_xlfn.IFNA(INDEX(商城宝箱!T:T,MATCH(玩家节奏2!$BK128,商城宝箱!$L:$L,0)),0)+($BC128-INDEX(商城宝箱!$N:$N,MATCH(玩家节奏2!$BK128,商城宝箱!$L:$L,0)))/$BK$5*INDEX(商城宝箱!E$23:E$42,MATCH(玩家节奏2!$BK128+1,商城宝箱!$C$23:$C$42,0))</f>
        <v>315062.5</v>
      </c>
      <c r="BM128" s="90">
        <f ca="1">_xlfn.IFNA(INDEX(商城宝箱!U:U,MATCH(玩家节奏2!$BK128,商城宝箱!$L:$L,0)),0)+($BC128-INDEX(商城宝箱!$N:$N,MATCH(玩家节奏2!$BK128,商城宝箱!$L:$L,0)))/$BK$5*INDEX(商城宝箱!F$23:F$42,MATCH(玩家节奏2!$BK128+1,商城宝箱!$C$23:$C$42,0))</f>
        <v>351647.5</v>
      </c>
      <c r="BN128" s="90">
        <f ca="1">_xlfn.IFNA(INDEX(商城宝箱!V:V,MATCH(玩家节奏2!$BK128,商城宝箱!$L:$L,0)),0)+($BC128-INDEX(商城宝箱!$N:$N,MATCH(玩家节奏2!$BK128,商城宝箱!$L:$L,0)))/$BK$5*INDEX(商城宝箱!G$23:G$42,MATCH(玩家节奏2!$BK128+1,商城宝箱!$C$23:$C$42,0))</f>
        <v>178237</v>
      </c>
      <c r="BO128" s="90">
        <f ca="1">_xlfn.IFNA(INDEX(商城宝箱!W:W,MATCH(玩家节奏2!$BK128,商城宝箱!$L:$L,0)),0)+($BC128-INDEX(商城宝箱!$N:$N,MATCH(玩家节奏2!$BK128,商城宝箱!$L:$L,0)))/$BK$5*INDEX(商城宝箱!H$23:H$42,MATCH(玩家节奏2!$BK128+1,商城宝箱!$C$23:$C$42,0))</f>
        <v>28405.25</v>
      </c>
      <c r="BQ128" s="128">
        <f t="shared" si="79"/>
        <v>11610000</v>
      </c>
      <c r="BR128" s="90">
        <f t="shared" si="80"/>
        <v>3275130</v>
      </c>
      <c r="BS128" s="90">
        <f t="shared" ca="1" si="135"/>
        <v>5993826</v>
      </c>
      <c r="BT128" s="90">
        <f t="shared" si="136"/>
        <v>61000</v>
      </c>
      <c r="BU128" s="90">
        <f t="shared" si="83"/>
        <v>1904000</v>
      </c>
      <c r="BV128" s="90">
        <f t="shared" si="84"/>
        <v>366000</v>
      </c>
      <c r="BW128" s="90">
        <f t="shared" ca="1" si="96"/>
        <v>315062.5</v>
      </c>
      <c r="BX128" s="90">
        <f t="shared" ca="1" si="97"/>
        <v>23525018.5</v>
      </c>
      <c r="BY128" s="142">
        <f t="shared" ca="1" si="138"/>
        <v>0.4935171464371006</v>
      </c>
      <c r="BZ128" s="142">
        <f t="shared" ca="1" si="138"/>
        <v>0.13921901910512843</v>
      </c>
      <c r="CA128" s="142">
        <f t="shared" ca="1" si="138"/>
        <v>0.25478517689582264</v>
      </c>
      <c r="CB128" s="142">
        <f t="shared" ca="1" si="138"/>
        <v>2.5929841457935517E-3</v>
      </c>
      <c r="CC128" s="142">
        <f t="shared" ca="1" si="138"/>
        <v>8.093511169821184E-2</v>
      </c>
      <c r="CD128" s="142">
        <f t="shared" ca="1" si="138"/>
        <v>1.5557904874761309E-2</v>
      </c>
      <c r="CE128" s="142">
        <f t="shared" ca="1" si="138"/>
        <v>1.3392656843181654E-2</v>
      </c>
      <c r="CG128" s="128">
        <f t="shared" si="98"/>
        <v>200</v>
      </c>
      <c r="CH128" s="90">
        <f ca="1">INDEX(角色升级!$A:$A,MATCH(玩家节奏2!$BX128,角色升级!$J:$J,1))</f>
        <v>1025</v>
      </c>
      <c r="CI128" s="90">
        <f ca="1">INDEX(角色升级!$O:$O,MATCH(玩家节奏2!$BX128,角色升级!$J:$J,1))</f>
        <v>95523.590500000006</v>
      </c>
      <c r="CJ128" s="90">
        <f>INDEX(关卡对比!$J:$J,MATCH(玩家节奏2!N128,关卡对比!$A:$A,0))</f>
        <v>86200</v>
      </c>
      <c r="CK128" s="147">
        <f t="shared" ca="1" si="99"/>
        <v>0.90239489061081712</v>
      </c>
      <c r="CL128" s="128">
        <f ca="1">INDEX(角色升级!$P:$P,MATCH(玩家节奏2!$CH128,角色升级!$A:$A,0))</f>
        <v>40800</v>
      </c>
      <c r="CM128" s="90">
        <f ca="1">INDEX(角色升级!Q:Q,MATCH(玩家节奏2!$CH128,角色升级!$A:$A,0))</f>
        <v>2.2000000000000002</v>
      </c>
      <c r="CO128" s="128">
        <f t="shared" si="100"/>
        <v>78866</v>
      </c>
      <c r="CP128" s="90">
        <f t="shared" si="101"/>
        <v>250286</v>
      </c>
      <c r="CQ128" s="90">
        <f t="shared" si="102"/>
        <v>85204</v>
      </c>
      <c r="CR128" s="90">
        <f t="shared" ca="1" si="103"/>
        <v>351647.5</v>
      </c>
      <c r="CS128" s="90">
        <f t="shared" ca="1" si="104"/>
        <v>766003.5</v>
      </c>
      <c r="CT128" s="142">
        <f t="shared" ca="1" si="105"/>
        <v>0.10295775410947861</v>
      </c>
      <c r="CU128" s="142">
        <f t="shared" ca="1" si="105"/>
        <v>0.32674263237700613</v>
      </c>
      <c r="CV128" s="142">
        <f t="shared" ca="1" si="105"/>
        <v>0.11123186773950772</v>
      </c>
      <c r="CW128" s="142">
        <f t="shared" ca="1" si="105"/>
        <v>0.45906774577400755</v>
      </c>
      <c r="CY128" s="128">
        <f t="shared" si="106"/>
        <v>39434</v>
      </c>
      <c r="CZ128" s="90">
        <f t="shared" si="107"/>
        <v>124979</v>
      </c>
      <c r="DA128" s="90">
        <f t="shared" si="108"/>
        <v>58752</v>
      </c>
      <c r="DB128" s="90">
        <f t="shared" ca="1" si="128"/>
        <v>178237</v>
      </c>
      <c r="DC128" s="90">
        <f t="shared" ca="1" si="109"/>
        <v>401402</v>
      </c>
      <c r="DD128" s="142">
        <f t="shared" ca="1" si="110"/>
        <v>9.824066646404353E-2</v>
      </c>
      <c r="DE128" s="142">
        <f t="shared" ca="1" si="110"/>
        <v>0.31135619653115831</v>
      </c>
      <c r="DF128" s="142">
        <f t="shared" ca="1" si="110"/>
        <v>0.1463669837220542</v>
      </c>
      <c r="DG128" s="142">
        <f t="shared" ca="1" si="110"/>
        <v>0.44403615328274398</v>
      </c>
      <c r="DI128" s="128">
        <f t="shared" si="111"/>
        <v>19113</v>
      </c>
      <c r="DJ128" s="90">
        <f t="shared" si="112"/>
        <v>61475</v>
      </c>
      <c r="DK128" s="90">
        <f t="shared" si="113"/>
        <v>22950</v>
      </c>
      <c r="DL128" s="90">
        <f t="shared" ca="1" si="114"/>
        <v>28405.25</v>
      </c>
      <c r="DM128" s="90">
        <f t="shared" ca="1" si="115"/>
        <v>131943.25</v>
      </c>
      <c r="DN128" s="142">
        <f t="shared" ca="1" si="116"/>
        <v>0.14485773239631433</v>
      </c>
      <c r="DO128" s="142">
        <f t="shared" ca="1" si="116"/>
        <v>0.46592000727585536</v>
      </c>
      <c r="DP128" s="142">
        <f t="shared" ca="1" si="116"/>
        <v>0.17393841670566701</v>
      </c>
      <c r="DQ128" s="142">
        <f t="shared" ca="1" si="116"/>
        <v>0.21528384362216332</v>
      </c>
      <c r="DS128" s="128">
        <f t="shared" ca="1" si="117"/>
        <v>766003.5</v>
      </c>
      <c r="DT128" s="90">
        <f t="shared" ca="1" si="118"/>
        <v>401402</v>
      </c>
      <c r="DU128" s="90">
        <f t="shared" ca="1" si="119"/>
        <v>131943.25</v>
      </c>
      <c r="DV128" s="90">
        <f t="shared" si="120"/>
        <v>1904</v>
      </c>
      <c r="DW128" s="90">
        <f ca="1">_xlfn.IFNA(INDEX(武器升级消耗!$H:$H,MATCH(玩家节奏2!DS128/玩家节奏2!DS$5,武器升级消耗!M:M,1)),0)</f>
        <v>76</v>
      </c>
      <c r="DX128" s="90">
        <f ca="1">_xlfn.IFNA(INDEX(武器升级消耗!$H:$H,MATCH(玩家节奏2!DT128/玩家节奏2!DT$5,武器升级消耗!N:N,1)),0)</f>
        <v>66</v>
      </c>
      <c r="DY128" s="90">
        <f ca="1">_xlfn.IFNA(INDEX(武器升级消耗!$H:$H,MATCH(玩家节奏2!DU128/玩家节奏2!DU$5,武器升级消耗!O:O,1)),0)</f>
        <v>50</v>
      </c>
      <c r="DZ128" s="90">
        <f>_xlfn.IFNA(INDEX(武器升级消耗!$H:$H,MATCH(玩家节奏2!DV128/玩家节奏2!DV$5,武器升级消耗!P:P,1)),0)</f>
        <v>31</v>
      </c>
      <c r="EA128" s="90">
        <f ca="1">_xlfn.IFNA(INDEX(武器升级消耗!$Q:$Q,MATCH(玩家节奏2!DW128,武器升级消耗!$H:$H,0))*2*EA$4,0)</f>
        <v>9.5999999999999872</v>
      </c>
      <c r="EB128" s="90">
        <f ca="1">_xlfn.IFNA(INDEX(武器升级消耗!$Q:$Q,MATCH(玩家节奏2!DX128,武器升级消耗!$H:$H,0))*2*EB$4,0)</f>
        <v>10.5</v>
      </c>
      <c r="EC128" s="90">
        <f ca="1">_xlfn.IFNA(INDEX(武器升级消耗!$Q:$Q,MATCH(玩家节奏2!DY128,武器升级消耗!$H:$H,0))*2*EC$4,0)</f>
        <v>11.880000000000003</v>
      </c>
      <c r="ED128" s="90">
        <f>_xlfn.IFNA(INDEX(武器升级消耗!$Q:$Q,MATCH(玩家节奏2!DZ128,武器升级消耗!$H:$H,0))*2*ED$4,0)</f>
        <v>10.5</v>
      </c>
    </row>
    <row r="129" spans="1:134" x14ac:dyDescent="0.25">
      <c r="A129" s="123">
        <v>123</v>
      </c>
      <c r="B129" s="123">
        <f>INDEX(关卡对比!$Y:$Y,MATCH(关卡对比!Z129,关卡对比!$AA:$AA,1))</f>
        <v>75</v>
      </c>
      <c r="C129" s="124">
        <f>INDEX(关卡对比!$Y:$Y,MATCH(关卡对比!Z129,关卡对比!$AB:$AB,1))</f>
        <v>59</v>
      </c>
      <c r="D129" s="125">
        <f t="shared" si="131"/>
        <v>483.5</v>
      </c>
      <c r="E129" s="125">
        <v>2</v>
      </c>
      <c r="F129" s="128">
        <v>16</v>
      </c>
      <c r="G129" s="90">
        <v>16</v>
      </c>
      <c r="H129" s="90">
        <v>5</v>
      </c>
      <c r="J129" s="128">
        <v>123</v>
      </c>
      <c r="K129" s="90">
        <f t="shared" si="88"/>
        <v>16</v>
      </c>
      <c r="L129" s="90">
        <f t="shared" si="89"/>
        <v>16</v>
      </c>
      <c r="M129" s="90">
        <f t="shared" si="90"/>
        <v>5</v>
      </c>
      <c r="N129" s="140">
        <f>INDEX($A:$A,MATCH(SUM($K$7:K129),$D:$D,1))</f>
        <v>200</v>
      </c>
      <c r="O129" s="140">
        <v>0</v>
      </c>
      <c r="P129" s="141">
        <v>0</v>
      </c>
      <c r="Q129" s="126">
        <f>_xlfn.MAXIFS(关卡产出!X:X,关卡产出!$A:$A,玩家节奏2!$N$6,关卡产出!$B:$B,玩家节奏2!$N129)+_xlfn.MAXIFS(关卡产出!X:X,关卡产出!$A:$A,玩家节奏2!$O$6,关卡产出!$B:$B,玩家节奏2!$O129)+_xlfn.MAXIFS(关卡产出!X:X,关卡产出!$A:$A,玩家节奏2!$P$6,关卡产出!$B:$B,玩家节奏2!$P129)</f>
        <v>38500</v>
      </c>
      <c r="R129" s="90">
        <f>_xlfn.MAXIFS(关卡产出!Y:Y,关卡产出!$A:$A,玩家节奏2!$N$6,关卡产出!$B:$B,玩家节奏2!$N129)+_xlfn.MAXIFS(关卡产出!Y:Y,关卡产出!$A:$A,玩家节奏2!$O$6,关卡产出!$B:$B,玩家节奏2!$O129)+_xlfn.MAXIFS(关卡产出!Y:Y,关卡产出!$A:$A,玩家节奏2!$P$6,关卡产出!$B:$B,玩家节奏2!$P129)</f>
        <v>11610000</v>
      </c>
      <c r="S129" s="90">
        <f>_xlfn.MAXIFS(关卡产出!Z:Z,关卡产出!$A:$A,玩家节奏2!$N$6,关卡产出!$B:$B,玩家节奏2!$N129)+_xlfn.MAXIFS(关卡产出!Z:Z,关卡产出!$A:$A,玩家节奏2!$O$6,关卡产出!$B:$B,玩家节奏2!$O129)+_xlfn.MAXIFS(关卡产出!Z:Z,关卡产出!$A:$A,玩家节奏2!$P$6,关卡产出!$B:$B,玩家节奏2!$P129)</f>
        <v>78866</v>
      </c>
      <c r="T129" s="90">
        <f>_xlfn.MAXIFS(关卡产出!AA:AA,关卡产出!$A:$A,玩家节奏2!$N$6,关卡产出!$B:$B,玩家节奏2!$N129)+_xlfn.MAXIFS(关卡产出!AA:AA,关卡产出!$A:$A,玩家节奏2!$O$6,关卡产出!$B:$B,玩家节奏2!$O129)+_xlfn.MAXIFS(关卡产出!AA:AA,关卡产出!$A:$A,玩家节奏2!$P$6,关卡产出!$B:$B,玩家节奏2!$P129)</f>
        <v>39434</v>
      </c>
      <c r="U129" s="90">
        <f>_xlfn.MAXIFS(关卡产出!AB:AB,关卡产出!$A:$A,玩家节奏2!$N$6,关卡产出!$B:$B,玩家节奏2!$N129)+_xlfn.MAXIFS(关卡产出!AB:AB,关卡产出!$A:$A,玩家节奏2!$O$6,关卡产出!$B:$B,玩家节奏2!$O129)+_xlfn.MAXIFS(关卡产出!AB:AB,关卡产出!$A:$A,玩家节奏2!$P$6,关卡产出!$B:$B,玩家节奏2!$P129)</f>
        <v>19113</v>
      </c>
      <c r="V129" s="130">
        <f>_xlfn.MAXIFS(关卡产出!AC:AC,关卡产出!$A:$A,玩家节奏2!$N$6,关卡产出!$B:$B,玩家节奏2!$N129)+_xlfn.MAXIFS(关卡产出!AC:AC,关卡产出!$A:$A,玩家节奏2!$O$6,关卡产出!$B:$B,玩家节奏2!$O129)+_xlfn.MAXIFS(关卡产出!AC:AC,关卡产出!$A:$A,玩家节奏2!$P$6,关卡产出!$B:$B,玩家节奏2!$P129)</f>
        <v>1200</v>
      </c>
      <c r="W129" s="126">
        <f>INDEX(关卡产出!C$8:C$207,MATCH(玩家节奏2!$N129,关卡产出!$B$8:$B$207,0))*$K129</f>
        <v>2528</v>
      </c>
      <c r="X129" s="126">
        <f>INDEX(关卡产出!D$8:D$207,MATCH(玩家节奏2!$N129,关卡产出!$B$8:$B$207,0))*$K129</f>
        <v>1264</v>
      </c>
      <c r="Y129" s="126">
        <f>INDEX(关卡产出!E$8:E$207,MATCH(玩家节奏2!$N129,关卡产出!$B$8:$B$207,0))*$K129</f>
        <v>624</v>
      </c>
      <c r="Z129" s="144">
        <f>INDEX(关卡产出!F$8:F$207,MATCH(玩家节奏2!$N129,关卡产出!$B$8:$B$207,0))*$K129</f>
        <v>32800</v>
      </c>
      <c r="AA129" s="126">
        <f>SUM(W$7:W129)</f>
        <v>252814</v>
      </c>
      <c r="AB129" s="126">
        <f>SUM(X$7:X129)</f>
        <v>126243</v>
      </c>
      <c r="AC129" s="126">
        <f>SUM(Y$7:Y129)</f>
        <v>62099</v>
      </c>
      <c r="AD129" s="177">
        <f>SUM(Z$7:Z129)</f>
        <v>3307930</v>
      </c>
      <c r="AE129" s="128">
        <f>INDEX(图鉴!AQ:AQ,MATCH($N129,图鉴!$S:$S,0))*34</f>
        <v>714</v>
      </c>
      <c r="AF129" s="90">
        <f>INDEX(图鉴!AR:AR,MATCH($N129,图鉴!$S:$S,0))*34</f>
        <v>510</v>
      </c>
      <c r="AG129" s="90">
        <f>INDEX(图鉴!AS:AS,MATCH($N129,图鉴!$S:$S,0))*34</f>
        <v>204</v>
      </c>
      <c r="AH129" s="129">
        <f ca="1">INDEX(图鉴!AT:AT,MATCH($N129,图鉴!$S:$S,0))*34</f>
        <v>55930</v>
      </c>
      <c r="AI129" s="128">
        <f>SUM($AE$7:AE129)</f>
        <v>85918</v>
      </c>
      <c r="AJ129" s="90">
        <f>SUM(AF$7:AF129)</f>
        <v>59262</v>
      </c>
      <c r="AK129" s="90">
        <f>SUM(AG$7:AG129)</f>
        <v>23154</v>
      </c>
      <c r="AL129" s="130">
        <f ca="1">SUM(AH$7:AH129)</f>
        <v>6049756</v>
      </c>
      <c r="AM129" s="133">
        <f>IF(M129=0,0,INDEX(关卡产出!$AU$11:$AU$15,MATCH(玩家节奏2!N129,关卡产出!$AW$11:$AW$15,1))*M129)</f>
        <v>61000</v>
      </c>
      <c r="AN129" s="126">
        <f>IF(L129=0,0,$L129*关卡产出!AU$21)</f>
        <v>16000</v>
      </c>
      <c r="AO129" s="90">
        <f>IF(M129=0,0,$L129*关卡产出!AV$21)</f>
        <v>800</v>
      </c>
      <c r="AP129" s="129">
        <f>IF(N129=0,0,$L129*关卡产出!AW$21)</f>
        <v>16</v>
      </c>
      <c r="AQ129" s="138">
        <f>SUM(AN$7:AN129)</f>
        <v>1920000</v>
      </c>
      <c r="AR129" s="126">
        <f>SUM(AO$7:AO129)</f>
        <v>96000</v>
      </c>
      <c r="AS129" s="129">
        <f>SUM(AP$7:AP129)</f>
        <v>1920</v>
      </c>
      <c r="AT129" s="128">
        <v>3000</v>
      </c>
      <c r="AU129" s="129">
        <v>600</v>
      </c>
      <c r="AV129" s="128">
        <f>SUM(AT$7:AT129)</f>
        <v>369000</v>
      </c>
      <c r="AW129" s="90">
        <f>SUM(AU$7:AU129)</f>
        <v>73800</v>
      </c>
      <c r="AY129" s="128">
        <f t="shared" si="91"/>
        <v>38500</v>
      </c>
      <c r="AZ129" s="90">
        <f t="shared" si="92"/>
        <v>96000</v>
      </c>
      <c r="BA129" s="90">
        <f t="shared" si="93"/>
        <v>73800</v>
      </c>
      <c r="BB129" s="90">
        <f t="shared" ca="1" si="127"/>
        <v>40800</v>
      </c>
      <c r="BC129" s="90">
        <f t="shared" ca="1" si="129"/>
        <v>126725</v>
      </c>
      <c r="BD129" s="90">
        <f t="shared" ca="1" si="130"/>
        <v>122375</v>
      </c>
      <c r="BE129" s="90">
        <f t="shared" ca="1" si="94"/>
        <v>249100</v>
      </c>
      <c r="BF129" s="142">
        <f t="shared" ca="1" si="132"/>
        <v>0.30380745709212864</v>
      </c>
      <c r="BG129" s="142">
        <f t="shared" ca="1" si="133"/>
        <v>0.75754586703491811</v>
      </c>
      <c r="BH129" s="142">
        <f t="shared" ca="1" si="134"/>
        <v>0.58236338528309328</v>
      </c>
      <c r="BI129" s="142">
        <f t="shared" ca="1" si="137"/>
        <v>0.32195699348984019</v>
      </c>
      <c r="BJ129" s="143"/>
      <c r="BK129" s="128">
        <f ca="1">INDEX(商城宝箱!$L:$L,MATCH(BC129,商城宝箱!$N:$N,1))</f>
        <v>12</v>
      </c>
      <c r="BL129" s="90">
        <f ca="1">_xlfn.IFNA(INDEX(商城宝箱!T:T,MATCH(玩家节奏2!$BK129,商城宝箱!$L:$L,0)),0)+($BC129-INDEX(商城宝箱!$N:$N,MATCH(玩家节奏2!$BK129,商城宝箱!$L:$L,0)))/$BK$5*INDEX(商城宝箱!E$23:E$42,MATCH(玩家节奏2!$BK129+1,商城宝箱!$C$23:$C$42,0))</f>
        <v>316812.5</v>
      </c>
      <c r="BM129" s="90">
        <f ca="1">_xlfn.IFNA(INDEX(商城宝箱!U:U,MATCH(玩家节奏2!$BK129,商城宝箱!$L:$L,0)),0)+($BC129-INDEX(商城宝箱!$N:$N,MATCH(玩家节奏2!$BK129,商城宝箱!$L:$L,0)))/$BK$5*INDEX(商城宝箱!F$23:F$42,MATCH(玩家节奏2!$BK129+1,商城宝箱!$C$23:$C$42,0))</f>
        <v>354587.5</v>
      </c>
      <c r="BN129" s="90">
        <f ca="1">_xlfn.IFNA(INDEX(商城宝箱!V:V,MATCH(玩家节奏2!$BK129,商城宝箱!$L:$L,0)),0)+($BC129-INDEX(商城宝箱!$N:$N,MATCH(玩家节奏2!$BK129,商城宝箱!$L:$L,0)))/$BK$5*INDEX(商城宝箱!G$23:G$42,MATCH(玩家节奏2!$BK129+1,商城宝箱!$C$23:$C$42,0))</f>
        <v>179637</v>
      </c>
      <c r="BO129" s="90">
        <f ca="1">_xlfn.IFNA(INDEX(商城宝箱!W:W,MATCH(玩家节奏2!$BK129,商城宝箱!$L:$L,0)),0)+($BC129-INDEX(商城宝箱!$N:$N,MATCH(玩家节奏2!$BK129,商城宝箱!$L:$L,0)))/$BK$5*INDEX(商城宝箱!H$23:H$42,MATCH(玩家节奏2!$BK129+1,商城宝箱!$C$23:$C$42,0))</f>
        <v>28650.25</v>
      </c>
      <c r="BQ129" s="128">
        <f t="shared" si="79"/>
        <v>11610000</v>
      </c>
      <c r="BR129" s="90">
        <f t="shared" si="80"/>
        <v>3307930</v>
      </c>
      <c r="BS129" s="90">
        <f t="shared" ca="1" si="135"/>
        <v>6049756</v>
      </c>
      <c r="BT129" s="90">
        <f t="shared" si="136"/>
        <v>61000</v>
      </c>
      <c r="BU129" s="90">
        <f t="shared" si="83"/>
        <v>1920000</v>
      </c>
      <c r="BV129" s="90">
        <f t="shared" si="84"/>
        <v>369000</v>
      </c>
      <c r="BW129" s="90">
        <f t="shared" ca="1" si="96"/>
        <v>316812.5</v>
      </c>
      <c r="BX129" s="90">
        <f t="shared" ca="1" si="97"/>
        <v>23634498.5</v>
      </c>
      <c r="BY129" s="142">
        <f t="shared" ca="1" si="138"/>
        <v>0.49123107054714954</v>
      </c>
      <c r="BZ129" s="142">
        <f t="shared" ca="1" si="138"/>
        <v>0.13996192895736714</v>
      </c>
      <c r="CA129" s="142">
        <f t="shared" ca="1" si="138"/>
        <v>0.25597141399044282</v>
      </c>
      <c r="CB129" s="142">
        <f t="shared" ca="1" si="138"/>
        <v>2.5809728943476419E-3</v>
      </c>
      <c r="CC129" s="142">
        <f t="shared" ca="1" si="138"/>
        <v>8.1237179625368403E-2</v>
      </c>
      <c r="CD129" s="142">
        <f t="shared" ca="1" si="138"/>
        <v>1.561277045925049E-2</v>
      </c>
      <c r="CE129" s="142">
        <f t="shared" ca="1" si="138"/>
        <v>1.3404663526073972E-2</v>
      </c>
      <c r="CG129" s="128">
        <f t="shared" si="98"/>
        <v>200</v>
      </c>
      <c r="CH129" s="90">
        <f ca="1">INDEX(角色升级!$A:$A,MATCH(玩家节奏2!$BX129,角色升级!$J:$J,1))</f>
        <v>1026</v>
      </c>
      <c r="CI129" s="90">
        <f ca="1">INDEX(角色升级!$O:$O,MATCH(玩家节奏2!$BX129,角色升级!$J:$J,1))</f>
        <v>96071.676674999995</v>
      </c>
      <c r="CJ129" s="90">
        <f>INDEX(关卡对比!$J:$J,MATCH(玩家节奏2!N129,关卡对比!$A:$A,0))</f>
        <v>86200</v>
      </c>
      <c r="CK129" s="147">
        <f t="shared" ca="1" si="99"/>
        <v>0.89724675350056815</v>
      </c>
      <c r="CL129" s="128">
        <f ca="1">INDEX(角色升级!$P:$P,MATCH(玩家节奏2!$CH129,角色升级!$A:$A,0))</f>
        <v>40800</v>
      </c>
      <c r="CM129" s="90">
        <f ca="1">INDEX(角色升级!Q:Q,MATCH(玩家节奏2!$CH129,角色升级!$A:$A,0))</f>
        <v>2.2000000000000002</v>
      </c>
      <c r="CO129" s="128">
        <f t="shared" si="100"/>
        <v>78866</v>
      </c>
      <c r="CP129" s="90">
        <f t="shared" si="101"/>
        <v>252814</v>
      </c>
      <c r="CQ129" s="90">
        <f t="shared" si="102"/>
        <v>85918</v>
      </c>
      <c r="CR129" s="90">
        <f t="shared" ca="1" si="103"/>
        <v>354587.5</v>
      </c>
      <c r="CS129" s="90">
        <f t="shared" ca="1" si="104"/>
        <v>772185.5</v>
      </c>
      <c r="CT129" s="142">
        <f t="shared" ca="1" si="105"/>
        <v>0.10213348994509738</v>
      </c>
      <c r="CU129" s="142">
        <f t="shared" ca="1" si="105"/>
        <v>0.32740060516546865</v>
      </c>
      <c r="CV129" s="142">
        <f t="shared" ca="1" si="105"/>
        <v>0.11126601056352392</v>
      </c>
      <c r="CW129" s="142">
        <f t="shared" ca="1" si="105"/>
        <v>0.45919989432591002</v>
      </c>
      <c r="CY129" s="128">
        <f t="shared" si="106"/>
        <v>39434</v>
      </c>
      <c r="CZ129" s="90">
        <f t="shared" si="107"/>
        <v>126243</v>
      </c>
      <c r="DA129" s="90">
        <f t="shared" si="108"/>
        <v>59262</v>
      </c>
      <c r="DB129" s="90">
        <f t="shared" ca="1" si="128"/>
        <v>179637</v>
      </c>
      <c r="DC129" s="90">
        <f t="shared" ca="1" si="109"/>
        <v>404576</v>
      </c>
      <c r="DD129" s="142">
        <f t="shared" ca="1" si="110"/>
        <v>9.7469943842442452E-2</v>
      </c>
      <c r="DE129" s="142">
        <f t="shared" ca="1" si="110"/>
        <v>0.31203778770861346</v>
      </c>
      <c r="DF129" s="142">
        <f t="shared" ca="1" si="110"/>
        <v>0.14647927707031558</v>
      </c>
      <c r="DG129" s="142">
        <f t="shared" ca="1" si="110"/>
        <v>0.44401299137862849</v>
      </c>
      <c r="DI129" s="128">
        <f t="shared" si="111"/>
        <v>19113</v>
      </c>
      <c r="DJ129" s="90">
        <f t="shared" si="112"/>
        <v>62099</v>
      </c>
      <c r="DK129" s="90">
        <f t="shared" si="113"/>
        <v>23154</v>
      </c>
      <c r="DL129" s="90">
        <f t="shared" ca="1" si="114"/>
        <v>28650.25</v>
      </c>
      <c r="DM129" s="90">
        <f t="shared" ca="1" si="115"/>
        <v>133016.25</v>
      </c>
      <c r="DN129" s="142">
        <f t="shared" ca="1" si="116"/>
        <v>0.1436892109046827</v>
      </c>
      <c r="DO129" s="142">
        <f t="shared" ca="1" si="116"/>
        <v>0.46685273415842049</v>
      </c>
      <c r="DP129" s="142">
        <f t="shared" ca="1" si="116"/>
        <v>0.17406895774012573</v>
      </c>
      <c r="DQ129" s="142">
        <f t="shared" ca="1" si="116"/>
        <v>0.21538909719677107</v>
      </c>
      <c r="DS129" s="128">
        <f t="shared" ca="1" si="117"/>
        <v>772185.5</v>
      </c>
      <c r="DT129" s="90">
        <f t="shared" ca="1" si="118"/>
        <v>404576</v>
      </c>
      <c r="DU129" s="90">
        <f t="shared" ca="1" si="119"/>
        <v>133016.25</v>
      </c>
      <c r="DV129" s="90">
        <f t="shared" si="120"/>
        <v>1920</v>
      </c>
      <c r="DW129" s="90">
        <f ca="1">_xlfn.IFNA(INDEX(武器升级消耗!$H:$H,MATCH(玩家节奏2!DS129/玩家节奏2!DS$5,武器升级消耗!M:M,1)),0)</f>
        <v>76</v>
      </c>
      <c r="DX129" s="90">
        <f ca="1">_xlfn.IFNA(INDEX(武器升级消耗!$H:$H,MATCH(玩家节奏2!DT129/玩家节奏2!DT$5,武器升级消耗!N:N,1)),0)</f>
        <v>67</v>
      </c>
      <c r="DY129" s="90">
        <f ca="1">_xlfn.IFNA(INDEX(武器升级消耗!$H:$H,MATCH(玩家节奏2!DU129/玩家节奏2!DU$5,武器升级消耗!O:O,1)),0)</f>
        <v>50</v>
      </c>
      <c r="DZ129" s="90">
        <f>_xlfn.IFNA(INDEX(武器升级消耗!$H:$H,MATCH(玩家节奏2!DV129/玩家节奏2!DV$5,武器升级消耗!P:P,1)),0)</f>
        <v>31</v>
      </c>
      <c r="EA129" s="90">
        <f ca="1">_xlfn.IFNA(INDEX(武器升级消耗!$Q:$Q,MATCH(玩家节奏2!DW129,武器升级消耗!$H:$H,0))*2*EA$4,0)</f>
        <v>9.5999999999999872</v>
      </c>
      <c r="EB129" s="90">
        <f ca="1">_xlfn.IFNA(INDEX(武器升级消耗!$Q:$Q,MATCH(玩家节奏2!DX129,武器升级消耗!$H:$H,0))*2*EB$4,0)</f>
        <v>10.649999999999999</v>
      </c>
      <c r="EC129" s="90">
        <f ca="1">_xlfn.IFNA(INDEX(武器升级消耗!$Q:$Q,MATCH(玩家节奏2!DY129,武器升级消耗!$H:$H,0))*2*EC$4,0)</f>
        <v>11.880000000000003</v>
      </c>
      <c r="ED129" s="90">
        <f>_xlfn.IFNA(INDEX(武器升级消耗!$Q:$Q,MATCH(玩家节奏2!DZ129,武器升级消耗!$H:$H,0))*2*ED$4,0)</f>
        <v>10.5</v>
      </c>
    </row>
    <row r="130" spans="1:134" x14ac:dyDescent="0.25">
      <c r="A130" s="123">
        <v>124</v>
      </c>
      <c r="B130" s="123">
        <f>INDEX(关卡对比!$Y:$Y,MATCH(关卡对比!Z130,关卡对比!$AA:$AA,1))</f>
        <v>75</v>
      </c>
      <c r="C130" s="124">
        <f>INDEX(关卡对比!$Y:$Y,MATCH(关卡对比!Z130,关卡对比!$AB:$AB,1))</f>
        <v>59</v>
      </c>
      <c r="D130" s="125">
        <f t="shared" si="131"/>
        <v>485.5</v>
      </c>
      <c r="E130" s="125">
        <v>2</v>
      </c>
      <c r="F130" s="128">
        <v>16</v>
      </c>
      <c r="G130" s="90">
        <v>16</v>
      </c>
      <c r="H130" s="90">
        <v>5</v>
      </c>
      <c r="J130" s="128">
        <v>124</v>
      </c>
      <c r="K130" s="90">
        <f t="shared" si="88"/>
        <v>16</v>
      </c>
      <c r="L130" s="90">
        <f t="shared" si="89"/>
        <v>16</v>
      </c>
      <c r="M130" s="90">
        <f t="shared" si="90"/>
        <v>5</v>
      </c>
      <c r="N130" s="140">
        <f>INDEX($A:$A,MATCH(SUM($K$7:K130),$D:$D,1))</f>
        <v>200</v>
      </c>
      <c r="O130" s="140">
        <v>0</v>
      </c>
      <c r="P130" s="141">
        <v>0</v>
      </c>
      <c r="Q130" s="126">
        <f>_xlfn.MAXIFS(关卡产出!X:X,关卡产出!$A:$A,玩家节奏2!$N$6,关卡产出!$B:$B,玩家节奏2!$N130)+_xlfn.MAXIFS(关卡产出!X:X,关卡产出!$A:$A,玩家节奏2!$O$6,关卡产出!$B:$B,玩家节奏2!$O130)+_xlfn.MAXIFS(关卡产出!X:X,关卡产出!$A:$A,玩家节奏2!$P$6,关卡产出!$B:$B,玩家节奏2!$P130)</f>
        <v>38500</v>
      </c>
      <c r="R130" s="90">
        <f>_xlfn.MAXIFS(关卡产出!Y:Y,关卡产出!$A:$A,玩家节奏2!$N$6,关卡产出!$B:$B,玩家节奏2!$N130)+_xlfn.MAXIFS(关卡产出!Y:Y,关卡产出!$A:$A,玩家节奏2!$O$6,关卡产出!$B:$B,玩家节奏2!$O130)+_xlfn.MAXIFS(关卡产出!Y:Y,关卡产出!$A:$A,玩家节奏2!$P$6,关卡产出!$B:$B,玩家节奏2!$P130)</f>
        <v>11610000</v>
      </c>
      <c r="S130" s="90">
        <f>_xlfn.MAXIFS(关卡产出!Z:Z,关卡产出!$A:$A,玩家节奏2!$N$6,关卡产出!$B:$B,玩家节奏2!$N130)+_xlfn.MAXIFS(关卡产出!Z:Z,关卡产出!$A:$A,玩家节奏2!$O$6,关卡产出!$B:$B,玩家节奏2!$O130)+_xlfn.MAXIFS(关卡产出!Z:Z,关卡产出!$A:$A,玩家节奏2!$P$6,关卡产出!$B:$B,玩家节奏2!$P130)</f>
        <v>78866</v>
      </c>
      <c r="T130" s="90">
        <f>_xlfn.MAXIFS(关卡产出!AA:AA,关卡产出!$A:$A,玩家节奏2!$N$6,关卡产出!$B:$B,玩家节奏2!$N130)+_xlfn.MAXIFS(关卡产出!AA:AA,关卡产出!$A:$A,玩家节奏2!$O$6,关卡产出!$B:$B,玩家节奏2!$O130)+_xlfn.MAXIFS(关卡产出!AA:AA,关卡产出!$A:$A,玩家节奏2!$P$6,关卡产出!$B:$B,玩家节奏2!$P130)</f>
        <v>39434</v>
      </c>
      <c r="U130" s="90">
        <f>_xlfn.MAXIFS(关卡产出!AB:AB,关卡产出!$A:$A,玩家节奏2!$N$6,关卡产出!$B:$B,玩家节奏2!$N130)+_xlfn.MAXIFS(关卡产出!AB:AB,关卡产出!$A:$A,玩家节奏2!$O$6,关卡产出!$B:$B,玩家节奏2!$O130)+_xlfn.MAXIFS(关卡产出!AB:AB,关卡产出!$A:$A,玩家节奏2!$P$6,关卡产出!$B:$B,玩家节奏2!$P130)</f>
        <v>19113</v>
      </c>
      <c r="V130" s="130">
        <f>_xlfn.MAXIFS(关卡产出!AC:AC,关卡产出!$A:$A,玩家节奏2!$N$6,关卡产出!$B:$B,玩家节奏2!$N130)+_xlfn.MAXIFS(关卡产出!AC:AC,关卡产出!$A:$A,玩家节奏2!$O$6,关卡产出!$B:$B,玩家节奏2!$O130)+_xlfn.MAXIFS(关卡产出!AC:AC,关卡产出!$A:$A,玩家节奏2!$P$6,关卡产出!$B:$B,玩家节奏2!$P130)</f>
        <v>1200</v>
      </c>
      <c r="W130" s="126">
        <f>INDEX(关卡产出!C$8:C$207,MATCH(玩家节奏2!$N130,关卡产出!$B$8:$B$207,0))*$K130</f>
        <v>2528</v>
      </c>
      <c r="X130" s="126">
        <f>INDEX(关卡产出!D$8:D$207,MATCH(玩家节奏2!$N130,关卡产出!$B$8:$B$207,0))*$K130</f>
        <v>1264</v>
      </c>
      <c r="Y130" s="126">
        <f>INDEX(关卡产出!E$8:E$207,MATCH(玩家节奏2!$N130,关卡产出!$B$8:$B$207,0))*$K130</f>
        <v>624</v>
      </c>
      <c r="Z130" s="144">
        <f>INDEX(关卡产出!F$8:F$207,MATCH(玩家节奏2!$N130,关卡产出!$B$8:$B$207,0))*$K130</f>
        <v>32800</v>
      </c>
      <c r="AA130" s="126">
        <f>SUM(W$7:W130)</f>
        <v>255342</v>
      </c>
      <c r="AB130" s="126">
        <f>SUM(X$7:X130)</f>
        <v>127507</v>
      </c>
      <c r="AC130" s="126">
        <f>SUM(Y$7:Y130)</f>
        <v>62723</v>
      </c>
      <c r="AD130" s="177">
        <f>SUM(Z$7:Z130)</f>
        <v>3340730</v>
      </c>
      <c r="AE130" s="128">
        <f>INDEX(图鉴!AQ:AQ,MATCH($N130,图鉴!$S:$S,0))*34</f>
        <v>714</v>
      </c>
      <c r="AF130" s="90">
        <f>INDEX(图鉴!AR:AR,MATCH($N130,图鉴!$S:$S,0))*34</f>
        <v>510</v>
      </c>
      <c r="AG130" s="90">
        <f>INDEX(图鉴!AS:AS,MATCH($N130,图鉴!$S:$S,0))*34</f>
        <v>204</v>
      </c>
      <c r="AH130" s="129">
        <f ca="1">INDEX(图鉴!AT:AT,MATCH($N130,图鉴!$S:$S,0))*34</f>
        <v>55930</v>
      </c>
      <c r="AI130" s="128">
        <f>SUM($AE$7:AE130)</f>
        <v>86632</v>
      </c>
      <c r="AJ130" s="90">
        <f>SUM(AF$7:AF130)</f>
        <v>59772</v>
      </c>
      <c r="AK130" s="90">
        <f>SUM(AG$7:AG130)</f>
        <v>23358</v>
      </c>
      <c r="AL130" s="130">
        <f ca="1">SUM(AH$7:AH130)</f>
        <v>6105686</v>
      </c>
      <c r="AM130" s="133">
        <f>IF(M130=0,0,INDEX(关卡产出!$AU$11:$AU$15,MATCH(玩家节奏2!N130,关卡产出!$AW$11:$AW$15,1))*M130)</f>
        <v>61000</v>
      </c>
      <c r="AN130" s="126">
        <f>IF(L130=0,0,$L130*关卡产出!AU$21)</f>
        <v>16000</v>
      </c>
      <c r="AO130" s="90">
        <f>IF(M130=0,0,$L130*关卡产出!AV$21)</f>
        <v>800</v>
      </c>
      <c r="AP130" s="129">
        <f>IF(N130=0,0,$L130*关卡产出!AW$21)</f>
        <v>16</v>
      </c>
      <c r="AQ130" s="138">
        <f>SUM(AN$7:AN130)</f>
        <v>1936000</v>
      </c>
      <c r="AR130" s="126">
        <f>SUM(AO$7:AO130)</f>
        <v>96800</v>
      </c>
      <c r="AS130" s="129">
        <f>SUM(AP$7:AP130)</f>
        <v>1936</v>
      </c>
      <c r="AT130" s="128">
        <v>3000</v>
      </c>
      <c r="AU130" s="129">
        <v>600</v>
      </c>
      <c r="AV130" s="128">
        <f>SUM(AT$7:AT130)</f>
        <v>372000</v>
      </c>
      <c r="AW130" s="90">
        <f>SUM(AU$7:AU130)</f>
        <v>74400</v>
      </c>
      <c r="AY130" s="128">
        <f t="shared" si="91"/>
        <v>38500</v>
      </c>
      <c r="AZ130" s="90">
        <f t="shared" si="92"/>
        <v>96800</v>
      </c>
      <c r="BA130" s="90">
        <f t="shared" si="93"/>
        <v>74400</v>
      </c>
      <c r="BB130" s="90">
        <f t="shared" ca="1" si="127"/>
        <v>40800</v>
      </c>
      <c r="BC130" s="90">
        <f t="shared" ca="1" si="129"/>
        <v>127425</v>
      </c>
      <c r="BD130" s="90">
        <f t="shared" ca="1" si="130"/>
        <v>123075</v>
      </c>
      <c r="BE130" s="90">
        <f t="shared" ca="1" si="94"/>
        <v>250500</v>
      </c>
      <c r="BF130" s="142">
        <f t="shared" ca="1" si="132"/>
        <v>0.30213851285069648</v>
      </c>
      <c r="BG130" s="142">
        <f t="shared" ca="1" si="133"/>
        <v>0.75966254659603694</v>
      </c>
      <c r="BH130" s="142">
        <f t="shared" ca="1" si="134"/>
        <v>0.58387286639199532</v>
      </c>
      <c r="BI130" s="142">
        <f t="shared" ca="1" si="137"/>
        <v>0.32018834608593288</v>
      </c>
      <c r="BJ130" s="143"/>
      <c r="BK130" s="128">
        <f ca="1">INDEX(商城宝箱!$L:$L,MATCH(BC130,商城宝箱!$N:$N,1))</f>
        <v>12</v>
      </c>
      <c r="BL130" s="90">
        <f ca="1">_xlfn.IFNA(INDEX(商城宝箱!T:T,MATCH(玩家节奏2!$BK130,商城宝箱!$L:$L,0)),0)+($BC130-INDEX(商城宝箱!$N:$N,MATCH(玩家节奏2!$BK130,商城宝箱!$L:$L,0)))/$BK$5*INDEX(商城宝箱!E$23:E$42,MATCH(玩家节奏2!$BK130+1,商城宝箱!$C$23:$C$42,0))</f>
        <v>318562.5</v>
      </c>
      <c r="BM130" s="90">
        <f ca="1">_xlfn.IFNA(INDEX(商城宝箱!U:U,MATCH(玩家节奏2!$BK130,商城宝箱!$L:$L,0)),0)+($BC130-INDEX(商城宝箱!$N:$N,MATCH(玩家节奏2!$BK130,商城宝箱!$L:$L,0)))/$BK$5*INDEX(商城宝箱!F$23:F$42,MATCH(玩家节奏2!$BK130+1,商城宝箱!$C$23:$C$42,0))</f>
        <v>357527.5</v>
      </c>
      <c r="BN130" s="90">
        <f ca="1">_xlfn.IFNA(INDEX(商城宝箱!V:V,MATCH(玩家节奏2!$BK130,商城宝箱!$L:$L,0)),0)+($BC130-INDEX(商城宝箱!$N:$N,MATCH(玩家节奏2!$BK130,商城宝箱!$L:$L,0)))/$BK$5*INDEX(商城宝箱!G$23:G$42,MATCH(玩家节奏2!$BK130+1,商城宝箱!$C$23:$C$42,0))</f>
        <v>181037</v>
      </c>
      <c r="BO130" s="90">
        <f ca="1">_xlfn.IFNA(INDEX(商城宝箱!W:W,MATCH(玩家节奏2!$BK130,商城宝箱!$L:$L,0)),0)+($BC130-INDEX(商城宝箱!$N:$N,MATCH(玩家节奏2!$BK130,商城宝箱!$L:$L,0)))/$BK$5*INDEX(商城宝箱!H$23:H$42,MATCH(玩家节奏2!$BK130+1,商城宝箱!$C$23:$C$42,0))</f>
        <v>28895.25</v>
      </c>
      <c r="BQ130" s="128">
        <f t="shared" si="79"/>
        <v>11610000</v>
      </c>
      <c r="BR130" s="90">
        <f t="shared" si="80"/>
        <v>3340730</v>
      </c>
      <c r="BS130" s="90">
        <f t="shared" ca="1" si="135"/>
        <v>6105686</v>
      </c>
      <c r="BT130" s="90">
        <f t="shared" si="136"/>
        <v>61000</v>
      </c>
      <c r="BU130" s="90">
        <f t="shared" si="83"/>
        <v>1936000</v>
      </c>
      <c r="BV130" s="90">
        <f t="shared" si="84"/>
        <v>372000</v>
      </c>
      <c r="BW130" s="90">
        <f t="shared" ca="1" si="96"/>
        <v>318562.5</v>
      </c>
      <c r="BX130" s="90">
        <f t="shared" ca="1" si="97"/>
        <v>23743978.5</v>
      </c>
      <c r="BY130" s="142">
        <f t="shared" ca="1" si="138"/>
        <v>0.48896607617800869</v>
      </c>
      <c r="BZ130" s="142">
        <f t="shared" ca="1" si="138"/>
        <v>0.14069798791301971</v>
      </c>
      <c r="CA130" s="142">
        <f t="shared" ca="1" si="138"/>
        <v>0.25714671195478045</v>
      </c>
      <c r="CB130" s="142">
        <f t="shared" ca="1" si="138"/>
        <v>2.5690724071368242E-3</v>
      </c>
      <c r="CC130" s="142">
        <f t="shared" ca="1" si="138"/>
        <v>8.153646197076872E-2</v>
      </c>
      <c r="CD130" s="142">
        <f t="shared" ca="1" si="138"/>
        <v>1.5667130089424566E-2</v>
      </c>
      <c r="CE130" s="142">
        <f t="shared" ca="1" si="138"/>
        <v>1.3416559486861058E-2</v>
      </c>
      <c r="CG130" s="128">
        <f t="shared" si="98"/>
        <v>200</v>
      </c>
      <c r="CH130" s="90">
        <f ca="1">INDEX(角色升级!$A:$A,MATCH(玩家节奏2!$BX130,角色升级!$J:$J,1))</f>
        <v>1028</v>
      </c>
      <c r="CI130" s="90">
        <f ca="1">INDEX(角色升级!$O:$O,MATCH(玩家节奏2!$BX130,角色升级!$J:$J,1))</f>
        <v>97167.849024999989</v>
      </c>
      <c r="CJ130" s="90">
        <f>INDEX(关卡对比!$J:$J,MATCH(玩家节奏2!N130,关卡对比!$A:$A,0))</f>
        <v>86200</v>
      </c>
      <c r="CK130" s="147">
        <f t="shared" ca="1" si="99"/>
        <v>0.88712471115648439</v>
      </c>
      <c r="CL130" s="128">
        <f ca="1">INDEX(角色升级!$P:$P,MATCH(玩家节奏2!$CH130,角色升级!$A:$A,0))</f>
        <v>40800</v>
      </c>
      <c r="CM130" s="90">
        <f ca="1">INDEX(角色升级!Q:Q,MATCH(玩家节奏2!$CH130,角色升级!$A:$A,0))</f>
        <v>2.2000000000000002</v>
      </c>
      <c r="CO130" s="128">
        <f t="shared" si="100"/>
        <v>78866</v>
      </c>
      <c r="CP130" s="90">
        <f t="shared" si="101"/>
        <v>255342</v>
      </c>
      <c r="CQ130" s="90">
        <f t="shared" si="102"/>
        <v>86632</v>
      </c>
      <c r="CR130" s="90">
        <f t="shared" ca="1" si="103"/>
        <v>357527.5</v>
      </c>
      <c r="CS130" s="90">
        <f t="shared" ca="1" si="104"/>
        <v>778367.5</v>
      </c>
      <c r="CT130" s="142">
        <f t="shared" ca="1" si="105"/>
        <v>0.10132231882754611</v>
      </c>
      <c r="CU130" s="142">
        <f t="shared" ca="1" si="105"/>
        <v>0.32804812636704384</v>
      </c>
      <c r="CV130" s="142">
        <f t="shared" ca="1" si="105"/>
        <v>0.1112996110449113</v>
      </c>
      <c r="CW130" s="142">
        <f t="shared" ca="1" si="105"/>
        <v>0.45932994376049874</v>
      </c>
      <c r="CY130" s="128">
        <f t="shared" si="106"/>
        <v>39434</v>
      </c>
      <c r="CZ130" s="90">
        <f t="shared" si="107"/>
        <v>127507</v>
      </c>
      <c r="DA130" s="90">
        <f t="shared" si="108"/>
        <v>59772</v>
      </c>
      <c r="DB130" s="90">
        <f t="shared" ca="1" si="128"/>
        <v>181037</v>
      </c>
      <c r="DC130" s="90">
        <f t="shared" ca="1" si="109"/>
        <v>407750</v>
      </c>
      <c r="DD130" s="142">
        <f t="shared" ca="1" si="110"/>
        <v>9.6711220110361748E-2</v>
      </c>
      <c r="DE130" s="142">
        <f t="shared" ca="1" si="110"/>
        <v>0.31270876762722255</v>
      </c>
      <c r="DF130" s="142">
        <f t="shared" ca="1" si="110"/>
        <v>0.14658982219497241</v>
      </c>
      <c r="DG130" s="142">
        <f t="shared" ca="1" si="110"/>
        <v>0.44399019006744328</v>
      </c>
      <c r="DI130" s="128">
        <f t="shared" si="111"/>
        <v>19113</v>
      </c>
      <c r="DJ130" s="90">
        <f t="shared" si="112"/>
        <v>62723</v>
      </c>
      <c r="DK130" s="90">
        <f t="shared" si="113"/>
        <v>23358</v>
      </c>
      <c r="DL130" s="90">
        <f t="shared" ca="1" si="114"/>
        <v>28895.25</v>
      </c>
      <c r="DM130" s="90">
        <f t="shared" ca="1" si="115"/>
        <v>134089.25</v>
      </c>
      <c r="DN130" s="142">
        <f t="shared" ca="1" si="116"/>
        <v>0.14253939074161426</v>
      </c>
      <c r="DO130" s="142">
        <f t="shared" ca="1" si="116"/>
        <v>0.46777053343202379</v>
      </c>
      <c r="DP130" s="142">
        <f t="shared" ca="1" si="116"/>
        <v>0.17419740956116914</v>
      </c>
      <c r="DQ130" s="142">
        <f t="shared" ca="1" si="116"/>
        <v>0.21549266626519278</v>
      </c>
      <c r="DS130" s="128">
        <f t="shared" ca="1" si="117"/>
        <v>778367.5</v>
      </c>
      <c r="DT130" s="90">
        <f t="shared" ca="1" si="118"/>
        <v>407750</v>
      </c>
      <c r="DU130" s="90">
        <f t="shared" ca="1" si="119"/>
        <v>134089.25</v>
      </c>
      <c r="DV130" s="90">
        <f t="shared" si="120"/>
        <v>1936</v>
      </c>
      <c r="DW130" s="90">
        <f ca="1">_xlfn.IFNA(INDEX(武器升级消耗!$H:$H,MATCH(玩家节奏2!DS130/玩家节奏2!DS$5,武器升级消耗!M:M,1)),0)</f>
        <v>76</v>
      </c>
      <c r="DX130" s="90">
        <f ca="1">_xlfn.IFNA(INDEX(武器升级消耗!$H:$H,MATCH(玩家节奏2!DT130/玩家节奏2!DT$5,武器升级消耗!N:N,1)),0)</f>
        <v>67</v>
      </c>
      <c r="DY130" s="90">
        <f ca="1">_xlfn.IFNA(INDEX(武器升级消耗!$H:$H,MATCH(玩家节奏2!DU130/玩家节奏2!DU$5,武器升级消耗!O:O,1)),0)</f>
        <v>50</v>
      </c>
      <c r="DZ130" s="90">
        <f>_xlfn.IFNA(INDEX(武器升级消耗!$H:$H,MATCH(玩家节奏2!DV130/玩家节奏2!DV$5,武器升级消耗!P:P,1)),0)</f>
        <v>32</v>
      </c>
      <c r="EA130" s="90">
        <f ca="1">_xlfn.IFNA(INDEX(武器升级消耗!$Q:$Q,MATCH(玩家节奏2!DW130,武器升级消耗!$H:$H,0))*2*EA$4,0)</f>
        <v>9.5999999999999872</v>
      </c>
      <c r="EB130" s="90">
        <f ca="1">_xlfn.IFNA(INDEX(武器升级消耗!$Q:$Q,MATCH(玩家节奏2!DX130,武器升级消耗!$H:$H,0))*2*EB$4,0)</f>
        <v>10.649999999999999</v>
      </c>
      <c r="EC130" s="90">
        <f ca="1">_xlfn.IFNA(INDEX(武器升级消耗!$Q:$Q,MATCH(玩家节奏2!DY130,武器升级消耗!$H:$H,0))*2*EC$4,0)</f>
        <v>11.880000000000003</v>
      </c>
      <c r="ED130" s="90">
        <f>_xlfn.IFNA(INDEX(武器升级消耗!$Q:$Q,MATCH(玩家节奏2!DZ130,武器升级消耗!$H:$H,0))*2*ED$4,0)</f>
        <v>10.8</v>
      </c>
    </row>
    <row r="131" spans="1:134" x14ac:dyDescent="0.25">
      <c r="A131" s="123">
        <v>125</v>
      </c>
      <c r="B131" s="123">
        <f>INDEX(关卡对比!$Y:$Y,MATCH(关卡对比!Z131,关卡对比!$AA:$AA,1))</f>
        <v>76</v>
      </c>
      <c r="C131" s="124">
        <f>INDEX(关卡对比!$Y:$Y,MATCH(关卡对比!Z131,关卡对比!$AB:$AB,1))</f>
        <v>60</v>
      </c>
      <c r="D131" s="125">
        <f t="shared" si="131"/>
        <v>491.5</v>
      </c>
      <c r="E131" s="125">
        <v>2</v>
      </c>
      <c r="F131" s="128">
        <v>16</v>
      </c>
      <c r="G131" s="90">
        <v>16</v>
      </c>
      <c r="H131" s="90">
        <v>5</v>
      </c>
      <c r="J131" s="128">
        <v>125</v>
      </c>
      <c r="K131" s="90">
        <f t="shared" si="88"/>
        <v>16</v>
      </c>
      <c r="L131" s="90">
        <f t="shared" si="89"/>
        <v>16</v>
      </c>
      <c r="M131" s="90">
        <f t="shared" si="90"/>
        <v>5</v>
      </c>
      <c r="N131" s="140">
        <f>INDEX($A:$A,MATCH(SUM($K$7:K131),$D:$D,1))</f>
        <v>200</v>
      </c>
      <c r="O131" s="140">
        <v>0</v>
      </c>
      <c r="P131" s="141">
        <v>0</v>
      </c>
      <c r="Q131" s="126">
        <f>_xlfn.MAXIFS(关卡产出!X:X,关卡产出!$A:$A,玩家节奏2!$N$6,关卡产出!$B:$B,玩家节奏2!$N131)+_xlfn.MAXIFS(关卡产出!X:X,关卡产出!$A:$A,玩家节奏2!$O$6,关卡产出!$B:$B,玩家节奏2!$O131)+_xlfn.MAXIFS(关卡产出!X:X,关卡产出!$A:$A,玩家节奏2!$P$6,关卡产出!$B:$B,玩家节奏2!$P131)</f>
        <v>38500</v>
      </c>
      <c r="R131" s="90">
        <f>_xlfn.MAXIFS(关卡产出!Y:Y,关卡产出!$A:$A,玩家节奏2!$N$6,关卡产出!$B:$B,玩家节奏2!$N131)+_xlfn.MAXIFS(关卡产出!Y:Y,关卡产出!$A:$A,玩家节奏2!$O$6,关卡产出!$B:$B,玩家节奏2!$O131)+_xlfn.MAXIFS(关卡产出!Y:Y,关卡产出!$A:$A,玩家节奏2!$P$6,关卡产出!$B:$B,玩家节奏2!$P131)</f>
        <v>11610000</v>
      </c>
      <c r="S131" s="90">
        <f>_xlfn.MAXIFS(关卡产出!Z:Z,关卡产出!$A:$A,玩家节奏2!$N$6,关卡产出!$B:$B,玩家节奏2!$N131)+_xlfn.MAXIFS(关卡产出!Z:Z,关卡产出!$A:$A,玩家节奏2!$O$6,关卡产出!$B:$B,玩家节奏2!$O131)+_xlfn.MAXIFS(关卡产出!Z:Z,关卡产出!$A:$A,玩家节奏2!$P$6,关卡产出!$B:$B,玩家节奏2!$P131)</f>
        <v>78866</v>
      </c>
      <c r="T131" s="90">
        <f>_xlfn.MAXIFS(关卡产出!AA:AA,关卡产出!$A:$A,玩家节奏2!$N$6,关卡产出!$B:$B,玩家节奏2!$N131)+_xlfn.MAXIFS(关卡产出!AA:AA,关卡产出!$A:$A,玩家节奏2!$O$6,关卡产出!$B:$B,玩家节奏2!$O131)+_xlfn.MAXIFS(关卡产出!AA:AA,关卡产出!$A:$A,玩家节奏2!$P$6,关卡产出!$B:$B,玩家节奏2!$P131)</f>
        <v>39434</v>
      </c>
      <c r="U131" s="90">
        <f>_xlfn.MAXIFS(关卡产出!AB:AB,关卡产出!$A:$A,玩家节奏2!$N$6,关卡产出!$B:$B,玩家节奏2!$N131)+_xlfn.MAXIFS(关卡产出!AB:AB,关卡产出!$A:$A,玩家节奏2!$O$6,关卡产出!$B:$B,玩家节奏2!$O131)+_xlfn.MAXIFS(关卡产出!AB:AB,关卡产出!$A:$A,玩家节奏2!$P$6,关卡产出!$B:$B,玩家节奏2!$P131)</f>
        <v>19113</v>
      </c>
      <c r="V131" s="130">
        <f>_xlfn.MAXIFS(关卡产出!AC:AC,关卡产出!$A:$A,玩家节奏2!$N$6,关卡产出!$B:$B,玩家节奏2!$N131)+_xlfn.MAXIFS(关卡产出!AC:AC,关卡产出!$A:$A,玩家节奏2!$O$6,关卡产出!$B:$B,玩家节奏2!$O131)+_xlfn.MAXIFS(关卡产出!AC:AC,关卡产出!$A:$A,玩家节奏2!$P$6,关卡产出!$B:$B,玩家节奏2!$P131)</f>
        <v>1200</v>
      </c>
      <c r="W131" s="126">
        <f>INDEX(关卡产出!C$8:C$207,MATCH(玩家节奏2!$N131,关卡产出!$B$8:$B$207,0))*$K131</f>
        <v>2528</v>
      </c>
      <c r="X131" s="126">
        <f>INDEX(关卡产出!D$8:D$207,MATCH(玩家节奏2!$N131,关卡产出!$B$8:$B$207,0))*$K131</f>
        <v>1264</v>
      </c>
      <c r="Y131" s="126">
        <f>INDEX(关卡产出!E$8:E$207,MATCH(玩家节奏2!$N131,关卡产出!$B$8:$B$207,0))*$K131</f>
        <v>624</v>
      </c>
      <c r="Z131" s="144">
        <f>INDEX(关卡产出!F$8:F$207,MATCH(玩家节奏2!$N131,关卡产出!$B$8:$B$207,0))*$K131</f>
        <v>32800</v>
      </c>
      <c r="AA131" s="126">
        <f>SUM(W$7:W131)</f>
        <v>257870</v>
      </c>
      <c r="AB131" s="126">
        <f>SUM(X$7:X131)</f>
        <v>128771</v>
      </c>
      <c r="AC131" s="126">
        <f>SUM(Y$7:Y131)</f>
        <v>63347</v>
      </c>
      <c r="AD131" s="177">
        <f>SUM(Z$7:Z131)</f>
        <v>3373530</v>
      </c>
      <c r="AE131" s="128">
        <f>INDEX(图鉴!AQ:AQ,MATCH($N131,图鉴!$S:$S,0))*34</f>
        <v>714</v>
      </c>
      <c r="AF131" s="90">
        <f>INDEX(图鉴!AR:AR,MATCH($N131,图鉴!$S:$S,0))*34</f>
        <v>510</v>
      </c>
      <c r="AG131" s="90">
        <f>INDEX(图鉴!AS:AS,MATCH($N131,图鉴!$S:$S,0))*34</f>
        <v>204</v>
      </c>
      <c r="AH131" s="129">
        <f ca="1">INDEX(图鉴!AT:AT,MATCH($N131,图鉴!$S:$S,0))*34</f>
        <v>55930</v>
      </c>
      <c r="AI131" s="128">
        <f>SUM($AE$7:AE131)</f>
        <v>87346</v>
      </c>
      <c r="AJ131" s="90">
        <f>SUM(AF$7:AF131)</f>
        <v>60282</v>
      </c>
      <c r="AK131" s="90">
        <f>SUM(AG$7:AG131)</f>
        <v>23562</v>
      </c>
      <c r="AL131" s="130">
        <f ca="1">SUM(AH$7:AH131)</f>
        <v>6161616</v>
      </c>
      <c r="AM131" s="133">
        <f>IF(M131=0,0,INDEX(关卡产出!$AU$11:$AU$15,MATCH(玩家节奏2!N131,关卡产出!$AW$11:$AW$15,1))*M131)</f>
        <v>61000</v>
      </c>
      <c r="AN131" s="126">
        <f>IF(L131=0,0,$L131*关卡产出!AU$21)</f>
        <v>16000</v>
      </c>
      <c r="AO131" s="90">
        <f>IF(M131=0,0,$L131*关卡产出!AV$21)</f>
        <v>800</v>
      </c>
      <c r="AP131" s="129">
        <f>IF(N131=0,0,$L131*关卡产出!AW$21)</f>
        <v>16</v>
      </c>
      <c r="AQ131" s="138">
        <f>SUM(AN$7:AN131)</f>
        <v>1952000</v>
      </c>
      <c r="AR131" s="126">
        <f>SUM(AO$7:AO131)</f>
        <v>97600</v>
      </c>
      <c r="AS131" s="129">
        <f>SUM(AP$7:AP131)</f>
        <v>1952</v>
      </c>
      <c r="AT131" s="128">
        <v>3000</v>
      </c>
      <c r="AU131" s="129">
        <v>600</v>
      </c>
      <c r="AV131" s="128">
        <f>SUM(AT$7:AT131)</f>
        <v>375000</v>
      </c>
      <c r="AW131" s="90">
        <f>SUM(AU$7:AU131)</f>
        <v>75000</v>
      </c>
      <c r="AY131" s="128">
        <f t="shared" si="91"/>
        <v>38500</v>
      </c>
      <c r="AZ131" s="90">
        <f t="shared" si="92"/>
        <v>97600</v>
      </c>
      <c r="BA131" s="90">
        <f t="shared" si="93"/>
        <v>75000</v>
      </c>
      <c r="BB131" s="90">
        <f t="shared" ca="1" si="127"/>
        <v>40800</v>
      </c>
      <c r="BC131" s="90">
        <f t="shared" ca="1" si="129"/>
        <v>128125</v>
      </c>
      <c r="BD131" s="90">
        <f t="shared" ca="1" si="130"/>
        <v>123775</v>
      </c>
      <c r="BE131" s="90">
        <f t="shared" ca="1" si="94"/>
        <v>251900</v>
      </c>
      <c r="BF131" s="142">
        <f t="shared" ca="1" si="132"/>
        <v>0.30048780487804877</v>
      </c>
      <c r="BG131" s="142">
        <f t="shared" ca="1" si="133"/>
        <v>0.76175609756097562</v>
      </c>
      <c r="BH131" s="142">
        <f t="shared" ca="1" si="134"/>
        <v>0.58536585365853655</v>
      </c>
      <c r="BI131" s="142">
        <f t="shared" ca="1" si="137"/>
        <v>0.31843902439024391</v>
      </c>
      <c r="BJ131" s="143"/>
      <c r="BK131" s="128">
        <f ca="1">INDEX(商城宝箱!$L:$L,MATCH(BC131,商城宝箱!$N:$N,1))</f>
        <v>12</v>
      </c>
      <c r="BL131" s="90">
        <f ca="1">_xlfn.IFNA(INDEX(商城宝箱!T:T,MATCH(玩家节奏2!$BK131,商城宝箱!$L:$L,0)),0)+($BC131-INDEX(商城宝箱!$N:$N,MATCH(玩家节奏2!$BK131,商城宝箱!$L:$L,0)))/$BK$5*INDEX(商城宝箱!E$23:E$42,MATCH(玩家节奏2!$BK131+1,商城宝箱!$C$23:$C$42,0))</f>
        <v>320312.5</v>
      </c>
      <c r="BM131" s="90">
        <f ca="1">_xlfn.IFNA(INDEX(商城宝箱!U:U,MATCH(玩家节奏2!$BK131,商城宝箱!$L:$L,0)),0)+($BC131-INDEX(商城宝箱!$N:$N,MATCH(玩家节奏2!$BK131,商城宝箱!$L:$L,0)))/$BK$5*INDEX(商城宝箱!F$23:F$42,MATCH(玩家节奏2!$BK131+1,商城宝箱!$C$23:$C$42,0))</f>
        <v>360467.5</v>
      </c>
      <c r="BN131" s="90">
        <f ca="1">_xlfn.IFNA(INDEX(商城宝箱!V:V,MATCH(玩家节奏2!$BK131,商城宝箱!$L:$L,0)),0)+($BC131-INDEX(商城宝箱!$N:$N,MATCH(玩家节奏2!$BK131,商城宝箱!$L:$L,0)))/$BK$5*INDEX(商城宝箱!G$23:G$42,MATCH(玩家节奏2!$BK131+1,商城宝箱!$C$23:$C$42,0))</f>
        <v>182437</v>
      </c>
      <c r="BO131" s="90">
        <f ca="1">_xlfn.IFNA(INDEX(商城宝箱!W:W,MATCH(玩家节奏2!$BK131,商城宝箱!$L:$L,0)),0)+($BC131-INDEX(商城宝箱!$N:$N,MATCH(玩家节奏2!$BK131,商城宝箱!$L:$L,0)))/$BK$5*INDEX(商城宝箱!H$23:H$42,MATCH(玩家节奏2!$BK131+1,商城宝箱!$C$23:$C$42,0))</f>
        <v>29140.25</v>
      </c>
      <c r="BQ131" s="128">
        <f t="shared" si="79"/>
        <v>11610000</v>
      </c>
      <c r="BR131" s="90">
        <f t="shared" si="80"/>
        <v>3373530</v>
      </c>
      <c r="BS131" s="90">
        <f t="shared" ca="1" si="135"/>
        <v>6161616</v>
      </c>
      <c r="BT131" s="90">
        <f t="shared" si="136"/>
        <v>61000</v>
      </c>
      <c r="BU131" s="90">
        <f t="shared" si="83"/>
        <v>1952000</v>
      </c>
      <c r="BV131" s="90">
        <f t="shared" si="84"/>
        <v>375000</v>
      </c>
      <c r="BW131" s="90">
        <f t="shared" ca="1" si="96"/>
        <v>320312.5</v>
      </c>
      <c r="BX131" s="90">
        <f t="shared" ca="1" si="97"/>
        <v>23853458.5</v>
      </c>
      <c r="BY131" s="142">
        <f t="shared" ca="1" si="138"/>
        <v>0.48672187305668901</v>
      </c>
      <c r="BZ131" s="142">
        <f t="shared" ca="1" si="138"/>
        <v>0.14142729030257814</v>
      </c>
      <c r="CA131" s="142">
        <f t="shared" ca="1" si="138"/>
        <v>0.25831122141051371</v>
      </c>
      <c r="CB131" s="142">
        <f t="shared" ca="1" si="138"/>
        <v>2.5572811590403128E-3</v>
      </c>
      <c r="CC131" s="142">
        <f t="shared" ca="1" si="138"/>
        <v>8.183299708929001E-2</v>
      </c>
      <c r="CD131" s="142">
        <f t="shared" ca="1" si="138"/>
        <v>1.57209907318052E-2</v>
      </c>
      <c r="CE131" s="142">
        <f t="shared" ca="1" si="138"/>
        <v>1.3428346250083609E-2</v>
      </c>
      <c r="CG131" s="128">
        <f t="shared" si="98"/>
        <v>200</v>
      </c>
      <c r="CH131" s="90">
        <f ca="1">INDEX(角色升级!$A:$A,MATCH(玩家节奏2!$BX131,角色升级!$J:$J,1))</f>
        <v>1029</v>
      </c>
      <c r="CI131" s="90">
        <f ca="1">INDEX(角色升级!$O:$O,MATCH(玩家节奏2!$BX131,角色升级!$J:$J,1))</f>
        <v>97715.935199999993</v>
      </c>
      <c r="CJ131" s="90">
        <f>INDEX(关卡对比!$J:$J,MATCH(玩家节奏2!N131,关卡对比!$A:$A,0))</f>
        <v>86200</v>
      </c>
      <c r="CK131" s="147">
        <f t="shared" ca="1" si="99"/>
        <v>0.88214885139839516</v>
      </c>
      <c r="CL131" s="128">
        <f ca="1">INDEX(角色升级!$P:$P,MATCH(玩家节奏2!$CH131,角色升级!$A:$A,0))</f>
        <v>40800</v>
      </c>
      <c r="CM131" s="90">
        <f ca="1">INDEX(角色升级!Q:Q,MATCH(玩家节奏2!$CH131,角色升级!$A:$A,0))</f>
        <v>2.2000000000000002</v>
      </c>
      <c r="CO131" s="128">
        <f t="shared" si="100"/>
        <v>78866</v>
      </c>
      <c r="CP131" s="90">
        <f t="shared" si="101"/>
        <v>257870</v>
      </c>
      <c r="CQ131" s="90">
        <f t="shared" si="102"/>
        <v>87346</v>
      </c>
      <c r="CR131" s="90">
        <f t="shared" ca="1" si="103"/>
        <v>360467.5</v>
      </c>
      <c r="CS131" s="90">
        <f t="shared" ca="1" si="104"/>
        <v>784549.5</v>
      </c>
      <c r="CT131" s="142">
        <f t="shared" ca="1" si="105"/>
        <v>0.10052393124971719</v>
      </c>
      <c r="CU131" s="142">
        <f t="shared" ca="1" si="105"/>
        <v>0.32868544304725195</v>
      </c>
      <c r="CV131" s="142">
        <f t="shared" ca="1" si="105"/>
        <v>0.11133268200413103</v>
      </c>
      <c r="CW131" s="142">
        <f t="shared" ca="1" si="105"/>
        <v>0.45945794369889981</v>
      </c>
      <c r="CY131" s="128">
        <f t="shared" si="106"/>
        <v>39434</v>
      </c>
      <c r="CZ131" s="90">
        <f t="shared" si="107"/>
        <v>128771</v>
      </c>
      <c r="DA131" s="90">
        <f t="shared" si="108"/>
        <v>60282</v>
      </c>
      <c r="DB131" s="90">
        <f t="shared" ca="1" si="128"/>
        <v>182437</v>
      </c>
      <c r="DC131" s="90">
        <f t="shared" ca="1" si="109"/>
        <v>410924</v>
      </c>
      <c r="DD131" s="142">
        <f t="shared" ca="1" si="110"/>
        <v>9.5964217227516524E-2</v>
      </c>
      <c r="DE131" s="142">
        <f t="shared" ca="1" si="110"/>
        <v>0.3133693821728592</v>
      </c>
      <c r="DF131" s="142">
        <f t="shared" ca="1" si="110"/>
        <v>0.14669865960615588</v>
      </c>
      <c r="DG131" s="142">
        <f t="shared" ca="1" si="110"/>
        <v>0.44396774099346836</v>
      </c>
      <c r="DI131" s="128">
        <f t="shared" si="111"/>
        <v>19113</v>
      </c>
      <c r="DJ131" s="90">
        <f t="shared" si="112"/>
        <v>63347</v>
      </c>
      <c r="DK131" s="90">
        <f t="shared" si="113"/>
        <v>23562</v>
      </c>
      <c r="DL131" s="90">
        <f t="shared" ca="1" si="114"/>
        <v>29140.25</v>
      </c>
      <c r="DM131" s="90">
        <f t="shared" ca="1" si="115"/>
        <v>135162.25</v>
      </c>
      <c r="DN131" s="142">
        <f t="shared" ca="1" si="116"/>
        <v>0.14140782651960884</v>
      </c>
      <c r="DO131" s="142">
        <f t="shared" ca="1" si="116"/>
        <v>0.4686737606099336</v>
      </c>
      <c r="DP131" s="142">
        <f t="shared" ca="1" si="116"/>
        <v>0.17432382192513071</v>
      </c>
      <c r="DQ131" s="142">
        <f t="shared" ca="1" si="116"/>
        <v>0.21559459094532682</v>
      </c>
      <c r="DS131" s="128">
        <f t="shared" ca="1" si="117"/>
        <v>784549.5</v>
      </c>
      <c r="DT131" s="90">
        <f t="shared" ca="1" si="118"/>
        <v>410924</v>
      </c>
      <c r="DU131" s="90">
        <f t="shared" ca="1" si="119"/>
        <v>135162.25</v>
      </c>
      <c r="DV131" s="90">
        <f t="shared" si="120"/>
        <v>1952</v>
      </c>
      <c r="DW131" s="90">
        <f ca="1">_xlfn.IFNA(INDEX(武器升级消耗!$H:$H,MATCH(玩家节奏2!DS131/玩家节奏2!DS$5,武器升级消耗!M:M,1)),0)</f>
        <v>77</v>
      </c>
      <c r="DX131" s="90">
        <f ca="1">_xlfn.IFNA(INDEX(武器升级消耗!$H:$H,MATCH(玩家节奏2!DT131/玩家节奏2!DT$5,武器升级消耗!N:N,1)),0)</f>
        <v>67</v>
      </c>
      <c r="DY131" s="90">
        <f ca="1">_xlfn.IFNA(INDEX(武器升级消耗!$H:$H,MATCH(玩家节奏2!DU131/玩家节奏2!DU$5,武器升级消耗!O:O,1)),0)</f>
        <v>51</v>
      </c>
      <c r="DZ131" s="90">
        <f>_xlfn.IFNA(INDEX(武器升级消耗!$H:$H,MATCH(玩家节奏2!DV131/玩家节奏2!DV$5,武器升级消耗!P:P,1)),0)</f>
        <v>32</v>
      </c>
      <c r="EA131" s="90">
        <f ca="1">_xlfn.IFNA(INDEX(武器升级消耗!$Q:$Q,MATCH(玩家节奏2!DW131,武器升级消耗!$H:$H,0))*2*EA$4,0)</f>
        <v>9.7199999999999882</v>
      </c>
      <c r="EB131" s="90">
        <f ca="1">_xlfn.IFNA(INDEX(武器升级消耗!$Q:$Q,MATCH(玩家节奏2!DX131,武器升级消耗!$H:$H,0))*2*EB$4,0)</f>
        <v>10.649999999999999</v>
      </c>
      <c r="EC131" s="90">
        <f ca="1">_xlfn.IFNA(INDEX(武器升级消耗!$Q:$Q,MATCH(玩家节奏2!DY131,武器升级消耗!$H:$H,0))*2*EC$4,0)</f>
        <v>12.100000000000001</v>
      </c>
      <c r="ED131" s="90">
        <f>_xlfn.IFNA(INDEX(武器升级消耗!$Q:$Q,MATCH(玩家节奏2!DZ131,武器升级消耗!$H:$H,0))*2*ED$4,0)</f>
        <v>10.8</v>
      </c>
    </row>
    <row r="132" spans="1:134" x14ac:dyDescent="0.25">
      <c r="A132" s="123">
        <v>126</v>
      </c>
      <c r="B132" s="123">
        <f>INDEX(关卡对比!$Y:$Y,MATCH(关卡对比!Z132,关卡对比!$AA:$AA,1))</f>
        <v>76</v>
      </c>
      <c r="C132" s="124">
        <f>INDEX(关卡对比!$Y:$Y,MATCH(关卡对比!Z132,关卡对比!$AB:$AB,1))</f>
        <v>60</v>
      </c>
      <c r="D132" s="125">
        <f t="shared" si="131"/>
        <v>493.5</v>
      </c>
      <c r="E132" s="125">
        <v>2</v>
      </c>
      <c r="F132" s="128">
        <v>16</v>
      </c>
      <c r="G132" s="90">
        <v>16</v>
      </c>
      <c r="H132" s="90">
        <v>5</v>
      </c>
      <c r="J132" s="128">
        <v>126</v>
      </c>
      <c r="K132" s="90">
        <f t="shared" si="88"/>
        <v>16</v>
      </c>
      <c r="L132" s="90">
        <f t="shared" si="89"/>
        <v>16</v>
      </c>
      <c r="M132" s="90">
        <f t="shared" si="90"/>
        <v>5</v>
      </c>
      <c r="N132" s="140">
        <f>INDEX($A:$A,MATCH(SUM($K$7:K132),$D:$D,1))</f>
        <v>200</v>
      </c>
      <c r="O132" s="140">
        <v>0</v>
      </c>
      <c r="P132" s="141">
        <v>0</v>
      </c>
      <c r="Q132" s="126">
        <f>_xlfn.MAXIFS(关卡产出!X:X,关卡产出!$A:$A,玩家节奏2!$N$6,关卡产出!$B:$B,玩家节奏2!$N132)+_xlfn.MAXIFS(关卡产出!X:X,关卡产出!$A:$A,玩家节奏2!$O$6,关卡产出!$B:$B,玩家节奏2!$O132)+_xlfn.MAXIFS(关卡产出!X:X,关卡产出!$A:$A,玩家节奏2!$P$6,关卡产出!$B:$B,玩家节奏2!$P132)</f>
        <v>38500</v>
      </c>
      <c r="R132" s="90">
        <f>_xlfn.MAXIFS(关卡产出!Y:Y,关卡产出!$A:$A,玩家节奏2!$N$6,关卡产出!$B:$B,玩家节奏2!$N132)+_xlfn.MAXIFS(关卡产出!Y:Y,关卡产出!$A:$A,玩家节奏2!$O$6,关卡产出!$B:$B,玩家节奏2!$O132)+_xlfn.MAXIFS(关卡产出!Y:Y,关卡产出!$A:$A,玩家节奏2!$P$6,关卡产出!$B:$B,玩家节奏2!$P132)</f>
        <v>11610000</v>
      </c>
      <c r="S132" s="90">
        <f>_xlfn.MAXIFS(关卡产出!Z:Z,关卡产出!$A:$A,玩家节奏2!$N$6,关卡产出!$B:$B,玩家节奏2!$N132)+_xlfn.MAXIFS(关卡产出!Z:Z,关卡产出!$A:$A,玩家节奏2!$O$6,关卡产出!$B:$B,玩家节奏2!$O132)+_xlfn.MAXIFS(关卡产出!Z:Z,关卡产出!$A:$A,玩家节奏2!$P$6,关卡产出!$B:$B,玩家节奏2!$P132)</f>
        <v>78866</v>
      </c>
      <c r="T132" s="90">
        <f>_xlfn.MAXIFS(关卡产出!AA:AA,关卡产出!$A:$A,玩家节奏2!$N$6,关卡产出!$B:$B,玩家节奏2!$N132)+_xlfn.MAXIFS(关卡产出!AA:AA,关卡产出!$A:$A,玩家节奏2!$O$6,关卡产出!$B:$B,玩家节奏2!$O132)+_xlfn.MAXIFS(关卡产出!AA:AA,关卡产出!$A:$A,玩家节奏2!$P$6,关卡产出!$B:$B,玩家节奏2!$P132)</f>
        <v>39434</v>
      </c>
      <c r="U132" s="90">
        <f>_xlfn.MAXIFS(关卡产出!AB:AB,关卡产出!$A:$A,玩家节奏2!$N$6,关卡产出!$B:$B,玩家节奏2!$N132)+_xlfn.MAXIFS(关卡产出!AB:AB,关卡产出!$A:$A,玩家节奏2!$O$6,关卡产出!$B:$B,玩家节奏2!$O132)+_xlfn.MAXIFS(关卡产出!AB:AB,关卡产出!$A:$A,玩家节奏2!$P$6,关卡产出!$B:$B,玩家节奏2!$P132)</f>
        <v>19113</v>
      </c>
      <c r="V132" s="130">
        <f>_xlfn.MAXIFS(关卡产出!AC:AC,关卡产出!$A:$A,玩家节奏2!$N$6,关卡产出!$B:$B,玩家节奏2!$N132)+_xlfn.MAXIFS(关卡产出!AC:AC,关卡产出!$A:$A,玩家节奏2!$O$6,关卡产出!$B:$B,玩家节奏2!$O132)+_xlfn.MAXIFS(关卡产出!AC:AC,关卡产出!$A:$A,玩家节奏2!$P$6,关卡产出!$B:$B,玩家节奏2!$P132)</f>
        <v>1200</v>
      </c>
      <c r="W132" s="126">
        <f>INDEX(关卡产出!C$8:C$207,MATCH(玩家节奏2!$N132,关卡产出!$B$8:$B$207,0))*$K132</f>
        <v>2528</v>
      </c>
      <c r="X132" s="126">
        <f>INDEX(关卡产出!D$8:D$207,MATCH(玩家节奏2!$N132,关卡产出!$B$8:$B$207,0))*$K132</f>
        <v>1264</v>
      </c>
      <c r="Y132" s="126">
        <f>INDEX(关卡产出!E$8:E$207,MATCH(玩家节奏2!$N132,关卡产出!$B$8:$B$207,0))*$K132</f>
        <v>624</v>
      </c>
      <c r="Z132" s="144">
        <f>INDEX(关卡产出!F$8:F$207,MATCH(玩家节奏2!$N132,关卡产出!$B$8:$B$207,0))*$K132</f>
        <v>32800</v>
      </c>
      <c r="AA132" s="126">
        <f>SUM(W$7:W132)</f>
        <v>260398</v>
      </c>
      <c r="AB132" s="126">
        <f>SUM(X$7:X132)</f>
        <v>130035</v>
      </c>
      <c r="AC132" s="126">
        <f>SUM(Y$7:Y132)</f>
        <v>63971</v>
      </c>
      <c r="AD132" s="177">
        <f>SUM(Z$7:Z132)</f>
        <v>3406330</v>
      </c>
      <c r="AE132" s="128">
        <f>INDEX(图鉴!AQ:AQ,MATCH($N132,图鉴!$S:$S,0))*34</f>
        <v>714</v>
      </c>
      <c r="AF132" s="90">
        <f>INDEX(图鉴!AR:AR,MATCH($N132,图鉴!$S:$S,0))*34</f>
        <v>510</v>
      </c>
      <c r="AG132" s="90">
        <f>INDEX(图鉴!AS:AS,MATCH($N132,图鉴!$S:$S,0))*34</f>
        <v>204</v>
      </c>
      <c r="AH132" s="129">
        <f ca="1">INDEX(图鉴!AT:AT,MATCH($N132,图鉴!$S:$S,0))*34</f>
        <v>55930</v>
      </c>
      <c r="AI132" s="128">
        <f>SUM($AE$7:AE132)</f>
        <v>88060</v>
      </c>
      <c r="AJ132" s="90">
        <f>SUM(AF$7:AF132)</f>
        <v>60792</v>
      </c>
      <c r="AK132" s="90">
        <f>SUM(AG$7:AG132)</f>
        <v>23766</v>
      </c>
      <c r="AL132" s="130">
        <f ca="1">SUM(AH$7:AH132)</f>
        <v>6217546</v>
      </c>
      <c r="AM132" s="133">
        <f>IF(M132=0,0,INDEX(关卡产出!$AU$11:$AU$15,MATCH(玩家节奏2!N132,关卡产出!$AW$11:$AW$15,1))*M132)</f>
        <v>61000</v>
      </c>
      <c r="AN132" s="126">
        <f>IF(L132=0,0,$L132*关卡产出!AU$21)</f>
        <v>16000</v>
      </c>
      <c r="AO132" s="90">
        <f>IF(M132=0,0,$L132*关卡产出!AV$21)</f>
        <v>800</v>
      </c>
      <c r="AP132" s="129">
        <f>IF(N132=0,0,$L132*关卡产出!AW$21)</f>
        <v>16</v>
      </c>
      <c r="AQ132" s="138">
        <f>SUM(AN$7:AN132)</f>
        <v>1968000</v>
      </c>
      <c r="AR132" s="126">
        <f>SUM(AO$7:AO132)</f>
        <v>98400</v>
      </c>
      <c r="AS132" s="129">
        <f>SUM(AP$7:AP132)</f>
        <v>1968</v>
      </c>
      <c r="AT132" s="128">
        <v>3000</v>
      </c>
      <c r="AU132" s="129">
        <v>600</v>
      </c>
      <c r="AV132" s="128">
        <f>SUM(AT$7:AT132)</f>
        <v>378000</v>
      </c>
      <c r="AW132" s="90">
        <f>SUM(AU$7:AU132)</f>
        <v>75600</v>
      </c>
      <c r="AY132" s="128">
        <f t="shared" si="91"/>
        <v>38500</v>
      </c>
      <c r="AZ132" s="90">
        <f t="shared" si="92"/>
        <v>98400</v>
      </c>
      <c r="BA132" s="90">
        <f t="shared" si="93"/>
        <v>75600</v>
      </c>
      <c r="BB132" s="90">
        <f t="shared" ca="1" si="127"/>
        <v>40800</v>
      </c>
      <c r="BC132" s="90">
        <f t="shared" ca="1" si="129"/>
        <v>128825</v>
      </c>
      <c r="BD132" s="90">
        <f t="shared" ca="1" si="130"/>
        <v>124475</v>
      </c>
      <c r="BE132" s="90">
        <f t="shared" ca="1" si="94"/>
        <v>253300</v>
      </c>
      <c r="BF132" s="142">
        <f t="shared" ca="1" si="132"/>
        <v>0.29885503590141665</v>
      </c>
      <c r="BG132" s="142">
        <f t="shared" ca="1" si="133"/>
        <v>0.76382689695323114</v>
      </c>
      <c r="BH132" s="142">
        <f t="shared" ca="1" si="134"/>
        <v>0.5868426159518727</v>
      </c>
      <c r="BI132" s="142">
        <f t="shared" ca="1" si="137"/>
        <v>0.31670871337085194</v>
      </c>
      <c r="BJ132" s="143"/>
      <c r="BK132" s="128">
        <f ca="1">INDEX(商城宝箱!$L:$L,MATCH(BC132,商城宝箱!$N:$N,1))</f>
        <v>12</v>
      </c>
      <c r="BL132" s="90">
        <f ca="1">_xlfn.IFNA(INDEX(商城宝箱!T:T,MATCH(玩家节奏2!$BK132,商城宝箱!$L:$L,0)),0)+($BC132-INDEX(商城宝箱!$N:$N,MATCH(玩家节奏2!$BK132,商城宝箱!$L:$L,0)))/$BK$5*INDEX(商城宝箱!E$23:E$42,MATCH(玩家节奏2!$BK132+1,商城宝箱!$C$23:$C$42,0))</f>
        <v>322062.5</v>
      </c>
      <c r="BM132" s="90">
        <f ca="1">_xlfn.IFNA(INDEX(商城宝箱!U:U,MATCH(玩家节奏2!$BK132,商城宝箱!$L:$L,0)),0)+($BC132-INDEX(商城宝箱!$N:$N,MATCH(玩家节奏2!$BK132,商城宝箱!$L:$L,0)))/$BK$5*INDEX(商城宝箱!F$23:F$42,MATCH(玩家节奏2!$BK132+1,商城宝箱!$C$23:$C$42,0))</f>
        <v>363407.5</v>
      </c>
      <c r="BN132" s="90">
        <f ca="1">_xlfn.IFNA(INDEX(商城宝箱!V:V,MATCH(玩家节奏2!$BK132,商城宝箱!$L:$L,0)),0)+($BC132-INDEX(商城宝箱!$N:$N,MATCH(玩家节奏2!$BK132,商城宝箱!$L:$L,0)))/$BK$5*INDEX(商城宝箱!G$23:G$42,MATCH(玩家节奏2!$BK132+1,商城宝箱!$C$23:$C$42,0))</f>
        <v>183837</v>
      </c>
      <c r="BO132" s="90">
        <f ca="1">_xlfn.IFNA(INDEX(商城宝箱!W:W,MATCH(玩家节奏2!$BK132,商城宝箱!$L:$L,0)),0)+($BC132-INDEX(商城宝箱!$N:$N,MATCH(玩家节奏2!$BK132,商城宝箱!$L:$L,0)))/$BK$5*INDEX(商城宝箱!H$23:H$42,MATCH(玩家节奏2!$BK132+1,商城宝箱!$C$23:$C$42,0))</f>
        <v>29385.25</v>
      </c>
      <c r="BQ132" s="128">
        <f t="shared" si="79"/>
        <v>11610000</v>
      </c>
      <c r="BR132" s="90">
        <f t="shared" si="80"/>
        <v>3406330</v>
      </c>
      <c r="BS132" s="90">
        <f t="shared" ca="1" si="135"/>
        <v>6217546</v>
      </c>
      <c r="BT132" s="90">
        <f t="shared" si="136"/>
        <v>61000</v>
      </c>
      <c r="BU132" s="90">
        <f t="shared" si="83"/>
        <v>1968000</v>
      </c>
      <c r="BV132" s="90">
        <f t="shared" si="84"/>
        <v>378000</v>
      </c>
      <c r="BW132" s="90">
        <f t="shared" ca="1" si="96"/>
        <v>322062.5</v>
      </c>
      <c r="BX132" s="90">
        <f t="shared" ca="1" si="97"/>
        <v>23962938.5</v>
      </c>
      <c r="BY132" s="142">
        <f t="shared" ca="1" si="138"/>
        <v>0.48449817621490787</v>
      </c>
      <c r="BZ132" s="142">
        <f t="shared" ca="1" si="138"/>
        <v>0.14214992873265522</v>
      </c>
      <c r="CA132" s="142">
        <f t="shared" ca="1" si="138"/>
        <v>0.25946509022672659</v>
      </c>
      <c r="CB132" s="142">
        <f t="shared" ca="1" si="138"/>
        <v>2.5455976528087321E-3</v>
      </c>
      <c r="CC132" s="142">
        <f t="shared" ca="1" si="138"/>
        <v>8.2126822634878444E-2</v>
      </c>
      <c r="CD132" s="142">
        <f t="shared" ca="1" si="138"/>
        <v>1.577435922560165E-2</v>
      </c>
      <c r="CE132" s="142">
        <f t="shared" ca="1" si="138"/>
        <v>1.3440025312421514E-2</v>
      </c>
      <c r="CG132" s="128">
        <f t="shared" si="98"/>
        <v>200</v>
      </c>
      <c r="CH132" s="90">
        <f ca="1">INDEX(角色升级!$A:$A,MATCH(玩家节奏2!$BX132,角色升级!$J:$J,1))</f>
        <v>1032</v>
      </c>
      <c r="CI132" s="90">
        <f ca="1">INDEX(角色升级!$O:$O,MATCH(玩家节奏2!$BX132,角色升级!$J:$J,1))</f>
        <v>98410.793625000006</v>
      </c>
      <c r="CJ132" s="90">
        <f>INDEX(关卡对比!$J:$J,MATCH(玩家节奏2!N132,关卡对比!$A:$A,0))</f>
        <v>86200</v>
      </c>
      <c r="CK132" s="147">
        <f t="shared" ca="1" si="99"/>
        <v>0.87592017932982091</v>
      </c>
      <c r="CL132" s="128">
        <f ca="1">INDEX(角色升级!$P:$P,MATCH(玩家节奏2!$CH132,角色升级!$A:$A,0))</f>
        <v>40800</v>
      </c>
      <c r="CM132" s="90">
        <f ca="1">INDEX(角色升级!Q:Q,MATCH(玩家节奏2!$CH132,角色升级!$A:$A,0))</f>
        <v>2.2000000000000002</v>
      </c>
      <c r="CO132" s="128">
        <f t="shared" si="100"/>
        <v>78866</v>
      </c>
      <c r="CP132" s="90">
        <f t="shared" si="101"/>
        <v>260398</v>
      </c>
      <c r="CQ132" s="90">
        <f t="shared" si="102"/>
        <v>88060</v>
      </c>
      <c r="CR132" s="90">
        <f t="shared" ca="1" si="103"/>
        <v>363407.5</v>
      </c>
      <c r="CS132" s="90">
        <f t="shared" ca="1" si="104"/>
        <v>790731.5</v>
      </c>
      <c r="CT132" s="142">
        <f t="shared" ca="1" si="105"/>
        <v>9.9738027383505026E-2</v>
      </c>
      <c r="CU132" s="142">
        <f t="shared" ca="1" si="105"/>
        <v>0.32931279454530393</v>
      </c>
      <c r="CV132" s="142">
        <f t="shared" ca="1" si="105"/>
        <v>0.11136523586071884</v>
      </c>
      <c r="CW132" s="142">
        <f t="shared" ca="1" si="105"/>
        <v>0.45958394221047222</v>
      </c>
      <c r="CY132" s="128">
        <f t="shared" si="106"/>
        <v>39434</v>
      </c>
      <c r="CZ132" s="90">
        <f t="shared" si="107"/>
        <v>130035</v>
      </c>
      <c r="DA132" s="90">
        <f t="shared" si="108"/>
        <v>60792</v>
      </c>
      <c r="DB132" s="90">
        <f t="shared" ca="1" si="128"/>
        <v>183837</v>
      </c>
      <c r="DC132" s="90">
        <f t="shared" ca="1" si="109"/>
        <v>414098</v>
      </c>
      <c r="DD132" s="142">
        <f t="shared" ca="1" si="110"/>
        <v>9.52286656781728E-2</v>
      </c>
      <c r="DE132" s="142">
        <f t="shared" ca="1" si="110"/>
        <v>0.31401986969268142</v>
      </c>
      <c r="DF132" s="142">
        <f t="shared" ca="1" si="110"/>
        <v>0.14680582857198055</v>
      </c>
      <c r="DG132" s="142">
        <f t="shared" ca="1" si="110"/>
        <v>0.44394563605716519</v>
      </c>
      <c r="DI132" s="128">
        <f t="shared" si="111"/>
        <v>19113</v>
      </c>
      <c r="DJ132" s="90">
        <f t="shared" si="112"/>
        <v>63971</v>
      </c>
      <c r="DK132" s="90">
        <f t="shared" si="113"/>
        <v>23766</v>
      </c>
      <c r="DL132" s="90">
        <f t="shared" ca="1" si="114"/>
        <v>29385.25</v>
      </c>
      <c r="DM132" s="90">
        <f t="shared" ca="1" si="115"/>
        <v>136235.25</v>
      </c>
      <c r="DN132" s="142">
        <f t="shared" ca="1" si="116"/>
        <v>0.14029408688280015</v>
      </c>
      <c r="DO132" s="142">
        <f t="shared" ca="1" si="116"/>
        <v>0.46956276000521158</v>
      </c>
      <c r="DP132" s="142">
        <f t="shared" ca="1" si="116"/>
        <v>0.17444824302080408</v>
      </c>
      <c r="DQ132" s="142">
        <f t="shared" ca="1" si="116"/>
        <v>0.21569491009118419</v>
      </c>
      <c r="DS132" s="128">
        <f t="shared" ca="1" si="117"/>
        <v>790731.5</v>
      </c>
      <c r="DT132" s="90">
        <f t="shared" ca="1" si="118"/>
        <v>414098</v>
      </c>
      <c r="DU132" s="90">
        <f t="shared" ca="1" si="119"/>
        <v>136235.25</v>
      </c>
      <c r="DV132" s="90">
        <f t="shared" si="120"/>
        <v>1968</v>
      </c>
      <c r="DW132" s="90">
        <f ca="1">_xlfn.IFNA(INDEX(武器升级消耗!$H:$H,MATCH(玩家节奏2!DS132/玩家节奏2!DS$5,武器升级消耗!M:M,1)),0)</f>
        <v>77</v>
      </c>
      <c r="DX132" s="90">
        <f ca="1">_xlfn.IFNA(INDEX(武器升级消耗!$H:$H,MATCH(玩家节奏2!DT132/玩家节奏2!DT$5,武器升级消耗!N:N,1)),0)</f>
        <v>67</v>
      </c>
      <c r="DY132" s="90">
        <f ca="1">_xlfn.IFNA(INDEX(武器升级消耗!$H:$H,MATCH(玩家节奏2!DU132/玩家节奏2!DU$5,武器升级消耗!O:O,1)),0)</f>
        <v>51</v>
      </c>
      <c r="DZ132" s="90">
        <f>_xlfn.IFNA(INDEX(武器升级消耗!$H:$H,MATCH(玩家节奏2!DV132/玩家节奏2!DV$5,武器升级消耗!P:P,1)),0)</f>
        <v>32</v>
      </c>
      <c r="EA132" s="90">
        <f ca="1">_xlfn.IFNA(INDEX(武器升级消耗!$Q:$Q,MATCH(玩家节奏2!DW132,武器升级消耗!$H:$H,0))*2*EA$4,0)</f>
        <v>9.7199999999999882</v>
      </c>
      <c r="EB132" s="90">
        <f ca="1">_xlfn.IFNA(INDEX(武器升级消耗!$Q:$Q,MATCH(玩家节奏2!DX132,武器升级消耗!$H:$H,0))*2*EB$4,0)</f>
        <v>10.649999999999999</v>
      </c>
      <c r="EC132" s="90">
        <f ca="1">_xlfn.IFNA(INDEX(武器升级消耗!$Q:$Q,MATCH(玩家节奏2!DY132,武器升级消耗!$H:$H,0))*2*EC$4,0)</f>
        <v>12.100000000000001</v>
      </c>
      <c r="ED132" s="90">
        <f>_xlfn.IFNA(INDEX(武器升级消耗!$Q:$Q,MATCH(玩家节奏2!DZ132,武器升级消耗!$H:$H,0))*2*ED$4,0)</f>
        <v>10.8</v>
      </c>
    </row>
    <row r="133" spans="1:134" x14ac:dyDescent="0.25">
      <c r="A133" s="123">
        <v>127</v>
      </c>
      <c r="B133" s="123">
        <f>INDEX(关卡对比!$Y:$Y,MATCH(关卡对比!Z133,关卡对比!$AA:$AA,1))</f>
        <v>77</v>
      </c>
      <c r="C133" s="124">
        <f>INDEX(关卡对比!$Y:$Y,MATCH(关卡对比!Z133,关卡对比!$AB:$AB,1))</f>
        <v>60</v>
      </c>
      <c r="D133" s="125">
        <f t="shared" si="131"/>
        <v>497.5</v>
      </c>
      <c r="E133" s="125">
        <v>2</v>
      </c>
      <c r="F133" s="128">
        <v>16</v>
      </c>
      <c r="G133" s="90">
        <v>16</v>
      </c>
      <c r="H133" s="90">
        <v>5</v>
      </c>
      <c r="J133" s="128">
        <v>127</v>
      </c>
      <c r="K133" s="90">
        <f t="shared" si="88"/>
        <v>16</v>
      </c>
      <c r="L133" s="90">
        <f t="shared" si="89"/>
        <v>16</v>
      </c>
      <c r="M133" s="90">
        <f t="shared" si="90"/>
        <v>5</v>
      </c>
      <c r="N133" s="140">
        <f>INDEX($A:$A,MATCH(SUM($K$7:K133),$D:$D,1))</f>
        <v>200</v>
      </c>
      <c r="O133" s="140">
        <v>0</v>
      </c>
      <c r="P133" s="141">
        <v>0</v>
      </c>
      <c r="Q133" s="126">
        <f>_xlfn.MAXIFS(关卡产出!X:X,关卡产出!$A:$A,玩家节奏2!$N$6,关卡产出!$B:$B,玩家节奏2!$N133)+_xlfn.MAXIFS(关卡产出!X:X,关卡产出!$A:$A,玩家节奏2!$O$6,关卡产出!$B:$B,玩家节奏2!$O133)+_xlfn.MAXIFS(关卡产出!X:X,关卡产出!$A:$A,玩家节奏2!$P$6,关卡产出!$B:$B,玩家节奏2!$P133)</f>
        <v>38500</v>
      </c>
      <c r="R133" s="90">
        <f>_xlfn.MAXIFS(关卡产出!Y:Y,关卡产出!$A:$A,玩家节奏2!$N$6,关卡产出!$B:$B,玩家节奏2!$N133)+_xlfn.MAXIFS(关卡产出!Y:Y,关卡产出!$A:$A,玩家节奏2!$O$6,关卡产出!$B:$B,玩家节奏2!$O133)+_xlfn.MAXIFS(关卡产出!Y:Y,关卡产出!$A:$A,玩家节奏2!$P$6,关卡产出!$B:$B,玩家节奏2!$P133)</f>
        <v>11610000</v>
      </c>
      <c r="S133" s="90">
        <f>_xlfn.MAXIFS(关卡产出!Z:Z,关卡产出!$A:$A,玩家节奏2!$N$6,关卡产出!$B:$B,玩家节奏2!$N133)+_xlfn.MAXIFS(关卡产出!Z:Z,关卡产出!$A:$A,玩家节奏2!$O$6,关卡产出!$B:$B,玩家节奏2!$O133)+_xlfn.MAXIFS(关卡产出!Z:Z,关卡产出!$A:$A,玩家节奏2!$P$6,关卡产出!$B:$B,玩家节奏2!$P133)</f>
        <v>78866</v>
      </c>
      <c r="T133" s="90">
        <f>_xlfn.MAXIFS(关卡产出!AA:AA,关卡产出!$A:$A,玩家节奏2!$N$6,关卡产出!$B:$B,玩家节奏2!$N133)+_xlfn.MAXIFS(关卡产出!AA:AA,关卡产出!$A:$A,玩家节奏2!$O$6,关卡产出!$B:$B,玩家节奏2!$O133)+_xlfn.MAXIFS(关卡产出!AA:AA,关卡产出!$A:$A,玩家节奏2!$P$6,关卡产出!$B:$B,玩家节奏2!$P133)</f>
        <v>39434</v>
      </c>
      <c r="U133" s="90">
        <f>_xlfn.MAXIFS(关卡产出!AB:AB,关卡产出!$A:$A,玩家节奏2!$N$6,关卡产出!$B:$B,玩家节奏2!$N133)+_xlfn.MAXIFS(关卡产出!AB:AB,关卡产出!$A:$A,玩家节奏2!$O$6,关卡产出!$B:$B,玩家节奏2!$O133)+_xlfn.MAXIFS(关卡产出!AB:AB,关卡产出!$A:$A,玩家节奏2!$P$6,关卡产出!$B:$B,玩家节奏2!$P133)</f>
        <v>19113</v>
      </c>
      <c r="V133" s="130">
        <f>_xlfn.MAXIFS(关卡产出!AC:AC,关卡产出!$A:$A,玩家节奏2!$N$6,关卡产出!$B:$B,玩家节奏2!$N133)+_xlfn.MAXIFS(关卡产出!AC:AC,关卡产出!$A:$A,玩家节奏2!$O$6,关卡产出!$B:$B,玩家节奏2!$O133)+_xlfn.MAXIFS(关卡产出!AC:AC,关卡产出!$A:$A,玩家节奏2!$P$6,关卡产出!$B:$B,玩家节奏2!$P133)</f>
        <v>1200</v>
      </c>
      <c r="W133" s="126">
        <f>INDEX(关卡产出!C$8:C$207,MATCH(玩家节奏2!$N133,关卡产出!$B$8:$B$207,0))*$K133</f>
        <v>2528</v>
      </c>
      <c r="X133" s="126">
        <f>INDEX(关卡产出!D$8:D$207,MATCH(玩家节奏2!$N133,关卡产出!$B$8:$B$207,0))*$K133</f>
        <v>1264</v>
      </c>
      <c r="Y133" s="126">
        <f>INDEX(关卡产出!E$8:E$207,MATCH(玩家节奏2!$N133,关卡产出!$B$8:$B$207,0))*$K133</f>
        <v>624</v>
      </c>
      <c r="Z133" s="144">
        <f>INDEX(关卡产出!F$8:F$207,MATCH(玩家节奏2!$N133,关卡产出!$B$8:$B$207,0))*$K133</f>
        <v>32800</v>
      </c>
      <c r="AA133" s="126">
        <f>SUM(W$7:W133)</f>
        <v>262926</v>
      </c>
      <c r="AB133" s="126">
        <f>SUM(X$7:X133)</f>
        <v>131299</v>
      </c>
      <c r="AC133" s="126">
        <f>SUM(Y$7:Y133)</f>
        <v>64595</v>
      </c>
      <c r="AD133" s="177">
        <f>SUM(Z$7:Z133)</f>
        <v>3439130</v>
      </c>
      <c r="AE133" s="128">
        <f>INDEX(图鉴!AQ:AQ,MATCH($N133,图鉴!$S:$S,0))*34</f>
        <v>714</v>
      </c>
      <c r="AF133" s="90">
        <f>INDEX(图鉴!AR:AR,MATCH($N133,图鉴!$S:$S,0))*34</f>
        <v>510</v>
      </c>
      <c r="AG133" s="90">
        <f>INDEX(图鉴!AS:AS,MATCH($N133,图鉴!$S:$S,0))*34</f>
        <v>204</v>
      </c>
      <c r="AH133" s="129">
        <f ca="1">INDEX(图鉴!AT:AT,MATCH($N133,图鉴!$S:$S,0))*34</f>
        <v>55930</v>
      </c>
      <c r="AI133" s="128">
        <f>SUM($AE$7:AE133)</f>
        <v>88774</v>
      </c>
      <c r="AJ133" s="90">
        <f>SUM(AF$7:AF133)</f>
        <v>61302</v>
      </c>
      <c r="AK133" s="90">
        <f>SUM(AG$7:AG133)</f>
        <v>23970</v>
      </c>
      <c r="AL133" s="130">
        <f ca="1">SUM(AH$7:AH133)</f>
        <v>6273476</v>
      </c>
      <c r="AM133" s="133">
        <f>IF(M133=0,0,INDEX(关卡产出!$AU$11:$AU$15,MATCH(玩家节奏2!N133,关卡产出!$AW$11:$AW$15,1))*M133)</f>
        <v>61000</v>
      </c>
      <c r="AN133" s="126">
        <f>IF(L133=0,0,$L133*关卡产出!AU$21)</f>
        <v>16000</v>
      </c>
      <c r="AO133" s="90">
        <f>IF(M133=0,0,$L133*关卡产出!AV$21)</f>
        <v>800</v>
      </c>
      <c r="AP133" s="129">
        <f>IF(N133=0,0,$L133*关卡产出!AW$21)</f>
        <v>16</v>
      </c>
      <c r="AQ133" s="138">
        <f>SUM(AN$7:AN133)</f>
        <v>1984000</v>
      </c>
      <c r="AR133" s="126">
        <f>SUM(AO$7:AO133)</f>
        <v>99200</v>
      </c>
      <c r="AS133" s="129">
        <f>SUM(AP$7:AP133)</f>
        <v>1984</v>
      </c>
      <c r="AT133" s="128">
        <v>3000</v>
      </c>
      <c r="AU133" s="129">
        <v>600</v>
      </c>
      <c r="AV133" s="128">
        <f>SUM(AT$7:AT133)</f>
        <v>381000</v>
      </c>
      <c r="AW133" s="90">
        <f>SUM(AU$7:AU133)</f>
        <v>76200</v>
      </c>
      <c r="AY133" s="128">
        <f t="shared" si="91"/>
        <v>38500</v>
      </c>
      <c r="AZ133" s="90">
        <f t="shared" si="92"/>
        <v>99200</v>
      </c>
      <c r="BA133" s="90">
        <f t="shared" si="93"/>
        <v>76200</v>
      </c>
      <c r="BB133" s="90">
        <f t="shared" ca="1" si="127"/>
        <v>40800</v>
      </c>
      <c r="BC133" s="90">
        <f t="shared" ca="1" si="129"/>
        <v>129525</v>
      </c>
      <c r="BD133" s="90">
        <f t="shared" ca="1" si="130"/>
        <v>125175</v>
      </c>
      <c r="BE133" s="90">
        <f t="shared" ca="1" si="94"/>
        <v>254700</v>
      </c>
      <c r="BF133" s="142">
        <f t="shared" ca="1" si="132"/>
        <v>0.29723991507430997</v>
      </c>
      <c r="BG133" s="142">
        <f t="shared" ca="1" si="133"/>
        <v>0.76587531364601424</v>
      </c>
      <c r="BH133" s="142">
        <f t="shared" ca="1" si="134"/>
        <v>0.58830341632889405</v>
      </c>
      <c r="BI133" s="142">
        <f t="shared" ca="1" si="137"/>
        <v>0.314997104806022</v>
      </c>
      <c r="BJ133" s="143"/>
      <c r="BK133" s="128">
        <f ca="1">INDEX(商城宝箱!$L:$L,MATCH(BC133,商城宝箱!$N:$N,1))</f>
        <v>12</v>
      </c>
      <c r="BL133" s="90">
        <f ca="1">_xlfn.IFNA(INDEX(商城宝箱!T:T,MATCH(玩家节奏2!$BK133,商城宝箱!$L:$L,0)),0)+($BC133-INDEX(商城宝箱!$N:$N,MATCH(玩家节奏2!$BK133,商城宝箱!$L:$L,0)))/$BK$5*INDEX(商城宝箱!E$23:E$42,MATCH(玩家节奏2!$BK133+1,商城宝箱!$C$23:$C$42,0))</f>
        <v>323812.5</v>
      </c>
      <c r="BM133" s="90">
        <f ca="1">_xlfn.IFNA(INDEX(商城宝箱!U:U,MATCH(玩家节奏2!$BK133,商城宝箱!$L:$L,0)),0)+($BC133-INDEX(商城宝箱!$N:$N,MATCH(玩家节奏2!$BK133,商城宝箱!$L:$L,0)))/$BK$5*INDEX(商城宝箱!F$23:F$42,MATCH(玩家节奏2!$BK133+1,商城宝箱!$C$23:$C$42,0))</f>
        <v>366347.5</v>
      </c>
      <c r="BN133" s="90">
        <f ca="1">_xlfn.IFNA(INDEX(商城宝箱!V:V,MATCH(玩家节奏2!$BK133,商城宝箱!$L:$L,0)),0)+($BC133-INDEX(商城宝箱!$N:$N,MATCH(玩家节奏2!$BK133,商城宝箱!$L:$L,0)))/$BK$5*INDEX(商城宝箱!G$23:G$42,MATCH(玩家节奏2!$BK133+1,商城宝箱!$C$23:$C$42,0))</f>
        <v>185237</v>
      </c>
      <c r="BO133" s="90">
        <f ca="1">_xlfn.IFNA(INDEX(商城宝箱!W:W,MATCH(玩家节奏2!$BK133,商城宝箱!$L:$L,0)),0)+($BC133-INDEX(商城宝箱!$N:$N,MATCH(玩家节奏2!$BK133,商城宝箱!$L:$L,0)))/$BK$5*INDEX(商城宝箱!H$23:H$42,MATCH(玩家节奏2!$BK133+1,商城宝箱!$C$23:$C$42,0))</f>
        <v>29630.25</v>
      </c>
      <c r="BQ133" s="128">
        <f t="shared" si="79"/>
        <v>11610000</v>
      </c>
      <c r="BR133" s="90">
        <f t="shared" si="80"/>
        <v>3439130</v>
      </c>
      <c r="BS133" s="90">
        <f t="shared" ca="1" si="135"/>
        <v>6273476</v>
      </c>
      <c r="BT133" s="90">
        <f t="shared" si="136"/>
        <v>61000</v>
      </c>
      <c r="BU133" s="90">
        <f t="shared" si="83"/>
        <v>1984000</v>
      </c>
      <c r="BV133" s="90">
        <f t="shared" si="84"/>
        <v>381000</v>
      </c>
      <c r="BW133" s="90">
        <f t="shared" ca="1" si="96"/>
        <v>323812.5</v>
      </c>
      <c r="BX133" s="90">
        <f t="shared" ca="1" si="97"/>
        <v>24072418.5</v>
      </c>
      <c r="BY133" s="142">
        <f t="shared" ca="1" si="138"/>
        <v>0.48229470586846102</v>
      </c>
      <c r="BZ133" s="142">
        <f t="shared" ca="1" si="138"/>
        <v>0.14286599412518522</v>
      </c>
      <c r="CA133" s="142">
        <f t="shared" ca="1" si="138"/>
        <v>0.26060846358250211</v>
      </c>
      <c r="CB133" s="142">
        <f t="shared" ca="1" si="138"/>
        <v>2.5340204184303291E-3</v>
      </c>
      <c r="CC133" s="142">
        <f t="shared" ca="1" si="138"/>
        <v>8.2417975576488084E-2</v>
      </c>
      <c r="CD133" s="142">
        <f t="shared" ca="1" si="138"/>
        <v>1.5827242285605829E-2</v>
      </c>
      <c r="CE133" s="142">
        <f t="shared" ca="1" si="138"/>
        <v>1.3451598143327394E-2</v>
      </c>
      <c r="CG133" s="128">
        <f t="shared" si="98"/>
        <v>200</v>
      </c>
      <c r="CH133" s="90">
        <f ca="1">INDEX(角色升级!$A:$A,MATCH(玩家节奏2!$BX133,角色升级!$J:$J,1))</f>
        <v>1034</v>
      </c>
      <c r="CI133" s="90">
        <f ca="1">INDEX(角色升级!$O:$O,MATCH(玩家节奏2!$BX133,角色升级!$J:$J,1))</f>
        <v>98557.565875</v>
      </c>
      <c r="CJ133" s="90">
        <f>INDEX(关卡对比!$J:$J,MATCH(玩家节奏2!N133,关卡对比!$A:$A,0))</f>
        <v>86200</v>
      </c>
      <c r="CK133" s="147">
        <f t="shared" ca="1" si="99"/>
        <v>0.87461575612903197</v>
      </c>
      <c r="CL133" s="128">
        <f ca="1">INDEX(角色升级!$P:$P,MATCH(玩家节奏2!$CH133,角色升级!$A:$A,0))</f>
        <v>40800</v>
      </c>
      <c r="CM133" s="90">
        <f ca="1">INDEX(角色升级!Q:Q,MATCH(玩家节奏2!$CH133,角色升级!$A:$A,0))</f>
        <v>2.2000000000000002</v>
      </c>
      <c r="CO133" s="128">
        <f t="shared" si="100"/>
        <v>78866</v>
      </c>
      <c r="CP133" s="90">
        <f t="shared" si="101"/>
        <v>262926</v>
      </c>
      <c r="CQ133" s="90">
        <f t="shared" si="102"/>
        <v>88774</v>
      </c>
      <c r="CR133" s="90">
        <f t="shared" ca="1" si="103"/>
        <v>366347.5</v>
      </c>
      <c r="CS133" s="90">
        <f t="shared" ca="1" si="104"/>
        <v>796913.5</v>
      </c>
      <c r="CT133" s="142">
        <f t="shared" ca="1" si="105"/>
        <v>9.8964316704385102E-2</v>
      </c>
      <c r="CU133" s="142">
        <f t="shared" ca="1" si="105"/>
        <v>0.32993041277378288</v>
      </c>
      <c r="CV133" s="142">
        <f t="shared" ca="1" si="105"/>
        <v>0.11139728464883579</v>
      </c>
      <c r="CW133" s="142">
        <f t="shared" ca="1" si="105"/>
        <v>0.45970798587299627</v>
      </c>
      <c r="CY133" s="128">
        <f t="shared" si="106"/>
        <v>39434</v>
      </c>
      <c r="CZ133" s="90">
        <f t="shared" si="107"/>
        <v>131299</v>
      </c>
      <c r="DA133" s="90">
        <f t="shared" si="108"/>
        <v>61302</v>
      </c>
      <c r="DB133" s="90">
        <f t="shared" ca="1" si="128"/>
        <v>185237</v>
      </c>
      <c r="DC133" s="90">
        <f t="shared" ca="1" si="109"/>
        <v>417272</v>
      </c>
      <c r="DD133" s="142">
        <f t="shared" ca="1" si="110"/>
        <v>9.4504304146935336E-2</v>
      </c>
      <c r="DE133" s="142">
        <f t="shared" ca="1" si="110"/>
        <v>0.31466046128184971</v>
      </c>
      <c r="DF133" s="142">
        <f t="shared" ca="1" si="110"/>
        <v>0.14691136716578154</v>
      </c>
      <c r="DG133" s="142">
        <f t="shared" ca="1" si="110"/>
        <v>0.44392386740543338</v>
      </c>
      <c r="DI133" s="128">
        <f t="shared" si="111"/>
        <v>19113</v>
      </c>
      <c r="DJ133" s="90">
        <f t="shared" si="112"/>
        <v>64595</v>
      </c>
      <c r="DK133" s="90">
        <f t="shared" si="113"/>
        <v>23970</v>
      </c>
      <c r="DL133" s="90">
        <f t="shared" ca="1" si="114"/>
        <v>29630.25</v>
      </c>
      <c r="DM133" s="90">
        <f t="shared" ca="1" si="115"/>
        <v>137308.25</v>
      </c>
      <c r="DN133" s="142">
        <f t="shared" ca="1" si="116"/>
        <v>0.1391977539587024</v>
      </c>
      <c r="DO133" s="142">
        <f t="shared" ca="1" si="116"/>
        <v>0.47043786516833475</v>
      </c>
      <c r="DP133" s="142">
        <f t="shared" ca="1" si="116"/>
        <v>0.17457071953069098</v>
      </c>
      <c r="DQ133" s="142">
        <f t="shared" ca="1" si="116"/>
        <v>0.21579366134227185</v>
      </c>
      <c r="DS133" s="128">
        <f t="shared" ca="1" si="117"/>
        <v>796913.5</v>
      </c>
      <c r="DT133" s="90">
        <f t="shared" ca="1" si="118"/>
        <v>417272</v>
      </c>
      <c r="DU133" s="90">
        <f t="shared" ca="1" si="119"/>
        <v>137308.25</v>
      </c>
      <c r="DV133" s="90">
        <f t="shared" si="120"/>
        <v>1984</v>
      </c>
      <c r="DW133" s="90">
        <f ca="1">_xlfn.IFNA(INDEX(武器升级消耗!$H:$H,MATCH(玩家节奏2!DS133/玩家节奏2!DS$5,武器升级消耗!M:M,1)),0)</f>
        <v>77</v>
      </c>
      <c r="DX133" s="90">
        <f ca="1">_xlfn.IFNA(INDEX(武器升级消耗!$H:$H,MATCH(玩家节奏2!DT133/玩家节奏2!DT$5,武器升级消耗!N:N,1)),0)</f>
        <v>68</v>
      </c>
      <c r="DY133" s="90">
        <f ca="1">_xlfn.IFNA(INDEX(武器升级消耗!$H:$H,MATCH(玩家节奏2!DU133/玩家节奏2!DU$5,武器升级消耗!O:O,1)),0)</f>
        <v>51</v>
      </c>
      <c r="DZ133" s="90">
        <f>_xlfn.IFNA(INDEX(武器升级消耗!$H:$H,MATCH(玩家节奏2!DV133/玩家节奏2!DV$5,武器升级消耗!P:P,1)),0)</f>
        <v>32</v>
      </c>
      <c r="EA133" s="90">
        <f ca="1">_xlfn.IFNA(INDEX(武器升级消耗!$Q:$Q,MATCH(玩家节奏2!DW133,武器升级消耗!$H:$H,0))*2*EA$4,0)</f>
        <v>9.7199999999999882</v>
      </c>
      <c r="EB133" s="90">
        <f ca="1">_xlfn.IFNA(INDEX(武器升级消耗!$Q:$Q,MATCH(玩家节奏2!DX133,武器升级消耗!$H:$H,0))*2*EB$4,0)</f>
        <v>10.8</v>
      </c>
      <c r="EC133" s="90">
        <f ca="1">_xlfn.IFNA(INDEX(武器升级消耗!$Q:$Q,MATCH(玩家节奏2!DY133,武器升级消耗!$H:$H,0))*2*EC$4,0)</f>
        <v>12.100000000000001</v>
      </c>
      <c r="ED133" s="90">
        <f>_xlfn.IFNA(INDEX(武器升级消耗!$Q:$Q,MATCH(玩家节奏2!DZ133,武器升级消耗!$H:$H,0))*2*ED$4,0)</f>
        <v>10.8</v>
      </c>
    </row>
    <row r="134" spans="1:134" x14ac:dyDescent="0.25">
      <c r="A134" s="123">
        <v>128</v>
      </c>
      <c r="B134" s="123">
        <f>INDEX(关卡对比!$Y:$Y,MATCH(关卡对比!Z134,关卡对比!$AA:$AA,1))</f>
        <v>77</v>
      </c>
      <c r="C134" s="124">
        <f>INDEX(关卡对比!$Y:$Y,MATCH(关卡对比!Z134,关卡对比!$AB:$AB,1))</f>
        <v>61</v>
      </c>
      <c r="D134" s="125">
        <f t="shared" si="131"/>
        <v>501.5</v>
      </c>
      <c r="E134" s="125">
        <v>2</v>
      </c>
      <c r="F134" s="128">
        <v>16</v>
      </c>
      <c r="G134" s="90">
        <v>16</v>
      </c>
      <c r="H134" s="90">
        <v>5</v>
      </c>
      <c r="J134" s="128">
        <v>128</v>
      </c>
      <c r="K134" s="90">
        <f t="shared" si="88"/>
        <v>16</v>
      </c>
      <c r="L134" s="90">
        <f t="shared" si="89"/>
        <v>16</v>
      </c>
      <c r="M134" s="90">
        <f t="shared" si="90"/>
        <v>5</v>
      </c>
      <c r="N134" s="140">
        <f>INDEX($A:$A,MATCH(SUM($K$7:K134),$D:$D,1))</f>
        <v>200</v>
      </c>
      <c r="O134" s="140">
        <v>0</v>
      </c>
      <c r="P134" s="141">
        <v>0</v>
      </c>
      <c r="Q134" s="126">
        <f>_xlfn.MAXIFS(关卡产出!X:X,关卡产出!$A:$A,玩家节奏2!$N$6,关卡产出!$B:$B,玩家节奏2!$N134)+_xlfn.MAXIFS(关卡产出!X:X,关卡产出!$A:$A,玩家节奏2!$O$6,关卡产出!$B:$B,玩家节奏2!$O134)+_xlfn.MAXIFS(关卡产出!X:X,关卡产出!$A:$A,玩家节奏2!$P$6,关卡产出!$B:$B,玩家节奏2!$P134)</f>
        <v>38500</v>
      </c>
      <c r="R134" s="90">
        <f>_xlfn.MAXIFS(关卡产出!Y:Y,关卡产出!$A:$A,玩家节奏2!$N$6,关卡产出!$B:$B,玩家节奏2!$N134)+_xlfn.MAXIFS(关卡产出!Y:Y,关卡产出!$A:$A,玩家节奏2!$O$6,关卡产出!$B:$B,玩家节奏2!$O134)+_xlfn.MAXIFS(关卡产出!Y:Y,关卡产出!$A:$A,玩家节奏2!$P$6,关卡产出!$B:$B,玩家节奏2!$P134)</f>
        <v>11610000</v>
      </c>
      <c r="S134" s="90">
        <f>_xlfn.MAXIFS(关卡产出!Z:Z,关卡产出!$A:$A,玩家节奏2!$N$6,关卡产出!$B:$B,玩家节奏2!$N134)+_xlfn.MAXIFS(关卡产出!Z:Z,关卡产出!$A:$A,玩家节奏2!$O$6,关卡产出!$B:$B,玩家节奏2!$O134)+_xlfn.MAXIFS(关卡产出!Z:Z,关卡产出!$A:$A,玩家节奏2!$P$6,关卡产出!$B:$B,玩家节奏2!$P134)</f>
        <v>78866</v>
      </c>
      <c r="T134" s="90">
        <f>_xlfn.MAXIFS(关卡产出!AA:AA,关卡产出!$A:$A,玩家节奏2!$N$6,关卡产出!$B:$B,玩家节奏2!$N134)+_xlfn.MAXIFS(关卡产出!AA:AA,关卡产出!$A:$A,玩家节奏2!$O$6,关卡产出!$B:$B,玩家节奏2!$O134)+_xlfn.MAXIFS(关卡产出!AA:AA,关卡产出!$A:$A,玩家节奏2!$P$6,关卡产出!$B:$B,玩家节奏2!$P134)</f>
        <v>39434</v>
      </c>
      <c r="U134" s="90">
        <f>_xlfn.MAXIFS(关卡产出!AB:AB,关卡产出!$A:$A,玩家节奏2!$N$6,关卡产出!$B:$B,玩家节奏2!$N134)+_xlfn.MAXIFS(关卡产出!AB:AB,关卡产出!$A:$A,玩家节奏2!$O$6,关卡产出!$B:$B,玩家节奏2!$O134)+_xlfn.MAXIFS(关卡产出!AB:AB,关卡产出!$A:$A,玩家节奏2!$P$6,关卡产出!$B:$B,玩家节奏2!$P134)</f>
        <v>19113</v>
      </c>
      <c r="V134" s="130">
        <f>_xlfn.MAXIFS(关卡产出!AC:AC,关卡产出!$A:$A,玩家节奏2!$N$6,关卡产出!$B:$B,玩家节奏2!$N134)+_xlfn.MAXIFS(关卡产出!AC:AC,关卡产出!$A:$A,玩家节奏2!$O$6,关卡产出!$B:$B,玩家节奏2!$O134)+_xlfn.MAXIFS(关卡产出!AC:AC,关卡产出!$A:$A,玩家节奏2!$P$6,关卡产出!$B:$B,玩家节奏2!$P134)</f>
        <v>1200</v>
      </c>
      <c r="W134" s="126">
        <f>INDEX(关卡产出!C$8:C$207,MATCH(玩家节奏2!$N134,关卡产出!$B$8:$B$207,0))*$K134</f>
        <v>2528</v>
      </c>
      <c r="X134" s="126">
        <f>INDEX(关卡产出!D$8:D$207,MATCH(玩家节奏2!$N134,关卡产出!$B$8:$B$207,0))*$K134</f>
        <v>1264</v>
      </c>
      <c r="Y134" s="126">
        <f>INDEX(关卡产出!E$8:E$207,MATCH(玩家节奏2!$N134,关卡产出!$B$8:$B$207,0))*$K134</f>
        <v>624</v>
      </c>
      <c r="Z134" s="144">
        <f>INDEX(关卡产出!F$8:F$207,MATCH(玩家节奏2!$N134,关卡产出!$B$8:$B$207,0))*$K134</f>
        <v>32800</v>
      </c>
      <c r="AA134" s="126">
        <f>SUM(W$7:W134)</f>
        <v>265454</v>
      </c>
      <c r="AB134" s="126">
        <f>SUM(X$7:X134)</f>
        <v>132563</v>
      </c>
      <c r="AC134" s="126">
        <f>SUM(Y$7:Y134)</f>
        <v>65219</v>
      </c>
      <c r="AD134" s="177">
        <f>SUM(Z$7:Z134)</f>
        <v>3471930</v>
      </c>
      <c r="AE134" s="128">
        <f>INDEX(图鉴!AQ:AQ,MATCH($N134,图鉴!$S:$S,0))*34</f>
        <v>714</v>
      </c>
      <c r="AF134" s="90">
        <f>INDEX(图鉴!AR:AR,MATCH($N134,图鉴!$S:$S,0))*34</f>
        <v>510</v>
      </c>
      <c r="AG134" s="90">
        <f>INDEX(图鉴!AS:AS,MATCH($N134,图鉴!$S:$S,0))*34</f>
        <v>204</v>
      </c>
      <c r="AH134" s="129">
        <f ca="1">INDEX(图鉴!AT:AT,MATCH($N134,图鉴!$S:$S,0))*34</f>
        <v>55930</v>
      </c>
      <c r="AI134" s="128">
        <f>SUM($AE$7:AE134)</f>
        <v>89488</v>
      </c>
      <c r="AJ134" s="90">
        <f>SUM(AF$7:AF134)</f>
        <v>61812</v>
      </c>
      <c r="AK134" s="90">
        <f>SUM(AG$7:AG134)</f>
        <v>24174</v>
      </c>
      <c r="AL134" s="130">
        <f ca="1">SUM(AH$7:AH134)</f>
        <v>6329406</v>
      </c>
      <c r="AM134" s="133">
        <f>IF(M134=0,0,INDEX(关卡产出!$AU$11:$AU$15,MATCH(玩家节奏2!N134,关卡产出!$AW$11:$AW$15,1))*M134)</f>
        <v>61000</v>
      </c>
      <c r="AN134" s="126">
        <f>IF(L134=0,0,$L134*关卡产出!AU$21)</f>
        <v>16000</v>
      </c>
      <c r="AO134" s="90">
        <f>IF(M134=0,0,$L134*关卡产出!AV$21)</f>
        <v>800</v>
      </c>
      <c r="AP134" s="129">
        <f>IF(N134=0,0,$L134*关卡产出!AW$21)</f>
        <v>16</v>
      </c>
      <c r="AQ134" s="138">
        <f>SUM(AN$7:AN134)</f>
        <v>2000000</v>
      </c>
      <c r="AR134" s="126">
        <f>SUM(AO$7:AO134)</f>
        <v>100000</v>
      </c>
      <c r="AS134" s="129">
        <f>SUM(AP$7:AP134)</f>
        <v>2000</v>
      </c>
      <c r="AT134" s="128">
        <v>3000</v>
      </c>
      <c r="AU134" s="129">
        <v>600</v>
      </c>
      <c r="AV134" s="128">
        <f>SUM(AT$7:AT134)</f>
        <v>384000</v>
      </c>
      <c r="AW134" s="90">
        <f>SUM(AU$7:AU134)</f>
        <v>76800</v>
      </c>
      <c r="AY134" s="128">
        <f t="shared" si="91"/>
        <v>38500</v>
      </c>
      <c r="AZ134" s="90">
        <f t="shared" si="92"/>
        <v>100000</v>
      </c>
      <c r="BA134" s="90">
        <f t="shared" si="93"/>
        <v>76800</v>
      </c>
      <c r="BB134" s="90">
        <f t="shared" ca="1" si="127"/>
        <v>40800</v>
      </c>
      <c r="BC134" s="90">
        <f t="shared" ca="1" si="129"/>
        <v>130225</v>
      </c>
      <c r="BD134" s="90">
        <f t="shared" ca="1" si="130"/>
        <v>125875</v>
      </c>
      <c r="BE134" s="90">
        <f t="shared" ca="1" si="94"/>
        <v>256100</v>
      </c>
      <c r="BF134" s="142">
        <f t="shared" ca="1" si="132"/>
        <v>0.2956421578038011</v>
      </c>
      <c r="BG134" s="142">
        <f t="shared" ca="1" si="133"/>
        <v>0.76790170858130158</v>
      </c>
      <c r="BH134" s="142">
        <f t="shared" ca="1" si="134"/>
        <v>0.58974851219043967</v>
      </c>
      <c r="BI134" s="142">
        <f t="shared" ca="1" si="137"/>
        <v>0.31330389710117107</v>
      </c>
      <c r="BJ134" s="143"/>
      <c r="BK134" s="128">
        <f ca="1">INDEX(商城宝箱!$L:$L,MATCH(BC134,商城宝箱!$N:$N,1))</f>
        <v>12</v>
      </c>
      <c r="BL134" s="90">
        <f ca="1">_xlfn.IFNA(INDEX(商城宝箱!T:T,MATCH(玩家节奏2!$BK134,商城宝箱!$L:$L,0)),0)+($BC134-INDEX(商城宝箱!$N:$N,MATCH(玩家节奏2!$BK134,商城宝箱!$L:$L,0)))/$BK$5*INDEX(商城宝箱!E$23:E$42,MATCH(玩家节奏2!$BK134+1,商城宝箱!$C$23:$C$42,0))</f>
        <v>325562.5</v>
      </c>
      <c r="BM134" s="90">
        <f ca="1">_xlfn.IFNA(INDEX(商城宝箱!U:U,MATCH(玩家节奏2!$BK134,商城宝箱!$L:$L,0)),0)+($BC134-INDEX(商城宝箱!$N:$N,MATCH(玩家节奏2!$BK134,商城宝箱!$L:$L,0)))/$BK$5*INDEX(商城宝箱!F$23:F$42,MATCH(玩家节奏2!$BK134+1,商城宝箱!$C$23:$C$42,0))</f>
        <v>369287.5</v>
      </c>
      <c r="BN134" s="90">
        <f ca="1">_xlfn.IFNA(INDEX(商城宝箱!V:V,MATCH(玩家节奏2!$BK134,商城宝箱!$L:$L,0)),0)+($BC134-INDEX(商城宝箱!$N:$N,MATCH(玩家节奏2!$BK134,商城宝箱!$L:$L,0)))/$BK$5*INDEX(商城宝箱!G$23:G$42,MATCH(玩家节奏2!$BK134+1,商城宝箱!$C$23:$C$42,0))</f>
        <v>186637</v>
      </c>
      <c r="BO134" s="90">
        <f ca="1">_xlfn.IFNA(INDEX(商城宝箱!W:W,MATCH(玩家节奏2!$BK134,商城宝箱!$L:$L,0)),0)+($BC134-INDEX(商城宝箱!$N:$N,MATCH(玩家节奏2!$BK134,商城宝箱!$L:$L,0)))/$BK$5*INDEX(商城宝箱!H$23:H$42,MATCH(玩家节奏2!$BK134+1,商城宝箱!$C$23:$C$42,0))</f>
        <v>29875.25</v>
      </c>
      <c r="BQ134" s="128">
        <f t="shared" si="79"/>
        <v>11610000</v>
      </c>
      <c r="BR134" s="90">
        <f t="shared" si="80"/>
        <v>3471930</v>
      </c>
      <c r="BS134" s="90">
        <f t="shared" ca="1" si="135"/>
        <v>6329406</v>
      </c>
      <c r="BT134" s="90">
        <f t="shared" si="136"/>
        <v>61000</v>
      </c>
      <c r="BU134" s="90">
        <f t="shared" si="83"/>
        <v>2000000</v>
      </c>
      <c r="BV134" s="90">
        <f t="shared" si="84"/>
        <v>384000</v>
      </c>
      <c r="BW134" s="90">
        <f t="shared" ca="1" si="96"/>
        <v>325562.5</v>
      </c>
      <c r="BX134" s="90">
        <f t="shared" ca="1" si="97"/>
        <v>24181898.5</v>
      </c>
      <c r="BY134" s="142">
        <f t="shared" ca="1" si="138"/>
        <v>0.48011118729987223</v>
      </c>
      <c r="BZ134" s="142">
        <f t="shared" ca="1" si="138"/>
        <v>0.14357557575555949</v>
      </c>
      <c r="CA134" s="142">
        <f t="shared" ca="1" si="138"/>
        <v>0.26174148402781527</v>
      </c>
      <c r="CB134" s="142">
        <f t="shared" ca="1" si="138"/>
        <v>2.5225480125144022E-3</v>
      </c>
      <c r="CC134" s="142">
        <f t="shared" ca="1" si="138"/>
        <v>8.2706492213586946E-2</v>
      </c>
      <c r="CD134" s="142">
        <f t="shared" ca="1" si="138"/>
        <v>1.5879646505008695E-2</v>
      </c>
      <c r="CE134" s="142">
        <f t="shared" ca="1" si="138"/>
        <v>1.3463066185642952E-2</v>
      </c>
      <c r="CG134" s="128">
        <f t="shared" si="98"/>
        <v>200</v>
      </c>
      <c r="CH134" s="90">
        <f ca="1">INDEX(角色升级!$A:$A,MATCH(玩家节奏2!$BX134,角色升级!$J:$J,1))</f>
        <v>1036</v>
      </c>
      <c r="CI134" s="90">
        <f ca="1">INDEX(角色升级!$O:$O,MATCH(玩家节奏2!$BX134,角色升级!$J:$J,1))</f>
        <v>98704.338124999995</v>
      </c>
      <c r="CJ134" s="90">
        <f>INDEX(关卡对比!$J:$J,MATCH(玩家节奏2!N134,关卡对比!$A:$A,0))</f>
        <v>86200</v>
      </c>
      <c r="CK134" s="147">
        <f t="shared" ca="1" si="99"/>
        <v>0.8733152122537472</v>
      </c>
      <c r="CL134" s="128">
        <f ca="1">INDEX(角色升级!$P:$P,MATCH(玩家节奏2!$CH134,角色升级!$A:$A,0))</f>
        <v>40800</v>
      </c>
      <c r="CM134" s="90">
        <f ca="1">INDEX(角色升级!Q:Q,MATCH(玩家节奏2!$CH134,角色升级!$A:$A,0))</f>
        <v>2.2000000000000002</v>
      </c>
      <c r="CO134" s="128">
        <f t="shared" si="100"/>
        <v>78866</v>
      </c>
      <c r="CP134" s="90">
        <f t="shared" si="101"/>
        <v>265454</v>
      </c>
      <c r="CQ134" s="90">
        <f t="shared" si="102"/>
        <v>89488</v>
      </c>
      <c r="CR134" s="90">
        <f t="shared" ca="1" si="103"/>
        <v>369287.5</v>
      </c>
      <c r="CS134" s="90">
        <f t="shared" ca="1" si="104"/>
        <v>803095.5</v>
      </c>
      <c r="CT134" s="142">
        <f t="shared" ca="1" si="105"/>
        <v>9.8202517633332528E-2</v>
      </c>
      <c r="CU134" s="142">
        <f t="shared" ca="1" si="105"/>
        <v>0.33053852250448423</v>
      </c>
      <c r="CV134" s="142">
        <f t="shared" ca="1" si="105"/>
        <v>0.1114288400321008</v>
      </c>
      <c r="CW134" s="142">
        <f t="shared" ca="1" si="105"/>
        <v>0.45983011983008248</v>
      </c>
      <c r="CY134" s="128">
        <f t="shared" si="106"/>
        <v>39434</v>
      </c>
      <c r="CZ134" s="90">
        <f t="shared" si="107"/>
        <v>132563</v>
      </c>
      <c r="DA134" s="90">
        <f t="shared" si="108"/>
        <v>61812</v>
      </c>
      <c r="DB134" s="90">
        <f t="shared" ca="1" si="128"/>
        <v>186637</v>
      </c>
      <c r="DC134" s="90">
        <f t="shared" ca="1" si="109"/>
        <v>420446</v>
      </c>
      <c r="DD134" s="142">
        <f t="shared" ca="1" si="110"/>
        <v>9.379087920922069E-2</v>
      </c>
      <c r="DE134" s="142">
        <f t="shared" ca="1" si="110"/>
        <v>0.31529138105725824</v>
      </c>
      <c r="DF134" s="142">
        <f t="shared" ca="1" si="110"/>
        <v>0.14701531231121237</v>
      </c>
      <c r="DG134" s="142">
        <f t="shared" ca="1" si="110"/>
        <v>0.44390242742230868</v>
      </c>
      <c r="DI134" s="128">
        <f t="shared" si="111"/>
        <v>19113</v>
      </c>
      <c r="DJ134" s="90">
        <f t="shared" si="112"/>
        <v>65219</v>
      </c>
      <c r="DK134" s="90">
        <f t="shared" si="113"/>
        <v>24174</v>
      </c>
      <c r="DL134" s="90">
        <f t="shared" ca="1" si="114"/>
        <v>29875.25</v>
      </c>
      <c r="DM134" s="90">
        <f t="shared" ca="1" si="115"/>
        <v>138381.25</v>
      </c>
      <c r="DN134" s="142">
        <f t="shared" ca="1" si="116"/>
        <v>0.13811842283546361</v>
      </c>
      <c r="DO134" s="142">
        <f t="shared" ca="1" si="116"/>
        <v>0.4712993993044578</v>
      </c>
      <c r="DP134" s="142">
        <f t="shared" ca="1" si="116"/>
        <v>0.17469129668939976</v>
      </c>
      <c r="DQ134" s="142">
        <f t="shared" ca="1" si="116"/>
        <v>0.21589088117067884</v>
      </c>
      <c r="DS134" s="128">
        <f t="shared" ca="1" si="117"/>
        <v>803095.5</v>
      </c>
      <c r="DT134" s="90">
        <f t="shared" ca="1" si="118"/>
        <v>420446</v>
      </c>
      <c r="DU134" s="90">
        <f t="shared" ca="1" si="119"/>
        <v>138381.25</v>
      </c>
      <c r="DV134" s="90">
        <f t="shared" si="120"/>
        <v>2000</v>
      </c>
      <c r="DW134" s="90">
        <f ca="1">_xlfn.IFNA(INDEX(武器升级消耗!$H:$H,MATCH(玩家节奏2!DS134/玩家节奏2!DS$5,武器升级消耗!M:M,1)),0)</f>
        <v>77</v>
      </c>
      <c r="DX134" s="90">
        <f ca="1">_xlfn.IFNA(INDEX(武器升级消耗!$H:$H,MATCH(玩家节奏2!DT134/玩家节奏2!DT$5,武器升级消耗!N:N,1)),0)</f>
        <v>68</v>
      </c>
      <c r="DY134" s="90">
        <f ca="1">_xlfn.IFNA(INDEX(武器升级消耗!$H:$H,MATCH(玩家节奏2!DU134/玩家节奏2!DU$5,武器升级消耗!O:O,1)),0)</f>
        <v>51</v>
      </c>
      <c r="DZ134" s="90">
        <f>_xlfn.IFNA(INDEX(武器升级消耗!$H:$H,MATCH(玩家节奏2!DV134/玩家节奏2!DV$5,武器升级消耗!P:P,1)),0)</f>
        <v>32</v>
      </c>
      <c r="EA134" s="90">
        <f ca="1">_xlfn.IFNA(INDEX(武器升级消耗!$Q:$Q,MATCH(玩家节奏2!DW134,武器升级消耗!$H:$H,0))*2*EA$4,0)</f>
        <v>9.7199999999999882</v>
      </c>
      <c r="EB134" s="90">
        <f ca="1">_xlfn.IFNA(INDEX(武器升级消耗!$Q:$Q,MATCH(玩家节奏2!DX134,武器升级消耗!$H:$H,0))*2*EB$4,0)</f>
        <v>10.8</v>
      </c>
      <c r="EC134" s="90">
        <f ca="1">_xlfn.IFNA(INDEX(武器升级消耗!$Q:$Q,MATCH(玩家节奏2!DY134,武器升级消耗!$H:$H,0))*2*EC$4,0)</f>
        <v>12.100000000000001</v>
      </c>
      <c r="ED134" s="90">
        <f>_xlfn.IFNA(INDEX(武器升级消耗!$Q:$Q,MATCH(玩家节奏2!DZ134,武器升级消耗!$H:$H,0))*2*ED$4,0)</f>
        <v>10.8</v>
      </c>
    </row>
    <row r="135" spans="1:134" x14ac:dyDescent="0.25">
      <c r="A135" s="123">
        <v>129</v>
      </c>
      <c r="B135" s="123">
        <f>INDEX(关卡对比!$Y:$Y,MATCH(关卡对比!Z135,关卡对比!$AA:$AA,1))</f>
        <v>78</v>
      </c>
      <c r="C135" s="124">
        <f>INDEX(关卡对比!$Y:$Y,MATCH(关卡对比!Z135,关卡对比!$AB:$AB,1))</f>
        <v>61</v>
      </c>
      <c r="D135" s="125">
        <f t="shared" si="131"/>
        <v>505.5</v>
      </c>
      <c r="E135" s="125">
        <v>2</v>
      </c>
      <c r="F135" s="128">
        <v>16</v>
      </c>
      <c r="G135" s="90">
        <v>16</v>
      </c>
      <c r="H135" s="90">
        <v>5</v>
      </c>
      <c r="J135" s="128">
        <v>129</v>
      </c>
      <c r="K135" s="90">
        <f t="shared" si="88"/>
        <v>16</v>
      </c>
      <c r="L135" s="90">
        <f t="shared" si="89"/>
        <v>16</v>
      </c>
      <c r="M135" s="90">
        <f t="shared" si="90"/>
        <v>5</v>
      </c>
      <c r="N135" s="140">
        <f>INDEX($A:$A,MATCH(SUM($K$7:K135),$D:$D,1))</f>
        <v>200</v>
      </c>
      <c r="O135" s="140">
        <v>0</v>
      </c>
      <c r="P135" s="141">
        <v>0</v>
      </c>
      <c r="Q135" s="126">
        <f>_xlfn.MAXIFS(关卡产出!X:X,关卡产出!$A:$A,玩家节奏2!$N$6,关卡产出!$B:$B,玩家节奏2!$N135)+_xlfn.MAXIFS(关卡产出!X:X,关卡产出!$A:$A,玩家节奏2!$O$6,关卡产出!$B:$B,玩家节奏2!$O135)+_xlfn.MAXIFS(关卡产出!X:X,关卡产出!$A:$A,玩家节奏2!$P$6,关卡产出!$B:$B,玩家节奏2!$P135)</f>
        <v>38500</v>
      </c>
      <c r="R135" s="90">
        <f>_xlfn.MAXIFS(关卡产出!Y:Y,关卡产出!$A:$A,玩家节奏2!$N$6,关卡产出!$B:$B,玩家节奏2!$N135)+_xlfn.MAXIFS(关卡产出!Y:Y,关卡产出!$A:$A,玩家节奏2!$O$6,关卡产出!$B:$B,玩家节奏2!$O135)+_xlfn.MAXIFS(关卡产出!Y:Y,关卡产出!$A:$A,玩家节奏2!$P$6,关卡产出!$B:$B,玩家节奏2!$P135)</f>
        <v>11610000</v>
      </c>
      <c r="S135" s="90">
        <f>_xlfn.MAXIFS(关卡产出!Z:Z,关卡产出!$A:$A,玩家节奏2!$N$6,关卡产出!$B:$B,玩家节奏2!$N135)+_xlfn.MAXIFS(关卡产出!Z:Z,关卡产出!$A:$A,玩家节奏2!$O$6,关卡产出!$B:$B,玩家节奏2!$O135)+_xlfn.MAXIFS(关卡产出!Z:Z,关卡产出!$A:$A,玩家节奏2!$P$6,关卡产出!$B:$B,玩家节奏2!$P135)</f>
        <v>78866</v>
      </c>
      <c r="T135" s="90">
        <f>_xlfn.MAXIFS(关卡产出!AA:AA,关卡产出!$A:$A,玩家节奏2!$N$6,关卡产出!$B:$B,玩家节奏2!$N135)+_xlfn.MAXIFS(关卡产出!AA:AA,关卡产出!$A:$A,玩家节奏2!$O$6,关卡产出!$B:$B,玩家节奏2!$O135)+_xlfn.MAXIFS(关卡产出!AA:AA,关卡产出!$A:$A,玩家节奏2!$P$6,关卡产出!$B:$B,玩家节奏2!$P135)</f>
        <v>39434</v>
      </c>
      <c r="U135" s="90">
        <f>_xlfn.MAXIFS(关卡产出!AB:AB,关卡产出!$A:$A,玩家节奏2!$N$6,关卡产出!$B:$B,玩家节奏2!$N135)+_xlfn.MAXIFS(关卡产出!AB:AB,关卡产出!$A:$A,玩家节奏2!$O$6,关卡产出!$B:$B,玩家节奏2!$O135)+_xlfn.MAXIFS(关卡产出!AB:AB,关卡产出!$A:$A,玩家节奏2!$P$6,关卡产出!$B:$B,玩家节奏2!$P135)</f>
        <v>19113</v>
      </c>
      <c r="V135" s="130">
        <f>_xlfn.MAXIFS(关卡产出!AC:AC,关卡产出!$A:$A,玩家节奏2!$N$6,关卡产出!$B:$B,玩家节奏2!$N135)+_xlfn.MAXIFS(关卡产出!AC:AC,关卡产出!$A:$A,玩家节奏2!$O$6,关卡产出!$B:$B,玩家节奏2!$O135)+_xlfn.MAXIFS(关卡产出!AC:AC,关卡产出!$A:$A,玩家节奏2!$P$6,关卡产出!$B:$B,玩家节奏2!$P135)</f>
        <v>1200</v>
      </c>
      <c r="W135" s="126">
        <f>INDEX(关卡产出!C$8:C$207,MATCH(玩家节奏2!$N135,关卡产出!$B$8:$B$207,0))*$K135</f>
        <v>2528</v>
      </c>
      <c r="X135" s="126">
        <f>INDEX(关卡产出!D$8:D$207,MATCH(玩家节奏2!$N135,关卡产出!$B$8:$B$207,0))*$K135</f>
        <v>1264</v>
      </c>
      <c r="Y135" s="126">
        <f>INDEX(关卡产出!E$8:E$207,MATCH(玩家节奏2!$N135,关卡产出!$B$8:$B$207,0))*$K135</f>
        <v>624</v>
      </c>
      <c r="Z135" s="144">
        <f>INDEX(关卡产出!F$8:F$207,MATCH(玩家节奏2!$N135,关卡产出!$B$8:$B$207,0))*$K135</f>
        <v>32800</v>
      </c>
      <c r="AA135" s="126">
        <f>SUM(W$7:W135)</f>
        <v>267982</v>
      </c>
      <c r="AB135" s="126">
        <f>SUM(X$7:X135)</f>
        <v>133827</v>
      </c>
      <c r="AC135" s="126">
        <f>SUM(Y$7:Y135)</f>
        <v>65843</v>
      </c>
      <c r="AD135" s="177">
        <f>SUM(Z$7:Z135)</f>
        <v>3504730</v>
      </c>
      <c r="AE135" s="128">
        <f>INDEX(图鉴!AQ:AQ,MATCH($N135,图鉴!$S:$S,0))*34</f>
        <v>714</v>
      </c>
      <c r="AF135" s="90">
        <f>INDEX(图鉴!AR:AR,MATCH($N135,图鉴!$S:$S,0))*34</f>
        <v>510</v>
      </c>
      <c r="AG135" s="90">
        <f>INDEX(图鉴!AS:AS,MATCH($N135,图鉴!$S:$S,0))*34</f>
        <v>204</v>
      </c>
      <c r="AH135" s="129">
        <f ca="1">INDEX(图鉴!AT:AT,MATCH($N135,图鉴!$S:$S,0))*34</f>
        <v>55930</v>
      </c>
      <c r="AI135" s="128">
        <f>SUM($AE$7:AE135)</f>
        <v>90202</v>
      </c>
      <c r="AJ135" s="90">
        <f>SUM(AF$7:AF135)</f>
        <v>62322</v>
      </c>
      <c r="AK135" s="90">
        <f>SUM(AG$7:AG135)</f>
        <v>24378</v>
      </c>
      <c r="AL135" s="130">
        <f ca="1">SUM(AH$7:AH135)</f>
        <v>6385336</v>
      </c>
      <c r="AM135" s="133">
        <f>IF(M135=0,0,INDEX(关卡产出!$AU$11:$AU$15,MATCH(玩家节奏2!N135,关卡产出!$AW$11:$AW$15,1))*M135)</f>
        <v>61000</v>
      </c>
      <c r="AN135" s="126">
        <f>IF(L135=0,0,$L135*关卡产出!AU$21)</f>
        <v>16000</v>
      </c>
      <c r="AO135" s="90">
        <f>IF(M135=0,0,$L135*关卡产出!AV$21)</f>
        <v>800</v>
      </c>
      <c r="AP135" s="129">
        <f>IF(N135=0,0,$L135*关卡产出!AW$21)</f>
        <v>16</v>
      </c>
      <c r="AQ135" s="138">
        <f>SUM(AN$7:AN135)</f>
        <v>2016000</v>
      </c>
      <c r="AR135" s="126">
        <f>SUM(AO$7:AO135)</f>
        <v>100800</v>
      </c>
      <c r="AS135" s="129">
        <f>SUM(AP$7:AP135)</f>
        <v>2016</v>
      </c>
      <c r="AT135" s="128">
        <v>3000</v>
      </c>
      <c r="AU135" s="129">
        <v>600</v>
      </c>
      <c r="AV135" s="128">
        <f>SUM(AT$7:AT135)</f>
        <v>387000</v>
      </c>
      <c r="AW135" s="90">
        <f>SUM(AU$7:AU135)</f>
        <v>77400</v>
      </c>
      <c r="AY135" s="128">
        <f t="shared" si="91"/>
        <v>38500</v>
      </c>
      <c r="AZ135" s="90">
        <f t="shared" si="92"/>
        <v>100800</v>
      </c>
      <c r="BA135" s="90">
        <f t="shared" si="93"/>
        <v>77400</v>
      </c>
      <c r="BB135" s="90">
        <f t="shared" ca="1" si="127"/>
        <v>40800</v>
      </c>
      <c r="BC135" s="90">
        <f t="shared" ca="1" si="129"/>
        <v>130925</v>
      </c>
      <c r="BD135" s="90">
        <f t="shared" ca="1" si="130"/>
        <v>126575</v>
      </c>
      <c r="BE135" s="90">
        <f t="shared" ca="1" si="94"/>
        <v>257500</v>
      </c>
      <c r="BF135" s="142">
        <f t="shared" ref="BF135:BF166" ca="1" si="139">AY135/$BC135</f>
        <v>0.29406148558334927</v>
      </c>
      <c r="BG135" s="142">
        <f t="shared" ref="BG135:BG166" ca="1" si="140">AZ135/$BC135</f>
        <v>0.76990643498185984</v>
      </c>
      <c r="BH135" s="142">
        <f t="shared" ref="BH135:BH166" ca="1" si="141">BA135/$BC135</f>
        <v>0.59117815543249952</v>
      </c>
      <c r="BI135" s="142">
        <f t="shared" ref="BI135" ca="1" si="142">BB135/$BC135</f>
        <v>0.31162879511170516</v>
      </c>
      <c r="BJ135" s="143"/>
      <c r="BK135" s="128">
        <f ca="1">INDEX(商城宝箱!$L:$L,MATCH(BC135,商城宝箱!$N:$N,1))</f>
        <v>12</v>
      </c>
      <c r="BL135" s="90">
        <f ca="1">_xlfn.IFNA(INDEX(商城宝箱!T:T,MATCH(玩家节奏2!$BK135,商城宝箱!$L:$L,0)),0)+($BC135-INDEX(商城宝箱!$N:$N,MATCH(玩家节奏2!$BK135,商城宝箱!$L:$L,0)))/$BK$5*INDEX(商城宝箱!E$23:E$42,MATCH(玩家节奏2!$BK135+1,商城宝箱!$C$23:$C$42,0))</f>
        <v>327312.5</v>
      </c>
      <c r="BM135" s="90">
        <f ca="1">_xlfn.IFNA(INDEX(商城宝箱!U:U,MATCH(玩家节奏2!$BK135,商城宝箱!$L:$L,0)),0)+($BC135-INDEX(商城宝箱!$N:$N,MATCH(玩家节奏2!$BK135,商城宝箱!$L:$L,0)))/$BK$5*INDEX(商城宝箱!F$23:F$42,MATCH(玩家节奏2!$BK135+1,商城宝箱!$C$23:$C$42,0))</f>
        <v>372227.5</v>
      </c>
      <c r="BN135" s="90">
        <f ca="1">_xlfn.IFNA(INDEX(商城宝箱!V:V,MATCH(玩家节奏2!$BK135,商城宝箱!$L:$L,0)),0)+($BC135-INDEX(商城宝箱!$N:$N,MATCH(玩家节奏2!$BK135,商城宝箱!$L:$L,0)))/$BK$5*INDEX(商城宝箱!G$23:G$42,MATCH(玩家节奏2!$BK135+1,商城宝箱!$C$23:$C$42,0))</f>
        <v>188037</v>
      </c>
      <c r="BO135" s="90">
        <f ca="1">_xlfn.IFNA(INDEX(商城宝箱!W:W,MATCH(玩家节奏2!$BK135,商城宝箱!$L:$L,0)),0)+($BC135-INDEX(商城宝箱!$N:$N,MATCH(玩家节奏2!$BK135,商城宝箱!$L:$L,0)))/$BK$5*INDEX(商城宝箱!H$23:H$42,MATCH(玩家节奏2!$BK135+1,商城宝箱!$C$23:$C$42,0))</f>
        <v>30120.25</v>
      </c>
      <c r="BQ135" s="128">
        <f t="shared" ref="BQ135:BQ198" si="143">R135</f>
        <v>11610000</v>
      </c>
      <c r="BR135" s="90">
        <f t="shared" ref="BR135:BR198" si="144">AD135</f>
        <v>3504730</v>
      </c>
      <c r="BS135" s="90">
        <f t="shared" ref="BS135:BS166" ca="1" si="145">AL135</f>
        <v>6385336</v>
      </c>
      <c r="BT135" s="90">
        <f t="shared" ref="BT135:BT166" si="146">AM135</f>
        <v>61000</v>
      </c>
      <c r="BU135" s="90">
        <f t="shared" ref="BU135:BU198" si="147">AQ135</f>
        <v>2016000</v>
      </c>
      <c r="BV135" s="90">
        <f t="shared" ref="BV135:BV198" si="148">AV135</f>
        <v>387000</v>
      </c>
      <c r="BW135" s="90">
        <f t="shared" ca="1" si="96"/>
        <v>327312.5</v>
      </c>
      <c r="BX135" s="90">
        <f t="shared" ca="1" si="97"/>
        <v>24291378.5</v>
      </c>
      <c r="BY135" s="142">
        <f t="shared" ca="1" si="138"/>
        <v>0.47794735074421568</v>
      </c>
      <c r="BZ135" s="142">
        <f t="shared" ca="1" si="138"/>
        <v>0.14427876128973083</v>
      </c>
      <c r="CA135" s="142">
        <f t="shared" ca="1" si="138"/>
        <v>0.26286429154277924</v>
      </c>
      <c r="CB135" s="142">
        <f t="shared" ca="1" si="138"/>
        <v>2.5111790176914001E-3</v>
      </c>
      <c r="CC135" s="142">
        <f t="shared" ca="1" si="138"/>
        <v>8.299240819124365E-2</v>
      </c>
      <c r="CD135" s="142">
        <f t="shared" ca="1" si="138"/>
        <v>1.5931578358140523E-2</v>
      </c>
      <c r="CE135" s="142">
        <f t="shared" ca="1" si="138"/>
        <v>1.347443085619863E-2</v>
      </c>
      <c r="CG135" s="128">
        <f t="shared" si="98"/>
        <v>200</v>
      </c>
      <c r="CH135" s="90">
        <f ca="1">INDEX(角色升级!$A:$A,MATCH(玩家节奏2!$BX135,角色升级!$J:$J,1))</f>
        <v>1038</v>
      </c>
      <c r="CI135" s="90">
        <f ca="1">INDEX(角色升级!$O:$O,MATCH(玩家节奏2!$BX135,角色升级!$J:$J,1))</f>
        <v>98851.110375000004</v>
      </c>
      <c r="CJ135" s="90">
        <f>INDEX(关卡对比!$J:$J,MATCH(玩家节奏2!N135,关卡对比!$A:$A,0))</f>
        <v>86200</v>
      </c>
      <c r="CK135" s="147">
        <f t="shared" ca="1" si="99"/>
        <v>0.87201853042412014</v>
      </c>
      <c r="CL135" s="128">
        <f ca="1">INDEX(角色升级!$P:$P,MATCH(玩家节奏2!$CH135,角色升级!$A:$A,0))</f>
        <v>40800</v>
      </c>
      <c r="CM135" s="90">
        <f ca="1">INDEX(角色升级!Q:Q,MATCH(玩家节奏2!$CH135,角色升级!$A:$A,0))</f>
        <v>2.2000000000000002</v>
      </c>
      <c r="CO135" s="128">
        <f t="shared" si="100"/>
        <v>78866</v>
      </c>
      <c r="CP135" s="90">
        <f t="shared" si="101"/>
        <v>267982</v>
      </c>
      <c r="CQ135" s="90">
        <f t="shared" si="102"/>
        <v>90202</v>
      </c>
      <c r="CR135" s="90">
        <f t="shared" ca="1" si="103"/>
        <v>372227.5</v>
      </c>
      <c r="CS135" s="90">
        <f t="shared" ca="1" si="104"/>
        <v>809277.5</v>
      </c>
      <c r="CT135" s="142">
        <f t="shared" ca="1" si="105"/>
        <v>9.7452357195152467E-2</v>
      </c>
      <c r="CU135" s="142">
        <f t="shared" ca="1" si="105"/>
        <v>0.33113734164115521</v>
      </c>
      <c r="CV135" s="142">
        <f t="shared" ca="1" si="105"/>
        <v>0.1114599133177433</v>
      </c>
      <c r="CW135" s="142">
        <f t="shared" ref="CW135:CW198" ca="1" si="149">CR135/$CS135</f>
        <v>0.45995038784594899</v>
      </c>
      <c r="CY135" s="128">
        <f t="shared" si="106"/>
        <v>39434</v>
      </c>
      <c r="CZ135" s="90">
        <f t="shared" si="107"/>
        <v>133827</v>
      </c>
      <c r="DA135" s="90">
        <f t="shared" si="108"/>
        <v>62322</v>
      </c>
      <c r="DB135" s="90">
        <f t="shared" ca="1" si="128"/>
        <v>188037</v>
      </c>
      <c r="DC135" s="90">
        <f t="shared" ca="1" si="109"/>
        <v>423620</v>
      </c>
      <c r="DD135" s="142">
        <f t="shared" ca="1" si="110"/>
        <v>9.3088145035645151E-2</v>
      </c>
      <c r="DE135" s="142">
        <f t="shared" ca="1" si="110"/>
        <v>0.31591284641896039</v>
      </c>
      <c r="DF135" s="142">
        <f t="shared" ca="1" si="110"/>
        <v>0.14711769982531514</v>
      </c>
      <c r="DG135" s="142">
        <f t="shared" ref="DG135:DG198" ca="1" si="150">DB135/$DC135</f>
        <v>0.4438813087200793</v>
      </c>
      <c r="DI135" s="128">
        <f t="shared" si="111"/>
        <v>19113</v>
      </c>
      <c r="DJ135" s="90">
        <f t="shared" si="112"/>
        <v>65843</v>
      </c>
      <c r="DK135" s="90">
        <f t="shared" si="113"/>
        <v>24378</v>
      </c>
      <c r="DL135" s="90">
        <f t="shared" ca="1" si="114"/>
        <v>30120.25</v>
      </c>
      <c r="DM135" s="90">
        <f t="shared" ca="1" si="115"/>
        <v>139454.25</v>
      </c>
      <c r="DN135" s="142">
        <f t="shared" ca="1" si="116"/>
        <v>0.13705570106325193</v>
      </c>
      <c r="DO135" s="142">
        <f t="shared" ca="1" si="116"/>
        <v>0.47214767567141197</v>
      </c>
      <c r="DP135" s="142">
        <f t="shared" ca="1" si="116"/>
        <v>0.17481001833934784</v>
      </c>
      <c r="DQ135" s="142">
        <f t="shared" ref="DQ135:DQ198" ca="1" si="151">DL135/$DM135</f>
        <v>0.21598660492598828</v>
      </c>
      <c r="DS135" s="128">
        <f t="shared" ca="1" si="117"/>
        <v>809277.5</v>
      </c>
      <c r="DT135" s="90">
        <f t="shared" ca="1" si="118"/>
        <v>423620</v>
      </c>
      <c r="DU135" s="90">
        <f t="shared" ca="1" si="119"/>
        <v>139454.25</v>
      </c>
      <c r="DV135" s="90">
        <f t="shared" si="120"/>
        <v>2016</v>
      </c>
      <c r="DW135" s="90">
        <f ca="1">_xlfn.IFNA(INDEX(武器升级消耗!$H:$H,MATCH(玩家节奏2!DS135/玩家节奏2!DS$5,武器升级消耗!M:M,1)),0)</f>
        <v>78</v>
      </c>
      <c r="DX135" s="90">
        <f ca="1">_xlfn.IFNA(INDEX(武器升级消耗!$H:$H,MATCH(玩家节奏2!DT135/玩家节奏2!DT$5,武器升级消耗!N:N,1)),0)</f>
        <v>68</v>
      </c>
      <c r="DY135" s="90">
        <f ca="1">_xlfn.IFNA(INDEX(武器升级消耗!$H:$H,MATCH(玩家节奏2!DU135/玩家节奏2!DU$5,武器升级消耗!O:O,1)),0)</f>
        <v>51</v>
      </c>
      <c r="DZ135" s="90">
        <f>_xlfn.IFNA(INDEX(武器升级消耗!$H:$H,MATCH(玩家节奏2!DV135/玩家节奏2!DV$5,武器升级消耗!P:P,1)),0)</f>
        <v>32</v>
      </c>
      <c r="EA135" s="90">
        <f ca="1">_xlfn.IFNA(INDEX(武器升级消耗!$Q:$Q,MATCH(玩家节奏2!DW135,武器升级消耗!$H:$H,0))*2*EA$4,0)</f>
        <v>9.8399999999999874</v>
      </c>
      <c r="EB135" s="90">
        <f ca="1">_xlfn.IFNA(INDEX(武器升级消耗!$Q:$Q,MATCH(玩家节奏2!DX135,武器升级消耗!$H:$H,0))*2*EB$4,0)</f>
        <v>10.8</v>
      </c>
      <c r="EC135" s="90">
        <f ca="1">_xlfn.IFNA(INDEX(武器升级消耗!$Q:$Q,MATCH(玩家节奏2!DY135,武器升级消耗!$H:$H,0))*2*EC$4,0)</f>
        <v>12.100000000000001</v>
      </c>
      <c r="ED135" s="90">
        <f>_xlfn.IFNA(INDEX(武器升级消耗!$Q:$Q,MATCH(玩家节奏2!DZ135,武器升级消耗!$H:$H,0))*2*ED$4,0)</f>
        <v>10.8</v>
      </c>
    </row>
    <row r="136" spans="1:134" x14ac:dyDescent="0.25">
      <c r="A136" s="123">
        <v>130</v>
      </c>
      <c r="B136" s="123">
        <f>INDEX(关卡对比!$Y:$Y,MATCH(关卡对比!Z136,关卡对比!$AA:$AA,1))</f>
        <v>78</v>
      </c>
      <c r="C136" s="124">
        <f>INDEX(关卡对比!$Y:$Y,MATCH(关卡对比!Z136,关卡对比!$AB:$AB,1))</f>
        <v>61</v>
      </c>
      <c r="D136" s="125">
        <f t="shared" si="131"/>
        <v>507.5</v>
      </c>
      <c r="E136" s="125">
        <v>2</v>
      </c>
      <c r="F136" s="128">
        <v>16</v>
      </c>
      <c r="G136" s="90">
        <v>16</v>
      </c>
      <c r="H136" s="90">
        <v>5</v>
      </c>
      <c r="J136" s="128">
        <v>130</v>
      </c>
      <c r="K136" s="90">
        <f t="shared" ref="K136:K199" si="152">INDEX($F:$F,MATCH(N135,$A:$A,0))</f>
        <v>16</v>
      </c>
      <c r="L136" s="90">
        <f t="shared" ref="L136:L199" si="153">INDEX($G:$G,MATCH(N135,$A:$A,0))</f>
        <v>16</v>
      </c>
      <c r="M136" s="90">
        <f t="shared" ref="M136:M199" si="154">INDEX($H:$H,MATCH(N135,$A:$A,0))</f>
        <v>5</v>
      </c>
      <c r="N136" s="140">
        <f>INDEX($A:$A,MATCH(SUM($K$7:K136),$D:$D,1))</f>
        <v>200</v>
      </c>
      <c r="O136" s="140">
        <v>0</v>
      </c>
      <c r="P136" s="141">
        <v>0</v>
      </c>
      <c r="Q136" s="126">
        <f>_xlfn.MAXIFS(关卡产出!X:X,关卡产出!$A:$A,玩家节奏2!$N$6,关卡产出!$B:$B,玩家节奏2!$N136)+_xlfn.MAXIFS(关卡产出!X:X,关卡产出!$A:$A,玩家节奏2!$O$6,关卡产出!$B:$B,玩家节奏2!$O136)+_xlfn.MAXIFS(关卡产出!X:X,关卡产出!$A:$A,玩家节奏2!$P$6,关卡产出!$B:$B,玩家节奏2!$P136)</f>
        <v>38500</v>
      </c>
      <c r="R136" s="90">
        <f>_xlfn.MAXIFS(关卡产出!Y:Y,关卡产出!$A:$A,玩家节奏2!$N$6,关卡产出!$B:$B,玩家节奏2!$N136)+_xlfn.MAXIFS(关卡产出!Y:Y,关卡产出!$A:$A,玩家节奏2!$O$6,关卡产出!$B:$B,玩家节奏2!$O136)+_xlfn.MAXIFS(关卡产出!Y:Y,关卡产出!$A:$A,玩家节奏2!$P$6,关卡产出!$B:$B,玩家节奏2!$P136)</f>
        <v>11610000</v>
      </c>
      <c r="S136" s="90">
        <f>_xlfn.MAXIFS(关卡产出!Z:Z,关卡产出!$A:$A,玩家节奏2!$N$6,关卡产出!$B:$B,玩家节奏2!$N136)+_xlfn.MAXIFS(关卡产出!Z:Z,关卡产出!$A:$A,玩家节奏2!$O$6,关卡产出!$B:$B,玩家节奏2!$O136)+_xlfn.MAXIFS(关卡产出!Z:Z,关卡产出!$A:$A,玩家节奏2!$P$6,关卡产出!$B:$B,玩家节奏2!$P136)</f>
        <v>78866</v>
      </c>
      <c r="T136" s="90">
        <f>_xlfn.MAXIFS(关卡产出!AA:AA,关卡产出!$A:$A,玩家节奏2!$N$6,关卡产出!$B:$B,玩家节奏2!$N136)+_xlfn.MAXIFS(关卡产出!AA:AA,关卡产出!$A:$A,玩家节奏2!$O$6,关卡产出!$B:$B,玩家节奏2!$O136)+_xlfn.MAXIFS(关卡产出!AA:AA,关卡产出!$A:$A,玩家节奏2!$P$6,关卡产出!$B:$B,玩家节奏2!$P136)</f>
        <v>39434</v>
      </c>
      <c r="U136" s="90">
        <f>_xlfn.MAXIFS(关卡产出!AB:AB,关卡产出!$A:$A,玩家节奏2!$N$6,关卡产出!$B:$B,玩家节奏2!$N136)+_xlfn.MAXIFS(关卡产出!AB:AB,关卡产出!$A:$A,玩家节奏2!$O$6,关卡产出!$B:$B,玩家节奏2!$O136)+_xlfn.MAXIFS(关卡产出!AB:AB,关卡产出!$A:$A,玩家节奏2!$P$6,关卡产出!$B:$B,玩家节奏2!$P136)</f>
        <v>19113</v>
      </c>
      <c r="V136" s="130">
        <f>_xlfn.MAXIFS(关卡产出!AC:AC,关卡产出!$A:$A,玩家节奏2!$N$6,关卡产出!$B:$B,玩家节奏2!$N136)+_xlfn.MAXIFS(关卡产出!AC:AC,关卡产出!$A:$A,玩家节奏2!$O$6,关卡产出!$B:$B,玩家节奏2!$O136)+_xlfn.MAXIFS(关卡产出!AC:AC,关卡产出!$A:$A,玩家节奏2!$P$6,关卡产出!$B:$B,玩家节奏2!$P136)</f>
        <v>1200</v>
      </c>
      <c r="W136" s="126">
        <f>INDEX(关卡产出!C$8:C$207,MATCH(玩家节奏2!$N136,关卡产出!$B$8:$B$207,0))*$K136</f>
        <v>2528</v>
      </c>
      <c r="X136" s="126">
        <f>INDEX(关卡产出!D$8:D$207,MATCH(玩家节奏2!$N136,关卡产出!$B$8:$B$207,0))*$K136</f>
        <v>1264</v>
      </c>
      <c r="Y136" s="126">
        <f>INDEX(关卡产出!E$8:E$207,MATCH(玩家节奏2!$N136,关卡产出!$B$8:$B$207,0))*$K136</f>
        <v>624</v>
      </c>
      <c r="Z136" s="144">
        <f>INDEX(关卡产出!F$8:F$207,MATCH(玩家节奏2!$N136,关卡产出!$B$8:$B$207,0))*$K136</f>
        <v>32800</v>
      </c>
      <c r="AA136" s="126">
        <f>SUM(W$7:W136)</f>
        <v>270510</v>
      </c>
      <c r="AB136" s="126">
        <f>SUM(X$7:X136)</f>
        <v>135091</v>
      </c>
      <c r="AC136" s="126">
        <f>SUM(Y$7:Y136)</f>
        <v>66467</v>
      </c>
      <c r="AD136" s="177">
        <f>SUM(Z$7:Z136)</f>
        <v>3537530</v>
      </c>
      <c r="AE136" s="128">
        <f>INDEX(图鉴!AQ:AQ,MATCH($N136,图鉴!$S:$S,0))*34</f>
        <v>714</v>
      </c>
      <c r="AF136" s="90">
        <f>INDEX(图鉴!AR:AR,MATCH($N136,图鉴!$S:$S,0))*34</f>
        <v>510</v>
      </c>
      <c r="AG136" s="90">
        <f>INDEX(图鉴!AS:AS,MATCH($N136,图鉴!$S:$S,0))*34</f>
        <v>204</v>
      </c>
      <c r="AH136" s="129">
        <f ca="1">INDEX(图鉴!AT:AT,MATCH($N136,图鉴!$S:$S,0))*34</f>
        <v>55930</v>
      </c>
      <c r="AI136" s="128">
        <f>SUM($AE$7:AE136)</f>
        <v>90916</v>
      </c>
      <c r="AJ136" s="90">
        <f>SUM(AF$7:AF136)</f>
        <v>62832</v>
      </c>
      <c r="AK136" s="90">
        <f>SUM(AG$7:AG136)</f>
        <v>24582</v>
      </c>
      <c r="AL136" s="130">
        <f ca="1">SUM(AH$7:AH136)</f>
        <v>6441266</v>
      </c>
      <c r="AM136" s="133">
        <f>IF(M136=0,0,INDEX(关卡产出!$AU$11:$AU$15,MATCH(玩家节奏2!N136,关卡产出!$AW$11:$AW$15,1))*M136)</f>
        <v>61000</v>
      </c>
      <c r="AN136" s="126">
        <f>IF(L136=0,0,$L136*关卡产出!AU$21)</f>
        <v>16000</v>
      </c>
      <c r="AO136" s="90">
        <f>IF(M136=0,0,$L136*关卡产出!AV$21)</f>
        <v>800</v>
      </c>
      <c r="AP136" s="129">
        <f>IF(N136=0,0,$L136*关卡产出!AW$21)</f>
        <v>16</v>
      </c>
      <c r="AQ136" s="138">
        <f>SUM(AN$7:AN136)</f>
        <v>2032000</v>
      </c>
      <c r="AR136" s="126">
        <f>SUM(AO$7:AO136)</f>
        <v>101600</v>
      </c>
      <c r="AS136" s="129">
        <f>SUM(AP$7:AP136)</f>
        <v>2032</v>
      </c>
      <c r="AT136" s="128">
        <v>3000</v>
      </c>
      <c r="AU136" s="129">
        <v>600</v>
      </c>
      <c r="AV136" s="128">
        <f>SUM(AT$7:AT136)</f>
        <v>390000</v>
      </c>
      <c r="AW136" s="90">
        <f>SUM(AU$7:AU136)</f>
        <v>78000</v>
      </c>
      <c r="AY136" s="128">
        <f t="shared" ref="AY136:AY199" si="155">Q136</f>
        <v>38500</v>
      </c>
      <c r="AZ136" s="90">
        <f t="shared" ref="AZ136:AZ199" si="156">AR136</f>
        <v>101600</v>
      </c>
      <c r="BA136" s="90">
        <f t="shared" ref="BA136:BA199" si="157">AW136</f>
        <v>78000</v>
      </c>
      <c r="BB136" s="90">
        <f t="shared" ca="1" si="127"/>
        <v>40800</v>
      </c>
      <c r="BC136" s="90">
        <f t="shared" ca="1" si="129"/>
        <v>131625</v>
      </c>
      <c r="BD136" s="90">
        <f t="shared" ca="1" si="130"/>
        <v>127275</v>
      </c>
      <c r="BE136" s="90">
        <f t="shared" ref="BE136:BE199" ca="1" si="158">SUM(AY136:BB136)</f>
        <v>258900</v>
      </c>
      <c r="BF136" s="142">
        <f t="shared" ca="1" si="139"/>
        <v>0.29249762583095917</v>
      </c>
      <c r="BG136" s="142">
        <f t="shared" ca="1" si="140"/>
        <v>0.77188983855650517</v>
      </c>
      <c r="BH136" s="142">
        <f t="shared" ca="1" si="141"/>
        <v>0.59259259259259256</v>
      </c>
      <c r="BI136" s="142">
        <f t="shared" ref="BI136:BI167" ca="1" si="159">BB136/$BC136</f>
        <v>0.30997150997150996</v>
      </c>
      <c r="BJ136" s="143"/>
      <c r="BK136" s="128">
        <f ca="1">INDEX(商城宝箱!$L:$L,MATCH(BC136,商城宝箱!$N:$N,1))</f>
        <v>12</v>
      </c>
      <c r="BL136" s="90">
        <f ca="1">_xlfn.IFNA(INDEX(商城宝箱!T:T,MATCH(玩家节奏2!$BK136,商城宝箱!$L:$L,0)),0)+($BC136-INDEX(商城宝箱!$N:$N,MATCH(玩家节奏2!$BK136,商城宝箱!$L:$L,0)))/$BK$5*INDEX(商城宝箱!E$23:E$42,MATCH(玩家节奏2!$BK136+1,商城宝箱!$C$23:$C$42,0))</f>
        <v>329062.5</v>
      </c>
      <c r="BM136" s="90">
        <f ca="1">_xlfn.IFNA(INDEX(商城宝箱!U:U,MATCH(玩家节奏2!$BK136,商城宝箱!$L:$L,0)),0)+($BC136-INDEX(商城宝箱!$N:$N,MATCH(玩家节奏2!$BK136,商城宝箱!$L:$L,0)))/$BK$5*INDEX(商城宝箱!F$23:F$42,MATCH(玩家节奏2!$BK136+1,商城宝箱!$C$23:$C$42,0))</f>
        <v>375167.5</v>
      </c>
      <c r="BN136" s="90">
        <f ca="1">_xlfn.IFNA(INDEX(商城宝箱!V:V,MATCH(玩家节奏2!$BK136,商城宝箱!$L:$L,0)),0)+($BC136-INDEX(商城宝箱!$N:$N,MATCH(玩家节奏2!$BK136,商城宝箱!$L:$L,0)))/$BK$5*INDEX(商城宝箱!G$23:G$42,MATCH(玩家节奏2!$BK136+1,商城宝箱!$C$23:$C$42,0))</f>
        <v>189437</v>
      </c>
      <c r="BO136" s="90">
        <f ca="1">_xlfn.IFNA(INDEX(商城宝箱!W:W,MATCH(玩家节奏2!$BK136,商城宝箱!$L:$L,0)),0)+($BC136-INDEX(商城宝箱!$N:$N,MATCH(玩家节奏2!$BK136,商城宝箱!$L:$L,0)))/$BK$5*INDEX(商城宝箱!H$23:H$42,MATCH(玩家节奏2!$BK136+1,商城宝箱!$C$23:$C$42,0))</f>
        <v>30365.25</v>
      </c>
      <c r="BQ136" s="128">
        <f t="shared" si="143"/>
        <v>11610000</v>
      </c>
      <c r="BR136" s="90">
        <f t="shared" si="144"/>
        <v>3537530</v>
      </c>
      <c r="BS136" s="90">
        <f t="shared" ca="1" si="145"/>
        <v>6441266</v>
      </c>
      <c r="BT136" s="90">
        <f t="shared" si="146"/>
        <v>61000</v>
      </c>
      <c r="BU136" s="90">
        <f t="shared" si="147"/>
        <v>2032000</v>
      </c>
      <c r="BV136" s="90">
        <f t="shared" si="148"/>
        <v>390000</v>
      </c>
      <c r="BW136" s="90">
        <f t="shared" ref="BW136:BW199" ca="1" si="160">BL136</f>
        <v>329062.5</v>
      </c>
      <c r="BX136" s="90">
        <f t="shared" ref="BX136:BX199" ca="1" si="161">SUM(BQ136:BW136)</f>
        <v>24400858.5</v>
      </c>
      <c r="BY136" s="142">
        <f t="shared" ca="1" si="138"/>
        <v>0.47580293127801221</v>
      </c>
      <c r="BZ136" s="142">
        <f t="shared" ca="1" si="138"/>
        <v>0.14497563682031925</v>
      </c>
      <c r="CA136" s="142">
        <f t="shared" ca="1" si="138"/>
        <v>0.26397702359529684</v>
      </c>
      <c r="CB136" s="142">
        <f t="shared" ca="1" si="138"/>
        <v>2.499912042029177E-3</v>
      </c>
      <c r="CC136" s="142">
        <f t="shared" ca="1" si="138"/>
        <v>8.3275758514807993E-2</v>
      </c>
      <c r="CD136" s="142">
        <f t="shared" ca="1" si="138"/>
        <v>1.5983044203137359E-2</v>
      </c>
      <c r="CE136" s="142">
        <f t="shared" ca="1" si="138"/>
        <v>1.3485693546397148E-2</v>
      </c>
      <c r="CG136" s="128">
        <f t="shared" ref="CG136:CG199" si="162">N136</f>
        <v>200</v>
      </c>
      <c r="CH136" s="90">
        <f ca="1">INDEX(角色升级!$A:$A,MATCH(玩家节奏2!$BX136,角色升级!$J:$J,1))</f>
        <v>1041</v>
      </c>
      <c r="CI136" s="90">
        <f ca="1">INDEX(角色升级!$O:$O,MATCH(玩家节奏2!$BX136,角色升级!$J:$J,1))</f>
        <v>99040.20749999999</v>
      </c>
      <c r="CJ136" s="90">
        <f>INDEX(关卡对比!$J:$J,MATCH(玩家节奏2!N136,关卡对比!$A:$A,0))</f>
        <v>86200</v>
      </c>
      <c r="CK136" s="147">
        <f t="shared" ref="CK136:CK199" ca="1" si="163">CJ136/CI136</f>
        <v>0.87035358846557354</v>
      </c>
      <c r="CL136" s="128">
        <f ca="1">INDEX(角色升级!$P:$P,MATCH(玩家节奏2!$CH136,角色升级!$A:$A,0))</f>
        <v>40800</v>
      </c>
      <c r="CM136" s="90">
        <f ca="1">INDEX(角色升级!Q:Q,MATCH(玩家节奏2!$CH136,角色升级!$A:$A,0))</f>
        <v>2.2000000000000002</v>
      </c>
      <c r="CO136" s="128">
        <f t="shared" ref="CO136:CO199" si="164">S136</f>
        <v>78866</v>
      </c>
      <c r="CP136" s="90">
        <f t="shared" ref="CP136:CP199" si="165">AA136</f>
        <v>270510</v>
      </c>
      <c r="CQ136" s="90">
        <f t="shared" ref="CQ136:CQ199" si="166">AI136</f>
        <v>90916</v>
      </c>
      <c r="CR136" s="90">
        <f t="shared" ref="CR136:CR199" ca="1" si="167">BM136</f>
        <v>375167.5</v>
      </c>
      <c r="CS136" s="90">
        <f t="shared" ref="CS136:CS199" ca="1" si="168">SUM(CO136:CR136)</f>
        <v>815459.5</v>
      </c>
      <c r="CT136" s="142">
        <f t="shared" ref="CT136:CW199" ca="1" si="169">CO136/$CS136</f>
        <v>9.671357069235198E-2</v>
      </c>
      <c r="CU136" s="142">
        <f t="shared" ca="1" si="169"/>
        <v>0.33172708147982827</v>
      </c>
      <c r="CV136" s="142">
        <f t="shared" ca="1" si="169"/>
        <v>0.11149051547011225</v>
      </c>
      <c r="CW136" s="142">
        <f t="shared" ca="1" si="149"/>
        <v>0.46006883235770751</v>
      </c>
      <c r="CY136" s="128">
        <f t="shared" ref="CY136:CY199" si="170">T136</f>
        <v>39434</v>
      </c>
      <c r="CZ136" s="90">
        <f t="shared" ref="CZ136:CZ199" si="171">AB136</f>
        <v>135091</v>
      </c>
      <c r="DA136" s="90">
        <f t="shared" ref="DA136:DA199" si="172">AJ136</f>
        <v>62832</v>
      </c>
      <c r="DB136" s="90">
        <f t="shared" ca="1" si="128"/>
        <v>189437</v>
      </c>
      <c r="DC136" s="90">
        <f t="shared" ref="DC136:DC199" ca="1" si="173">SUM(CY136:DB136)</f>
        <v>426794</v>
      </c>
      <c r="DD136" s="142">
        <f t="shared" ref="DD136:DG199" ca="1" si="174">CY136/$DC136</f>
        <v>9.2395863109603224E-2</v>
      </c>
      <c r="DE136" s="142">
        <f t="shared" ca="1" si="174"/>
        <v>0.31652506829992921</v>
      </c>
      <c r="DF136" s="142">
        <f t="shared" ca="1" si="174"/>
        <v>0.14721856445966908</v>
      </c>
      <c r="DG136" s="142">
        <f t="shared" ca="1" si="150"/>
        <v>0.44386050413079847</v>
      </c>
      <c r="DI136" s="128">
        <f t="shared" ref="DI136:DI199" si="175">U136</f>
        <v>19113</v>
      </c>
      <c r="DJ136" s="90">
        <f t="shared" ref="DJ136:DJ199" si="176">AC136</f>
        <v>66467</v>
      </c>
      <c r="DK136" s="90">
        <f t="shared" ref="DK136:DK199" si="177">AK136</f>
        <v>24582</v>
      </c>
      <c r="DL136" s="90">
        <f t="shared" ref="DL136:DL199" ca="1" si="178">BO136</f>
        <v>30365.25</v>
      </c>
      <c r="DM136" s="90">
        <f t="shared" ref="DM136:DM199" ca="1" si="179">SUM(DI136:DL136)</f>
        <v>140527.25</v>
      </c>
      <c r="DN136" s="142">
        <f t="shared" ref="DN136:DQ199" ca="1" si="180">DI136/$DM136</f>
        <v>0.13600920817848497</v>
      </c>
      <c r="DO136" s="142">
        <f t="shared" ca="1" si="180"/>
        <v>0.47298299795947052</v>
      </c>
      <c r="DP136" s="142">
        <f t="shared" ca="1" si="180"/>
        <v>0.17492692698391238</v>
      </c>
      <c r="DQ136" s="142">
        <f t="shared" ca="1" si="151"/>
        <v>0.21608086687813219</v>
      </c>
      <c r="DS136" s="128">
        <f t="shared" ref="DS136:DS199" ca="1" si="181">CS136</f>
        <v>815459.5</v>
      </c>
      <c r="DT136" s="90">
        <f t="shared" ref="DT136:DT199" ca="1" si="182">DC136</f>
        <v>426794</v>
      </c>
      <c r="DU136" s="90">
        <f t="shared" ref="DU136:DU199" ca="1" si="183">DM136</f>
        <v>140527.25</v>
      </c>
      <c r="DV136" s="90">
        <f t="shared" ref="DV136:DV199" si="184">AS136</f>
        <v>2032</v>
      </c>
      <c r="DW136" s="90">
        <f ca="1">_xlfn.IFNA(INDEX(武器升级消耗!$H:$H,MATCH(玩家节奏2!DS136/玩家节奏2!DS$5,武器升级消耗!M:M,1)),0)</f>
        <v>78</v>
      </c>
      <c r="DX136" s="90">
        <f ca="1">_xlfn.IFNA(INDEX(武器升级消耗!$H:$H,MATCH(玩家节奏2!DT136/玩家节奏2!DT$5,武器升级消耗!N:N,1)),0)</f>
        <v>68</v>
      </c>
      <c r="DY136" s="90">
        <f ca="1">_xlfn.IFNA(INDEX(武器升级消耗!$H:$H,MATCH(玩家节奏2!DU136/玩家节奏2!DU$5,武器升级消耗!O:O,1)),0)</f>
        <v>52</v>
      </c>
      <c r="DZ136" s="90">
        <f>_xlfn.IFNA(INDEX(武器升级消耗!$H:$H,MATCH(玩家节奏2!DV136/玩家节奏2!DV$5,武器升级消耗!P:P,1)),0)</f>
        <v>32</v>
      </c>
      <c r="EA136" s="90">
        <f ca="1">_xlfn.IFNA(INDEX(武器升级消耗!$Q:$Q,MATCH(玩家节奏2!DW136,武器升级消耗!$H:$H,0))*2*EA$4,0)</f>
        <v>9.8399999999999874</v>
      </c>
      <c r="EB136" s="90">
        <f ca="1">_xlfn.IFNA(INDEX(武器升级消耗!$Q:$Q,MATCH(玩家节奏2!DX136,武器升级消耗!$H:$H,0))*2*EB$4,0)</f>
        <v>10.8</v>
      </c>
      <c r="EC136" s="90">
        <f ca="1">_xlfn.IFNA(INDEX(武器升级消耗!$Q:$Q,MATCH(玩家节奏2!DY136,武器升级消耗!$H:$H,0))*2*EC$4,0)</f>
        <v>12.32</v>
      </c>
      <c r="ED136" s="90">
        <f>_xlfn.IFNA(INDEX(武器升级消耗!$Q:$Q,MATCH(玩家节奏2!DZ136,武器升级消耗!$H:$H,0))*2*ED$4,0)</f>
        <v>10.8</v>
      </c>
    </row>
    <row r="137" spans="1:134" x14ac:dyDescent="0.25">
      <c r="A137" s="123">
        <v>131</v>
      </c>
      <c r="B137" s="123">
        <f>INDEX(关卡对比!$Y:$Y,MATCH(关卡对比!Z137,关卡对比!$AA:$AA,1))</f>
        <v>79</v>
      </c>
      <c r="C137" s="124">
        <f>INDEX(关卡对比!$Y:$Y,MATCH(关卡对比!Z137,关卡对比!$AB:$AB,1))</f>
        <v>62</v>
      </c>
      <c r="D137" s="125">
        <f t="shared" si="131"/>
        <v>513.5</v>
      </c>
      <c r="E137" s="125">
        <v>2</v>
      </c>
      <c r="F137" s="128">
        <v>16</v>
      </c>
      <c r="G137" s="90">
        <v>16</v>
      </c>
      <c r="H137" s="90">
        <v>5</v>
      </c>
      <c r="J137" s="128">
        <v>131</v>
      </c>
      <c r="K137" s="90">
        <f t="shared" si="152"/>
        <v>16</v>
      </c>
      <c r="L137" s="90">
        <f t="shared" si="153"/>
        <v>16</v>
      </c>
      <c r="M137" s="90">
        <f t="shared" si="154"/>
        <v>5</v>
      </c>
      <c r="N137" s="140">
        <f>INDEX($A:$A,MATCH(SUM($K$7:K137),$D:$D,1))</f>
        <v>200</v>
      </c>
      <c r="O137" s="140">
        <v>0</v>
      </c>
      <c r="P137" s="141">
        <v>0</v>
      </c>
      <c r="Q137" s="126">
        <f>_xlfn.MAXIFS(关卡产出!X:X,关卡产出!$A:$A,玩家节奏2!$N$6,关卡产出!$B:$B,玩家节奏2!$N137)+_xlfn.MAXIFS(关卡产出!X:X,关卡产出!$A:$A,玩家节奏2!$O$6,关卡产出!$B:$B,玩家节奏2!$O137)+_xlfn.MAXIFS(关卡产出!X:X,关卡产出!$A:$A,玩家节奏2!$P$6,关卡产出!$B:$B,玩家节奏2!$P137)</f>
        <v>38500</v>
      </c>
      <c r="R137" s="90">
        <f>_xlfn.MAXIFS(关卡产出!Y:Y,关卡产出!$A:$A,玩家节奏2!$N$6,关卡产出!$B:$B,玩家节奏2!$N137)+_xlfn.MAXIFS(关卡产出!Y:Y,关卡产出!$A:$A,玩家节奏2!$O$6,关卡产出!$B:$B,玩家节奏2!$O137)+_xlfn.MAXIFS(关卡产出!Y:Y,关卡产出!$A:$A,玩家节奏2!$P$6,关卡产出!$B:$B,玩家节奏2!$P137)</f>
        <v>11610000</v>
      </c>
      <c r="S137" s="90">
        <f>_xlfn.MAXIFS(关卡产出!Z:Z,关卡产出!$A:$A,玩家节奏2!$N$6,关卡产出!$B:$B,玩家节奏2!$N137)+_xlfn.MAXIFS(关卡产出!Z:Z,关卡产出!$A:$A,玩家节奏2!$O$6,关卡产出!$B:$B,玩家节奏2!$O137)+_xlfn.MAXIFS(关卡产出!Z:Z,关卡产出!$A:$A,玩家节奏2!$P$6,关卡产出!$B:$B,玩家节奏2!$P137)</f>
        <v>78866</v>
      </c>
      <c r="T137" s="90">
        <f>_xlfn.MAXIFS(关卡产出!AA:AA,关卡产出!$A:$A,玩家节奏2!$N$6,关卡产出!$B:$B,玩家节奏2!$N137)+_xlfn.MAXIFS(关卡产出!AA:AA,关卡产出!$A:$A,玩家节奏2!$O$6,关卡产出!$B:$B,玩家节奏2!$O137)+_xlfn.MAXIFS(关卡产出!AA:AA,关卡产出!$A:$A,玩家节奏2!$P$6,关卡产出!$B:$B,玩家节奏2!$P137)</f>
        <v>39434</v>
      </c>
      <c r="U137" s="90">
        <f>_xlfn.MAXIFS(关卡产出!AB:AB,关卡产出!$A:$A,玩家节奏2!$N$6,关卡产出!$B:$B,玩家节奏2!$N137)+_xlfn.MAXIFS(关卡产出!AB:AB,关卡产出!$A:$A,玩家节奏2!$O$6,关卡产出!$B:$B,玩家节奏2!$O137)+_xlfn.MAXIFS(关卡产出!AB:AB,关卡产出!$A:$A,玩家节奏2!$P$6,关卡产出!$B:$B,玩家节奏2!$P137)</f>
        <v>19113</v>
      </c>
      <c r="V137" s="130">
        <f>_xlfn.MAXIFS(关卡产出!AC:AC,关卡产出!$A:$A,玩家节奏2!$N$6,关卡产出!$B:$B,玩家节奏2!$N137)+_xlfn.MAXIFS(关卡产出!AC:AC,关卡产出!$A:$A,玩家节奏2!$O$6,关卡产出!$B:$B,玩家节奏2!$O137)+_xlfn.MAXIFS(关卡产出!AC:AC,关卡产出!$A:$A,玩家节奏2!$P$6,关卡产出!$B:$B,玩家节奏2!$P137)</f>
        <v>1200</v>
      </c>
      <c r="W137" s="126">
        <f>INDEX(关卡产出!C$8:C$207,MATCH(玩家节奏2!$N137,关卡产出!$B$8:$B$207,0))*$K137</f>
        <v>2528</v>
      </c>
      <c r="X137" s="126">
        <f>INDEX(关卡产出!D$8:D$207,MATCH(玩家节奏2!$N137,关卡产出!$B$8:$B$207,0))*$K137</f>
        <v>1264</v>
      </c>
      <c r="Y137" s="126">
        <f>INDEX(关卡产出!E$8:E$207,MATCH(玩家节奏2!$N137,关卡产出!$B$8:$B$207,0))*$K137</f>
        <v>624</v>
      </c>
      <c r="Z137" s="144">
        <f>INDEX(关卡产出!F$8:F$207,MATCH(玩家节奏2!$N137,关卡产出!$B$8:$B$207,0))*$K137</f>
        <v>32800</v>
      </c>
      <c r="AA137" s="126">
        <f>SUM(W$7:W137)</f>
        <v>273038</v>
      </c>
      <c r="AB137" s="126">
        <f>SUM(X$7:X137)</f>
        <v>136355</v>
      </c>
      <c r="AC137" s="126">
        <f>SUM(Y$7:Y137)</f>
        <v>67091</v>
      </c>
      <c r="AD137" s="177">
        <f>SUM(Z$7:Z137)</f>
        <v>3570330</v>
      </c>
      <c r="AE137" s="128">
        <f>INDEX(图鉴!AQ:AQ,MATCH($N137,图鉴!$S:$S,0))*34</f>
        <v>714</v>
      </c>
      <c r="AF137" s="90">
        <f>INDEX(图鉴!AR:AR,MATCH($N137,图鉴!$S:$S,0))*34</f>
        <v>510</v>
      </c>
      <c r="AG137" s="90">
        <f>INDEX(图鉴!AS:AS,MATCH($N137,图鉴!$S:$S,0))*34</f>
        <v>204</v>
      </c>
      <c r="AH137" s="129">
        <f ca="1">INDEX(图鉴!AT:AT,MATCH($N137,图鉴!$S:$S,0))*34</f>
        <v>55930</v>
      </c>
      <c r="AI137" s="128">
        <f>SUM($AE$7:AE137)</f>
        <v>91630</v>
      </c>
      <c r="AJ137" s="90">
        <f>SUM(AF$7:AF137)</f>
        <v>63342</v>
      </c>
      <c r="AK137" s="90">
        <f>SUM(AG$7:AG137)</f>
        <v>24786</v>
      </c>
      <c r="AL137" s="130">
        <f ca="1">SUM(AH$7:AH137)</f>
        <v>6497196</v>
      </c>
      <c r="AM137" s="133">
        <f>IF(M137=0,0,INDEX(关卡产出!$AU$11:$AU$15,MATCH(玩家节奏2!N137,关卡产出!$AW$11:$AW$15,1))*M137)</f>
        <v>61000</v>
      </c>
      <c r="AN137" s="126">
        <f>IF(L137=0,0,$L137*关卡产出!AU$21)</f>
        <v>16000</v>
      </c>
      <c r="AO137" s="90">
        <f>IF(M137=0,0,$L137*关卡产出!AV$21)</f>
        <v>800</v>
      </c>
      <c r="AP137" s="129">
        <f>IF(N137=0,0,$L137*关卡产出!AW$21)</f>
        <v>16</v>
      </c>
      <c r="AQ137" s="138">
        <f>SUM(AN$7:AN137)</f>
        <v>2048000</v>
      </c>
      <c r="AR137" s="126">
        <f>SUM(AO$7:AO137)</f>
        <v>102400</v>
      </c>
      <c r="AS137" s="129">
        <f>SUM(AP$7:AP137)</f>
        <v>2048</v>
      </c>
      <c r="AT137" s="128">
        <v>3000</v>
      </c>
      <c r="AU137" s="129">
        <v>600</v>
      </c>
      <c r="AV137" s="128">
        <f>SUM(AT$7:AT137)</f>
        <v>393000</v>
      </c>
      <c r="AW137" s="90">
        <f>SUM(AU$7:AU137)</f>
        <v>78600</v>
      </c>
      <c r="AY137" s="128">
        <f t="shared" si="155"/>
        <v>38500</v>
      </c>
      <c r="AZ137" s="90">
        <f t="shared" si="156"/>
        <v>102400</v>
      </c>
      <c r="BA137" s="90">
        <f t="shared" si="157"/>
        <v>78600</v>
      </c>
      <c r="BB137" s="90">
        <f t="shared" ref="BB137:BB200" ca="1" si="185">CL136</f>
        <v>40800</v>
      </c>
      <c r="BC137" s="90">
        <f t="shared" ca="1" si="129"/>
        <v>132325</v>
      </c>
      <c r="BD137" s="90">
        <f t="shared" ca="1" si="130"/>
        <v>127975</v>
      </c>
      <c r="BE137" s="90">
        <f t="shared" ca="1" si="158"/>
        <v>260300</v>
      </c>
      <c r="BF137" s="142">
        <f t="shared" ca="1" si="139"/>
        <v>0.29095031173247687</v>
      </c>
      <c r="BG137" s="142">
        <f t="shared" ca="1" si="140"/>
        <v>0.77385225769884758</v>
      </c>
      <c r="BH137" s="142">
        <f t="shared" ca="1" si="141"/>
        <v>0.59399206499149826</v>
      </c>
      <c r="BI137" s="142">
        <f t="shared" ca="1" si="159"/>
        <v>0.30833175892688458</v>
      </c>
      <c r="BJ137" s="143"/>
      <c r="BK137" s="128">
        <f ca="1">INDEX(商城宝箱!$L:$L,MATCH(BC137,商城宝箱!$N:$N,1))</f>
        <v>12</v>
      </c>
      <c r="BL137" s="90">
        <f ca="1">_xlfn.IFNA(INDEX(商城宝箱!T:T,MATCH(玩家节奏2!$BK137,商城宝箱!$L:$L,0)),0)+($BC137-INDEX(商城宝箱!$N:$N,MATCH(玩家节奏2!$BK137,商城宝箱!$L:$L,0)))/$BK$5*INDEX(商城宝箱!E$23:E$42,MATCH(玩家节奏2!$BK137+1,商城宝箱!$C$23:$C$42,0))</f>
        <v>330812.5</v>
      </c>
      <c r="BM137" s="90">
        <f ca="1">_xlfn.IFNA(INDEX(商城宝箱!U:U,MATCH(玩家节奏2!$BK137,商城宝箱!$L:$L,0)),0)+($BC137-INDEX(商城宝箱!$N:$N,MATCH(玩家节奏2!$BK137,商城宝箱!$L:$L,0)))/$BK$5*INDEX(商城宝箱!F$23:F$42,MATCH(玩家节奏2!$BK137+1,商城宝箱!$C$23:$C$42,0))</f>
        <v>378107.5</v>
      </c>
      <c r="BN137" s="90">
        <f ca="1">_xlfn.IFNA(INDEX(商城宝箱!V:V,MATCH(玩家节奏2!$BK137,商城宝箱!$L:$L,0)),0)+($BC137-INDEX(商城宝箱!$N:$N,MATCH(玩家节奏2!$BK137,商城宝箱!$L:$L,0)))/$BK$5*INDEX(商城宝箱!G$23:G$42,MATCH(玩家节奏2!$BK137+1,商城宝箱!$C$23:$C$42,0))</f>
        <v>190837</v>
      </c>
      <c r="BO137" s="90">
        <f ca="1">_xlfn.IFNA(INDEX(商城宝箱!W:W,MATCH(玩家节奏2!$BK137,商城宝箱!$L:$L,0)),0)+($BC137-INDEX(商城宝箱!$N:$N,MATCH(玩家节奏2!$BK137,商城宝箱!$L:$L,0)))/$BK$5*INDEX(商城宝箱!H$23:H$42,MATCH(玩家节奏2!$BK137+1,商城宝箱!$C$23:$C$42,0))</f>
        <v>30610.25</v>
      </c>
      <c r="BQ137" s="128">
        <f t="shared" si="143"/>
        <v>11610000</v>
      </c>
      <c r="BR137" s="90">
        <f t="shared" si="144"/>
        <v>3570330</v>
      </c>
      <c r="BS137" s="90">
        <f t="shared" ca="1" si="145"/>
        <v>6497196</v>
      </c>
      <c r="BT137" s="90">
        <f t="shared" si="146"/>
        <v>61000</v>
      </c>
      <c r="BU137" s="90">
        <f t="shared" si="147"/>
        <v>2048000</v>
      </c>
      <c r="BV137" s="90">
        <f t="shared" si="148"/>
        <v>393000</v>
      </c>
      <c r="BW137" s="90">
        <f t="shared" ca="1" si="160"/>
        <v>330812.5</v>
      </c>
      <c r="BX137" s="90">
        <f t="shared" ca="1" si="161"/>
        <v>24510338.5</v>
      </c>
      <c r="BY137" s="142">
        <f t="shared" ca="1" si="138"/>
        <v>0.47367766871110328</v>
      </c>
      <c r="BZ137" s="142">
        <f t="shared" ca="1" si="138"/>
        <v>0.14566628690174965</v>
      </c>
      <c r="CA137" s="142">
        <f t="shared" ca="1" si="138"/>
        <v>0.26507981519716672</v>
      </c>
      <c r="CB137" s="142">
        <f t="shared" ca="1" si="138"/>
        <v>2.4887457184648836E-3</v>
      </c>
      <c r="CC137" s="142">
        <f t="shared" ca="1" si="138"/>
        <v>8.3556577564198056E-2</v>
      </c>
      <c r="CD137" s="142">
        <f t="shared" ca="1" si="138"/>
        <v>1.6034050284536056E-2</v>
      </c>
      <c r="CE137" s="142">
        <f t="shared" ca="1" si="138"/>
        <v>1.3496855622781382E-2</v>
      </c>
      <c r="CG137" s="128">
        <f t="shared" si="162"/>
        <v>200</v>
      </c>
      <c r="CH137" s="90">
        <f ca="1">INDEX(角色升级!$A:$A,MATCH(玩家节奏2!$BX137,角色升级!$J:$J,1))</f>
        <v>1044</v>
      </c>
      <c r="CI137" s="90">
        <f ca="1">INDEX(角色升级!$O:$O,MATCH(玩家节奏2!$BX137,角色升级!$J:$J,1))</f>
        <v>99167.182124999992</v>
      </c>
      <c r="CJ137" s="90">
        <f>INDEX(关卡对比!$J:$J,MATCH(玩家节奏2!N137,关卡对比!$A:$A,0))</f>
        <v>86200</v>
      </c>
      <c r="CK137" s="147">
        <f t="shared" ca="1" si="163"/>
        <v>0.86923917926139227</v>
      </c>
      <c r="CL137" s="128">
        <f ca="1">INDEX(角色升级!$P:$P,MATCH(玩家节奏2!$CH137,角色升级!$A:$A,0))</f>
        <v>40800</v>
      </c>
      <c r="CM137" s="90">
        <f ca="1">INDEX(角色升级!Q:Q,MATCH(玩家节奏2!$CH137,角色升级!$A:$A,0))</f>
        <v>2.2000000000000002</v>
      </c>
      <c r="CO137" s="128">
        <f t="shared" si="164"/>
        <v>78866</v>
      </c>
      <c r="CP137" s="90">
        <f t="shared" si="165"/>
        <v>273038</v>
      </c>
      <c r="CQ137" s="90">
        <f t="shared" si="166"/>
        <v>91630</v>
      </c>
      <c r="CR137" s="90">
        <f t="shared" ca="1" si="167"/>
        <v>378107.5</v>
      </c>
      <c r="CS137" s="90">
        <f t="shared" ca="1" si="168"/>
        <v>821641.5</v>
      </c>
      <c r="CT137" s="142">
        <f t="shared" ca="1" si="169"/>
        <v>9.5985901393734377E-2</v>
      </c>
      <c r="CU137" s="142">
        <f t="shared" ca="1" si="169"/>
        <v>0.33230794695740173</v>
      </c>
      <c r="CV137" s="142">
        <f t="shared" ca="1" si="169"/>
        <v>0.11152065712357519</v>
      </c>
      <c r="CW137" s="142">
        <f t="shared" ca="1" si="149"/>
        <v>0.46018549452528873</v>
      </c>
      <c r="CY137" s="128">
        <f t="shared" si="170"/>
        <v>39434</v>
      </c>
      <c r="CZ137" s="90">
        <f t="shared" si="171"/>
        <v>136355</v>
      </c>
      <c r="DA137" s="90">
        <f t="shared" si="172"/>
        <v>63342</v>
      </c>
      <c r="DB137" s="90">
        <f t="shared" ref="DB137:DB200" ca="1" si="186">BN137</f>
        <v>190837</v>
      </c>
      <c r="DC137" s="90">
        <f t="shared" ca="1" si="173"/>
        <v>429968</v>
      </c>
      <c r="DD137" s="142">
        <f t="shared" ca="1" si="174"/>
        <v>9.1713801957354971E-2</v>
      </c>
      <c r="DE137" s="142">
        <f t="shared" ca="1" si="174"/>
        <v>0.3171282514047557</v>
      </c>
      <c r="DF137" s="142">
        <f t="shared" ca="1" si="174"/>
        <v>0.14731793993971645</v>
      </c>
      <c r="DG137" s="142">
        <f t="shared" ca="1" si="150"/>
        <v>0.44384000669817286</v>
      </c>
      <c r="DI137" s="128">
        <f t="shared" si="175"/>
        <v>19113</v>
      </c>
      <c r="DJ137" s="90">
        <f t="shared" si="176"/>
        <v>67091</v>
      </c>
      <c r="DK137" s="90">
        <f t="shared" si="177"/>
        <v>24786</v>
      </c>
      <c r="DL137" s="90">
        <f t="shared" ca="1" si="178"/>
        <v>30610.25</v>
      </c>
      <c r="DM137" s="90">
        <f t="shared" ca="1" si="179"/>
        <v>141600.25</v>
      </c>
      <c r="DN137" s="142">
        <f t="shared" ca="1" si="180"/>
        <v>0.13497857524969059</v>
      </c>
      <c r="DO137" s="142">
        <f t="shared" ca="1" si="180"/>
        <v>0.47380566065384772</v>
      </c>
      <c r="DP137" s="142">
        <f t="shared" ca="1" si="180"/>
        <v>0.17504206383816412</v>
      </c>
      <c r="DQ137" s="142">
        <f t="shared" ca="1" si="151"/>
        <v>0.21617370025829757</v>
      </c>
      <c r="DS137" s="128">
        <f t="shared" ca="1" si="181"/>
        <v>821641.5</v>
      </c>
      <c r="DT137" s="90">
        <f t="shared" ca="1" si="182"/>
        <v>429968</v>
      </c>
      <c r="DU137" s="90">
        <f t="shared" ca="1" si="183"/>
        <v>141600.25</v>
      </c>
      <c r="DV137" s="90">
        <f t="shared" si="184"/>
        <v>2048</v>
      </c>
      <c r="DW137" s="90">
        <f ca="1">_xlfn.IFNA(INDEX(武器升级消耗!$H:$H,MATCH(玩家节奏2!DS137/玩家节奏2!DS$5,武器升级消耗!M:M,1)),0)</f>
        <v>78</v>
      </c>
      <c r="DX137" s="90">
        <f ca="1">_xlfn.IFNA(INDEX(武器升级消耗!$H:$H,MATCH(玩家节奏2!DT137/玩家节奏2!DT$5,武器升级消耗!N:N,1)),0)</f>
        <v>69</v>
      </c>
      <c r="DY137" s="90">
        <f ca="1">_xlfn.IFNA(INDEX(武器升级消耗!$H:$H,MATCH(玩家节奏2!DU137/玩家节奏2!DU$5,武器升级消耗!O:O,1)),0)</f>
        <v>52</v>
      </c>
      <c r="DZ137" s="90">
        <f>_xlfn.IFNA(INDEX(武器升级消耗!$H:$H,MATCH(玩家节奏2!DV137/玩家节奏2!DV$5,武器升级消耗!P:P,1)),0)</f>
        <v>32</v>
      </c>
      <c r="EA137" s="90">
        <f ca="1">_xlfn.IFNA(INDEX(武器升级消耗!$Q:$Q,MATCH(玩家节奏2!DW137,武器升级消耗!$H:$H,0))*2*EA$4,0)</f>
        <v>9.8399999999999874</v>
      </c>
      <c r="EB137" s="90">
        <f ca="1">_xlfn.IFNA(INDEX(武器升级消耗!$Q:$Q,MATCH(玩家节奏2!DX137,武器升级消耗!$H:$H,0))*2*EB$4,0)</f>
        <v>10.95</v>
      </c>
      <c r="EC137" s="90">
        <f ca="1">_xlfn.IFNA(INDEX(武器升级消耗!$Q:$Q,MATCH(玩家节奏2!DY137,武器升级消耗!$H:$H,0))*2*EC$4,0)</f>
        <v>12.32</v>
      </c>
      <c r="ED137" s="90">
        <f>_xlfn.IFNA(INDEX(武器升级消耗!$Q:$Q,MATCH(玩家节奏2!DZ137,武器升级消耗!$H:$H,0))*2*ED$4,0)</f>
        <v>10.8</v>
      </c>
    </row>
    <row r="138" spans="1:134" x14ac:dyDescent="0.25">
      <c r="A138" s="123">
        <v>132</v>
      </c>
      <c r="B138" s="123">
        <f>INDEX(关卡对比!$Y:$Y,MATCH(关卡对比!Z138,关卡对比!$AA:$AA,1))</f>
        <v>79</v>
      </c>
      <c r="C138" s="124">
        <f>INDEX(关卡对比!$Y:$Y,MATCH(关卡对比!Z138,关卡对比!$AB:$AB,1))</f>
        <v>62</v>
      </c>
      <c r="D138" s="125">
        <f t="shared" si="131"/>
        <v>515.5</v>
      </c>
      <c r="E138" s="125">
        <v>2</v>
      </c>
      <c r="F138" s="128">
        <v>16</v>
      </c>
      <c r="G138" s="90">
        <v>16</v>
      </c>
      <c r="H138" s="90">
        <v>5</v>
      </c>
      <c r="J138" s="128">
        <v>132</v>
      </c>
      <c r="K138" s="90">
        <f t="shared" si="152"/>
        <v>16</v>
      </c>
      <c r="L138" s="90">
        <f t="shared" si="153"/>
        <v>16</v>
      </c>
      <c r="M138" s="90">
        <f t="shared" si="154"/>
        <v>5</v>
      </c>
      <c r="N138" s="140">
        <f>INDEX($A:$A,MATCH(SUM($K$7:K138),$D:$D,1))</f>
        <v>200</v>
      </c>
      <c r="O138" s="140">
        <v>0</v>
      </c>
      <c r="P138" s="141">
        <v>0</v>
      </c>
      <c r="Q138" s="126">
        <f>_xlfn.MAXIFS(关卡产出!X:X,关卡产出!$A:$A,玩家节奏2!$N$6,关卡产出!$B:$B,玩家节奏2!$N138)+_xlfn.MAXIFS(关卡产出!X:X,关卡产出!$A:$A,玩家节奏2!$O$6,关卡产出!$B:$B,玩家节奏2!$O138)+_xlfn.MAXIFS(关卡产出!X:X,关卡产出!$A:$A,玩家节奏2!$P$6,关卡产出!$B:$B,玩家节奏2!$P138)</f>
        <v>38500</v>
      </c>
      <c r="R138" s="90">
        <f>_xlfn.MAXIFS(关卡产出!Y:Y,关卡产出!$A:$A,玩家节奏2!$N$6,关卡产出!$B:$B,玩家节奏2!$N138)+_xlfn.MAXIFS(关卡产出!Y:Y,关卡产出!$A:$A,玩家节奏2!$O$6,关卡产出!$B:$B,玩家节奏2!$O138)+_xlfn.MAXIFS(关卡产出!Y:Y,关卡产出!$A:$A,玩家节奏2!$P$6,关卡产出!$B:$B,玩家节奏2!$P138)</f>
        <v>11610000</v>
      </c>
      <c r="S138" s="90">
        <f>_xlfn.MAXIFS(关卡产出!Z:Z,关卡产出!$A:$A,玩家节奏2!$N$6,关卡产出!$B:$B,玩家节奏2!$N138)+_xlfn.MAXIFS(关卡产出!Z:Z,关卡产出!$A:$A,玩家节奏2!$O$6,关卡产出!$B:$B,玩家节奏2!$O138)+_xlfn.MAXIFS(关卡产出!Z:Z,关卡产出!$A:$A,玩家节奏2!$P$6,关卡产出!$B:$B,玩家节奏2!$P138)</f>
        <v>78866</v>
      </c>
      <c r="T138" s="90">
        <f>_xlfn.MAXIFS(关卡产出!AA:AA,关卡产出!$A:$A,玩家节奏2!$N$6,关卡产出!$B:$B,玩家节奏2!$N138)+_xlfn.MAXIFS(关卡产出!AA:AA,关卡产出!$A:$A,玩家节奏2!$O$6,关卡产出!$B:$B,玩家节奏2!$O138)+_xlfn.MAXIFS(关卡产出!AA:AA,关卡产出!$A:$A,玩家节奏2!$P$6,关卡产出!$B:$B,玩家节奏2!$P138)</f>
        <v>39434</v>
      </c>
      <c r="U138" s="90">
        <f>_xlfn.MAXIFS(关卡产出!AB:AB,关卡产出!$A:$A,玩家节奏2!$N$6,关卡产出!$B:$B,玩家节奏2!$N138)+_xlfn.MAXIFS(关卡产出!AB:AB,关卡产出!$A:$A,玩家节奏2!$O$6,关卡产出!$B:$B,玩家节奏2!$O138)+_xlfn.MAXIFS(关卡产出!AB:AB,关卡产出!$A:$A,玩家节奏2!$P$6,关卡产出!$B:$B,玩家节奏2!$P138)</f>
        <v>19113</v>
      </c>
      <c r="V138" s="130">
        <f>_xlfn.MAXIFS(关卡产出!AC:AC,关卡产出!$A:$A,玩家节奏2!$N$6,关卡产出!$B:$B,玩家节奏2!$N138)+_xlfn.MAXIFS(关卡产出!AC:AC,关卡产出!$A:$A,玩家节奏2!$O$6,关卡产出!$B:$B,玩家节奏2!$O138)+_xlfn.MAXIFS(关卡产出!AC:AC,关卡产出!$A:$A,玩家节奏2!$P$6,关卡产出!$B:$B,玩家节奏2!$P138)</f>
        <v>1200</v>
      </c>
      <c r="W138" s="126">
        <f>INDEX(关卡产出!C$8:C$207,MATCH(玩家节奏2!$N138,关卡产出!$B$8:$B$207,0))*$K138</f>
        <v>2528</v>
      </c>
      <c r="X138" s="126">
        <f>INDEX(关卡产出!D$8:D$207,MATCH(玩家节奏2!$N138,关卡产出!$B$8:$B$207,0))*$K138</f>
        <v>1264</v>
      </c>
      <c r="Y138" s="126">
        <f>INDEX(关卡产出!E$8:E$207,MATCH(玩家节奏2!$N138,关卡产出!$B$8:$B$207,0))*$K138</f>
        <v>624</v>
      </c>
      <c r="Z138" s="144">
        <f>INDEX(关卡产出!F$8:F$207,MATCH(玩家节奏2!$N138,关卡产出!$B$8:$B$207,0))*$K138</f>
        <v>32800</v>
      </c>
      <c r="AA138" s="126">
        <f>SUM(W$7:W138)</f>
        <v>275566</v>
      </c>
      <c r="AB138" s="126">
        <f>SUM(X$7:X138)</f>
        <v>137619</v>
      </c>
      <c r="AC138" s="126">
        <f>SUM(Y$7:Y138)</f>
        <v>67715</v>
      </c>
      <c r="AD138" s="177">
        <f>SUM(Z$7:Z138)</f>
        <v>3603130</v>
      </c>
      <c r="AE138" s="128">
        <f>INDEX(图鉴!AQ:AQ,MATCH($N138,图鉴!$S:$S,0))*34</f>
        <v>714</v>
      </c>
      <c r="AF138" s="90">
        <f>INDEX(图鉴!AR:AR,MATCH($N138,图鉴!$S:$S,0))*34</f>
        <v>510</v>
      </c>
      <c r="AG138" s="90">
        <f>INDEX(图鉴!AS:AS,MATCH($N138,图鉴!$S:$S,0))*34</f>
        <v>204</v>
      </c>
      <c r="AH138" s="129">
        <f ca="1">INDEX(图鉴!AT:AT,MATCH($N138,图鉴!$S:$S,0))*34</f>
        <v>55930</v>
      </c>
      <c r="AI138" s="128">
        <f>SUM($AE$7:AE138)</f>
        <v>92344</v>
      </c>
      <c r="AJ138" s="90">
        <f>SUM(AF$7:AF138)</f>
        <v>63852</v>
      </c>
      <c r="AK138" s="90">
        <f>SUM(AG$7:AG138)</f>
        <v>24990</v>
      </c>
      <c r="AL138" s="130">
        <f ca="1">SUM(AH$7:AH138)</f>
        <v>6553126</v>
      </c>
      <c r="AM138" s="133">
        <f>IF(M138=0,0,INDEX(关卡产出!$AU$11:$AU$15,MATCH(玩家节奏2!N138,关卡产出!$AW$11:$AW$15,1))*M138)</f>
        <v>61000</v>
      </c>
      <c r="AN138" s="126">
        <f>IF(L138=0,0,$L138*关卡产出!AU$21)</f>
        <v>16000</v>
      </c>
      <c r="AO138" s="90">
        <f>IF(M138=0,0,$L138*关卡产出!AV$21)</f>
        <v>800</v>
      </c>
      <c r="AP138" s="129">
        <f>IF(N138=0,0,$L138*关卡产出!AW$21)</f>
        <v>16</v>
      </c>
      <c r="AQ138" s="138">
        <f>SUM(AN$7:AN138)</f>
        <v>2064000</v>
      </c>
      <c r="AR138" s="126">
        <f>SUM(AO$7:AO138)</f>
        <v>103200</v>
      </c>
      <c r="AS138" s="129">
        <f>SUM(AP$7:AP138)</f>
        <v>2064</v>
      </c>
      <c r="AT138" s="128">
        <v>3000</v>
      </c>
      <c r="AU138" s="129">
        <v>600</v>
      </c>
      <c r="AV138" s="128">
        <f>SUM(AT$7:AT138)</f>
        <v>396000</v>
      </c>
      <c r="AW138" s="90">
        <f>SUM(AU$7:AU138)</f>
        <v>79200</v>
      </c>
      <c r="AY138" s="128">
        <f t="shared" si="155"/>
        <v>38500</v>
      </c>
      <c r="AZ138" s="90">
        <f t="shared" si="156"/>
        <v>103200</v>
      </c>
      <c r="BA138" s="90">
        <f t="shared" si="157"/>
        <v>79200</v>
      </c>
      <c r="BB138" s="90">
        <f t="shared" ca="1" si="185"/>
        <v>40800</v>
      </c>
      <c r="BC138" s="90">
        <f t="shared" ca="1" si="129"/>
        <v>133025</v>
      </c>
      <c r="BD138" s="90">
        <f t="shared" ca="1" si="130"/>
        <v>128675</v>
      </c>
      <c r="BE138" s="90">
        <f t="shared" ca="1" si="158"/>
        <v>261700</v>
      </c>
      <c r="BF138" s="142">
        <f t="shared" ca="1" si="139"/>
        <v>0.28941928208983275</v>
      </c>
      <c r="BG138" s="142">
        <f t="shared" ca="1" si="140"/>
        <v>0.77579402367975947</v>
      </c>
      <c r="BH138" s="142">
        <f t="shared" ca="1" si="141"/>
        <v>0.59537680887051303</v>
      </c>
      <c r="BI138" s="142">
        <f t="shared" ca="1" si="159"/>
        <v>0.30670926517571884</v>
      </c>
      <c r="BJ138" s="143"/>
      <c r="BK138" s="128">
        <f ca="1">INDEX(商城宝箱!$L:$L,MATCH(BC138,商城宝箱!$N:$N,1))</f>
        <v>12</v>
      </c>
      <c r="BL138" s="90">
        <f ca="1">_xlfn.IFNA(INDEX(商城宝箱!T:T,MATCH(玩家节奏2!$BK138,商城宝箱!$L:$L,0)),0)+($BC138-INDEX(商城宝箱!$N:$N,MATCH(玩家节奏2!$BK138,商城宝箱!$L:$L,0)))/$BK$5*INDEX(商城宝箱!E$23:E$42,MATCH(玩家节奏2!$BK138+1,商城宝箱!$C$23:$C$42,0))</f>
        <v>332562.5</v>
      </c>
      <c r="BM138" s="90">
        <f ca="1">_xlfn.IFNA(INDEX(商城宝箱!U:U,MATCH(玩家节奏2!$BK138,商城宝箱!$L:$L,0)),0)+($BC138-INDEX(商城宝箱!$N:$N,MATCH(玩家节奏2!$BK138,商城宝箱!$L:$L,0)))/$BK$5*INDEX(商城宝箱!F$23:F$42,MATCH(玩家节奏2!$BK138+1,商城宝箱!$C$23:$C$42,0))</f>
        <v>381047.5</v>
      </c>
      <c r="BN138" s="90">
        <f ca="1">_xlfn.IFNA(INDEX(商城宝箱!V:V,MATCH(玩家节奏2!$BK138,商城宝箱!$L:$L,0)),0)+($BC138-INDEX(商城宝箱!$N:$N,MATCH(玩家节奏2!$BK138,商城宝箱!$L:$L,0)))/$BK$5*INDEX(商城宝箱!G$23:G$42,MATCH(玩家节奏2!$BK138+1,商城宝箱!$C$23:$C$42,0))</f>
        <v>192237</v>
      </c>
      <c r="BO138" s="90">
        <f ca="1">_xlfn.IFNA(INDEX(商城宝箱!W:W,MATCH(玩家节奏2!$BK138,商城宝箱!$L:$L,0)),0)+($BC138-INDEX(商城宝箱!$N:$N,MATCH(玩家节奏2!$BK138,商城宝箱!$L:$L,0)))/$BK$5*INDEX(商城宝箱!H$23:H$42,MATCH(玩家节奏2!$BK138+1,商城宝箱!$C$23:$C$42,0))</f>
        <v>30855.25</v>
      </c>
      <c r="BQ138" s="128">
        <f t="shared" si="143"/>
        <v>11610000</v>
      </c>
      <c r="BR138" s="90">
        <f t="shared" si="144"/>
        <v>3603130</v>
      </c>
      <c r="BS138" s="90">
        <f t="shared" ca="1" si="145"/>
        <v>6553126</v>
      </c>
      <c r="BT138" s="90">
        <f t="shared" si="146"/>
        <v>61000</v>
      </c>
      <c r="BU138" s="90">
        <f t="shared" si="147"/>
        <v>2064000</v>
      </c>
      <c r="BV138" s="90">
        <f t="shared" si="148"/>
        <v>396000</v>
      </c>
      <c r="BW138" s="90">
        <f t="shared" ca="1" si="160"/>
        <v>332562.5</v>
      </c>
      <c r="BX138" s="90">
        <f t="shared" ca="1" si="161"/>
        <v>24619818.5</v>
      </c>
      <c r="BY138" s="142">
        <f t="shared" ca="1" si="138"/>
        <v>0.47157130748140974</v>
      </c>
      <c r="BZ138" s="142">
        <f t="shared" ca="1" si="138"/>
        <v>0.14635079458445235</v>
      </c>
      <c r="CA138" s="142">
        <f t="shared" ca="1" si="138"/>
        <v>0.26617279895869256</v>
      </c>
      <c r="CB138" s="142">
        <f t="shared" ca="1" si="138"/>
        <v>2.4776787042520235E-3</v>
      </c>
      <c r="CC138" s="142">
        <f t="shared" ca="1" si="138"/>
        <v>8.3834899107806171E-2</v>
      </c>
      <c r="CD138" s="142">
        <f t="shared" ca="1" si="138"/>
        <v>1.6084602735800022E-2</v>
      </c>
      <c r="CE138" s="142">
        <f t="shared" ca="1" si="138"/>
        <v>1.3507918427587109E-2</v>
      </c>
      <c r="CG138" s="128">
        <f t="shared" si="162"/>
        <v>200</v>
      </c>
      <c r="CH138" s="90">
        <f ca="1">INDEX(角色升级!$A:$A,MATCH(玩家节奏2!$BX138,角色升级!$J:$J,1))</f>
        <v>1047</v>
      </c>
      <c r="CI138" s="90">
        <f ca="1">INDEX(角色升级!$O:$O,MATCH(玩家节奏2!$BX138,角色升级!$J:$J,1))</f>
        <v>99294.156750000009</v>
      </c>
      <c r="CJ138" s="90">
        <f>INDEX(关卡对比!$J:$J,MATCH(玩家节奏2!N138,关卡对比!$A:$A,0))</f>
        <v>86200</v>
      </c>
      <c r="CK138" s="147">
        <f t="shared" ca="1" si="163"/>
        <v>0.8681276202086281</v>
      </c>
      <c r="CL138" s="128">
        <f ca="1">INDEX(角色升级!$P:$P,MATCH(玩家节奏2!$CH138,角色升级!$A:$A,0))</f>
        <v>40800</v>
      </c>
      <c r="CM138" s="90">
        <f ca="1">INDEX(角色升级!Q:Q,MATCH(玩家节奏2!$CH138,角色升级!$A:$A,0))</f>
        <v>2.2000000000000002</v>
      </c>
      <c r="CO138" s="128">
        <f t="shared" si="164"/>
        <v>78866</v>
      </c>
      <c r="CP138" s="90">
        <f t="shared" si="165"/>
        <v>275566</v>
      </c>
      <c r="CQ138" s="90">
        <f t="shared" si="166"/>
        <v>92344</v>
      </c>
      <c r="CR138" s="90">
        <f t="shared" ca="1" si="167"/>
        <v>381047.5</v>
      </c>
      <c r="CS138" s="90">
        <f t="shared" ca="1" si="168"/>
        <v>827823.5</v>
      </c>
      <c r="CT138" s="142">
        <f t="shared" ca="1" si="169"/>
        <v>9.5269100236946638E-2</v>
      </c>
      <c r="CU138" s="142">
        <f t="shared" ca="1" si="169"/>
        <v>0.33288013688908324</v>
      </c>
      <c r="CV138" s="142">
        <f t="shared" ca="1" si="169"/>
        <v>0.11155034859483935</v>
      </c>
      <c r="CW138" s="142">
        <f t="shared" ca="1" si="149"/>
        <v>0.46030041427913077</v>
      </c>
      <c r="CY138" s="128">
        <f t="shared" si="170"/>
        <v>39434</v>
      </c>
      <c r="CZ138" s="90">
        <f t="shared" si="171"/>
        <v>137619</v>
      </c>
      <c r="DA138" s="90">
        <f t="shared" si="172"/>
        <v>63852</v>
      </c>
      <c r="DB138" s="90">
        <f t="shared" ca="1" si="186"/>
        <v>192237</v>
      </c>
      <c r="DC138" s="90">
        <f t="shared" ca="1" si="173"/>
        <v>433142</v>
      </c>
      <c r="DD138" s="142">
        <f t="shared" ca="1" si="174"/>
        <v>9.1041736889980657E-2</v>
      </c>
      <c r="DE138" s="142">
        <f t="shared" ca="1" si="174"/>
        <v>0.31772259443785178</v>
      </c>
      <c r="DF138" s="142">
        <f t="shared" ca="1" si="174"/>
        <v>0.14741585900235951</v>
      </c>
      <c r="DG138" s="142">
        <f t="shared" ca="1" si="150"/>
        <v>0.44381980966980805</v>
      </c>
      <c r="DI138" s="128">
        <f t="shared" si="175"/>
        <v>19113</v>
      </c>
      <c r="DJ138" s="90">
        <f t="shared" si="176"/>
        <v>67715</v>
      </c>
      <c r="DK138" s="90">
        <f t="shared" si="177"/>
        <v>24990</v>
      </c>
      <c r="DL138" s="90">
        <f t="shared" ca="1" si="178"/>
        <v>30855.25</v>
      </c>
      <c r="DM138" s="90">
        <f t="shared" ca="1" si="179"/>
        <v>142673.25</v>
      </c>
      <c r="DN138" s="142">
        <f t="shared" ca="1" si="180"/>
        <v>0.13396344444386035</v>
      </c>
      <c r="DO138" s="142">
        <f t="shared" ca="1" si="180"/>
        <v>0.47461594938084051</v>
      </c>
      <c r="DP138" s="142">
        <f t="shared" ca="1" si="180"/>
        <v>0.17515546887731231</v>
      </c>
      <c r="DQ138" s="142">
        <f t="shared" ca="1" si="151"/>
        <v>0.21626513729798683</v>
      </c>
      <c r="DS138" s="128">
        <f t="shared" ca="1" si="181"/>
        <v>827823.5</v>
      </c>
      <c r="DT138" s="90">
        <f t="shared" ca="1" si="182"/>
        <v>433142</v>
      </c>
      <c r="DU138" s="90">
        <f t="shared" ca="1" si="183"/>
        <v>142673.25</v>
      </c>
      <c r="DV138" s="90">
        <f t="shared" si="184"/>
        <v>2064</v>
      </c>
      <c r="DW138" s="90">
        <f ca="1">_xlfn.IFNA(INDEX(武器升级消耗!$H:$H,MATCH(玩家节奏2!DS138/玩家节奏2!DS$5,武器升级消耗!M:M,1)),0)</f>
        <v>79</v>
      </c>
      <c r="DX138" s="90">
        <f ca="1">_xlfn.IFNA(INDEX(武器升级消耗!$H:$H,MATCH(玩家节奏2!DT138/玩家节奏2!DT$5,武器升级消耗!N:N,1)),0)</f>
        <v>69</v>
      </c>
      <c r="DY138" s="90">
        <f ca="1">_xlfn.IFNA(INDEX(武器升级消耗!$H:$H,MATCH(玩家节奏2!DU138/玩家节奏2!DU$5,武器升级消耗!O:O,1)),0)</f>
        <v>52</v>
      </c>
      <c r="DZ138" s="90">
        <f>_xlfn.IFNA(INDEX(武器升级消耗!$H:$H,MATCH(玩家节奏2!DV138/玩家节奏2!DV$5,武器升级消耗!P:P,1)),0)</f>
        <v>33</v>
      </c>
      <c r="EA138" s="90">
        <f ca="1">_xlfn.IFNA(INDEX(武器升级消耗!$Q:$Q,MATCH(玩家节奏2!DW138,武器升级消耗!$H:$H,0))*2*EA$4,0)</f>
        <v>9.9599999999999884</v>
      </c>
      <c r="EB138" s="90">
        <f ca="1">_xlfn.IFNA(INDEX(武器升级消耗!$Q:$Q,MATCH(玩家节奏2!DX138,武器升级消耗!$H:$H,0))*2*EB$4,0)</f>
        <v>10.95</v>
      </c>
      <c r="EC138" s="90">
        <f ca="1">_xlfn.IFNA(INDEX(武器升级消耗!$Q:$Q,MATCH(玩家节奏2!DY138,武器升级消耗!$H:$H,0))*2*EC$4,0)</f>
        <v>12.32</v>
      </c>
      <c r="ED138" s="90">
        <f>_xlfn.IFNA(INDEX(武器升级消耗!$Q:$Q,MATCH(玩家节奏2!DZ138,武器升级消耗!$H:$H,0))*2*ED$4,0)</f>
        <v>11.100000000000001</v>
      </c>
    </row>
    <row r="139" spans="1:134" x14ac:dyDescent="0.25">
      <c r="A139" s="123">
        <v>133</v>
      </c>
      <c r="B139" s="123">
        <f>INDEX(关卡对比!$Y:$Y,MATCH(关卡对比!Z139,关卡对比!$AA:$AA,1))</f>
        <v>80</v>
      </c>
      <c r="C139" s="124">
        <f>INDEX(关卡对比!$Y:$Y,MATCH(关卡对比!Z139,关卡对比!$AB:$AB,1))</f>
        <v>62</v>
      </c>
      <c r="D139" s="125">
        <f t="shared" si="131"/>
        <v>519.5</v>
      </c>
      <c r="E139" s="125">
        <v>2</v>
      </c>
      <c r="F139" s="128">
        <v>16</v>
      </c>
      <c r="G139" s="90">
        <v>16</v>
      </c>
      <c r="H139" s="90">
        <v>5</v>
      </c>
      <c r="J139" s="128">
        <v>133</v>
      </c>
      <c r="K139" s="90">
        <f t="shared" si="152"/>
        <v>16</v>
      </c>
      <c r="L139" s="90">
        <f t="shared" si="153"/>
        <v>16</v>
      </c>
      <c r="M139" s="90">
        <f t="shared" si="154"/>
        <v>5</v>
      </c>
      <c r="N139" s="140">
        <f>INDEX($A:$A,MATCH(SUM($K$7:K139),$D:$D,1))</f>
        <v>200</v>
      </c>
      <c r="O139" s="140">
        <v>0</v>
      </c>
      <c r="P139" s="141">
        <v>0</v>
      </c>
      <c r="Q139" s="126">
        <f>_xlfn.MAXIFS(关卡产出!X:X,关卡产出!$A:$A,玩家节奏2!$N$6,关卡产出!$B:$B,玩家节奏2!$N139)+_xlfn.MAXIFS(关卡产出!X:X,关卡产出!$A:$A,玩家节奏2!$O$6,关卡产出!$B:$B,玩家节奏2!$O139)+_xlfn.MAXIFS(关卡产出!X:X,关卡产出!$A:$A,玩家节奏2!$P$6,关卡产出!$B:$B,玩家节奏2!$P139)</f>
        <v>38500</v>
      </c>
      <c r="R139" s="90">
        <f>_xlfn.MAXIFS(关卡产出!Y:Y,关卡产出!$A:$A,玩家节奏2!$N$6,关卡产出!$B:$B,玩家节奏2!$N139)+_xlfn.MAXIFS(关卡产出!Y:Y,关卡产出!$A:$A,玩家节奏2!$O$6,关卡产出!$B:$B,玩家节奏2!$O139)+_xlfn.MAXIFS(关卡产出!Y:Y,关卡产出!$A:$A,玩家节奏2!$P$6,关卡产出!$B:$B,玩家节奏2!$P139)</f>
        <v>11610000</v>
      </c>
      <c r="S139" s="90">
        <f>_xlfn.MAXIFS(关卡产出!Z:Z,关卡产出!$A:$A,玩家节奏2!$N$6,关卡产出!$B:$B,玩家节奏2!$N139)+_xlfn.MAXIFS(关卡产出!Z:Z,关卡产出!$A:$A,玩家节奏2!$O$6,关卡产出!$B:$B,玩家节奏2!$O139)+_xlfn.MAXIFS(关卡产出!Z:Z,关卡产出!$A:$A,玩家节奏2!$P$6,关卡产出!$B:$B,玩家节奏2!$P139)</f>
        <v>78866</v>
      </c>
      <c r="T139" s="90">
        <f>_xlfn.MAXIFS(关卡产出!AA:AA,关卡产出!$A:$A,玩家节奏2!$N$6,关卡产出!$B:$B,玩家节奏2!$N139)+_xlfn.MAXIFS(关卡产出!AA:AA,关卡产出!$A:$A,玩家节奏2!$O$6,关卡产出!$B:$B,玩家节奏2!$O139)+_xlfn.MAXIFS(关卡产出!AA:AA,关卡产出!$A:$A,玩家节奏2!$P$6,关卡产出!$B:$B,玩家节奏2!$P139)</f>
        <v>39434</v>
      </c>
      <c r="U139" s="90">
        <f>_xlfn.MAXIFS(关卡产出!AB:AB,关卡产出!$A:$A,玩家节奏2!$N$6,关卡产出!$B:$B,玩家节奏2!$N139)+_xlfn.MAXIFS(关卡产出!AB:AB,关卡产出!$A:$A,玩家节奏2!$O$6,关卡产出!$B:$B,玩家节奏2!$O139)+_xlfn.MAXIFS(关卡产出!AB:AB,关卡产出!$A:$A,玩家节奏2!$P$6,关卡产出!$B:$B,玩家节奏2!$P139)</f>
        <v>19113</v>
      </c>
      <c r="V139" s="130">
        <f>_xlfn.MAXIFS(关卡产出!AC:AC,关卡产出!$A:$A,玩家节奏2!$N$6,关卡产出!$B:$B,玩家节奏2!$N139)+_xlfn.MAXIFS(关卡产出!AC:AC,关卡产出!$A:$A,玩家节奏2!$O$6,关卡产出!$B:$B,玩家节奏2!$O139)+_xlfn.MAXIFS(关卡产出!AC:AC,关卡产出!$A:$A,玩家节奏2!$P$6,关卡产出!$B:$B,玩家节奏2!$P139)</f>
        <v>1200</v>
      </c>
      <c r="W139" s="126">
        <f>INDEX(关卡产出!C$8:C$207,MATCH(玩家节奏2!$N139,关卡产出!$B$8:$B$207,0))*$K139</f>
        <v>2528</v>
      </c>
      <c r="X139" s="126">
        <f>INDEX(关卡产出!D$8:D$207,MATCH(玩家节奏2!$N139,关卡产出!$B$8:$B$207,0))*$K139</f>
        <v>1264</v>
      </c>
      <c r="Y139" s="126">
        <f>INDEX(关卡产出!E$8:E$207,MATCH(玩家节奏2!$N139,关卡产出!$B$8:$B$207,0))*$K139</f>
        <v>624</v>
      </c>
      <c r="Z139" s="144">
        <f>INDEX(关卡产出!F$8:F$207,MATCH(玩家节奏2!$N139,关卡产出!$B$8:$B$207,0))*$K139</f>
        <v>32800</v>
      </c>
      <c r="AA139" s="126">
        <f>SUM(W$7:W139)</f>
        <v>278094</v>
      </c>
      <c r="AB139" s="126">
        <f>SUM(X$7:X139)</f>
        <v>138883</v>
      </c>
      <c r="AC139" s="126">
        <f>SUM(Y$7:Y139)</f>
        <v>68339</v>
      </c>
      <c r="AD139" s="177">
        <f>SUM(Z$7:Z139)</f>
        <v>3635930</v>
      </c>
      <c r="AE139" s="128">
        <f>INDEX(图鉴!AQ:AQ,MATCH($N139,图鉴!$S:$S,0))*34</f>
        <v>714</v>
      </c>
      <c r="AF139" s="90">
        <f>INDEX(图鉴!AR:AR,MATCH($N139,图鉴!$S:$S,0))*34</f>
        <v>510</v>
      </c>
      <c r="AG139" s="90">
        <f>INDEX(图鉴!AS:AS,MATCH($N139,图鉴!$S:$S,0))*34</f>
        <v>204</v>
      </c>
      <c r="AH139" s="129">
        <f ca="1">INDEX(图鉴!AT:AT,MATCH($N139,图鉴!$S:$S,0))*34</f>
        <v>55930</v>
      </c>
      <c r="AI139" s="128">
        <f>SUM($AE$7:AE139)</f>
        <v>93058</v>
      </c>
      <c r="AJ139" s="90">
        <f>SUM(AF$7:AF139)</f>
        <v>64362</v>
      </c>
      <c r="AK139" s="90">
        <f>SUM(AG$7:AG139)</f>
        <v>25194</v>
      </c>
      <c r="AL139" s="130">
        <f ca="1">SUM(AH$7:AH139)</f>
        <v>6609056</v>
      </c>
      <c r="AM139" s="133">
        <f>IF(M139=0,0,INDEX(关卡产出!$AU$11:$AU$15,MATCH(玩家节奏2!N139,关卡产出!$AW$11:$AW$15,1))*M139)</f>
        <v>61000</v>
      </c>
      <c r="AN139" s="126">
        <f>IF(L139=0,0,$L139*关卡产出!AU$21)</f>
        <v>16000</v>
      </c>
      <c r="AO139" s="90">
        <f>IF(M139=0,0,$L139*关卡产出!AV$21)</f>
        <v>800</v>
      </c>
      <c r="AP139" s="129">
        <f>IF(N139=0,0,$L139*关卡产出!AW$21)</f>
        <v>16</v>
      </c>
      <c r="AQ139" s="138">
        <f>SUM(AN$7:AN139)</f>
        <v>2080000</v>
      </c>
      <c r="AR139" s="126">
        <f>SUM(AO$7:AO139)</f>
        <v>104000</v>
      </c>
      <c r="AS139" s="129">
        <f>SUM(AP$7:AP139)</f>
        <v>2080</v>
      </c>
      <c r="AT139" s="128">
        <v>3000</v>
      </c>
      <c r="AU139" s="129">
        <v>600</v>
      </c>
      <c r="AV139" s="128">
        <f>SUM(AT$7:AT139)</f>
        <v>399000</v>
      </c>
      <c r="AW139" s="90">
        <f>SUM(AU$7:AU139)</f>
        <v>79800</v>
      </c>
      <c r="AY139" s="128">
        <f t="shared" si="155"/>
        <v>38500</v>
      </c>
      <c r="AZ139" s="90">
        <f t="shared" si="156"/>
        <v>104000</v>
      </c>
      <c r="BA139" s="90">
        <f t="shared" si="157"/>
        <v>79800</v>
      </c>
      <c r="BB139" s="90">
        <f t="shared" ca="1" si="185"/>
        <v>40800</v>
      </c>
      <c r="BC139" s="90">
        <f t="shared" ref="BC139:BC202" ca="1" si="187">BE139-BD139</f>
        <v>133725</v>
      </c>
      <c r="BD139" s="90">
        <f t="shared" ref="BD139:BD202" ca="1" si="188">(SUM(AY139:BB139)-SUM($AY$9:$BB$9))*$BD$5</f>
        <v>129375</v>
      </c>
      <c r="BE139" s="90">
        <f t="shared" ca="1" si="158"/>
        <v>263100</v>
      </c>
      <c r="BF139" s="142">
        <f t="shared" ca="1" si="139"/>
        <v>0.2879042811740512</v>
      </c>
      <c r="BG139" s="142">
        <f t="shared" ca="1" si="140"/>
        <v>0.77771546083380072</v>
      </c>
      <c r="BH139" s="142">
        <f t="shared" ca="1" si="141"/>
        <v>0.59674705552439711</v>
      </c>
      <c r="BI139" s="142">
        <f t="shared" ca="1" si="159"/>
        <v>0.30510375771172182</v>
      </c>
      <c r="BJ139" s="143"/>
      <c r="BK139" s="128">
        <f ca="1">INDEX(商城宝箱!$L:$L,MATCH(BC139,商城宝箱!$N:$N,1))</f>
        <v>12</v>
      </c>
      <c r="BL139" s="90">
        <f ca="1">_xlfn.IFNA(INDEX(商城宝箱!T:T,MATCH(玩家节奏2!$BK139,商城宝箱!$L:$L,0)),0)+($BC139-INDEX(商城宝箱!$N:$N,MATCH(玩家节奏2!$BK139,商城宝箱!$L:$L,0)))/$BK$5*INDEX(商城宝箱!E$23:E$42,MATCH(玩家节奏2!$BK139+1,商城宝箱!$C$23:$C$42,0))</f>
        <v>334312.5</v>
      </c>
      <c r="BM139" s="90">
        <f ca="1">_xlfn.IFNA(INDEX(商城宝箱!U:U,MATCH(玩家节奏2!$BK139,商城宝箱!$L:$L,0)),0)+($BC139-INDEX(商城宝箱!$N:$N,MATCH(玩家节奏2!$BK139,商城宝箱!$L:$L,0)))/$BK$5*INDEX(商城宝箱!F$23:F$42,MATCH(玩家节奏2!$BK139+1,商城宝箱!$C$23:$C$42,0))</f>
        <v>383987.5</v>
      </c>
      <c r="BN139" s="90">
        <f ca="1">_xlfn.IFNA(INDEX(商城宝箱!V:V,MATCH(玩家节奏2!$BK139,商城宝箱!$L:$L,0)),0)+($BC139-INDEX(商城宝箱!$N:$N,MATCH(玩家节奏2!$BK139,商城宝箱!$L:$L,0)))/$BK$5*INDEX(商城宝箱!G$23:G$42,MATCH(玩家节奏2!$BK139+1,商城宝箱!$C$23:$C$42,0))</f>
        <v>193637</v>
      </c>
      <c r="BO139" s="90">
        <f ca="1">_xlfn.IFNA(INDEX(商城宝箱!W:W,MATCH(玩家节奏2!$BK139,商城宝箱!$L:$L,0)),0)+($BC139-INDEX(商城宝箱!$N:$N,MATCH(玩家节奏2!$BK139,商城宝箱!$L:$L,0)))/$BK$5*INDEX(商城宝箱!H$23:H$42,MATCH(玩家节奏2!$BK139+1,商城宝箱!$C$23:$C$42,0))</f>
        <v>31100.25</v>
      </c>
      <c r="BQ139" s="128">
        <f t="shared" si="143"/>
        <v>11610000</v>
      </c>
      <c r="BR139" s="90">
        <f t="shared" si="144"/>
        <v>3635930</v>
      </c>
      <c r="BS139" s="90">
        <f t="shared" ca="1" si="145"/>
        <v>6609056</v>
      </c>
      <c r="BT139" s="90">
        <f t="shared" si="146"/>
        <v>61000</v>
      </c>
      <c r="BU139" s="90">
        <f t="shared" si="147"/>
        <v>2080000</v>
      </c>
      <c r="BV139" s="90">
        <f t="shared" si="148"/>
        <v>399000</v>
      </c>
      <c r="BW139" s="90">
        <f t="shared" ca="1" si="160"/>
        <v>334312.5</v>
      </c>
      <c r="BX139" s="90">
        <f t="shared" ca="1" si="161"/>
        <v>24729298.5</v>
      </c>
      <c r="BY139" s="142">
        <f t="shared" ca="1" si="138"/>
        <v>0.46948359655248612</v>
      </c>
      <c r="BZ139" s="142">
        <f t="shared" ca="1" si="138"/>
        <v>0.1470292414481551</v>
      </c>
      <c r="CA139" s="142">
        <f t="shared" ca="1" si="138"/>
        <v>0.26725610514184217</v>
      </c>
      <c r="CB139" s="142">
        <f t="shared" ca="1" si="138"/>
        <v>2.4667096804221922E-3</v>
      </c>
      <c r="CC139" s="142">
        <f t="shared" ca="1" si="138"/>
        <v>8.4110756316035415E-2</v>
      </c>
      <c r="CD139" s="142">
        <f t="shared" ca="1" si="138"/>
        <v>1.6134707581777947E-2</v>
      </c>
      <c r="CE139" s="142">
        <f t="shared" ca="1" si="138"/>
        <v>1.3518883279281052E-2</v>
      </c>
      <c r="CG139" s="128">
        <f t="shared" si="162"/>
        <v>200</v>
      </c>
      <c r="CH139" s="90">
        <f ca="1">INDEX(角色升级!$A:$A,MATCH(玩家节奏2!$BX139,角色升级!$J:$J,1))</f>
        <v>1047</v>
      </c>
      <c r="CI139" s="90">
        <f ca="1">INDEX(角色升级!$O:$O,MATCH(玩家节奏2!$BX139,角色升级!$J:$J,1))</f>
        <v>99294.156750000009</v>
      </c>
      <c r="CJ139" s="90">
        <f>INDEX(关卡对比!$J:$J,MATCH(玩家节奏2!N139,关卡对比!$A:$A,0))</f>
        <v>86200</v>
      </c>
      <c r="CK139" s="147">
        <f t="shared" ca="1" si="163"/>
        <v>0.8681276202086281</v>
      </c>
      <c r="CL139" s="128">
        <f ca="1">INDEX(角色升级!$P:$P,MATCH(玩家节奏2!$CH139,角色升级!$A:$A,0))</f>
        <v>40800</v>
      </c>
      <c r="CM139" s="90">
        <f ca="1">INDEX(角色升级!Q:Q,MATCH(玩家节奏2!$CH139,角色升级!$A:$A,0))</f>
        <v>2.2000000000000002</v>
      </c>
      <c r="CO139" s="128">
        <f t="shared" si="164"/>
        <v>78866</v>
      </c>
      <c r="CP139" s="90">
        <f t="shared" si="165"/>
        <v>278094</v>
      </c>
      <c r="CQ139" s="90">
        <f t="shared" si="166"/>
        <v>93058</v>
      </c>
      <c r="CR139" s="90">
        <f t="shared" ca="1" si="167"/>
        <v>383987.5</v>
      </c>
      <c r="CS139" s="90">
        <f t="shared" ca="1" si="168"/>
        <v>834005.5</v>
      </c>
      <c r="CT139" s="142">
        <f t="shared" ca="1" si="169"/>
        <v>9.4562925544256007E-2</v>
      </c>
      <c r="CU139" s="142">
        <f t="shared" ca="1" si="169"/>
        <v>0.33344384419527212</v>
      </c>
      <c r="CV139" s="142">
        <f t="shared" ca="1" si="169"/>
        <v>0.11157959989472492</v>
      </c>
      <c r="CW139" s="142">
        <f t="shared" ca="1" si="149"/>
        <v>0.46041363036574701</v>
      </c>
      <c r="CY139" s="128">
        <f t="shared" si="170"/>
        <v>39434</v>
      </c>
      <c r="CZ139" s="90">
        <f t="shared" si="171"/>
        <v>138883</v>
      </c>
      <c r="DA139" s="90">
        <f t="shared" si="172"/>
        <v>64362</v>
      </c>
      <c r="DB139" s="90">
        <f t="shared" ca="1" si="186"/>
        <v>193637</v>
      </c>
      <c r="DC139" s="90">
        <f t="shared" ca="1" si="173"/>
        <v>436316</v>
      </c>
      <c r="DD139" s="142">
        <f t="shared" ca="1" si="174"/>
        <v>9.0379449756598423E-2</v>
      </c>
      <c r="DE139" s="142">
        <f t="shared" ca="1" si="174"/>
        <v>0.31830829032169344</v>
      </c>
      <c r="DF139" s="142">
        <f t="shared" ca="1" si="174"/>
        <v>0.14751235343191632</v>
      </c>
      <c r="DG139" s="142">
        <f t="shared" ca="1" si="150"/>
        <v>0.44379990648979178</v>
      </c>
      <c r="DI139" s="128">
        <f t="shared" si="175"/>
        <v>19113</v>
      </c>
      <c r="DJ139" s="90">
        <f t="shared" si="176"/>
        <v>68339</v>
      </c>
      <c r="DK139" s="90">
        <f t="shared" si="177"/>
        <v>25194</v>
      </c>
      <c r="DL139" s="90">
        <f t="shared" ca="1" si="178"/>
        <v>31100.25</v>
      </c>
      <c r="DM139" s="90">
        <f t="shared" ca="1" si="179"/>
        <v>143746.25</v>
      </c>
      <c r="DN139" s="142">
        <f t="shared" ca="1" si="180"/>
        <v>0.13296346861222466</v>
      </c>
      <c r="DO139" s="142">
        <f t="shared" ca="1" si="180"/>
        <v>0.47541414123846709</v>
      </c>
      <c r="DP139" s="142">
        <f t="shared" ca="1" si="180"/>
        <v>0.17526718088297955</v>
      </c>
      <c r="DQ139" s="142">
        <f t="shared" ca="1" si="151"/>
        <v>0.21635520926632867</v>
      </c>
      <c r="DS139" s="128">
        <f t="shared" ca="1" si="181"/>
        <v>834005.5</v>
      </c>
      <c r="DT139" s="90">
        <f t="shared" ca="1" si="182"/>
        <v>436316</v>
      </c>
      <c r="DU139" s="90">
        <f t="shared" ca="1" si="183"/>
        <v>143746.25</v>
      </c>
      <c r="DV139" s="90">
        <f t="shared" si="184"/>
        <v>2080</v>
      </c>
      <c r="DW139" s="90">
        <f ca="1">_xlfn.IFNA(INDEX(武器升级消耗!$H:$H,MATCH(玩家节奏2!DS139/玩家节奏2!DS$5,武器升级消耗!M:M,1)),0)</f>
        <v>79</v>
      </c>
      <c r="DX139" s="90">
        <f ca="1">_xlfn.IFNA(INDEX(武器升级消耗!$H:$H,MATCH(玩家节奏2!DT139/玩家节奏2!DT$5,武器升级消耗!N:N,1)),0)</f>
        <v>69</v>
      </c>
      <c r="DY139" s="90">
        <f ca="1">_xlfn.IFNA(INDEX(武器升级消耗!$H:$H,MATCH(玩家节奏2!DU139/玩家节奏2!DU$5,武器升级消耗!O:O,1)),0)</f>
        <v>52</v>
      </c>
      <c r="DZ139" s="90">
        <f>_xlfn.IFNA(INDEX(武器升级消耗!$H:$H,MATCH(玩家节奏2!DV139/玩家节奏2!DV$5,武器升级消耗!P:P,1)),0)</f>
        <v>33</v>
      </c>
      <c r="EA139" s="90">
        <f ca="1">_xlfn.IFNA(INDEX(武器升级消耗!$Q:$Q,MATCH(玩家节奏2!DW139,武器升级消耗!$H:$H,0))*2*EA$4,0)</f>
        <v>9.9599999999999884</v>
      </c>
      <c r="EB139" s="90">
        <f ca="1">_xlfn.IFNA(INDEX(武器升级消耗!$Q:$Q,MATCH(玩家节奏2!DX139,武器升级消耗!$H:$H,0))*2*EB$4,0)</f>
        <v>10.95</v>
      </c>
      <c r="EC139" s="90">
        <f ca="1">_xlfn.IFNA(INDEX(武器升级消耗!$Q:$Q,MATCH(玩家节奏2!DY139,武器升级消耗!$H:$H,0))*2*EC$4,0)</f>
        <v>12.32</v>
      </c>
      <c r="ED139" s="90">
        <f>_xlfn.IFNA(INDEX(武器升级消耗!$Q:$Q,MATCH(玩家节奏2!DZ139,武器升级消耗!$H:$H,0))*2*ED$4,0)</f>
        <v>11.100000000000001</v>
      </c>
    </row>
    <row r="140" spans="1:134" x14ac:dyDescent="0.25">
      <c r="A140" s="123">
        <v>134</v>
      </c>
      <c r="B140" s="123">
        <f>INDEX(关卡对比!$Y:$Y,MATCH(关卡对比!Z140,关卡对比!$AA:$AA,1))</f>
        <v>80</v>
      </c>
      <c r="C140" s="124">
        <f>INDEX(关卡对比!$Y:$Y,MATCH(关卡对比!Z140,关卡对比!$AB:$AB,1))</f>
        <v>63</v>
      </c>
      <c r="D140" s="125">
        <f t="shared" si="131"/>
        <v>523.5</v>
      </c>
      <c r="E140" s="125">
        <v>2</v>
      </c>
      <c r="F140" s="128">
        <v>16</v>
      </c>
      <c r="G140" s="90">
        <v>16</v>
      </c>
      <c r="H140" s="90">
        <v>5</v>
      </c>
      <c r="J140" s="128">
        <v>134</v>
      </c>
      <c r="K140" s="90">
        <f t="shared" si="152"/>
        <v>16</v>
      </c>
      <c r="L140" s="90">
        <f t="shared" si="153"/>
        <v>16</v>
      </c>
      <c r="M140" s="90">
        <f t="shared" si="154"/>
        <v>5</v>
      </c>
      <c r="N140" s="140">
        <f>INDEX($A:$A,MATCH(SUM($K$7:K140),$D:$D,1))</f>
        <v>200</v>
      </c>
      <c r="O140" s="140">
        <v>0</v>
      </c>
      <c r="P140" s="141">
        <v>0</v>
      </c>
      <c r="Q140" s="126">
        <f>_xlfn.MAXIFS(关卡产出!X:X,关卡产出!$A:$A,玩家节奏2!$N$6,关卡产出!$B:$B,玩家节奏2!$N140)+_xlfn.MAXIFS(关卡产出!X:X,关卡产出!$A:$A,玩家节奏2!$O$6,关卡产出!$B:$B,玩家节奏2!$O140)+_xlfn.MAXIFS(关卡产出!X:X,关卡产出!$A:$A,玩家节奏2!$P$6,关卡产出!$B:$B,玩家节奏2!$P140)</f>
        <v>38500</v>
      </c>
      <c r="R140" s="90">
        <f>_xlfn.MAXIFS(关卡产出!Y:Y,关卡产出!$A:$A,玩家节奏2!$N$6,关卡产出!$B:$B,玩家节奏2!$N140)+_xlfn.MAXIFS(关卡产出!Y:Y,关卡产出!$A:$A,玩家节奏2!$O$6,关卡产出!$B:$B,玩家节奏2!$O140)+_xlfn.MAXIFS(关卡产出!Y:Y,关卡产出!$A:$A,玩家节奏2!$P$6,关卡产出!$B:$B,玩家节奏2!$P140)</f>
        <v>11610000</v>
      </c>
      <c r="S140" s="90">
        <f>_xlfn.MAXIFS(关卡产出!Z:Z,关卡产出!$A:$A,玩家节奏2!$N$6,关卡产出!$B:$B,玩家节奏2!$N140)+_xlfn.MAXIFS(关卡产出!Z:Z,关卡产出!$A:$A,玩家节奏2!$O$6,关卡产出!$B:$B,玩家节奏2!$O140)+_xlfn.MAXIFS(关卡产出!Z:Z,关卡产出!$A:$A,玩家节奏2!$P$6,关卡产出!$B:$B,玩家节奏2!$P140)</f>
        <v>78866</v>
      </c>
      <c r="T140" s="90">
        <f>_xlfn.MAXIFS(关卡产出!AA:AA,关卡产出!$A:$A,玩家节奏2!$N$6,关卡产出!$B:$B,玩家节奏2!$N140)+_xlfn.MAXIFS(关卡产出!AA:AA,关卡产出!$A:$A,玩家节奏2!$O$6,关卡产出!$B:$B,玩家节奏2!$O140)+_xlfn.MAXIFS(关卡产出!AA:AA,关卡产出!$A:$A,玩家节奏2!$P$6,关卡产出!$B:$B,玩家节奏2!$P140)</f>
        <v>39434</v>
      </c>
      <c r="U140" s="90">
        <f>_xlfn.MAXIFS(关卡产出!AB:AB,关卡产出!$A:$A,玩家节奏2!$N$6,关卡产出!$B:$B,玩家节奏2!$N140)+_xlfn.MAXIFS(关卡产出!AB:AB,关卡产出!$A:$A,玩家节奏2!$O$6,关卡产出!$B:$B,玩家节奏2!$O140)+_xlfn.MAXIFS(关卡产出!AB:AB,关卡产出!$A:$A,玩家节奏2!$P$6,关卡产出!$B:$B,玩家节奏2!$P140)</f>
        <v>19113</v>
      </c>
      <c r="V140" s="130">
        <f>_xlfn.MAXIFS(关卡产出!AC:AC,关卡产出!$A:$A,玩家节奏2!$N$6,关卡产出!$B:$B,玩家节奏2!$N140)+_xlfn.MAXIFS(关卡产出!AC:AC,关卡产出!$A:$A,玩家节奏2!$O$6,关卡产出!$B:$B,玩家节奏2!$O140)+_xlfn.MAXIFS(关卡产出!AC:AC,关卡产出!$A:$A,玩家节奏2!$P$6,关卡产出!$B:$B,玩家节奏2!$P140)</f>
        <v>1200</v>
      </c>
      <c r="W140" s="126">
        <f>INDEX(关卡产出!C$8:C$207,MATCH(玩家节奏2!$N140,关卡产出!$B$8:$B$207,0))*$K140</f>
        <v>2528</v>
      </c>
      <c r="X140" s="126">
        <f>INDEX(关卡产出!D$8:D$207,MATCH(玩家节奏2!$N140,关卡产出!$B$8:$B$207,0))*$K140</f>
        <v>1264</v>
      </c>
      <c r="Y140" s="126">
        <f>INDEX(关卡产出!E$8:E$207,MATCH(玩家节奏2!$N140,关卡产出!$B$8:$B$207,0))*$K140</f>
        <v>624</v>
      </c>
      <c r="Z140" s="144">
        <f>INDEX(关卡产出!F$8:F$207,MATCH(玩家节奏2!$N140,关卡产出!$B$8:$B$207,0))*$K140</f>
        <v>32800</v>
      </c>
      <c r="AA140" s="126">
        <f>SUM(W$7:W140)</f>
        <v>280622</v>
      </c>
      <c r="AB140" s="126">
        <f>SUM(X$7:X140)</f>
        <v>140147</v>
      </c>
      <c r="AC140" s="126">
        <f>SUM(Y$7:Y140)</f>
        <v>68963</v>
      </c>
      <c r="AD140" s="177">
        <f>SUM(Z$7:Z140)</f>
        <v>3668730</v>
      </c>
      <c r="AE140" s="128">
        <f>INDEX(图鉴!AQ:AQ,MATCH($N140,图鉴!$S:$S,0))*34</f>
        <v>714</v>
      </c>
      <c r="AF140" s="90">
        <f>INDEX(图鉴!AR:AR,MATCH($N140,图鉴!$S:$S,0))*34</f>
        <v>510</v>
      </c>
      <c r="AG140" s="90">
        <f>INDEX(图鉴!AS:AS,MATCH($N140,图鉴!$S:$S,0))*34</f>
        <v>204</v>
      </c>
      <c r="AH140" s="129">
        <f ca="1">INDEX(图鉴!AT:AT,MATCH($N140,图鉴!$S:$S,0))*34</f>
        <v>55930</v>
      </c>
      <c r="AI140" s="128">
        <f>SUM($AE$7:AE140)</f>
        <v>93772</v>
      </c>
      <c r="AJ140" s="90">
        <f>SUM(AF$7:AF140)</f>
        <v>64872</v>
      </c>
      <c r="AK140" s="90">
        <f>SUM(AG$7:AG140)</f>
        <v>25398</v>
      </c>
      <c r="AL140" s="130">
        <f ca="1">SUM(AH$7:AH140)</f>
        <v>6664986</v>
      </c>
      <c r="AM140" s="133">
        <f>IF(M140=0,0,INDEX(关卡产出!$AU$11:$AU$15,MATCH(玩家节奏2!N140,关卡产出!$AW$11:$AW$15,1))*M140)</f>
        <v>61000</v>
      </c>
      <c r="AN140" s="126">
        <f>IF(L140=0,0,$L140*关卡产出!AU$21)</f>
        <v>16000</v>
      </c>
      <c r="AO140" s="90">
        <f>IF(M140=0,0,$L140*关卡产出!AV$21)</f>
        <v>800</v>
      </c>
      <c r="AP140" s="129">
        <f>IF(N140=0,0,$L140*关卡产出!AW$21)</f>
        <v>16</v>
      </c>
      <c r="AQ140" s="138">
        <f>SUM(AN$7:AN140)</f>
        <v>2096000</v>
      </c>
      <c r="AR140" s="126">
        <f>SUM(AO$7:AO140)</f>
        <v>104800</v>
      </c>
      <c r="AS140" s="129">
        <f>SUM(AP$7:AP140)</f>
        <v>2096</v>
      </c>
      <c r="AT140" s="128">
        <v>3000</v>
      </c>
      <c r="AU140" s="129">
        <v>600</v>
      </c>
      <c r="AV140" s="128">
        <f>SUM(AT$7:AT140)</f>
        <v>402000</v>
      </c>
      <c r="AW140" s="90">
        <f>SUM(AU$7:AU140)</f>
        <v>80400</v>
      </c>
      <c r="AY140" s="128">
        <f t="shared" si="155"/>
        <v>38500</v>
      </c>
      <c r="AZ140" s="90">
        <f t="shared" si="156"/>
        <v>104800</v>
      </c>
      <c r="BA140" s="90">
        <f t="shared" si="157"/>
        <v>80400</v>
      </c>
      <c r="BB140" s="90">
        <f t="shared" ca="1" si="185"/>
        <v>40800</v>
      </c>
      <c r="BC140" s="90">
        <f t="shared" ca="1" si="187"/>
        <v>134425</v>
      </c>
      <c r="BD140" s="90">
        <f t="shared" ca="1" si="188"/>
        <v>130075</v>
      </c>
      <c r="BE140" s="90">
        <f t="shared" ca="1" si="158"/>
        <v>264500</v>
      </c>
      <c r="BF140" s="142">
        <f t="shared" ca="1" si="139"/>
        <v>0.28640505858285287</v>
      </c>
      <c r="BG140" s="142">
        <f t="shared" ca="1" si="140"/>
        <v>0.77961688673981777</v>
      </c>
      <c r="BH140" s="142">
        <f t="shared" ca="1" si="141"/>
        <v>0.59810303143016552</v>
      </c>
      <c r="BI140" s="142">
        <f t="shared" ca="1" si="159"/>
        <v>0.30351497117351683</v>
      </c>
      <c r="BJ140" s="143"/>
      <c r="BK140" s="128">
        <f ca="1">INDEX(商城宝箱!$L:$L,MATCH(BC140,商城宝箱!$N:$N,1))</f>
        <v>13</v>
      </c>
      <c r="BL140" s="90">
        <f ca="1">_xlfn.IFNA(INDEX(商城宝箱!T:T,MATCH(玩家节奏2!$BK140,商城宝箱!$L:$L,0)),0)+($BC140-INDEX(商城宝箱!$N:$N,MATCH(玩家节奏2!$BK140,商城宝箱!$L:$L,0)))/$BK$5*INDEX(商城宝箱!E$23:E$42,MATCH(玩家节奏2!$BK140+1,商城宝箱!$C$23:$C$42,0))</f>
        <v>336062.5</v>
      </c>
      <c r="BM140" s="90">
        <f ca="1">_xlfn.IFNA(INDEX(商城宝箱!U:U,MATCH(玩家节奏2!$BK140,商城宝箱!$L:$L,0)),0)+($BC140-INDEX(商城宝箱!$N:$N,MATCH(玩家节奏2!$BK140,商城宝箱!$L:$L,0)))/$BK$5*INDEX(商城宝箱!F$23:F$42,MATCH(玩家节奏2!$BK140+1,商城宝箱!$C$23:$C$42,0))</f>
        <v>387090</v>
      </c>
      <c r="BN140" s="90">
        <f ca="1">_xlfn.IFNA(INDEX(商城宝箱!V:V,MATCH(玩家节奏2!$BK140,商城宝箱!$L:$L,0)),0)+($BC140-INDEX(商城宝箱!$N:$N,MATCH(玩家节奏2!$BK140,商城宝箱!$L:$L,0)))/$BK$5*INDEX(商城宝箱!G$23:G$42,MATCH(玩家节奏2!$BK140+1,商城宝箱!$C$23:$C$42,0))</f>
        <v>195118.25</v>
      </c>
      <c r="BO140" s="90">
        <f ca="1">_xlfn.IFNA(INDEX(商城宝箱!W:W,MATCH(玩家节奏2!$BK140,商城宝箱!$L:$L,0)),0)+($BC140-INDEX(商城宝箱!$N:$N,MATCH(玩家节奏2!$BK140,商城宝箱!$L:$L,0)))/$BK$5*INDEX(商城宝箱!H$23:H$42,MATCH(玩家节奏2!$BK140+1,商城宝箱!$C$23:$C$42,0))</f>
        <v>31361.5</v>
      </c>
      <c r="BQ140" s="128">
        <f t="shared" si="143"/>
        <v>11610000</v>
      </c>
      <c r="BR140" s="90">
        <f t="shared" si="144"/>
        <v>3668730</v>
      </c>
      <c r="BS140" s="90">
        <f t="shared" ca="1" si="145"/>
        <v>6664986</v>
      </c>
      <c r="BT140" s="90">
        <f t="shared" si="146"/>
        <v>61000</v>
      </c>
      <c r="BU140" s="90">
        <f t="shared" si="147"/>
        <v>2096000</v>
      </c>
      <c r="BV140" s="90">
        <f t="shared" si="148"/>
        <v>402000</v>
      </c>
      <c r="BW140" s="90">
        <f t="shared" ca="1" si="160"/>
        <v>336062.5</v>
      </c>
      <c r="BX140" s="90">
        <f t="shared" ca="1" si="161"/>
        <v>24838778.5</v>
      </c>
      <c r="BY140" s="142">
        <f t="shared" ca="1" si="138"/>
        <v>0.46741428931378409</v>
      </c>
      <c r="BZ140" s="142">
        <f t="shared" ca="1" si="138"/>
        <v>0.14770170763429449</v>
      </c>
      <c r="CA140" s="142">
        <f t="shared" ca="1" si="138"/>
        <v>0.26832986171200007</v>
      </c>
      <c r="CB140" s="142">
        <f t="shared" ca="1" si="138"/>
        <v>2.4558373512610534E-3</v>
      </c>
      <c r="CC140" s="142">
        <f t="shared" ca="1" si="138"/>
        <v>8.4384181774478165E-2</v>
      </c>
      <c r="CD140" s="142">
        <f t="shared" ca="1" si="138"/>
        <v>1.6184370741097433E-2</v>
      </c>
      <c r="CE140" s="142">
        <f t="shared" ca="1" si="138"/>
        <v>1.3529751473084717E-2</v>
      </c>
      <c r="CG140" s="128">
        <f t="shared" si="162"/>
        <v>200</v>
      </c>
      <c r="CH140" s="90">
        <f ca="1">INDEX(角色升级!$A:$A,MATCH(玩家节奏2!$BX140,角色升级!$J:$J,1))</f>
        <v>1047</v>
      </c>
      <c r="CI140" s="90">
        <f ca="1">INDEX(角色升级!$O:$O,MATCH(玩家节奏2!$BX140,角色升级!$J:$J,1))</f>
        <v>99294.156750000009</v>
      </c>
      <c r="CJ140" s="90">
        <f>INDEX(关卡对比!$J:$J,MATCH(玩家节奏2!N140,关卡对比!$A:$A,0))</f>
        <v>86200</v>
      </c>
      <c r="CK140" s="147">
        <f t="shared" ca="1" si="163"/>
        <v>0.8681276202086281</v>
      </c>
      <c r="CL140" s="128">
        <f ca="1">INDEX(角色升级!$P:$P,MATCH(玩家节奏2!$CH140,角色升级!$A:$A,0))</f>
        <v>40800</v>
      </c>
      <c r="CM140" s="90">
        <f ca="1">INDEX(角色升级!Q:Q,MATCH(玩家节奏2!$CH140,角色升级!$A:$A,0))</f>
        <v>2.2000000000000002</v>
      </c>
      <c r="CO140" s="128">
        <f t="shared" si="164"/>
        <v>78866</v>
      </c>
      <c r="CP140" s="90">
        <f t="shared" si="165"/>
        <v>280622</v>
      </c>
      <c r="CQ140" s="90">
        <f t="shared" si="166"/>
        <v>93772</v>
      </c>
      <c r="CR140" s="90">
        <f t="shared" ca="1" si="167"/>
        <v>387090</v>
      </c>
      <c r="CS140" s="90">
        <f t="shared" ca="1" si="168"/>
        <v>840350</v>
      </c>
      <c r="CT140" s="142">
        <f t="shared" ca="1" si="169"/>
        <v>9.3848991491640388E-2</v>
      </c>
      <c r="CU140" s="142">
        <f t="shared" ca="1" si="169"/>
        <v>0.3339346700779437</v>
      </c>
      <c r="CV140" s="142">
        <f t="shared" ca="1" si="169"/>
        <v>0.11158683881715951</v>
      </c>
      <c r="CW140" s="142">
        <f t="shared" ca="1" si="149"/>
        <v>0.46062949961325639</v>
      </c>
      <c r="CY140" s="128">
        <f t="shared" si="170"/>
        <v>39434</v>
      </c>
      <c r="CZ140" s="90">
        <f t="shared" si="171"/>
        <v>140147</v>
      </c>
      <c r="DA140" s="90">
        <f t="shared" si="172"/>
        <v>64872</v>
      </c>
      <c r="DB140" s="90">
        <f t="shared" ca="1" si="186"/>
        <v>195118.25</v>
      </c>
      <c r="DC140" s="90">
        <f t="shared" ca="1" si="173"/>
        <v>439571.25</v>
      </c>
      <c r="DD140" s="142">
        <f t="shared" ca="1" si="174"/>
        <v>8.9710143691153599E-2</v>
      </c>
      <c r="DE140" s="142">
        <f t="shared" ca="1" si="174"/>
        <v>0.31882658385870322</v>
      </c>
      <c r="DF140" s="142">
        <f t="shared" ca="1" si="174"/>
        <v>0.14758017045018298</v>
      </c>
      <c r="DG140" s="142">
        <f t="shared" ca="1" si="150"/>
        <v>0.44388310199996017</v>
      </c>
      <c r="DI140" s="128">
        <f t="shared" si="175"/>
        <v>19113</v>
      </c>
      <c r="DJ140" s="90">
        <f t="shared" si="176"/>
        <v>68963</v>
      </c>
      <c r="DK140" s="90">
        <f t="shared" si="177"/>
        <v>25398</v>
      </c>
      <c r="DL140" s="90">
        <f t="shared" ca="1" si="178"/>
        <v>31361.5</v>
      </c>
      <c r="DM140" s="90">
        <f t="shared" ca="1" si="179"/>
        <v>144835.5</v>
      </c>
      <c r="DN140" s="142">
        <f t="shared" ca="1" si="180"/>
        <v>0.13196350342284868</v>
      </c>
      <c r="DO140" s="142">
        <f t="shared" ca="1" si="180"/>
        <v>0.47614707720137672</v>
      </c>
      <c r="DP140" s="142">
        <f t="shared" ca="1" si="180"/>
        <v>0.17535756081899811</v>
      </c>
      <c r="DQ140" s="142">
        <f t="shared" ca="1" si="151"/>
        <v>0.21653185855677648</v>
      </c>
      <c r="DS140" s="128">
        <f t="shared" ca="1" si="181"/>
        <v>840350</v>
      </c>
      <c r="DT140" s="90">
        <f t="shared" ca="1" si="182"/>
        <v>439571.25</v>
      </c>
      <c r="DU140" s="90">
        <f t="shared" ca="1" si="183"/>
        <v>144835.5</v>
      </c>
      <c r="DV140" s="90">
        <f t="shared" si="184"/>
        <v>2096</v>
      </c>
      <c r="DW140" s="90">
        <f ca="1">_xlfn.IFNA(INDEX(武器升级消耗!$H:$H,MATCH(玩家节奏2!DS140/玩家节奏2!DS$5,武器升级消耗!M:M,1)),0)</f>
        <v>79</v>
      </c>
      <c r="DX140" s="90">
        <f ca="1">_xlfn.IFNA(INDEX(武器升级消耗!$H:$H,MATCH(玩家节奏2!DT140/玩家节奏2!DT$5,武器升级消耗!N:N,1)),0)</f>
        <v>69</v>
      </c>
      <c r="DY140" s="90">
        <f ca="1">_xlfn.IFNA(INDEX(武器升级消耗!$H:$H,MATCH(玩家节奏2!DU140/玩家节奏2!DU$5,武器升级消耗!O:O,1)),0)</f>
        <v>52</v>
      </c>
      <c r="DZ140" s="90">
        <f>_xlfn.IFNA(INDEX(武器升级消耗!$H:$H,MATCH(玩家节奏2!DV140/玩家节奏2!DV$5,武器升级消耗!P:P,1)),0)</f>
        <v>33</v>
      </c>
      <c r="EA140" s="90">
        <f ca="1">_xlfn.IFNA(INDEX(武器升级消耗!$Q:$Q,MATCH(玩家节奏2!DW140,武器升级消耗!$H:$H,0))*2*EA$4,0)</f>
        <v>9.9599999999999884</v>
      </c>
      <c r="EB140" s="90">
        <f ca="1">_xlfn.IFNA(INDEX(武器升级消耗!$Q:$Q,MATCH(玩家节奏2!DX140,武器升级消耗!$H:$H,0))*2*EB$4,0)</f>
        <v>10.95</v>
      </c>
      <c r="EC140" s="90">
        <f ca="1">_xlfn.IFNA(INDEX(武器升级消耗!$Q:$Q,MATCH(玩家节奏2!DY140,武器升级消耗!$H:$H,0))*2*EC$4,0)</f>
        <v>12.32</v>
      </c>
      <c r="ED140" s="90">
        <f>_xlfn.IFNA(INDEX(武器升级消耗!$Q:$Q,MATCH(玩家节奏2!DZ140,武器升级消耗!$H:$H,0))*2*ED$4,0)</f>
        <v>11.100000000000001</v>
      </c>
    </row>
    <row r="141" spans="1:134" x14ac:dyDescent="0.25">
      <c r="A141" s="123">
        <v>135</v>
      </c>
      <c r="B141" s="123">
        <f>INDEX(关卡对比!$Y:$Y,MATCH(关卡对比!Z141,关卡对比!$AA:$AA,1))</f>
        <v>81</v>
      </c>
      <c r="C141" s="124">
        <f>INDEX(关卡对比!$Y:$Y,MATCH(关卡对比!Z141,关卡对比!$AB:$AB,1))</f>
        <v>63</v>
      </c>
      <c r="D141" s="125">
        <f t="shared" si="131"/>
        <v>527.5</v>
      </c>
      <c r="E141" s="125">
        <v>2</v>
      </c>
      <c r="F141" s="128">
        <v>16</v>
      </c>
      <c r="G141" s="90">
        <v>16</v>
      </c>
      <c r="H141" s="90">
        <v>5</v>
      </c>
      <c r="J141" s="128">
        <v>135</v>
      </c>
      <c r="K141" s="90">
        <f t="shared" si="152"/>
        <v>16</v>
      </c>
      <c r="L141" s="90">
        <f t="shared" si="153"/>
        <v>16</v>
      </c>
      <c r="M141" s="90">
        <f t="shared" si="154"/>
        <v>5</v>
      </c>
      <c r="N141" s="140">
        <f>INDEX($A:$A,MATCH(SUM($K$7:K141),$D:$D,1))</f>
        <v>200</v>
      </c>
      <c r="O141" s="140">
        <v>0</v>
      </c>
      <c r="P141" s="141">
        <v>0</v>
      </c>
      <c r="Q141" s="126">
        <f>_xlfn.MAXIFS(关卡产出!X:X,关卡产出!$A:$A,玩家节奏2!$N$6,关卡产出!$B:$B,玩家节奏2!$N141)+_xlfn.MAXIFS(关卡产出!X:X,关卡产出!$A:$A,玩家节奏2!$O$6,关卡产出!$B:$B,玩家节奏2!$O141)+_xlfn.MAXIFS(关卡产出!X:X,关卡产出!$A:$A,玩家节奏2!$P$6,关卡产出!$B:$B,玩家节奏2!$P141)</f>
        <v>38500</v>
      </c>
      <c r="R141" s="90">
        <f>_xlfn.MAXIFS(关卡产出!Y:Y,关卡产出!$A:$A,玩家节奏2!$N$6,关卡产出!$B:$B,玩家节奏2!$N141)+_xlfn.MAXIFS(关卡产出!Y:Y,关卡产出!$A:$A,玩家节奏2!$O$6,关卡产出!$B:$B,玩家节奏2!$O141)+_xlfn.MAXIFS(关卡产出!Y:Y,关卡产出!$A:$A,玩家节奏2!$P$6,关卡产出!$B:$B,玩家节奏2!$P141)</f>
        <v>11610000</v>
      </c>
      <c r="S141" s="90">
        <f>_xlfn.MAXIFS(关卡产出!Z:Z,关卡产出!$A:$A,玩家节奏2!$N$6,关卡产出!$B:$B,玩家节奏2!$N141)+_xlfn.MAXIFS(关卡产出!Z:Z,关卡产出!$A:$A,玩家节奏2!$O$6,关卡产出!$B:$B,玩家节奏2!$O141)+_xlfn.MAXIFS(关卡产出!Z:Z,关卡产出!$A:$A,玩家节奏2!$P$6,关卡产出!$B:$B,玩家节奏2!$P141)</f>
        <v>78866</v>
      </c>
      <c r="T141" s="90">
        <f>_xlfn.MAXIFS(关卡产出!AA:AA,关卡产出!$A:$A,玩家节奏2!$N$6,关卡产出!$B:$B,玩家节奏2!$N141)+_xlfn.MAXIFS(关卡产出!AA:AA,关卡产出!$A:$A,玩家节奏2!$O$6,关卡产出!$B:$B,玩家节奏2!$O141)+_xlfn.MAXIFS(关卡产出!AA:AA,关卡产出!$A:$A,玩家节奏2!$P$6,关卡产出!$B:$B,玩家节奏2!$P141)</f>
        <v>39434</v>
      </c>
      <c r="U141" s="90">
        <f>_xlfn.MAXIFS(关卡产出!AB:AB,关卡产出!$A:$A,玩家节奏2!$N$6,关卡产出!$B:$B,玩家节奏2!$N141)+_xlfn.MAXIFS(关卡产出!AB:AB,关卡产出!$A:$A,玩家节奏2!$O$6,关卡产出!$B:$B,玩家节奏2!$O141)+_xlfn.MAXIFS(关卡产出!AB:AB,关卡产出!$A:$A,玩家节奏2!$P$6,关卡产出!$B:$B,玩家节奏2!$P141)</f>
        <v>19113</v>
      </c>
      <c r="V141" s="130">
        <f>_xlfn.MAXIFS(关卡产出!AC:AC,关卡产出!$A:$A,玩家节奏2!$N$6,关卡产出!$B:$B,玩家节奏2!$N141)+_xlfn.MAXIFS(关卡产出!AC:AC,关卡产出!$A:$A,玩家节奏2!$O$6,关卡产出!$B:$B,玩家节奏2!$O141)+_xlfn.MAXIFS(关卡产出!AC:AC,关卡产出!$A:$A,玩家节奏2!$P$6,关卡产出!$B:$B,玩家节奏2!$P141)</f>
        <v>1200</v>
      </c>
      <c r="W141" s="126">
        <f>INDEX(关卡产出!C$8:C$207,MATCH(玩家节奏2!$N141,关卡产出!$B$8:$B$207,0))*$K141</f>
        <v>2528</v>
      </c>
      <c r="X141" s="126">
        <f>INDEX(关卡产出!D$8:D$207,MATCH(玩家节奏2!$N141,关卡产出!$B$8:$B$207,0))*$K141</f>
        <v>1264</v>
      </c>
      <c r="Y141" s="126">
        <f>INDEX(关卡产出!E$8:E$207,MATCH(玩家节奏2!$N141,关卡产出!$B$8:$B$207,0))*$K141</f>
        <v>624</v>
      </c>
      <c r="Z141" s="144">
        <f>INDEX(关卡产出!F$8:F$207,MATCH(玩家节奏2!$N141,关卡产出!$B$8:$B$207,0))*$K141</f>
        <v>32800</v>
      </c>
      <c r="AA141" s="126">
        <f>SUM(W$7:W141)</f>
        <v>283150</v>
      </c>
      <c r="AB141" s="126">
        <f>SUM(X$7:X141)</f>
        <v>141411</v>
      </c>
      <c r="AC141" s="126">
        <f>SUM(Y$7:Y141)</f>
        <v>69587</v>
      </c>
      <c r="AD141" s="177">
        <f>SUM(Z$7:Z141)</f>
        <v>3701530</v>
      </c>
      <c r="AE141" s="128">
        <f>INDEX(图鉴!AQ:AQ,MATCH($N141,图鉴!$S:$S,0))*34</f>
        <v>714</v>
      </c>
      <c r="AF141" s="90">
        <f>INDEX(图鉴!AR:AR,MATCH($N141,图鉴!$S:$S,0))*34</f>
        <v>510</v>
      </c>
      <c r="AG141" s="90">
        <f>INDEX(图鉴!AS:AS,MATCH($N141,图鉴!$S:$S,0))*34</f>
        <v>204</v>
      </c>
      <c r="AH141" s="129">
        <f ca="1">INDEX(图鉴!AT:AT,MATCH($N141,图鉴!$S:$S,0))*34</f>
        <v>55930</v>
      </c>
      <c r="AI141" s="128">
        <f>SUM($AE$7:AE141)</f>
        <v>94486</v>
      </c>
      <c r="AJ141" s="90">
        <f>SUM(AF$7:AF141)</f>
        <v>65382</v>
      </c>
      <c r="AK141" s="90">
        <f>SUM(AG$7:AG141)</f>
        <v>25602</v>
      </c>
      <c r="AL141" s="130">
        <f ca="1">SUM(AH$7:AH141)</f>
        <v>6720916</v>
      </c>
      <c r="AM141" s="133">
        <f>IF(M141=0,0,INDEX(关卡产出!$AU$11:$AU$15,MATCH(玩家节奏2!N141,关卡产出!$AW$11:$AW$15,1))*M141)</f>
        <v>61000</v>
      </c>
      <c r="AN141" s="126">
        <f>IF(L141=0,0,$L141*关卡产出!AU$21)</f>
        <v>16000</v>
      </c>
      <c r="AO141" s="90">
        <f>IF(M141=0,0,$L141*关卡产出!AV$21)</f>
        <v>800</v>
      </c>
      <c r="AP141" s="129">
        <f>IF(N141=0,0,$L141*关卡产出!AW$21)</f>
        <v>16</v>
      </c>
      <c r="AQ141" s="138">
        <f>SUM(AN$7:AN141)</f>
        <v>2112000</v>
      </c>
      <c r="AR141" s="126">
        <f>SUM(AO$7:AO141)</f>
        <v>105600</v>
      </c>
      <c r="AS141" s="129">
        <f>SUM(AP$7:AP141)</f>
        <v>2112</v>
      </c>
      <c r="AT141" s="128">
        <v>3000</v>
      </c>
      <c r="AU141" s="129">
        <v>600</v>
      </c>
      <c r="AV141" s="128">
        <f>SUM(AT$7:AT141)</f>
        <v>405000</v>
      </c>
      <c r="AW141" s="90">
        <f>SUM(AU$7:AU141)</f>
        <v>81000</v>
      </c>
      <c r="AY141" s="128">
        <f t="shared" si="155"/>
        <v>38500</v>
      </c>
      <c r="AZ141" s="90">
        <f t="shared" si="156"/>
        <v>105600</v>
      </c>
      <c r="BA141" s="90">
        <f t="shared" si="157"/>
        <v>81000</v>
      </c>
      <c r="BB141" s="90">
        <f t="shared" ca="1" si="185"/>
        <v>40800</v>
      </c>
      <c r="BC141" s="90">
        <f t="shared" ca="1" si="187"/>
        <v>135125</v>
      </c>
      <c r="BD141" s="90">
        <f t="shared" ca="1" si="188"/>
        <v>130775</v>
      </c>
      <c r="BE141" s="90">
        <f t="shared" ca="1" si="158"/>
        <v>265900</v>
      </c>
      <c r="BF141" s="142">
        <f t="shared" ca="1" si="139"/>
        <v>0.28492136910268268</v>
      </c>
      <c r="BG141" s="142">
        <f t="shared" ca="1" si="140"/>
        <v>0.78149861239592966</v>
      </c>
      <c r="BH141" s="142">
        <f t="shared" ca="1" si="141"/>
        <v>0.59944495837187795</v>
      </c>
      <c r="BI141" s="142">
        <f t="shared" ca="1" si="159"/>
        <v>0.30194264569842738</v>
      </c>
      <c r="BJ141" s="143"/>
      <c r="BK141" s="128">
        <f ca="1">INDEX(商城宝箱!$L:$L,MATCH(BC141,商城宝箱!$N:$N,1))</f>
        <v>13</v>
      </c>
      <c r="BL141" s="90">
        <f ca="1">_xlfn.IFNA(INDEX(商城宝箱!T:T,MATCH(玩家节奏2!$BK141,商城宝箱!$L:$L,0)),0)+($BC141-INDEX(商城宝箱!$N:$N,MATCH(玩家节奏2!$BK141,商城宝箱!$L:$L,0)))/$BK$5*INDEX(商城宝箱!E$23:E$42,MATCH(玩家节奏2!$BK141+1,商城宝箱!$C$23:$C$42,0))</f>
        <v>337812.5</v>
      </c>
      <c r="BM141" s="90">
        <f ca="1">_xlfn.IFNA(INDEX(商城宝箱!U:U,MATCH(玩家节奏2!$BK141,商城宝箱!$L:$L,0)),0)+($BC141-INDEX(商城宝箱!$N:$N,MATCH(玩家节奏2!$BK141,商城宝箱!$L:$L,0)))/$BK$5*INDEX(商城宝箱!F$23:F$42,MATCH(玩家节奏2!$BK141+1,商城宝箱!$C$23:$C$42,0))</f>
        <v>390380</v>
      </c>
      <c r="BN141" s="90">
        <f ca="1">_xlfn.IFNA(INDEX(商城宝箱!V:V,MATCH(玩家节奏2!$BK141,商城宝箱!$L:$L,0)),0)+($BC141-INDEX(商城宝箱!$N:$N,MATCH(玩家节奏2!$BK141,商城宝箱!$L:$L,0)))/$BK$5*INDEX(商城宝箱!G$23:G$42,MATCH(玩家节奏2!$BK141+1,商城宝箱!$C$23:$C$42,0))</f>
        <v>196693.25</v>
      </c>
      <c r="BO141" s="90">
        <f ca="1">_xlfn.IFNA(INDEX(商城宝箱!W:W,MATCH(玩家节奏2!$BK141,商城宝箱!$L:$L,0)),0)+($BC141-INDEX(商城宝箱!$N:$N,MATCH(玩家节奏2!$BK141,商城宝箱!$L:$L,0)))/$BK$5*INDEX(商城宝箱!H$23:H$42,MATCH(玩家节奏2!$BK141+1,商城宝箱!$C$23:$C$42,0))</f>
        <v>31641.5</v>
      </c>
      <c r="BQ141" s="128">
        <f t="shared" si="143"/>
        <v>11610000</v>
      </c>
      <c r="BR141" s="90">
        <f t="shared" si="144"/>
        <v>3701530</v>
      </c>
      <c r="BS141" s="90">
        <f t="shared" ca="1" si="145"/>
        <v>6720916</v>
      </c>
      <c r="BT141" s="90">
        <f t="shared" si="146"/>
        <v>61000</v>
      </c>
      <c r="BU141" s="90">
        <f t="shared" si="147"/>
        <v>2112000</v>
      </c>
      <c r="BV141" s="90">
        <f t="shared" si="148"/>
        <v>405000</v>
      </c>
      <c r="BW141" s="90">
        <f t="shared" ca="1" si="160"/>
        <v>337812.5</v>
      </c>
      <c r="BX141" s="90">
        <f t="shared" ca="1" si="161"/>
        <v>24948258.5</v>
      </c>
      <c r="BY141" s="142">
        <f t="shared" ca="1" si="138"/>
        <v>0.46536314348354213</v>
      </c>
      <c r="BZ141" s="142">
        <f t="shared" ca="1" si="138"/>
        <v>0.14836827187757415</v>
      </c>
      <c r="CA141" s="142">
        <f t="shared" ca="1" si="138"/>
        <v>0.26939419438835782</v>
      </c>
      <c r="CB141" s="142">
        <f t="shared" ca="1" si="138"/>
        <v>2.4450604437981113E-3</v>
      </c>
      <c r="CC141" s="142">
        <f t="shared" ca="1" si="138"/>
        <v>8.4655207496747722E-2</v>
      </c>
      <c r="CD141" s="142">
        <f t="shared" ca="1" si="138"/>
        <v>1.6233598028495656E-2</v>
      </c>
      <c r="CE141" s="142">
        <f t="shared" ca="1" si="138"/>
        <v>1.3540524281484417E-2</v>
      </c>
      <c r="CG141" s="128">
        <f t="shared" si="162"/>
        <v>200</v>
      </c>
      <c r="CH141" s="90">
        <f ca="1">INDEX(角色升级!$A:$A,MATCH(玩家节奏2!$BX141,角色升级!$J:$J,1))</f>
        <v>1047</v>
      </c>
      <c r="CI141" s="90">
        <f ca="1">INDEX(角色升级!$O:$O,MATCH(玩家节奏2!$BX141,角色升级!$J:$J,1))</f>
        <v>99294.156750000009</v>
      </c>
      <c r="CJ141" s="90">
        <f>INDEX(关卡对比!$J:$J,MATCH(玩家节奏2!N141,关卡对比!$A:$A,0))</f>
        <v>86200</v>
      </c>
      <c r="CK141" s="147">
        <f t="shared" ca="1" si="163"/>
        <v>0.8681276202086281</v>
      </c>
      <c r="CL141" s="128">
        <f ca="1">INDEX(角色升级!$P:$P,MATCH(玩家节奏2!$CH141,角色升级!$A:$A,0))</f>
        <v>40800</v>
      </c>
      <c r="CM141" s="90">
        <f ca="1">INDEX(角色升级!Q:Q,MATCH(玩家节奏2!$CH141,角色升级!$A:$A,0))</f>
        <v>2.2000000000000002</v>
      </c>
      <c r="CO141" s="128">
        <f t="shared" si="164"/>
        <v>78866</v>
      </c>
      <c r="CP141" s="90">
        <f t="shared" si="165"/>
        <v>283150</v>
      </c>
      <c r="CQ141" s="90">
        <f t="shared" si="166"/>
        <v>94486</v>
      </c>
      <c r="CR141" s="90">
        <f t="shared" ca="1" si="167"/>
        <v>390380</v>
      </c>
      <c r="CS141" s="90">
        <f t="shared" ca="1" si="168"/>
        <v>846882</v>
      </c>
      <c r="CT141" s="142">
        <f t="shared" ca="1" si="169"/>
        <v>9.3125134316232955E-2</v>
      </c>
      <c r="CU141" s="142">
        <f t="shared" ca="1" si="169"/>
        <v>0.33434409988640684</v>
      </c>
      <c r="CV141" s="142">
        <f t="shared" ca="1" si="169"/>
        <v>0.11156926230572854</v>
      </c>
      <c r="CW141" s="142">
        <f t="shared" ca="1" si="149"/>
        <v>0.46096150349163167</v>
      </c>
      <c r="CY141" s="128">
        <f t="shared" si="170"/>
        <v>39434</v>
      </c>
      <c r="CZ141" s="90">
        <f t="shared" si="171"/>
        <v>141411</v>
      </c>
      <c r="DA141" s="90">
        <f t="shared" si="172"/>
        <v>65382</v>
      </c>
      <c r="DB141" s="90">
        <f t="shared" ca="1" si="186"/>
        <v>196693.25</v>
      </c>
      <c r="DC141" s="90">
        <f t="shared" ca="1" si="173"/>
        <v>442920.25</v>
      </c>
      <c r="DD141" s="142">
        <f t="shared" ca="1" si="174"/>
        <v>8.9031829093386444E-2</v>
      </c>
      <c r="DE141" s="142">
        <f t="shared" ca="1" si="174"/>
        <v>0.31926966536300833</v>
      </c>
      <c r="DF141" s="142">
        <f t="shared" ca="1" si="174"/>
        <v>0.14761573895074789</v>
      </c>
      <c r="DG141" s="142">
        <f t="shared" ca="1" si="150"/>
        <v>0.44408276659285728</v>
      </c>
      <c r="DI141" s="128">
        <f t="shared" si="175"/>
        <v>19113</v>
      </c>
      <c r="DJ141" s="90">
        <f t="shared" si="176"/>
        <v>69587</v>
      </c>
      <c r="DK141" s="90">
        <f t="shared" si="177"/>
        <v>25602</v>
      </c>
      <c r="DL141" s="90">
        <f t="shared" ca="1" si="178"/>
        <v>31641.5</v>
      </c>
      <c r="DM141" s="90">
        <f t="shared" ca="1" si="179"/>
        <v>145943.5</v>
      </c>
      <c r="DN141" s="142">
        <f t="shared" ca="1" si="180"/>
        <v>0.1309616392645099</v>
      </c>
      <c r="DO141" s="142">
        <f t="shared" ca="1" si="180"/>
        <v>0.4768078057604484</v>
      </c>
      <c r="DP141" s="142">
        <f t="shared" ca="1" si="180"/>
        <v>0.17542405108826362</v>
      </c>
      <c r="DQ141" s="142">
        <f t="shared" ca="1" si="151"/>
        <v>0.21680650388677811</v>
      </c>
      <c r="DS141" s="128">
        <f t="shared" ca="1" si="181"/>
        <v>846882</v>
      </c>
      <c r="DT141" s="90">
        <f t="shared" ca="1" si="182"/>
        <v>442920.25</v>
      </c>
      <c r="DU141" s="90">
        <f t="shared" ca="1" si="183"/>
        <v>145943.5</v>
      </c>
      <c r="DV141" s="90">
        <f t="shared" si="184"/>
        <v>2112</v>
      </c>
      <c r="DW141" s="90">
        <f ca="1">_xlfn.IFNA(INDEX(武器升级消耗!$H:$H,MATCH(玩家节奏2!DS141/玩家节奏2!DS$5,武器升级消耗!M:M,1)),0)</f>
        <v>79</v>
      </c>
      <c r="DX141" s="90">
        <f ca="1">_xlfn.IFNA(INDEX(武器升级消耗!$H:$H,MATCH(玩家节奏2!DT141/玩家节奏2!DT$5,武器升级消耗!N:N,1)),0)</f>
        <v>70</v>
      </c>
      <c r="DY141" s="90">
        <f ca="1">_xlfn.IFNA(INDEX(武器升级消耗!$H:$H,MATCH(玩家节奏2!DU141/玩家节奏2!DU$5,武器升级消耗!O:O,1)),0)</f>
        <v>52</v>
      </c>
      <c r="DZ141" s="90">
        <f>_xlfn.IFNA(INDEX(武器升级消耗!$H:$H,MATCH(玩家节奏2!DV141/玩家节奏2!DV$5,武器升级消耗!P:P,1)),0)</f>
        <v>33</v>
      </c>
      <c r="EA141" s="90">
        <f ca="1">_xlfn.IFNA(INDEX(武器升级消耗!$Q:$Q,MATCH(玩家节奏2!DW141,武器升级消耗!$H:$H,0))*2*EA$4,0)</f>
        <v>9.9599999999999884</v>
      </c>
      <c r="EB141" s="90">
        <f ca="1">_xlfn.IFNA(INDEX(武器升级消耗!$Q:$Q,MATCH(玩家节奏2!DX141,武器升级消耗!$H:$H,0))*2*EB$4,0)</f>
        <v>11.100000000000001</v>
      </c>
      <c r="EC141" s="90">
        <f ca="1">_xlfn.IFNA(INDEX(武器升级消耗!$Q:$Q,MATCH(玩家节奏2!DY141,武器升级消耗!$H:$H,0))*2*EC$4,0)</f>
        <v>12.32</v>
      </c>
      <c r="ED141" s="90">
        <f>_xlfn.IFNA(INDEX(武器升级消耗!$Q:$Q,MATCH(玩家节奏2!DZ141,武器升级消耗!$H:$H,0))*2*ED$4,0)</f>
        <v>11.100000000000001</v>
      </c>
    </row>
    <row r="142" spans="1:134" x14ac:dyDescent="0.25">
      <c r="A142" s="123">
        <v>136</v>
      </c>
      <c r="B142" s="123">
        <f>INDEX(关卡对比!$Y:$Y,MATCH(关卡对比!Z142,关卡对比!$AA:$AA,1))</f>
        <v>81</v>
      </c>
      <c r="C142" s="124">
        <f>INDEX(关卡对比!$Y:$Y,MATCH(关卡对比!Z142,关卡对比!$AB:$AB,1))</f>
        <v>63</v>
      </c>
      <c r="D142" s="125">
        <f t="shared" si="131"/>
        <v>529.5</v>
      </c>
      <c r="E142" s="125">
        <v>2</v>
      </c>
      <c r="F142" s="128">
        <v>16</v>
      </c>
      <c r="G142" s="90">
        <v>16</v>
      </c>
      <c r="H142" s="90">
        <v>5</v>
      </c>
      <c r="J142" s="128">
        <v>136</v>
      </c>
      <c r="K142" s="90">
        <f t="shared" si="152"/>
        <v>16</v>
      </c>
      <c r="L142" s="90">
        <f t="shared" si="153"/>
        <v>16</v>
      </c>
      <c r="M142" s="90">
        <f t="shared" si="154"/>
        <v>5</v>
      </c>
      <c r="N142" s="140">
        <f>INDEX($A:$A,MATCH(SUM($K$7:K142),$D:$D,1))</f>
        <v>200</v>
      </c>
      <c r="O142" s="140">
        <v>0</v>
      </c>
      <c r="P142" s="141">
        <v>0</v>
      </c>
      <c r="Q142" s="126">
        <f>_xlfn.MAXIFS(关卡产出!X:X,关卡产出!$A:$A,玩家节奏2!$N$6,关卡产出!$B:$B,玩家节奏2!$N142)+_xlfn.MAXIFS(关卡产出!X:X,关卡产出!$A:$A,玩家节奏2!$O$6,关卡产出!$B:$B,玩家节奏2!$O142)+_xlfn.MAXIFS(关卡产出!X:X,关卡产出!$A:$A,玩家节奏2!$P$6,关卡产出!$B:$B,玩家节奏2!$P142)</f>
        <v>38500</v>
      </c>
      <c r="R142" s="90">
        <f>_xlfn.MAXIFS(关卡产出!Y:Y,关卡产出!$A:$A,玩家节奏2!$N$6,关卡产出!$B:$B,玩家节奏2!$N142)+_xlfn.MAXIFS(关卡产出!Y:Y,关卡产出!$A:$A,玩家节奏2!$O$6,关卡产出!$B:$B,玩家节奏2!$O142)+_xlfn.MAXIFS(关卡产出!Y:Y,关卡产出!$A:$A,玩家节奏2!$P$6,关卡产出!$B:$B,玩家节奏2!$P142)</f>
        <v>11610000</v>
      </c>
      <c r="S142" s="90">
        <f>_xlfn.MAXIFS(关卡产出!Z:Z,关卡产出!$A:$A,玩家节奏2!$N$6,关卡产出!$B:$B,玩家节奏2!$N142)+_xlfn.MAXIFS(关卡产出!Z:Z,关卡产出!$A:$A,玩家节奏2!$O$6,关卡产出!$B:$B,玩家节奏2!$O142)+_xlfn.MAXIFS(关卡产出!Z:Z,关卡产出!$A:$A,玩家节奏2!$P$6,关卡产出!$B:$B,玩家节奏2!$P142)</f>
        <v>78866</v>
      </c>
      <c r="T142" s="90">
        <f>_xlfn.MAXIFS(关卡产出!AA:AA,关卡产出!$A:$A,玩家节奏2!$N$6,关卡产出!$B:$B,玩家节奏2!$N142)+_xlfn.MAXIFS(关卡产出!AA:AA,关卡产出!$A:$A,玩家节奏2!$O$6,关卡产出!$B:$B,玩家节奏2!$O142)+_xlfn.MAXIFS(关卡产出!AA:AA,关卡产出!$A:$A,玩家节奏2!$P$6,关卡产出!$B:$B,玩家节奏2!$P142)</f>
        <v>39434</v>
      </c>
      <c r="U142" s="90">
        <f>_xlfn.MAXIFS(关卡产出!AB:AB,关卡产出!$A:$A,玩家节奏2!$N$6,关卡产出!$B:$B,玩家节奏2!$N142)+_xlfn.MAXIFS(关卡产出!AB:AB,关卡产出!$A:$A,玩家节奏2!$O$6,关卡产出!$B:$B,玩家节奏2!$O142)+_xlfn.MAXIFS(关卡产出!AB:AB,关卡产出!$A:$A,玩家节奏2!$P$6,关卡产出!$B:$B,玩家节奏2!$P142)</f>
        <v>19113</v>
      </c>
      <c r="V142" s="130">
        <f>_xlfn.MAXIFS(关卡产出!AC:AC,关卡产出!$A:$A,玩家节奏2!$N$6,关卡产出!$B:$B,玩家节奏2!$N142)+_xlfn.MAXIFS(关卡产出!AC:AC,关卡产出!$A:$A,玩家节奏2!$O$6,关卡产出!$B:$B,玩家节奏2!$O142)+_xlfn.MAXIFS(关卡产出!AC:AC,关卡产出!$A:$A,玩家节奏2!$P$6,关卡产出!$B:$B,玩家节奏2!$P142)</f>
        <v>1200</v>
      </c>
      <c r="W142" s="126">
        <f>INDEX(关卡产出!C$8:C$207,MATCH(玩家节奏2!$N142,关卡产出!$B$8:$B$207,0))*$K142</f>
        <v>2528</v>
      </c>
      <c r="X142" s="126">
        <f>INDEX(关卡产出!D$8:D$207,MATCH(玩家节奏2!$N142,关卡产出!$B$8:$B$207,0))*$K142</f>
        <v>1264</v>
      </c>
      <c r="Y142" s="126">
        <f>INDEX(关卡产出!E$8:E$207,MATCH(玩家节奏2!$N142,关卡产出!$B$8:$B$207,0))*$K142</f>
        <v>624</v>
      </c>
      <c r="Z142" s="144">
        <f>INDEX(关卡产出!F$8:F$207,MATCH(玩家节奏2!$N142,关卡产出!$B$8:$B$207,0))*$K142</f>
        <v>32800</v>
      </c>
      <c r="AA142" s="126">
        <f>SUM(W$7:W142)</f>
        <v>285678</v>
      </c>
      <c r="AB142" s="126">
        <f>SUM(X$7:X142)</f>
        <v>142675</v>
      </c>
      <c r="AC142" s="126">
        <f>SUM(Y$7:Y142)</f>
        <v>70211</v>
      </c>
      <c r="AD142" s="177">
        <f>SUM(Z$7:Z142)</f>
        <v>3734330</v>
      </c>
      <c r="AE142" s="128">
        <f>INDEX(图鉴!AQ:AQ,MATCH($N142,图鉴!$S:$S,0))*34</f>
        <v>714</v>
      </c>
      <c r="AF142" s="90">
        <f>INDEX(图鉴!AR:AR,MATCH($N142,图鉴!$S:$S,0))*34</f>
        <v>510</v>
      </c>
      <c r="AG142" s="90">
        <f>INDEX(图鉴!AS:AS,MATCH($N142,图鉴!$S:$S,0))*34</f>
        <v>204</v>
      </c>
      <c r="AH142" s="129">
        <f ca="1">INDEX(图鉴!AT:AT,MATCH($N142,图鉴!$S:$S,0))*34</f>
        <v>55930</v>
      </c>
      <c r="AI142" s="128">
        <f>SUM($AE$7:AE142)</f>
        <v>95200</v>
      </c>
      <c r="AJ142" s="90">
        <f>SUM(AF$7:AF142)</f>
        <v>65892</v>
      </c>
      <c r="AK142" s="90">
        <f>SUM(AG$7:AG142)</f>
        <v>25806</v>
      </c>
      <c r="AL142" s="130">
        <f ca="1">SUM(AH$7:AH142)</f>
        <v>6776846</v>
      </c>
      <c r="AM142" s="133">
        <f>IF(M142=0,0,INDEX(关卡产出!$AU$11:$AU$15,MATCH(玩家节奏2!N142,关卡产出!$AW$11:$AW$15,1))*M142)</f>
        <v>61000</v>
      </c>
      <c r="AN142" s="126">
        <f>IF(L142=0,0,$L142*关卡产出!AU$21)</f>
        <v>16000</v>
      </c>
      <c r="AO142" s="90">
        <f>IF(M142=0,0,$L142*关卡产出!AV$21)</f>
        <v>800</v>
      </c>
      <c r="AP142" s="129">
        <f>IF(N142=0,0,$L142*关卡产出!AW$21)</f>
        <v>16</v>
      </c>
      <c r="AQ142" s="138">
        <f>SUM(AN$7:AN142)</f>
        <v>2128000</v>
      </c>
      <c r="AR142" s="126">
        <f>SUM(AO$7:AO142)</f>
        <v>106400</v>
      </c>
      <c r="AS142" s="129">
        <f>SUM(AP$7:AP142)</f>
        <v>2128</v>
      </c>
      <c r="AT142" s="128">
        <v>3000</v>
      </c>
      <c r="AU142" s="129">
        <v>600</v>
      </c>
      <c r="AV142" s="128">
        <f>SUM(AT$7:AT142)</f>
        <v>408000</v>
      </c>
      <c r="AW142" s="90">
        <f>SUM(AU$7:AU142)</f>
        <v>81600</v>
      </c>
      <c r="AY142" s="128">
        <f t="shared" si="155"/>
        <v>38500</v>
      </c>
      <c r="AZ142" s="90">
        <f t="shared" si="156"/>
        <v>106400</v>
      </c>
      <c r="BA142" s="90">
        <f t="shared" si="157"/>
        <v>81600</v>
      </c>
      <c r="BB142" s="90">
        <f t="shared" ca="1" si="185"/>
        <v>40800</v>
      </c>
      <c r="BC142" s="90">
        <f t="shared" ca="1" si="187"/>
        <v>135825</v>
      </c>
      <c r="BD142" s="90">
        <f t="shared" ca="1" si="188"/>
        <v>131475</v>
      </c>
      <c r="BE142" s="90">
        <f t="shared" ca="1" si="158"/>
        <v>267300</v>
      </c>
      <c r="BF142" s="142">
        <f t="shared" ca="1" si="139"/>
        <v>0.28345297257500462</v>
      </c>
      <c r="BG142" s="142">
        <f t="shared" ca="1" si="140"/>
        <v>0.78336094238910359</v>
      </c>
      <c r="BH142" s="142">
        <f t="shared" ca="1" si="141"/>
        <v>0.60077305356156818</v>
      </c>
      <c r="BI142" s="142">
        <f t="shared" ca="1" si="159"/>
        <v>0.30038652678078409</v>
      </c>
      <c r="BJ142" s="143"/>
      <c r="BK142" s="128">
        <f ca="1">INDEX(商城宝箱!$L:$L,MATCH(BC142,商城宝箱!$N:$N,1))</f>
        <v>13</v>
      </c>
      <c r="BL142" s="90">
        <f ca="1">_xlfn.IFNA(INDEX(商城宝箱!T:T,MATCH(玩家节奏2!$BK142,商城宝箱!$L:$L,0)),0)+($BC142-INDEX(商城宝箱!$N:$N,MATCH(玩家节奏2!$BK142,商城宝箱!$L:$L,0)))/$BK$5*INDEX(商城宝箱!E$23:E$42,MATCH(玩家节奏2!$BK142+1,商城宝箱!$C$23:$C$42,0))</f>
        <v>339562.5</v>
      </c>
      <c r="BM142" s="90">
        <f ca="1">_xlfn.IFNA(INDEX(商城宝箱!U:U,MATCH(玩家节奏2!$BK142,商城宝箱!$L:$L,0)),0)+($BC142-INDEX(商城宝箱!$N:$N,MATCH(玩家节奏2!$BK142,商城宝箱!$L:$L,0)))/$BK$5*INDEX(商城宝箱!F$23:F$42,MATCH(玩家节奏2!$BK142+1,商城宝箱!$C$23:$C$42,0))</f>
        <v>393670</v>
      </c>
      <c r="BN142" s="90">
        <f ca="1">_xlfn.IFNA(INDEX(商城宝箱!V:V,MATCH(玩家节奏2!$BK142,商城宝箱!$L:$L,0)),0)+($BC142-INDEX(商城宝箱!$N:$N,MATCH(玩家节奏2!$BK142,商城宝箱!$L:$L,0)))/$BK$5*INDEX(商城宝箱!G$23:G$42,MATCH(玩家节奏2!$BK142+1,商城宝箱!$C$23:$C$42,0))</f>
        <v>198268.25</v>
      </c>
      <c r="BO142" s="90">
        <f ca="1">_xlfn.IFNA(INDEX(商城宝箱!W:W,MATCH(玩家节奏2!$BK142,商城宝箱!$L:$L,0)),0)+($BC142-INDEX(商城宝箱!$N:$N,MATCH(玩家节奏2!$BK142,商城宝箱!$L:$L,0)))/$BK$5*INDEX(商城宝箱!H$23:H$42,MATCH(玩家节奏2!$BK142+1,商城宝箱!$C$23:$C$42,0))</f>
        <v>31921.5</v>
      </c>
      <c r="BQ142" s="128">
        <f t="shared" si="143"/>
        <v>11610000</v>
      </c>
      <c r="BR142" s="90">
        <f t="shared" si="144"/>
        <v>3734330</v>
      </c>
      <c r="BS142" s="90">
        <f t="shared" ca="1" si="145"/>
        <v>6776846</v>
      </c>
      <c r="BT142" s="90">
        <f t="shared" si="146"/>
        <v>61000</v>
      </c>
      <c r="BU142" s="90">
        <f t="shared" si="147"/>
        <v>2128000</v>
      </c>
      <c r="BV142" s="90">
        <f t="shared" si="148"/>
        <v>408000</v>
      </c>
      <c r="BW142" s="90">
        <f t="shared" ca="1" si="160"/>
        <v>339562.5</v>
      </c>
      <c r="BX142" s="90">
        <f t="shared" ca="1" si="161"/>
        <v>25057738.5</v>
      </c>
      <c r="BY142" s="142">
        <f t="shared" ca="1" si="138"/>
        <v>0.46332992101422082</v>
      </c>
      <c r="BZ142" s="142">
        <f t="shared" ca="1" si="138"/>
        <v>0.14902901153669554</v>
      </c>
      <c r="CA142" s="142">
        <f t="shared" ca="1" si="138"/>
        <v>0.27044922669298349</v>
      </c>
      <c r="CB142" s="142">
        <f t="shared" ca="1" si="138"/>
        <v>2.4343777073098597E-3</v>
      </c>
      <c r="CC142" s="142">
        <f t="shared" ca="1" si="138"/>
        <v>8.4923864936973459E-2</v>
      </c>
      <c r="CD142" s="142">
        <f t="shared" ca="1" si="138"/>
        <v>1.6282395157088896E-2</v>
      </c>
      <c r="CE142" s="142">
        <f t="shared" ca="1" si="138"/>
        <v>1.3551202954727937E-2</v>
      </c>
      <c r="CG142" s="128">
        <f t="shared" si="162"/>
        <v>200</v>
      </c>
      <c r="CH142" s="90">
        <f ca="1">INDEX(角色升级!$A:$A,MATCH(玩家节奏2!$BX142,角色升级!$J:$J,1))</f>
        <v>1047</v>
      </c>
      <c r="CI142" s="90">
        <f ca="1">INDEX(角色升级!$O:$O,MATCH(玩家节奏2!$BX142,角色升级!$J:$J,1))</f>
        <v>99294.156750000009</v>
      </c>
      <c r="CJ142" s="90">
        <f>INDEX(关卡对比!$J:$J,MATCH(玩家节奏2!N142,关卡对比!$A:$A,0))</f>
        <v>86200</v>
      </c>
      <c r="CK142" s="147">
        <f t="shared" ca="1" si="163"/>
        <v>0.8681276202086281</v>
      </c>
      <c r="CL142" s="128">
        <f ca="1">INDEX(角色升级!$P:$P,MATCH(玩家节奏2!$CH142,角色升级!$A:$A,0))</f>
        <v>40800</v>
      </c>
      <c r="CM142" s="90">
        <f ca="1">INDEX(角色升级!Q:Q,MATCH(玩家节奏2!$CH142,角色升级!$A:$A,0))</f>
        <v>2.2000000000000002</v>
      </c>
      <c r="CO142" s="128">
        <f t="shared" si="164"/>
        <v>78866</v>
      </c>
      <c r="CP142" s="90">
        <f t="shared" si="165"/>
        <v>285678</v>
      </c>
      <c r="CQ142" s="90">
        <f t="shared" si="166"/>
        <v>95200</v>
      </c>
      <c r="CR142" s="90">
        <f t="shared" ca="1" si="167"/>
        <v>393670</v>
      </c>
      <c r="CS142" s="90">
        <f t="shared" ca="1" si="168"/>
        <v>853414</v>
      </c>
      <c r="CT142" s="142">
        <f t="shared" ca="1" si="169"/>
        <v>9.2412357894292807E-2</v>
      </c>
      <c r="CU142" s="142">
        <f t="shared" ca="1" si="169"/>
        <v>0.33474726217287271</v>
      </c>
      <c r="CV142" s="142">
        <f t="shared" ca="1" si="169"/>
        <v>0.11155195485426768</v>
      </c>
      <c r="CW142" s="142">
        <f t="shared" ca="1" si="149"/>
        <v>0.46128842507856677</v>
      </c>
      <c r="CY142" s="128">
        <f t="shared" si="170"/>
        <v>39434</v>
      </c>
      <c r="CZ142" s="90">
        <f t="shared" si="171"/>
        <v>142675</v>
      </c>
      <c r="DA142" s="90">
        <f t="shared" si="172"/>
        <v>65892</v>
      </c>
      <c r="DB142" s="90">
        <f t="shared" ca="1" si="186"/>
        <v>198268.25</v>
      </c>
      <c r="DC142" s="90">
        <f t="shared" ca="1" si="173"/>
        <v>446269.25</v>
      </c>
      <c r="DD142" s="142">
        <f t="shared" ca="1" si="174"/>
        <v>8.8363695235555664E-2</v>
      </c>
      <c r="DE142" s="142">
        <f t="shared" ca="1" si="174"/>
        <v>0.31970609671179451</v>
      </c>
      <c r="DF142" s="142">
        <f t="shared" ca="1" si="174"/>
        <v>0.14765077360808526</v>
      </c>
      <c r="DG142" s="142">
        <f t="shared" ca="1" si="150"/>
        <v>0.44427943444456458</v>
      </c>
      <c r="DI142" s="128">
        <f t="shared" si="175"/>
        <v>19113</v>
      </c>
      <c r="DJ142" s="90">
        <f t="shared" si="176"/>
        <v>70211</v>
      </c>
      <c r="DK142" s="90">
        <f t="shared" si="177"/>
        <v>25806</v>
      </c>
      <c r="DL142" s="90">
        <f t="shared" ca="1" si="178"/>
        <v>31921.5</v>
      </c>
      <c r="DM142" s="90">
        <f t="shared" ca="1" si="179"/>
        <v>147051.5</v>
      </c>
      <c r="DN142" s="142">
        <f t="shared" ca="1" si="180"/>
        <v>0.12997487274866287</v>
      </c>
      <c r="DO142" s="142">
        <f t="shared" ca="1" si="180"/>
        <v>0.47745857743715636</v>
      </c>
      <c r="DP142" s="142">
        <f t="shared" ca="1" si="180"/>
        <v>0.17548953937906109</v>
      </c>
      <c r="DQ142" s="142">
        <f t="shared" ca="1" si="151"/>
        <v>0.21707701043511968</v>
      </c>
      <c r="DS142" s="128">
        <f t="shared" ca="1" si="181"/>
        <v>853414</v>
      </c>
      <c r="DT142" s="90">
        <f t="shared" ca="1" si="182"/>
        <v>446269.25</v>
      </c>
      <c r="DU142" s="90">
        <f t="shared" ca="1" si="183"/>
        <v>147051.5</v>
      </c>
      <c r="DV142" s="90">
        <f t="shared" si="184"/>
        <v>2128</v>
      </c>
      <c r="DW142" s="90">
        <f ca="1">_xlfn.IFNA(INDEX(武器升级消耗!$H:$H,MATCH(玩家节奏2!DS142/玩家节奏2!DS$5,武器升级消耗!M:M,1)),0)</f>
        <v>80</v>
      </c>
      <c r="DX142" s="90">
        <f ca="1">_xlfn.IFNA(INDEX(武器升级消耗!$H:$H,MATCH(玩家节奏2!DT142/玩家节奏2!DT$5,武器升级消耗!N:N,1)),0)</f>
        <v>70</v>
      </c>
      <c r="DY142" s="90">
        <f ca="1">_xlfn.IFNA(INDEX(武器升级消耗!$H:$H,MATCH(玩家节奏2!DU142/玩家节奏2!DU$5,武器升级消耗!O:O,1)),0)</f>
        <v>53</v>
      </c>
      <c r="DZ142" s="90">
        <f>_xlfn.IFNA(INDEX(武器升级消耗!$H:$H,MATCH(玩家节奏2!DV142/玩家节奏2!DV$5,武器升级消耗!P:P,1)),0)</f>
        <v>33</v>
      </c>
      <c r="EA142" s="90">
        <f ca="1">_xlfn.IFNA(INDEX(武器升级消耗!$Q:$Q,MATCH(玩家节奏2!DW142,武器升级消耗!$H:$H,0))*2*EA$4,0)</f>
        <v>10.079999999999988</v>
      </c>
      <c r="EB142" s="90">
        <f ca="1">_xlfn.IFNA(INDEX(武器升级消耗!$Q:$Q,MATCH(玩家节奏2!DX142,武器升级消耗!$H:$H,0))*2*EB$4,0)</f>
        <v>11.100000000000001</v>
      </c>
      <c r="EC142" s="90">
        <f ca="1">_xlfn.IFNA(INDEX(武器升级消耗!$Q:$Q,MATCH(玩家节奏2!DY142,武器升级消耗!$H:$H,0))*2*EC$4,0)</f>
        <v>12.540000000000001</v>
      </c>
      <c r="ED142" s="90">
        <f>_xlfn.IFNA(INDEX(武器升级消耗!$Q:$Q,MATCH(玩家节奏2!DZ142,武器升级消耗!$H:$H,0))*2*ED$4,0)</f>
        <v>11.100000000000001</v>
      </c>
    </row>
    <row r="143" spans="1:134" x14ac:dyDescent="0.25">
      <c r="A143" s="123">
        <v>137</v>
      </c>
      <c r="B143" s="123">
        <f>INDEX(关卡对比!$Y:$Y,MATCH(关卡对比!Z143,关卡对比!$AA:$AA,1))</f>
        <v>82</v>
      </c>
      <c r="C143" s="124">
        <f>INDEX(关卡对比!$Y:$Y,MATCH(关卡对比!Z143,关卡对比!$AB:$AB,1))</f>
        <v>64</v>
      </c>
      <c r="D143" s="125">
        <f t="shared" si="131"/>
        <v>535.5</v>
      </c>
      <c r="E143" s="125">
        <v>2</v>
      </c>
      <c r="F143" s="128">
        <v>16</v>
      </c>
      <c r="G143" s="90">
        <v>16</v>
      </c>
      <c r="H143" s="90">
        <v>5</v>
      </c>
      <c r="J143" s="128">
        <v>137</v>
      </c>
      <c r="K143" s="90">
        <f t="shared" si="152"/>
        <v>16</v>
      </c>
      <c r="L143" s="90">
        <f t="shared" si="153"/>
        <v>16</v>
      </c>
      <c r="M143" s="90">
        <f t="shared" si="154"/>
        <v>5</v>
      </c>
      <c r="N143" s="140">
        <f>INDEX($A:$A,MATCH(SUM($K$7:K143),$D:$D,1))</f>
        <v>200</v>
      </c>
      <c r="O143" s="140">
        <v>0</v>
      </c>
      <c r="P143" s="141">
        <v>0</v>
      </c>
      <c r="Q143" s="126">
        <f>_xlfn.MAXIFS(关卡产出!X:X,关卡产出!$A:$A,玩家节奏2!$N$6,关卡产出!$B:$B,玩家节奏2!$N143)+_xlfn.MAXIFS(关卡产出!X:X,关卡产出!$A:$A,玩家节奏2!$O$6,关卡产出!$B:$B,玩家节奏2!$O143)+_xlfn.MAXIFS(关卡产出!X:X,关卡产出!$A:$A,玩家节奏2!$P$6,关卡产出!$B:$B,玩家节奏2!$P143)</f>
        <v>38500</v>
      </c>
      <c r="R143" s="90">
        <f>_xlfn.MAXIFS(关卡产出!Y:Y,关卡产出!$A:$A,玩家节奏2!$N$6,关卡产出!$B:$B,玩家节奏2!$N143)+_xlfn.MAXIFS(关卡产出!Y:Y,关卡产出!$A:$A,玩家节奏2!$O$6,关卡产出!$B:$B,玩家节奏2!$O143)+_xlfn.MAXIFS(关卡产出!Y:Y,关卡产出!$A:$A,玩家节奏2!$P$6,关卡产出!$B:$B,玩家节奏2!$P143)</f>
        <v>11610000</v>
      </c>
      <c r="S143" s="90">
        <f>_xlfn.MAXIFS(关卡产出!Z:Z,关卡产出!$A:$A,玩家节奏2!$N$6,关卡产出!$B:$B,玩家节奏2!$N143)+_xlfn.MAXIFS(关卡产出!Z:Z,关卡产出!$A:$A,玩家节奏2!$O$6,关卡产出!$B:$B,玩家节奏2!$O143)+_xlfn.MAXIFS(关卡产出!Z:Z,关卡产出!$A:$A,玩家节奏2!$P$6,关卡产出!$B:$B,玩家节奏2!$P143)</f>
        <v>78866</v>
      </c>
      <c r="T143" s="90">
        <f>_xlfn.MAXIFS(关卡产出!AA:AA,关卡产出!$A:$A,玩家节奏2!$N$6,关卡产出!$B:$B,玩家节奏2!$N143)+_xlfn.MAXIFS(关卡产出!AA:AA,关卡产出!$A:$A,玩家节奏2!$O$6,关卡产出!$B:$B,玩家节奏2!$O143)+_xlfn.MAXIFS(关卡产出!AA:AA,关卡产出!$A:$A,玩家节奏2!$P$6,关卡产出!$B:$B,玩家节奏2!$P143)</f>
        <v>39434</v>
      </c>
      <c r="U143" s="90">
        <f>_xlfn.MAXIFS(关卡产出!AB:AB,关卡产出!$A:$A,玩家节奏2!$N$6,关卡产出!$B:$B,玩家节奏2!$N143)+_xlfn.MAXIFS(关卡产出!AB:AB,关卡产出!$A:$A,玩家节奏2!$O$6,关卡产出!$B:$B,玩家节奏2!$O143)+_xlfn.MAXIFS(关卡产出!AB:AB,关卡产出!$A:$A,玩家节奏2!$P$6,关卡产出!$B:$B,玩家节奏2!$P143)</f>
        <v>19113</v>
      </c>
      <c r="V143" s="130">
        <f>_xlfn.MAXIFS(关卡产出!AC:AC,关卡产出!$A:$A,玩家节奏2!$N$6,关卡产出!$B:$B,玩家节奏2!$N143)+_xlfn.MAXIFS(关卡产出!AC:AC,关卡产出!$A:$A,玩家节奏2!$O$6,关卡产出!$B:$B,玩家节奏2!$O143)+_xlfn.MAXIFS(关卡产出!AC:AC,关卡产出!$A:$A,玩家节奏2!$P$6,关卡产出!$B:$B,玩家节奏2!$P143)</f>
        <v>1200</v>
      </c>
      <c r="W143" s="126">
        <f>INDEX(关卡产出!C$8:C$207,MATCH(玩家节奏2!$N143,关卡产出!$B$8:$B$207,0))*$K143</f>
        <v>2528</v>
      </c>
      <c r="X143" s="126">
        <f>INDEX(关卡产出!D$8:D$207,MATCH(玩家节奏2!$N143,关卡产出!$B$8:$B$207,0))*$K143</f>
        <v>1264</v>
      </c>
      <c r="Y143" s="126">
        <f>INDEX(关卡产出!E$8:E$207,MATCH(玩家节奏2!$N143,关卡产出!$B$8:$B$207,0))*$K143</f>
        <v>624</v>
      </c>
      <c r="Z143" s="144">
        <f>INDEX(关卡产出!F$8:F$207,MATCH(玩家节奏2!$N143,关卡产出!$B$8:$B$207,0))*$K143</f>
        <v>32800</v>
      </c>
      <c r="AA143" s="126">
        <f>SUM(W$7:W143)</f>
        <v>288206</v>
      </c>
      <c r="AB143" s="126">
        <f>SUM(X$7:X143)</f>
        <v>143939</v>
      </c>
      <c r="AC143" s="126">
        <f>SUM(Y$7:Y143)</f>
        <v>70835</v>
      </c>
      <c r="AD143" s="177">
        <f>SUM(Z$7:Z143)</f>
        <v>3767130</v>
      </c>
      <c r="AE143" s="128">
        <f>INDEX(图鉴!AQ:AQ,MATCH($N143,图鉴!$S:$S,0))*34</f>
        <v>714</v>
      </c>
      <c r="AF143" s="90">
        <f>INDEX(图鉴!AR:AR,MATCH($N143,图鉴!$S:$S,0))*34</f>
        <v>510</v>
      </c>
      <c r="AG143" s="90">
        <f>INDEX(图鉴!AS:AS,MATCH($N143,图鉴!$S:$S,0))*34</f>
        <v>204</v>
      </c>
      <c r="AH143" s="129">
        <f ca="1">INDEX(图鉴!AT:AT,MATCH($N143,图鉴!$S:$S,0))*34</f>
        <v>55930</v>
      </c>
      <c r="AI143" s="128">
        <f>SUM($AE$7:AE143)</f>
        <v>95914</v>
      </c>
      <c r="AJ143" s="90">
        <f>SUM(AF$7:AF143)</f>
        <v>66402</v>
      </c>
      <c r="AK143" s="90">
        <f>SUM(AG$7:AG143)</f>
        <v>26010</v>
      </c>
      <c r="AL143" s="130">
        <f ca="1">SUM(AH$7:AH143)</f>
        <v>6832776</v>
      </c>
      <c r="AM143" s="133">
        <f>IF(M143=0,0,INDEX(关卡产出!$AU$11:$AU$15,MATCH(玩家节奏2!N143,关卡产出!$AW$11:$AW$15,1))*M143)</f>
        <v>61000</v>
      </c>
      <c r="AN143" s="126">
        <f>IF(L143=0,0,$L143*关卡产出!AU$21)</f>
        <v>16000</v>
      </c>
      <c r="AO143" s="90">
        <f>IF(M143=0,0,$L143*关卡产出!AV$21)</f>
        <v>800</v>
      </c>
      <c r="AP143" s="129">
        <f>IF(N143=0,0,$L143*关卡产出!AW$21)</f>
        <v>16</v>
      </c>
      <c r="AQ143" s="138">
        <f>SUM(AN$7:AN143)</f>
        <v>2144000</v>
      </c>
      <c r="AR143" s="126">
        <f>SUM(AO$7:AO143)</f>
        <v>107200</v>
      </c>
      <c r="AS143" s="129">
        <f>SUM(AP$7:AP143)</f>
        <v>2144</v>
      </c>
      <c r="AT143" s="128">
        <v>3000</v>
      </c>
      <c r="AU143" s="129">
        <v>600</v>
      </c>
      <c r="AV143" s="128">
        <f>SUM(AT$7:AT143)</f>
        <v>411000</v>
      </c>
      <c r="AW143" s="90">
        <f>SUM(AU$7:AU143)</f>
        <v>82200</v>
      </c>
      <c r="AY143" s="128">
        <f t="shared" si="155"/>
        <v>38500</v>
      </c>
      <c r="AZ143" s="90">
        <f t="shared" si="156"/>
        <v>107200</v>
      </c>
      <c r="BA143" s="90">
        <f t="shared" si="157"/>
        <v>82200</v>
      </c>
      <c r="BB143" s="90">
        <f t="shared" ca="1" si="185"/>
        <v>40800</v>
      </c>
      <c r="BC143" s="90">
        <f t="shared" ca="1" si="187"/>
        <v>136525</v>
      </c>
      <c r="BD143" s="90">
        <f t="shared" ca="1" si="188"/>
        <v>132175</v>
      </c>
      <c r="BE143" s="90">
        <f t="shared" ca="1" si="158"/>
        <v>268700</v>
      </c>
      <c r="BF143" s="142">
        <f t="shared" ca="1" si="139"/>
        <v>0.28199963376670939</v>
      </c>
      <c r="BG143" s="142">
        <f t="shared" ca="1" si="140"/>
        <v>0.7852041750595129</v>
      </c>
      <c r="BH143" s="142">
        <f t="shared" ca="1" si="141"/>
        <v>0.60208752975645485</v>
      </c>
      <c r="BI143" s="142">
        <f t="shared" ca="1" si="159"/>
        <v>0.29884636513459073</v>
      </c>
      <c r="BJ143" s="143"/>
      <c r="BK143" s="128">
        <f ca="1">INDEX(商城宝箱!$L:$L,MATCH(BC143,商城宝箱!$N:$N,1))</f>
        <v>13</v>
      </c>
      <c r="BL143" s="90">
        <f ca="1">_xlfn.IFNA(INDEX(商城宝箱!T:T,MATCH(玩家节奏2!$BK143,商城宝箱!$L:$L,0)),0)+($BC143-INDEX(商城宝箱!$N:$N,MATCH(玩家节奏2!$BK143,商城宝箱!$L:$L,0)))/$BK$5*INDEX(商城宝箱!E$23:E$42,MATCH(玩家节奏2!$BK143+1,商城宝箱!$C$23:$C$42,0))</f>
        <v>341312.5</v>
      </c>
      <c r="BM143" s="90">
        <f ca="1">_xlfn.IFNA(INDEX(商城宝箱!U:U,MATCH(玩家节奏2!$BK143,商城宝箱!$L:$L,0)),0)+($BC143-INDEX(商城宝箱!$N:$N,MATCH(玩家节奏2!$BK143,商城宝箱!$L:$L,0)))/$BK$5*INDEX(商城宝箱!F$23:F$42,MATCH(玩家节奏2!$BK143+1,商城宝箱!$C$23:$C$42,0))</f>
        <v>396960</v>
      </c>
      <c r="BN143" s="90">
        <f ca="1">_xlfn.IFNA(INDEX(商城宝箱!V:V,MATCH(玩家节奏2!$BK143,商城宝箱!$L:$L,0)),0)+($BC143-INDEX(商城宝箱!$N:$N,MATCH(玩家节奏2!$BK143,商城宝箱!$L:$L,0)))/$BK$5*INDEX(商城宝箱!G$23:G$42,MATCH(玩家节奏2!$BK143+1,商城宝箱!$C$23:$C$42,0))</f>
        <v>199843.25</v>
      </c>
      <c r="BO143" s="90">
        <f ca="1">_xlfn.IFNA(INDEX(商城宝箱!W:W,MATCH(玩家节奏2!$BK143,商城宝箱!$L:$L,0)),0)+($BC143-INDEX(商城宝箱!$N:$N,MATCH(玩家节奏2!$BK143,商城宝箱!$L:$L,0)))/$BK$5*INDEX(商城宝箱!H$23:H$42,MATCH(玩家节奏2!$BK143+1,商城宝箱!$C$23:$C$42,0))</f>
        <v>32201.5</v>
      </c>
      <c r="BQ143" s="128">
        <f t="shared" si="143"/>
        <v>11610000</v>
      </c>
      <c r="BR143" s="90">
        <f t="shared" si="144"/>
        <v>3767130</v>
      </c>
      <c r="BS143" s="90">
        <f t="shared" ca="1" si="145"/>
        <v>6832776</v>
      </c>
      <c r="BT143" s="90">
        <f t="shared" si="146"/>
        <v>61000</v>
      </c>
      <c r="BU143" s="90">
        <f t="shared" si="147"/>
        <v>2144000</v>
      </c>
      <c r="BV143" s="90">
        <f t="shared" si="148"/>
        <v>411000</v>
      </c>
      <c r="BW143" s="90">
        <f t="shared" ca="1" si="160"/>
        <v>341312.5</v>
      </c>
      <c r="BX143" s="90">
        <f t="shared" ca="1" si="161"/>
        <v>25167218.5</v>
      </c>
      <c r="BY143" s="142">
        <f t="shared" ca="1" si="138"/>
        <v>0.46131438800040614</v>
      </c>
      <c r="BZ143" s="142">
        <f t="shared" ca="1" si="138"/>
        <v>0.14968400262428683</v>
      </c>
      <c r="CA143" s="142">
        <f t="shared" ca="1" si="138"/>
        <v>0.27149507999861011</v>
      </c>
      <c r="CB143" s="142">
        <f t="shared" ca="1" si="138"/>
        <v>2.4237879128358982E-3</v>
      </c>
      <c r="CC143" s="142">
        <f t="shared" ca="1" si="138"/>
        <v>8.5190185001969926E-2</v>
      </c>
      <c r="CD143" s="142">
        <f t="shared" ca="1" si="138"/>
        <v>1.6330767740582855E-2</v>
      </c>
      <c r="CE143" s="142">
        <f t="shared" ca="1" si="138"/>
        <v>1.3561788721308237E-2</v>
      </c>
      <c r="CG143" s="128">
        <f t="shared" si="162"/>
        <v>200</v>
      </c>
      <c r="CH143" s="90">
        <f ca="1">INDEX(角色升级!$A:$A,MATCH(玩家节奏2!$BX143,角色升级!$J:$J,1))</f>
        <v>1047</v>
      </c>
      <c r="CI143" s="90">
        <f ca="1">INDEX(角色升级!$O:$O,MATCH(玩家节奏2!$BX143,角色升级!$J:$J,1))</f>
        <v>99294.156750000009</v>
      </c>
      <c r="CJ143" s="90">
        <f>INDEX(关卡对比!$J:$J,MATCH(玩家节奏2!N143,关卡对比!$A:$A,0))</f>
        <v>86200</v>
      </c>
      <c r="CK143" s="147">
        <f t="shared" ca="1" si="163"/>
        <v>0.8681276202086281</v>
      </c>
      <c r="CL143" s="128">
        <f ca="1">INDEX(角色升级!$P:$P,MATCH(玩家节奏2!$CH143,角色升级!$A:$A,0))</f>
        <v>40800</v>
      </c>
      <c r="CM143" s="90">
        <f ca="1">INDEX(角色升级!Q:Q,MATCH(玩家节奏2!$CH143,角色升级!$A:$A,0))</f>
        <v>2.2000000000000002</v>
      </c>
      <c r="CO143" s="128">
        <f t="shared" si="164"/>
        <v>78866</v>
      </c>
      <c r="CP143" s="90">
        <f t="shared" si="165"/>
        <v>288206</v>
      </c>
      <c r="CQ143" s="90">
        <f t="shared" si="166"/>
        <v>95914</v>
      </c>
      <c r="CR143" s="90">
        <f t="shared" ca="1" si="167"/>
        <v>396960</v>
      </c>
      <c r="CS143" s="90">
        <f t="shared" ca="1" si="168"/>
        <v>859946</v>
      </c>
      <c r="CT143" s="142">
        <f t="shared" ca="1" si="169"/>
        <v>9.1710409723401234E-2</v>
      </c>
      <c r="CU143" s="142">
        <f t="shared" ca="1" si="169"/>
        <v>0.33514429975835691</v>
      </c>
      <c r="CV143" s="142">
        <f t="shared" ca="1" si="169"/>
        <v>0.11153491033157896</v>
      </c>
      <c r="CW143" s="142">
        <f t="shared" ca="1" si="149"/>
        <v>0.46161038018666289</v>
      </c>
      <c r="CY143" s="128">
        <f t="shared" si="170"/>
        <v>39434</v>
      </c>
      <c r="CZ143" s="90">
        <f t="shared" si="171"/>
        <v>143939</v>
      </c>
      <c r="DA143" s="90">
        <f t="shared" si="172"/>
        <v>66402</v>
      </c>
      <c r="DB143" s="90">
        <f t="shared" ca="1" si="186"/>
        <v>199843.25</v>
      </c>
      <c r="DC143" s="90">
        <f t="shared" ca="1" si="173"/>
        <v>449618.25</v>
      </c>
      <c r="DD143" s="142">
        <f t="shared" ca="1" si="174"/>
        <v>8.7705514622682682E-2</v>
      </c>
      <c r="DE143" s="142">
        <f t="shared" ca="1" si="174"/>
        <v>0.32013602650693118</v>
      </c>
      <c r="DF143" s="142">
        <f t="shared" ca="1" si="174"/>
        <v>0.14768528635125464</v>
      </c>
      <c r="DG143" s="142">
        <f t="shared" ca="1" si="150"/>
        <v>0.44447317251913149</v>
      </c>
      <c r="DI143" s="128">
        <f t="shared" si="175"/>
        <v>19113</v>
      </c>
      <c r="DJ143" s="90">
        <f t="shared" si="176"/>
        <v>70835</v>
      </c>
      <c r="DK143" s="90">
        <f t="shared" si="177"/>
        <v>26010</v>
      </c>
      <c r="DL143" s="90">
        <f t="shared" ca="1" si="178"/>
        <v>32201.5</v>
      </c>
      <c r="DM143" s="90">
        <f t="shared" ca="1" si="179"/>
        <v>148159.5</v>
      </c>
      <c r="DN143" s="142">
        <f t="shared" ca="1" si="180"/>
        <v>0.12900286515545747</v>
      </c>
      <c r="DO143" s="142">
        <f t="shared" ca="1" si="180"/>
        <v>0.47809961561695336</v>
      </c>
      <c r="DP143" s="142">
        <f t="shared" ca="1" si="180"/>
        <v>0.17555404817105888</v>
      </c>
      <c r="DQ143" s="142">
        <f t="shared" ca="1" si="151"/>
        <v>0.21734347105653029</v>
      </c>
      <c r="DS143" s="128">
        <f t="shared" ca="1" si="181"/>
        <v>859946</v>
      </c>
      <c r="DT143" s="90">
        <f t="shared" ca="1" si="182"/>
        <v>449618.25</v>
      </c>
      <c r="DU143" s="90">
        <f t="shared" ca="1" si="183"/>
        <v>148159.5</v>
      </c>
      <c r="DV143" s="90">
        <f t="shared" si="184"/>
        <v>2144</v>
      </c>
      <c r="DW143" s="90">
        <f ca="1">_xlfn.IFNA(INDEX(武器升级消耗!$H:$H,MATCH(玩家节奏2!DS143/玩家节奏2!DS$5,武器升级消耗!M:M,1)),0)</f>
        <v>80</v>
      </c>
      <c r="DX143" s="90">
        <f ca="1">_xlfn.IFNA(INDEX(武器升级消耗!$H:$H,MATCH(玩家节奏2!DT143/玩家节奏2!DT$5,武器升级消耗!N:N,1)),0)</f>
        <v>70</v>
      </c>
      <c r="DY143" s="90">
        <f ca="1">_xlfn.IFNA(INDEX(武器升级消耗!$H:$H,MATCH(玩家节奏2!DU143/玩家节奏2!DU$5,武器升级消耗!O:O,1)),0)</f>
        <v>53</v>
      </c>
      <c r="DZ143" s="90">
        <f>_xlfn.IFNA(INDEX(武器升级消耗!$H:$H,MATCH(玩家节奏2!DV143/玩家节奏2!DV$5,武器升级消耗!P:P,1)),0)</f>
        <v>33</v>
      </c>
      <c r="EA143" s="90">
        <f ca="1">_xlfn.IFNA(INDEX(武器升级消耗!$Q:$Q,MATCH(玩家节奏2!DW143,武器升级消耗!$H:$H,0))*2*EA$4,0)</f>
        <v>10.079999999999988</v>
      </c>
      <c r="EB143" s="90">
        <f ca="1">_xlfn.IFNA(INDEX(武器升级消耗!$Q:$Q,MATCH(玩家节奏2!DX143,武器升级消耗!$H:$H,0))*2*EB$4,0)</f>
        <v>11.100000000000001</v>
      </c>
      <c r="EC143" s="90">
        <f ca="1">_xlfn.IFNA(INDEX(武器升级消耗!$Q:$Q,MATCH(玩家节奏2!DY143,武器升级消耗!$H:$H,0))*2*EC$4,0)</f>
        <v>12.540000000000001</v>
      </c>
      <c r="ED143" s="90">
        <f>_xlfn.IFNA(INDEX(武器升级消耗!$Q:$Q,MATCH(玩家节奏2!DZ143,武器升级消耗!$H:$H,0))*2*ED$4,0)</f>
        <v>11.100000000000001</v>
      </c>
    </row>
    <row r="144" spans="1:134" x14ac:dyDescent="0.25">
      <c r="A144" s="123">
        <v>138</v>
      </c>
      <c r="B144" s="123">
        <f>INDEX(关卡对比!$Y:$Y,MATCH(关卡对比!Z144,关卡对比!$AA:$AA,1))</f>
        <v>82</v>
      </c>
      <c r="C144" s="124">
        <f>INDEX(关卡对比!$Y:$Y,MATCH(关卡对比!Z144,关卡对比!$AB:$AB,1))</f>
        <v>64</v>
      </c>
      <c r="D144" s="125">
        <f t="shared" si="131"/>
        <v>537.5</v>
      </c>
      <c r="E144" s="125">
        <v>2</v>
      </c>
      <c r="F144" s="128">
        <v>16</v>
      </c>
      <c r="G144" s="90">
        <v>16</v>
      </c>
      <c r="H144" s="90">
        <v>5</v>
      </c>
      <c r="J144" s="128">
        <v>138</v>
      </c>
      <c r="K144" s="90">
        <f t="shared" si="152"/>
        <v>16</v>
      </c>
      <c r="L144" s="90">
        <f t="shared" si="153"/>
        <v>16</v>
      </c>
      <c r="M144" s="90">
        <f t="shared" si="154"/>
        <v>5</v>
      </c>
      <c r="N144" s="140">
        <f>INDEX($A:$A,MATCH(SUM($K$7:K144),$D:$D,1))</f>
        <v>200</v>
      </c>
      <c r="O144" s="140">
        <v>0</v>
      </c>
      <c r="P144" s="141">
        <v>0</v>
      </c>
      <c r="Q144" s="126">
        <f>_xlfn.MAXIFS(关卡产出!X:X,关卡产出!$A:$A,玩家节奏2!$N$6,关卡产出!$B:$B,玩家节奏2!$N144)+_xlfn.MAXIFS(关卡产出!X:X,关卡产出!$A:$A,玩家节奏2!$O$6,关卡产出!$B:$B,玩家节奏2!$O144)+_xlfn.MAXIFS(关卡产出!X:X,关卡产出!$A:$A,玩家节奏2!$P$6,关卡产出!$B:$B,玩家节奏2!$P144)</f>
        <v>38500</v>
      </c>
      <c r="R144" s="90">
        <f>_xlfn.MAXIFS(关卡产出!Y:Y,关卡产出!$A:$A,玩家节奏2!$N$6,关卡产出!$B:$B,玩家节奏2!$N144)+_xlfn.MAXIFS(关卡产出!Y:Y,关卡产出!$A:$A,玩家节奏2!$O$6,关卡产出!$B:$B,玩家节奏2!$O144)+_xlfn.MAXIFS(关卡产出!Y:Y,关卡产出!$A:$A,玩家节奏2!$P$6,关卡产出!$B:$B,玩家节奏2!$P144)</f>
        <v>11610000</v>
      </c>
      <c r="S144" s="90">
        <f>_xlfn.MAXIFS(关卡产出!Z:Z,关卡产出!$A:$A,玩家节奏2!$N$6,关卡产出!$B:$B,玩家节奏2!$N144)+_xlfn.MAXIFS(关卡产出!Z:Z,关卡产出!$A:$A,玩家节奏2!$O$6,关卡产出!$B:$B,玩家节奏2!$O144)+_xlfn.MAXIFS(关卡产出!Z:Z,关卡产出!$A:$A,玩家节奏2!$P$6,关卡产出!$B:$B,玩家节奏2!$P144)</f>
        <v>78866</v>
      </c>
      <c r="T144" s="90">
        <f>_xlfn.MAXIFS(关卡产出!AA:AA,关卡产出!$A:$A,玩家节奏2!$N$6,关卡产出!$B:$B,玩家节奏2!$N144)+_xlfn.MAXIFS(关卡产出!AA:AA,关卡产出!$A:$A,玩家节奏2!$O$6,关卡产出!$B:$B,玩家节奏2!$O144)+_xlfn.MAXIFS(关卡产出!AA:AA,关卡产出!$A:$A,玩家节奏2!$P$6,关卡产出!$B:$B,玩家节奏2!$P144)</f>
        <v>39434</v>
      </c>
      <c r="U144" s="90">
        <f>_xlfn.MAXIFS(关卡产出!AB:AB,关卡产出!$A:$A,玩家节奏2!$N$6,关卡产出!$B:$B,玩家节奏2!$N144)+_xlfn.MAXIFS(关卡产出!AB:AB,关卡产出!$A:$A,玩家节奏2!$O$6,关卡产出!$B:$B,玩家节奏2!$O144)+_xlfn.MAXIFS(关卡产出!AB:AB,关卡产出!$A:$A,玩家节奏2!$P$6,关卡产出!$B:$B,玩家节奏2!$P144)</f>
        <v>19113</v>
      </c>
      <c r="V144" s="130">
        <f>_xlfn.MAXIFS(关卡产出!AC:AC,关卡产出!$A:$A,玩家节奏2!$N$6,关卡产出!$B:$B,玩家节奏2!$N144)+_xlfn.MAXIFS(关卡产出!AC:AC,关卡产出!$A:$A,玩家节奏2!$O$6,关卡产出!$B:$B,玩家节奏2!$O144)+_xlfn.MAXIFS(关卡产出!AC:AC,关卡产出!$A:$A,玩家节奏2!$P$6,关卡产出!$B:$B,玩家节奏2!$P144)</f>
        <v>1200</v>
      </c>
      <c r="W144" s="126">
        <f>INDEX(关卡产出!C$8:C$207,MATCH(玩家节奏2!$N144,关卡产出!$B$8:$B$207,0))*$K144</f>
        <v>2528</v>
      </c>
      <c r="X144" s="126">
        <f>INDEX(关卡产出!D$8:D$207,MATCH(玩家节奏2!$N144,关卡产出!$B$8:$B$207,0))*$K144</f>
        <v>1264</v>
      </c>
      <c r="Y144" s="126">
        <f>INDEX(关卡产出!E$8:E$207,MATCH(玩家节奏2!$N144,关卡产出!$B$8:$B$207,0))*$K144</f>
        <v>624</v>
      </c>
      <c r="Z144" s="144">
        <f>INDEX(关卡产出!F$8:F$207,MATCH(玩家节奏2!$N144,关卡产出!$B$8:$B$207,0))*$K144</f>
        <v>32800</v>
      </c>
      <c r="AA144" s="126">
        <f>SUM(W$7:W144)</f>
        <v>290734</v>
      </c>
      <c r="AB144" s="126">
        <f>SUM(X$7:X144)</f>
        <v>145203</v>
      </c>
      <c r="AC144" s="126">
        <f>SUM(Y$7:Y144)</f>
        <v>71459</v>
      </c>
      <c r="AD144" s="177">
        <f>SUM(Z$7:Z144)</f>
        <v>3799930</v>
      </c>
      <c r="AE144" s="128">
        <f>INDEX(图鉴!AQ:AQ,MATCH($N144,图鉴!$S:$S,0))*34</f>
        <v>714</v>
      </c>
      <c r="AF144" s="90">
        <f>INDEX(图鉴!AR:AR,MATCH($N144,图鉴!$S:$S,0))*34</f>
        <v>510</v>
      </c>
      <c r="AG144" s="90">
        <f>INDEX(图鉴!AS:AS,MATCH($N144,图鉴!$S:$S,0))*34</f>
        <v>204</v>
      </c>
      <c r="AH144" s="129">
        <f ca="1">INDEX(图鉴!AT:AT,MATCH($N144,图鉴!$S:$S,0))*34</f>
        <v>55930</v>
      </c>
      <c r="AI144" s="128">
        <f>SUM($AE$7:AE144)</f>
        <v>96628</v>
      </c>
      <c r="AJ144" s="90">
        <f>SUM(AF$7:AF144)</f>
        <v>66912</v>
      </c>
      <c r="AK144" s="90">
        <f>SUM(AG$7:AG144)</f>
        <v>26214</v>
      </c>
      <c r="AL144" s="130">
        <f ca="1">SUM(AH$7:AH144)</f>
        <v>6888706</v>
      </c>
      <c r="AM144" s="133">
        <f>IF(M144=0,0,INDEX(关卡产出!$AU$11:$AU$15,MATCH(玩家节奏2!N144,关卡产出!$AW$11:$AW$15,1))*M144)</f>
        <v>61000</v>
      </c>
      <c r="AN144" s="126">
        <f>IF(L144=0,0,$L144*关卡产出!AU$21)</f>
        <v>16000</v>
      </c>
      <c r="AO144" s="90">
        <f>IF(M144=0,0,$L144*关卡产出!AV$21)</f>
        <v>800</v>
      </c>
      <c r="AP144" s="129">
        <f>IF(N144=0,0,$L144*关卡产出!AW$21)</f>
        <v>16</v>
      </c>
      <c r="AQ144" s="138">
        <f>SUM(AN$7:AN144)</f>
        <v>2160000</v>
      </c>
      <c r="AR144" s="126">
        <f>SUM(AO$7:AO144)</f>
        <v>108000</v>
      </c>
      <c r="AS144" s="129">
        <f>SUM(AP$7:AP144)</f>
        <v>2160</v>
      </c>
      <c r="AT144" s="128">
        <v>3000</v>
      </c>
      <c r="AU144" s="129">
        <v>600</v>
      </c>
      <c r="AV144" s="128">
        <f>SUM(AT$7:AT144)</f>
        <v>414000</v>
      </c>
      <c r="AW144" s="90">
        <f>SUM(AU$7:AU144)</f>
        <v>82800</v>
      </c>
      <c r="AY144" s="128">
        <f t="shared" si="155"/>
        <v>38500</v>
      </c>
      <c r="AZ144" s="90">
        <f t="shared" si="156"/>
        <v>108000</v>
      </c>
      <c r="BA144" s="90">
        <f t="shared" si="157"/>
        <v>82800</v>
      </c>
      <c r="BB144" s="90">
        <f t="shared" ca="1" si="185"/>
        <v>40800</v>
      </c>
      <c r="BC144" s="90">
        <f t="shared" ca="1" si="187"/>
        <v>137225</v>
      </c>
      <c r="BD144" s="90">
        <f t="shared" ca="1" si="188"/>
        <v>132875</v>
      </c>
      <c r="BE144" s="90">
        <f t="shared" ca="1" si="158"/>
        <v>270100</v>
      </c>
      <c r="BF144" s="142">
        <f t="shared" ca="1" si="139"/>
        <v>0.28056112224448898</v>
      </c>
      <c r="BG144" s="142">
        <f t="shared" ca="1" si="140"/>
        <v>0.78702860265986518</v>
      </c>
      <c r="BH144" s="142">
        <f t="shared" ca="1" si="141"/>
        <v>0.60338859537256329</v>
      </c>
      <c r="BI144" s="142">
        <f t="shared" ca="1" si="159"/>
        <v>0.29732191656039353</v>
      </c>
      <c r="BJ144" s="143"/>
      <c r="BK144" s="128">
        <f ca="1">INDEX(商城宝箱!$L:$L,MATCH(BC144,商城宝箱!$N:$N,1))</f>
        <v>13</v>
      </c>
      <c r="BL144" s="90">
        <f ca="1">_xlfn.IFNA(INDEX(商城宝箱!T:T,MATCH(玩家节奏2!$BK144,商城宝箱!$L:$L,0)),0)+($BC144-INDEX(商城宝箱!$N:$N,MATCH(玩家节奏2!$BK144,商城宝箱!$L:$L,0)))/$BK$5*INDEX(商城宝箱!E$23:E$42,MATCH(玩家节奏2!$BK144+1,商城宝箱!$C$23:$C$42,0))</f>
        <v>343062.5</v>
      </c>
      <c r="BM144" s="90">
        <f ca="1">_xlfn.IFNA(INDEX(商城宝箱!U:U,MATCH(玩家节奏2!$BK144,商城宝箱!$L:$L,0)),0)+($BC144-INDEX(商城宝箱!$N:$N,MATCH(玩家节奏2!$BK144,商城宝箱!$L:$L,0)))/$BK$5*INDEX(商城宝箱!F$23:F$42,MATCH(玩家节奏2!$BK144+1,商城宝箱!$C$23:$C$42,0))</f>
        <v>400250</v>
      </c>
      <c r="BN144" s="90">
        <f ca="1">_xlfn.IFNA(INDEX(商城宝箱!V:V,MATCH(玩家节奏2!$BK144,商城宝箱!$L:$L,0)),0)+($BC144-INDEX(商城宝箱!$N:$N,MATCH(玩家节奏2!$BK144,商城宝箱!$L:$L,0)))/$BK$5*INDEX(商城宝箱!G$23:G$42,MATCH(玩家节奏2!$BK144+1,商城宝箱!$C$23:$C$42,0))</f>
        <v>201418.25</v>
      </c>
      <c r="BO144" s="90">
        <f ca="1">_xlfn.IFNA(INDEX(商城宝箱!W:W,MATCH(玩家节奏2!$BK144,商城宝箱!$L:$L,0)),0)+($BC144-INDEX(商城宝箱!$N:$N,MATCH(玩家节奏2!$BK144,商城宝箱!$L:$L,0)))/$BK$5*INDEX(商城宝箱!H$23:H$42,MATCH(玩家节奏2!$BK144+1,商城宝箱!$C$23:$C$42,0))</f>
        <v>32481.5</v>
      </c>
      <c r="BQ144" s="128">
        <f t="shared" si="143"/>
        <v>11610000</v>
      </c>
      <c r="BR144" s="90">
        <f t="shared" si="144"/>
        <v>3799930</v>
      </c>
      <c r="BS144" s="90">
        <f t="shared" ca="1" si="145"/>
        <v>6888706</v>
      </c>
      <c r="BT144" s="90">
        <f t="shared" si="146"/>
        <v>61000</v>
      </c>
      <c r="BU144" s="90">
        <f t="shared" si="147"/>
        <v>2160000</v>
      </c>
      <c r="BV144" s="90">
        <f t="shared" si="148"/>
        <v>414000</v>
      </c>
      <c r="BW144" s="90">
        <f t="shared" ca="1" si="160"/>
        <v>343062.5</v>
      </c>
      <c r="BX144" s="90">
        <f t="shared" ca="1" si="161"/>
        <v>25276698.5</v>
      </c>
      <c r="BY144" s="142">
        <f t="shared" ca="1" si="138"/>
        <v>0.45931631458910666</v>
      </c>
      <c r="BZ144" s="142">
        <f t="shared" ca="1" si="138"/>
        <v>0.15033331983605375</v>
      </c>
      <c r="CA144" s="142">
        <f t="shared" ca="1" si="138"/>
        <v>0.27253187357518227</v>
      </c>
      <c r="CB144" s="142">
        <f t="shared" ca="1" si="138"/>
        <v>2.4132898527076231E-3</v>
      </c>
      <c r="CC144" s="142">
        <f t="shared" ca="1" si="138"/>
        <v>8.5454198063089612E-2</v>
      </c>
      <c r="CD144" s="142">
        <f t="shared" ca="1" si="138"/>
        <v>1.6378721295425509E-2</v>
      </c>
      <c r="CE144" s="142">
        <f t="shared" ca="1" si="138"/>
        <v>1.3572282788434573E-2</v>
      </c>
      <c r="CG144" s="128">
        <f t="shared" si="162"/>
        <v>200</v>
      </c>
      <c r="CH144" s="90">
        <f ca="1">INDEX(角色升级!$A:$A,MATCH(玩家节奏2!$BX144,角色升级!$J:$J,1))</f>
        <v>1047</v>
      </c>
      <c r="CI144" s="90">
        <f ca="1">INDEX(角色升级!$O:$O,MATCH(玩家节奏2!$BX144,角色升级!$J:$J,1))</f>
        <v>99294.156750000009</v>
      </c>
      <c r="CJ144" s="90">
        <f>INDEX(关卡对比!$J:$J,MATCH(玩家节奏2!N144,关卡对比!$A:$A,0))</f>
        <v>86200</v>
      </c>
      <c r="CK144" s="147">
        <f t="shared" ca="1" si="163"/>
        <v>0.8681276202086281</v>
      </c>
      <c r="CL144" s="128">
        <f ca="1">INDEX(角色升级!$P:$P,MATCH(玩家节奏2!$CH144,角色升级!$A:$A,0))</f>
        <v>40800</v>
      </c>
      <c r="CM144" s="90">
        <f ca="1">INDEX(角色升级!Q:Q,MATCH(玩家节奏2!$CH144,角色升级!$A:$A,0))</f>
        <v>2.2000000000000002</v>
      </c>
      <c r="CO144" s="128">
        <f t="shared" si="164"/>
        <v>78866</v>
      </c>
      <c r="CP144" s="90">
        <f t="shared" si="165"/>
        <v>290734</v>
      </c>
      <c r="CQ144" s="90">
        <f t="shared" si="166"/>
        <v>96628</v>
      </c>
      <c r="CR144" s="90">
        <f t="shared" ca="1" si="167"/>
        <v>400250</v>
      </c>
      <c r="CS144" s="90">
        <f t="shared" ca="1" si="168"/>
        <v>866478</v>
      </c>
      <c r="CT144" s="142">
        <f t="shared" ca="1" si="169"/>
        <v>9.10190449151623E-2</v>
      </c>
      <c r="CU144" s="142">
        <f t="shared" ca="1" si="169"/>
        <v>0.33553535115721345</v>
      </c>
      <c r="CV144" s="142">
        <f t="shared" ca="1" si="169"/>
        <v>0.11151812279134611</v>
      </c>
      <c r="CW144" s="142">
        <f t="shared" ca="1" si="149"/>
        <v>0.46192748113627813</v>
      </c>
      <c r="CY144" s="128">
        <f t="shared" si="170"/>
        <v>39434</v>
      </c>
      <c r="CZ144" s="90">
        <f t="shared" si="171"/>
        <v>145203</v>
      </c>
      <c r="DA144" s="90">
        <f t="shared" si="172"/>
        <v>66912</v>
      </c>
      <c r="DB144" s="90">
        <f t="shared" ca="1" si="186"/>
        <v>201418.25</v>
      </c>
      <c r="DC144" s="90">
        <f t="shared" ca="1" si="173"/>
        <v>452967.25</v>
      </c>
      <c r="DD144" s="142">
        <f t="shared" ca="1" si="174"/>
        <v>8.705706648769862E-2</v>
      </c>
      <c r="DE144" s="142">
        <f t="shared" ca="1" si="174"/>
        <v>0.32055959895555364</v>
      </c>
      <c r="DF144" s="142">
        <f t="shared" ca="1" si="174"/>
        <v>0.1477192887565271</v>
      </c>
      <c r="DG144" s="142">
        <f t="shared" ca="1" si="150"/>
        <v>0.44466404580022068</v>
      </c>
      <c r="DI144" s="128">
        <f t="shared" si="175"/>
        <v>19113</v>
      </c>
      <c r="DJ144" s="90">
        <f t="shared" si="176"/>
        <v>71459</v>
      </c>
      <c r="DK144" s="90">
        <f t="shared" si="177"/>
        <v>26214</v>
      </c>
      <c r="DL144" s="90">
        <f t="shared" ca="1" si="178"/>
        <v>32481.5</v>
      </c>
      <c r="DM144" s="90">
        <f t="shared" ca="1" si="179"/>
        <v>149267.5</v>
      </c>
      <c r="DN144" s="142">
        <f t="shared" ca="1" si="180"/>
        <v>0.1280452878221984</v>
      </c>
      <c r="DO144" s="142">
        <f t="shared" ca="1" si="180"/>
        <v>0.47873113705260689</v>
      </c>
      <c r="DP144" s="142">
        <f t="shared" ca="1" si="180"/>
        <v>0.17561759927646675</v>
      </c>
      <c r="DQ144" s="142">
        <f t="shared" ca="1" si="151"/>
        <v>0.21760597584872796</v>
      </c>
      <c r="DS144" s="128">
        <f t="shared" ca="1" si="181"/>
        <v>866478</v>
      </c>
      <c r="DT144" s="90">
        <f t="shared" ca="1" si="182"/>
        <v>452967.25</v>
      </c>
      <c r="DU144" s="90">
        <f t="shared" ca="1" si="183"/>
        <v>149267.5</v>
      </c>
      <c r="DV144" s="90">
        <f t="shared" si="184"/>
        <v>2160</v>
      </c>
      <c r="DW144" s="90">
        <f ca="1">_xlfn.IFNA(INDEX(武器升级消耗!$H:$H,MATCH(玩家节奏2!DS144/玩家节奏2!DS$5,武器升级消耗!M:M,1)),0)</f>
        <v>80</v>
      </c>
      <c r="DX144" s="90">
        <f ca="1">_xlfn.IFNA(INDEX(武器升级消耗!$H:$H,MATCH(玩家节奏2!DT144/玩家节奏2!DT$5,武器升级消耗!N:N,1)),0)</f>
        <v>70</v>
      </c>
      <c r="DY144" s="90">
        <f ca="1">_xlfn.IFNA(INDEX(武器升级消耗!$H:$H,MATCH(玩家节奏2!DU144/玩家节奏2!DU$5,武器升级消耗!O:O,1)),0)</f>
        <v>53</v>
      </c>
      <c r="DZ144" s="90">
        <f>_xlfn.IFNA(INDEX(武器升级消耗!$H:$H,MATCH(玩家节奏2!DV144/玩家节奏2!DV$5,武器升级消耗!P:P,1)),0)</f>
        <v>33</v>
      </c>
      <c r="EA144" s="90">
        <f ca="1">_xlfn.IFNA(INDEX(武器升级消耗!$Q:$Q,MATCH(玩家节奏2!DW144,武器升级消耗!$H:$H,0))*2*EA$4,0)</f>
        <v>10.079999999999988</v>
      </c>
      <c r="EB144" s="90">
        <f ca="1">_xlfn.IFNA(INDEX(武器升级消耗!$Q:$Q,MATCH(玩家节奏2!DX144,武器升级消耗!$H:$H,0))*2*EB$4,0)</f>
        <v>11.100000000000001</v>
      </c>
      <c r="EC144" s="90">
        <f ca="1">_xlfn.IFNA(INDEX(武器升级消耗!$Q:$Q,MATCH(玩家节奏2!DY144,武器升级消耗!$H:$H,0))*2*EC$4,0)</f>
        <v>12.540000000000001</v>
      </c>
      <c r="ED144" s="90">
        <f>_xlfn.IFNA(INDEX(武器升级消耗!$Q:$Q,MATCH(玩家节奏2!DZ144,武器升级消耗!$H:$H,0))*2*ED$4,0)</f>
        <v>11.100000000000001</v>
      </c>
    </row>
    <row r="145" spans="1:134" x14ac:dyDescent="0.25">
      <c r="A145" s="123">
        <v>139</v>
      </c>
      <c r="B145" s="123">
        <f>INDEX(关卡对比!$Y:$Y,MATCH(关卡对比!Z145,关卡对比!$AA:$AA,1))</f>
        <v>83</v>
      </c>
      <c r="C145" s="124">
        <f>INDEX(关卡对比!$Y:$Y,MATCH(关卡对比!Z145,关卡对比!$AB:$AB,1))</f>
        <v>64</v>
      </c>
      <c r="D145" s="125">
        <f t="shared" si="131"/>
        <v>541.5</v>
      </c>
      <c r="E145" s="125">
        <v>2</v>
      </c>
      <c r="F145" s="128">
        <v>16</v>
      </c>
      <c r="G145" s="90">
        <v>16</v>
      </c>
      <c r="H145" s="90">
        <v>5</v>
      </c>
      <c r="J145" s="128">
        <v>139</v>
      </c>
      <c r="K145" s="90">
        <f t="shared" si="152"/>
        <v>16</v>
      </c>
      <c r="L145" s="90">
        <f t="shared" si="153"/>
        <v>16</v>
      </c>
      <c r="M145" s="90">
        <f t="shared" si="154"/>
        <v>5</v>
      </c>
      <c r="N145" s="140">
        <f>INDEX($A:$A,MATCH(SUM($K$7:K145),$D:$D,1))</f>
        <v>200</v>
      </c>
      <c r="O145" s="140">
        <v>0</v>
      </c>
      <c r="P145" s="141">
        <v>0</v>
      </c>
      <c r="Q145" s="126">
        <f>_xlfn.MAXIFS(关卡产出!X:X,关卡产出!$A:$A,玩家节奏2!$N$6,关卡产出!$B:$B,玩家节奏2!$N145)+_xlfn.MAXIFS(关卡产出!X:X,关卡产出!$A:$A,玩家节奏2!$O$6,关卡产出!$B:$B,玩家节奏2!$O145)+_xlfn.MAXIFS(关卡产出!X:X,关卡产出!$A:$A,玩家节奏2!$P$6,关卡产出!$B:$B,玩家节奏2!$P145)</f>
        <v>38500</v>
      </c>
      <c r="R145" s="90">
        <f>_xlfn.MAXIFS(关卡产出!Y:Y,关卡产出!$A:$A,玩家节奏2!$N$6,关卡产出!$B:$B,玩家节奏2!$N145)+_xlfn.MAXIFS(关卡产出!Y:Y,关卡产出!$A:$A,玩家节奏2!$O$6,关卡产出!$B:$B,玩家节奏2!$O145)+_xlfn.MAXIFS(关卡产出!Y:Y,关卡产出!$A:$A,玩家节奏2!$P$6,关卡产出!$B:$B,玩家节奏2!$P145)</f>
        <v>11610000</v>
      </c>
      <c r="S145" s="90">
        <f>_xlfn.MAXIFS(关卡产出!Z:Z,关卡产出!$A:$A,玩家节奏2!$N$6,关卡产出!$B:$B,玩家节奏2!$N145)+_xlfn.MAXIFS(关卡产出!Z:Z,关卡产出!$A:$A,玩家节奏2!$O$6,关卡产出!$B:$B,玩家节奏2!$O145)+_xlfn.MAXIFS(关卡产出!Z:Z,关卡产出!$A:$A,玩家节奏2!$P$6,关卡产出!$B:$B,玩家节奏2!$P145)</f>
        <v>78866</v>
      </c>
      <c r="T145" s="90">
        <f>_xlfn.MAXIFS(关卡产出!AA:AA,关卡产出!$A:$A,玩家节奏2!$N$6,关卡产出!$B:$B,玩家节奏2!$N145)+_xlfn.MAXIFS(关卡产出!AA:AA,关卡产出!$A:$A,玩家节奏2!$O$6,关卡产出!$B:$B,玩家节奏2!$O145)+_xlfn.MAXIFS(关卡产出!AA:AA,关卡产出!$A:$A,玩家节奏2!$P$6,关卡产出!$B:$B,玩家节奏2!$P145)</f>
        <v>39434</v>
      </c>
      <c r="U145" s="90">
        <f>_xlfn.MAXIFS(关卡产出!AB:AB,关卡产出!$A:$A,玩家节奏2!$N$6,关卡产出!$B:$B,玩家节奏2!$N145)+_xlfn.MAXIFS(关卡产出!AB:AB,关卡产出!$A:$A,玩家节奏2!$O$6,关卡产出!$B:$B,玩家节奏2!$O145)+_xlfn.MAXIFS(关卡产出!AB:AB,关卡产出!$A:$A,玩家节奏2!$P$6,关卡产出!$B:$B,玩家节奏2!$P145)</f>
        <v>19113</v>
      </c>
      <c r="V145" s="130">
        <f>_xlfn.MAXIFS(关卡产出!AC:AC,关卡产出!$A:$A,玩家节奏2!$N$6,关卡产出!$B:$B,玩家节奏2!$N145)+_xlfn.MAXIFS(关卡产出!AC:AC,关卡产出!$A:$A,玩家节奏2!$O$6,关卡产出!$B:$B,玩家节奏2!$O145)+_xlfn.MAXIFS(关卡产出!AC:AC,关卡产出!$A:$A,玩家节奏2!$P$6,关卡产出!$B:$B,玩家节奏2!$P145)</f>
        <v>1200</v>
      </c>
      <c r="W145" s="126">
        <f>INDEX(关卡产出!C$8:C$207,MATCH(玩家节奏2!$N145,关卡产出!$B$8:$B$207,0))*$K145</f>
        <v>2528</v>
      </c>
      <c r="X145" s="126">
        <f>INDEX(关卡产出!D$8:D$207,MATCH(玩家节奏2!$N145,关卡产出!$B$8:$B$207,0))*$K145</f>
        <v>1264</v>
      </c>
      <c r="Y145" s="126">
        <f>INDEX(关卡产出!E$8:E$207,MATCH(玩家节奏2!$N145,关卡产出!$B$8:$B$207,0))*$K145</f>
        <v>624</v>
      </c>
      <c r="Z145" s="144">
        <f>INDEX(关卡产出!F$8:F$207,MATCH(玩家节奏2!$N145,关卡产出!$B$8:$B$207,0))*$K145</f>
        <v>32800</v>
      </c>
      <c r="AA145" s="126">
        <f>SUM(W$7:W145)</f>
        <v>293262</v>
      </c>
      <c r="AB145" s="126">
        <f>SUM(X$7:X145)</f>
        <v>146467</v>
      </c>
      <c r="AC145" s="126">
        <f>SUM(Y$7:Y145)</f>
        <v>72083</v>
      </c>
      <c r="AD145" s="177">
        <f>SUM(Z$7:Z145)</f>
        <v>3832730</v>
      </c>
      <c r="AE145" s="128">
        <f>INDEX(图鉴!AQ:AQ,MATCH($N145,图鉴!$S:$S,0))*34</f>
        <v>714</v>
      </c>
      <c r="AF145" s="90">
        <f>INDEX(图鉴!AR:AR,MATCH($N145,图鉴!$S:$S,0))*34</f>
        <v>510</v>
      </c>
      <c r="AG145" s="90">
        <f>INDEX(图鉴!AS:AS,MATCH($N145,图鉴!$S:$S,0))*34</f>
        <v>204</v>
      </c>
      <c r="AH145" s="129">
        <f ca="1">INDEX(图鉴!AT:AT,MATCH($N145,图鉴!$S:$S,0))*34</f>
        <v>55930</v>
      </c>
      <c r="AI145" s="128">
        <f>SUM($AE$7:AE145)</f>
        <v>97342</v>
      </c>
      <c r="AJ145" s="90">
        <f>SUM(AF$7:AF145)</f>
        <v>67422</v>
      </c>
      <c r="AK145" s="90">
        <f>SUM(AG$7:AG145)</f>
        <v>26418</v>
      </c>
      <c r="AL145" s="130">
        <f ca="1">SUM(AH$7:AH145)</f>
        <v>6944636</v>
      </c>
      <c r="AM145" s="133">
        <f>IF(M145=0,0,INDEX(关卡产出!$AU$11:$AU$15,MATCH(玩家节奏2!N145,关卡产出!$AW$11:$AW$15,1))*M145)</f>
        <v>61000</v>
      </c>
      <c r="AN145" s="126">
        <f>IF(L145=0,0,$L145*关卡产出!AU$21)</f>
        <v>16000</v>
      </c>
      <c r="AO145" s="90">
        <f>IF(M145=0,0,$L145*关卡产出!AV$21)</f>
        <v>800</v>
      </c>
      <c r="AP145" s="129">
        <f>IF(N145=0,0,$L145*关卡产出!AW$21)</f>
        <v>16</v>
      </c>
      <c r="AQ145" s="138">
        <f>SUM(AN$7:AN145)</f>
        <v>2176000</v>
      </c>
      <c r="AR145" s="126">
        <f>SUM(AO$7:AO145)</f>
        <v>108800</v>
      </c>
      <c r="AS145" s="129">
        <f>SUM(AP$7:AP145)</f>
        <v>2176</v>
      </c>
      <c r="AT145" s="128">
        <v>3000</v>
      </c>
      <c r="AU145" s="129">
        <v>600</v>
      </c>
      <c r="AV145" s="128">
        <f>SUM(AT$7:AT145)</f>
        <v>417000</v>
      </c>
      <c r="AW145" s="90">
        <f>SUM(AU$7:AU145)</f>
        <v>83400</v>
      </c>
      <c r="AY145" s="128">
        <f t="shared" si="155"/>
        <v>38500</v>
      </c>
      <c r="AZ145" s="90">
        <f t="shared" si="156"/>
        <v>108800</v>
      </c>
      <c r="BA145" s="90">
        <f t="shared" si="157"/>
        <v>83400</v>
      </c>
      <c r="BB145" s="90">
        <f t="shared" ca="1" si="185"/>
        <v>40800</v>
      </c>
      <c r="BC145" s="90">
        <f t="shared" ca="1" si="187"/>
        <v>137925</v>
      </c>
      <c r="BD145" s="90">
        <f t="shared" ca="1" si="188"/>
        <v>133575</v>
      </c>
      <c r="BE145" s="90">
        <f t="shared" ca="1" si="158"/>
        <v>271500</v>
      </c>
      <c r="BF145" s="142">
        <f t="shared" ca="1" si="139"/>
        <v>0.27913721225303606</v>
      </c>
      <c r="BG145" s="142">
        <f t="shared" ca="1" si="140"/>
        <v>0.7888345115098786</v>
      </c>
      <c r="BH145" s="142">
        <f t="shared" ca="1" si="141"/>
        <v>0.6046764545948885</v>
      </c>
      <c r="BI145" s="142">
        <f t="shared" ca="1" si="159"/>
        <v>0.29581294181620443</v>
      </c>
      <c r="BJ145" s="143"/>
      <c r="BK145" s="128">
        <f ca="1">INDEX(商城宝箱!$L:$L,MATCH(BC145,商城宝箱!$N:$N,1))</f>
        <v>13</v>
      </c>
      <c r="BL145" s="90">
        <f ca="1">_xlfn.IFNA(INDEX(商城宝箱!T:T,MATCH(玩家节奏2!$BK145,商城宝箱!$L:$L,0)),0)+($BC145-INDEX(商城宝箱!$N:$N,MATCH(玩家节奏2!$BK145,商城宝箱!$L:$L,0)))/$BK$5*INDEX(商城宝箱!E$23:E$42,MATCH(玩家节奏2!$BK145+1,商城宝箱!$C$23:$C$42,0))</f>
        <v>344812.5</v>
      </c>
      <c r="BM145" s="90">
        <f ca="1">_xlfn.IFNA(INDEX(商城宝箱!U:U,MATCH(玩家节奏2!$BK145,商城宝箱!$L:$L,0)),0)+($BC145-INDEX(商城宝箱!$N:$N,MATCH(玩家节奏2!$BK145,商城宝箱!$L:$L,0)))/$BK$5*INDEX(商城宝箱!F$23:F$42,MATCH(玩家节奏2!$BK145+1,商城宝箱!$C$23:$C$42,0))</f>
        <v>403540</v>
      </c>
      <c r="BN145" s="90">
        <f ca="1">_xlfn.IFNA(INDEX(商城宝箱!V:V,MATCH(玩家节奏2!$BK145,商城宝箱!$L:$L,0)),0)+($BC145-INDEX(商城宝箱!$N:$N,MATCH(玩家节奏2!$BK145,商城宝箱!$L:$L,0)))/$BK$5*INDEX(商城宝箱!G$23:G$42,MATCH(玩家节奏2!$BK145+1,商城宝箱!$C$23:$C$42,0))</f>
        <v>202993.25</v>
      </c>
      <c r="BO145" s="90">
        <f ca="1">_xlfn.IFNA(INDEX(商城宝箱!W:W,MATCH(玩家节奏2!$BK145,商城宝箱!$L:$L,0)),0)+($BC145-INDEX(商城宝箱!$N:$N,MATCH(玩家节奏2!$BK145,商城宝箱!$L:$L,0)))/$BK$5*INDEX(商城宝箱!H$23:H$42,MATCH(玩家节奏2!$BK145+1,商城宝箱!$C$23:$C$42,0))</f>
        <v>32761.5</v>
      </c>
      <c r="BQ145" s="128">
        <f t="shared" si="143"/>
        <v>11610000</v>
      </c>
      <c r="BR145" s="90">
        <f t="shared" si="144"/>
        <v>3832730</v>
      </c>
      <c r="BS145" s="90">
        <f t="shared" ca="1" si="145"/>
        <v>6944636</v>
      </c>
      <c r="BT145" s="90">
        <f t="shared" si="146"/>
        <v>61000</v>
      </c>
      <c r="BU145" s="90">
        <f t="shared" si="147"/>
        <v>2176000</v>
      </c>
      <c r="BV145" s="90">
        <f t="shared" si="148"/>
        <v>417000</v>
      </c>
      <c r="BW145" s="90">
        <f t="shared" ca="1" si="160"/>
        <v>344812.5</v>
      </c>
      <c r="BX145" s="90">
        <f t="shared" ca="1" si="161"/>
        <v>25386178.5</v>
      </c>
      <c r="BY145" s="142">
        <f t="shared" ca="1" si="138"/>
        <v>0.45733547489237109</v>
      </c>
      <c r="BZ145" s="142">
        <f t="shared" ca="1" si="138"/>
        <v>0.15097703657917635</v>
      </c>
      <c r="CA145" s="142">
        <f t="shared" ca="1" si="138"/>
        <v>0.27355972463519862</v>
      </c>
      <c r="CB145" s="142">
        <f t="shared" ca="1" si="138"/>
        <v>2.402882340089116E-3</v>
      </c>
      <c r="CC145" s="142">
        <f t="shared" ca="1" si="138"/>
        <v>8.5715933967769109E-2</v>
      </c>
      <c r="CD145" s="142">
        <f t="shared" ca="1" si="138"/>
        <v>1.6426261242904285E-2</v>
      </c>
      <c r="CE145" s="142">
        <f t="shared" ca="1" si="138"/>
        <v>1.3582686342491447E-2</v>
      </c>
      <c r="CG145" s="128">
        <f t="shared" si="162"/>
        <v>200</v>
      </c>
      <c r="CH145" s="90">
        <f ca="1">INDEX(角色升级!$A:$A,MATCH(玩家节奏2!$BX145,角色升级!$J:$J,1))</f>
        <v>1047</v>
      </c>
      <c r="CI145" s="90">
        <f ca="1">INDEX(角色升级!$O:$O,MATCH(玩家节奏2!$BX145,角色升级!$J:$J,1))</f>
        <v>99294.156750000009</v>
      </c>
      <c r="CJ145" s="90">
        <f>INDEX(关卡对比!$J:$J,MATCH(玩家节奏2!N145,关卡对比!$A:$A,0))</f>
        <v>86200</v>
      </c>
      <c r="CK145" s="147">
        <f t="shared" ca="1" si="163"/>
        <v>0.8681276202086281</v>
      </c>
      <c r="CL145" s="128">
        <f ca="1">INDEX(角色升级!$P:$P,MATCH(玩家节奏2!$CH145,角色升级!$A:$A,0))</f>
        <v>40800</v>
      </c>
      <c r="CM145" s="90">
        <f ca="1">INDEX(角色升级!Q:Q,MATCH(玩家节奏2!$CH145,角色升级!$A:$A,0))</f>
        <v>2.2000000000000002</v>
      </c>
      <c r="CO145" s="128">
        <f t="shared" si="164"/>
        <v>78866</v>
      </c>
      <c r="CP145" s="90">
        <f t="shared" si="165"/>
        <v>293262</v>
      </c>
      <c r="CQ145" s="90">
        <f t="shared" si="166"/>
        <v>97342</v>
      </c>
      <c r="CR145" s="90">
        <f t="shared" ca="1" si="167"/>
        <v>403540</v>
      </c>
      <c r="CS145" s="90">
        <f t="shared" ca="1" si="168"/>
        <v>873010</v>
      </c>
      <c r="CT145" s="142">
        <f t="shared" ca="1" si="169"/>
        <v>9.0338025910356126E-2</v>
      </c>
      <c r="CU145" s="142">
        <f t="shared" ca="1" si="169"/>
        <v>0.33592055073825045</v>
      </c>
      <c r="CV145" s="142">
        <f t="shared" ca="1" si="169"/>
        <v>0.11150158646521804</v>
      </c>
      <c r="CW145" s="142">
        <f t="shared" ca="1" si="149"/>
        <v>0.46223983688617543</v>
      </c>
      <c r="CY145" s="128">
        <f t="shared" si="170"/>
        <v>39434</v>
      </c>
      <c r="CZ145" s="90">
        <f t="shared" si="171"/>
        <v>146467</v>
      </c>
      <c r="DA145" s="90">
        <f t="shared" si="172"/>
        <v>67422</v>
      </c>
      <c r="DB145" s="90">
        <f t="shared" ca="1" si="186"/>
        <v>202993.25</v>
      </c>
      <c r="DC145" s="90">
        <f t="shared" ca="1" si="173"/>
        <v>456316.25</v>
      </c>
      <c r="DD145" s="142">
        <f t="shared" ca="1" si="174"/>
        <v>8.6418136544556545E-2</v>
      </c>
      <c r="DE145" s="142">
        <f t="shared" ca="1" si="174"/>
        <v>0.32097695403133242</v>
      </c>
      <c r="DF145" s="142">
        <f t="shared" ca="1" si="174"/>
        <v>0.14775279206033096</v>
      </c>
      <c r="DG145" s="142">
        <f t="shared" ca="1" si="150"/>
        <v>0.44485211736378005</v>
      </c>
      <c r="DI145" s="128">
        <f t="shared" si="175"/>
        <v>19113</v>
      </c>
      <c r="DJ145" s="90">
        <f t="shared" si="176"/>
        <v>72083</v>
      </c>
      <c r="DK145" s="90">
        <f t="shared" si="177"/>
        <v>26418</v>
      </c>
      <c r="DL145" s="90">
        <f t="shared" ca="1" si="178"/>
        <v>32761.5</v>
      </c>
      <c r="DM145" s="90">
        <f t="shared" ca="1" si="179"/>
        <v>150375.5</v>
      </c>
      <c r="DN145" s="142">
        <f t="shared" ca="1" si="180"/>
        <v>0.12710182177282869</v>
      </c>
      <c r="DO145" s="142">
        <f t="shared" ca="1" si="180"/>
        <v>0.4793533521085549</v>
      </c>
      <c r="DP145" s="142">
        <f t="shared" ca="1" si="180"/>
        <v>0.17568021386462557</v>
      </c>
      <c r="DQ145" s="142">
        <f t="shared" ca="1" si="151"/>
        <v>0.21786461225399084</v>
      </c>
      <c r="DS145" s="128">
        <f t="shared" ca="1" si="181"/>
        <v>873010</v>
      </c>
      <c r="DT145" s="90">
        <f t="shared" ca="1" si="182"/>
        <v>456316.25</v>
      </c>
      <c r="DU145" s="90">
        <f t="shared" ca="1" si="183"/>
        <v>150375.5</v>
      </c>
      <c r="DV145" s="90">
        <f t="shared" si="184"/>
        <v>2176</v>
      </c>
      <c r="DW145" s="90">
        <f ca="1">_xlfn.IFNA(INDEX(武器升级消耗!$H:$H,MATCH(玩家节奏2!DS145/玩家节奏2!DS$5,武器升级消耗!M:M,1)),0)</f>
        <v>81</v>
      </c>
      <c r="DX145" s="90">
        <f ca="1">_xlfn.IFNA(INDEX(武器升级消耗!$H:$H,MATCH(玩家节奏2!DT145/玩家节奏2!DT$5,武器升级消耗!N:N,1)),0)</f>
        <v>71</v>
      </c>
      <c r="DY145" s="90">
        <f ca="1">_xlfn.IFNA(INDEX(武器升级消耗!$H:$H,MATCH(玩家节奏2!DU145/玩家节奏2!DU$5,武器升级消耗!O:O,1)),0)</f>
        <v>53</v>
      </c>
      <c r="DZ145" s="90">
        <f>_xlfn.IFNA(INDEX(武器升级消耗!$H:$H,MATCH(玩家节奏2!DV145/玩家节奏2!DV$5,武器升级消耗!P:P,1)),0)</f>
        <v>33</v>
      </c>
      <c r="EA145" s="90">
        <f ca="1">_xlfn.IFNA(INDEX(武器升级消耗!$Q:$Q,MATCH(玩家节奏2!DW145,武器升级消耗!$H:$H,0))*2*EA$4,0)</f>
        <v>10.199999999999987</v>
      </c>
      <c r="EB145" s="90">
        <f ca="1">_xlfn.IFNA(INDEX(武器升级消耗!$Q:$Q,MATCH(玩家节奏2!DX145,武器升级消耗!$H:$H,0))*2*EB$4,0)</f>
        <v>11.249999999999986</v>
      </c>
      <c r="EC145" s="90">
        <f ca="1">_xlfn.IFNA(INDEX(武器升级消耗!$Q:$Q,MATCH(玩家节奏2!DY145,武器升级消耗!$H:$H,0))*2*EC$4,0)</f>
        <v>12.540000000000001</v>
      </c>
      <c r="ED145" s="90">
        <f>_xlfn.IFNA(INDEX(武器升级消耗!$Q:$Q,MATCH(玩家节奏2!DZ145,武器升级消耗!$H:$H,0))*2*ED$4,0)</f>
        <v>11.100000000000001</v>
      </c>
    </row>
    <row r="146" spans="1:134" x14ac:dyDescent="0.25">
      <c r="A146" s="123">
        <v>140</v>
      </c>
      <c r="B146" s="123">
        <f>INDEX(关卡对比!$Y:$Y,MATCH(关卡对比!Z146,关卡对比!$AA:$AA,1))</f>
        <v>83</v>
      </c>
      <c r="C146" s="124">
        <f>INDEX(关卡对比!$Y:$Y,MATCH(关卡对比!Z146,关卡对比!$AB:$AB,1))</f>
        <v>65</v>
      </c>
      <c r="D146" s="125">
        <f t="shared" si="131"/>
        <v>545.5</v>
      </c>
      <c r="E146" s="125">
        <v>2</v>
      </c>
      <c r="F146" s="128">
        <v>16</v>
      </c>
      <c r="G146" s="90">
        <v>16</v>
      </c>
      <c r="H146" s="90">
        <v>5</v>
      </c>
      <c r="J146" s="128">
        <v>140</v>
      </c>
      <c r="K146" s="90">
        <f t="shared" si="152"/>
        <v>16</v>
      </c>
      <c r="L146" s="90">
        <f t="shared" si="153"/>
        <v>16</v>
      </c>
      <c r="M146" s="90">
        <f t="shared" si="154"/>
        <v>5</v>
      </c>
      <c r="N146" s="140">
        <f>INDEX($A:$A,MATCH(SUM($K$7:K146),$D:$D,1))</f>
        <v>200</v>
      </c>
      <c r="O146" s="140">
        <v>0</v>
      </c>
      <c r="P146" s="141">
        <v>0</v>
      </c>
      <c r="Q146" s="126">
        <f>_xlfn.MAXIFS(关卡产出!X:X,关卡产出!$A:$A,玩家节奏2!$N$6,关卡产出!$B:$B,玩家节奏2!$N146)+_xlfn.MAXIFS(关卡产出!X:X,关卡产出!$A:$A,玩家节奏2!$O$6,关卡产出!$B:$B,玩家节奏2!$O146)+_xlfn.MAXIFS(关卡产出!X:X,关卡产出!$A:$A,玩家节奏2!$P$6,关卡产出!$B:$B,玩家节奏2!$P146)</f>
        <v>38500</v>
      </c>
      <c r="R146" s="90">
        <f>_xlfn.MAXIFS(关卡产出!Y:Y,关卡产出!$A:$A,玩家节奏2!$N$6,关卡产出!$B:$B,玩家节奏2!$N146)+_xlfn.MAXIFS(关卡产出!Y:Y,关卡产出!$A:$A,玩家节奏2!$O$6,关卡产出!$B:$B,玩家节奏2!$O146)+_xlfn.MAXIFS(关卡产出!Y:Y,关卡产出!$A:$A,玩家节奏2!$P$6,关卡产出!$B:$B,玩家节奏2!$P146)</f>
        <v>11610000</v>
      </c>
      <c r="S146" s="90">
        <f>_xlfn.MAXIFS(关卡产出!Z:Z,关卡产出!$A:$A,玩家节奏2!$N$6,关卡产出!$B:$B,玩家节奏2!$N146)+_xlfn.MAXIFS(关卡产出!Z:Z,关卡产出!$A:$A,玩家节奏2!$O$6,关卡产出!$B:$B,玩家节奏2!$O146)+_xlfn.MAXIFS(关卡产出!Z:Z,关卡产出!$A:$A,玩家节奏2!$P$6,关卡产出!$B:$B,玩家节奏2!$P146)</f>
        <v>78866</v>
      </c>
      <c r="T146" s="90">
        <f>_xlfn.MAXIFS(关卡产出!AA:AA,关卡产出!$A:$A,玩家节奏2!$N$6,关卡产出!$B:$B,玩家节奏2!$N146)+_xlfn.MAXIFS(关卡产出!AA:AA,关卡产出!$A:$A,玩家节奏2!$O$6,关卡产出!$B:$B,玩家节奏2!$O146)+_xlfn.MAXIFS(关卡产出!AA:AA,关卡产出!$A:$A,玩家节奏2!$P$6,关卡产出!$B:$B,玩家节奏2!$P146)</f>
        <v>39434</v>
      </c>
      <c r="U146" s="90">
        <f>_xlfn.MAXIFS(关卡产出!AB:AB,关卡产出!$A:$A,玩家节奏2!$N$6,关卡产出!$B:$B,玩家节奏2!$N146)+_xlfn.MAXIFS(关卡产出!AB:AB,关卡产出!$A:$A,玩家节奏2!$O$6,关卡产出!$B:$B,玩家节奏2!$O146)+_xlfn.MAXIFS(关卡产出!AB:AB,关卡产出!$A:$A,玩家节奏2!$P$6,关卡产出!$B:$B,玩家节奏2!$P146)</f>
        <v>19113</v>
      </c>
      <c r="V146" s="130">
        <f>_xlfn.MAXIFS(关卡产出!AC:AC,关卡产出!$A:$A,玩家节奏2!$N$6,关卡产出!$B:$B,玩家节奏2!$N146)+_xlfn.MAXIFS(关卡产出!AC:AC,关卡产出!$A:$A,玩家节奏2!$O$6,关卡产出!$B:$B,玩家节奏2!$O146)+_xlfn.MAXIFS(关卡产出!AC:AC,关卡产出!$A:$A,玩家节奏2!$P$6,关卡产出!$B:$B,玩家节奏2!$P146)</f>
        <v>1200</v>
      </c>
      <c r="W146" s="126">
        <f>INDEX(关卡产出!C$8:C$207,MATCH(玩家节奏2!$N146,关卡产出!$B$8:$B$207,0))*$K146</f>
        <v>2528</v>
      </c>
      <c r="X146" s="126">
        <f>INDEX(关卡产出!D$8:D$207,MATCH(玩家节奏2!$N146,关卡产出!$B$8:$B$207,0))*$K146</f>
        <v>1264</v>
      </c>
      <c r="Y146" s="126">
        <f>INDEX(关卡产出!E$8:E$207,MATCH(玩家节奏2!$N146,关卡产出!$B$8:$B$207,0))*$K146</f>
        <v>624</v>
      </c>
      <c r="Z146" s="144">
        <f>INDEX(关卡产出!F$8:F$207,MATCH(玩家节奏2!$N146,关卡产出!$B$8:$B$207,0))*$K146</f>
        <v>32800</v>
      </c>
      <c r="AA146" s="126">
        <f>SUM(W$7:W146)</f>
        <v>295790</v>
      </c>
      <c r="AB146" s="126">
        <f>SUM(X$7:X146)</f>
        <v>147731</v>
      </c>
      <c r="AC146" s="126">
        <f>SUM(Y$7:Y146)</f>
        <v>72707</v>
      </c>
      <c r="AD146" s="177">
        <f>SUM(Z$7:Z146)</f>
        <v>3865530</v>
      </c>
      <c r="AE146" s="128">
        <f>INDEX(图鉴!AQ:AQ,MATCH($N146,图鉴!$S:$S,0))*34</f>
        <v>714</v>
      </c>
      <c r="AF146" s="90">
        <f>INDEX(图鉴!AR:AR,MATCH($N146,图鉴!$S:$S,0))*34</f>
        <v>510</v>
      </c>
      <c r="AG146" s="90">
        <f>INDEX(图鉴!AS:AS,MATCH($N146,图鉴!$S:$S,0))*34</f>
        <v>204</v>
      </c>
      <c r="AH146" s="129">
        <f ca="1">INDEX(图鉴!AT:AT,MATCH($N146,图鉴!$S:$S,0))*34</f>
        <v>55930</v>
      </c>
      <c r="AI146" s="128">
        <f>SUM($AE$7:AE146)</f>
        <v>98056</v>
      </c>
      <c r="AJ146" s="90">
        <f>SUM(AF$7:AF146)</f>
        <v>67932</v>
      </c>
      <c r="AK146" s="90">
        <f>SUM(AG$7:AG146)</f>
        <v>26622</v>
      </c>
      <c r="AL146" s="130">
        <f ca="1">SUM(AH$7:AH146)</f>
        <v>7000566</v>
      </c>
      <c r="AM146" s="133">
        <f>IF(M146=0,0,INDEX(关卡产出!$AU$11:$AU$15,MATCH(玩家节奏2!N146,关卡产出!$AW$11:$AW$15,1))*M146)</f>
        <v>61000</v>
      </c>
      <c r="AN146" s="126">
        <f>IF(L146=0,0,$L146*关卡产出!AU$21)</f>
        <v>16000</v>
      </c>
      <c r="AO146" s="90">
        <f>IF(M146=0,0,$L146*关卡产出!AV$21)</f>
        <v>800</v>
      </c>
      <c r="AP146" s="129">
        <f>IF(N146=0,0,$L146*关卡产出!AW$21)</f>
        <v>16</v>
      </c>
      <c r="AQ146" s="138">
        <f>SUM(AN$7:AN146)</f>
        <v>2192000</v>
      </c>
      <c r="AR146" s="126">
        <f>SUM(AO$7:AO146)</f>
        <v>109600</v>
      </c>
      <c r="AS146" s="129">
        <f>SUM(AP$7:AP146)</f>
        <v>2192</v>
      </c>
      <c r="AT146" s="128">
        <v>3000</v>
      </c>
      <c r="AU146" s="129">
        <v>600</v>
      </c>
      <c r="AV146" s="128">
        <f>SUM(AT$7:AT146)</f>
        <v>420000</v>
      </c>
      <c r="AW146" s="90">
        <f>SUM(AU$7:AU146)</f>
        <v>84000</v>
      </c>
      <c r="AY146" s="128">
        <f t="shared" si="155"/>
        <v>38500</v>
      </c>
      <c r="AZ146" s="90">
        <f t="shared" si="156"/>
        <v>109600</v>
      </c>
      <c r="BA146" s="90">
        <f t="shared" si="157"/>
        <v>84000</v>
      </c>
      <c r="BB146" s="90">
        <f t="shared" ca="1" si="185"/>
        <v>40800</v>
      </c>
      <c r="BC146" s="90">
        <f t="shared" ca="1" si="187"/>
        <v>138625</v>
      </c>
      <c r="BD146" s="90">
        <f t="shared" ca="1" si="188"/>
        <v>134275</v>
      </c>
      <c r="BE146" s="90">
        <f t="shared" ca="1" si="158"/>
        <v>272900</v>
      </c>
      <c r="BF146" s="142">
        <f t="shared" ca="1" si="139"/>
        <v>0.2777276825969342</v>
      </c>
      <c r="BG146" s="142">
        <f t="shared" ca="1" si="140"/>
        <v>0.7906221821460776</v>
      </c>
      <c r="BH146" s="142">
        <f t="shared" ca="1" si="141"/>
        <v>0.60595130748421999</v>
      </c>
      <c r="BI146" s="142">
        <f t="shared" ca="1" si="159"/>
        <v>0.29431920649233545</v>
      </c>
      <c r="BJ146" s="143"/>
      <c r="BK146" s="128">
        <f ca="1">INDEX(商城宝箱!$L:$L,MATCH(BC146,商城宝箱!$N:$N,1))</f>
        <v>13</v>
      </c>
      <c r="BL146" s="90">
        <f ca="1">_xlfn.IFNA(INDEX(商城宝箱!T:T,MATCH(玩家节奏2!$BK146,商城宝箱!$L:$L,0)),0)+($BC146-INDEX(商城宝箱!$N:$N,MATCH(玩家节奏2!$BK146,商城宝箱!$L:$L,0)))/$BK$5*INDEX(商城宝箱!E$23:E$42,MATCH(玩家节奏2!$BK146+1,商城宝箱!$C$23:$C$42,0))</f>
        <v>346562.5</v>
      </c>
      <c r="BM146" s="90">
        <f ca="1">_xlfn.IFNA(INDEX(商城宝箱!U:U,MATCH(玩家节奏2!$BK146,商城宝箱!$L:$L,0)),0)+($BC146-INDEX(商城宝箱!$N:$N,MATCH(玩家节奏2!$BK146,商城宝箱!$L:$L,0)))/$BK$5*INDEX(商城宝箱!F$23:F$42,MATCH(玩家节奏2!$BK146+1,商城宝箱!$C$23:$C$42,0))</f>
        <v>406830</v>
      </c>
      <c r="BN146" s="90">
        <f ca="1">_xlfn.IFNA(INDEX(商城宝箱!V:V,MATCH(玩家节奏2!$BK146,商城宝箱!$L:$L,0)),0)+($BC146-INDEX(商城宝箱!$N:$N,MATCH(玩家节奏2!$BK146,商城宝箱!$L:$L,0)))/$BK$5*INDEX(商城宝箱!G$23:G$42,MATCH(玩家节奏2!$BK146+1,商城宝箱!$C$23:$C$42,0))</f>
        <v>204568.25</v>
      </c>
      <c r="BO146" s="90">
        <f ca="1">_xlfn.IFNA(INDEX(商城宝箱!W:W,MATCH(玩家节奏2!$BK146,商城宝箱!$L:$L,0)),0)+($BC146-INDEX(商城宝箱!$N:$N,MATCH(玩家节奏2!$BK146,商城宝箱!$L:$L,0)))/$BK$5*INDEX(商城宝箱!H$23:H$42,MATCH(玩家节奏2!$BK146+1,商城宝箱!$C$23:$C$42,0))</f>
        <v>33041.5</v>
      </c>
      <c r="BQ146" s="128">
        <f t="shared" si="143"/>
        <v>11610000</v>
      </c>
      <c r="BR146" s="90">
        <f t="shared" si="144"/>
        <v>3865530</v>
      </c>
      <c r="BS146" s="90">
        <f t="shared" ca="1" si="145"/>
        <v>7000566</v>
      </c>
      <c r="BT146" s="90">
        <f t="shared" si="146"/>
        <v>61000</v>
      </c>
      <c r="BU146" s="90">
        <f t="shared" si="147"/>
        <v>2192000</v>
      </c>
      <c r="BV146" s="90">
        <f t="shared" si="148"/>
        <v>420000</v>
      </c>
      <c r="BW146" s="90">
        <f t="shared" ca="1" si="160"/>
        <v>346562.5</v>
      </c>
      <c r="BX146" s="90">
        <f t="shared" ca="1" si="161"/>
        <v>25495658.5</v>
      </c>
      <c r="BY146" s="142">
        <f t="shared" ca="1" si="138"/>
        <v>0.45537164690215787</v>
      </c>
      <c r="BZ146" s="142">
        <f t="shared" ca="1" si="138"/>
        <v>0.15161522499997401</v>
      </c>
      <c r="CA146" s="142">
        <f t="shared" ca="1" si="138"/>
        <v>0.2745787483778856</v>
      </c>
      <c r="CB146" s="142">
        <f t="shared" ca="1" si="138"/>
        <v>2.3925642085298564E-3</v>
      </c>
      <c r="CC146" s="142">
        <f t="shared" ca="1" si="138"/>
        <v>8.5975422050777781E-2</v>
      </c>
      <c r="CD146" s="142">
        <f t="shared" ca="1" si="138"/>
        <v>1.6473392911189173E-2</v>
      </c>
      <c r="CE146" s="142">
        <f t="shared" ca="1" si="138"/>
        <v>1.359300054948571E-2</v>
      </c>
      <c r="CG146" s="128">
        <f t="shared" si="162"/>
        <v>200</v>
      </c>
      <c r="CH146" s="90">
        <f ca="1">INDEX(角色升级!$A:$A,MATCH(玩家节奏2!$BX146,角色升级!$J:$J,1))</f>
        <v>1047</v>
      </c>
      <c r="CI146" s="90">
        <f ca="1">INDEX(角色升级!$O:$O,MATCH(玩家节奏2!$BX146,角色升级!$J:$J,1))</f>
        <v>99294.156750000009</v>
      </c>
      <c r="CJ146" s="90">
        <f>INDEX(关卡对比!$J:$J,MATCH(玩家节奏2!N146,关卡对比!$A:$A,0))</f>
        <v>86200</v>
      </c>
      <c r="CK146" s="147">
        <f t="shared" ca="1" si="163"/>
        <v>0.8681276202086281</v>
      </c>
      <c r="CL146" s="128">
        <f ca="1">INDEX(角色升级!$P:$P,MATCH(玩家节奏2!$CH146,角色升级!$A:$A,0))</f>
        <v>40800</v>
      </c>
      <c r="CM146" s="90">
        <f ca="1">INDEX(角色升级!Q:Q,MATCH(玩家节奏2!$CH146,角色升级!$A:$A,0))</f>
        <v>2.2000000000000002</v>
      </c>
      <c r="CO146" s="128">
        <f t="shared" si="164"/>
        <v>78866</v>
      </c>
      <c r="CP146" s="90">
        <f t="shared" si="165"/>
        <v>295790</v>
      </c>
      <c r="CQ146" s="90">
        <f t="shared" si="166"/>
        <v>98056</v>
      </c>
      <c r="CR146" s="90">
        <f t="shared" ca="1" si="167"/>
        <v>406830</v>
      </c>
      <c r="CS146" s="90">
        <f t="shared" ca="1" si="168"/>
        <v>879542</v>
      </c>
      <c r="CT146" s="142">
        <f t="shared" ca="1" si="169"/>
        <v>8.9667122206784897E-2</v>
      </c>
      <c r="CU146" s="142">
        <f t="shared" ca="1" si="169"/>
        <v>0.33630002887866639</v>
      </c>
      <c r="CV146" s="142">
        <f t="shared" ca="1" si="169"/>
        <v>0.11148529575620039</v>
      </c>
      <c r="CW146" s="142">
        <f t="shared" ca="1" si="149"/>
        <v>0.46254755315834833</v>
      </c>
      <c r="CY146" s="128">
        <f t="shared" si="170"/>
        <v>39434</v>
      </c>
      <c r="CZ146" s="90">
        <f t="shared" si="171"/>
        <v>147731</v>
      </c>
      <c r="DA146" s="90">
        <f t="shared" si="172"/>
        <v>67932</v>
      </c>
      <c r="DB146" s="90">
        <f t="shared" ca="1" si="186"/>
        <v>204568.25</v>
      </c>
      <c r="DC146" s="90">
        <f t="shared" ca="1" si="173"/>
        <v>459665.25</v>
      </c>
      <c r="DD146" s="142">
        <f t="shared" ca="1" si="174"/>
        <v>8.5788516752136473E-2</v>
      </c>
      <c r="DE146" s="142">
        <f t="shared" ca="1" si="174"/>
        <v>0.32138822762869285</v>
      </c>
      <c r="DF146" s="142">
        <f t="shared" ca="1" si="174"/>
        <v>0.14778580717163198</v>
      </c>
      <c r="DG146" s="142">
        <f t="shared" ca="1" si="150"/>
        <v>0.44503744844753873</v>
      </c>
      <c r="DI146" s="128">
        <f t="shared" si="175"/>
        <v>19113</v>
      </c>
      <c r="DJ146" s="90">
        <f t="shared" si="176"/>
        <v>72707</v>
      </c>
      <c r="DK146" s="90">
        <f t="shared" si="177"/>
        <v>26622</v>
      </c>
      <c r="DL146" s="90">
        <f t="shared" ca="1" si="178"/>
        <v>33041.5</v>
      </c>
      <c r="DM146" s="90">
        <f t="shared" ca="1" si="179"/>
        <v>151483.5</v>
      </c>
      <c r="DN146" s="142">
        <f t="shared" ca="1" si="180"/>
        <v>0.12617215736367327</v>
      </c>
      <c r="DO146" s="142">
        <f t="shared" ca="1" si="180"/>
        <v>0.47996646499453738</v>
      </c>
      <c r="DP146" s="142">
        <f t="shared" ca="1" si="180"/>
        <v>0.17574191248551824</v>
      </c>
      <c r="DQ146" s="142">
        <f t="shared" ca="1" si="151"/>
        <v>0.21811946515627115</v>
      </c>
      <c r="DS146" s="128">
        <f t="shared" ca="1" si="181"/>
        <v>879542</v>
      </c>
      <c r="DT146" s="90">
        <f t="shared" ca="1" si="182"/>
        <v>459665.25</v>
      </c>
      <c r="DU146" s="90">
        <f t="shared" ca="1" si="183"/>
        <v>151483.5</v>
      </c>
      <c r="DV146" s="90">
        <f t="shared" si="184"/>
        <v>2192</v>
      </c>
      <c r="DW146" s="90">
        <f ca="1">_xlfn.IFNA(INDEX(武器升级消耗!$H:$H,MATCH(玩家节奏2!DS146/玩家节奏2!DS$5,武器升级消耗!M:M,1)),0)</f>
        <v>81</v>
      </c>
      <c r="DX146" s="90">
        <f ca="1">_xlfn.IFNA(INDEX(武器升级消耗!$H:$H,MATCH(玩家节奏2!DT146/玩家节奏2!DT$5,武器升级消耗!N:N,1)),0)</f>
        <v>71</v>
      </c>
      <c r="DY146" s="90">
        <f ca="1">_xlfn.IFNA(INDEX(武器升级消耗!$H:$H,MATCH(玩家节奏2!DU146/玩家节奏2!DU$5,武器升级消耗!O:O,1)),0)</f>
        <v>53</v>
      </c>
      <c r="DZ146" s="90">
        <f>_xlfn.IFNA(INDEX(武器升级消耗!$H:$H,MATCH(玩家节奏2!DV146/玩家节奏2!DV$5,武器升级消耗!P:P,1)),0)</f>
        <v>34</v>
      </c>
      <c r="EA146" s="90">
        <f ca="1">_xlfn.IFNA(INDEX(武器升级消耗!$Q:$Q,MATCH(玩家节奏2!DW146,武器升级消耗!$H:$H,0))*2*EA$4,0)</f>
        <v>10.199999999999987</v>
      </c>
      <c r="EB146" s="90">
        <f ca="1">_xlfn.IFNA(INDEX(武器升级消耗!$Q:$Q,MATCH(玩家节奏2!DX146,武器升级消耗!$H:$H,0))*2*EB$4,0)</f>
        <v>11.249999999999986</v>
      </c>
      <c r="EC146" s="90">
        <f ca="1">_xlfn.IFNA(INDEX(武器升级消耗!$Q:$Q,MATCH(玩家节奏2!DY146,武器升级消耗!$H:$H,0))*2*EC$4,0)</f>
        <v>12.540000000000001</v>
      </c>
      <c r="ED146" s="90">
        <f>_xlfn.IFNA(INDEX(武器升级消耗!$Q:$Q,MATCH(玩家节奏2!DZ146,武器升级消耗!$H:$H,0))*2*ED$4,0)</f>
        <v>11.399999999999999</v>
      </c>
    </row>
    <row r="147" spans="1:134" x14ac:dyDescent="0.25">
      <c r="A147" s="123">
        <v>141</v>
      </c>
      <c r="B147" s="123">
        <f>INDEX(关卡对比!$Y:$Y,MATCH(关卡对比!Z147,关卡对比!$AA:$AA,1))</f>
        <v>84</v>
      </c>
      <c r="C147" s="124">
        <f>INDEX(关卡对比!$Y:$Y,MATCH(关卡对比!Z147,关卡对比!$AB:$AB,1))</f>
        <v>65</v>
      </c>
      <c r="D147" s="125">
        <f t="shared" si="131"/>
        <v>549.5</v>
      </c>
      <c r="E147" s="125">
        <v>2</v>
      </c>
      <c r="F147" s="128">
        <v>16</v>
      </c>
      <c r="G147" s="90">
        <v>16</v>
      </c>
      <c r="H147" s="90">
        <v>5</v>
      </c>
      <c r="J147" s="128">
        <v>141</v>
      </c>
      <c r="K147" s="90">
        <f t="shared" si="152"/>
        <v>16</v>
      </c>
      <c r="L147" s="90">
        <f t="shared" si="153"/>
        <v>16</v>
      </c>
      <c r="M147" s="90">
        <f t="shared" si="154"/>
        <v>5</v>
      </c>
      <c r="N147" s="140">
        <f>INDEX($A:$A,MATCH(SUM($K$7:K147),$D:$D,1))</f>
        <v>200</v>
      </c>
      <c r="O147" s="140">
        <v>0</v>
      </c>
      <c r="P147" s="141">
        <v>0</v>
      </c>
      <c r="Q147" s="126">
        <f>_xlfn.MAXIFS(关卡产出!X:X,关卡产出!$A:$A,玩家节奏2!$N$6,关卡产出!$B:$B,玩家节奏2!$N147)+_xlfn.MAXIFS(关卡产出!X:X,关卡产出!$A:$A,玩家节奏2!$O$6,关卡产出!$B:$B,玩家节奏2!$O147)+_xlfn.MAXIFS(关卡产出!X:X,关卡产出!$A:$A,玩家节奏2!$P$6,关卡产出!$B:$B,玩家节奏2!$P147)</f>
        <v>38500</v>
      </c>
      <c r="R147" s="90">
        <f>_xlfn.MAXIFS(关卡产出!Y:Y,关卡产出!$A:$A,玩家节奏2!$N$6,关卡产出!$B:$B,玩家节奏2!$N147)+_xlfn.MAXIFS(关卡产出!Y:Y,关卡产出!$A:$A,玩家节奏2!$O$6,关卡产出!$B:$B,玩家节奏2!$O147)+_xlfn.MAXIFS(关卡产出!Y:Y,关卡产出!$A:$A,玩家节奏2!$P$6,关卡产出!$B:$B,玩家节奏2!$P147)</f>
        <v>11610000</v>
      </c>
      <c r="S147" s="90">
        <f>_xlfn.MAXIFS(关卡产出!Z:Z,关卡产出!$A:$A,玩家节奏2!$N$6,关卡产出!$B:$B,玩家节奏2!$N147)+_xlfn.MAXIFS(关卡产出!Z:Z,关卡产出!$A:$A,玩家节奏2!$O$6,关卡产出!$B:$B,玩家节奏2!$O147)+_xlfn.MAXIFS(关卡产出!Z:Z,关卡产出!$A:$A,玩家节奏2!$P$6,关卡产出!$B:$B,玩家节奏2!$P147)</f>
        <v>78866</v>
      </c>
      <c r="T147" s="90">
        <f>_xlfn.MAXIFS(关卡产出!AA:AA,关卡产出!$A:$A,玩家节奏2!$N$6,关卡产出!$B:$B,玩家节奏2!$N147)+_xlfn.MAXIFS(关卡产出!AA:AA,关卡产出!$A:$A,玩家节奏2!$O$6,关卡产出!$B:$B,玩家节奏2!$O147)+_xlfn.MAXIFS(关卡产出!AA:AA,关卡产出!$A:$A,玩家节奏2!$P$6,关卡产出!$B:$B,玩家节奏2!$P147)</f>
        <v>39434</v>
      </c>
      <c r="U147" s="90">
        <f>_xlfn.MAXIFS(关卡产出!AB:AB,关卡产出!$A:$A,玩家节奏2!$N$6,关卡产出!$B:$B,玩家节奏2!$N147)+_xlfn.MAXIFS(关卡产出!AB:AB,关卡产出!$A:$A,玩家节奏2!$O$6,关卡产出!$B:$B,玩家节奏2!$O147)+_xlfn.MAXIFS(关卡产出!AB:AB,关卡产出!$A:$A,玩家节奏2!$P$6,关卡产出!$B:$B,玩家节奏2!$P147)</f>
        <v>19113</v>
      </c>
      <c r="V147" s="130">
        <f>_xlfn.MAXIFS(关卡产出!AC:AC,关卡产出!$A:$A,玩家节奏2!$N$6,关卡产出!$B:$B,玩家节奏2!$N147)+_xlfn.MAXIFS(关卡产出!AC:AC,关卡产出!$A:$A,玩家节奏2!$O$6,关卡产出!$B:$B,玩家节奏2!$O147)+_xlfn.MAXIFS(关卡产出!AC:AC,关卡产出!$A:$A,玩家节奏2!$P$6,关卡产出!$B:$B,玩家节奏2!$P147)</f>
        <v>1200</v>
      </c>
      <c r="W147" s="126">
        <f>INDEX(关卡产出!C$8:C$207,MATCH(玩家节奏2!$N147,关卡产出!$B$8:$B$207,0))*$K147</f>
        <v>2528</v>
      </c>
      <c r="X147" s="126">
        <f>INDEX(关卡产出!D$8:D$207,MATCH(玩家节奏2!$N147,关卡产出!$B$8:$B$207,0))*$K147</f>
        <v>1264</v>
      </c>
      <c r="Y147" s="126">
        <f>INDEX(关卡产出!E$8:E$207,MATCH(玩家节奏2!$N147,关卡产出!$B$8:$B$207,0))*$K147</f>
        <v>624</v>
      </c>
      <c r="Z147" s="144">
        <f>INDEX(关卡产出!F$8:F$207,MATCH(玩家节奏2!$N147,关卡产出!$B$8:$B$207,0))*$K147</f>
        <v>32800</v>
      </c>
      <c r="AA147" s="126">
        <f>SUM(W$7:W147)</f>
        <v>298318</v>
      </c>
      <c r="AB147" s="126">
        <f>SUM(X$7:X147)</f>
        <v>148995</v>
      </c>
      <c r="AC147" s="126">
        <f>SUM(Y$7:Y147)</f>
        <v>73331</v>
      </c>
      <c r="AD147" s="177">
        <f>SUM(Z$7:Z147)</f>
        <v>3898330</v>
      </c>
      <c r="AE147" s="128">
        <f>INDEX(图鉴!AQ:AQ,MATCH($N147,图鉴!$S:$S,0))*34</f>
        <v>714</v>
      </c>
      <c r="AF147" s="90">
        <f>INDEX(图鉴!AR:AR,MATCH($N147,图鉴!$S:$S,0))*34</f>
        <v>510</v>
      </c>
      <c r="AG147" s="90">
        <f>INDEX(图鉴!AS:AS,MATCH($N147,图鉴!$S:$S,0))*34</f>
        <v>204</v>
      </c>
      <c r="AH147" s="129">
        <f ca="1">INDEX(图鉴!AT:AT,MATCH($N147,图鉴!$S:$S,0))*34</f>
        <v>55930</v>
      </c>
      <c r="AI147" s="128">
        <f>SUM($AE$7:AE147)</f>
        <v>98770</v>
      </c>
      <c r="AJ147" s="90">
        <f>SUM(AF$7:AF147)</f>
        <v>68442</v>
      </c>
      <c r="AK147" s="90">
        <f>SUM(AG$7:AG147)</f>
        <v>26826</v>
      </c>
      <c r="AL147" s="130">
        <f ca="1">SUM(AH$7:AH147)</f>
        <v>7056496</v>
      </c>
      <c r="AM147" s="133">
        <f>IF(M147=0,0,INDEX(关卡产出!$AU$11:$AU$15,MATCH(玩家节奏2!N147,关卡产出!$AW$11:$AW$15,1))*M147)</f>
        <v>61000</v>
      </c>
      <c r="AN147" s="126">
        <f>IF(L147=0,0,$L147*关卡产出!AU$21)</f>
        <v>16000</v>
      </c>
      <c r="AO147" s="90">
        <f>IF(M147=0,0,$L147*关卡产出!AV$21)</f>
        <v>800</v>
      </c>
      <c r="AP147" s="129">
        <f>IF(N147=0,0,$L147*关卡产出!AW$21)</f>
        <v>16</v>
      </c>
      <c r="AQ147" s="138">
        <f>SUM(AN$7:AN147)</f>
        <v>2208000</v>
      </c>
      <c r="AR147" s="126">
        <f>SUM(AO$7:AO147)</f>
        <v>110400</v>
      </c>
      <c r="AS147" s="129">
        <f>SUM(AP$7:AP147)</f>
        <v>2208</v>
      </c>
      <c r="AT147" s="128">
        <v>3000</v>
      </c>
      <c r="AU147" s="129">
        <v>600</v>
      </c>
      <c r="AV147" s="128">
        <f>SUM(AT$7:AT147)</f>
        <v>423000</v>
      </c>
      <c r="AW147" s="90">
        <f>SUM(AU$7:AU147)</f>
        <v>84600</v>
      </c>
      <c r="AY147" s="128">
        <f t="shared" si="155"/>
        <v>38500</v>
      </c>
      <c r="AZ147" s="90">
        <f t="shared" si="156"/>
        <v>110400</v>
      </c>
      <c r="BA147" s="90">
        <f t="shared" si="157"/>
        <v>84600</v>
      </c>
      <c r="BB147" s="90">
        <f t="shared" ca="1" si="185"/>
        <v>40800</v>
      </c>
      <c r="BC147" s="90">
        <f t="shared" ca="1" si="187"/>
        <v>139325</v>
      </c>
      <c r="BD147" s="90">
        <f t="shared" ca="1" si="188"/>
        <v>134975</v>
      </c>
      <c r="BE147" s="90">
        <f t="shared" ca="1" si="158"/>
        <v>274300</v>
      </c>
      <c r="BF147" s="142">
        <f t="shared" ca="1" si="139"/>
        <v>0.27633231652610801</v>
      </c>
      <c r="BG147" s="142">
        <f t="shared" ca="1" si="140"/>
        <v>0.7923918894670734</v>
      </c>
      <c r="BH147" s="142">
        <f t="shared" ca="1" si="141"/>
        <v>0.60721335008074651</v>
      </c>
      <c r="BI147" s="142">
        <f t="shared" ca="1" si="159"/>
        <v>0.29284048089000536</v>
      </c>
      <c r="BJ147" s="143"/>
      <c r="BK147" s="128">
        <f ca="1">INDEX(商城宝箱!$L:$L,MATCH(BC147,商城宝箱!$N:$N,1))</f>
        <v>13</v>
      </c>
      <c r="BL147" s="90">
        <f ca="1">_xlfn.IFNA(INDEX(商城宝箱!T:T,MATCH(玩家节奏2!$BK147,商城宝箱!$L:$L,0)),0)+($BC147-INDEX(商城宝箱!$N:$N,MATCH(玩家节奏2!$BK147,商城宝箱!$L:$L,0)))/$BK$5*INDEX(商城宝箱!E$23:E$42,MATCH(玩家节奏2!$BK147+1,商城宝箱!$C$23:$C$42,0))</f>
        <v>348312.5</v>
      </c>
      <c r="BM147" s="90">
        <f ca="1">_xlfn.IFNA(INDEX(商城宝箱!U:U,MATCH(玩家节奏2!$BK147,商城宝箱!$L:$L,0)),0)+($BC147-INDEX(商城宝箱!$N:$N,MATCH(玩家节奏2!$BK147,商城宝箱!$L:$L,0)))/$BK$5*INDEX(商城宝箱!F$23:F$42,MATCH(玩家节奏2!$BK147+1,商城宝箱!$C$23:$C$42,0))</f>
        <v>410120</v>
      </c>
      <c r="BN147" s="90">
        <f ca="1">_xlfn.IFNA(INDEX(商城宝箱!V:V,MATCH(玩家节奏2!$BK147,商城宝箱!$L:$L,0)),0)+($BC147-INDEX(商城宝箱!$N:$N,MATCH(玩家节奏2!$BK147,商城宝箱!$L:$L,0)))/$BK$5*INDEX(商城宝箱!G$23:G$42,MATCH(玩家节奏2!$BK147+1,商城宝箱!$C$23:$C$42,0))</f>
        <v>206143.25</v>
      </c>
      <c r="BO147" s="90">
        <f ca="1">_xlfn.IFNA(INDEX(商城宝箱!W:W,MATCH(玩家节奏2!$BK147,商城宝箱!$L:$L,0)),0)+($BC147-INDEX(商城宝箱!$N:$N,MATCH(玩家节奏2!$BK147,商城宝箱!$L:$L,0)))/$BK$5*INDEX(商城宝箱!H$23:H$42,MATCH(玩家节奏2!$BK147+1,商城宝箱!$C$23:$C$42,0))</f>
        <v>33321.5</v>
      </c>
      <c r="BQ147" s="128">
        <f t="shared" si="143"/>
        <v>11610000</v>
      </c>
      <c r="BR147" s="90">
        <f t="shared" si="144"/>
        <v>3898330</v>
      </c>
      <c r="BS147" s="90">
        <f t="shared" ca="1" si="145"/>
        <v>7056496</v>
      </c>
      <c r="BT147" s="90">
        <f t="shared" si="146"/>
        <v>61000</v>
      </c>
      <c r="BU147" s="90">
        <f t="shared" si="147"/>
        <v>2208000</v>
      </c>
      <c r="BV147" s="90">
        <f t="shared" si="148"/>
        <v>423000</v>
      </c>
      <c r="BW147" s="90">
        <f t="shared" ca="1" si="160"/>
        <v>348312.5</v>
      </c>
      <c r="BX147" s="90">
        <f t="shared" ca="1" si="161"/>
        <v>25605138.5</v>
      </c>
      <c r="BY147" s="142">
        <f t="shared" ca="1" si="138"/>
        <v>0.45342461240738846</v>
      </c>
      <c r="BZ147" s="142">
        <f t="shared" ca="1" si="138"/>
        <v>0.15224795601086086</v>
      </c>
      <c r="CA147" s="142">
        <f t="shared" ca="1" si="138"/>
        <v>0.27558905803223832</v>
      </c>
      <c r="CB147" s="142">
        <f t="shared" ca="1" si="138"/>
        <v>2.3823343115289145E-3</v>
      </c>
      <c r="CC147" s="142">
        <f t="shared" ca="1" si="138"/>
        <v>8.6232691145177759E-2</v>
      </c>
      <c r="CD147" s="142">
        <f t="shared" ca="1" si="138"/>
        <v>1.6520121537323455E-2</v>
      </c>
      <c r="CE147" s="142">
        <f t="shared" ca="1" si="138"/>
        <v>1.3603226555482214E-2</v>
      </c>
      <c r="CG147" s="128">
        <f t="shared" si="162"/>
        <v>200</v>
      </c>
      <c r="CH147" s="90">
        <f ca="1">INDEX(角色升级!$A:$A,MATCH(玩家节奏2!$BX147,角色升级!$J:$J,1))</f>
        <v>1047</v>
      </c>
      <c r="CI147" s="90">
        <f ca="1">INDEX(角色升级!$O:$O,MATCH(玩家节奏2!$BX147,角色升级!$J:$J,1))</f>
        <v>99294.156750000009</v>
      </c>
      <c r="CJ147" s="90">
        <f>INDEX(关卡对比!$J:$J,MATCH(玩家节奏2!N147,关卡对比!$A:$A,0))</f>
        <v>86200</v>
      </c>
      <c r="CK147" s="147">
        <f t="shared" ca="1" si="163"/>
        <v>0.8681276202086281</v>
      </c>
      <c r="CL147" s="128">
        <f ca="1">INDEX(角色升级!$P:$P,MATCH(玩家节奏2!$CH147,角色升级!$A:$A,0))</f>
        <v>40800</v>
      </c>
      <c r="CM147" s="90">
        <f ca="1">INDEX(角色升级!Q:Q,MATCH(玩家节奏2!$CH147,角色升级!$A:$A,0))</f>
        <v>2.2000000000000002</v>
      </c>
      <c r="CO147" s="128">
        <f t="shared" si="164"/>
        <v>78866</v>
      </c>
      <c r="CP147" s="90">
        <f t="shared" si="165"/>
        <v>298318</v>
      </c>
      <c r="CQ147" s="90">
        <f t="shared" si="166"/>
        <v>98770</v>
      </c>
      <c r="CR147" s="90">
        <f t="shared" ca="1" si="167"/>
        <v>410120</v>
      </c>
      <c r="CS147" s="90">
        <f t="shared" ca="1" si="168"/>
        <v>886074</v>
      </c>
      <c r="CT147" s="142">
        <f t="shared" ca="1" si="169"/>
        <v>8.9006110099156502E-2</v>
      </c>
      <c r="CU147" s="142">
        <f t="shared" ca="1" si="169"/>
        <v>0.33667391211117809</v>
      </c>
      <c r="CV147" s="142">
        <f t="shared" ca="1" si="169"/>
        <v>0.11146924523233952</v>
      </c>
      <c r="CW147" s="142">
        <f t="shared" ca="1" si="149"/>
        <v>0.46285073255732589</v>
      </c>
      <c r="CY147" s="128">
        <f t="shared" si="170"/>
        <v>39434</v>
      </c>
      <c r="CZ147" s="90">
        <f t="shared" si="171"/>
        <v>148995</v>
      </c>
      <c r="DA147" s="90">
        <f t="shared" si="172"/>
        <v>68442</v>
      </c>
      <c r="DB147" s="90">
        <f t="shared" ca="1" si="186"/>
        <v>206143.25</v>
      </c>
      <c r="DC147" s="90">
        <f t="shared" ca="1" si="173"/>
        <v>463014.25</v>
      </c>
      <c r="DD147" s="142">
        <f t="shared" ca="1" si="174"/>
        <v>8.5168005088396309E-2</v>
      </c>
      <c r="DE147" s="142">
        <f t="shared" ca="1" si="174"/>
        <v>0.32179355171034152</v>
      </c>
      <c r="DF147" s="142">
        <f t="shared" ca="1" si="174"/>
        <v>0.14781834468377594</v>
      </c>
      <c r="DG147" s="142">
        <f t="shared" ca="1" si="150"/>
        <v>0.44522009851748623</v>
      </c>
      <c r="DI147" s="128">
        <f t="shared" si="175"/>
        <v>19113</v>
      </c>
      <c r="DJ147" s="90">
        <f t="shared" si="176"/>
        <v>73331</v>
      </c>
      <c r="DK147" s="90">
        <f t="shared" si="177"/>
        <v>26826</v>
      </c>
      <c r="DL147" s="90">
        <f t="shared" ca="1" si="178"/>
        <v>33321.5</v>
      </c>
      <c r="DM147" s="90">
        <f t="shared" ca="1" si="179"/>
        <v>152591.5</v>
      </c>
      <c r="DN147" s="142">
        <f t="shared" ca="1" si="180"/>
        <v>0.12525599394461684</v>
      </c>
      <c r="DO147" s="142">
        <f t="shared" ca="1" si="180"/>
        <v>0.48057067398904918</v>
      </c>
      <c r="DP147" s="142">
        <f t="shared" ca="1" si="180"/>
        <v>0.17580271509225612</v>
      </c>
      <c r="DQ147" s="142">
        <f t="shared" ca="1" si="151"/>
        <v>0.21837061697407784</v>
      </c>
      <c r="DS147" s="128">
        <f t="shared" ca="1" si="181"/>
        <v>886074</v>
      </c>
      <c r="DT147" s="90">
        <f t="shared" ca="1" si="182"/>
        <v>463014.25</v>
      </c>
      <c r="DU147" s="90">
        <f t="shared" ca="1" si="183"/>
        <v>152591.5</v>
      </c>
      <c r="DV147" s="90">
        <f t="shared" si="184"/>
        <v>2208</v>
      </c>
      <c r="DW147" s="90">
        <f ca="1">_xlfn.IFNA(INDEX(武器升级消耗!$H:$H,MATCH(玩家节奏2!DS147/玩家节奏2!DS$5,武器升级消耗!M:M,1)),0)</f>
        <v>81</v>
      </c>
      <c r="DX147" s="90">
        <f ca="1">_xlfn.IFNA(INDEX(武器升级消耗!$H:$H,MATCH(玩家节奏2!DT147/玩家节奏2!DT$5,武器升级消耗!N:N,1)),0)</f>
        <v>71</v>
      </c>
      <c r="DY147" s="90">
        <f ca="1">_xlfn.IFNA(INDEX(武器升级消耗!$H:$H,MATCH(玩家节奏2!DU147/玩家节奏2!DU$5,武器升级消耗!O:O,1)),0)</f>
        <v>54</v>
      </c>
      <c r="DZ147" s="90">
        <f>_xlfn.IFNA(INDEX(武器升级消耗!$H:$H,MATCH(玩家节奏2!DV147/玩家节奏2!DV$5,武器升级消耗!P:P,1)),0)</f>
        <v>34</v>
      </c>
      <c r="EA147" s="90">
        <f ca="1">_xlfn.IFNA(INDEX(武器升级消耗!$Q:$Q,MATCH(玩家节奏2!DW147,武器升级消耗!$H:$H,0))*2*EA$4,0)</f>
        <v>10.199999999999987</v>
      </c>
      <c r="EB147" s="90">
        <f ca="1">_xlfn.IFNA(INDEX(武器升级消耗!$Q:$Q,MATCH(玩家节奏2!DX147,武器升级消耗!$H:$H,0))*2*EB$4,0)</f>
        <v>11.249999999999986</v>
      </c>
      <c r="EC147" s="90">
        <f ca="1">_xlfn.IFNA(INDEX(武器升级消耗!$Q:$Q,MATCH(玩家节奏2!DY147,武器升级消耗!$H:$H,0))*2*EC$4,0)</f>
        <v>12.76</v>
      </c>
      <c r="ED147" s="90">
        <f>_xlfn.IFNA(INDEX(武器升级消耗!$Q:$Q,MATCH(玩家节奏2!DZ147,武器升级消耗!$H:$H,0))*2*ED$4,0)</f>
        <v>11.399999999999999</v>
      </c>
    </row>
    <row r="148" spans="1:134" x14ac:dyDescent="0.25">
      <c r="A148" s="123">
        <v>142</v>
      </c>
      <c r="B148" s="123">
        <f>INDEX(关卡对比!$Y:$Y,MATCH(关卡对比!Z148,关卡对比!$AA:$AA,1))</f>
        <v>84</v>
      </c>
      <c r="C148" s="124">
        <f>INDEX(关卡对比!$Y:$Y,MATCH(关卡对比!Z148,关卡对比!$AB:$AB,1))</f>
        <v>65</v>
      </c>
      <c r="D148" s="125">
        <f t="shared" si="131"/>
        <v>551.5</v>
      </c>
      <c r="E148" s="125">
        <v>2</v>
      </c>
      <c r="F148" s="128">
        <v>16</v>
      </c>
      <c r="G148" s="90">
        <v>16</v>
      </c>
      <c r="H148" s="90">
        <v>5</v>
      </c>
      <c r="J148" s="128">
        <v>142</v>
      </c>
      <c r="K148" s="90">
        <f t="shared" si="152"/>
        <v>16</v>
      </c>
      <c r="L148" s="90">
        <f t="shared" si="153"/>
        <v>16</v>
      </c>
      <c r="M148" s="90">
        <f t="shared" si="154"/>
        <v>5</v>
      </c>
      <c r="N148" s="140">
        <f>INDEX($A:$A,MATCH(SUM($K$7:K148),$D:$D,1))</f>
        <v>200</v>
      </c>
      <c r="O148" s="140">
        <v>0</v>
      </c>
      <c r="P148" s="141">
        <v>0</v>
      </c>
      <c r="Q148" s="126">
        <f>_xlfn.MAXIFS(关卡产出!X:X,关卡产出!$A:$A,玩家节奏2!$N$6,关卡产出!$B:$B,玩家节奏2!$N148)+_xlfn.MAXIFS(关卡产出!X:X,关卡产出!$A:$A,玩家节奏2!$O$6,关卡产出!$B:$B,玩家节奏2!$O148)+_xlfn.MAXIFS(关卡产出!X:X,关卡产出!$A:$A,玩家节奏2!$P$6,关卡产出!$B:$B,玩家节奏2!$P148)</f>
        <v>38500</v>
      </c>
      <c r="R148" s="90">
        <f>_xlfn.MAXIFS(关卡产出!Y:Y,关卡产出!$A:$A,玩家节奏2!$N$6,关卡产出!$B:$B,玩家节奏2!$N148)+_xlfn.MAXIFS(关卡产出!Y:Y,关卡产出!$A:$A,玩家节奏2!$O$6,关卡产出!$B:$B,玩家节奏2!$O148)+_xlfn.MAXIFS(关卡产出!Y:Y,关卡产出!$A:$A,玩家节奏2!$P$6,关卡产出!$B:$B,玩家节奏2!$P148)</f>
        <v>11610000</v>
      </c>
      <c r="S148" s="90">
        <f>_xlfn.MAXIFS(关卡产出!Z:Z,关卡产出!$A:$A,玩家节奏2!$N$6,关卡产出!$B:$B,玩家节奏2!$N148)+_xlfn.MAXIFS(关卡产出!Z:Z,关卡产出!$A:$A,玩家节奏2!$O$6,关卡产出!$B:$B,玩家节奏2!$O148)+_xlfn.MAXIFS(关卡产出!Z:Z,关卡产出!$A:$A,玩家节奏2!$P$6,关卡产出!$B:$B,玩家节奏2!$P148)</f>
        <v>78866</v>
      </c>
      <c r="T148" s="90">
        <f>_xlfn.MAXIFS(关卡产出!AA:AA,关卡产出!$A:$A,玩家节奏2!$N$6,关卡产出!$B:$B,玩家节奏2!$N148)+_xlfn.MAXIFS(关卡产出!AA:AA,关卡产出!$A:$A,玩家节奏2!$O$6,关卡产出!$B:$B,玩家节奏2!$O148)+_xlfn.MAXIFS(关卡产出!AA:AA,关卡产出!$A:$A,玩家节奏2!$P$6,关卡产出!$B:$B,玩家节奏2!$P148)</f>
        <v>39434</v>
      </c>
      <c r="U148" s="90">
        <f>_xlfn.MAXIFS(关卡产出!AB:AB,关卡产出!$A:$A,玩家节奏2!$N$6,关卡产出!$B:$B,玩家节奏2!$N148)+_xlfn.MAXIFS(关卡产出!AB:AB,关卡产出!$A:$A,玩家节奏2!$O$6,关卡产出!$B:$B,玩家节奏2!$O148)+_xlfn.MAXIFS(关卡产出!AB:AB,关卡产出!$A:$A,玩家节奏2!$P$6,关卡产出!$B:$B,玩家节奏2!$P148)</f>
        <v>19113</v>
      </c>
      <c r="V148" s="130">
        <f>_xlfn.MAXIFS(关卡产出!AC:AC,关卡产出!$A:$A,玩家节奏2!$N$6,关卡产出!$B:$B,玩家节奏2!$N148)+_xlfn.MAXIFS(关卡产出!AC:AC,关卡产出!$A:$A,玩家节奏2!$O$6,关卡产出!$B:$B,玩家节奏2!$O148)+_xlfn.MAXIFS(关卡产出!AC:AC,关卡产出!$A:$A,玩家节奏2!$P$6,关卡产出!$B:$B,玩家节奏2!$P148)</f>
        <v>1200</v>
      </c>
      <c r="W148" s="126">
        <f>INDEX(关卡产出!C$8:C$207,MATCH(玩家节奏2!$N148,关卡产出!$B$8:$B$207,0))*$K148</f>
        <v>2528</v>
      </c>
      <c r="X148" s="126">
        <f>INDEX(关卡产出!D$8:D$207,MATCH(玩家节奏2!$N148,关卡产出!$B$8:$B$207,0))*$K148</f>
        <v>1264</v>
      </c>
      <c r="Y148" s="126">
        <f>INDEX(关卡产出!E$8:E$207,MATCH(玩家节奏2!$N148,关卡产出!$B$8:$B$207,0))*$K148</f>
        <v>624</v>
      </c>
      <c r="Z148" s="144">
        <f>INDEX(关卡产出!F$8:F$207,MATCH(玩家节奏2!$N148,关卡产出!$B$8:$B$207,0))*$K148</f>
        <v>32800</v>
      </c>
      <c r="AA148" s="126">
        <f>SUM(W$7:W148)</f>
        <v>300846</v>
      </c>
      <c r="AB148" s="126">
        <f>SUM(X$7:X148)</f>
        <v>150259</v>
      </c>
      <c r="AC148" s="126">
        <f>SUM(Y$7:Y148)</f>
        <v>73955</v>
      </c>
      <c r="AD148" s="177">
        <f>SUM(Z$7:Z148)</f>
        <v>3931130</v>
      </c>
      <c r="AE148" s="128">
        <f>INDEX(图鉴!AQ:AQ,MATCH($N148,图鉴!$S:$S,0))*34</f>
        <v>714</v>
      </c>
      <c r="AF148" s="90">
        <f>INDEX(图鉴!AR:AR,MATCH($N148,图鉴!$S:$S,0))*34</f>
        <v>510</v>
      </c>
      <c r="AG148" s="90">
        <f>INDEX(图鉴!AS:AS,MATCH($N148,图鉴!$S:$S,0))*34</f>
        <v>204</v>
      </c>
      <c r="AH148" s="129">
        <f ca="1">INDEX(图鉴!AT:AT,MATCH($N148,图鉴!$S:$S,0))*34</f>
        <v>55930</v>
      </c>
      <c r="AI148" s="128">
        <f>SUM($AE$7:AE148)</f>
        <v>99484</v>
      </c>
      <c r="AJ148" s="90">
        <f>SUM(AF$7:AF148)</f>
        <v>68952</v>
      </c>
      <c r="AK148" s="90">
        <f>SUM(AG$7:AG148)</f>
        <v>27030</v>
      </c>
      <c r="AL148" s="130">
        <f ca="1">SUM(AH$7:AH148)</f>
        <v>7112426</v>
      </c>
      <c r="AM148" s="133">
        <f>IF(M148=0,0,INDEX(关卡产出!$AU$11:$AU$15,MATCH(玩家节奏2!N148,关卡产出!$AW$11:$AW$15,1))*M148)</f>
        <v>61000</v>
      </c>
      <c r="AN148" s="126">
        <f>IF(L148=0,0,$L148*关卡产出!AU$21)</f>
        <v>16000</v>
      </c>
      <c r="AO148" s="90">
        <f>IF(M148=0,0,$L148*关卡产出!AV$21)</f>
        <v>800</v>
      </c>
      <c r="AP148" s="129">
        <f>IF(N148=0,0,$L148*关卡产出!AW$21)</f>
        <v>16</v>
      </c>
      <c r="AQ148" s="138">
        <f>SUM(AN$7:AN148)</f>
        <v>2224000</v>
      </c>
      <c r="AR148" s="126">
        <f>SUM(AO$7:AO148)</f>
        <v>111200</v>
      </c>
      <c r="AS148" s="129">
        <f>SUM(AP$7:AP148)</f>
        <v>2224</v>
      </c>
      <c r="AT148" s="128">
        <v>3000</v>
      </c>
      <c r="AU148" s="129">
        <v>600</v>
      </c>
      <c r="AV148" s="128">
        <f>SUM(AT$7:AT148)</f>
        <v>426000</v>
      </c>
      <c r="AW148" s="90">
        <f>SUM(AU$7:AU148)</f>
        <v>85200</v>
      </c>
      <c r="AY148" s="128">
        <f t="shared" si="155"/>
        <v>38500</v>
      </c>
      <c r="AZ148" s="90">
        <f t="shared" si="156"/>
        <v>111200</v>
      </c>
      <c r="BA148" s="90">
        <f t="shared" si="157"/>
        <v>85200</v>
      </c>
      <c r="BB148" s="90">
        <f t="shared" ca="1" si="185"/>
        <v>40800</v>
      </c>
      <c r="BC148" s="90">
        <f t="shared" ca="1" si="187"/>
        <v>140025</v>
      </c>
      <c r="BD148" s="90">
        <f t="shared" ca="1" si="188"/>
        <v>135675</v>
      </c>
      <c r="BE148" s="90">
        <f t="shared" ca="1" si="158"/>
        <v>275700</v>
      </c>
      <c r="BF148" s="142">
        <f t="shared" ca="1" si="139"/>
        <v>0.27495090162470986</v>
      </c>
      <c r="BG148" s="142">
        <f t="shared" ca="1" si="140"/>
        <v>0.79414390287448666</v>
      </c>
      <c r="BH148" s="142">
        <f t="shared" ca="1" si="141"/>
        <v>0.60846277450455277</v>
      </c>
      <c r="BI148" s="142">
        <f t="shared" ca="1" si="159"/>
        <v>0.29137653990358864</v>
      </c>
      <c r="BJ148" s="143"/>
      <c r="BK148" s="128">
        <f ca="1">INDEX(商城宝箱!$L:$L,MATCH(BC148,商城宝箱!$N:$N,1))</f>
        <v>13</v>
      </c>
      <c r="BL148" s="90">
        <f ca="1">_xlfn.IFNA(INDEX(商城宝箱!T:T,MATCH(玩家节奏2!$BK148,商城宝箱!$L:$L,0)),0)+($BC148-INDEX(商城宝箱!$N:$N,MATCH(玩家节奏2!$BK148,商城宝箱!$L:$L,0)))/$BK$5*INDEX(商城宝箱!E$23:E$42,MATCH(玩家节奏2!$BK148+1,商城宝箱!$C$23:$C$42,0))</f>
        <v>350062.5</v>
      </c>
      <c r="BM148" s="90">
        <f ca="1">_xlfn.IFNA(INDEX(商城宝箱!U:U,MATCH(玩家节奏2!$BK148,商城宝箱!$L:$L,0)),0)+($BC148-INDEX(商城宝箱!$N:$N,MATCH(玩家节奏2!$BK148,商城宝箱!$L:$L,0)))/$BK$5*INDEX(商城宝箱!F$23:F$42,MATCH(玩家节奏2!$BK148+1,商城宝箱!$C$23:$C$42,0))</f>
        <v>413410</v>
      </c>
      <c r="BN148" s="90">
        <f ca="1">_xlfn.IFNA(INDEX(商城宝箱!V:V,MATCH(玩家节奏2!$BK148,商城宝箱!$L:$L,0)),0)+($BC148-INDEX(商城宝箱!$N:$N,MATCH(玩家节奏2!$BK148,商城宝箱!$L:$L,0)))/$BK$5*INDEX(商城宝箱!G$23:G$42,MATCH(玩家节奏2!$BK148+1,商城宝箱!$C$23:$C$42,0))</f>
        <v>207718.25</v>
      </c>
      <c r="BO148" s="90">
        <f ca="1">_xlfn.IFNA(INDEX(商城宝箱!W:W,MATCH(玩家节奏2!$BK148,商城宝箱!$L:$L,0)),0)+($BC148-INDEX(商城宝箱!$N:$N,MATCH(玩家节奏2!$BK148,商城宝箱!$L:$L,0)))/$BK$5*INDEX(商城宝箱!H$23:H$42,MATCH(玩家节奏2!$BK148+1,商城宝箱!$C$23:$C$42,0))</f>
        <v>33601.5</v>
      </c>
      <c r="BQ148" s="128">
        <f t="shared" si="143"/>
        <v>11610000</v>
      </c>
      <c r="BR148" s="90">
        <f t="shared" si="144"/>
        <v>3931130</v>
      </c>
      <c r="BS148" s="90">
        <f t="shared" ca="1" si="145"/>
        <v>7112426</v>
      </c>
      <c r="BT148" s="90">
        <f t="shared" si="146"/>
        <v>61000</v>
      </c>
      <c r="BU148" s="90">
        <f t="shared" si="147"/>
        <v>2224000</v>
      </c>
      <c r="BV148" s="90">
        <f t="shared" si="148"/>
        <v>426000</v>
      </c>
      <c r="BW148" s="90">
        <f t="shared" ca="1" si="160"/>
        <v>350062.5</v>
      </c>
      <c r="BX148" s="90">
        <f t="shared" ca="1" si="161"/>
        <v>25714618.5</v>
      </c>
      <c r="BY148" s="142">
        <f t="shared" ca="1" si="138"/>
        <v>0.45149415691311928</v>
      </c>
      <c r="BZ148" s="142">
        <f t="shared" ca="1" si="138"/>
        <v>0.15287529931661245</v>
      </c>
      <c r="CA148" s="142">
        <f t="shared" ca="1" si="138"/>
        <v>0.27659076489896206</v>
      </c>
      <c r="CB148" s="142">
        <f t="shared" ca="1" si="138"/>
        <v>2.3721915221102735E-3</v>
      </c>
      <c r="CC148" s="142">
        <f t="shared" ca="1" si="138"/>
        <v>8.6487769593004069E-2</v>
      </c>
      <c r="CD148" s="142">
        <f t="shared" ca="1" si="138"/>
        <v>1.6566452269163551E-2</v>
      </c>
      <c r="CE148" s="142">
        <f t="shared" ca="1" si="138"/>
        <v>1.3613365487028323E-2</v>
      </c>
      <c r="CG148" s="128">
        <f t="shared" si="162"/>
        <v>200</v>
      </c>
      <c r="CH148" s="90">
        <f ca="1">INDEX(角色升级!$A:$A,MATCH(玩家节奏2!$BX148,角色升级!$J:$J,1))</f>
        <v>1047</v>
      </c>
      <c r="CI148" s="90">
        <f ca="1">INDEX(角色升级!$O:$O,MATCH(玩家节奏2!$BX148,角色升级!$J:$J,1))</f>
        <v>99294.156750000009</v>
      </c>
      <c r="CJ148" s="90">
        <f>INDEX(关卡对比!$J:$J,MATCH(玩家节奏2!N148,关卡对比!$A:$A,0))</f>
        <v>86200</v>
      </c>
      <c r="CK148" s="147">
        <f t="shared" ca="1" si="163"/>
        <v>0.8681276202086281</v>
      </c>
      <c r="CL148" s="128">
        <f ca="1">INDEX(角色升级!$P:$P,MATCH(玩家节奏2!$CH148,角色升级!$A:$A,0))</f>
        <v>40800</v>
      </c>
      <c r="CM148" s="90">
        <f ca="1">INDEX(角色升级!Q:Q,MATCH(玩家节奏2!$CH148,角色升级!$A:$A,0))</f>
        <v>2.2000000000000002</v>
      </c>
      <c r="CO148" s="128">
        <f t="shared" si="164"/>
        <v>78866</v>
      </c>
      <c r="CP148" s="90">
        <f t="shared" si="165"/>
        <v>300846</v>
      </c>
      <c r="CQ148" s="90">
        <f t="shared" si="166"/>
        <v>99484</v>
      </c>
      <c r="CR148" s="90">
        <f t="shared" ca="1" si="167"/>
        <v>413410</v>
      </c>
      <c r="CS148" s="90">
        <f t="shared" ca="1" si="168"/>
        <v>892606</v>
      </c>
      <c r="CT148" s="142">
        <f t="shared" ca="1" si="169"/>
        <v>8.8354772430389222E-2</v>
      </c>
      <c r="CU148" s="142">
        <f t="shared" ca="1" si="169"/>
        <v>0.33704232326468792</v>
      </c>
      <c r="CV148" s="142">
        <f t="shared" ca="1" si="169"/>
        <v>0.11145342962068371</v>
      </c>
      <c r="CW148" s="142">
        <f t="shared" ca="1" si="149"/>
        <v>0.46314947468423917</v>
      </c>
      <c r="CY148" s="128">
        <f t="shared" si="170"/>
        <v>39434</v>
      </c>
      <c r="CZ148" s="90">
        <f t="shared" si="171"/>
        <v>150259</v>
      </c>
      <c r="DA148" s="90">
        <f t="shared" si="172"/>
        <v>68952</v>
      </c>
      <c r="DB148" s="90">
        <f t="shared" ca="1" si="186"/>
        <v>207718.25</v>
      </c>
      <c r="DC148" s="90">
        <f t="shared" ca="1" si="173"/>
        <v>466363.25</v>
      </c>
      <c r="DD148" s="142">
        <f t="shared" ca="1" si="174"/>
        <v>8.4556405334253931E-2</v>
      </c>
      <c r="DE148" s="142">
        <f t="shared" ca="1" si="174"/>
        <v>0.32219305444843693</v>
      </c>
      <c r="DF148" s="142">
        <f t="shared" ca="1" si="174"/>
        <v>0.14785041488582129</v>
      </c>
      <c r="DG148" s="142">
        <f t="shared" ca="1" si="150"/>
        <v>0.44540012533148787</v>
      </c>
      <c r="DI148" s="128">
        <f t="shared" si="175"/>
        <v>19113</v>
      </c>
      <c r="DJ148" s="90">
        <f t="shared" si="176"/>
        <v>73955</v>
      </c>
      <c r="DK148" s="90">
        <f t="shared" si="177"/>
        <v>27030</v>
      </c>
      <c r="DL148" s="90">
        <f t="shared" ca="1" si="178"/>
        <v>33601.5</v>
      </c>
      <c r="DM148" s="90">
        <f t="shared" ca="1" si="179"/>
        <v>153699.5</v>
      </c>
      <c r="DN148" s="142">
        <f t="shared" ca="1" si="180"/>
        <v>0.12435303953493668</v>
      </c>
      <c r="DO148" s="142">
        <f t="shared" ca="1" si="180"/>
        <v>0.48116617165312836</v>
      </c>
      <c r="DP148" s="142">
        <f t="shared" ca="1" si="180"/>
        <v>0.17586264106259292</v>
      </c>
      <c r="DQ148" s="142">
        <f t="shared" ca="1" si="151"/>
        <v>0.21861814774934207</v>
      </c>
      <c r="DS148" s="128">
        <f t="shared" ca="1" si="181"/>
        <v>892606</v>
      </c>
      <c r="DT148" s="90">
        <f t="shared" ca="1" si="182"/>
        <v>466363.25</v>
      </c>
      <c r="DU148" s="90">
        <f t="shared" ca="1" si="183"/>
        <v>153699.5</v>
      </c>
      <c r="DV148" s="90">
        <f t="shared" si="184"/>
        <v>2224</v>
      </c>
      <c r="DW148" s="90">
        <f ca="1">_xlfn.IFNA(INDEX(武器升级消耗!$H:$H,MATCH(玩家节奏2!DS148/玩家节奏2!DS$5,武器升级消耗!M:M,1)),0)</f>
        <v>81</v>
      </c>
      <c r="DX148" s="90">
        <f ca="1">_xlfn.IFNA(INDEX(武器升级消耗!$H:$H,MATCH(玩家节奏2!DT148/玩家节奏2!DT$5,武器升级消耗!N:N,1)),0)</f>
        <v>71</v>
      </c>
      <c r="DY148" s="90">
        <f ca="1">_xlfn.IFNA(INDEX(武器升级消耗!$H:$H,MATCH(玩家节奏2!DU148/玩家节奏2!DU$5,武器升级消耗!O:O,1)),0)</f>
        <v>54</v>
      </c>
      <c r="DZ148" s="90">
        <f>_xlfn.IFNA(INDEX(武器升级消耗!$H:$H,MATCH(玩家节奏2!DV148/玩家节奏2!DV$5,武器升级消耗!P:P,1)),0)</f>
        <v>34</v>
      </c>
      <c r="EA148" s="90">
        <f ca="1">_xlfn.IFNA(INDEX(武器升级消耗!$Q:$Q,MATCH(玩家节奏2!DW148,武器升级消耗!$H:$H,0))*2*EA$4,0)</f>
        <v>10.199999999999987</v>
      </c>
      <c r="EB148" s="90">
        <f ca="1">_xlfn.IFNA(INDEX(武器升级消耗!$Q:$Q,MATCH(玩家节奏2!DX148,武器升级消耗!$H:$H,0))*2*EB$4,0)</f>
        <v>11.249999999999986</v>
      </c>
      <c r="EC148" s="90">
        <f ca="1">_xlfn.IFNA(INDEX(武器升级消耗!$Q:$Q,MATCH(玩家节奏2!DY148,武器升级消耗!$H:$H,0))*2*EC$4,0)</f>
        <v>12.76</v>
      </c>
      <c r="ED148" s="90">
        <f>_xlfn.IFNA(INDEX(武器升级消耗!$Q:$Q,MATCH(玩家节奏2!DZ148,武器升级消耗!$H:$H,0))*2*ED$4,0)</f>
        <v>11.399999999999999</v>
      </c>
    </row>
    <row r="149" spans="1:134" x14ac:dyDescent="0.25">
      <c r="A149" s="123">
        <v>143</v>
      </c>
      <c r="B149" s="123">
        <f>INDEX(关卡对比!$Y:$Y,MATCH(关卡对比!Z149,关卡对比!$AA:$AA,1))</f>
        <v>85</v>
      </c>
      <c r="C149" s="124">
        <f>INDEX(关卡对比!$Y:$Y,MATCH(关卡对比!Z149,关卡对比!$AB:$AB,1))</f>
        <v>66</v>
      </c>
      <c r="D149" s="125">
        <f t="shared" si="131"/>
        <v>557.5</v>
      </c>
      <c r="E149" s="125">
        <v>2</v>
      </c>
      <c r="F149" s="128">
        <v>16</v>
      </c>
      <c r="G149" s="90">
        <v>16</v>
      </c>
      <c r="H149" s="90">
        <v>5</v>
      </c>
      <c r="J149" s="128">
        <v>143</v>
      </c>
      <c r="K149" s="90">
        <f t="shared" si="152"/>
        <v>16</v>
      </c>
      <c r="L149" s="90">
        <f t="shared" si="153"/>
        <v>16</v>
      </c>
      <c r="M149" s="90">
        <f t="shared" si="154"/>
        <v>5</v>
      </c>
      <c r="N149" s="140">
        <f>INDEX($A:$A,MATCH(SUM($K$7:K149),$D:$D,1))</f>
        <v>200</v>
      </c>
      <c r="O149" s="140">
        <v>0</v>
      </c>
      <c r="P149" s="141">
        <v>0</v>
      </c>
      <c r="Q149" s="126">
        <f>_xlfn.MAXIFS(关卡产出!X:X,关卡产出!$A:$A,玩家节奏2!$N$6,关卡产出!$B:$B,玩家节奏2!$N149)+_xlfn.MAXIFS(关卡产出!X:X,关卡产出!$A:$A,玩家节奏2!$O$6,关卡产出!$B:$B,玩家节奏2!$O149)+_xlfn.MAXIFS(关卡产出!X:X,关卡产出!$A:$A,玩家节奏2!$P$6,关卡产出!$B:$B,玩家节奏2!$P149)</f>
        <v>38500</v>
      </c>
      <c r="R149" s="90">
        <f>_xlfn.MAXIFS(关卡产出!Y:Y,关卡产出!$A:$A,玩家节奏2!$N$6,关卡产出!$B:$B,玩家节奏2!$N149)+_xlfn.MAXIFS(关卡产出!Y:Y,关卡产出!$A:$A,玩家节奏2!$O$6,关卡产出!$B:$B,玩家节奏2!$O149)+_xlfn.MAXIFS(关卡产出!Y:Y,关卡产出!$A:$A,玩家节奏2!$P$6,关卡产出!$B:$B,玩家节奏2!$P149)</f>
        <v>11610000</v>
      </c>
      <c r="S149" s="90">
        <f>_xlfn.MAXIFS(关卡产出!Z:Z,关卡产出!$A:$A,玩家节奏2!$N$6,关卡产出!$B:$B,玩家节奏2!$N149)+_xlfn.MAXIFS(关卡产出!Z:Z,关卡产出!$A:$A,玩家节奏2!$O$6,关卡产出!$B:$B,玩家节奏2!$O149)+_xlfn.MAXIFS(关卡产出!Z:Z,关卡产出!$A:$A,玩家节奏2!$P$6,关卡产出!$B:$B,玩家节奏2!$P149)</f>
        <v>78866</v>
      </c>
      <c r="T149" s="90">
        <f>_xlfn.MAXIFS(关卡产出!AA:AA,关卡产出!$A:$A,玩家节奏2!$N$6,关卡产出!$B:$B,玩家节奏2!$N149)+_xlfn.MAXIFS(关卡产出!AA:AA,关卡产出!$A:$A,玩家节奏2!$O$6,关卡产出!$B:$B,玩家节奏2!$O149)+_xlfn.MAXIFS(关卡产出!AA:AA,关卡产出!$A:$A,玩家节奏2!$P$6,关卡产出!$B:$B,玩家节奏2!$P149)</f>
        <v>39434</v>
      </c>
      <c r="U149" s="90">
        <f>_xlfn.MAXIFS(关卡产出!AB:AB,关卡产出!$A:$A,玩家节奏2!$N$6,关卡产出!$B:$B,玩家节奏2!$N149)+_xlfn.MAXIFS(关卡产出!AB:AB,关卡产出!$A:$A,玩家节奏2!$O$6,关卡产出!$B:$B,玩家节奏2!$O149)+_xlfn.MAXIFS(关卡产出!AB:AB,关卡产出!$A:$A,玩家节奏2!$P$6,关卡产出!$B:$B,玩家节奏2!$P149)</f>
        <v>19113</v>
      </c>
      <c r="V149" s="130">
        <f>_xlfn.MAXIFS(关卡产出!AC:AC,关卡产出!$A:$A,玩家节奏2!$N$6,关卡产出!$B:$B,玩家节奏2!$N149)+_xlfn.MAXIFS(关卡产出!AC:AC,关卡产出!$A:$A,玩家节奏2!$O$6,关卡产出!$B:$B,玩家节奏2!$O149)+_xlfn.MAXIFS(关卡产出!AC:AC,关卡产出!$A:$A,玩家节奏2!$P$6,关卡产出!$B:$B,玩家节奏2!$P149)</f>
        <v>1200</v>
      </c>
      <c r="W149" s="126">
        <f>INDEX(关卡产出!C$8:C$207,MATCH(玩家节奏2!$N149,关卡产出!$B$8:$B$207,0))*$K149</f>
        <v>2528</v>
      </c>
      <c r="X149" s="126">
        <f>INDEX(关卡产出!D$8:D$207,MATCH(玩家节奏2!$N149,关卡产出!$B$8:$B$207,0))*$K149</f>
        <v>1264</v>
      </c>
      <c r="Y149" s="126">
        <f>INDEX(关卡产出!E$8:E$207,MATCH(玩家节奏2!$N149,关卡产出!$B$8:$B$207,0))*$K149</f>
        <v>624</v>
      </c>
      <c r="Z149" s="144">
        <f>INDEX(关卡产出!F$8:F$207,MATCH(玩家节奏2!$N149,关卡产出!$B$8:$B$207,0))*$K149</f>
        <v>32800</v>
      </c>
      <c r="AA149" s="126">
        <f>SUM(W$7:W149)</f>
        <v>303374</v>
      </c>
      <c r="AB149" s="126">
        <f>SUM(X$7:X149)</f>
        <v>151523</v>
      </c>
      <c r="AC149" s="126">
        <f>SUM(Y$7:Y149)</f>
        <v>74579</v>
      </c>
      <c r="AD149" s="177">
        <f>SUM(Z$7:Z149)</f>
        <v>3963930</v>
      </c>
      <c r="AE149" s="128">
        <f>INDEX(图鉴!AQ:AQ,MATCH($N149,图鉴!$S:$S,0))*34</f>
        <v>714</v>
      </c>
      <c r="AF149" s="90">
        <f>INDEX(图鉴!AR:AR,MATCH($N149,图鉴!$S:$S,0))*34</f>
        <v>510</v>
      </c>
      <c r="AG149" s="90">
        <f>INDEX(图鉴!AS:AS,MATCH($N149,图鉴!$S:$S,0))*34</f>
        <v>204</v>
      </c>
      <c r="AH149" s="129">
        <f ca="1">INDEX(图鉴!AT:AT,MATCH($N149,图鉴!$S:$S,0))*34</f>
        <v>55930</v>
      </c>
      <c r="AI149" s="128">
        <f>SUM($AE$7:AE149)</f>
        <v>100198</v>
      </c>
      <c r="AJ149" s="90">
        <f>SUM(AF$7:AF149)</f>
        <v>69462</v>
      </c>
      <c r="AK149" s="90">
        <f>SUM(AG$7:AG149)</f>
        <v>27234</v>
      </c>
      <c r="AL149" s="130">
        <f ca="1">SUM(AH$7:AH149)</f>
        <v>7168356</v>
      </c>
      <c r="AM149" s="133">
        <f>IF(M149=0,0,INDEX(关卡产出!$AU$11:$AU$15,MATCH(玩家节奏2!N149,关卡产出!$AW$11:$AW$15,1))*M149)</f>
        <v>61000</v>
      </c>
      <c r="AN149" s="126">
        <f>IF(L149=0,0,$L149*关卡产出!AU$21)</f>
        <v>16000</v>
      </c>
      <c r="AO149" s="90">
        <f>IF(M149=0,0,$L149*关卡产出!AV$21)</f>
        <v>800</v>
      </c>
      <c r="AP149" s="129">
        <f>IF(N149=0,0,$L149*关卡产出!AW$21)</f>
        <v>16</v>
      </c>
      <c r="AQ149" s="138">
        <f>SUM(AN$7:AN149)</f>
        <v>2240000</v>
      </c>
      <c r="AR149" s="126">
        <f>SUM(AO$7:AO149)</f>
        <v>112000</v>
      </c>
      <c r="AS149" s="129">
        <f>SUM(AP$7:AP149)</f>
        <v>2240</v>
      </c>
      <c r="AT149" s="128">
        <v>3000</v>
      </c>
      <c r="AU149" s="129">
        <v>600</v>
      </c>
      <c r="AV149" s="128">
        <f>SUM(AT$7:AT149)</f>
        <v>429000</v>
      </c>
      <c r="AW149" s="90">
        <f>SUM(AU$7:AU149)</f>
        <v>85800</v>
      </c>
      <c r="AY149" s="128">
        <f t="shared" si="155"/>
        <v>38500</v>
      </c>
      <c r="AZ149" s="90">
        <f t="shared" si="156"/>
        <v>112000</v>
      </c>
      <c r="BA149" s="90">
        <f t="shared" si="157"/>
        <v>85800</v>
      </c>
      <c r="BB149" s="90">
        <f t="shared" ca="1" si="185"/>
        <v>40800</v>
      </c>
      <c r="BC149" s="90">
        <f t="shared" ca="1" si="187"/>
        <v>140725</v>
      </c>
      <c r="BD149" s="90">
        <f t="shared" ca="1" si="188"/>
        <v>136375</v>
      </c>
      <c r="BE149" s="90">
        <f t="shared" ca="1" si="158"/>
        <v>277100</v>
      </c>
      <c r="BF149" s="142">
        <f t="shared" ca="1" si="139"/>
        <v>0.27358322970332211</v>
      </c>
      <c r="BG149" s="142">
        <f t="shared" ca="1" si="140"/>
        <v>0.79587848640966419</v>
      </c>
      <c r="BH149" s="142">
        <f t="shared" ca="1" si="141"/>
        <v>0.60969976905311773</v>
      </c>
      <c r="BI149" s="142">
        <f t="shared" ca="1" si="159"/>
        <v>0.28992716290637771</v>
      </c>
      <c r="BJ149" s="143"/>
      <c r="BK149" s="128">
        <f ca="1">INDEX(商城宝箱!$L:$L,MATCH(BC149,商城宝箱!$N:$N,1))</f>
        <v>13</v>
      </c>
      <c r="BL149" s="90">
        <f ca="1">_xlfn.IFNA(INDEX(商城宝箱!T:T,MATCH(玩家节奏2!$BK149,商城宝箱!$L:$L,0)),0)+($BC149-INDEX(商城宝箱!$N:$N,MATCH(玩家节奏2!$BK149,商城宝箱!$L:$L,0)))/$BK$5*INDEX(商城宝箱!E$23:E$42,MATCH(玩家节奏2!$BK149+1,商城宝箱!$C$23:$C$42,0))</f>
        <v>351812.5</v>
      </c>
      <c r="BM149" s="90">
        <f ca="1">_xlfn.IFNA(INDEX(商城宝箱!U:U,MATCH(玩家节奏2!$BK149,商城宝箱!$L:$L,0)),0)+($BC149-INDEX(商城宝箱!$N:$N,MATCH(玩家节奏2!$BK149,商城宝箱!$L:$L,0)))/$BK$5*INDEX(商城宝箱!F$23:F$42,MATCH(玩家节奏2!$BK149+1,商城宝箱!$C$23:$C$42,0))</f>
        <v>416700</v>
      </c>
      <c r="BN149" s="90">
        <f ca="1">_xlfn.IFNA(INDEX(商城宝箱!V:V,MATCH(玩家节奏2!$BK149,商城宝箱!$L:$L,0)),0)+($BC149-INDEX(商城宝箱!$N:$N,MATCH(玩家节奏2!$BK149,商城宝箱!$L:$L,0)))/$BK$5*INDEX(商城宝箱!G$23:G$42,MATCH(玩家节奏2!$BK149+1,商城宝箱!$C$23:$C$42,0))</f>
        <v>209293.25</v>
      </c>
      <c r="BO149" s="90">
        <f ca="1">_xlfn.IFNA(INDEX(商城宝箱!W:W,MATCH(玩家节奏2!$BK149,商城宝箱!$L:$L,0)),0)+($BC149-INDEX(商城宝箱!$N:$N,MATCH(玩家节奏2!$BK149,商城宝箱!$L:$L,0)))/$BK$5*INDEX(商城宝箱!H$23:H$42,MATCH(玩家节奏2!$BK149+1,商城宝箱!$C$23:$C$42,0))</f>
        <v>33881.5</v>
      </c>
      <c r="BQ149" s="128">
        <f t="shared" si="143"/>
        <v>11610000</v>
      </c>
      <c r="BR149" s="90">
        <f t="shared" si="144"/>
        <v>3963930</v>
      </c>
      <c r="BS149" s="90">
        <f t="shared" ca="1" si="145"/>
        <v>7168356</v>
      </c>
      <c r="BT149" s="90">
        <f t="shared" si="146"/>
        <v>61000</v>
      </c>
      <c r="BU149" s="90">
        <f t="shared" si="147"/>
        <v>2240000</v>
      </c>
      <c r="BV149" s="90">
        <f t="shared" si="148"/>
        <v>429000</v>
      </c>
      <c r="BW149" s="90">
        <f t="shared" ca="1" si="160"/>
        <v>351812.5</v>
      </c>
      <c r="BX149" s="90">
        <f t="shared" ca="1" si="161"/>
        <v>25824098.5</v>
      </c>
      <c r="BY149" s="142">
        <f t="shared" ca="1" si="138"/>
        <v>0.44958006956176999</v>
      </c>
      <c r="BZ149" s="142">
        <f t="shared" ca="1" si="138"/>
        <v>0.15349732343996442</v>
      </c>
      <c r="CA149" s="142">
        <f t="shared" ca="1" si="138"/>
        <v>0.27758397839134635</v>
      </c>
      <c r="CB149" s="142">
        <f t="shared" ca="1" si="138"/>
        <v>2.3621347324089552E-3</v>
      </c>
      <c r="CC149" s="142">
        <f t="shared" ca="1" si="138"/>
        <v>8.6740685255673106E-2</v>
      </c>
      <c r="CD149" s="142">
        <f t="shared" ca="1" si="138"/>
        <v>1.6612390167269536E-2</v>
      </c>
      <c r="CE149" s="142">
        <f t="shared" ca="1" si="138"/>
        <v>1.3623418451567632E-2</v>
      </c>
      <c r="CG149" s="128">
        <f t="shared" si="162"/>
        <v>200</v>
      </c>
      <c r="CH149" s="90">
        <f ca="1">INDEX(角色升级!$A:$A,MATCH(玩家节奏2!$BX149,角色升级!$J:$J,1))</f>
        <v>1047</v>
      </c>
      <c r="CI149" s="90">
        <f ca="1">INDEX(角色升级!$O:$O,MATCH(玩家节奏2!$BX149,角色升级!$J:$J,1))</f>
        <v>99294.156750000009</v>
      </c>
      <c r="CJ149" s="90">
        <f>INDEX(关卡对比!$J:$J,MATCH(玩家节奏2!N149,关卡对比!$A:$A,0))</f>
        <v>86200</v>
      </c>
      <c r="CK149" s="147">
        <f t="shared" ca="1" si="163"/>
        <v>0.8681276202086281</v>
      </c>
      <c r="CL149" s="128">
        <f ca="1">INDEX(角色升级!$P:$P,MATCH(玩家节奏2!$CH149,角色升级!$A:$A,0))</f>
        <v>40800</v>
      </c>
      <c r="CM149" s="90">
        <f ca="1">INDEX(角色升级!Q:Q,MATCH(玩家节奏2!$CH149,角色升级!$A:$A,0))</f>
        <v>2.2000000000000002</v>
      </c>
      <c r="CO149" s="128">
        <f t="shared" si="164"/>
        <v>78866</v>
      </c>
      <c r="CP149" s="90">
        <f t="shared" si="165"/>
        <v>303374</v>
      </c>
      <c r="CQ149" s="90">
        <f t="shared" si="166"/>
        <v>100198</v>
      </c>
      <c r="CR149" s="90">
        <f t="shared" ca="1" si="167"/>
        <v>416700</v>
      </c>
      <c r="CS149" s="90">
        <f t="shared" ca="1" si="168"/>
        <v>899138</v>
      </c>
      <c r="CT149" s="142">
        <f t="shared" ca="1" si="169"/>
        <v>8.7712898353756605E-2</v>
      </c>
      <c r="CU149" s="142">
        <f t="shared" ca="1" si="169"/>
        <v>0.33740538159882022</v>
      </c>
      <c r="CV149" s="142">
        <f t="shared" ca="1" si="169"/>
        <v>0.11143784380150766</v>
      </c>
      <c r="CW149" s="142">
        <f t="shared" ca="1" si="149"/>
        <v>0.46344387624591554</v>
      </c>
      <c r="CY149" s="128">
        <f t="shared" si="170"/>
        <v>39434</v>
      </c>
      <c r="CZ149" s="90">
        <f t="shared" si="171"/>
        <v>151523</v>
      </c>
      <c r="DA149" s="90">
        <f t="shared" si="172"/>
        <v>69462</v>
      </c>
      <c r="DB149" s="90">
        <f t="shared" ca="1" si="186"/>
        <v>209293.25</v>
      </c>
      <c r="DC149" s="90">
        <f t="shared" ca="1" si="173"/>
        <v>469712.25</v>
      </c>
      <c r="DD149" s="142">
        <f t="shared" ca="1" si="174"/>
        <v>8.3953526866714673E-2</v>
      </c>
      <c r="DE149" s="142">
        <f t="shared" ca="1" si="174"/>
        <v>0.32258686035972023</v>
      </c>
      <c r="DF149" s="142">
        <f t="shared" ca="1" si="174"/>
        <v>0.1478820277733868</v>
      </c>
      <c r="DG149" s="142">
        <f t="shared" ca="1" si="150"/>
        <v>0.4455775850001783</v>
      </c>
      <c r="DI149" s="128">
        <f t="shared" si="175"/>
        <v>19113</v>
      </c>
      <c r="DJ149" s="90">
        <f t="shared" si="176"/>
        <v>74579</v>
      </c>
      <c r="DK149" s="90">
        <f t="shared" si="177"/>
        <v>27234</v>
      </c>
      <c r="DL149" s="90">
        <f t="shared" ca="1" si="178"/>
        <v>33881.5</v>
      </c>
      <c r="DM149" s="90">
        <f t="shared" ca="1" si="179"/>
        <v>154807.5</v>
      </c>
      <c r="DN149" s="142">
        <f t="shared" ca="1" si="180"/>
        <v>0.12346301051305654</v>
      </c>
      <c r="DO149" s="142">
        <f t="shared" ca="1" si="180"/>
        <v>0.48175314503496275</v>
      </c>
      <c r="DP149" s="142">
        <f t="shared" ca="1" si="180"/>
        <v>0.17592170921951455</v>
      </c>
      <c r="DQ149" s="142">
        <f t="shared" ca="1" si="151"/>
        <v>0.21886213523246612</v>
      </c>
      <c r="DS149" s="128">
        <f t="shared" ca="1" si="181"/>
        <v>899138</v>
      </c>
      <c r="DT149" s="90">
        <f t="shared" ca="1" si="182"/>
        <v>469712.25</v>
      </c>
      <c r="DU149" s="90">
        <f t="shared" ca="1" si="183"/>
        <v>154807.5</v>
      </c>
      <c r="DV149" s="90">
        <f t="shared" si="184"/>
        <v>2240</v>
      </c>
      <c r="DW149" s="90">
        <f ca="1">_xlfn.IFNA(INDEX(武器升级消耗!$H:$H,MATCH(玩家节奏2!DS149/玩家节奏2!DS$5,武器升级消耗!M:M,1)),0)</f>
        <v>82</v>
      </c>
      <c r="DX149" s="90">
        <f ca="1">_xlfn.IFNA(INDEX(武器升级消耗!$H:$H,MATCH(玩家节奏2!DT149/玩家节奏2!DT$5,武器升级消耗!N:N,1)),0)</f>
        <v>72</v>
      </c>
      <c r="DY149" s="90">
        <f ca="1">_xlfn.IFNA(INDEX(武器升级消耗!$H:$H,MATCH(玩家节奏2!DU149/玩家节奏2!DU$5,武器升级消耗!O:O,1)),0)</f>
        <v>54</v>
      </c>
      <c r="DZ149" s="90">
        <f>_xlfn.IFNA(INDEX(武器升级消耗!$H:$H,MATCH(玩家节奏2!DV149/玩家节奏2!DV$5,武器升级消耗!P:P,1)),0)</f>
        <v>34</v>
      </c>
      <c r="EA149" s="90">
        <f ca="1">_xlfn.IFNA(INDEX(武器升级消耗!$Q:$Q,MATCH(玩家节奏2!DW149,武器升级消耗!$H:$H,0))*2*EA$4,0)</f>
        <v>10.319999999999988</v>
      </c>
      <c r="EB149" s="90">
        <f ca="1">_xlfn.IFNA(INDEX(武器升级消耗!$Q:$Q,MATCH(玩家节奏2!DX149,武器升级消耗!$H:$H,0))*2*EB$4,0)</f>
        <v>11.399999999999984</v>
      </c>
      <c r="EC149" s="90">
        <f ca="1">_xlfn.IFNA(INDEX(武器升级消耗!$Q:$Q,MATCH(玩家节奏2!DY149,武器升级消耗!$H:$H,0))*2*EC$4,0)</f>
        <v>12.76</v>
      </c>
      <c r="ED149" s="90">
        <f>_xlfn.IFNA(INDEX(武器升级消耗!$Q:$Q,MATCH(玩家节奏2!DZ149,武器升级消耗!$H:$H,0))*2*ED$4,0)</f>
        <v>11.399999999999999</v>
      </c>
    </row>
    <row r="150" spans="1:134" x14ac:dyDescent="0.25">
      <c r="A150" s="123">
        <v>144</v>
      </c>
      <c r="B150" s="123">
        <f>INDEX(关卡对比!$Y:$Y,MATCH(关卡对比!Z150,关卡对比!$AA:$AA,1))</f>
        <v>85</v>
      </c>
      <c r="C150" s="124">
        <f>INDEX(关卡对比!$Y:$Y,MATCH(关卡对比!Z150,关卡对比!$AB:$AB,1))</f>
        <v>66</v>
      </c>
      <c r="D150" s="125">
        <f t="shared" si="131"/>
        <v>559.5</v>
      </c>
      <c r="E150" s="125">
        <v>2</v>
      </c>
      <c r="F150" s="128">
        <v>16</v>
      </c>
      <c r="G150" s="90">
        <v>16</v>
      </c>
      <c r="H150" s="90">
        <v>5</v>
      </c>
      <c r="J150" s="128">
        <v>144</v>
      </c>
      <c r="K150" s="90">
        <f t="shared" si="152"/>
        <v>16</v>
      </c>
      <c r="L150" s="90">
        <f t="shared" si="153"/>
        <v>16</v>
      </c>
      <c r="M150" s="90">
        <f t="shared" si="154"/>
        <v>5</v>
      </c>
      <c r="N150" s="140">
        <f>INDEX($A:$A,MATCH(SUM($K$7:K150),$D:$D,1))</f>
        <v>200</v>
      </c>
      <c r="O150" s="140">
        <v>0</v>
      </c>
      <c r="P150" s="141">
        <v>0</v>
      </c>
      <c r="Q150" s="126">
        <f>_xlfn.MAXIFS(关卡产出!X:X,关卡产出!$A:$A,玩家节奏2!$N$6,关卡产出!$B:$B,玩家节奏2!$N150)+_xlfn.MAXIFS(关卡产出!X:X,关卡产出!$A:$A,玩家节奏2!$O$6,关卡产出!$B:$B,玩家节奏2!$O150)+_xlfn.MAXIFS(关卡产出!X:X,关卡产出!$A:$A,玩家节奏2!$P$6,关卡产出!$B:$B,玩家节奏2!$P150)</f>
        <v>38500</v>
      </c>
      <c r="R150" s="90">
        <f>_xlfn.MAXIFS(关卡产出!Y:Y,关卡产出!$A:$A,玩家节奏2!$N$6,关卡产出!$B:$B,玩家节奏2!$N150)+_xlfn.MAXIFS(关卡产出!Y:Y,关卡产出!$A:$A,玩家节奏2!$O$6,关卡产出!$B:$B,玩家节奏2!$O150)+_xlfn.MAXIFS(关卡产出!Y:Y,关卡产出!$A:$A,玩家节奏2!$P$6,关卡产出!$B:$B,玩家节奏2!$P150)</f>
        <v>11610000</v>
      </c>
      <c r="S150" s="90">
        <f>_xlfn.MAXIFS(关卡产出!Z:Z,关卡产出!$A:$A,玩家节奏2!$N$6,关卡产出!$B:$B,玩家节奏2!$N150)+_xlfn.MAXIFS(关卡产出!Z:Z,关卡产出!$A:$A,玩家节奏2!$O$6,关卡产出!$B:$B,玩家节奏2!$O150)+_xlfn.MAXIFS(关卡产出!Z:Z,关卡产出!$A:$A,玩家节奏2!$P$6,关卡产出!$B:$B,玩家节奏2!$P150)</f>
        <v>78866</v>
      </c>
      <c r="T150" s="90">
        <f>_xlfn.MAXIFS(关卡产出!AA:AA,关卡产出!$A:$A,玩家节奏2!$N$6,关卡产出!$B:$B,玩家节奏2!$N150)+_xlfn.MAXIFS(关卡产出!AA:AA,关卡产出!$A:$A,玩家节奏2!$O$6,关卡产出!$B:$B,玩家节奏2!$O150)+_xlfn.MAXIFS(关卡产出!AA:AA,关卡产出!$A:$A,玩家节奏2!$P$6,关卡产出!$B:$B,玩家节奏2!$P150)</f>
        <v>39434</v>
      </c>
      <c r="U150" s="90">
        <f>_xlfn.MAXIFS(关卡产出!AB:AB,关卡产出!$A:$A,玩家节奏2!$N$6,关卡产出!$B:$B,玩家节奏2!$N150)+_xlfn.MAXIFS(关卡产出!AB:AB,关卡产出!$A:$A,玩家节奏2!$O$6,关卡产出!$B:$B,玩家节奏2!$O150)+_xlfn.MAXIFS(关卡产出!AB:AB,关卡产出!$A:$A,玩家节奏2!$P$6,关卡产出!$B:$B,玩家节奏2!$P150)</f>
        <v>19113</v>
      </c>
      <c r="V150" s="130">
        <f>_xlfn.MAXIFS(关卡产出!AC:AC,关卡产出!$A:$A,玩家节奏2!$N$6,关卡产出!$B:$B,玩家节奏2!$N150)+_xlfn.MAXIFS(关卡产出!AC:AC,关卡产出!$A:$A,玩家节奏2!$O$6,关卡产出!$B:$B,玩家节奏2!$O150)+_xlfn.MAXIFS(关卡产出!AC:AC,关卡产出!$A:$A,玩家节奏2!$P$6,关卡产出!$B:$B,玩家节奏2!$P150)</f>
        <v>1200</v>
      </c>
      <c r="W150" s="126">
        <f>INDEX(关卡产出!C$8:C$207,MATCH(玩家节奏2!$N150,关卡产出!$B$8:$B$207,0))*$K150</f>
        <v>2528</v>
      </c>
      <c r="X150" s="126">
        <f>INDEX(关卡产出!D$8:D$207,MATCH(玩家节奏2!$N150,关卡产出!$B$8:$B$207,0))*$K150</f>
        <v>1264</v>
      </c>
      <c r="Y150" s="126">
        <f>INDEX(关卡产出!E$8:E$207,MATCH(玩家节奏2!$N150,关卡产出!$B$8:$B$207,0))*$K150</f>
        <v>624</v>
      </c>
      <c r="Z150" s="144">
        <f>INDEX(关卡产出!F$8:F$207,MATCH(玩家节奏2!$N150,关卡产出!$B$8:$B$207,0))*$K150</f>
        <v>32800</v>
      </c>
      <c r="AA150" s="126">
        <f>SUM(W$7:W150)</f>
        <v>305902</v>
      </c>
      <c r="AB150" s="126">
        <f>SUM(X$7:X150)</f>
        <v>152787</v>
      </c>
      <c r="AC150" s="126">
        <f>SUM(Y$7:Y150)</f>
        <v>75203</v>
      </c>
      <c r="AD150" s="177">
        <f>SUM(Z$7:Z150)</f>
        <v>3996730</v>
      </c>
      <c r="AE150" s="128">
        <f>INDEX(图鉴!AQ:AQ,MATCH($N150,图鉴!$S:$S,0))*34</f>
        <v>714</v>
      </c>
      <c r="AF150" s="90">
        <f>INDEX(图鉴!AR:AR,MATCH($N150,图鉴!$S:$S,0))*34</f>
        <v>510</v>
      </c>
      <c r="AG150" s="90">
        <f>INDEX(图鉴!AS:AS,MATCH($N150,图鉴!$S:$S,0))*34</f>
        <v>204</v>
      </c>
      <c r="AH150" s="129">
        <f ca="1">INDEX(图鉴!AT:AT,MATCH($N150,图鉴!$S:$S,0))*34</f>
        <v>55930</v>
      </c>
      <c r="AI150" s="128">
        <f>SUM($AE$7:AE150)</f>
        <v>100912</v>
      </c>
      <c r="AJ150" s="90">
        <f>SUM(AF$7:AF150)</f>
        <v>69972</v>
      </c>
      <c r="AK150" s="90">
        <f>SUM(AG$7:AG150)</f>
        <v>27438</v>
      </c>
      <c r="AL150" s="130">
        <f ca="1">SUM(AH$7:AH150)</f>
        <v>7224286</v>
      </c>
      <c r="AM150" s="133">
        <f>IF(M150=0,0,INDEX(关卡产出!$AU$11:$AU$15,MATCH(玩家节奏2!N150,关卡产出!$AW$11:$AW$15,1))*M150)</f>
        <v>61000</v>
      </c>
      <c r="AN150" s="126">
        <f>IF(L150=0,0,$L150*关卡产出!AU$21)</f>
        <v>16000</v>
      </c>
      <c r="AO150" s="90">
        <f>IF(M150=0,0,$L150*关卡产出!AV$21)</f>
        <v>800</v>
      </c>
      <c r="AP150" s="129">
        <f>IF(N150=0,0,$L150*关卡产出!AW$21)</f>
        <v>16</v>
      </c>
      <c r="AQ150" s="138">
        <f>SUM(AN$7:AN150)</f>
        <v>2256000</v>
      </c>
      <c r="AR150" s="126">
        <f>SUM(AO$7:AO150)</f>
        <v>112800</v>
      </c>
      <c r="AS150" s="129">
        <f>SUM(AP$7:AP150)</f>
        <v>2256</v>
      </c>
      <c r="AT150" s="128">
        <v>3000</v>
      </c>
      <c r="AU150" s="129">
        <v>600</v>
      </c>
      <c r="AV150" s="128">
        <f>SUM(AT$7:AT150)</f>
        <v>432000</v>
      </c>
      <c r="AW150" s="90">
        <f>SUM(AU$7:AU150)</f>
        <v>86400</v>
      </c>
      <c r="AY150" s="128">
        <f t="shared" si="155"/>
        <v>38500</v>
      </c>
      <c r="AZ150" s="90">
        <f t="shared" si="156"/>
        <v>112800</v>
      </c>
      <c r="BA150" s="90">
        <f t="shared" si="157"/>
        <v>86400</v>
      </c>
      <c r="BB150" s="90">
        <f t="shared" ca="1" si="185"/>
        <v>40800</v>
      </c>
      <c r="BC150" s="90">
        <f t="shared" ca="1" si="187"/>
        <v>141425</v>
      </c>
      <c r="BD150" s="90">
        <f t="shared" ca="1" si="188"/>
        <v>137075</v>
      </c>
      <c r="BE150" s="90">
        <f t="shared" ca="1" si="158"/>
        <v>278500</v>
      </c>
      <c r="BF150" s="142">
        <f t="shared" ca="1" si="139"/>
        <v>0.27222909669436096</v>
      </c>
      <c r="BG150" s="142">
        <f t="shared" ca="1" si="140"/>
        <v>0.79759589888633553</v>
      </c>
      <c r="BH150" s="142">
        <f t="shared" ca="1" si="141"/>
        <v>0.61092451829591654</v>
      </c>
      <c r="BI150" s="142">
        <f t="shared" ca="1" si="159"/>
        <v>0.28849213363973836</v>
      </c>
      <c r="BJ150" s="143"/>
      <c r="BK150" s="128">
        <f ca="1">INDEX(商城宝箱!$L:$L,MATCH(BC150,商城宝箱!$N:$N,1))</f>
        <v>13</v>
      </c>
      <c r="BL150" s="90">
        <f ca="1">_xlfn.IFNA(INDEX(商城宝箱!T:T,MATCH(玩家节奏2!$BK150,商城宝箱!$L:$L,0)),0)+($BC150-INDEX(商城宝箱!$N:$N,MATCH(玩家节奏2!$BK150,商城宝箱!$L:$L,0)))/$BK$5*INDEX(商城宝箱!E$23:E$42,MATCH(玩家节奏2!$BK150+1,商城宝箱!$C$23:$C$42,0))</f>
        <v>353562.5</v>
      </c>
      <c r="BM150" s="90">
        <f ca="1">_xlfn.IFNA(INDEX(商城宝箱!U:U,MATCH(玩家节奏2!$BK150,商城宝箱!$L:$L,0)),0)+($BC150-INDEX(商城宝箱!$N:$N,MATCH(玩家节奏2!$BK150,商城宝箱!$L:$L,0)))/$BK$5*INDEX(商城宝箱!F$23:F$42,MATCH(玩家节奏2!$BK150+1,商城宝箱!$C$23:$C$42,0))</f>
        <v>419990</v>
      </c>
      <c r="BN150" s="90">
        <f ca="1">_xlfn.IFNA(INDEX(商城宝箱!V:V,MATCH(玩家节奏2!$BK150,商城宝箱!$L:$L,0)),0)+($BC150-INDEX(商城宝箱!$N:$N,MATCH(玩家节奏2!$BK150,商城宝箱!$L:$L,0)))/$BK$5*INDEX(商城宝箱!G$23:G$42,MATCH(玩家节奏2!$BK150+1,商城宝箱!$C$23:$C$42,0))</f>
        <v>210868.25</v>
      </c>
      <c r="BO150" s="90">
        <f ca="1">_xlfn.IFNA(INDEX(商城宝箱!W:W,MATCH(玩家节奏2!$BK150,商城宝箱!$L:$L,0)),0)+($BC150-INDEX(商城宝箱!$N:$N,MATCH(玩家节奏2!$BK150,商城宝箱!$L:$L,0)))/$BK$5*INDEX(商城宝箱!H$23:H$42,MATCH(玩家节奏2!$BK150+1,商城宝箱!$C$23:$C$42,0))</f>
        <v>34161.5</v>
      </c>
      <c r="BQ150" s="128">
        <f t="shared" si="143"/>
        <v>11610000</v>
      </c>
      <c r="BR150" s="90">
        <f t="shared" si="144"/>
        <v>3996730</v>
      </c>
      <c r="BS150" s="90">
        <f t="shared" ca="1" si="145"/>
        <v>7224286</v>
      </c>
      <c r="BT150" s="90">
        <f t="shared" si="146"/>
        <v>61000</v>
      </c>
      <c r="BU150" s="90">
        <f t="shared" si="147"/>
        <v>2256000</v>
      </c>
      <c r="BV150" s="90">
        <f t="shared" si="148"/>
        <v>432000</v>
      </c>
      <c r="BW150" s="90">
        <f t="shared" ca="1" si="160"/>
        <v>353562.5</v>
      </c>
      <c r="BX150" s="90">
        <f t="shared" ca="1" si="161"/>
        <v>25933578.5</v>
      </c>
      <c r="BY150" s="142">
        <f t="shared" ca="1" si="138"/>
        <v>0.44768214305634679</v>
      </c>
      <c r="BZ150" s="142">
        <f t="shared" ca="1" si="138"/>
        <v>0.15411409574656271</v>
      </c>
      <c r="CA150" s="142">
        <f t="shared" ca="1" si="138"/>
        <v>0.27856880607510454</v>
      </c>
      <c r="CB150" s="142">
        <f t="shared" ca="1" si="138"/>
        <v>2.3521628532676277E-3</v>
      </c>
      <c r="CC150" s="142">
        <f t="shared" ca="1" si="138"/>
        <v>8.6991465524127343E-2</v>
      </c>
      <c r="CD150" s="142">
        <f t="shared" ca="1" si="138"/>
        <v>1.6657940206747789E-2</v>
      </c>
      <c r="CE150" s="142">
        <f t="shared" ca="1" si="138"/>
        <v>1.3633386537843207E-2</v>
      </c>
      <c r="CG150" s="128">
        <f t="shared" si="162"/>
        <v>200</v>
      </c>
      <c r="CH150" s="90">
        <f ca="1">INDEX(角色升级!$A:$A,MATCH(玩家节奏2!$BX150,角色升级!$J:$J,1))</f>
        <v>1047</v>
      </c>
      <c r="CI150" s="90">
        <f ca="1">INDEX(角色升级!$O:$O,MATCH(玩家节奏2!$BX150,角色升级!$J:$J,1))</f>
        <v>99294.156750000009</v>
      </c>
      <c r="CJ150" s="90">
        <f>INDEX(关卡对比!$J:$J,MATCH(玩家节奏2!N150,关卡对比!$A:$A,0))</f>
        <v>86200</v>
      </c>
      <c r="CK150" s="147">
        <f t="shared" ca="1" si="163"/>
        <v>0.8681276202086281</v>
      </c>
      <c r="CL150" s="128">
        <f ca="1">INDEX(角色升级!$P:$P,MATCH(玩家节奏2!$CH150,角色升级!$A:$A,0))</f>
        <v>40800</v>
      </c>
      <c r="CM150" s="90">
        <f ca="1">INDEX(角色升级!Q:Q,MATCH(玩家节奏2!$CH150,角色升级!$A:$A,0))</f>
        <v>2.2000000000000002</v>
      </c>
      <c r="CO150" s="128">
        <f t="shared" si="164"/>
        <v>78866</v>
      </c>
      <c r="CP150" s="90">
        <f t="shared" si="165"/>
        <v>305902</v>
      </c>
      <c r="CQ150" s="90">
        <f t="shared" si="166"/>
        <v>100912</v>
      </c>
      <c r="CR150" s="90">
        <f t="shared" ca="1" si="167"/>
        <v>419990</v>
      </c>
      <c r="CS150" s="90">
        <f t="shared" ca="1" si="168"/>
        <v>905670</v>
      </c>
      <c r="CT150" s="142">
        <f t="shared" ca="1" si="169"/>
        <v>8.708028310532534E-2</v>
      </c>
      <c r="CU150" s="142">
        <f t="shared" ca="1" si="169"/>
        <v>0.33776320293263551</v>
      </c>
      <c r="CV150" s="142">
        <f t="shared" ca="1" si="169"/>
        <v>0.11142248280278688</v>
      </c>
      <c r="CW150" s="142">
        <f t="shared" ca="1" si="149"/>
        <v>0.46373403115925227</v>
      </c>
      <c r="CY150" s="128">
        <f t="shared" si="170"/>
        <v>39434</v>
      </c>
      <c r="CZ150" s="90">
        <f t="shared" si="171"/>
        <v>152787</v>
      </c>
      <c r="DA150" s="90">
        <f t="shared" si="172"/>
        <v>69972</v>
      </c>
      <c r="DB150" s="90">
        <f t="shared" ca="1" si="186"/>
        <v>210868.25</v>
      </c>
      <c r="DC150" s="90">
        <f t="shared" ca="1" si="173"/>
        <v>473061.25</v>
      </c>
      <c r="DD150" s="142">
        <f t="shared" ca="1" si="174"/>
        <v>8.3359184460785996E-2</v>
      </c>
      <c r="DE150" s="142">
        <f t="shared" ca="1" si="174"/>
        <v>0.32297509043490669</v>
      </c>
      <c r="DF150" s="142">
        <f t="shared" ca="1" si="174"/>
        <v>0.14791319305903833</v>
      </c>
      <c r="DG150" s="142">
        <f t="shared" ca="1" si="150"/>
        <v>0.44575253204526899</v>
      </c>
      <c r="DI150" s="128">
        <f t="shared" si="175"/>
        <v>19113</v>
      </c>
      <c r="DJ150" s="90">
        <f t="shared" si="176"/>
        <v>75203</v>
      </c>
      <c r="DK150" s="90">
        <f t="shared" si="177"/>
        <v>27438</v>
      </c>
      <c r="DL150" s="90">
        <f t="shared" ca="1" si="178"/>
        <v>34161.5</v>
      </c>
      <c r="DM150" s="90">
        <f t="shared" ca="1" si="179"/>
        <v>155915.5</v>
      </c>
      <c r="DN150" s="142">
        <f t="shared" ca="1" si="180"/>
        <v>0.12258563131952885</v>
      </c>
      <c r="DO150" s="142">
        <f t="shared" ca="1" si="180"/>
        <v>0.48233177586577347</v>
      </c>
      <c r="DP150" s="142">
        <f t="shared" ca="1" si="180"/>
        <v>0.17597993785095131</v>
      </c>
      <c r="DQ150" s="142">
        <f t="shared" ca="1" si="151"/>
        <v>0.2191026549637464</v>
      </c>
      <c r="DS150" s="128">
        <f t="shared" ca="1" si="181"/>
        <v>905670</v>
      </c>
      <c r="DT150" s="90">
        <f t="shared" ca="1" si="182"/>
        <v>473061.25</v>
      </c>
      <c r="DU150" s="90">
        <f t="shared" ca="1" si="183"/>
        <v>155915.5</v>
      </c>
      <c r="DV150" s="90">
        <f t="shared" si="184"/>
        <v>2256</v>
      </c>
      <c r="DW150" s="90">
        <f ca="1">_xlfn.IFNA(INDEX(武器升级消耗!$H:$H,MATCH(玩家节奏2!DS150/玩家节奏2!DS$5,武器升级消耗!M:M,1)),0)</f>
        <v>82</v>
      </c>
      <c r="DX150" s="90">
        <f ca="1">_xlfn.IFNA(INDEX(武器升级消耗!$H:$H,MATCH(玩家节奏2!DT150/玩家节奏2!DT$5,武器升级消耗!N:N,1)),0)</f>
        <v>72</v>
      </c>
      <c r="DY150" s="90">
        <f ca="1">_xlfn.IFNA(INDEX(武器升级消耗!$H:$H,MATCH(玩家节奏2!DU150/玩家节奏2!DU$5,武器升级消耗!O:O,1)),0)</f>
        <v>54</v>
      </c>
      <c r="DZ150" s="90">
        <f>_xlfn.IFNA(INDEX(武器升级消耗!$H:$H,MATCH(玩家节奏2!DV150/玩家节奏2!DV$5,武器升级消耗!P:P,1)),0)</f>
        <v>34</v>
      </c>
      <c r="EA150" s="90">
        <f ca="1">_xlfn.IFNA(INDEX(武器升级消耗!$Q:$Q,MATCH(玩家节奏2!DW150,武器升级消耗!$H:$H,0))*2*EA$4,0)</f>
        <v>10.319999999999988</v>
      </c>
      <c r="EB150" s="90">
        <f ca="1">_xlfn.IFNA(INDEX(武器升级消耗!$Q:$Q,MATCH(玩家节奏2!DX150,武器升级消耗!$H:$H,0))*2*EB$4,0)</f>
        <v>11.399999999999984</v>
      </c>
      <c r="EC150" s="90">
        <f ca="1">_xlfn.IFNA(INDEX(武器升级消耗!$Q:$Q,MATCH(玩家节奏2!DY150,武器升级消耗!$H:$H,0))*2*EC$4,0)</f>
        <v>12.76</v>
      </c>
      <c r="ED150" s="90">
        <f>_xlfn.IFNA(INDEX(武器升级消耗!$Q:$Q,MATCH(玩家节奏2!DZ150,武器升级消耗!$H:$H,0))*2*ED$4,0)</f>
        <v>11.399999999999999</v>
      </c>
    </row>
    <row r="151" spans="1:134" x14ac:dyDescent="0.25">
      <c r="A151" s="123">
        <v>145</v>
      </c>
      <c r="B151" s="123">
        <f>INDEX(关卡对比!$Y:$Y,MATCH(关卡对比!Z151,关卡对比!$AA:$AA,1))</f>
        <v>86</v>
      </c>
      <c r="C151" s="124">
        <f>INDEX(关卡对比!$Y:$Y,MATCH(关卡对比!Z151,关卡对比!$AB:$AB,1))</f>
        <v>66</v>
      </c>
      <c r="D151" s="125">
        <f t="shared" si="131"/>
        <v>563.5</v>
      </c>
      <c r="E151" s="125">
        <v>2</v>
      </c>
      <c r="F151" s="128">
        <v>16</v>
      </c>
      <c r="G151" s="90">
        <v>16</v>
      </c>
      <c r="H151" s="90">
        <v>5</v>
      </c>
      <c r="J151" s="128">
        <v>145</v>
      </c>
      <c r="K151" s="90">
        <f t="shared" si="152"/>
        <v>16</v>
      </c>
      <c r="L151" s="90">
        <f t="shared" si="153"/>
        <v>16</v>
      </c>
      <c r="M151" s="90">
        <f t="shared" si="154"/>
        <v>5</v>
      </c>
      <c r="N151" s="140">
        <f>INDEX($A:$A,MATCH(SUM($K$7:K151),$D:$D,1))</f>
        <v>200</v>
      </c>
      <c r="O151" s="140">
        <v>0</v>
      </c>
      <c r="P151" s="141">
        <v>0</v>
      </c>
      <c r="Q151" s="126">
        <f>_xlfn.MAXIFS(关卡产出!X:X,关卡产出!$A:$A,玩家节奏2!$N$6,关卡产出!$B:$B,玩家节奏2!$N151)+_xlfn.MAXIFS(关卡产出!X:X,关卡产出!$A:$A,玩家节奏2!$O$6,关卡产出!$B:$B,玩家节奏2!$O151)+_xlfn.MAXIFS(关卡产出!X:X,关卡产出!$A:$A,玩家节奏2!$P$6,关卡产出!$B:$B,玩家节奏2!$P151)</f>
        <v>38500</v>
      </c>
      <c r="R151" s="90">
        <f>_xlfn.MAXIFS(关卡产出!Y:Y,关卡产出!$A:$A,玩家节奏2!$N$6,关卡产出!$B:$B,玩家节奏2!$N151)+_xlfn.MAXIFS(关卡产出!Y:Y,关卡产出!$A:$A,玩家节奏2!$O$6,关卡产出!$B:$B,玩家节奏2!$O151)+_xlfn.MAXIFS(关卡产出!Y:Y,关卡产出!$A:$A,玩家节奏2!$P$6,关卡产出!$B:$B,玩家节奏2!$P151)</f>
        <v>11610000</v>
      </c>
      <c r="S151" s="90">
        <f>_xlfn.MAXIFS(关卡产出!Z:Z,关卡产出!$A:$A,玩家节奏2!$N$6,关卡产出!$B:$B,玩家节奏2!$N151)+_xlfn.MAXIFS(关卡产出!Z:Z,关卡产出!$A:$A,玩家节奏2!$O$6,关卡产出!$B:$B,玩家节奏2!$O151)+_xlfn.MAXIFS(关卡产出!Z:Z,关卡产出!$A:$A,玩家节奏2!$P$6,关卡产出!$B:$B,玩家节奏2!$P151)</f>
        <v>78866</v>
      </c>
      <c r="T151" s="90">
        <f>_xlfn.MAXIFS(关卡产出!AA:AA,关卡产出!$A:$A,玩家节奏2!$N$6,关卡产出!$B:$B,玩家节奏2!$N151)+_xlfn.MAXIFS(关卡产出!AA:AA,关卡产出!$A:$A,玩家节奏2!$O$6,关卡产出!$B:$B,玩家节奏2!$O151)+_xlfn.MAXIFS(关卡产出!AA:AA,关卡产出!$A:$A,玩家节奏2!$P$6,关卡产出!$B:$B,玩家节奏2!$P151)</f>
        <v>39434</v>
      </c>
      <c r="U151" s="90">
        <f>_xlfn.MAXIFS(关卡产出!AB:AB,关卡产出!$A:$A,玩家节奏2!$N$6,关卡产出!$B:$B,玩家节奏2!$N151)+_xlfn.MAXIFS(关卡产出!AB:AB,关卡产出!$A:$A,玩家节奏2!$O$6,关卡产出!$B:$B,玩家节奏2!$O151)+_xlfn.MAXIFS(关卡产出!AB:AB,关卡产出!$A:$A,玩家节奏2!$P$6,关卡产出!$B:$B,玩家节奏2!$P151)</f>
        <v>19113</v>
      </c>
      <c r="V151" s="130">
        <f>_xlfn.MAXIFS(关卡产出!AC:AC,关卡产出!$A:$A,玩家节奏2!$N$6,关卡产出!$B:$B,玩家节奏2!$N151)+_xlfn.MAXIFS(关卡产出!AC:AC,关卡产出!$A:$A,玩家节奏2!$O$6,关卡产出!$B:$B,玩家节奏2!$O151)+_xlfn.MAXIFS(关卡产出!AC:AC,关卡产出!$A:$A,玩家节奏2!$P$6,关卡产出!$B:$B,玩家节奏2!$P151)</f>
        <v>1200</v>
      </c>
      <c r="W151" s="126">
        <f>INDEX(关卡产出!C$8:C$207,MATCH(玩家节奏2!$N151,关卡产出!$B$8:$B$207,0))*$K151</f>
        <v>2528</v>
      </c>
      <c r="X151" s="126">
        <f>INDEX(关卡产出!D$8:D$207,MATCH(玩家节奏2!$N151,关卡产出!$B$8:$B$207,0))*$K151</f>
        <v>1264</v>
      </c>
      <c r="Y151" s="126">
        <f>INDEX(关卡产出!E$8:E$207,MATCH(玩家节奏2!$N151,关卡产出!$B$8:$B$207,0))*$K151</f>
        <v>624</v>
      </c>
      <c r="Z151" s="144">
        <f>INDEX(关卡产出!F$8:F$207,MATCH(玩家节奏2!$N151,关卡产出!$B$8:$B$207,0))*$K151</f>
        <v>32800</v>
      </c>
      <c r="AA151" s="126">
        <f>SUM(W$7:W151)</f>
        <v>308430</v>
      </c>
      <c r="AB151" s="126">
        <f>SUM(X$7:X151)</f>
        <v>154051</v>
      </c>
      <c r="AC151" s="126">
        <f>SUM(Y$7:Y151)</f>
        <v>75827</v>
      </c>
      <c r="AD151" s="177">
        <f>SUM(Z$7:Z151)</f>
        <v>4029530</v>
      </c>
      <c r="AE151" s="128">
        <f>INDEX(图鉴!AQ:AQ,MATCH($N151,图鉴!$S:$S,0))*34</f>
        <v>714</v>
      </c>
      <c r="AF151" s="90">
        <f>INDEX(图鉴!AR:AR,MATCH($N151,图鉴!$S:$S,0))*34</f>
        <v>510</v>
      </c>
      <c r="AG151" s="90">
        <f>INDEX(图鉴!AS:AS,MATCH($N151,图鉴!$S:$S,0))*34</f>
        <v>204</v>
      </c>
      <c r="AH151" s="129">
        <f ca="1">INDEX(图鉴!AT:AT,MATCH($N151,图鉴!$S:$S,0))*34</f>
        <v>55930</v>
      </c>
      <c r="AI151" s="128">
        <f>SUM($AE$7:AE151)</f>
        <v>101626</v>
      </c>
      <c r="AJ151" s="90">
        <f>SUM(AF$7:AF151)</f>
        <v>70482</v>
      </c>
      <c r="AK151" s="90">
        <f>SUM(AG$7:AG151)</f>
        <v>27642</v>
      </c>
      <c r="AL151" s="130">
        <f ca="1">SUM(AH$7:AH151)</f>
        <v>7280216</v>
      </c>
      <c r="AM151" s="133">
        <f>IF(M151=0,0,INDEX(关卡产出!$AU$11:$AU$15,MATCH(玩家节奏2!N151,关卡产出!$AW$11:$AW$15,1))*M151)</f>
        <v>61000</v>
      </c>
      <c r="AN151" s="126">
        <f>IF(L151=0,0,$L151*关卡产出!AU$21)</f>
        <v>16000</v>
      </c>
      <c r="AO151" s="90">
        <f>IF(M151=0,0,$L151*关卡产出!AV$21)</f>
        <v>800</v>
      </c>
      <c r="AP151" s="129">
        <f>IF(N151=0,0,$L151*关卡产出!AW$21)</f>
        <v>16</v>
      </c>
      <c r="AQ151" s="138">
        <f>SUM(AN$7:AN151)</f>
        <v>2272000</v>
      </c>
      <c r="AR151" s="126">
        <f>SUM(AO$7:AO151)</f>
        <v>113600</v>
      </c>
      <c r="AS151" s="129">
        <f>SUM(AP$7:AP151)</f>
        <v>2272</v>
      </c>
      <c r="AT151" s="128">
        <v>3000</v>
      </c>
      <c r="AU151" s="129">
        <v>600</v>
      </c>
      <c r="AV151" s="128">
        <f>SUM(AT$7:AT151)</f>
        <v>435000</v>
      </c>
      <c r="AW151" s="90">
        <f>SUM(AU$7:AU151)</f>
        <v>87000</v>
      </c>
      <c r="AY151" s="128">
        <f t="shared" si="155"/>
        <v>38500</v>
      </c>
      <c r="AZ151" s="90">
        <f t="shared" si="156"/>
        <v>113600</v>
      </c>
      <c r="BA151" s="90">
        <f t="shared" si="157"/>
        <v>87000</v>
      </c>
      <c r="BB151" s="90">
        <f t="shared" ca="1" si="185"/>
        <v>40800</v>
      </c>
      <c r="BC151" s="90">
        <f t="shared" ca="1" si="187"/>
        <v>142125</v>
      </c>
      <c r="BD151" s="90">
        <f t="shared" ca="1" si="188"/>
        <v>137775</v>
      </c>
      <c r="BE151" s="90">
        <f t="shared" ca="1" si="158"/>
        <v>279900</v>
      </c>
      <c r="BF151" s="142">
        <f t="shared" ca="1" si="139"/>
        <v>0.27088830255057167</v>
      </c>
      <c r="BG151" s="142">
        <f t="shared" ca="1" si="140"/>
        <v>0.79929639401934915</v>
      </c>
      <c r="BH151" s="142">
        <f t="shared" ca="1" si="141"/>
        <v>0.61213720316622688</v>
      </c>
      <c r="BI151" s="142">
        <f t="shared" ca="1" si="159"/>
        <v>0.28707124010554091</v>
      </c>
      <c r="BJ151" s="143"/>
      <c r="BK151" s="128">
        <f ca="1">INDEX(商城宝箱!$L:$L,MATCH(BC151,商城宝箱!$N:$N,1))</f>
        <v>13</v>
      </c>
      <c r="BL151" s="90">
        <f ca="1">_xlfn.IFNA(INDEX(商城宝箱!T:T,MATCH(玩家节奏2!$BK151,商城宝箱!$L:$L,0)),0)+($BC151-INDEX(商城宝箱!$N:$N,MATCH(玩家节奏2!$BK151,商城宝箱!$L:$L,0)))/$BK$5*INDEX(商城宝箱!E$23:E$42,MATCH(玩家节奏2!$BK151+1,商城宝箱!$C$23:$C$42,0))</f>
        <v>355312.5</v>
      </c>
      <c r="BM151" s="90">
        <f ca="1">_xlfn.IFNA(INDEX(商城宝箱!U:U,MATCH(玩家节奏2!$BK151,商城宝箱!$L:$L,0)),0)+($BC151-INDEX(商城宝箱!$N:$N,MATCH(玩家节奏2!$BK151,商城宝箱!$L:$L,0)))/$BK$5*INDEX(商城宝箱!F$23:F$42,MATCH(玩家节奏2!$BK151+1,商城宝箱!$C$23:$C$42,0))</f>
        <v>423280</v>
      </c>
      <c r="BN151" s="90">
        <f ca="1">_xlfn.IFNA(INDEX(商城宝箱!V:V,MATCH(玩家节奏2!$BK151,商城宝箱!$L:$L,0)),0)+($BC151-INDEX(商城宝箱!$N:$N,MATCH(玩家节奏2!$BK151,商城宝箱!$L:$L,0)))/$BK$5*INDEX(商城宝箱!G$23:G$42,MATCH(玩家节奏2!$BK151+1,商城宝箱!$C$23:$C$42,0))</f>
        <v>212443.25</v>
      </c>
      <c r="BO151" s="90">
        <f ca="1">_xlfn.IFNA(INDEX(商城宝箱!W:W,MATCH(玩家节奏2!$BK151,商城宝箱!$L:$L,0)),0)+($BC151-INDEX(商城宝箱!$N:$N,MATCH(玩家节奏2!$BK151,商城宝箱!$L:$L,0)))/$BK$5*INDEX(商城宝箱!H$23:H$42,MATCH(玩家节奏2!$BK151+1,商城宝箱!$C$23:$C$42,0))</f>
        <v>34441.5</v>
      </c>
      <c r="BQ151" s="128">
        <f t="shared" si="143"/>
        <v>11610000</v>
      </c>
      <c r="BR151" s="90">
        <f t="shared" si="144"/>
        <v>4029530</v>
      </c>
      <c r="BS151" s="90">
        <f t="shared" ca="1" si="145"/>
        <v>7280216</v>
      </c>
      <c r="BT151" s="90">
        <f t="shared" si="146"/>
        <v>61000</v>
      </c>
      <c r="BU151" s="90">
        <f t="shared" si="147"/>
        <v>2272000</v>
      </c>
      <c r="BV151" s="90">
        <f t="shared" si="148"/>
        <v>435000</v>
      </c>
      <c r="BW151" s="90">
        <f t="shared" ca="1" si="160"/>
        <v>355312.5</v>
      </c>
      <c r="BX151" s="90">
        <f t="shared" ca="1" si="161"/>
        <v>26043058.5</v>
      </c>
      <c r="BY151" s="142">
        <f t="shared" ca="1" si="138"/>
        <v>0.44580017358560248</v>
      </c>
      <c r="BZ151" s="142">
        <f t="shared" ca="1" si="138"/>
        <v>0.15472568246928448</v>
      </c>
      <c r="CA151" s="142">
        <f t="shared" ca="1" si="138"/>
        <v>0.27954535370720762</v>
      </c>
      <c r="CB151" s="142">
        <f t="shared" ca="1" si="138"/>
        <v>2.3422748138433895E-3</v>
      </c>
      <c r="CC151" s="142">
        <f t="shared" ca="1" si="138"/>
        <v>8.7240137328724279E-2</v>
      </c>
      <c r="CD151" s="142">
        <f t="shared" ca="1" si="138"/>
        <v>1.6703107279047121E-2</v>
      </c>
      <c r="CE151" s="142">
        <f t="shared" ca="1" si="138"/>
        <v>1.3643270816290643E-2</v>
      </c>
      <c r="CG151" s="128">
        <f t="shared" si="162"/>
        <v>200</v>
      </c>
      <c r="CH151" s="90">
        <f ca="1">INDEX(角色升级!$A:$A,MATCH(玩家节奏2!$BX151,角色升级!$J:$J,1))</f>
        <v>1047</v>
      </c>
      <c r="CI151" s="90">
        <f ca="1">INDEX(角色升级!$O:$O,MATCH(玩家节奏2!$BX151,角色升级!$J:$J,1))</f>
        <v>99294.156750000009</v>
      </c>
      <c r="CJ151" s="90">
        <f>INDEX(关卡对比!$J:$J,MATCH(玩家节奏2!N151,关卡对比!$A:$A,0))</f>
        <v>86200</v>
      </c>
      <c r="CK151" s="147">
        <f t="shared" ca="1" si="163"/>
        <v>0.8681276202086281</v>
      </c>
      <c r="CL151" s="128">
        <f ca="1">INDEX(角色升级!$P:$P,MATCH(玩家节奏2!$CH151,角色升级!$A:$A,0))</f>
        <v>40800</v>
      </c>
      <c r="CM151" s="90">
        <f ca="1">INDEX(角色升级!Q:Q,MATCH(玩家节奏2!$CH151,角色升级!$A:$A,0))</f>
        <v>2.2000000000000002</v>
      </c>
      <c r="CO151" s="128">
        <f t="shared" si="164"/>
        <v>78866</v>
      </c>
      <c r="CP151" s="90">
        <f t="shared" si="165"/>
        <v>308430</v>
      </c>
      <c r="CQ151" s="90">
        <f t="shared" si="166"/>
        <v>101626</v>
      </c>
      <c r="CR151" s="90">
        <f t="shared" ca="1" si="167"/>
        <v>423280</v>
      </c>
      <c r="CS151" s="90">
        <f t="shared" ca="1" si="168"/>
        <v>912202</v>
      </c>
      <c r="CT151" s="142">
        <f t="shared" ca="1" si="169"/>
        <v>8.6456727786170168E-2</v>
      </c>
      <c r="CU151" s="142">
        <f t="shared" ca="1" si="169"/>
        <v>0.33811589976781459</v>
      </c>
      <c r="CV151" s="142">
        <f t="shared" ca="1" si="169"/>
        <v>0.11140734179490946</v>
      </c>
      <c r="CW151" s="142">
        <f t="shared" ca="1" si="149"/>
        <v>0.46402003065110581</v>
      </c>
      <c r="CY151" s="128">
        <f t="shared" si="170"/>
        <v>39434</v>
      </c>
      <c r="CZ151" s="90">
        <f t="shared" si="171"/>
        <v>154051</v>
      </c>
      <c r="DA151" s="90">
        <f t="shared" si="172"/>
        <v>70482</v>
      </c>
      <c r="DB151" s="90">
        <f t="shared" ca="1" si="186"/>
        <v>212443.25</v>
      </c>
      <c r="DC151" s="90">
        <f t="shared" ca="1" si="173"/>
        <v>476410.25</v>
      </c>
      <c r="DD151" s="142">
        <f t="shared" ca="1" si="174"/>
        <v>8.2773198099747008E-2</v>
      </c>
      <c r="DE151" s="142">
        <f t="shared" ca="1" si="174"/>
        <v>0.32335786226261926</v>
      </c>
      <c r="DF151" s="142">
        <f t="shared" ca="1" si="174"/>
        <v>0.1479439201822379</v>
      </c>
      <c r="DG151" s="142">
        <f t="shared" ca="1" si="150"/>
        <v>0.44592501945539587</v>
      </c>
      <c r="DI151" s="128">
        <f t="shared" si="175"/>
        <v>19113</v>
      </c>
      <c r="DJ151" s="90">
        <f t="shared" si="176"/>
        <v>75827</v>
      </c>
      <c r="DK151" s="90">
        <f t="shared" si="177"/>
        <v>27642</v>
      </c>
      <c r="DL151" s="90">
        <f t="shared" ca="1" si="178"/>
        <v>34441.5</v>
      </c>
      <c r="DM151" s="90">
        <f t="shared" ca="1" si="179"/>
        <v>157023.5</v>
      </c>
      <c r="DN151" s="142">
        <f t="shared" ca="1" si="180"/>
        <v>0.121720634172592</v>
      </c>
      <c r="DO151" s="142">
        <f t="shared" ca="1" si="180"/>
        <v>0.48290224074740407</v>
      </c>
      <c r="DP151" s="142">
        <f t="shared" ca="1" si="180"/>
        <v>0.17603734472865526</v>
      </c>
      <c r="DQ151" s="142">
        <f t="shared" ca="1" si="151"/>
        <v>0.21933978035134868</v>
      </c>
      <c r="DS151" s="128">
        <f t="shared" ca="1" si="181"/>
        <v>912202</v>
      </c>
      <c r="DT151" s="90">
        <f t="shared" ca="1" si="182"/>
        <v>476410.25</v>
      </c>
      <c r="DU151" s="90">
        <f t="shared" ca="1" si="183"/>
        <v>157023.5</v>
      </c>
      <c r="DV151" s="90">
        <f t="shared" si="184"/>
        <v>2272</v>
      </c>
      <c r="DW151" s="90">
        <f ca="1">_xlfn.IFNA(INDEX(武器升级消耗!$H:$H,MATCH(玩家节奏2!DS151/玩家节奏2!DS$5,武器升级消耗!M:M,1)),0)</f>
        <v>82</v>
      </c>
      <c r="DX151" s="90">
        <f ca="1">_xlfn.IFNA(INDEX(武器升级消耗!$H:$H,MATCH(玩家节奏2!DT151/玩家节奏2!DT$5,武器升级消耗!N:N,1)),0)</f>
        <v>72</v>
      </c>
      <c r="DY151" s="90">
        <f ca="1">_xlfn.IFNA(INDEX(武器升级消耗!$H:$H,MATCH(玩家节奏2!DU151/玩家节奏2!DU$5,武器升级消耗!O:O,1)),0)</f>
        <v>54</v>
      </c>
      <c r="DZ151" s="90">
        <f>_xlfn.IFNA(INDEX(武器升级消耗!$H:$H,MATCH(玩家节奏2!DV151/玩家节奏2!DV$5,武器升级消耗!P:P,1)),0)</f>
        <v>34</v>
      </c>
      <c r="EA151" s="90">
        <f ca="1">_xlfn.IFNA(INDEX(武器升级消耗!$Q:$Q,MATCH(玩家节奏2!DW151,武器升级消耗!$H:$H,0))*2*EA$4,0)</f>
        <v>10.319999999999988</v>
      </c>
      <c r="EB151" s="90">
        <f ca="1">_xlfn.IFNA(INDEX(武器升级消耗!$Q:$Q,MATCH(玩家节奏2!DX151,武器升级消耗!$H:$H,0))*2*EB$4,0)</f>
        <v>11.399999999999984</v>
      </c>
      <c r="EC151" s="90">
        <f ca="1">_xlfn.IFNA(INDEX(武器升级消耗!$Q:$Q,MATCH(玩家节奏2!DY151,武器升级消耗!$H:$H,0))*2*EC$4,0)</f>
        <v>12.76</v>
      </c>
      <c r="ED151" s="90">
        <f>_xlfn.IFNA(INDEX(武器升级消耗!$Q:$Q,MATCH(玩家节奏2!DZ151,武器升级消耗!$H:$H,0))*2*ED$4,0)</f>
        <v>11.399999999999999</v>
      </c>
    </row>
    <row r="152" spans="1:134" x14ac:dyDescent="0.25">
      <c r="A152" s="123">
        <v>146</v>
      </c>
      <c r="B152" s="123">
        <f>INDEX(关卡对比!$Y:$Y,MATCH(关卡对比!Z152,关卡对比!$AA:$AA,1))</f>
        <v>86</v>
      </c>
      <c r="C152" s="124">
        <f>INDEX(关卡对比!$Y:$Y,MATCH(关卡对比!Z152,关卡对比!$AB:$AB,1))</f>
        <v>67</v>
      </c>
      <c r="D152" s="125">
        <f t="shared" ref="D152:D206" si="189">A152*E152+B152*E152+C152*E152-4.5-10-16</f>
        <v>567.5</v>
      </c>
      <c r="E152" s="125">
        <v>2</v>
      </c>
      <c r="F152" s="128">
        <v>16</v>
      </c>
      <c r="G152" s="90">
        <v>16</v>
      </c>
      <c r="H152" s="90">
        <v>5</v>
      </c>
      <c r="J152" s="128">
        <v>146</v>
      </c>
      <c r="K152" s="90">
        <f t="shared" si="152"/>
        <v>16</v>
      </c>
      <c r="L152" s="90">
        <f t="shared" si="153"/>
        <v>16</v>
      </c>
      <c r="M152" s="90">
        <f t="shared" si="154"/>
        <v>5</v>
      </c>
      <c r="N152" s="140">
        <f>INDEX($A:$A,MATCH(SUM($K$7:K152),$D:$D,1))</f>
        <v>200</v>
      </c>
      <c r="O152" s="140">
        <v>0</v>
      </c>
      <c r="P152" s="141">
        <v>0</v>
      </c>
      <c r="Q152" s="126">
        <f>_xlfn.MAXIFS(关卡产出!X:X,关卡产出!$A:$A,玩家节奏2!$N$6,关卡产出!$B:$B,玩家节奏2!$N152)+_xlfn.MAXIFS(关卡产出!X:X,关卡产出!$A:$A,玩家节奏2!$O$6,关卡产出!$B:$B,玩家节奏2!$O152)+_xlfn.MAXIFS(关卡产出!X:X,关卡产出!$A:$A,玩家节奏2!$P$6,关卡产出!$B:$B,玩家节奏2!$P152)</f>
        <v>38500</v>
      </c>
      <c r="R152" s="90">
        <f>_xlfn.MAXIFS(关卡产出!Y:Y,关卡产出!$A:$A,玩家节奏2!$N$6,关卡产出!$B:$B,玩家节奏2!$N152)+_xlfn.MAXIFS(关卡产出!Y:Y,关卡产出!$A:$A,玩家节奏2!$O$6,关卡产出!$B:$B,玩家节奏2!$O152)+_xlfn.MAXIFS(关卡产出!Y:Y,关卡产出!$A:$A,玩家节奏2!$P$6,关卡产出!$B:$B,玩家节奏2!$P152)</f>
        <v>11610000</v>
      </c>
      <c r="S152" s="90">
        <f>_xlfn.MAXIFS(关卡产出!Z:Z,关卡产出!$A:$A,玩家节奏2!$N$6,关卡产出!$B:$B,玩家节奏2!$N152)+_xlfn.MAXIFS(关卡产出!Z:Z,关卡产出!$A:$A,玩家节奏2!$O$6,关卡产出!$B:$B,玩家节奏2!$O152)+_xlfn.MAXIFS(关卡产出!Z:Z,关卡产出!$A:$A,玩家节奏2!$P$6,关卡产出!$B:$B,玩家节奏2!$P152)</f>
        <v>78866</v>
      </c>
      <c r="T152" s="90">
        <f>_xlfn.MAXIFS(关卡产出!AA:AA,关卡产出!$A:$A,玩家节奏2!$N$6,关卡产出!$B:$B,玩家节奏2!$N152)+_xlfn.MAXIFS(关卡产出!AA:AA,关卡产出!$A:$A,玩家节奏2!$O$6,关卡产出!$B:$B,玩家节奏2!$O152)+_xlfn.MAXIFS(关卡产出!AA:AA,关卡产出!$A:$A,玩家节奏2!$P$6,关卡产出!$B:$B,玩家节奏2!$P152)</f>
        <v>39434</v>
      </c>
      <c r="U152" s="90">
        <f>_xlfn.MAXIFS(关卡产出!AB:AB,关卡产出!$A:$A,玩家节奏2!$N$6,关卡产出!$B:$B,玩家节奏2!$N152)+_xlfn.MAXIFS(关卡产出!AB:AB,关卡产出!$A:$A,玩家节奏2!$O$6,关卡产出!$B:$B,玩家节奏2!$O152)+_xlfn.MAXIFS(关卡产出!AB:AB,关卡产出!$A:$A,玩家节奏2!$P$6,关卡产出!$B:$B,玩家节奏2!$P152)</f>
        <v>19113</v>
      </c>
      <c r="V152" s="130">
        <f>_xlfn.MAXIFS(关卡产出!AC:AC,关卡产出!$A:$A,玩家节奏2!$N$6,关卡产出!$B:$B,玩家节奏2!$N152)+_xlfn.MAXIFS(关卡产出!AC:AC,关卡产出!$A:$A,玩家节奏2!$O$6,关卡产出!$B:$B,玩家节奏2!$O152)+_xlfn.MAXIFS(关卡产出!AC:AC,关卡产出!$A:$A,玩家节奏2!$P$6,关卡产出!$B:$B,玩家节奏2!$P152)</f>
        <v>1200</v>
      </c>
      <c r="W152" s="126">
        <f>INDEX(关卡产出!C$8:C$207,MATCH(玩家节奏2!$N152,关卡产出!$B$8:$B$207,0))*$K152</f>
        <v>2528</v>
      </c>
      <c r="X152" s="126">
        <f>INDEX(关卡产出!D$8:D$207,MATCH(玩家节奏2!$N152,关卡产出!$B$8:$B$207,0))*$K152</f>
        <v>1264</v>
      </c>
      <c r="Y152" s="126">
        <f>INDEX(关卡产出!E$8:E$207,MATCH(玩家节奏2!$N152,关卡产出!$B$8:$B$207,0))*$K152</f>
        <v>624</v>
      </c>
      <c r="Z152" s="144">
        <f>INDEX(关卡产出!F$8:F$207,MATCH(玩家节奏2!$N152,关卡产出!$B$8:$B$207,0))*$K152</f>
        <v>32800</v>
      </c>
      <c r="AA152" s="126">
        <f>SUM(W$7:W152)</f>
        <v>310958</v>
      </c>
      <c r="AB152" s="126">
        <f>SUM(X$7:X152)</f>
        <v>155315</v>
      </c>
      <c r="AC152" s="126">
        <f>SUM(Y$7:Y152)</f>
        <v>76451</v>
      </c>
      <c r="AD152" s="177">
        <f>SUM(Z$7:Z152)</f>
        <v>4062330</v>
      </c>
      <c r="AE152" s="128">
        <f>INDEX(图鉴!AQ:AQ,MATCH($N152,图鉴!$S:$S,0))*34</f>
        <v>714</v>
      </c>
      <c r="AF152" s="90">
        <f>INDEX(图鉴!AR:AR,MATCH($N152,图鉴!$S:$S,0))*34</f>
        <v>510</v>
      </c>
      <c r="AG152" s="90">
        <f>INDEX(图鉴!AS:AS,MATCH($N152,图鉴!$S:$S,0))*34</f>
        <v>204</v>
      </c>
      <c r="AH152" s="129">
        <f ca="1">INDEX(图鉴!AT:AT,MATCH($N152,图鉴!$S:$S,0))*34</f>
        <v>55930</v>
      </c>
      <c r="AI152" s="128">
        <f>SUM($AE$7:AE152)</f>
        <v>102340</v>
      </c>
      <c r="AJ152" s="90">
        <f>SUM(AF$7:AF152)</f>
        <v>70992</v>
      </c>
      <c r="AK152" s="90">
        <f>SUM(AG$7:AG152)</f>
        <v>27846</v>
      </c>
      <c r="AL152" s="130">
        <f ca="1">SUM(AH$7:AH152)</f>
        <v>7336146</v>
      </c>
      <c r="AM152" s="133">
        <f>IF(M152=0,0,INDEX(关卡产出!$AU$11:$AU$15,MATCH(玩家节奏2!N152,关卡产出!$AW$11:$AW$15,1))*M152)</f>
        <v>61000</v>
      </c>
      <c r="AN152" s="126">
        <f>IF(L152=0,0,$L152*关卡产出!AU$21)</f>
        <v>16000</v>
      </c>
      <c r="AO152" s="90">
        <f>IF(M152=0,0,$L152*关卡产出!AV$21)</f>
        <v>800</v>
      </c>
      <c r="AP152" s="129">
        <f>IF(N152=0,0,$L152*关卡产出!AW$21)</f>
        <v>16</v>
      </c>
      <c r="AQ152" s="138">
        <f>SUM(AN$7:AN152)</f>
        <v>2288000</v>
      </c>
      <c r="AR152" s="126">
        <f>SUM(AO$7:AO152)</f>
        <v>114400</v>
      </c>
      <c r="AS152" s="129">
        <f>SUM(AP$7:AP152)</f>
        <v>2288</v>
      </c>
      <c r="AT152" s="128">
        <v>3000</v>
      </c>
      <c r="AU152" s="129">
        <v>600</v>
      </c>
      <c r="AV152" s="128">
        <f>SUM(AT$7:AT152)</f>
        <v>438000</v>
      </c>
      <c r="AW152" s="90">
        <f>SUM(AU$7:AU152)</f>
        <v>87600</v>
      </c>
      <c r="AY152" s="128">
        <f t="shared" si="155"/>
        <v>38500</v>
      </c>
      <c r="AZ152" s="90">
        <f t="shared" si="156"/>
        <v>114400</v>
      </c>
      <c r="BA152" s="90">
        <f t="shared" si="157"/>
        <v>87600</v>
      </c>
      <c r="BB152" s="90">
        <f t="shared" ca="1" si="185"/>
        <v>40800</v>
      </c>
      <c r="BC152" s="90">
        <f t="shared" ca="1" si="187"/>
        <v>142825</v>
      </c>
      <c r="BD152" s="90">
        <f t="shared" ca="1" si="188"/>
        <v>138475</v>
      </c>
      <c r="BE152" s="90">
        <f t="shared" ca="1" si="158"/>
        <v>281300</v>
      </c>
      <c r="BF152" s="142">
        <f t="shared" ca="1" si="139"/>
        <v>0.26956065114650796</v>
      </c>
      <c r="BG152" s="142">
        <f t="shared" ca="1" si="140"/>
        <v>0.8009802205496237</v>
      </c>
      <c r="BH152" s="142">
        <f t="shared" ca="1" si="141"/>
        <v>0.61333800105023628</v>
      </c>
      <c r="BI152" s="142">
        <f t="shared" ca="1" si="159"/>
        <v>0.28566427446175391</v>
      </c>
      <c r="BJ152" s="143"/>
      <c r="BK152" s="128">
        <f ca="1">INDEX(商城宝箱!$L:$L,MATCH(BC152,商城宝箱!$N:$N,1))</f>
        <v>13</v>
      </c>
      <c r="BL152" s="90">
        <f ca="1">_xlfn.IFNA(INDEX(商城宝箱!T:T,MATCH(玩家节奏2!$BK152,商城宝箱!$L:$L,0)),0)+($BC152-INDEX(商城宝箱!$N:$N,MATCH(玩家节奏2!$BK152,商城宝箱!$L:$L,0)))/$BK$5*INDEX(商城宝箱!E$23:E$42,MATCH(玩家节奏2!$BK152+1,商城宝箱!$C$23:$C$42,0))</f>
        <v>357062.5</v>
      </c>
      <c r="BM152" s="90">
        <f ca="1">_xlfn.IFNA(INDEX(商城宝箱!U:U,MATCH(玩家节奏2!$BK152,商城宝箱!$L:$L,0)),0)+($BC152-INDEX(商城宝箱!$N:$N,MATCH(玩家节奏2!$BK152,商城宝箱!$L:$L,0)))/$BK$5*INDEX(商城宝箱!F$23:F$42,MATCH(玩家节奏2!$BK152+1,商城宝箱!$C$23:$C$42,0))</f>
        <v>426570</v>
      </c>
      <c r="BN152" s="90">
        <f ca="1">_xlfn.IFNA(INDEX(商城宝箱!V:V,MATCH(玩家节奏2!$BK152,商城宝箱!$L:$L,0)),0)+($BC152-INDEX(商城宝箱!$N:$N,MATCH(玩家节奏2!$BK152,商城宝箱!$L:$L,0)))/$BK$5*INDEX(商城宝箱!G$23:G$42,MATCH(玩家节奏2!$BK152+1,商城宝箱!$C$23:$C$42,0))</f>
        <v>214018.25</v>
      </c>
      <c r="BO152" s="90">
        <f ca="1">_xlfn.IFNA(INDEX(商城宝箱!W:W,MATCH(玩家节奏2!$BK152,商城宝箱!$L:$L,0)),0)+($BC152-INDEX(商城宝箱!$N:$N,MATCH(玩家节奏2!$BK152,商城宝箱!$L:$L,0)))/$BK$5*INDEX(商城宝箱!H$23:H$42,MATCH(玩家节奏2!$BK152+1,商城宝箱!$C$23:$C$42,0))</f>
        <v>34721.5</v>
      </c>
      <c r="BQ152" s="128">
        <f t="shared" si="143"/>
        <v>11610000</v>
      </c>
      <c r="BR152" s="90">
        <f t="shared" si="144"/>
        <v>4062330</v>
      </c>
      <c r="BS152" s="90">
        <f t="shared" ca="1" si="145"/>
        <v>7336146</v>
      </c>
      <c r="BT152" s="90">
        <f t="shared" si="146"/>
        <v>61000</v>
      </c>
      <c r="BU152" s="90">
        <f t="shared" si="147"/>
        <v>2288000</v>
      </c>
      <c r="BV152" s="90">
        <f t="shared" si="148"/>
        <v>438000</v>
      </c>
      <c r="BW152" s="90">
        <f t="shared" ca="1" si="160"/>
        <v>357062.5</v>
      </c>
      <c r="BX152" s="90">
        <f t="shared" ca="1" si="161"/>
        <v>26152538.5</v>
      </c>
      <c r="BY152" s="142">
        <f t="shared" ca="1" si="138"/>
        <v>0.44393396075107583</v>
      </c>
      <c r="BZ152" s="142">
        <f t="shared" ca="1" si="138"/>
        <v>0.15533214873194814</v>
      </c>
      <c r="CA152" s="142">
        <f t="shared" ca="1" si="138"/>
        <v>0.28051372527374352</v>
      </c>
      <c r="CB152" s="142">
        <f t="shared" ca="1" si="138"/>
        <v>2.3324695612244296E-3</v>
      </c>
      <c r="CC152" s="142">
        <f t="shared" ca="1" si="138"/>
        <v>8.7486727148876967E-2</v>
      </c>
      <c r="CD152" s="142">
        <f t="shared" ca="1" si="138"/>
        <v>1.6747896193709838E-2</v>
      </c>
      <c r="CE152" s="142">
        <f t="shared" ca="1" si="138"/>
        <v>1.3653072339421276E-2</v>
      </c>
      <c r="CG152" s="128">
        <f t="shared" si="162"/>
        <v>200</v>
      </c>
      <c r="CH152" s="90">
        <f ca="1">INDEX(角色升级!$A:$A,MATCH(玩家节奏2!$BX152,角色升级!$J:$J,1))</f>
        <v>1047</v>
      </c>
      <c r="CI152" s="90">
        <f ca="1">INDEX(角色升级!$O:$O,MATCH(玩家节奏2!$BX152,角色升级!$J:$J,1))</f>
        <v>99294.156750000009</v>
      </c>
      <c r="CJ152" s="90">
        <f>INDEX(关卡对比!$J:$J,MATCH(玩家节奏2!N152,关卡对比!$A:$A,0))</f>
        <v>86200</v>
      </c>
      <c r="CK152" s="147">
        <f t="shared" ca="1" si="163"/>
        <v>0.8681276202086281</v>
      </c>
      <c r="CL152" s="128">
        <f ca="1">INDEX(角色升级!$P:$P,MATCH(玩家节奏2!$CH152,角色升级!$A:$A,0))</f>
        <v>40800</v>
      </c>
      <c r="CM152" s="90">
        <f ca="1">INDEX(角色升级!Q:Q,MATCH(玩家节奏2!$CH152,角色升级!$A:$A,0))</f>
        <v>2.2000000000000002</v>
      </c>
      <c r="CO152" s="128">
        <f t="shared" si="164"/>
        <v>78866</v>
      </c>
      <c r="CP152" s="90">
        <f t="shared" si="165"/>
        <v>310958</v>
      </c>
      <c r="CQ152" s="90">
        <f t="shared" si="166"/>
        <v>102340</v>
      </c>
      <c r="CR152" s="90">
        <f t="shared" ca="1" si="167"/>
        <v>426570</v>
      </c>
      <c r="CS152" s="90">
        <f t="shared" ca="1" si="168"/>
        <v>918734</v>
      </c>
      <c r="CT152" s="142">
        <f t="shared" ca="1" si="169"/>
        <v>8.5842039153879141E-2</v>
      </c>
      <c r="CU152" s="142">
        <f t="shared" ca="1" si="169"/>
        <v>0.33846358140658778</v>
      </c>
      <c r="CV152" s="142">
        <f t="shared" ca="1" si="169"/>
        <v>0.11139241608561347</v>
      </c>
      <c r="CW152" s="142">
        <f t="shared" ca="1" si="149"/>
        <v>0.46430196335391966</v>
      </c>
      <c r="CY152" s="128">
        <f t="shared" si="170"/>
        <v>39434</v>
      </c>
      <c r="CZ152" s="90">
        <f t="shared" si="171"/>
        <v>155315</v>
      </c>
      <c r="DA152" s="90">
        <f t="shared" si="172"/>
        <v>70992</v>
      </c>
      <c r="DB152" s="90">
        <f t="shared" ca="1" si="186"/>
        <v>214018.25</v>
      </c>
      <c r="DC152" s="90">
        <f t="shared" ca="1" si="173"/>
        <v>479759.25</v>
      </c>
      <c r="DD152" s="142">
        <f t="shared" ca="1" si="174"/>
        <v>8.2195392793364588E-2</v>
      </c>
      <c r="DE152" s="142">
        <f t="shared" ca="1" si="174"/>
        <v>0.32373529014813157</v>
      </c>
      <c r="DF152" s="142">
        <f t="shared" ca="1" si="174"/>
        <v>0.14797421831887556</v>
      </c>
      <c r="DG152" s="142">
        <f t="shared" ca="1" si="150"/>
        <v>0.44609509873962827</v>
      </c>
      <c r="DI152" s="128">
        <f t="shared" si="175"/>
        <v>19113</v>
      </c>
      <c r="DJ152" s="90">
        <f t="shared" si="176"/>
        <v>76451</v>
      </c>
      <c r="DK152" s="90">
        <f t="shared" si="177"/>
        <v>27846</v>
      </c>
      <c r="DL152" s="90">
        <f t="shared" ca="1" si="178"/>
        <v>34721.5</v>
      </c>
      <c r="DM152" s="90">
        <f t="shared" ca="1" si="179"/>
        <v>158131.5</v>
      </c>
      <c r="DN152" s="142">
        <f t="shared" ca="1" si="180"/>
        <v>0.12086775879568587</v>
      </c>
      <c r="DO152" s="142">
        <f t="shared" ca="1" si="180"/>
        <v>0.48346471133202429</v>
      </c>
      <c r="DP152" s="142">
        <f t="shared" ca="1" si="180"/>
        <v>0.17609394712628415</v>
      </c>
      <c r="DQ152" s="142">
        <f t="shared" ca="1" si="151"/>
        <v>0.21957358274600569</v>
      </c>
      <c r="DS152" s="128">
        <f t="shared" ca="1" si="181"/>
        <v>918734</v>
      </c>
      <c r="DT152" s="90">
        <f t="shared" ca="1" si="182"/>
        <v>479759.25</v>
      </c>
      <c r="DU152" s="90">
        <f t="shared" ca="1" si="183"/>
        <v>158131.5</v>
      </c>
      <c r="DV152" s="90">
        <f t="shared" si="184"/>
        <v>2288</v>
      </c>
      <c r="DW152" s="90">
        <f ca="1">_xlfn.IFNA(INDEX(武器升级消耗!$H:$H,MATCH(玩家节奏2!DS152/玩家节奏2!DS$5,武器升级消耗!M:M,1)),0)</f>
        <v>83</v>
      </c>
      <c r="DX152" s="90">
        <f ca="1">_xlfn.IFNA(INDEX(武器升级消耗!$H:$H,MATCH(玩家节奏2!DT152/玩家节奏2!DT$5,武器升级消耗!N:N,1)),0)</f>
        <v>72</v>
      </c>
      <c r="DY152" s="90">
        <f ca="1">_xlfn.IFNA(INDEX(武器升级消耗!$H:$H,MATCH(玩家节奏2!DU152/玩家节奏2!DU$5,武器升级消耗!O:O,1)),0)</f>
        <v>55</v>
      </c>
      <c r="DZ152" s="90">
        <f>_xlfn.IFNA(INDEX(武器升级消耗!$H:$H,MATCH(玩家节奏2!DV152/玩家节奏2!DV$5,武器升级消耗!P:P,1)),0)</f>
        <v>34</v>
      </c>
      <c r="EA152" s="90">
        <f ca="1">_xlfn.IFNA(INDEX(武器升级消耗!$Q:$Q,MATCH(玩家节奏2!DW152,武器升级消耗!$H:$H,0))*2*EA$4,0)</f>
        <v>10.439999999999989</v>
      </c>
      <c r="EB152" s="90">
        <f ca="1">_xlfn.IFNA(INDEX(武器升级消耗!$Q:$Q,MATCH(玩家节奏2!DX152,武器升级消耗!$H:$H,0))*2*EB$4,0)</f>
        <v>11.399999999999984</v>
      </c>
      <c r="EC152" s="90">
        <f ca="1">_xlfn.IFNA(INDEX(武器升级消耗!$Q:$Q,MATCH(玩家节奏2!DY152,武器升级消耗!$H:$H,0))*2*EC$4,0)</f>
        <v>12.980000000000002</v>
      </c>
      <c r="ED152" s="90">
        <f>_xlfn.IFNA(INDEX(武器升级消耗!$Q:$Q,MATCH(玩家节奏2!DZ152,武器升级消耗!$H:$H,0))*2*ED$4,0)</f>
        <v>11.399999999999999</v>
      </c>
    </row>
    <row r="153" spans="1:134" x14ac:dyDescent="0.25">
      <c r="A153" s="123">
        <v>147</v>
      </c>
      <c r="B153" s="123">
        <f>INDEX(关卡对比!$Y:$Y,MATCH(关卡对比!Z153,关卡对比!$AA:$AA,1))</f>
        <v>87</v>
      </c>
      <c r="C153" s="124">
        <f>INDEX(关卡对比!$Y:$Y,MATCH(关卡对比!Z153,关卡对比!$AB:$AB,1))</f>
        <v>67</v>
      </c>
      <c r="D153" s="125">
        <f t="shared" si="189"/>
        <v>571.5</v>
      </c>
      <c r="E153" s="125">
        <v>2</v>
      </c>
      <c r="F153" s="128">
        <v>16</v>
      </c>
      <c r="G153" s="90">
        <v>16</v>
      </c>
      <c r="H153" s="90">
        <v>5</v>
      </c>
      <c r="J153" s="128">
        <v>147</v>
      </c>
      <c r="K153" s="90">
        <f t="shared" si="152"/>
        <v>16</v>
      </c>
      <c r="L153" s="90">
        <f t="shared" si="153"/>
        <v>16</v>
      </c>
      <c r="M153" s="90">
        <f t="shared" si="154"/>
        <v>5</v>
      </c>
      <c r="N153" s="140">
        <f>INDEX($A:$A,MATCH(SUM($K$7:K153),$D:$D,1))</f>
        <v>200</v>
      </c>
      <c r="O153" s="140">
        <v>0</v>
      </c>
      <c r="P153" s="141">
        <v>0</v>
      </c>
      <c r="Q153" s="126">
        <f>_xlfn.MAXIFS(关卡产出!X:X,关卡产出!$A:$A,玩家节奏2!$N$6,关卡产出!$B:$B,玩家节奏2!$N153)+_xlfn.MAXIFS(关卡产出!X:X,关卡产出!$A:$A,玩家节奏2!$O$6,关卡产出!$B:$B,玩家节奏2!$O153)+_xlfn.MAXIFS(关卡产出!X:X,关卡产出!$A:$A,玩家节奏2!$P$6,关卡产出!$B:$B,玩家节奏2!$P153)</f>
        <v>38500</v>
      </c>
      <c r="R153" s="90">
        <f>_xlfn.MAXIFS(关卡产出!Y:Y,关卡产出!$A:$A,玩家节奏2!$N$6,关卡产出!$B:$B,玩家节奏2!$N153)+_xlfn.MAXIFS(关卡产出!Y:Y,关卡产出!$A:$A,玩家节奏2!$O$6,关卡产出!$B:$B,玩家节奏2!$O153)+_xlfn.MAXIFS(关卡产出!Y:Y,关卡产出!$A:$A,玩家节奏2!$P$6,关卡产出!$B:$B,玩家节奏2!$P153)</f>
        <v>11610000</v>
      </c>
      <c r="S153" s="90">
        <f>_xlfn.MAXIFS(关卡产出!Z:Z,关卡产出!$A:$A,玩家节奏2!$N$6,关卡产出!$B:$B,玩家节奏2!$N153)+_xlfn.MAXIFS(关卡产出!Z:Z,关卡产出!$A:$A,玩家节奏2!$O$6,关卡产出!$B:$B,玩家节奏2!$O153)+_xlfn.MAXIFS(关卡产出!Z:Z,关卡产出!$A:$A,玩家节奏2!$P$6,关卡产出!$B:$B,玩家节奏2!$P153)</f>
        <v>78866</v>
      </c>
      <c r="T153" s="90">
        <f>_xlfn.MAXIFS(关卡产出!AA:AA,关卡产出!$A:$A,玩家节奏2!$N$6,关卡产出!$B:$B,玩家节奏2!$N153)+_xlfn.MAXIFS(关卡产出!AA:AA,关卡产出!$A:$A,玩家节奏2!$O$6,关卡产出!$B:$B,玩家节奏2!$O153)+_xlfn.MAXIFS(关卡产出!AA:AA,关卡产出!$A:$A,玩家节奏2!$P$6,关卡产出!$B:$B,玩家节奏2!$P153)</f>
        <v>39434</v>
      </c>
      <c r="U153" s="90">
        <f>_xlfn.MAXIFS(关卡产出!AB:AB,关卡产出!$A:$A,玩家节奏2!$N$6,关卡产出!$B:$B,玩家节奏2!$N153)+_xlfn.MAXIFS(关卡产出!AB:AB,关卡产出!$A:$A,玩家节奏2!$O$6,关卡产出!$B:$B,玩家节奏2!$O153)+_xlfn.MAXIFS(关卡产出!AB:AB,关卡产出!$A:$A,玩家节奏2!$P$6,关卡产出!$B:$B,玩家节奏2!$P153)</f>
        <v>19113</v>
      </c>
      <c r="V153" s="130">
        <f>_xlfn.MAXIFS(关卡产出!AC:AC,关卡产出!$A:$A,玩家节奏2!$N$6,关卡产出!$B:$B,玩家节奏2!$N153)+_xlfn.MAXIFS(关卡产出!AC:AC,关卡产出!$A:$A,玩家节奏2!$O$6,关卡产出!$B:$B,玩家节奏2!$O153)+_xlfn.MAXIFS(关卡产出!AC:AC,关卡产出!$A:$A,玩家节奏2!$P$6,关卡产出!$B:$B,玩家节奏2!$P153)</f>
        <v>1200</v>
      </c>
      <c r="W153" s="126">
        <f>INDEX(关卡产出!C$8:C$207,MATCH(玩家节奏2!$N153,关卡产出!$B$8:$B$207,0))*$K153</f>
        <v>2528</v>
      </c>
      <c r="X153" s="126">
        <f>INDEX(关卡产出!D$8:D$207,MATCH(玩家节奏2!$N153,关卡产出!$B$8:$B$207,0))*$K153</f>
        <v>1264</v>
      </c>
      <c r="Y153" s="126">
        <f>INDEX(关卡产出!E$8:E$207,MATCH(玩家节奏2!$N153,关卡产出!$B$8:$B$207,0))*$K153</f>
        <v>624</v>
      </c>
      <c r="Z153" s="144">
        <f>INDEX(关卡产出!F$8:F$207,MATCH(玩家节奏2!$N153,关卡产出!$B$8:$B$207,0))*$K153</f>
        <v>32800</v>
      </c>
      <c r="AA153" s="126">
        <f>SUM(W$7:W153)</f>
        <v>313486</v>
      </c>
      <c r="AB153" s="126">
        <f>SUM(X$7:X153)</f>
        <v>156579</v>
      </c>
      <c r="AC153" s="126">
        <f>SUM(Y$7:Y153)</f>
        <v>77075</v>
      </c>
      <c r="AD153" s="177">
        <f>SUM(Z$7:Z153)</f>
        <v>4095130</v>
      </c>
      <c r="AE153" s="128">
        <f>INDEX(图鉴!AQ:AQ,MATCH($N153,图鉴!$S:$S,0))*34</f>
        <v>714</v>
      </c>
      <c r="AF153" s="90">
        <f>INDEX(图鉴!AR:AR,MATCH($N153,图鉴!$S:$S,0))*34</f>
        <v>510</v>
      </c>
      <c r="AG153" s="90">
        <f>INDEX(图鉴!AS:AS,MATCH($N153,图鉴!$S:$S,0))*34</f>
        <v>204</v>
      </c>
      <c r="AH153" s="129">
        <f ca="1">INDEX(图鉴!AT:AT,MATCH($N153,图鉴!$S:$S,0))*34</f>
        <v>55930</v>
      </c>
      <c r="AI153" s="128">
        <f>SUM($AE$7:AE153)</f>
        <v>103054</v>
      </c>
      <c r="AJ153" s="90">
        <f>SUM(AF$7:AF153)</f>
        <v>71502</v>
      </c>
      <c r="AK153" s="90">
        <f>SUM(AG$7:AG153)</f>
        <v>28050</v>
      </c>
      <c r="AL153" s="130">
        <f ca="1">SUM(AH$7:AH153)</f>
        <v>7392076</v>
      </c>
      <c r="AM153" s="133">
        <f>IF(M153=0,0,INDEX(关卡产出!$AU$11:$AU$15,MATCH(玩家节奏2!N153,关卡产出!$AW$11:$AW$15,1))*M153)</f>
        <v>61000</v>
      </c>
      <c r="AN153" s="126">
        <f>IF(L153=0,0,$L153*关卡产出!AU$21)</f>
        <v>16000</v>
      </c>
      <c r="AO153" s="90">
        <f>IF(M153=0,0,$L153*关卡产出!AV$21)</f>
        <v>800</v>
      </c>
      <c r="AP153" s="129">
        <f>IF(N153=0,0,$L153*关卡产出!AW$21)</f>
        <v>16</v>
      </c>
      <c r="AQ153" s="138">
        <f>SUM(AN$7:AN153)</f>
        <v>2304000</v>
      </c>
      <c r="AR153" s="126">
        <f>SUM(AO$7:AO153)</f>
        <v>115200</v>
      </c>
      <c r="AS153" s="129">
        <f>SUM(AP$7:AP153)</f>
        <v>2304</v>
      </c>
      <c r="AT153" s="128">
        <v>3000</v>
      </c>
      <c r="AU153" s="129">
        <v>600</v>
      </c>
      <c r="AV153" s="128">
        <f>SUM(AT$7:AT153)</f>
        <v>441000</v>
      </c>
      <c r="AW153" s="90">
        <f>SUM(AU$7:AU153)</f>
        <v>88200</v>
      </c>
      <c r="AY153" s="128">
        <f t="shared" si="155"/>
        <v>38500</v>
      </c>
      <c r="AZ153" s="90">
        <f t="shared" si="156"/>
        <v>115200</v>
      </c>
      <c r="BA153" s="90">
        <f t="shared" si="157"/>
        <v>88200</v>
      </c>
      <c r="BB153" s="90">
        <f t="shared" ca="1" si="185"/>
        <v>40800</v>
      </c>
      <c r="BC153" s="90">
        <f t="shared" ca="1" si="187"/>
        <v>143525</v>
      </c>
      <c r="BD153" s="90">
        <f t="shared" ca="1" si="188"/>
        <v>139175</v>
      </c>
      <c r="BE153" s="90">
        <f t="shared" ca="1" si="158"/>
        <v>282700</v>
      </c>
      <c r="BF153" s="142">
        <f t="shared" ca="1" si="139"/>
        <v>0.26824595018289499</v>
      </c>
      <c r="BG153" s="142">
        <f t="shared" ca="1" si="140"/>
        <v>0.80264762236544152</v>
      </c>
      <c r="BH153" s="142">
        <f t="shared" ca="1" si="141"/>
        <v>0.61452708587354121</v>
      </c>
      <c r="BI153" s="142">
        <f t="shared" ca="1" si="159"/>
        <v>0.2842710329210939</v>
      </c>
      <c r="BJ153" s="143"/>
      <c r="BK153" s="128">
        <f ca="1">INDEX(商城宝箱!$L:$L,MATCH(BC153,商城宝箱!$N:$N,1))</f>
        <v>13</v>
      </c>
      <c r="BL153" s="90">
        <f ca="1">_xlfn.IFNA(INDEX(商城宝箱!T:T,MATCH(玩家节奏2!$BK153,商城宝箱!$L:$L,0)),0)+($BC153-INDEX(商城宝箱!$N:$N,MATCH(玩家节奏2!$BK153,商城宝箱!$L:$L,0)))/$BK$5*INDEX(商城宝箱!E$23:E$42,MATCH(玩家节奏2!$BK153+1,商城宝箱!$C$23:$C$42,0))</f>
        <v>358812.5</v>
      </c>
      <c r="BM153" s="90">
        <f ca="1">_xlfn.IFNA(INDEX(商城宝箱!U:U,MATCH(玩家节奏2!$BK153,商城宝箱!$L:$L,0)),0)+($BC153-INDEX(商城宝箱!$N:$N,MATCH(玩家节奏2!$BK153,商城宝箱!$L:$L,0)))/$BK$5*INDEX(商城宝箱!F$23:F$42,MATCH(玩家节奏2!$BK153+1,商城宝箱!$C$23:$C$42,0))</f>
        <v>429860</v>
      </c>
      <c r="BN153" s="90">
        <f ca="1">_xlfn.IFNA(INDEX(商城宝箱!V:V,MATCH(玩家节奏2!$BK153,商城宝箱!$L:$L,0)),0)+($BC153-INDEX(商城宝箱!$N:$N,MATCH(玩家节奏2!$BK153,商城宝箱!$L:$L,0)))/$BK$5*INDEX(商城宝箱!G$23:G$42,MATCH(玩家节奏2!$BK153+1,商城宝箱!$C$23:$C$42,0))</f>
        <v>215593.25</v>
      </c>
      <c r="BO153" s="90">
        <f ca="1">_xlfn.IFNA(INDEX(商城宝箱!W:W,MATCH(玩家节奏2!$BK153,商城宝箱!$L:$L,0)),0)+($BC153-INDEX(商城宝箱!$N:$N,MATCH(玩家节奏2!$BK153,商城宝箱!$L:$L,0)))/$BK$5*INDEX(商城宝箱!H$23:H$42,MATCH(玩家节奏2!$BK153+1,商城宝箱!$C$23:$C$42,0))</f>
        <v>35001.5</v>
      </c>
      <c r="BQ153" s="128">
        <f t="shared" si="143"/>
        <v>11610000</v>
      </c>
      <c r="BR153" s="90">
        <f t="shared" si="144"/>
        <v>4095130</v>
      </c>
      <c r="BS153" s="90">
        <f t="shared" ca="1" si="145"/>
        <v>7392076</v>
      </c>
      <c r="BT153" s="90">
        <f t="shared" si="146"/>
        <v>61000</v>
      </c>
      <c r="BU153" s="90">
        <f t="shared" si="147"/>
        <v>2304000</v>
      </c>
      <c r="BV153" s="90">
        <f t="shared" si="148"/>
        <v>441000</v>
      </c>
      <c r="BW153" s="90">
        <f t="shared" ca="1" si="160"/>
        <v>358812.5</v>
      </c>
      <c r="BX153" s="90">
        <f t="shared" ca="1" si="161"/>
        <v>26262018.5</v>
      </c>
      <c r="BY153" s="142">
        <f t="shared" ca="1" si="138"/>
        <v>0.44208330749595659</v>
      </c>
      <c r="BZ153" s="142">
        <f t="shared" ca="1" si="138"/>
        <v>0.15593355857243038</v>
      </c>
      <c r="CA153" s="142">
        <f t="shared" ca="1" si="138"/>
        <v>0.28147402302682867</v>
      </c>
      <c r="CB153" s="142">
        <f t="shared" ca="1" si="138"/>
        <v>2.3227460600562747E-3</v>
      </c>
      <c r="CC153" s="142">
        <f t="shared" ca="1" si="138"/>
        <v>8.7731261022453391E-2</v>
      </c>
      <c r="CD153" s="142">
        <f t="shared" ca="1" si="138"/>
        <v>1.679231168007897E-2</v>
      </c>
      <c r="CE153" s="142">
        <f t="shared" ca="1" si="138"/>
        <v>1.3662792142195773E-2</v>
      </c>
      <c r="CG153" s="128">
        <f t="shared" si="162"/>
        <v>200</v>
      </c>
      <c r="CH153" s="90">
        <f ca="1">INDEX(角色升级!$A:$A,MATCH(玩家节奏2!$BX153,角色升级!$J:$J,1))</f>
        <v>1047</v>
      </c>
      <c r="CI153" s="90">
        <f ca="1">INDEX(角色升级!$O:$O,MATCH(玩家节奏2!$BX153,角色升级!$J:$J,1))</f>
        <v>99294.156750000009</v>
      </c>
      <c r="CJ153" s="90">
        <f>INDEX(关卡对比!$J:$J,MATCH(玩家节奏2!N153,关卡对比!$A:$A,0))</f>
        <v>86200</v>
      </c>
      <c r="CK153" s="147">
        <f t="shared" ca="1" si="163"/>
        <v>0.8681276202086281</v>
      </c>
      <c r="CL153" s="128">
        <f ca="1">INDEX(角色升级!$P:$P,MATCH(玩家节奏2!$CH153,角色升级!$A:$A,0))</f>
        <v>40800</v>
      </c>
      <c r="CM153" s="90">
        <f ca="1">INDEX(角色升级!Q:Q,MATCH(玩家节奏2!$CH153,角色升级!$A:$A,0))</f>
        <v>2.2000000000000002</v>
      </c>
      <c r="CO153" s="128">
        <f t="shared" si="164"/>
        <v>78866</v>
      </c>
      <c r="CP153" s="90">
        <f t="shared" si="165"/>
        <v>313486</v>
      </c>
      <c r="CQ153" s="90">
        <f t="shared" si="166"/>
        <v>103054</v>
      </c>
      <c r="CR153" s="90">
        <f t="shared" ca="1" si="167"/>
        <v>429860</v>
      </c>
      <c r="CS153" s="90">
        <f t="shared" ca="1" si="168"/>
        <v>925266</v>
      </c>
      <c r="CT153" s="142">
        <f t="shared" ca="1" si="169"/>
        <v>8.5236029422890283E-2</v>
      </c>
      <c r="CU153" s="142">
        <f t="shared" ca="1" si="169"/>
        <v>0.33880635406466897</v>
      </c>
      <c r="CV153" s="142">
        <f t="shared" ca="1" si="169"/>
        <v>0.11137770111513878</v>
      </c>
      <c r="CW153" s="142">
        <f t="shared" ca="1" si="149"/>
        <v>0.46457991539730198</v>
      </c>
      <c r="CY153" s="128">
        <f t="shared" si="170"/>
        <v>39434</v>
      </c>
      <c r="CZ153" s="90">
        <f t="shared" si="171"/>
        <v>156579</v>
      </c>
      <c r="DA153" s="90">
        <f t="shared" si="172"/>
        <v>71502</v>
      </c>
      <c r="DB153" s="90">
        <f t="shared" ca="1" si="186"/>
        <v>215593.25</v>
      </c>
      <c r="DC153" s="90">
        <f t="shared" ca="1" si="173"/>
        <v>483108.25</v>
      </c>
      <c r="DD153" s="142">
        <f t="shared" ca="1" si="174"/>
        <v>8.1625598403670396E-2</v>
      </c>
      <c r="DE153" s="142">
        <f t="shared" ca="1" si="174"/>
        <v>0.3241074852271722</v>
      </c>
      <c r="DF153" s="142">
        <f t="shared" ca="1" si="174"/>
        <v>0.14800409639040527</v>
      </c>
      <c r="DG153" s="142">
        <f t="shared" ca="1" si="150"/>
        <v>0.44626281997875217</v>
      </c>
      <c r="DI153" s="128">
        <f t="shared" si="175"/>
        <v>19113</v>
      </c>
      <c r="DJ153" s="90">
        <f t="shared" si="176"/>
        <v>77075</v>
      </c>
      <c r="DK153" s="90">
        <f t="shared" si="177"/>
        <v>28050</v>
      </c>
      <c r="DL153" s="90">
        <f t="shared" ca="1" si="178"/>
        <v>35001.5</v>
      </c>
      <c r="DM153" s="90">
        <f t="shared" ca="1" si="179"/>
        <v>159239.5</v>
      </c>
      <c r="DN153" s="142">
        <f t="shared" ca="1" si="180"/>
        <v>0.12002675215634312</v>
      </c>
      <c r="DO153" s="142">
        <f t="shared" ca="1" si="180"/>
        <v>0.48401935449433087</v>
      </c>
      <c r="DP153" s="142">
        <f t="shared" ca="1" si="180"/>
        <v>0.1761497618367302</v>
      </c>
      <c r="DQ153" s="142">
        <f t="shared" ca="1" si="151"/>
        <v>0.21980413151259581</v>
      </c>
      <c r="DS153" s="128">
        <f t="shared" ca="1" si="181"/>
        <v>925266</v>
      </c>
      <c r="DT153" s="90">
        <f t="shared" ca="1" si="182"/>
        <v>483108.25</v>
      </c>
      <c r="DU153" s="90">
        <f t="shared" ca="1" si="183"/>
        <v>159239.5</v>
      </c>
      <c r="DV153" s="90">
        <f t="shared" si="184"/>
        <v>2304</v>
      </c>
      <c r="DW153" s="90">
        <f ca="1">_xlfn.IFNA(INDEX(武器升级消耗!$H:$H,MATCH(玩家节奏2!DS153/玩家节奏2!DS$5,武器升级消耗!M:M,1)),0)</f>
        <v>83</v>
      </c>
      <c r="DX153" s="90">
        <f ca="1">_xlfn.IFNA(INDEX(武器升级消耗!$H:$H,MATCH(玩家节奏2!DT153/玩家节奏2!DT$5,武器升级消耗!N:N,1)),0)</f>
        <v>73</v>
      </c>
      <c r="DY153" s="90">
        <f ca="1">_xlfn.IFNA(INDEX(武器升级消耗!$H:$H,MATCH(玩家节奏2!DU153/玩家节奏2!DU$5,武器升级消耗!O:O,1)),0)</f>
        <v>55</v>
      </c>
      <c r="DZ153" s="90">
        <f>_xlfn.IFNA(INDEX(武器升级消耗!$H:$H,MATCH(玩家节奏2!DV153/玩家节奏2!DV$5,武器升级消耗!P:P,1)),0)</f>
        <v>34</v>
      </c>
      <c r="EA153" s="90">
        <f ca="1">_xlfn.IFNA(INDEX(武器升级消耗!$Q:$Q,MATCH(玩家节奏2!DW153,武器升级消耗!$H:$H,0))*2*EA$4,0)</f>
        <v>10.439999999999989</v>
      </c>
      <c r="EB153" s="90">
        <f ca="1">_xlfn.IFNA(INDEX(武器升级消耗!$Q:$Q,MATCH(玩家节奏2!DX153,武器升级消耗!$H:$H,0))*2*EB$4,0)</f>
        <v>11.549999999999986</v>
      </c>
      <c r="EC153" s="90">
        <f ca="1">_xlfn.IFNA(INDEX(武器升级消耗!$Q:$Q,MATCH(玩家节奏2!DY153,武器升级消耗!$H:$H,0))*2*EC$4,0)</f>
        <v>12.980000000000002</v>
      </c>
      <c r="ED153" s="90">
        <f>_xlfn.IFNA(INDEX(武器升级消耗!$Q:$Q,MATCH(玩家节奏2!DZ153,武器升级消耗!$H:$H,0))*2*ED$4,0)</f>
        <v>11.399999999999999</v>
      </c>
    </row>
    <row r="154" spans="1:134" x14ac:dyDescent="0.25">
      <c r="A154" s="123">
        <v>148</v>
      </c>
      <c r="B154" s="123">
        <f>INDEX(关卡对比!$Y:$Y,MATCH(关卡对比!Z154,关卡对比!$AA:$AA,1))</f>
        <v>87</v>
      </c>
      <c r="C154" s="124">
        <f>INDEX(关卡对比!$Y:$Y,MATCH(关卡对比!Z154,关卡对比!$AB:$AB,1))</f>
        <v>67</v>
      </c>
      <c r="D154" s="125">
        <f t="shared" si="189"/>
        <v>573.5</v>
      </c>
      <c r="E154" s="125">
        <v>2</v>
      </c>
      <c r="F154" s="128">
        <v>16</v>
      </c>
      <c r="G154" s="90">
        <v>16</v>
      </c>
      <c r="H154" s="90">
        <v>5</v>
      </c>
      <c r="J154" s="128">
        <v>148</v>
      </c>
      <c r="K154" s="90">
        <f t="shared" si="152"/>
        <v>16</v>
      </c>
      <c r="L154" s="90">
        <f t="shared" si="153"/>
        <v>16</v>
      </c>
      <c r="M154" s="90">
        <f t="shared" si="154"/>
        <v>5</v>
      </c>
      <c r="N154" s="140">
        <f>INDEX($A:$A,MATCH(SUM($K$7:K154),$D:$D,1))</f>
        <v>200</v>
      </c>
      <c r="O154" s="140">
        <v>0</v>
      </c>
      <c r="P154" s="141">
        <v>0</v>
      </c>
      <c r="Q154" s="126">
        <f>_xlfn.MAXIFS(关卡产出!X:X,关卡产出!$A:$A,玩家节奏2!$N$6,关卡产出!$B:$B,玩家节奏2!$N154)+_xlfn.MAXIFS(关卡产出!X:X,关卡产出!$A:$A,玩家节奏2!$O$6,关卡产出!$B:$B,玩家节奏2!$O154)+_xlfn.MAXIFS(关卡产出!X:X,关卡产出!$A:$A,玩家节奏2!$P$6,关卡产出!$B:$B,玩家节奏2!$P154)</f>
        <v>38500</v>
      </c>
      <c r="R154" s="90">
        <f>_xlfn.MAXIFS(关卡产出!Y:Y,关卡产出!$A:$A,玩家节奏2!$N$6,关卡产出!$B:$B,玩家节奏2!$N154)+_xlfn.MAXIFS(关卡产出!Y:Y,关卡产出!$A:$A,玩家节奏2!$O$6,关卡产出!$B:$B,玩家节奏2!$O154)+_xlfn.MAXIFS(关卡产出!Y:Y,关卡产出!$A:$A,玩家节奏2!$P$6,关卡产出!$B:$B,玩家节奏2!$P154)</f>
        <v>11610000</v>
      </c>
      <c r="S154" s="90">
        <f>_xlfn.MAXIFS(关卡产出!Z:Z,关卡产出!$A:$A,玩家节奏2!$N$6,关卡产出!$B:$B,玩家节奏2!$N154)+_xlfn.MAXIFS(关卡产出!Z:Z,关卡产出!$A:$A,玩家节奏2!$O$6,关卡产出!$B:$B,玩家节奏2!$O154)+_xlfn.MAXIFS(关卡产出!Z:Z,关卡产出!$A:$A,玩家节奏2!$P$6,关卡产出!$B:$B,玩家节奏2!$P154)</f>
        <v>78866</v>
      </c>
      <c r="T154" s="90">
        <f>_xlfn.MAXIFS(关卡产出!AA:AA,关卡产出!$A:$A,玩家节奏2!$N$6,关卡产出!$B:$B,玩家节奏2!$N154)+_xlfn.MAXIFS(关卡产出!AA:AA,关卡产出!$A:$A,玩家节奏2!$O$6,关卡产出!$B:$B,玩家节奏2!$O154)+_xlfn.MAXIFS(关卡产出!AA:AA,关卡产出!$A:$A,玩家节奏2!$P$6,关卡产出!$B:$B,玩家节奏2!$P154)</f>
        <v>39434</v>
      </c>
      <c r="U154" s="90">
        <f>_xlfn.MAXIFS(关卡产出!AB:AB,关卡产出!$A:$A,玩家节奏2!$N$6,关卡产出!$B:$B,玩家节奏2!$N154)+_xlfn.MAXIFS(关卡产出!AB:AB,关卡产出!$A:$A,玩家节奏2!$O$6,关卡产出!$B:$B,玩家节奏2!$O154)+_xlfn.MAXIFS(关卡产出!AB:AB,关卡产出!$A:$A,玩家节奏2!$P$6,关卡产出!$B:$B,玩家节奏2!$P154)</f>
        <v>19113</v>
      </c>
      <c r="V154" s="130">
        <f>_xlfn.MAXIFS(关卡产出!AC:AC,关卡产出!$A:$A,玩家节奏2!$N$6,关卡产出!$B:$B,玩家节奏2!$N154)+_xlfn.MAXIFS(关卡产出!AC:AC,关卡产出!$A:$A,玩家节奏2!$O$6,关卡产出!$B:$B,玩家节奏2!$O154)+_xlfn.MAXIFS(关卡产出!AC:AC,关卡产出!$A:$A,玩家节奏2!$P$6,关卡产出!$B:$B,玩家节奏2!$P154)</f>
        <v>1200</v>
      </c>
      <c r="W154" s="126">
        <f>INDEX(关卡产出!C$8:C$207,MATCH(玩家节奏2!$N154,关卡产出!$B$8:$B$207,0))*$K154</f>
        <v>2528</v>
      </c>
      <c r="X154" s="126">
        <f>INDEX(关卡产出!D$8:D$207,MATCH(玩家节奏2!$N154,关卡产出!$B$8:$B$207,0))*$K154</f>
        <v>1264</v>
      </c>
      <c r="Y154" s="126">
        <f>INDEX(关卡产出!E$8:E$207,MATCH(玩家节奏2!$N154,关卡产出!$B$8:$B$207,0))*$K154</f>
        <v>624</v>
      </c>
      <c r="Z154" s="144">
        <f>INDEX(关卡产出!F$8:F$207,MATCH(玩家节奏2!$N154,关卡产出!$B$8:$B$207,0))*$K154</f>
        <v>32800</v>
      </c>
      <c r="AA154" s="126">
        <f>SUM(W$7:W154)</f>
        <v>316014</v>
      </c>
      <c r="AB154" s="126">
        <f>SUM(X$7:X154)</f>
        <v>157843</v>
      </c>
      <c r="AC154" s="126">
        <f>SUM(Y$7:Y154)</f>
        <v>77699</v>
      </c>
      <c r="AD154" s="177">
        <f>SUM(Z$7:Z154)</f>
        <v>4127930</v>
      </c>
      <c r="AE154" s="128">
        <f>INDEX(图鉴!AQ:AQ,MATCH($N154,图鉴!$S:$S,0))*34</f>
        <v>714</v>
      </c>
      <c r="AF154" s="90">
        <f>INDEX(图鉴!AR:AR,MATCH($N154,图鉴!$S:$S,0))*34</f>
        <v>510</v>
      </c>
      <c r="AG154" s="90">
        <f>INDEX(图鉴!AS:AS,MATCH($N154,图鉴!$S:$S,0))*34</f>
        <v>204</v>
      </c>
      <c r="AH154" s="129">
        <f ca="1">INDEX(图鉴!AT:AT,MATCH($N154,图鉴!$S:$S,0))*34</f>
        <v>55930</v>
      </c>
      <c r="AI154" s="128">
        <f>SUM($AE$7:AE154)</f>
        <v>103768</v>
      </c>
      <c r="AJ154" s="90">
        <f>SUM(AF$7:AF154)</f>
        <v>72012</v>
      </c>
      <c r="AK154" s="90">
        <f>SUM(AG$7:AG154)</f>
        <v>28254</v>
      </c>
      <c r="AL154" s="130">
        <f ca="1">SUM(AH$7:AH154)</f>
        <v>7448006</v>
      </c>
      <c r="AM154" s="133">
        <f>IF(M154=0,0,INDEX(关卡产出!$AU$11:$AU$15,MATCH(玩家节奏2!N154,关卡产出!$AW$11:$AW$15,1))*M154)</f>
        <v>61000</v>
      </c>
      <c r="AN154" s="126">
        <f>IF(L154=0,0,$L154*关卡产出!AU$21)</f>
        <v>16000</v>
      </c>
      <c r="AO154" s="90">
        <f>IF(M154=0,0,$L154*关卡产出!AV$21)</f>
        <v>800</v>
      </c>
      <c r="AP154" s="129">
        <f>IF(N154=0,0,$L154*关卡产出!AW$21)</f>
        <v>16</v>
      </c>
      <c r="AQ154" s="138">
        <f>SUM(AN$7:AN154)</f>
        <v>2320000</v>
      </c>
      <c r="AR154" s="126">
        <f>SUM(AO$7:AO154)</f>
        <v>116000</v>
      </c>
      <c r="AS154" s="129">
        <f>SUM(AP$7:AP154)</f>
        <v>2320</v>
      </c>
      <c r="AT154" s="128">
        <v>3000</v>
      </c>
      <c r="AU154" s="129">
        <v>600</v>
      </c>
      <c r="AV154" s="128">
        <f>SUM(AT$7:AT154)</f>
        <v>444000</v>
      </c>
      <c r="AW154" s="90">
        <f>SUM(AU$7:AU154)</f>
        <v>88800</v>
      </c>
      <c r="AY154" s="128">
        <f t="shared" si="155"/>
        <v>38500</v>
      </c>
      <c r="AZ154" s="90">
        <f t="shared" si="156"/>
        <v>116000</v>
      </c>
      <c r="BA154" s="90">
        <f t="shared" si="157"/>
        <v>88800</v>
      </c>
      <c r="BB154" s="90">
        <f t="shared" ca="1" si="185"/>
        <v>40800</v>
      </c>
      <c r="BC154" s="90">
        <f t="shared" ca="1" si="187"/>
        <v>144225</v>
      </c>
      <c r="BD154" s="90">
        <f t="shared" ca="1" si="188"/>
        <v>139875</v>
      </c>
      <c r="BE154" s="90">
        <f t="shared" ca="1" si="158"/>
        <v>284100</v>
      </c>
      <c r="BF154" s="142">
        <f t="shared" ca="1" si="139"/>
        <v>0.26694401109377708</v>
      </c>
      <c r="BG154" s="142">
        <f t="shared" ca="1" si="140"/>
        <v>0.80429883862021145</v>
      </c>
      <c r="BH154" s="142">
        <f t="shared" ca="1" si="141"/>
        <v>0.61570462818512739</v>
      </c>
      <c r="BI154" s="142">
        <f t="shared" ca="1" si="159"/>
        <v>0.2828913156526261</v>
      </c>
      <c r="BJ154" s="143"/>
      <c r="BK154" s="128">
        <f ca="1">INDEX(商城宝箱!$L:$L,MATCH(BC154,商城宝箱!$N:$N,1))</f>
        <v>13</v>
      </c>
      <c r="BL154" s="90">
        <f ca="1">_xlfn.IFNA(INDEX(商城宝箱!T:T,MATCH(玩家节奏2!$BK154,商城宝箱!$L:$L,0)),0)+($BC154-INDEX(商城宝箱!$N:$N,MATCH(玩家节奏2!$BK154,商城宝箱!$L:$L,0)))/$BK$5*INDEX(商城宝箱!E$23:E$42,MATCH(玩家节奏2!$BK154+1,商城宝箱!$C$23:$C$42,0))</f>
        <v>360562.5</v>
      </c>
      <c r="BM154" s="90">
        <f ca="1">_xlfn.IFNA(INDEX(商城宝箱!U:U,MATCH(玩家节奏2!$BK154,商城宝箱!$L:$L,0)),0)+($BC154-INDEX(商城宝箱!$N:$N,MATCH(玩家节奏2!$BK154,商城宝箱!$L:$L,0)))/$BK$5*INDEX(商城宝箱!F$23:F$42,MATCH(玩家节奏2!$BK154+1,商城宝箱!$C$23:$C$42,0))</f>
        <v>433150</v>
      </c>
      <c r="BN154" s="90">
        <f ca="1">_xlfn.IFNA(INDEX(商城宝箱!V:V,MATCH(玩家节奏2!$BK154,商城宝箱!$L:$L,0)),0)+($BC154-INDEX(商城宝箱!$N:$N,MATCH(玩家节奏2!$BK154,商城宝箱!$L:$L,0)))/$BK$5*INDEX(商城宝箱!G$23:G$42,MATCH(玩家节奏2!$BK154+1,商城宝箱!$C$23:$C$42,0))</f>
        <v>217168.25</v>
      </c>
      <c r="BO154" s="90">
        <f ca="1">_xlfn.IFNA(INDEX(商城宝箱!W:W,MATCH(玩家节奏2!$BK154,商城宝箱!$L:$L,0)),0)+($BC154-INDEX(商城宝箱!$N:$N,MATCH(玩家节奏2!$BK154,商城宝箱!$L:$L,0)))/$BK$5*INDEX(商城宝箱!H$23:H$42,MATCH(玩家节奏2!$BK154+1,商城宝箱!$C$23:$C$42,0))</f>
        <v>35281.5</v>
      </c>
      <c r="BQ154" s="128">
        <f t="shared" si="143"/>
        <v>11610000</v>
      </c>
      <c r="BR154" s="90">
        <f t="shared" si="144"/>
        <v>4127930</v>
      </c>
      <c r="BS154" s="90">
        <f t="shared" ca="1" si="145"/>
        <v>7448006</v>
      </c>
      <c r="BT154" s="90">
        <f t="shared" si="146"/>
        <v>61000</v>
      </c>
      <c r="BU154" s="90">
        <f t="shared" si="147"/>
        <v>2320000</v>
      </c>
      <c r="BV154" s="90">
        <f t="shared" si="148"/>
        <v>444000</v>
      </c>
      <c r="BW154" s="90">
        <f t="shared" ca="1" si="160"/>
        <v>360562.5</v>
      </c>
      <c r="BX154" s="90">
        <f t="shared" ca="1" si="161"/>
        <v>26371498.5</v>
      </c>
      <c r="BY154" s="142">
        <f t="shared" ca="1" si="138"/>
        <v>0.4402480200357215</v>
      </c>
      <c r="BZ154" s="142">
        <f t="shared" ca="1" si="138"/>
        <v>0.15652997496520724</v>
      </c>
      <c r="CA154" s="142">
        <f t="shared" ca="1" si="138"/>
        <v>0.2824263475206007</v>
      </c>
      <c r="CB154" s="142">
        <f t="shared" ca="1" si="138"/>
        <v>2.3131032921773482E-3</v>
      </c>
      <c r="CC154" s="142">
        <f t="shared" ca="1" si="138"/>
        <v>8.7973764554941769E-2</v>
      </c>
      <c r="CD154" s="142">
        <f t="shared" ca="1" si="138"/>
        <v>1.6836358388962993E-2</v>
      </c>
      <c r="CE154" s="142">
        <f t="shared" ca="1" si="138"/>
        <v>1.3672431242388445E-2</v>
      </c>
      <c r="CG154" s="128">
        <f t="shared" si="162"/>
        <v>200</v>
      </c>
      <c r="CH154" s="90">
        <f ca="1">INDEX(角色升级!$A:$A,MATCH(玩家节奏2!$BX154,角色升级!$J:$J,1))</f>
        <v>1047</v>
      </c>
      <c r="CI154" s="90">
        <f ca="1">INDEX(角色升级!$O:$O,MATCH(玩家节奏2!$BX154,角色升级!$J:$J,1))</f>
        <v>99294.156750000009</v>
      </c>
      <c r="CJ154" s="90">
        <f>INDEX(关卡对比!$J:$J,MATCH(玩家节奏2!N154,关卡对比!$A:$A,0))</f>
        <v>86200</v>
      </c>
      <c r="CK154" s="147">
        <f t="shared" ca="1" si="163"/>
        <v>0.8681276202086281</v>
      </c>
      <c r="CL154" s="128">
        <f ca="1">INDEX(角色升级!$P:$P,MATCH(玩家节奏2!$CH154,角色升级!$A:$A,0))</f>
        <v>40800</v>
      </c>
      <c r="CM154" s="90">
        <f ca="1">INDEX(角色升级!Q:Q,MATCH(玩家节奏2!$CH154,角色升级!$A:$A,0))</f>
        <v>2.2000000000000002</v>
      </c>
      <c r="CO154" s="128">
        <f t="shared" si="164"/>
        <v>78866</v>
      </c>
      <c r="CP154" s="90">
        <f t="shared" si="165"/>
        <v>316014</v>
      </c>
      <c r="CQ154" s="90">
        <f t="shared" si="166"/>
        <v>103768</v>
      </c>
      <c r="CR154" s="90">
        <f t="shared" ca="1" si="167"/>
        <v>433150</v>
      </c>
      <c r="CS154" s="90">
        <f t="shared" ca="1" si="168"/>
        <v>931798</v>
      </c>
      <c r="CT154" s="142">
        <f t="shared" ca="1" si="169"/>
        <v>8.4638516073226172E-2</v>
      </c>
      <c r="CU154" s="142">
        <f t="shared" ca="1" si="169"/>
        <v>0.33914432097943975</v>
      </c>
      <c r="CV154" s="142">
        <f t="shared" ca="1" si="169"/>
        <v>0.11136319245158285</v>
      </c>
      <c r="CW154" s="142">
        <f t="shared" ca="1" si="149"/>
        <v>0.46485397049575122</v>
      </c>
      <c r="CY154" s="128">
        <f t="shared" si="170"/>
        <v>39434</v>
      </c>
      <c r="CZ154" s="90">
        <f t="shared" si="171"/>
        <v>157843</v>
      </c>
      <c r="DA154" s="90">
        <f t="shared" si="172"/>
        <v>72012</v>
      </c>
      <c r="DB154" s="90">
        <f t="shared" ca="1" si="186"/>
        <v>217168.25</v>
      </c>
      <c r="DC154" s="90">
        <f t="shared" ca="1" si="173"/>
        <v>486457.25</v>
      </c>
      <c r="DD154" s="142">
        <f t="shared" ca="1" si="174"/>
        <v>8.1063649477934596E-2</v>
      </c>
      <c r="DE154" s="142">
        <f t="shared" ca="1" si="174"/>
        <v>0.32447455557502741</v>
      </c>
      <c r="DF154" s="142">
        <f t="shared" ca="1" si="174"/>
        <v>0.14803356307260299</v>
      </c>
      <c r="DG154" s="142">
        <f t="shared" ca="1" si="150"/>
        <v>0.44642823187443503</v>
      </c>
      <c r="DI154" s="128">
        <f t="shared" si="175"/>
        <v>19113</v>
      </c>
      <c r="DJ154" s="90">
        <f t="shared" si="176"/>
        <v>77699</v>
      </c>
      <c r="DK154" s="90">
        <f t="shared" si="177"/>
        <v>28254</v>
      </c>
      <c r="DL154" s="90">
        <f t="shared" ca="1" si="178"/>
        <v>35281.5</v>
      </c>
      <c r="DM154" s="90">
        <f t="shared" ca="1" si="179"/>
        <v>160347.5</v>
      </c>
      <c r="DN154" s="142">
        <f t="shared" ca="1" si="180"/>
        <v>0.11919736821590608</v>
      </c>
      <c r="DO154" s="142">
        <f t="shared" ca="1" si="180"/>
        <v>0.48456633249660891</v>
      </c>
      <c r="DP154" s="142">
        <f t="shared" ca="1" si="180"/>
        <v>0.17620480518873072</v>
      </c>
      <c r="DQ154" s="142">
        <f t="shared" ca="1" si="151"/>
        <v>0.22003149409875428</v>
      </c>
      <c r="DS154" s="128">
        <f t="shared" ca="1" si="181"/>
        <v>931798</v>
      </c>
      <c r="DT154" s="90">
        <f t="shared" ca="1" si="182"/>
        <v>486457.25</v>
      </c>
      <c r="DU154" s="90">
        <f t="shared" ca="1" si="183"/>
        <v>160347.5</v>
      </c>
      <c r="DV154" s="90">
        <f t="shared" si="184"/>
        <v>2320</v>
      </c>
      <c r="DW154" s="90">
        <f ca="1">_xlfn.IFNA(INDEX(武器升级消耗!$H:$H,MATCH(玩家节奏2!DS154/玩家节奏2!DS$5,武器升级消耗!M:M,1)),0)</f>
        <v>83</v>
      </c>
      <c r="DX154" s="90">
        <f ca="1">_xlfn.IFNA(INDEX(武器升级消耗!$H:$H,MATCH(玩家节奏2!DT154/玩家节奏2!DT$5,武器升级消耗!N:N,1)),0)</f>
        <v>73</v>
      </c>
      <c r="DY154" s="90">
        <f ca="1">_xlfn.IFNA(INDEX(武器升级消耗!$H:$H,MATCH(玩家节奏2!DU154/玩家节奏2!DU$5,武器升级消耗!O:O,1)),0)</f>
        <v>55</v>
      </c>
      <c r="DZ154" s="90">
        <f>_xlfn.IFNA(INDEX(武器升级消耗!$H:$H,MATCH(玩家节奏2!DV154/玩家节奏2!DV$5,武器升级消耗!P:P,1)),0)</f>
        <v>35</v>
      </c>
      <c r="EA154" s="90">
        <f ca="1">_xlfn.IFNA(INDEX(武器升级消耗!$Q:$Q,MATCH(玩家节奏2!DW154,武器升级消耗!$H:$H,0))*2*EA$4,0)</f>
        <v>10.439999999999989</v>
      </c>
      <c r="EB154" s="90">
        <f ca="1">_xlfn.IFNA(INDEX(武器升级消耗!$Q:$Q,MATCH(玩家节奏2!DX154,武器升级消耗!$H:$H,0))*2*EB$4,0)</f>
        <v>11.549999999999986</v>
      </c>
      <c r="EC154" s="90">
        <f ca="1">_xlfn.IFNA(INDEX(武器升级消耗!$Q:$Q,MATCH(玩家节奏2!DY154,武器升级消耗!$H:$H,0))*2*EC$4,0)</f>
        <v>12.980000000000002</v>
      </c>
      <c r="ED154" s="90">
        <f>_xlfn.IFNA(INDEX(武器升级消耗!$Q:$Q,MATCH(玩家节奏2!DZ154,武器升级消耗!$H:$H,0))*2*ED$4,0)</f>
        <v>11.7</v>
      </c>
    </row>
    <row r="155" spans="1:134" x14ac:dyDescent="0.25">
      <c r="A155" s="123">
        <v>149</v>
      </c>
      <c r="B155" s="123">
        <f>INDEX(关卡对比!$Y:$Y,MATCH(关卡对比!Z155,关卡对比!$AA:$AA,1))</f>
        <v>88</v>
      </c>
      <c r="C155" s="124">
        <f>INDEX(关卡对比!$Y:$Y,MATCH(关卡对比!Z155,关卡对比!$AB:$AB,1))</f>
        <v>68</v>
      </c>
      <c r="D155" s="125">
        <f t="shared" si="189"/>
        <v>579.5</v>
      </c>
      <c r="E155" s="125">
        <v>2</v>
      </c>
      <c r="F155" s="128">
        <v>16</v>
      </c>
      <c r="G155" s="90">
        <v>16</v>
      </c>
      <c r="H155" s="90">
        <v>5</v>
      </c>
      <c r="J155" s="128">
        <v>149</v>
      </c>
      <c r="K155" s="90">
        <f t="shared" si="152"/>
        <v>16</v>
      </c>
      <c r="L155" s="90">
        <f t="shared" si="153"/>
        <v>16</v>
      </c>
      <c r="M155" s="90">
        <f t="shared" si="154"/>
        <v>5</v>
      </c>
      <c r="N155" s="140">
        <f>INDEX($A:$A,MATCH(SUM($K$7:K155),$D:$D,1))</f>
        <v>200</v>
      </c>
      <c r="O155" s="140">
        <v>0</v>
      </c>
      <c r="P155" s="141">
        <v>0</v>
      </c>
      <c r="Q155" s="126">
        <f>_xlfn.MAXIFS(关卡产出!X:X,关卡产出!$A:$A,玩家节奏2!$N$6,关卡产出!$B:$B,玩家节奏2!$N155)+_xlfn.MAXIFS(关卡产出!X:X,关卡产出!$A:$A,玩家节奏2!$O$6,关卡产出!$B:$B,玩家节奏2!$O155)+_xlfn.MAXIFS(关卡产出!X:X,关卡产出!$A:$A,玩家节奏2!$P$6,关卡产出!$B:$B,玩家节奏2!$P155)</f>
        <v>38500</v>
      </c>
      <c r="R155" s="90">
        <f>_xlfn.MAXIFS(关卡产出!Y:Y,关卡产出!$A:$A,玩家节奏2!$N$6,关卡产出!$B:$B,玩家节奏2!$N155)+_xlfn.MAXIFS(关卡产出!Y:Y,关卡产出!$A:$A,玩家节奏2!$O$6,关卡产出!$B:$B,玩家节奏2!$O155)+_xlfn.MAXIFS(关卡产出!Y:Y,关卡产出!$A:$A,玩家节奏2!$P$6,关卡产出!$B:$B,玩家节奏2!$P155)</f>
        <v>11610000</v>
      </c>
      <c r="S155" s="90">
        <f>_xlfn.MAXIFS(关卡产出!Z:Z,关卡产出!$A:$A,玩家节奏2!$N$6,关卡产出!$B:$B,玩家节奏2!$N155)+_xlfn.MAXIFS(关卡产出!Z:Z,关卡产出!$A:$A,玩家节奏2!$O$6,关卡产出!$B:$B,玩家节奏2!$O155)+_xlfn.MAXIFS(关卡产出!Z:Z,关卡产出!$A:$A,玩家节奏2!$P$6,关卡产出!$B:$B,玩家节奏2!$P155)</f>
        <v>78866</v>
      </c>
      <c r="T155" s="90">
        <f>_xlfn.MAXIFS(关卡产出!AA:AA,关卡产出!$A:$A,玩家节奏2!$N$6,关卡产出!$B:$B,玩家节奏2!$N155)+_xlfn.MAXIFS(关卡产出!AA:AA,关卡产出!$A:$A,玩家节奏2!$O$6,关卡产出!$B:$B,玩家节奏2!$O155)+_xlfn.MAXIFS(关卡产出!AA:AA,关卡产出!$A:$A,玩家节奏2!$P$6,关卡产出!$B:$B,玩家节奏2!$P155)</f>
        <v>39434</v>
      </c>
      <c r="U155" s="90">
        <f>_xlfn.MAXIFS(关卡产出!AB:AB,关卡产出!$A:$A,玩家节奏2!$N$6,关卡产出!$B:$B,玩家节奏2!$N155)+_xlfn.MAXIFS(关卡产出!AB:AB,关卡产出!$A:$A,玩家节奏2!$O$6,关卡产出!$B:$B,玩家节奏2!$O155)+_xlfn.MAXIFS(关卡产出!AB:AB,关卡产出!$A:$A,玩家节奏2!$P$6,关卡产出!$B:$B,玩家节奏2!$P155)</f>
        <v>19113</v>
      </c>
      <c r="V155" s="130">
        <f>_xlfn.MAXIFS(关卡产出!AC:AC,关卡产出!$A:$A,玩家节奏2!$N$6,关卡产出!$B:$B,玩家节奏2!$N155)+_xlfn.MAXIFS(关卡产出!AC:AC,关卡产出!$A:$A,玩家节奏2!$O$6,关卡产出!$B:$B,玩家节奏2!$O155)+_xlfn.MAXIFS(关卡产出!AC:AC,关卡产出!$A:$A,玩家节奏2!$P$6,关卡产出!$B:$B,玩家节奏2!$P155)</f>
        <v>1200</v>
      </c>
      <c r="W155" s="126">
        <f>INDEX(关卡产出!C$8:C$207,MATCH(玩家节奏2!$N155,关卡产出!$B$8:$B$207,0))*$K155</f>
        <v>2528</v>
      </c>
      <c r="X155" s="126">
        <f>INDEX(关卡产出!D$8:D$207,MATCH(玩家节奏2!$N155,关卡产出!$B$8:$B$207,0))*$K155</f>
        <v>1264</v>
      </c>
      <c r="Y155" s="126">
        <f>INDEX(关卡产出!E$8:E$207,MATCH(玩家节奏2!$N155,关卡产出!$B$8:$B$207,0))*$K155</f>
        <v>624</v>
      </c>
      <c r="Z155" s="144">
        <f>INDEX(关卡产出!F$8:F$207,MATCH(玩家节奏2!$N155,关卡产出!$B$8:$B$207,0))*$K155</f>
        <v>32800</v>
      </c>
      <c r="AA155" s="126">
        <f>SUM(W$7:W155)</f>
        <v>318542</v>
      </c>
      <c r="AB155" s="126">
        <f>SUM(X$7:X155)</f>
        <v>159107</v>
      </c>
      <c r="AC155" s="126">
        <f>SUM(Y$7:Y155)</f>
        <v>78323</v>
      </c>
      <c r="AD155" s="177">
        <f>SUM(Z$7:Z155)</f>
        <v>4160730</v>
      </c>
      <c r="AE155" s="128">
        <f>INDEX(图鉴!AQ:AQ,MATCH($N155,图鉴!$S:$S,0))*34</f>
        <v>714</v>
      </c>
      <c r="AF155" s="90">
        <f>INDEX(图鉴!AR:AR,MATCH($N155,图鉴!$S:$S,0))*34</f>
        <v>510</v>
      </c>
      <c r="AG155" s="90">
        <f>INDEX(图鉴!AS:AS,MATCH($N155,图鉴!$S:$S,0))*34</f>
        <v>204</v>
      </c>
      <c r="AH155" s="129">
        <f ca="1">INDEX(图鉴!AT:AT,MATCH($N155,图鉴!$S:$S,0))*34</f>
        <v>55930</v>
      </c>
      <c r="AI155" s="128">
        <f>SUM($AE$7:AE155)</f>
        <v>104482</v>
      </c>
      <c r="AJ155" s="90">
        <f>SUM(AF$7:AF155)</f>
        <v>72522</v>
      </c>
      <c r="AK155" s="90">
        <f>SUM(AG$7:AG155)</f>
        <v>28458</v>
      </c>
      <c r="AL155" s="130">
        <f ca="1">SUM(AH$7:AH155)</f>
        <v>7503936</v>
      </c>
      <c r="AM155" s="133">
        <f>IF(M155=0,0,INDEX(关卡产出!$AU$11:$AU$15,MATCH(玩家节奏2!N155,关卡产出!$AW$11:$AW$15,1))*M155)</f>
        <v>61000</v>
      </c>
      <c r="AN155" s="126">
        <f>IF(L155=0,0,$L155*关卡产出!AU$21)</f>
        <v>16000</v>
      </c>
      <c r="AO155" s="90">
        <f>IF(M155=0,0,$L155*关卡产出!AV$21)</f>
        <v>800</v>
      </c>
      <c r="AP155" s="129">
        <f>IF(N155=0,0,$L155*关卡产出!AW$21)</f>
        <v>16</v>
      </c>
      <c r="AQ155" s="138">
        <f>SUM(AN$7:AN155)</f>
        <v>2336000</v>
      </c>
      <c r="AR155" s="126">
        <f>SUM(AO$7:AO155)</f>
        <v>116800</v>
      </c>
      <c r="AS155" s="129">
        <f>SUM(AP$7:AP155)</f>
        <v>2336</v>
      </c>
      <c r="AT155" s="128">
        <v>3000</v>
      </c>
      <c r="AU155" s="129">
        <v>600</v>
      </c>
      <c r="AV155" s="128">
        <f>SUM(AT$7:AT155)</f>
        <v>447000</v>
      </c>
      <c r="AW155" s="90">
        <f>SUM(AU$7:AU155)</f>
        <v>89400</v>
      </c>
      <c r="AY155" s="128">
        <f t="shared" si="155"/>
        <v>38500</v>
      </c>
      <c r="AZ155" s="90">
        <f t="shared" si="156"/>
        <v>116800</v>
      </c>
      <c r="BA155" s="90">
        <f t="shared" si="157"/>
        <v>89400</v>
      </c>
      <c r="BB155" s="90">
        <f t="shared" ca="1" si="185"/>
        <v>40800</v>
      </c>
      <c r="BC155" s="90">
        <f t="shared" ca="1" si="187"/>
        <v>144925</v>
      </c>
      <c r="BD155" s="90">
        <f t="shared" ca="1" si="188"/>
        <v>140575</v>
      </c>
      <c r="BE155" s="90">
        <f t="shared" ca="1" si="158"/>
        <v>285500</v>
      </c>
      <c r="BF155" s="142">
        <f t="shared" ca="1" si="139"/>
        <v>0.26565464895635671</v>
      </c>
      <c r="BG155" s="142">
        <f t="shared" ca="1" si="140"/>
        <v>0.8059341038468173</v>
      </c>
      <c r="BH155" s="142">
        <f t="shared" ca="1" si="141"/>
        <v>0.61687079523891664</v>
      </c>
      <c r="BI155" s="142">
        <f t="shared" ca="1" si="159"/>
        <v>0.28152492668621704</v>
      </c>
      <c r="BJ155" s="143"/>
      <c r="BK155" s="128">
        <f ca="1">INDEX(商城宝箱!$L:$L,MATCH(BC155,商城宝箱!$N:$N,1))</f>
        <v>13</v>
      </c>
      <c r="BL155" s="90">
        <f ca="1">_xlfn.IFNA(INDEX(商城宝箱!T:T,MATCH(玩家节奏2!$BK155,商城宝箱!$L:$L,0)),0)+($BC155-INDEX(商城宝箱!$N:$N,MATCH(玩家节奏2!$BK155,商城宝箱!$L:$L,0)))/$BK$5*INDEX(商城宝箱!E$23:E$42,MATCH(玩家节奏2!$BK155+1,商城宝箱!$C$23:$C$42,0))</f>
        <v>362312.5</v>
      </c>
      <c r="BM155" s="90">
        <f ca="1">_xlfn.IFNA(INDEX(商城宝箱!U:U,MATCH(玩家节奏2!$BK155,商城宝箱!$L:$L,0)),0)+($BC155-INDEX(商城宝箱!$N:$N,MATCH(玩家节奏2!$BK155,商城宝箱!$L:$L,0)))/$BK$5*INDEX(商城宝箱!F$23:F$42,MATCH(玩家节奏2!$BK155+1,商城宝箱!$C$23:$C$42,0))</f>
        <v>436440</v>
      </c>
      <c r="BN155" s="90">
        <f ca="1">_xlfn.IFNA(INDEX(商城宝箱!V:V,MATCH(玩家节奏2!$BK155,商城宝箱!$L:$L,0)),0)+($BC155-INDEX(商城宝箱!$N:$N,MATCH(玩家节奏2!$BK155,商城宝箱!$L:$L,0)))/$BK$5*INDEX(商城宝箱!G$23:G$42,MATCH(玩家节奏2!$BK155+1,商城宝箱!$C$23:$C$42,0))</f>
        <v>218743.25</v>
      </c>
      <c r="BO155" s="90">
        <f ca="1">_xlfn.IFNA(INDEX(商城宝箱!W:W,MATCH(玩家节奏2!$BK155,商城宝箱!$L:$L,0)),0)+($BC155-INDEX(商城宝箱!$N:$N,MATCH(玩家节奏2!$BK155,商城宝箱!$L:$L,0)))/$BK$5*INDEX(商城宝箱!H$23:H$42,MATCH(玩家节奏2!$BK155+1,商城宝箱!$C$23:$C$42,0))</f>
        <v>35561.5</v>
      </c>
      <c r="BQ155" s="128">
        <f t="shared" si="143"/>
        <v>11610000</v>
      </c>
      <c r="BR155" s="90">
        <f t="shared" si="144"/>
        <v>4160730</v>
      </c>
      <c r="BS155" s="90">
        <f t="shared" ca="1" si="145"/>
        <v>7503936</v>
      </c>
      <c r="BT155" s="90">
        <f t="shared" si="146"/>
        <v>61000</v>
      </c>
      <c r="BU155" s="90">
        <f t="shared" si="147"/>
        <v>2336000</v>
      </c>
      <c r="BV155" s="90">
        <f t="shared" si="148"/>
        <v>447000</v>
      </c>
      <c r="BW155" s="90">
        <f t="shared" ca="1" si="160"/>
        <v>362312.5</v>
      </c>
      <c r="BX155" s="90">
        <f t="shared" ca="1" si="161"/>
        <v>26480978.5</v>
      </c>
      <c r="BY155" s="142">
        <f t="shared" ca="1" si="138"/>
        <v>0.43842790779049196</v>
      </c>
      <c r="BZ155" s="142">
        <f t="shared" ca="1" si="138"/>
        <v>0.15712145984333623</v>
      </c>
      <c r="CA155" s="142">
        <f t="shared" ca="1" si="138"/>
        <v>0.28337079764631812</v>
      </c>
      <c r="CB155" s="142">
        <f t="shared" ca="1" si="138"/>
        <v>2.3035402562635665E-3</v>
      </c>
      <c r="CC155" s="142">
        <f t="shared" ca="1" si="138"/>
        <v>8.8214262928388396E-2</v>
      </c>
      <c r="CD155" s="142">
        <f t="shared" ca="1" si="138"/>
        <v>1.6880040894259252E-2</v>
      </c>
      <c r="CE155" s="142">
        <f t="shared" ca="1" si="138"/>
        <v>1.3681990640942516E-2</v>
      </c>
      <c r="CG155" s="128">
        <f t="shared" si="162"/>
        <v>200</v>
      </c>
      <c r="CH155" s="90">
        <f ca="1">INDEX(角色升级!$A:$A,MATCH(玩家节奏2!$BX155,角色升级!$J:$J,1))</f>
        <v>1047</v>
      </c>
      <c r="CI155" s="90">
        <f ca="1">INDEX(角色升级!$O:$O,MATCH(玩家节奏2!$BX155,角色升级!$J:$J,1))</f>
        <v>99294.156750000009</v>
      </c>
      <c r="CJ155" s="90">
        <f>INDEX(关卡对比!$J:$J,MATCH(玩家节奏2!N155,关卡对比!$A:$A,0))</f>
        <v>86200</v>
      </c>
      <c r="CK155" s="147">
        <f t="shared" ca="1" si="163"/>
        <v>0.8681276202086281</v>
      </c>
      <c r="CL155" s="128">
        <f ca="1">INDEX(角色升级!$P:$P,MATCH(玩家节奏2!$CH155,角色升级!$A:$A,0))</f>
        <v>40800</v>
      </c>
      <c r="CM155" s="90">
        <f ca="1">INDEX(角色升级!Q:Q,MATCH(玩家节奏2!$CH155,角色升级!$A:$A,0))</f>
        <v>2.2000000000000002</v>
      </c>
      <c r="CO155" s="128">
        <f t="shared" si="164"/>
        <v>78866</v>
      </c>
      <c r="CP155" s="90">
        <f t="shared" si="165"/>
        <v>318542</v>
      </c>
      <c r="CQ155" s="90">
        <f t="shared" si="166"/>
        <v>104482</v>
      </c>
      <c r="CR155" s="90">
        <f t="shared" ca="1" si="167"/>
        <v>436440</v>
      </c>
      <c r="CS155" s="90">
        <f t="shared" ca="1" si="168"/>
        <v>938330</v>
      </c>
      <c r="CT155" s="142">
        <f t="shared" ca="1" si="169"/>
        <v>8.4049321667217292E-2</v>
      </c>
      <c r="CU155" s="142">
        <f t="shared" ca="1" si="169"/>
        <v>0.3394775825136146</v>
      </c>
      <c r="CV155" s="142">
        <f t="shared" ca="1" si="169"/>
        <v>0.1113488857864504</v>
      </c>
      <c r="CW155" s="142">
        <f t="shared" ca="1" si="149"/>
        <v>0.4651242100327177</v>
      </c>
      <c r="CY155" s="128">
        <f t="shared" si="170"/>
        <v>39434</v>
      </c>
      <c r="CZ155" s="90">
        <f t="shared" si="171"/>
        <v>159107</v>
      </c>
      <c r="DA155" s="90">
        <f t="shared" si="172"/>
        <v>72522</v>
      </c>
      <c r="DB155" s="90">
        <f t="shared" ca="1" si="186"/>
        <v>218743.25</v>
      </c>
      <c r="DC155" s="90">
        <f t="shared" ca="1" si="173"/>
        <v>489806.25</v>
      </c>
      <c r="DD155" s="142">
        <f t="shared" ca="1" si="174"/>
        <v>8.050938508849162E-2</v>
      </c>
      <c r="DE155" s="142">
        <f t="shared" ca="1" si="174"/>
        <v>0.32483660631116895</v>
      </c>
      <c r="DF155" s="142">
        <f t="shared" ca="1" si="174"/>
        <v>0.14806262680396584</v>
      </c>
      <c r="DG155" s="142">
        <f t="shared" ca="1" si="150"/>
        <v>0.44659138179637359</v>
      </c>
      <c r="DI155" s="128">
        <f t="shared" si="175"/>
        <v>19113</v>
      </c>
      <c r="DJ155" s="90">
        <f t="shared" si="176"/>
        <v>78323</v>
      </c>
      <c r="DK155" s="90">
        <f t="shared" si="177"/>
        <v>28458</v>
      </c>
      <c r="DL155" s="90">
        <f t="shared" ca="1" si="178"/>
        <v>35561.5</v>
      </c>
      <c r="DM155" s="90">
        <f t="shared" ca="1" si="179"/>
        <v>161455.5</v>
      </c>
      <c r="DN155" s="142">
        <f t="shared" ca="1" si="180"/>
        <v>0.11837936768954914</v>
      </c>
      <c r="DO155" s="142">
        <f t="shared" ca="1" si="180"/>
        <v>0.48510580314699714</v>
      </c>
      <c r="DP155" s="142">
        <f t="shared" ca="1" si="180"/>
        <v>0.17625909306279439</v>
      </c>
      <c r="DQ155" s="142">
        <f t="shared" ca="1" si="151"/>
        <v>0.22025573610065932</v>
      </c>
      <c r="DS155" s="128">
        <f t="shared" ca="1" si="181"/>
        <v>938330</v>
      </c>
      <c r="DT155" s="90">
        <f t="shared" ca="1" si="182"/>
        <v>489806.25</v>
      </c>
      <c r="DU155" s="90">
        <f t="shared" ca="1" si="183"/>
        <v>161455.5</v>
      </c>
      <c r="DV155" s="90">
        <f t="shared" si="184"/>
        <v>2336</v>
      </c>
      <c r="DW155" s="90">
        <f ca="1">_xlfn.IFNA(INDEX(武器升级消耗!$H:$H,MATCH(玩家节奏2!DS155/玩家节奏2!DS$5,武器升级消耗!M:M,1)),0)</f>
        <v>83</v>
      </c>
      <c r="DX155" s="90">
        <f ca="1">_xlfn.IFNA(INDEX(武器升级消耗!$H:$H,MATCH(玩家节奏2!DT155/玩家节奏2!DT$5,武器升级消耗!N:N,1)),0)</f>
        <v>73</v>
      </c>
      <c r="DY155" s="90">
        <f ca="1">_xlfn.IFNA(INDEX(武器升级消耗!$H:$H,MATCH(玩家节奏2!DU155/玩家节奏2!DU$5,武器升级消耗!O:O,1)),0)</f>
        <v>55</v>
      </c>
      <c r="DZ155" s="90">
        <f>_xlfn.IFNA(INDEX(武器升级消耗!$H:$H,MATCH(玩家节奏2!DV155/玩家节奏2!DV$5,武器升级消耗!P:P,1)),0)</f>
        <v>35</v>
      </c>
      <c r="EA155" s="90">
        <f ca="1">_xlfn.IFNA(INDEX(武器升级消耗!$Q:$Q,MATCH(玩家节奏2!DW155,武器升级消耗!$H:$H,0))*2*EA$4,0)</f>
        <v>10.439999999999989</v>
      </c>
      <c r="EB155" s="90">
        <f ca="1">_xlfn.IFNA(INDEX(武器升级消耗!$Q:$Q,MATCH(玩家节奏2!DX155,武器升级消耗!$H:$H,0))*2*EB$4,0)</f>
        <v>11.549999999999986</v>
      </c>
      <c r="EC155" s="90">
        <f ca="1">_xlfn.IFNA(INDEX(武器升级消耗!$Q:$Q,MATCH(玩家节奏2!DY155,武器升级消耗!$H:$H,0))*2*EC$4,0)</f>
        <v>12.980000000000002</v>
      </c>
      <c r="ED155" s="90">
        <f>_xlfn.IFNA(INDEX(武器升级消耗!$Q:$Q,MATCH(玩家节奏2!DZ155,武器升级消耗!$H:$H,0))*2*ED$4,0)</f>
        <v>11.7</v>
      </c>
    </row>
    <row r="156" spans="1:134" x14ac:dyDescent="0.25">
      <c r="A156" s="123">
        <v>150</v>
      </c>
      <c r="B156" s="123">
        <f>INDEX(关卡对比!$Y:$Y,MATCH(关卡对比!Z156,关卡对比!$AA:$AA,1))</f>
        <v>88</v>
      </c>
      <c r="C156" s="124">
        <f>INDEX(关卡对比!$Y:$Y,MATCH(关卡对比!Z156,关卡对比!$AB:$AB,1))</f>
        <v>68</v>
      </c>
      <c r="D156" s="125">
        <f t="shared" si="189"/>
        <v>581.5</v>
      </c>
      <c r="E156" s="125">
        <v>2</v>
      </c>
      <c r="F156" s="128">
        <v>16</v>
      </c>
      <c r="G156" s="90">
        <v>16</v>
      </c>
      <c r="H156" s="90">
        <v>5</v>
      </c>
      <c r="J156" s="128">
        <v>150</v>
      </c>
      <c r="K156" s="90">
        <f t="shared" si="152"/>
        <v>16</v>
      </c>
      <c r="L156" s="90">
        <f t="shared" si="153"/>
        <v>16</v>
      </c>
      <c r="M156" s="90">
        <f t="shared" si="154"/>
        <v>5</v>
      </c>
      <c r="N156" s="140">
        <f>INDEX($A:$A,MATCH(SUM($K$7:K156),$D:$D,1))</f>
        <v>200</v>
      </c>
      <c r="O156" s="140">
        <v>0</v>
      </c>
      <c r="P156" s="141">
        <v>0</v>
      </c>
      <c r="Q156" s="126">
        <f>_xlfn.MAXIFS(关卡产出!X:X,关卡产出!$A:$A,玩家节奏2!$N$6,关卡产出!$B:$B,玩家节奏2!$N156)+_xlfn.MAXIFS(关卡产出!X:X,关卡产出!$A:$A,玩家节奏2!$O$6,关卡产出!$B:$B,玩家节奏2!$O156)+_xlfn.MAXIFS(关卡产出!X:X,关卡产出!$A:$A,玩家节奏2!$P$6,关卡产出!$B:$B,玩家节奏2!$P156)</f>
        <v>38500</v>
      </c>
      <c r="R156" s="90">
        <f>_xlfn.MAXIFS(关卡产出!Y:Y,关卡产出!$A:$A,玩家节奏2!$N$6,关卡产出!$B:$B,玩家节奏2!$N156)+_xlfn.MAXIFS(关卡产出!Y:Y,关卡产出!$A:$A,玩家节奏2!$O$6,关卡产出!$B:$B,玩家节奏2!$O156)+_xlfn.MAXIFS(关卡产出!Y:Y,关卡产出!$A:$A,玩家节奏2!$P$6,关卡产出!$B:$B,玩家节奏2!$P156)</f>
        <v>11610000</v>
      </c>
      <c r="S156" s="90">
        <f>_xlfn.MAXIFS(关卡产出!Z:Z,关卡产出!$A:$A,玩家节奏2!$N$6,关卡产出!$B:$B,玩家节奏2!$N156)+_xlfn.MAXIFS(关卡产出!Z:Z,关卡产出!$A:$A,玩家节奏2!$O$6,关卡产出!$B:$B,玩家节奏2!$O156)+_xlfn.MAXIFS(关卡产出!Z:Z,关卡产出!$A:$A,玩家节奏2!$P$6,关卡产出!$B:$B,玩家节奏2!$P156)</f>
        <v>78866</v>
      </c>
      <c r="T156" s="90">
        <f>_xlfn.MAXIFS(关卡产出!AA:AA,关卡产出!$A:$A,玩家节奏2!$N$6,关卡产出!$B:$B,玩家节奏2!$N156)+_xlfn.MAXIFS(关卡产出!AA:AA,关卡产出!$A:$A,玩家节奏2!$O$6,关卡产出!$B:$B,玩家节奏2!$O156)+_xlfn.MAXIFS(关卡产出!AA:AA,关卡产出!$A:$A,玩家节奏2!$P$6,关卡产出!$B:$B,玩家节奏2!$P156)</f>
        <v>39434</v>
      </c>
      <c r="U156" s="90">
        <f>_xlfn.MAXIFS(关卡产出!AB:AB,关卡产出!$A:$A,玩家节奏2!$N$6,关卡产出!$B:$B,玩家节奏2!$N156)+_xlfn.MAXIFS(关卡产出!AB:AB,关卡产出!$A:$A,玩家节奏2!$O$6,关卡产出!$B:$B,玩家节奏2!$O156)+_xlfn.MAXIFS(关卡产出!AB:AB,关卡产出!$A:$A,玩家节奏2!$P$6,关卡产出!$B:$B,玩家节奏2!$P156)</f>
        <v>19113</v>
      </c>
      <c r="V156" s="130">
        <f>_xlfn.MAXIFS(关卡产出!AC:AC,关卡产出!$A:$A,玩家节奏2!$N$6,关卡产出!$B:$B,玩家节奏2!$N156)+_xlfn.MAXIFS(关卡产出!AC:AC,关卡产出!$A:$A,玩家节奏2!$O$6,关卡产出!$B:$B,玩家节奏2!$O156)+_xlfn.MAXIFS(关卡产出!AC:AC,关卡产出!$A:$A,玩家节奏2!$P$6,关卡产出!$B:$B,玩家节奏2!$P156)</f>
        <v>1200</v>
      </c>
      <c r="W156" s="126">
        <f>INDEX(关卡产出!C$8:C$207,MATCH(玩家节奏2!$N156,关卡产出!$B$8:$B$207,0))*$K156</f>
        <v>2528</v>
      </c>
      <c r="X156" s="126">
        <f>INDEX(关卡产出!D$8:D$207,MATCH(玩家节奏2!$N156,关卡产出!$B$8:$B$207,0))*$K156</f>
        <v>1264</v>
      </c>
      <c r="Y156" s="126">
        <f>INDEX(关卡产出!E$8:E$207,MATCH(玩家节奏2!$N156,关卡产出!$B$8:$B$207,0))*$K156</f>
        <v>624</v>
      </c>
      <c r="Z156" s="144">
        <f>INDEX(关卡产出!F$8:F$207,MATCH(玩家节奏2!$N156,关卡产出!$B$8:$B$207,0))*$K156</f>
        <v>32800</v>
      </c>
      <c r="AA156" s="126">
        <f>SUM(W$7:W156)</f>
        <v>321070</v>
      </c>
      <c r="AB156" s="126">
        <f>SUM(X$7:X156)</f>
        <v>160371</v>
      </c>
      <c r="AC156" s="126">
        <f>SUM(Y$7:Y156)</f>
        <v>78947</v>
      </c>
      <c r="AD156" s="177">
        <f>SUM(Z$7:Z156)</f>
        <v>4193530</v>
      </c>
      <c r="AE156" s="128">
        <f>INDEX(图鉴!AQ:AQ,MATCH($N156,图鉴!$S:$S,0))*34</f>
        <v>714</v>
      </c>
      <c r="AF156" s="90">
        <f>INDEX(图鉴!AR:AR,MATCH($N156,图鉴!$S:$S,0))*34</f>
        <v>510</v>
      </c>
      <c r="AG156" s="90">
        <f>INDEX(图鉴!AS:AS,MATCH($N156,图鉴!$S:$S,0))*34</f>
        <v>204</v>
      </c>
      <c r="AH156" s="129">
        <f ca="1">INDEX(图鉴!AT:AT,MATCH($N156,图鉴!$S:$S,0))*34</f>
        <v>55930</v>
      </c>
      <c r="AI156" s="128">
        <f>SUM($AE$7:AE156)</f>
        <v>105196</v>
      </c>
      <c r="AJ156" s="90">
        <f>SUM(AF$7:AF156)</f>
        <v>73032</v>
      </c>
      <c r="AK156" s="90">
        <f>SUM(AG$7:AG156)</f>
        <v>28662</v>
      </c>
      <c r="AL156" s="130">
        <f ca="1">SUM(AH$7:AH156)</f>
        <v>7559866</v>
      </c>
      <c r="AM156" s="133">
        <f>IF(M156=0,0,INDEX(关卡产出!$AU$11:$AU$15,MATCH(玩家节奏2!N156,关卡产出!$AW$11:$AW$15,1))*M156)</f>
        <v>61000</v>
      </c>
      <c r="AN156" s="126">
        <f>IF(L156=0,0,$L156*关卡产出!AU$21)</f>
        <v>16000</v>
      </c>
      <c r="AO156" s="90">
        <f>IF(M156=0,0,$L156*关卡产出!AV$21)</f>
        <v>800</v>
      </c>
      <c r="AP156" s="129">
        <f>IF(N156=0,0,$L156*关卡产出!AW$21)</f>
        <v>16</v>
      </c>
      <c r="AQ156" s="138">
        <f>SUM(AN$7:AN156)</f>
        <v>2352000</v>
      </c>
      <c r="AR156" s="126">
        <f>SUM(AO$7:AO156)</f>
        <v>117600</v>
      </c>
      <c r="AS156" s="129">
        <f>SUM(AP$7:AP156)</f>
        <v>2352</v>
      </c>
      <c r="AT156" s="128">
        <v>3000</v>
      </c>
      <c r="AU156" s="129">
        <v>600</v>
      </c>
      <c r="AV156" s="128">
        <f>SUM(AT$7:AT156)</f>
        <v>450000</v>
      </c>
      <c r="AW156" s="90">
        <f>SUM(AU$7:AU156)</f>
        <v>90000</v>
      </c>
      <c r="AY156" s="128">
        <f t="shared" si="155"/>
        <v>38500</v>
      </c>
      <c r="AZ156" s="90">
        <f t="shared" si="156"/>
        <v>117600</v>
      </c>
      <c r="BA156" s="90">
        <f t="shared" si="157"/>
        <v>90000</v>
      </c>
      <c r="BB156" s="90">
        <f t="shared" ca="1" si="185"/>
        <v>40800</v>
      </c>
      <c r="BC156" s="90">
        <f t="shared" ca="1" si="187"/>
        <v>145625</v>
      </c>
      <c r="BD156" s="90">
        <f t="shared" ca="1" si="188"/>
        <v>141275</v>
      </c>
      <c r="BE156" s="90">
        <f t="shared" ca="1" si="158"/>
        <v>286900</v>
      </c>
      <c r="BF156" s="142">
        <f t="shared" ca="1" si="139"/>
        <v>0.26437768240343346</v>
      </c>
      <c r="BG156" s="142">
        <f t="shared" ca="1" si="140"/>
        <v>0.80755364806866958</v>
      </c>
      <c r="BH156" s="142">
        <f t="shared" ca="1" si="141"/>
        <v>0.61802575107296143</v>
      </c>
      <c r="BI156" s="142">
        <f t="shared" ca="1" si="159"/>
        <v>0.28017167381974251</v>
      </c>
      <c r="BJ156" s="143"/>
      <c r="BK156" s="128">
        <f ca="1">INDEX(商城宝箱!$L:$L,MATCH(BC156,商城宝箱!$N:$N,1))</f>
        <v>13</v>
      </c>
      <c r="BL156" s="90">
        <f ca="1">_xlfn.IFNA(INDEX(商城宝箱!T:T,MATCH(玩家节奏2!$BK156,商城宝箱!$L:$L,0)),0)+($BC156-INDEX(商城宝箱!$N:$N,MATCH(玩家节奏2!$BK156,商城宝箱!$L:$L,0)))/$BK$5*INDEX(商城宝箱!E$23:E$42,MATCH(玩家节奏2!$BK156+1,商城宝箱!$C$23:$C$42,0))</f>
        <v>364062.5</v>
      </c>
      <c r="BM156" s="90">
        <f ca="1">_xlfn.IFNA(INDEX(商城宝箱!U:U,MATCH(玩家节奏2!$BK156,商城宝箱!$L:$L,0)),0)+($BC156-INDEX(商城宝箱!$N:$N,MATCH(玩家节奏2!$BK156,商城宝箱!$L:$L,0)))/$BK$5*INDEX(商城宝箱!F$23:F$42,MATCH(玩家节奏2!$BK156+1,商城宝箱!$C$23:$C$42,0))</f>
        <v>439730</v>
      </c>
      <c r="BN156" s="90">
        <f ca="1">_xlfn.IFNA(INDEX(商城宝箱!V:V,MATCH(玩家节奏2!$BK156,商城宝箱!$L:$L,0)),0)+($BC156-INDEX(商城宝箱!$N:$N,MATCH(玩家节奏2!$BK156,商城宝箱!$L:$L,0)))/$BK$5*INDEX(商城宝箱!G$23:G$42,MATCH(玩家节奏2!$BK156+1,商城宝箱!$C$23:$C$42,0))</f>
        <v>220318.25</v>
      </c>
      <c r="BO156" s="90">
        <f ca="1">_xlfn.IFNA(INDEX(商城宝箱!W:W,MATCH(玩家节奏2!$BK156,商城宝箱!$L:$L,0)),0)+($BC156-INDEX(商城宝箱!$N:$N,MATCH(玩家节奏2!$BK156,商城宝箱!$L:$L,0)))/$BK$5*INDEX(商城宝箱!H$23:H$42,MATCH(玩家节奏2!$BK156+1,商城宝箱!$C$23:$C$42,0))</f>
        <v>35841.5</v>
      </c>
      <c r="BQ156" s="128">
        <f t="shared" si="143"/>
        <v>11610000</v>
      </c>
      <c r="BR156" s="90">
        <f t="shared" si="144"/>
        <v>4193530</v>
      </c>
      <c r="BS156" s="90">
        <f t="shared" ca="1" si="145"/>
        <v>7559866</v>
      </c>
      <c r="BT156" s="90">
        <f t="shared" si="146"/>
        <v>61000</v>
      </c>
      <c r="BU156" s="90">
        <f t="shared" si="147"/>
        <v>2352000</v>
      </c>
      <c r="BV156" s="90">
        <f t="shared" si="148"/>
        <v>450000</v>
      </c>
      <c r="BW156" s="90">
        <f t="shared" ca="1" si="160"/>
        <v>364062.5</v>
      </c>
      <c r="BX156" s="90">
        <f t="shared" ca="1" si="161"/>
        <v>26590458.5</v>
      </c>
      <c r="BY156" s="142">
        <f t="shared" ca="1" si="138"/>
        <v>0.43662278331906162</v>
      </c>
      <c r="BZ156" s="142">
        <f t="shared" ca="1" si="138"/>
        <v>0.15770807411989529</v>
      </c>
      <c r="CA156" s="142">
        <f t="shared" ca="1" si="138"/>
        <v>0.28430747066659268</v>
      </c>
      <c r="CB156" s="142">
        <f t="shared" ca="1" si="138"/>
        <v>2.294055967481719E-3</v>
      </c>
      <c r="CC156" s="142">
        <f t="shared" ca="1" si="138"/>
        <v>8.8452780910114812E-2</v>
      </c>
      <c r="CD156" s="142">
        <f t="shared" ca="1" si="138"/>
        <v>1.6923363694537272E-2</v>
      </c>
      <c r="CE156" s="142">
        <f t="shared" ca="1" si="138"/>
        <v>1.3691471322316613E-2</v>
      </c>
      <c r="CG156" s="128">
        <f t="shared" si="162"/>
        <v>200</v>
      </c>
      <c r="CH156" s="90">
        <f ca="1">INDEX(角色升级!$A:$A,MATCH(玩家节奏2!$BX156,角色升级!$J:$J,1))</f>
        <v>1047</v>
      </c>
      <c r="CI156" s="90">
        <f ca="1">INDEX(角色升级!$O:$O,MATCH(玩家节奏2!$BX156,角色升级!$J:$J,1))</f>
        <v>99294.156750000009</v>
      </c>
      <c r="CJ156" s="90">
        <f>INDEX(关卡对比!$J:$J,MATCH(玩家节奏2!N156,关卡对比!$A:$A,0))</f>
        <v>86200</v>
      </c>
      <c r="CK156" s="147">
        <f t="shared" ca="1" si="163"/>
        <v>0.8681276202086281</v>
      </c>
      <c r="CL156" s="128">
        <f ca="1">INDEX(角色升级!$P:$P,MATCH(玩家节奏2!$CH156,角色升级!$A:$A,0))</f>
        <v>40800</v>
      </c>
      <c r="CM156" s="90">
        <f ca="1">INDEX(角色升级!Q:Q,MATCH(玩家节奏2!$CH156,角色升级!$A:$A,0))</f>
        <v>2.2000000000000002</v>
      </c>
      <c r="CO156" s="128">
        <f t="shared" si="164"/>
        <v>78866</v>
      </c>
      <c r="CP156" s="90">
        <f t="shared" si="165"/>
        <v>321070</v>
      </c>
      <c r="CQ156" s="90">
        <f t="shared" si="166"/>
        <v>105196</v>
      </c>
      <c r="CR156" s="90">
        <f t="shared" ca="1" si="167"/>
        <v>439730</v>
      </c>
      <c r="CS156" s="90">
        <f t="shared" ca="1" si="168"/>
        <v>944862</v>
      </c>
      <c r="CT156" s="142">
        <f t="shared" ca="1" si="169"/>
        <v>8.3468273673827503E-2</v>
      </c>
      <c r="CU156" s="142">
        <f t="shared" ca="1" si="169"/>
        <v>0.33980623625460649</v>
      </c>
      <c r="CV156" s="142">
        <f t="shared" ca="1" si="169"/>
        <v>0.11133477693038772</v>
      </c>
      <c r="CW156" s="142">
        <f t="shared" ca="1" si="149"/>
        <v>0.4653907131411783</v>
      </c>
      <c r="CY156" s="128">
        <f t="shared" si="170"/>
        <v>39434</v>
      </c>
      <c r="CZ156" s="90">
        <f t="shared" si="171"/>
        <v>160371</v>
      </c>
      <c r="DA156" s="90">
        <f t="shared" si="172"/>
        <v>73032</v>
      </c>
      <c r="DB156" s="90">
        <f t="shared" ca="1" si="186"/>
        <v>220318.25</v>
      </c>
      <c r="DC156" s="90">
        <f t="shared" ca="1" si="173"/>
        <v>493155.25</v>
      </c>
      <c r="DD156" s="142">
        <f t="shared" ca="1" si="174"/>
        <v>7.9962648679092432E-2</v>
      </c>
      <c r="DE156" s="142">
        <f t="shared" ca="1" si="174"/>
        <v>0.3251937396996179</v>
      </c>
      <c r="DF156" s="142">
        <f t="shared" ca="1" si="174"/>
        <v>0.14809129579376878</v>
      </c>
      <c r="DG156" s="142">
        <f t="shared" ca="1" si="150"/>
        <v>0.44675231582752084</v>
      </c>
      <c r="DI156" s="128">
        <f t="shared" si="175"/>
        <v>19113</v>
      </c>
      <c r="DJ156" s="90">
        <f t="shared" si="176"/>
        <v>78947</v>
      </c>
      <c r="DK156" s="90">
        <f t="shared" si="177"/>
        <v>28662</v>
      </c>
      <c r="DL156" s="90">
        <f t="shared" ca="1" si="178"/>
        <v>35841.5</v>
      </c>
      <c r="DM156" s="90">
        <f t="shared" ca="1" si="179"/>
        <v>162563.5</v>
      </c>
      <c r="DN156" s="142">
        <f t="shared" ca="1" si="180"/>
        <v>0.11757251781611493</v>
      </c>
      <c r="DO156" s="142">
        <f t="shared" ca="1" si="180"/>
        <v>0.48563791995128058</v>
      </c>
      <c r="DP156" s="142">
        <f t="shared" ca="1" si="180"/>
        <v>0.17631264090647655</v>
      </c>
      <c r="DQ156" s="142">
        <f t="shared" ca="1" si="151"/>
        <v>0.22047692132612795</v>
      </c>
      <c r="DS156" s="128">
        <f t="shared" ca="1" si="181"/>
        <v>944862</v>
      </c>
      <c r="DT156" s="90">
        <f t="shared" ca="1" si="182"/>
        <v>493155.25</v>
      </c>
      <c r="DU156" s="90">
        <f t="shared" ca="1" si="183"/>
        <v>162563.5</v>
      </c>
      <c r="DV156" s="90">
        <f t="shared" si="184"/>
        <v>2352</v>
      </c>
      <c r="DW156" s="90">
        <f ca="1">_xlfn.IFNA(INDEX(武器升级消耗!$H:$H,MATCH(玩家节奏2!DS156/玩家节奏2!DS$5,武器升级消耗!M:M,1)),0)</f>
        <v>84</v>
      </c>
      <c r="DX156" s="90">
        <f ca="1">_xlfn.IFNA(INDEX(武器升级消耗!$H:$H,MATCH(玩家节奏2!DT156/玩家节奏2!DT$5,武器升级消耗!N:N,1)),0)</f>
        <v>73</v>
      </c>
      <c r="DY156" s="90">
        <f ca="1">_xlfn.IFNA(INDEX(武器升级消耗!$H:$H,MATCH(玩家节奏2!DU156/玩家节奏2!DU$5,武器升级消耗!O:O,1)),0)</f>
        <v>55</v>
      </c>
      <c r="DZ156" s="90">
        <f>_xlfn.IFNA(INDEX(武器升级消耗!$H:$H,MATCH(玩家节奏2!DV156/玩家节奏2!DV$5,武器升级消耗!P:P,1)),0)</f>
        <v>35</v>
      </c>
      <c r="EA156" s="90">
        <f ca="1">_xlfn.IFNA(INDEX(武器升级消耗!$Q:$Q,MATCH(玩家节奏2!DW156,武器升级消耗!$H:$H,0))*2*EA$4,0)</f>
        <v>10.559999999999988</v>
      </c>
      <c r="EB156" s="90">
        <f ca="1">_xlfn.IFNA(INDEX(武器升级消耗!$Q:$Q,MATCH(玩家节奏2!DX156,武器升级消耗!$H:$H,0))*2*EB$4,0)</f>
        <v>11.549999999999986</v>
      </c>
      <c r="EC156" s="90">
        <f ca="1">_xlfn.IFNA(INDEX(武器升级消耗!$Q:$Q,MATCH(玩家节奏2!DY156,武器升级消耗!$H:$H,0))*2*EC$4,0)</f>
        <v>12.980000000000002</v>
      </c>
      <c r="ED156" s="90">
        <f>_xlfn.IFNA(INDEX(武器升级消耗!$Q:$Q,MATCH(玩家节奏2!DZ156,武器升级消耗!$H:$H,0))*2*ED$4,0)</f>
        <v>11.7</v>
      </c>
    </row>
    <row r="157" spans="1:134" x14ac:dyDescent="0.25">
      <c r="A157" s="123">
        <v>151</v>
      </c>
      <c r="B157" s="123">
        <f>INDEX(关卡对比!$Y:$Y,MATCH(关卡对比!Z157,关卡对比!$AA:$AA,1))</f>
        <v>89</v>
      </c>
      <c r="C157" s="124">
        <f>INDEX(关卡对比!$Y:$Y,MATCH(关卡对比!Z157,关卡对比!$AB:$AB,1))</f>
        <v>68</v>
      </c>
      <c r="D157" s="125">
        <f t="shared" si="189"/>
        <v>585.5</v>
      </c>
      <c r="E157" s="125">
        <v>2</v>
      </c>
      <c r="F157" s="128">
        <v>16</v>
      </c>
      <c r="G157" s="90">
        <v>16</v>
      </c>
      <c r="H157" s="90">
        <v>5</v>
      </c>
      <c r="J157" s="128">
        <v>151</v>
      </c>
      <c r="K157" s="90">
        <f t="shared" si="152"/>
        <v>16</v>
      </c>
      <c r="L157" s="90">
        <f t="shared" si="153"/>
        <v>16</v>
      </c>
      <c r="M157" s="90">
        <f t="shared" si="154"/>
        <v>5</v>
      </c>
      <c r="N157" s="140">
        <f>INDEX($A:$A,MATCH(SUM($K$7:K157),$D:$D,1))</f>
        <v>200</v>
      </c>
      <c r="O157" s="140">
        <v>0</v>
      </c>
      <c r="P157" s="141">
        <v>0</v>
      </c>
      <c r="Q157" s="126">
        <f>_xlfn.MAXIFS(关卡产出!X:X,关卡产出!$A:$A,玩家节奏2!$N$6,关卡产出!$B:$B,玩家节奏2!$N157)+_xlfn.MAXIFS(关卡产出!X:X,关卡产出!$A:$A,玩家节奏2!$O$6,关卡产出!$B:$B,玩家节奏2!$O157)+_xlfn.MAXIFS(关卡产出!X:X,关卡产出!$A:$A,玩家节奏2!$P$6,关卡产出!$B:$B,玩家节奏2!$P157)</f>
        <v>38500</v>
      </c>
      <c r="R157" s="90">
        <f>_xlfn.MAXIFS(关卡产出!Y:Y,关卡产出!$A:$A,玩家节奏2!$N$6,关卡产出!$B:$B,玩家节奏2!$N157)+_xlfn.MAXIFS(关卡产出!Y:Y,关卡产出!$A:$A,玩家节奏2!$O$6,关卡产出!$B:$B,玩家节奏2!$O157)+_xlfn.MAXIFS(关卡产出!Y:Y,关卡产出!$A:$A,玩家节奏2!$P$6,关卡产出!$B:$B,玩家节奏2!$P157)</f>
        <v>11610000</v>
      </c>
      <c r="S157" s="90">
        <f>_xlfn.MAXIFS(关卡产出!Z:Z,关卡产出!$A:$A,玩家节奏2!$N$6,关卡产出!$B:$B,玩家节奏2!$N157)+_xlfn.MAXIFS(关卡产出!Z:Z,关卡产出!$A:$A,玩家节奏2!$O$6,关卡产出!$B:$B,玩家节奏2!$O157)+_xlfn.MAXIFS(关卡产出!Z:Z,关卡产出!$A:$A,玩家节奏2!$P$6,关卡产出!$B:$B,玩家节奏2!$P157)</f>
        <v>78866</v>
      </c>
      <c r="T157" s="90">
        <f>_xlfn.MAXIFS(关卡产出!AA:AA,关卡产出!$A:$A,玩家节奏2!$N$6,关卡产出!$B:$B,玩家节奏2!$N157)+_xlfn.MAXIFS(关卡产出!AA:AA,关卡产出!$A:$A,玩家节奏2!$O$6,关卡产出!$B:$B,玩家节奏2!$O157)+_xlfn.MAXIFS(关卡产出!AA:AA,关卡产出!$A:$A,玩家节奏2!$P$6,关卡产出!$B:$B,玩家节奏2!$P157)</f>
        <v>39434</v>
      </c>
      <c r="U157" s="90">
        <f>_xlfn.MAXIFS(关卡产出!AB:AB,关卡产出!$A:$A,玩家节奏2!$N$6,关卡产出!$B:$B,玩家节奏2!$N157)+_xlfn.MAXIFS(关卡产出!AB:AB,关卡产出!$A:$A,玩家节奏2!$O$6,关卡产出!$B:$B,玩家节奏2!$O157)+_xlfn.MAXIFS(关卡产出!AB:AB,关卡产出!$A:$A,玩家节奏2!$P$6,关卡产出!$B:$B,玩家节奏2!$P157)</f>
        <v>19113</v>
      </c>
      <c r="V157" s="130">
        <f>_xlfn.MAXIFS(关卡产出!AC:AC,关卡产出!$A:$A,玩家节奏2!$N$6,关卡产出!$B:$B,玩家节奏2!$N157)+_xlfn.MAXIFS(关卡产出!AC:AC,关卡产出!$A:$A,玩家节奏2!$O$6,关卡产出!$B:$B,玩家节奏2!$O157)+_xlfn.MAXIFS(关卡产出!AC:AC,关卡产出!$A:$A,玩家节奏2!$P$6,关卡产出!$B:$B,玩家节奏2!$P157)</f>
        <v>1200</v>
      </c>
      <c r="W157" s="126">
        <f>INDEX(关卡产出!C$8:C$207,MATCH(玩家节奏2!$N157,关卡产出!$B$8:$B$207,0))*$K157</f>
        <v>2528</v>
      </c>
      <c r="X157" s="126">
        <f>INDEX(关卡产出!D$8:D$207,MATCH(玩家节奏2!$N157,关卡产出!$B$8:$B$207,0))*$K157</f>
        <v>1264</v>
      </c>
      <c r="Y157" s="126">
        <f>INDEX(关卡产出!E$8:E$207,MATCH(玩家节奏2!$N157,关卡产出!$B$8:$B$207,0))*$K157</f>
        <v>624</v>
      </c>
      <c r="Z157" s="144">
        <f>INDEX(关卡产出!F$8:F$207,MATCH(玩家节奏2!$N157,关卡产出!$B$8:$B$207,0))*$K157</f>
        <v>32800</v>
      </c>
      <c r="AA157" s="126">
        <f>SUM(W$7:W157)</f>
        <v>323598</v>
      </c>
      <c r="AB157" s="126">
        <f>SUM(X$7:X157)</f>
        <v>161635</v>
      </c>
      <c r="AC157" s="126">
        <f>SUM(Y$7:Y157)</f>
        <v>79571</v>
      </c>
      <c r="AD157" s="177">
        <f>SUM(Z$7:Z157)</f>
        <v>4226330</v>
      </c>
      <c r="AE157" s="128">
        <f>INDEX(图鉴!AQ:AQ,MATCH($N157,图鉴!$S:$S,0))*34</f>
        <v>714</v>
      </c>
      <c r="AF157" s="90">
        <f>INDEX(图鉴!AR:AR,MATCH($N157,图鉴!$S:$S,0))*34</f>
        <v>510</v>
      </c>
      <c r="AG157" s="90">
        <f>INDEX(图鉴!AS:AS,MATCH($N157,图鉴!$S:$S,0))*34</f>
        <v>204</v>
      </c>
      <c r="AH157" s="129">
        <f ca="1">INDEX(图鉴!AT:AT,MATCH($N157,图鉴!$S:$S,0))*34</f>
        <v>55930</v>
      </c>
      <c r="AI157" s="128">
        <f>SUM($AE$7:AE157)</f>
        <v>105910</v>
      </c>
      <c r="AJ157" s="90">
        <f>SUM(AF$7:AF157)</f>
        <v>73542</v>
      </c>
      <c r="AK157" s="90">
        <f>SUM(AG$7:AG157)</f>
        <v>28866</v>
      </c>
      <c r="AL157" s="130">
        <f ca="1">SUM(AH$7:AH157)</f>
        <v>7615796</v>
      </c>
      <c r="AM157" s="133">
        <f>IF(M157=0,0,INDEX(关卡产出!$AU$11:$AU$15,MATCH(玩家节奏2!N157,关卡产出!$AW$11:$AW$15,1))*M157)</f>
        <v>61000</v>
      </c>
      <c r="AN157" s="126">
        <f>IF(L157=0,0,$L157*关卡产出!AU$21)</f>
        <v>16000</v>
      </c>
      <c r="AO157" s="90">
        <f>IF(M157=0,0,$L157*关卡产出!AV$21)</f>
        <v>800</v>
      </c>
      <c r="AP157" s="129">
        <f>IF(N157=0,0,$L157*关卡产出!AW$21)</f>
        <v>16</v>
      </c>
      <c r="AQ157" s="138">
        <f>SUM(AN$7:AN157)</f>
        <v>2368000</v>
      </c>
      <c r="AR157" s="126">
        <f>SUM(AO$7:AO157)</f>
        <v>118400</v>
      </c>
      <c r="AS157" s="129">
        <f>SUM(AP$7:AP157)</f>
        <v>2368</v>
      </c>
      <c r="AT157" s="128">
        <v>3000</v>
      </c>
      <c r="AU157" s="129">
        <v>600</v>
      </c>
      <c r="AV157" s="128">
        <f>SUM(AT$7:AT157)</f>
        <v>453000</v>
      </c>
      <c r="AW157" s="90">
        <f>SUM(AU$7:AU157)</f>
        <v>90600</v>
      </c>
      <c r="AY157" s="128">
        <f t="shared" si="155"/>
        <v>38500</v>
      </c>
      <c r="AZ157" s="90">
        <f t="shared" si="156"/>
        <v>118400</v>
      </c>
      <c r="BA157" s="90">
        <f t="shared" si="157"/>
        <v>90600</v>
      </c>
      <c r="BB157" s="90">
        <f t="shared" ca="1" si="185"/>
        <v>40800</v>
      </c>
      <c r="BC157" s="90">
        <f t="shared" ca="1" si="187"/>
        <v>146325</v>
      </c>
      <c r="BD157" s="90">
        <f t="shared" ca="1" si="188"/>
        <v>141975</v>
      </c>
      <c r="BE157" s="90">
        <f t="shared" ca="1" si="158"/>
        <v>288300</v>
      </c>
      <c r="BF157" s="142">
        <f t="shared" ca="1" si="139"/>
        <v>0.26311293353835641</v>
      </c>
      <c r="BG157" s="142">
        <f t="shared" ca="1" si="140"/>
        <v>0.80915769690756878</v>
      </c>
      <c r="BH157" s="142">
        <f t="shared" ca="1" si="141"/>
        <v>0.61916965658636591</v>
      </c>
      <c r="BI157" s="142">
        <f t="shared" ca="1" si="159"/>
        <v>0.27883136852895951</v>
      </c>
      <c r="BJ157" s="143"/>
      <c r="BK157" s="128">
        <f ca="1">INDEX(商城宝箱!$L:$L,MATCH(BC157,商城宝箱!$N:$N,1))</f>
        <v>13</v>
      </c>
      <c r="BL157" s="90">
        <f ca="1">_xlfn.IFNA(INDEX(商城宝箱!T:T,MATCH(玩家节奏2!$BK157,商城宝箱!$L:$L,0)),0)+($BC157-INDEX(商城宝箱!$N:$N,MATCH(玩家节奏2!$BK157,商城宝箱!$L:$L,0)))/$BK$5*INDEX(商城宝箱!E$23:E$42,MATCH(玩家节奏2!$BK157+1,商城宝箱!$C$23:$C$42,0))</f>
        <v>365812.5</v>
      </c>
      <c r="BM157" s="90">
        <f ca="1">_xlfn.IFNA(INDEX(商城宝箱!U:U,MATCH(玩家节奏2!$BK157,商城宝箱!$L:$L,0)),0)+($BC157-INDEX(商城宝箱!$N:$N,MATCH(玩家节奏2!$BK157,商城宝箱!$L:$L,0)))/$BK$5*INDEX(商城宝箱!F$23:F$42,MATCH(玩家节奏2!$BK157+1,商城宝箱!$C$23:$C$42,0))</f>
        <v>443020</v>
      </c>
      <c r="BN157" s="90">
        <f ca="1">_xlfn.IFNA(INDEX(商城宝箱!V:V,MATCH(玩家节奏2!$BK157,商城宝箱!$L:$L,0)),0)+($BC157-INDEX(商城宝箱!$N:$N,MATCH(玩家节奏2!$BK157,商城宝箱!$L:$L,0)))/$BK$5*INDEX(商城宝箱!G$23:G$42,MATCH(玩家节奏2!$BK157+1,商城宝箱!$C$23:$C$42,0))</f>
        <v>221893.25</v>
      </c>
      <c r="BO157" s="90">
        <f ca="1">_xlfn.IFNA(INDEX(商城宝箱!W:W,MATCH(玩家节奏2!$BK157,商城宝箱!$L:$L,0)),0)+($BC157-INDEX(商城宝箱!$N:$N,MATCH(玩家节奏2!$BK157,商城宝箱!$L:$L,0)))/$BK$5*INDEX(商城宝箱!H$23:H$42,MATCH(玩家节奏2!$BK157+1,商城宝箱!$C$23:$C$42,0))</f>
        <v>36121.5</v>
      </c>
      <c r="BQ157" s="128">
        <f t="shared" si="143"/>
        <v>11610000</v>
      </c>
      <c r="BR157" s="90">
        <f t="shared" si="144"/>
        <v>4226330</v>
      </c>
      <c r="BS157" s="90">
        <f t="shared" ca="1" si="145"/>
        <v>7615796</v>
      </c>
      <c r="BT157" s="90">
        <f t="shared" si="146"/>
        <v>61000</v>
      </c>
      <c r="BU157" s="90">
        <f t="shared" si="147"/>
        <v>2368000</v>
      </c>
      <c r="BV157" s="90">
        <f t="shared" si="148"/>
        <v>453000</v>
      </c>
      <c r="BW157" s="90">
        <f t="shared" ca="1" si="160"/>
        <v>365812.5</v>
      </c>
      <c r="BX157" s="90">
        <f t="shared" ca="1" si="161"/>
        <v>26699938.5</v>
      </c>
      <c r="BY157" s="142">
        <f t="shared" ca="1" si="138"/>
        <v>0.43483246225454791</v>
      </c>
      <c r="BZ157" s="142">
        <f t="shared" ca="1" si="138"/>
        <v>0.15828987770889436</v>
      </c>
      <c r="CA157" s="142">
        <f t="shared" ca="1" si="138"/>
        <v>0.28523646224878008</v>
      </c>
      <c r="CB157" s="142">
        <f t="shared" ca="1" si="138"/>
        <v>2.2846494571513712E-3</v>
      </c>
      <c r="CC157" s="142">
        <f t="shared" ca="1" si="138"/>
        <v>8.8689342861220447E-2</v>
      </c>
      <c r="CD157" s="142">
        <f t="shared" ca="1" si="138"/>
        <v>1.6966331214583134E-2</v>
      </c>
      <c r="CE157" s="142">
        <f t="shared" ca="1" si="138"/>
        <v>1.3700874254822722E-2</v>
      </c>
      <c r="CG157" s="128">
        <f t="shared" si="162"/>
        <v>200</v>
      </c>
      <c r="CH157" s="90">
        <f ca="1">INDEX(角色升级!$A:$A,MATCH(玩家节奏2!$BX157,角色升级!$J:$J,1))</f>
        <v>1047</v>
      </c>
      <c r="CI157" s="90">
        <f ca="1">INDEX(角色升级!$O:$O,MATCH(玩家节奏2!$BX157,角色升级!$J:$J,1))</f>
        <v>99294.156750000009</v>
      </c>
      <c r="CJ157" s="90">
        <f>INDEX(关卡对比!$J:$J,MATCH(玩家节奏2!N157,关卡对比!$A:$A,0))</f>
        <v>86200</v>
      </c>
      <c r="CK157" s="147">
        <f t="shared" ca="1" si="163"/>
        <v>0.8681276202086281</v>
      </c>
      <c r="CL157" s="128">
        <f ca="1">INDEX(角色升级!$P:$P,MATCH(玩家节奏2!$CH157,角色升级!$A:$A,0))</f>
        <v>40800</v>
      </c>
      <c r="CM157" s="90">
        <f ca="1">INDEX(角色升级!Q:Q,MATCH(玩家节奏2!$CH157,角色升级!$A:$A,0))</f>
        <v>2.2000000000000002</v>
      </c>
      <c r="CO157" s="128">
        <f t="shared" si="164"/>
        <v>78866</v>
      </c>
      <c r="CP157" s="90">
        <f t="shared" si="165"/>
        <v>323598</v>
      </c>
      <c r="CQ157" s="90">
        <f t="shared" si="166"/>
        <v>105910</v>
      </c>
      <c r="CR157" s="90">
        <f t="shared" ca="1" si="167"/>
        <v>443020</v>
      </c>
      <c r="CS157" s="90">
        <f t="shared" ca="1" si="168"/>
        <v>951394</v>
      </c>
      <c r="CT157" s="142">
        <f t="shared" ca="1" si="169"/>
        <v>8.289520430021631E-2</v>
      </c>
      <c r="CU157" s="142">
        <f t="shared" ca="1" si="169"/>
        <v>0.34013037710979888</v>
      </c>
      <c r="CV157" s="142">
        <f t="shared" ca="1" si="169"/>
        <v>0.11132086180909276</v>
      </c>
      <c r="CW157" s="142">
        <f t="shared" ca="1" si="149"/>
        <v>0.46565355678089204</v>
      </c>
      <c r="CY157" s="128">
        <f t="shared" si="170"/>
        <v>39434</v>
      </c>
      <c r="CZ157" s="90">
        <f t="shared" si="171"/>
        <v>161635</v>
      </c>
      <c r="DA157" s="90">
        <f t="shared" si="172"/>
        <v>73542</v>
      </c>
      <c r="DB157" s="90">
        <f t="shared" ca="1" si="186"/>
        <v>221893.25</v>
      </c>
      <c r="DC157" s="90">
        <f t="shared" ca="1" si="173"/>
        <v>496504.25</v>
      </c>
      <c r="DD157" s="142">
        <f t="shared" ca="1" si="174"/>
        <v>7.9423287917475022E-2</v>
      </c>
      <c r="DE157" s="142">
        <f t="shared" ca="1" si="174"/>
        <v>0.32554605524524716</v>
      </c>
      <c r="DF157" s="142">
        <f t="shared" ca="1" si="174"/>
        <v>0.14811957802979531</v>
      </c>
      <c r="DG157" s="142">
        <f t="shared" ca="1" si="150"/>
        <v>0.44691107880748249</v>
      </c>
      <c r="DI157" s="128">
        <f t="shared" si="175"/>
        <v>19113</v>
      </c>
      <c r="DJ157" s="90">
        <f t="shared" si="176"/>
        <v>79571</v>
      </c>
      <c r="DK157" s="90">
        <f t="shared" si="177"/>
        <v>28866</v>
      </c>
      <c r="DL157" s="90">
        <f t="shared" ca="1" si="178"/>
        <v>36121.5</v>
      </c>
      <c r="DM157" s="90">
        <f t="shared" ca="1" si="179"/>
        <v>163671.5</v>
      </c>
      <c r="DN157" s="142">
        <f t="shared" ca="1" si="180"/>
        <v>0.11677659213729941</v>
      </c>
      <c r="DO157" s="142">
        <f t="shared" ca="1" si="180"/>
        <v>0.48616283225851781</v>
      </c>
      <c r="DP157" s="142">
        <f t="shared" ca="1" si="180"/>
        <v>0.17636546374903389</v>
      </c>
      <c r="DQ157" s="142">
        <f t="shared" ca="1" si="151"/>
        <v>0.22069511185514887</v>
      </c>
      <c r="DS157" s="128">
        <f t="shared" ca="1" si="181"/>
        <v>951394</v>
      </c>
      <c r="DT157" s="90">
        <f t="shared" ca="1" si="182"/>
        <v>496504.25</v>
      </c>
      <c r="DU157" s="90">
        <f t="shared" ca="1" si="183"/>
        <v>163671.5</v>
      </c>
      <c r="DV157" s="90">
        <f t="shared" si="184"/>
        <v>2368</v>
      </c>
      <c r="DW157" s="90">
        <f ca="1">_xlfn.IFNA(INDEX(武器升级消耗!$H:$H,MATCH(玩家节奏2!DS157/玩家节奏2!DS$5,武器升级消耗!M:M,1)),0)</f>
        <v>84</v>
      </c>
      <c r="DX157" s="90">
        <f ca="1">_xlfn.IFNA(INDEX(武器升级消耗!$H:$H,MATCH(玩家节奏2!DT157/玩家节奏2!DT$5,武器升级消耗!N:N,1)),0)</f>
        <v>74</v>
      </c>
      <c r="DY157" s="90">
        <f ca="1">_xlfn.IFNA(INDEX(武器升级消耗!$H:$H,MATCH(玩家节奏2!DU157/玩家节奏2!DU$5,武器升级消耗!O:O,1)),0)</f>
        <v>56</v>
      </c>
      <c r="DZ157" s="90">
        <f>_xlfn.IFNA(INDEX(武器升级消耗!$H:$H,MATCH(玩家节奏2!DV157/玩家节奏2!DV$5,武器升级消耗!P:P,1)),0)</f>
        <v>35</v>
      </c>
      <c r="EA157" s="90">
        <f ca="1">_xlfn.IFNA(INDEX(武器升级消耗!$Q:$Q,MATCH(玩家节奏2!DW157,武器升级消耗!$H:$H,0))*2*EA$4,0)</f>
        <v>10.559999999999988</v>
      </c>
      <c r="EB157" s="90">
        <f ca="1">_xlfn.IFNA(INDEX(武器升级消耗!$Q:$Q,MATCH(玩家节奏2!DX157,武器升级消耗!$H:$H,0))*2*EB$4,0)</f>
        <v>11.699999999999985</v>
      </c>
      <c r="EC157" s="90">
        <f ca="1">_xlfn.IFNA(INDEX(武器升级消耗!$Q:$Q,MATCH(玩家节奏2!DY157,武器升级消耗!$H:$H,0))*2*EC$4,0)</f>
        <v>13.200000000000001</v>
      </c>
      <c r="ED157" s="90">
        <f>_xlfn.IFNA(INDEX(武器升级消耗!$Q:$Q,MATCH(玩家节奏2!DZ157,武器升级消耗!$H:$H,0))*2*ED$4,0)</f>
        <v>11.7</v>
      </c>
    </row>
    <row r="158" spans="1:134" x14ac:dyDescent="0.25">
      <c r="A158" s="123">
        <v>152</v>
      </c>
      <c r="B158" s="123">
        <f>INDEX(关卡对比!$Y:$Y,MATCH(关卡对比!Z158,关卡对比!$AA:$AA,1))</f>
        <v>89</v>
      </c>
      <c r="C158" s="124">
        <f>INDEX(关卡对比!$Y:$Y,MATCH(关卡对比!Z158,关卡对比!$AB:$AB,1))</f>
        <v>69</v>
      </c>
      <c r="D158" s="125">
        <f t="shared" si="189"/>
        <v>589.5</v>
      </c>
      <c r="E158" s="125">
        <v>2</v>
      </c>
      <c r="F158" s="128">
        <v>16</v>
      </c>
      <c r="G158" s="90">
        <v>16</v>
      </c>
      <c r="H158" s="90">
        <v>5</v>
      </c>
      <c r="J158" s="128">
        <v>152</v>
      </c>
      <c r="K158" s="90">
        <f t="shared" si="152"/>
        <v>16</v>
      </c>
      <c r="L158" s="90">
        <f t="shared" si="153"/>
        <v>16</v>
      </c>
      <c r="M158" s="90">
        <f t="shared" si="154"/>
        <v>5</v>
      </c>
      <c r="N158" s="140">
        <f>INDEX($A:$A,MATCH(SUM($K$7:K158),$D:$D,1))</f>
        <v>200</v>
      </c>
      <c r="O158" s="140">
        <v>0</v>
      </c>
      <c r="P158" s="141">
        <v>0</v>
      </c>
      <c r="Q158" s="126">
        <f>_xlfn.MAXIFS(关卡产出!X:X,关卡产出!$A:$A,玩家节奏2!$N$6,关卡产出!$B:$B,玩家节奏2!$N158)+_xlfn.MAXIFS(关卡产出!X:X,关卡产出!$A:$A,玩家节奏2!$O$6,关卡产出!$B:$B,玩家节奏2!$O158)+_xlfn.MAXIFS(关卡产出!X:X,关卡产出!$A:$A,玩家节奏2!$P$6,关卡产出!$B:$B,玩家节奏2!$P158)</f>
        <v>38500</v>
      </c>
      <c r="R158" s="90">
        <f>_xlfn.MAXIFS(关卡产出!Y:Y,关卡产出!$A:$A,玩家节奏2!$N$6,关卡产出!$B:$B,玩家节奏2!$N158)+_xlfn.MAXIFS(关卡产出!Y:Y,关卡产出!$A:$A,玩家节奏2!$O$6,关卡产出!$B:$B,玩家节奏2!$O158)+_xlfn.MAXIFS(关卡产出!Y:Y,关卡产出!$A:$A,玩家节奏2!$P$6,关卡产出!$B:$B,玩家节奏2!$P158)</f>
        <v>11610000</v>
      </c>
      <c r="S158" s="90">
        <f>_xlfn.MAXIFS(关卡产出!Z:Z,关卡产出!$A:$A,玩家节奏2!$N$6,关卡产出!$B:$B,玩家节奏2!$N158)+_xlfn.MAXIFS(关卡产出!Z:Z,关卡产出!$A:$A,玩家节奏2!$O$6,关卡产出!$B:$B,玩家节奏2!$O158)+_xlfn.MAXIFS(关卡产出!Z:Z,关卡产出!$A:$A,玩家节奏2!$P$6,关卡产出!$B:$B,玩家节奏2!$P158)</f>
        <v>78866</v>
      </c>
      <c r="T158" s="90">
        <f>_xlfn.MAXIFS(关卡产出!AA:AA,关卡产出!$A:$A,玩家节奏2!$N$6,关卡产出!$B:$B,玩家节奏2!$N158)+_xlfn.MAXIFS(关卡产出!AA:AA,关卡产出!$A:$A,玩家节奏2!$O$6,关卡产出!$B:$B,玩家节奏2!$O158)+_xlfn.MAXIFS(关卡产出!AA:AA,关卡产出!$A:$A,玩家节奏2!$P$6,关卡产出!$B:$B,玩家节奏2!$P158)</f>
        <v>39434</v>
      </c>
      <c r="U158" s="90">
        <f>_xlfn.MAXIFS(关卡产出!AB:AB,关卡产出!$A:$A,玩家节奏2!$N$6,关卡产出!$B:$B,玩家节奏2!$N158)+_xlfn.MAXIFS(关卡产出!AB:AB,关卡产出!$A:$A,玩家节奏2!$O$6,关卡产出!$B:$B,玩家节奏2!$O158)+_xlfn.MAXIFS(关卡产出!AB:AB,关卡产出!$A:$A,玩家节奏2!$P$6,关卡产出!$B:$B,玩家节奏2!$P158)</f>
        <v>19113</v>
      </c>
      <c r="V158" s="130">
        <f>_xlfn.MAXIFS(关卡产出!AC:AC,关卡产出!$A:$A,玩家节奏2!$N$6,关卡产出!$B:$B,玩家节奏2!$N158)+_xlfn.MAXIFS(关卡产出!AC:AC,关卡产出!$A:$A,玩家节奏2!$O$6,关卡产出!$B:$B,玩家节奏2!$O158)+_xlfn.MAXIFS(关卡产出!AC:AC,关卡产出!$A:$A,玩家节奏2!$P$6,关卡产出!$B:$B,玩家节奏2!$P158)</f>
        <v>1200</v>
      </c>
      <c r="W158" s="126">
        <f>INDEX(关卡产出!C$8:C$207,MATCH(玩家节奏2!$N158,关卡产出!$B$8:$B$207,0))*$K158</f>
        <v>2528</v>
      </c>
      <c r="X158" s="126">
        <f>INDEX(关卡产出!D$8:D$207,MATCH(玩家节奏2!$N158,关卡产出!$B$8:$B$207,0))*$K158</f>
        <v>1264</v>
      </c>
      <c r="Y158" s="126">
        <f>INDEX(关卡产出!E$8:E$207,MATCH(玩家节奏2!$N158,关卡产出!$B$8:$B$207,0))*$K158</f>
        <v>624</v>
      </c>
      <c r="Z158" s="144">
        <f>INDEX(关卡产出!F$8:F$207,MATCH(玩家节奏2!$N158,关卡产出!$B$8:$B$207,0))*$K158</f>
        <v>32800</v>
      </c>
      <c r="AA158" s="126">
        <f>SUM(W$7:W158)</f>
        <v>326126</v>
      </c>
      <c r="AB158" s="126">
        <f>SUM(X$7:X158)</f>
        <v>162899</v>
      </c>
      <c r="AC158" s="126">
        <f>SUM(Y$7:Y158)</f>
        <v>80195</v>
      </c>
      <c r="AD158" s="177">
        <f>SUM(Z$7:Z158)</f>
        <v>4259130</v>
      </c>
      <c r="AE158" s="128">
        <f>INDEX(图鉴!AQ:AQ,MATCH($N158,图鉴!$S:$S,0))*34</f>
        <v>714</v>
      </c>
      <c r="AF158" s="90">
        <f>INDEX(图鉴!AR:AR,MATCH($N158,图鉴!$S:$S,0))*34</f>
        <v>510</v>
      </c>
      <c r="AG158" s="90">
        <f>INDEX(图鉴!AS:AS,MATCH($N158,图鉴!$S:$S,0))*34</f>
        <v>204</v>
      </c>
      <c r="AH158" s="129">
        <f ca="1">INDEX(图鉴!AT:AT,MATCH($N158,图鉴!$S:$S,0))*34</f>
        <v>55930</v>
      </c>
      <c r="AI158" s="128">
        <f>SUM($AE$7:AE158)</f>
        <v>106624</v>
      </c>
      <c r="AJ158" s="90">
        <f>SUM(AF$7:AF158)</f>
        <v>74052</v>
      </c>
      <c r="AK158" s="90">
        <f>SUM(AG$7:AG158)</f>
        <v>29070</v>
      </c>
      <c r="AL158" s="130">
        <f ca="1">SUM(AH$7:AH158)</f>
        <v>7671726</v>
      </c>
      <c r="AM158" s="133">
        <f>IF(M158=0,0,INDEX(关卡产出!$AU$11:$AU$15,MATCH(玩家节奏2!N158,关卡产出!$AW$11:$AW$15,1))*M158)</f>
        <v>61000</v>
      </c>
      <c r="AN158" s="126">
        <f>IF(L158=0,0,$L158*关卡产出!AU$21)</f>
        <v>16000</v>
      </c>
      <c r="AO158" s="90">
        <f>IF(M158=0,0,$L158*关卡产出!AV$21)</f>
        <v>800</v>
      </c>
      <c r="AP158" s="129">
        <f>IF(N158=0,0,$L158*关卡产出!AW$21)</f>
        <v>16</v>
      </c>
      <c r="AQ158" s="138">
        <f>SUM(AN$7:AN158)</f>
        <v>2384000</v>
      </c>
      <c r="AR158" s="126">
        <f>SUM(AO$7:AO158)</f>
        <v>119200</v>
      </c>
      <c r="AS158" s="129">
        <f>SUM(AP$7:AP158)</f>
        <v>2384</v>
      </c>
      <c r="AT158" s="128">
        <v>3000</v>
      </c>
      <c r="AU158" s="129">
        <v>600</v>
      </c>
      <c r="AV158" s="128">
        <f>SUM(AT$7:AT158)</f>
        <v>456000</v>
      </c>
      <c r="AW158" s="90">
        <f>SUM(AU$7:AU158)</f>
        <v>91200</v>
      </c>
      <c r="AY158" s="128">
        <f t="shared" si="155"/>
        <v>38500</v>
      </c>
      <c r="AZ158" s="90">
        <f t="shared" si="156"/>
        <v>119200</v>
      </c>
      <c r="BA158" s="90">
        <f t="shared" si="157"/>
        <v>91200</v>
      </c>
      <c r="BB158" s="90">
        <f t="shared" ca="1" si="185"/>
        <v>40800</v>
      </c>
      <c r="BC158" s="90">
        <f t="shared" ca="1" si="187"/>
        <v>147025</v>
      </c>
      <c r="BD158" s="90">
        <f t="shared" ca="1" si="188"/>
        <v>142675</v>
      </c>
      <c r="BE158" s="90">
        <f t="shared" ca="1" si="158"/>
        <v>289700</v>
      </c>
      <c r="BF158" s="142">
        <f t="shared" ca="1" si="139"/>
        <v>0.26186022785240604</v>
      </c>
      <c r="BG158" s="142">
        <f t="shared" ca="1" si="140"/>
        <v>0.81074647168848835</v>
      </c>
      <c r="BH158" s="142">
        <f t="shared" ca="1" si="141"/>
        <v>0.62030266961401126</v>
      </c>
      <c r="BI158" s="142">
        <f t="shared" ca="1" si="159"/>
        <v>0.27750382587995237</v>
      </c>
      <c r="BJ158" s="143"/>
      <c r="BK158" s="128">
        <f ca="1">INDEX(商城宝箱!$L:$L,MATCH(BC158,商城宝箱!$N:$N,1))</f>
        <v>13</v>
      </c>
      <c r="BL158" s="90">
        <f ca="1">_xlfn.IFNA(INDEX(商城宝箱!T:T,MATCH(玩家节奏2!$BK158,商城宝箱!$L:$L,0)),0)+($BC158-INDEX(商城宝箱!$N:$N,MATCH(玩家节奏2!$BK158,商城宝箱!$L:$L,0)))/$BK$5*INDEX(商城宝箱!E$23:E$42,MATCH(玩家节奏2!$BK158+1,商城宝箱!$C$23:$C$42,0))</f>
        <v>367562.5</v>
      </c>
      <c r="BM158" s="90">
        <f ca="1">_xlfn.IFNA(INDEX(商城宝箱!U:U,MATCH(玩家节奏2!$BK158,商城宝箱!$L:$L,0)),0)+($BC158-INDEX(商城宝箱!$N:$N,MATCH(玩家节奏2!$BK158,商城宝箱!$L:$L,0)))/$BK$5*INDEX(商城宝箱!F$23:F$42,MATCH(玩家节奏2!$BK158+1,商城宝箱!$C$23:$C$42,0))</f>
        <v>446310</v>
      </c>
      <c r="BN158" s="90">
        <f ca="1">_xlfn.IFNA(INDEX(商城宝箱!V:V,MATCH(玩家节奏2!$BK158,商城宝箱!$L:$L,0)),0)+($BC158-INDEX(商城宝箱!$N:$N,MATCH(玩家节奏2!$BK158,商城宝箱!$L:$L,0)))/$BK$5*INDEX(商城宝箱!G$23:G$42,MATCH(玩家节奏2!$BK158+1,商城宝箱!$C$23:$C$42,0))</f>
        <v>223468.25</v>
      </c>
      <c r="BO158" s="90">
        <f ca="1">_xlfn.IFNA(INDEX(商城宝箱!W:W,MATCH(玩家节奏2!$BK158,商城宝箱!$L:$L,0)),0)+($BC158-INDEX(商城宝箱!$N:$N,MATCH(玩家节奏2!$BK158,商城宝箱!$L:$L,0)))/$BK$5*INDEX(商城宝箱!H$23:H$42,MATCH(玩家节奏2!$BK158+1,商城宝箱!$C$23:$C$42,0))</f>
        <v>36401.5</v>
      </c>
      <c r="BQ158" s="128">
        <f t="shared" si="143"/>
        <v>11610000</v>
      </c>
      <c r="BR158" s="90">
        <f t="shared" si="144"/>
        <v>4259130</v>
      </c>
      <c r="BS158" s="90">
        <f t="shared" ca="1" si="145"/>
        <v>7671726</v>
      </c>
      <c r="BT158" s="90">
        <f t="shared" si="146"/>
        <v>61000</v>
      </c>
      <c r="BU158" s="90">
        <f t="shared" si="147"/>
        <v>2384000</v>
      </c>
      <c r="BV158" s="90">
        <f t="shared" si="148"/>
        <v>456000</v>
      </c>
      <c r="BW158" s="90">
        <f t="shared" ca="1" si="160"/>
        <v>367562.5</v>
      </c>
      <c r="BX158" s="90">
        <f t="shared" ca="1" si="161"/>
        <v>26809418.5</v>
      </c>
      <c r="BY158" s="142">
        <f t="shared" ca="1" si="138"/>
        <v>0.43305676324161974</v>
      </c>
      <c r="BZ158" s="142">
        <f t="shared" ca="1" si="138"/>
        <v>0.15886692954567441</v>
      </c>
      <c r="CA158" s="142">
        <f t="shared" ca="1" si="138"/>
        <v>0.28615786649755198</v>
      </c>
      <c r="CB158" s="142">
        <f t="shared" ref="CB158:CE206" ca="1" si="190">BT158/$BX158</f>
        <v>2.2753197724150564E-3</v>
      </c>
      <c r="CC158" s="142">
        <f t="shared" ca="1" si="190"/>
        <v>8.8923972744876956E-2</v>
      </c>
      <c r="CD158" s="142">
        <f t="shared" ca="1" si="190"/>
        <v>1.7008947806905993E-2</v>
      </c>
      <c r="CE158" s="142">
        <f t="shared" ca="1" si="190"/>
        <v>1.3710200390955888E-2</v>
      </c>
      <c r="CG158" s="128">
        <f t="shared" si="162"/>
        <v>200</v>
      </c>
      <c r="CH158" s="90">
        <f ca="1">INDEX(角色升级!$A:$A,MATCH(玩家节奏2!$BX158,角色升级!$J:$J,1))</f>
        <v>1047</v>
      </c>
      <c r="CI158" s="90">
        <f ca="1">INDEX(角色升级!$O:$O,MATCH(玩家节奏2!$BX158,角色升级!$J:$J,1))</f>
        <v>99294.156750000009</v>
      </c>
      <c r="CJ158" s="90">
        <f>INDEX(关卡对比!$J:$J,MATCH(玩家节奏2!N158,关卡对比!$A:$A,0))</f>
        <v>86200</v>
      </c>
      <c r="CK158" s="147">
        <f t="shared" ca="1" si="163"/>
        <v>0.8681276202086281</v>
      </c>
      <c r="CL158" s="128">
        <f ca="1">INDEX(角色升级!$P:$P,MATCH(玩家节奏2!$CH158,角色升级!$A:$A,0))</f>
        <v>40800</v>
      </c>
      <c r="CM158" s="90">
        <f ca="1">INDEX(角色升级!Q:Q,MATCH(玩家节奏2!$CH158,角色升级!$A:$A,0))</f>
        <v>2.2000000000000002</v>
      </c>
      <c r="CO158" s="128">
        <f t="shared" si="164"/>
        <v>78866</v>
      </c>
      <c r="CP158" s="90">
        <f t="shared" si="165"/>
        <v>326126</v>
      </c>
      <c r="CQ158" s="90">
        <f t="shared" si="166"/>
        <v>106624</v>
      </c>
      <c r="CR158" s="90">
        <f t="shared" ca="1" si="167"/>
        <v>446310</v>
      </c>
      <c r="CS158" s="90">
        <f t="shared" ca="1" si="168"/>
        <v>957926</v>
      </c>
      <c r="CT158" s="142">
        <f t="shared" ca="1" si="169"/>
        <v>8.2329950330192525E-2</v>
      </c>
      <c r="CU158" s="142">
        <f t="shared" ca="1" si="169"/>
        <v>0.34045009739792009</v>
      </c>
      <c r="CV158" s="142">
        <f t="shared" ca="1" si="169"/>
        <v>0.11130713645939248</v>
      </c>
      <c r="CW158" s="142">
        <f t="shared" ca="1" si="149"/>
        <v>0.46591281581249488</v>
      </c>
      <c r="CY158" s="128">
        <f t="shared" si="170"/>
        <v>39434</v>
      </c>
      <c r="CZ158" s="90">
        <f t="shared" si="171"/>
        <v>162899</v>
      </c>
      <c r="DA158" s="90">
        <f t="shared" si="172"/>
        <v>74052</v>
      </c>
      <c r="DB158" s="90">
        <f t="shared" ca="1" si="186"/>
        <v>223468.25</v>
      </c>
      <c r="DC158" s="90">
        <f t="shared" ca="1" si="173"/>
        <v>499853.25</v>
      </c>
      <c r="DD158" s="142">
        <f t="shared" ca="1" si="174"/>
        <v>7.8891154553861559E-2</v>
      </c>
      <c r="DE158" s="142">
        <f t="shared" ca="1" si="174"/>
        <v>0.32589364978621227</v>
      </c>
      <c r="DF158" s="142">
        <f t="shared" ca="1" si="174"/>
        <v>0.14814748128575736</v>
      </c>
      <c r="DG158" s="142">
        <f t="shared" ca="1" si="150"/>
        <v>0.44706771437416881</v>
      </c>
      <c r="DI158" s="128">
        <f t="shared" si="175"/>
        <v>19113</v>
      </c>
      <c r="DJ158" s="90">
        <f t="shared" si="176"/>
        <v>80195</v>
      </c>
      <c r="DK158" s="90">
        <f t="shared" si="177"/>
        <v>29070</v>
      </c>
      <c r="DL158" s="90">
        <f t="shared" ca="1" si="178"/>
        <v>36401.5</v>
      </c>
      <c r="DM158" s="90">
        <f t="shared" ca="1" si="179"/>
        <v>164779.5</v>
      </c>
      <c r="DN158" s="142">
        <f t="shared" ca="1" si="180"/>
        <v>0.11599137028574549</v>
      </c>
      <c r="DO158" s="142">
        <f t="shared" ca="1" si="180"/>
        <v>0.48668068540079318</v>
      </c>
      <c r="DP158" s="142">
        <f t="shared" ca="1" si="180"/>
        <v>0.17641757621548798</v>
      </c>
      <c r="DQ158" s="142">
        <f t="shared" ca="1" si="151"/>
        <v>0.22091036809797335</v>
      </c>
      <c r="DS158" s="128">
        <f t="shared" ca="1" si="181"/>
        <v>957926</v>
      </c>
      <c r="DT158" s="90">
        <f t="shared" ca="1" si="182"/>
        <v>499853.25</v>
      </c>
      <c r="DU158" s="90">
        <f t="shared" ca="1" si="183"/>
        <v>164779.5</v>
      </c>
      <c r="DV158" s="90">
        <f t="shared" si="184"/>
        <v>2384</v>
      </c>
      <c r="DW158" s="90">
        <f ca="1">_xlfn.IFNA(INDEX(武器升级消耗!$H:$H,MATCH(玩家节奏2!DS158/玩家节奏2!DS$5,武器升级消耗!M:M,1)),0)</f>
        <v>84</v>
      </c>
      <c r="DX158" s="90">
        <f ca="1">_xlfn.IFNA(INDEX(武器升级消耗!$H:$H,MATCH(玩家节奏2!DT158/玩家节奏2!DT$5,武器升级消耗!N:N,1)),0)</f>
        <v>74</v>
      </c>
      <c r="DY158" s="90">
        <f ca="1">_xlfn.IFNA(INDEX(武器升级消耗!$H:$H,MATCH(玩家节奏2!DU158/玩家节奏2!DU$5,武器升级消耗!O:O,1)),0)</f>
        <v>56</v>
      </c>
      <c r="DZ158" s="90">
        <f>_xlfn.IFNA(INDEX(武器升级消耗!$H:$H,MATCH(玩家节奏2!DV158/玩家节奏2!DV$5,武器升级消耗!P:P,1)),0)</f>
        <v>35</v>
      </c>
      <c r="EA158" s="90">
        <f ca="1">_xlfn.IFNA(INDEX(武器升级消耗!$Q:$Q,MATCH(玩家节奏2!DW158,武器升级消耗!$H:$H,0))*2*EA$4,0)</f>
        <v>10.559999999999988</v>
      </c>
      <c r="EB158" s="90">
        <f ca="1">_xlfn.IFNA(INDEX(武器升级消耗!$Q:$Q,MATCH(玩家节奏2!DX158,武器升级消耗!$H:$H,0))*2*EB$4,0)</f>
        <v>11.699999999999985</v>
      </c>
      <c r="EC158" s="90">
        <f ca="1">_xlfn.IFNA(INDEX(武器升级消耗!$Q:$Q,MATCH(玩家节奏2!DY158,武器升级消耗!$H:$H,0))*2*EC$4,0)</f>
        <v>13.200000000000001</v>
      </c>
      <c r="ED158" s="90">
        <f>_xlfn.IFNA(INDEX(武器升级消耗!$Q:$Q,MATCH(玩家节奏2!DZ158,武器升级消耗!$H:$H,0))*2*ED$4,0)</f>
        <v>11.7</v>
      </c>
    </row>
    <row r="159" spans="1:134" x14ac:dyDescent="0.25">
      <c r="A159" s="123">
        <v>153</v>
      </c>
      <c r="B159" s="123">
        <f>INDEX(关卡对比!$Y:$Y,MATCH(关卡对比!Z159,关卡对比!$AA:$AA,1))</f>
        <v>90</v>
      </c>
      <c r="C159" s="124">
        <f>INDEX(关卡对比!$Y:$Y,MATCH(关卡对比!Z159,关卡对比!$AB:$AB,1))</f>
        <v>69</v>
      </c>
      <c r="D159" s="125">
        <f t="shared" si="189"/>
        <v>593.5</v>
      </c>
      <c r="E159" s="125">
        <v>2</v>
      </c>
      <c r="F159" s="128">
        <v>16</v>
      </c>
      <c r="G159" s="90">
        <v>16</v>
      </c>
      <c r="H159" s="90">
        <v>5</v>
      </c>
      <c r="J159" s="128">
        <v>153</v>
      </c>
      <c r="K159" s="90">
        <f t="shared" si="152"/>
        <v>16</v>
      </c>
      <c r="L159" s="90">
        <f t="shared" si="153"/>
        <v>16</v>
      </c>
      <c r="M159" s="90">
        <f t="shared" si="154"/>
        <v>5</v>
      </c>
      <c r="N159" s="140">
        <f>INDEX($A:$A,MATCH(SUM($K$7:K159),$D:$D,1))</f>
        <v>200</v>
      </c>
      <c r="O159" s="140">
        <v>0</v>
      </c>
      <c r="P159" s="141">
        <v>0</v>
      </c>
      <c r="Q159" s="126">
        <f>_xlfn.MAXIFS(关卡产出!X:X,关卡产出!$A:$A,玩家节奏2!$N$6,关卡产出!$B:$B,玩家节奏2!$N159)+_xlfn.MAXIFS(关卡产出!X:X,关卡产出!$A:$A,玩家节奏2!$O$6,关卡产出!$B:$B,玩家节奏2!$O159)+_xlfn.MAXIFS(关卡产出!X:X,关卡产出!$A:$A,玩家节奏2!$P$6,关卡产出!$B:$B,玩家节奏2!$P159)</f>
        <v>38500</v>
      </c>
      <c r="R159" s="90">
        <f>_xlfn.MAXIFS(关卡产出!Y:Y,关卡产出!$A:$A,玩家节奏2!$N$6,关卡产出!$B:$B,玩家节奏2!$N159)+_xlfn.MAXIFS(关卡产出!Y:Y,关卡产出!$A:$A,玩家节奏2!$O$6,关卡产出!$B:$B,玩家节奏2!$O159)+_xlfn.MAXIFS(关卡产出!Y:Y,关卡产出!$A:$A,玩家节奏2!$P$6,关卡产出!$B:$B,玩家节奏2!$P159)</f>
        <v>11610000</v>
      </c>
      <c r="S159" s="90">
        <f>_xlfn.MAXIFS(关卡产出!Z:Z,关卡产出!$A:$A,玩家节奏2!$N$6,关卡产出!$B:$B,玩家节奏2!$N159)+_xlfn.MAXIFS(关卡产出!Z:Z,关卡产出!$A:$A,玩家节奏2!$O$6,关卡产出!$B:$B,玩家节奏2!$O159)+_xlfn.MAXIFS(关卡产出!Z:Z,关卡产出!$A:$A,玩家节奏2!$P$6,关卡产出!$B:$B,玩家节奏2!$P159)</f>
        <v>78866</v>
      </c>
      <c r="T159" s="90">
        <f>_xlfn.MAXIFS(关卡产出!AA:AA,关卡产出!$A:$A,玩家节奏2!$N$6,关卡产出!$B:$B,玩家节奏2!$N159)+_xlfn.MAXIFS(关卡产出!AA:AA,关卡产出!$A:$A,玩家节奏2!$O$6,关卡产出!$B:$B,玩家节奏2!$O159)+_xlfn.MAXIFS(关卡产出!AA:AA,关卡产出!$A:$A,玩家节奏2!$P$6,关卡产出!$B:$B,玩家节奏2!$P159)</f>
        <v>39434</v>
      </c>
      <c r="U159" s="90">
        <f>_xlfn.MAXIFS(关卡产出!AB:AB,关卡产出!$A:$A,玩家节奏2!$N$6,关卡产出!$B:$B,玩家节奏2!$N159)+_xlfn.MAXIFS(关卡产出!AB:AB,关卡产出!$A:$A,玩家节奏2!$O$6,关卡产出!$B:$B,玩家节奏2!$O159)+_xlfn.MAXIFS(关卡产出!AB:AB,关卡产出!$A:$A,玩家节奏2!$P$6,关卡产出!$B:$B,玩家节奏2!$P159)</f>
        <v>19113</v>
      </c>
      <c r="V159" s="130">
        <f>_xlfn.MAXIFS(关卡产出!AC:AC,关卡产出!$A:$A,玩家节奏2!$N$6,关卡产出!$B:$B,玩家节奏2!$N159)+_xlfn.MAXIFS(关卡产出!AC:AC,关卡产出!$A:$A,玩家节奏2!$O$6,关卡产出!$B:$B,玩家节奏2!$O159)+_xlfn.MAXIFS(关卡产出!AC:AC,关卡产出!$A:$A,玩家节奏2!$P$6,关卡产出!$B:$B,玩家节奏2!$P159)</f>
        <v>1200</v>
      </c>
      <c r="W159" s="126">
        <f>INDEX(关卡产出!C$8:C$207,MATCH(玩家节奏2!$N159,关卡产出!$B$8:$B$207,0))*$K159</f>
        <v>2528</v>
      </c>
      <c r="X159" s="126">
        <f>INDEX(关卡产出!D$8:D$207,MATCH(玩家节奏2!$N159,关卡产出!$B$8:$B$207,0))*$K159</f>
        <v>1264</v>
      </c>
      <c r="Y159" s="126">
        <f>INDEX(关卡产出!E$8:E$207,MATCH(玩家节奏2!$N159,关卡产出!$B$8:$B$207,0))*$K159</f>
        <v>624</v>
      </c>
      <c r="Z159" s="144">
        <f>INDEX(关卡产出!F$8:F$207,MATCH(玩家节奏2!$N159,关卡产出!$B$8:$B$207,0))*$K159</f>
        <v>32800</v>
      </c>
      <c r="AA159" s="126">
        <f>SUM(W$7:W159)</f>
        <v>328654</v>
      </c>
      <c r="AB159" s="126">
        <f>SUM(X$7:X159)</f>
        <v>164163</v>
      </c>
      <c r="AC159" s="126">
        <f>SUM(Y$7:Y159)</f>
        <v>80819</v>
      </c>
      <c r="AD159" s="177">
        <f>SUM(Z$7:Z159)</f>
        <v>4291930</v>
      </c>
      <c r="AE159" s="128">
        <f>INDEX(图鉴!AQ:AQ,MATCH($N159,图鉴!$S:$S,0))*34</f>
        <v>714</v>
      </c>
      <c r="AF159" s="90">
        <f>INDEX(图鉴!AR:AR,MATCH($N159,图鉴!$S:$S,0))*34</f>
        <v>510</v>
      </c>
      <c r="AG159" s="90">
        <f>INDEX(图鉴!AS:AS,MATCH($N159,图鉴!$S:$S,0))*34</f>
        <v>204</v>
      </c>
      <c r="AH159" s="129">
        <f ca="1">INDEX(图鉴!AT:AT,MATCH($N159,图鉴!$S:$S,0))*34</f>
        <v>55930</v>
      </c>
      <c r="AI159" s="128">
        <f>SUM($AE$7:AE159)</f>
        <v>107338</v>
      </c>
      <c r="AJ159" s="90">
        <f>SUM(AF$7:AF159)</f>
        <v>74562</v>
      </c>
      <c r="AK159" s="90">
        <f>SUM(AG$7:AG159)</f>
        <v>29274</v>
      </c>
      <c r="AL159" s="130">
        <f ca="1">SUM(AH$7:AH159)</f>
        <v>7727656</v>
      </c>
      <c r="AM159" s="133">
        <f>IF(M159=0,0,INDEX(关卡产出!$AU$11:$AU$15,MATCH(玩家节奏2!N159,关卡产出!$AW$11:$AW$15,1))*M159)</f>
        <v>61000</v>
      </c>
      <c r="AN159" s="126">
        <f>IF(L159=0,0,$L159*关卡产出!AU$21)</f>
        <v>16000</v>
      </c>
      <c r="AO159" s="90">
        <f>IF(M159=0,0,$L159*关卡产出!AV$21)</f>
        <v>800</v>
      </c>
      <c r="AP159" s="129">
        <f>IF(N159=0,0,$L159*关卡产出!AW$21)</f>
        <v>16</v>
      </c>
      <c r="AQ159" s="138">
        <f>SUM(AN$7:AN159)</f>
        <v>2400000</v>
      </c>
      <c r="AR159" s="126">
        <f>SUM(AO$7:AO159)</f>
        <v>120000</v>
      </c>
      <c r="AS159" s="129">
        <f>SUM(AP$7:AP159)</f>
        <v>2400</v>
      </c>
      <c r="AT159" s="128">
        <v>3000</v>
      </c>
      <c r="AU159" s="129">
        <v>600</v>
      </c>
      <c r="AV159" s="128">
        <f>SUM(AT$7:AT159)</f>
        <v>459000</v>
      </c>
      <c r="AW159" s="90">
        <f>SUM(AU$7:AU159)</f>
        <v>91800</v>
      </c>
      <c r="AY159" s="128">
        <f t="shared" si="155"/>
        <v>38500</v>
      </c>
      <c r="AZ159" s="90">
        <f t="shared" si="156"/>
        <v>120000</v>
      </c>
      <c r="BA159" s="90">
        <f t="shared" si="157"/>
        <v>91800</v>
      </c>
      <c r="BB159" s="90">
        <f t="shared" ca="1" si="185"/>
        <v>40800</v>
      </c>
      <c r="BC159" s="90">
        <f t="shared" ca="1" si="187"/>
        <v>147725</v>
      </c>
      <c r="BD159" s="90">
        <f t="shared" ca="1" si="188"/>
        <v>143375</v>
      </c>
      <c r="BE159" s="90">
        <f t="shared" ca="1" si="158"/>
        <v>291100</v>
      </c>
      <c r="BF159" s="142">
        <f t="shared" ca="1" si="139"/>
        <v>0.26061939414452528</v>
      </c>
      <c r="BG159" s="142">
        <f t="shared" ca="1" si="140"/>
        <v>0.81232018954137752</v>
      </c>
      <c r="BH159" s="142">
        <f t="shared" ca="1" si="141"/>
        <v>0.62142494499915379</v>
      </c>
      <c r="BI159" s="142">
        <f t="shared" ca="1" si="159"/>
        <v>0.27618886444406837</v>
      </c>
      <c r="BJ159" s="143"/>
      <c r="BK159" s="128">
        <f ca="1">INDEX(商城宝箱!$L:$L,MATCH(BC159,商城宝箱!$N:$N,1))</f>
        <v>13</v>
      </c>
      <c r="BL159" s="90">
        <f ca="1">_xlfn.IFNA(INDEX(商城宝箱!T:T,MATCH(玩家节奏2!$BK159,商城宝箱!$L:$L,0)),0)+($BC159-INDEX(商城宝箱!$N:$N,MATCH(玩家节奏2!$BK159,商城宝箱!$L:$L,0)))/$BK$5*INDEX(商城宝箱!E$23:E$42,MATCH(玩家节奏2!$BK159+1,商城宝箱!$C$23:$C$42,0))</f>
        <v>369312.5</v>
      </c>
      <c r="BM159" s="90">
        <f ca="1">_xlfn.IFNA(INDEX(商城宝箱!U:U,MATCH(玩家节奏2!$BK159,商城宝箱!$L:$L,0)),0)+($BC159-INDEX(商城宝箱!$N:$N,MATCH(玩家节奏2!$BK159,商城宝箱!$L:$L,0)))/$BK$5*INDEX(商城宝箱!F$23:F$42,MATCH(玩家节奏2!$BK159+1,商城宝箱!$C$23:$C$42,0))</f>
        <v>449600</v>
      </c>
      <c r="BN159" s="90">
        <f ca="1">_xlfn.IFNA(INDEX(商城宝箱!V:V,MATCH(玩家节奏2!$BK159,商城宝箱!$L:$L,0)),0)+($BC159-INDEX(商城宝箱!$N:$N,MATCH(玩家节奏2!$BK159,商城宝箱!$L:$L,0)))/$BK$5*INDEX(商城宝箱!G$23:G$42,MATCH(玩家节奏2!$BK159+1,商城宝箱!$C$23:$C$42,0))</f>
        <v>225043.25</v>
      </c>
      <c r="BO159" s="90">
        <f ca="1">_xlfn.IFNA(INDEX(商城宝箱!W:W,MATCH(玩家节奏2!$BK159,商城宝箱!$L:$L,0)),0)+($BC159-INDEX(商城宝箱!$N:$N,MATCH(玩家节奏2!$BK159,商城宝箱!$L:$L,0)))/$BK$5*INDEX(商城宝箱!H$23:H$42,MATCH(玩家节奏2!$BK159+1,商城宝箱!$C$23:$C$42,0))</f>
        <v>36681.5</v>
      </c>
      <c r="BQ159" s="128">
        <f t="shared" si="143"/>
        <v>11610000</v>
      </c>
      <c r="BR159" s="90">
        <f t="shared" si="144"/>
        <v>4291930</v>
      </c>
      <c r="BS159" s="90">
        <f t="shared" ca="1" si="145"/>
        <v>7727656</v>
      </c>
      <c r="BT159" s="90">
        <f t="shared" si="146"/>
        <v>61000</v>
      </c>
      <c r="BU159" s="90">
        <f t="shared" si="147"/>
        <v>2400000</v>
      </c>
      <c r="BV159" s="90">
        <f t="shared" si="148"/>
        <v>459000</v>
      </c>
      <c r="BW159" s="90">
        <f t="shared" ca="1" si="160"/>
        <v>369312.5</v>
      </c>
      <c r="BX159" s="90">
        <f t="shared" ca="1" si="161"/>
        <v>26918898.5</v>
      </c>
      <c r="BY159" s="142">
        <f t="shared" ref="BY159:CA206" ca="1" si="191">BQ159/$BX159</f>
        <v>0.43129550787525722</v>
      </c>
      <c r="BZ159" s="142">
        <f t="shared" ca="1" si="191"/>
        <v>0.15943928760680903</v>
      </c>
      <c r="CA159" s="142">
        <f t="shared" ca="1" si="191"/>
        <v>0.28707177598667344</v>
      </c>
      <c r="CB159" s="142">
        <f t="shared" ca="1" si="190"/>
        <v>2.2660659759165111E-3</v>
      </c>
      <c r="CC159" s="142">
        <f t="shared" ca="1" si="190"/>
        <v>8.9156694134420095E-2</v>
      </c>
      <c r="CD159" s="142">
        <f t="shared" ca="1" si="190"/>
        <v>1.7051217753207844E-2</v>
      </c>
      <c r="CE159" s="142">
        <f t="shared" ca="1" si="190"/>
        <v>1.3719450667715842E-2</v>
      </c>
      <c r="CG159" s="128">
        <f t="shared" si="162"/>
        <v>200</v>
      </c>
      <c r="CH159" s="90">
        <f ca="1">INDEX(角色升级!$A:$A,MATCH(玩家节奏2!$BX159,角色升级!$J:$J,1))</f>
        <v>1047</v>
      </c>
      <c r="CI159" s="90">
        <f ca="1">INDEX(角色升级!$O:$O,MATCH(玩家节奏2!$BX159,角色升级!$J:$J,1))</f>
        <v>99294.156750000009</v>
      </c>
      <c r="CJ159" s="90">
        <f>INDEX(关卡对比!$J:$J,MATCH(玩家节奏2!N159,关卡对比!$A:$A,0))</f>
        <v>86200</v>
      </c>
      <c r="CK159" s="147">
        <f t="shared" ca="1" si="163"/>
        <v>0.8681276202086281</v>
      </c>
      <c r="CL159" s="128">
        <f ca="1">INDEX(角色升级!$P:$P,MATCH(玩家节奏2!$CH159,角色升级!$A:$A,0))</f>
        <v>40800</v>
      </c>
      <c r="CM159" s="90">
        <f ca="1">INDEX(角色升级!Q:Q,MATCH(玩家节奏2!$CH159,角色升级!$A:$A,0))</f>
        <v>2.2000000000000002</v>
      </c>
      <c r="CO159" s="128">
        <f t="shared" si="164"/>
        <v>78866</v>
      </c>
      <c r="CP159" s="90">
        <f t="shared" si="165"/>
        <v>328654</v>
      </c>
      <c r="CQ159" s="90">
        <f t="shared" si="166"/>
        <v>107338</v>
      </c>
      <c r="CR159" s="90">
        <f t="shared" ca="1" si="167"/>
        <v>449600</v>
      </c>
      <c r="CS159" s="90">
        <f t="shared" ca="1" si="168"/>
        <v>964458</v>
      </c>
      <c r="CT159" s="142">
        <f t="shared" ca="1" si="169"/>
        <v>8.1772352969232465E-2</v>
      </c>
      <c r="CU159" s="142">
        <f t="shared" ca="1" si="169"/>
        <v>0.34076548693670433</v>
      </c>
      <c r="CV159" s="142">
        <f t="shared" ca="1" si="169"/>
        <v>0.1112935970254796</v>
      </c>
      <c r="CW159" s="142">
        <f t="shared" ca="1" si="149"/>
        <v>0.46616856306858362</v>
      </c>
      <c r="CY159" s="128">
        <f t="shared" si="170"/>
        <v>39434</v>
      </c>
      <c r="CZ159" s="90">
        <f t="shared" si="171"/>
        <v>164163</v>
      </c>
      <c r="DA159" s="90">
        <f t="shared" si="172"/>
        <v>74562</v>
      </c>
      <c r="DB159" s="90">
        <f t="shared" ca="1" si="186"/>
        <v>225043.25</v>
      </c>
      <c r="DC159" s="90">
        <f t="shared" ca="1" si="173"/>
        <v>503202.25</v>
      </c>
      <c r="DD159" s="142">
        <f t="shared" ca="1" si="174"/>
        <v>7.8366104285106042E-2</v>
      </c>
      <c r="DE159" s="142">
        <f t="shared" ca="1" si="174"/>
        <v>0.32623661758269162</v>
      </c>
      <c r="DF159" s="142">
        <f t="shared" ca="1" si="174"/>
        <v>0.14817501312841905</v>
      </c>
      <c r="DG159" s="142">
        <f t="shared" ca="1" si="150"/>
        <v>0.44722226500378326</v>
      </c>
      <c r="DI159" s="128">
        <f t="shared" si="175"/>
        <v>19113</v>
      </c>
      <c r="DJ159" s="90">
        <f t="shared" si="176"/>
        <v>80819</v>
      </c>
      <c r="DK159" s="90">
        <f t="shared" si="177"/>
        <v>29274</v>
      </c>
      <c r="DL159" s="90">
        <f t="shared" ca="1" si="178"/>
        <v>36681.5</v>
      </c>
      <c r="DM159" s="90">
        <f t="shared" ca="1" si="179"/>
        <v>165887.5</v>
      </c>
      <c r="DN159" s="142">
        <f t="shared" ca="1" si="180"/>
        <v>0.11521663778162912</v>
      </c>
      <c r="DO159" s="142">
        <f t="shared" ca="1" si="180"/>
        <v>0.48719162082736794</v>
      </c>
      <c r="DP159" s="142">
        <f t="shared" ca="1" si="180"/>
        <v>0.17646899254012507</v>
      </c>
      <c r="DQ159" s="142">
        <f t="shared" ca="1" si="151"/>
        <v>0.22112274885087785</v>
      </c>
      <c r="DS159" s="128">
        <f t="shared" ca="1" si="181"/>
        <v>964458</v>
      </c>
      <c r="DT159" s="90">
        <f t="shared" ca="1" si="182"/>
        <v>503202.25</v>
      </c>
      <c r="DU159" s="90">
        <f t="shared" ca="1" si="183"/>
        <v>165887.5</v>
      </c>
      <c r="DV159" s="90">
        <f t="shared" si="184"/>
        <v>2400</v>
      </c>
      <c r="DW159" s="90">
        <f ca="1">_xlfn.IFNA(INDEX(武器升级消耗!$H:$H,MATCH(玩家节奏2!DS159/玩家节奏2!DS$5,武器升级消耗!M:M,1)),0)</f>
        <v>85</v>
      </c>
      <c r="DX159" s="90">
        <f ca="1">_xlfn.IFNA(INDEX(武器升级消耗!$H:$H,MATCH(玩家节奏2!DT159/玩家节奏2!DT$5,武器升级消耗!N:N,1)),0)</f>
        <v>74</v>
      </c>
      <c r="DY159" s="90">
        <f ca="1">_xlfn.IFNA(INDEX(武器升级消耗!$H:$H,MATCH(玩家节奏2!DU159/玩家节奏2!DU$5,武器升级消耗!O:O,1)),0)</f>
        <v>56</v>
      </c>
      <c r="DZ159" s="90">
        <f>_xlfn.IFNA(INDEX(武器升级消耗!$H:$H,MATCH(玩家节奏2!DV159/玩家节奏2!DV$5,武器升级消耗!P:P,1)),0)</f>
        <v>35</v>
      </c>
      <c r="EA159" s="90">
        <f ca="1">_xlfn.IFNA(INDEX(武器升级消耗!$Q:$Q,MATCH(玩家节奏2!DW159,武器升级消耗!$H:$H,0))*2*EA$4,0)</f>
        <v>10.679999999999987</v>
      </c>
      <c r="EB159" s="90">
        <f ca="1">_xlfn.IFNA(INDEX(武器升级消耗!$Q:$Q,MATCH(玩家节奏2!DX159,武器升级消耗!$H:$H,0))*2*EB$4,0)</f>
        <v>11.699999999999985</v>
      </c>
      <c r="EC159" s="90">
        <f ca="1">_xlfn.IFNA(INDEX(武器升级消耗!$Q:$Q,MATCH(玩家节奏2!DY159,武器升级消耗!$H:$H,0))*2*EC$4,0)</f>
        <v>13.200000000000001</v>
      </c>
      <c r="ED159" s="90">
        <f>_xlfn.IFNA(INDEX(武器升级消耗!$Q:$Q,MATCH(玩家节奏2!DZ159,武器升级消耗!$H:$H,0))*2*ED$4,0)</f>
        <v>11.7</v>
      </c>
    </row>
    <row r="160" spans="1:134" x14ac:dyDescent="0.25">
      <c r="A160" s="123">
        <v>154</v>
      </c>
      <c r="B160" s="123">
        <f>INDEX(关卡对比!$Y:$Y,MATCH(关卡对比!Z160,关卡对比!$AA:$AA,1))</f>
        <v>90</v>
      </c>
      <c r="C160" s="124">
        <f>INDEX(关卡对比!$Y:$Y,MATCH(关卡对比!Z160,关卡对比!$AB:$AB,1))</f>
        <v>69</v>
      </c>
      <c r="D160" s="125">
        <f t="shared" si="189"/>
        <v>595.5</v>
      </c>
      <c r="E160" s="125">
        <v>2</v>
      </c>
      <c r="F160" s="128">
        <v>16</v>
      </c>
      <c r="G160" s="90">
        <v>16</v>
      </c>
      <c r="H160" s="90">
        <v>5</v>
      </c>
      <c r="J160" s="128">
        <v>154</v>
      </c>
      <c r="K160" s="90">
        <f t="shared" si="152"/>
        <v>16</v>
      </c>
      <c r="L160" s="90">
        <f t="shared" si="153"/>
        <v>16</v>
      </c>
      <c r="M160" s="90">
        <f t="shared" si="154"/>
        <v>5</v>
      </c>
      <c r="N160" s="140">
        <f>INDEX($A:$A,MATCH(SUM($K$7:K160),$D:$D,1))</f>
        <v>200</v>
      </c>
      <c r="O160" s="140">
        <v>0</v>
      </c>
      <c r="P160" s="141">
        <v>0</v>
      </c>
      <c r="Q160" s="126">
        <f>_xlfn.MAXIFS(关卡产出!X:X,关卡产出!$A:$A,玩家节奏2!$N$6,关卡产出!$B:$B,玩家节奏2!$N160)+_xlfn.MAXIFS(关卡产出!X:X,关卡产出!$A:$A,玩家节奏2!$O$6,关卡产出!$B:$B,玩家节奏2!$O160)+_xlfn.MAXIFS(关卡产出!X:X,关卡产出!$A:$A,玩家节奏2!$P$6,关卡产出!$B:$B,玩家节奏2!$P160)</f>
        <v>38500</v>
      </c>
      <c r="R160" s="90">
        <f>_xlfn.MAXIFS(关卡产出!Y:Y,关卡产出!$A:$A,玩家节奏2!$N$6,关卡产出!$B:$B,玩家节奏2!$N160)+_xlfn.MAXIFS(关卡产出!Y:Y,关卡产出!$A:$A,玩家节奏2!$O$6,关卡产出!$B:$B,玩家节奏2!$O160)+_xlfn.MAXIFS(关卡产出!Y:Y,关卡产出!$A:$A,玩家节奏2!$P$6,关卡产出!$B:$B,玩家节奏2!$P160)</f>
        <v>11610000</v>
      </c>
      <c r="S160" s="90">
        <f>_xlfn.MAXIFS(关卡产出!Z:Z,关卡产出!$A:$A,玩家节奏2!$N$6,关卡产出!$B:$B,玩家节奏2!$N160)+_xlfn.MAXIFS(关卡产出!Z:Z,关卡产出!$A:$A,玩家节奏2!$O$6,关卡产出!$B:$B,玩家节奏2!$O160)+_xlfn.MAXIFS(关卡产出!Z:Z,关卡产出!$A:$A,玩家节奏2!$P$6,关卡产出!$B:$B,玩家节奏2!$P160)</f>
        <v>78866</v>
      </c>
      <c r="T160" s="90">
        <f>_xlfn.MAXIFS(关卡产出!AA:AA,关卡产出!$A:$A,玩家节奏2!$N$6,关卡产出!$B:$B,玩家节奏2!$N160)+_xlfn.MAXIFS(关卡产出!AA:AA,关卡产出!$A:$A,玩家节奏2!$O$6,关卡产出!$B:$B,玩家节奏2!$O160)+_xlfn.MAXIFS(关卡产出!AA:AA,关卡产出!$A:$A,玩家节奏2!$P$6,关卡产出!$B:$B,玩家节奏2!$P160)</f>
        <v>39434</v>
      </c>
      <c r="U160" s="90">
        <f>_xlfn.MAXIFS(关卡产出!AB:AB,关卡产出!$A:$A,玩家节奏2!$N$6,关卡产出!$B:$B,玩家节奏2!$N160)+_xlfn.MAXIFS(关卡产出!AB:AB,关卡产出!$A:$A,玩家节奏2!$O$6,关卡产出!$B:$B,玩家节奏2!$O160)+_xlfn.MAXIFS(关卡产出!AB:AB,关卡产出!$A:$A,玩家节奏2!$P$6,关卡产出!$B:$B,玩家节奏2!$P160)</f>
        <v>19113</v>
      </c>
      <c r="V160" s="130">
        <f>_xlfn.MAXIFS(关卡产出!AC:AC,关卡产出!$A:$A,玩家节奏2!$N$6,关卡产出!$B:$B,玩家节奏2!$N160)+_xlfn.MAXIFS(关卡产出!AC:AC,关卡产出!$A:$A,玩家节奏2!$O$6,关卡产出!$B:$B,玩家节奏2!$O160)+_xlfn.MAXIFS(关卡产出!AC:AC,关卡产出!$A:$A,玩家节奏2!$P$6,关卡产出!$B:$B,玩家节奏2!$P160)</f>
        <v>1200</v>
      </c>
      <c r="W160" s="126">
        <f>INDEX(关卡产出!C$8:C$207,MATCH(玩家节奏2!$N160,关卡产出!$B$8:$B$207,0))*$K160</f>
        <v>2528</v>
      </c>
      <c r="X160" s="126">
        <f>INDEX(关卡产出!D$8:D$207,MATCH(玩家节奏2!$N160,关卡产出!$B$8:$B$207,0))*$K160</f>
        <v>1264</v>
      </c>
      <c r="Y160" s="126">
        <f>INDEX(关卡产出!E$8:E$207,MATCH(玩家节奏2!$N160,关卡产出!$B$8:$B$207,0))*$K160</f>
        <v>624</v>
      </c>
      <c r="Z160" s="144">
        <f>INDEX(关卡产出!F$8:F$207,MATCH(玩家节奏2!$N160,关卡产出!$B$8:$B$207,0))*$K160</f>
        <v>32800</v>
      </c>
      <c r="AA160" s="126">
        <f>SUM(W$7:W160)</f>
        <v>331182</v>
      </c>
      <c r="AB160" s="126">
        <f>SUM(X$7:X160)</f>
        <v>165427</v>
      </c>
      <c r="AC160" s="126">
        <f>SUM(Y$7:Y160)</f>
        <v>81443</v>
      </c>
      <c r="AD160" s="177">
        <f>SUM(Z$7:Z160)</f>
        <v>4324730</v>
      </c>
      <c r="AE160" s="128">
        <f>INDEX(图鉴!AQ:AQ,MATCH($N160,图鉴!$S:$S,0))*34</f>
        <v>714</v>
      </c>
      <c r="AF160" s="90">
        <f>INDEX(图鉴!AR:AR,MATCH($N160,图鉴!$S:$S,0))*34</f>
        <v>510</v>
      </c>
      <c r="AG160" s="90">
        <f>INDEX(图鉴!AS:AS,MATCH($N160,图鉴!$S:$S,0))*34</f>
        <v>204</v>
      </c>
      <c r="AH160" s="129">
        <f ca="1">INDEX(图鉴!AT:AT,MATCH($N160,图鉴!$S:$S,0))*34</f>
        <v>55930</v>
      </c>
      <c r="AI160" s="128">
        <f>SUM($AE$7:AE160)</f>
        <v>108052</v>
      </c>
      <c r="AJ160" s="90">
        <f>SUM(AF$7:AF160)</f>
        <v>75072</v>
      </c>
      <c r="AK160" s="90">
        <f>SUM(AG$7:AG160)</f>
        <v>29478</v>
      </c>
      <c r="AL160" s="130">
        <f ca="1">SUM(AH$7:AH160)</f>
        <v>7783586</v>
      </c>
      <c r="AM160" s="133">
        <f>IF(M160=0,0,INDEX(关卡产出!$AU$11:$AU$15,MATCH(玩家节奏2!N160,关卡产出!$AW$11:$AW$15,1))*M160)</f>
        <v>61000</v>
      </c>
      <c r="AN160" s="126">
        <f>IF(L160=0,0,$L160*关卡产出!AU$21)</f>
        <v>16000</v>
      </c>
      <c r="AO160" s="90">
        <f>IF(M160=0,0,$L160*关卡产出!AV$21)</f>
        <v>800</v>
      </c>
      <c r="AP160" s="129">
        <f>IF(N160=0,0,$L160*关卡产出!AW$21)</f>
        <v>16</v>
      </c>
      <c r="AQ160" s="138">
        <f>SUM(AN$7:AN160)</f>
        <v>2416000</v>
      </c>
      <c r="AR160" s="126">
        <f>SUM(AO$7:AO160)</f>
        <v>120800</v>
      </c>
      <c r="AS160" s="129">
        <f>SUM(AP$7:AP160)</f>
        <v>2416</v>
      </c>
      <c r="AT160" s="128">
        <v>3000</v>
      </c>
      <c r="AU160" s="129">
        <v>600</v>
      </c>
      <c r="AV160" s="128">
        <f>SUM(AT$7:AT160)</f>
        <v>462000</v>
      </c>
      <c r="AW160" s="90">
        <f>SUM(AU$7:AU160)</f>
        <v>92400</v>
      </c>
      <c r="AY160" s="128">
        <f t="shared" si="155"/>
        <v>38500</v>
      </c>
      <c r="AZ160" s="90">
        <f t="shared" si="156"/>
        <v>120800</v>
      </c>
      <c r="BA160" s="90">
        <f t="shared" si="157"/>
        <v>92400</v>
      </c>
      <c r="BB160" s="90">
        <f t="shared" ca="1" si="185"/>
        <v>40800</v>
      </c>
      <c r="BC160" s="90">
        <f t="shared" ca="1" si="187"/>
        <v>148425</v>
      </c>
      <c r="BD160" s="90">
        <f t="shared" ca="1" si="188"/>
        <v>144075</v>
      </c>
      <c r="BE160" s="90">
        <f t="shared" ca="1" si="158"/>
        <v>292500</v>
      </c>
      <c r="BF160" s="142">
        <f t="shared" ca="1" si="139"/>
        <v>0.25939026444332153</v>
      </c>
      <c r="BG160" s="142">
        <f t="shared" ca="1" si="140"/>
        <v>0.81387906350008421</v>
      </c>
      <c r="BH160" s="142">
        <f t="shared" ca="1" si="141"/>
        <v>0.62253663466397169</v>
      </c>
      <c r="BI160" s="142">
        <f t="shared" ca="1" si="159"/>
        <v>0.27488630621526022</v>
      </c>
      <c r="BJ160" s="143"/>
      <c r="BK160" s="128">
        <f ca="1">INDEX(商城宝箱!$L:$L,MATCH(BC160,商城宝箱!$N:$N,1))</f>
        <v>13</v>
      </c>
      <c r="BL160" s="90">
        <f ca="1">_xlfn.IFNA(INDEX(商城宝箱!T:T,MATCH(玩家节奏2!$BK160,商城宝箱!$L:$L,0)),0)+($BC160-INDEX(商城宝箱!$N:$N,MATCH(玩家节奏2!$BK160,商城宝箱!$L:$L,0)))/$BK$5*INDEX(商城宝箱!E$23:E$42,MATCH(玩家节奏2!$BK160+1,商城宝箱!$C$23:$C$42,0))</f>
        <v>371062.5</v>
      </c>
      <c r="BM160" s="90">
        <f ca="1">_xlfn.IFNA(INDEX(商城宝箱!U:U,MATCH(玩家节奏2!$BK160,商城宝箱!$L:$L,0)),0)+($BC160-INDEX(商城宝箱!$N:$N,MATCH(玩家节奏2!$BK160,商城宝箱!$L:$L,0)))/$BK$5*INDEX(商城宝箱!F$23:F$42,MATCH(玩家节奏2!$BK160+1,商城宝箱!$C$23:$C$42,0))</f>
        <v>452890</v>
      </c>
      <c r="BN160" s="90">
        <f ca="1">_xlfn.IFNA(INDEX(商城宝箱!V:V,MATCH(玩家节奏2!$BK160,商城宝箱!$L:$L,0)),0)+($BC160-INDEX(商城宝箱!$N:$N,MATCH(玩家节奏2!$BK160,商城宝箱!$L:$L,0)))/$BK$5*INDEX(商城宝箱!G$23:G$42,MATCH(玩家节奏2!$BK160+1,商城宝箱!$C$23:$C$42,0))</f>
        <v>226618.25</v>
      </c>
      <c r="BO160" s="90">
        <f ca="1">_xlfn.IFNA(INDEX(商城宝箱!W:W,MATCH(玩家节奏2!$BK160,商城宝箱!$L:$L,0)),0)+($BC160-INDEX(商城宝箱!$N:$N,MATCH(玩家节奏2!$BK160,商城宝箱!$L:$L,0)))/$BK$5*INDEX(商城宝箱!H$23:H$42,MATCH(玩家节奏2!$BK160+1,商城宝箱!$C$23:$C$42,0))</f>
        <v>36961.5</v>
      </c>
      <c r="BQ160" s="128">
        <f t="shared" si="143"/>
        <v>11610000</v>
      </c>
      <c r="BR160" s="90">
        <f t="shared" si="144"/>
        <v>4324730</v>
      </c>
      <c r="BS160" s="90">
        <f t="shared" ca="1" si="145"/>
        <v>7783586</v>
      </c>
      <c r="BT160" s="90">
        <f t="shared" si="146"/>
        <v>61000</v>
      </c>
      <c r="BU160" s="90">
        <f t="shared" si="147"/>
        <v>2416000</v>
      </c>
      <c r="BV160" s="90">
        <f t="shared" si="148"/>
        <v>462000</v>
      </c>
      <c r="BW160" s="90">
        <f t="shared" ca="1" si="160"/>
        <v>371062.5</v>
      </c>
      <c r="BX160" s="90">
        <f t="shared" ca="1" si="161"/>
        <v>27028378.5</v>
      </c>
      <c r="BY160" s="142">
        <f t="shared" ca="1" si="191"/>
        <v>0.42954852064099963</v>
      </c>
      <c r="BZ160" s="142">
        <f t="shared" ca="1" si="191"/>
        <v>0.16000700892952199</v>
      </c>
      <c r="CA160" s="142">
        <f t="shared" ca="1" si="191"/>
        <v>0.28797828179000823</v>
      </c>
      <c r="CB160" s="142">
        <f t="shared" ca="1" si="190"/>
        <v>2.2568871454867333E-3</v>
      </c>
      <c r="CC160" s="142">
        <f t="shared" ca="1" si="190"/>
        <v>8.9387530221245057E-2</v>
      </c>
      <c r="CD160" s="142">
        <f t="shared" ca="1" si="190"/>
        <v>1.7093145265817556E-2</v>
      </c>
      <c r="CE160" s="142">
        <f t="shared" ca="1" si="190"/>
        <v>1.3728626006920836E-2</v>
      </c>
      <c r="CG160" s="128">
        <f t="shared" si="162"/>
        <v>200</v>
      </c>
      <c r="CH160" s="90">
        <f ca="1">INDEX(角色升级!$A:$A,MATCH(玩家节奏2!$BX160,角色升级!$J:$J,1))</f>
        <v>1047</v>
      </c>
      <c r="CI160" s="90">
        <f ca="1">INDEX(角色升级!$O:$O,MATCH(玩家节奏2!$BX160,角色升级!$J:$J,1))</f>
        <v>99294.156750000009</v>
      </c>
      <c r="CJ160" s="90">
        <f>INDEX(关卡对比!$J:$J,MATCH(玩家节奏2!N160,关卡对比!$A:$A,0))</f>
        <v>86200</v>
      </c>
      <c r="CK160" s="147">
        <f t="shared" ca="1" si="163"/>
        <v>0.8681276202086281</v>
      </c>
      <c r="CL160" s="128">
        <f ca="1">INDEX(角色升级!$P:$P,MATCH(玩家节奏2!$CH160,角色升级!$A:$A,0))</f>
        <v>40800</v>
      </c>
      <c r="CM160" s="90">
        <f ca="1">INDEX(角色升级!Q:Q,MATCH(玩家节奏2!$CH160,角色升级!$A:$A,0))</f>
        <v>2.2000000000000002</v>
      </c>
      <c r="CO160" s="128">
        <f t="shared" si="164"/>
        <v>78866</v>
      </c>
      <c r="CP160" s="90">
        <f t="shared" si="165"/>
        <v>331182</v>
      </c>
      <c r="CQ160" s="90">
        <f t="shared" si="166"/>
        <v>108052</v>
      </c>
      <c r="CR160" s="90">
        <f t="shared" ca="1" si="167"/>
        <v>452890</v>
      </c>
      <c r="CS160" s="90">
        <f t="shared" ca="1" si="168"/>
        <v>970990</v>
      </c>
      <c r="CT160" s="142">
        <f t="shared" ca="1" si="169"/>
        <v>8.1222257695753822E-2</v>
      </c>
      <c r="CU160" s="142">
        <f t="shared" ca="1" si="169"/>
        <v>0.34107663312701469</v>
      </c>
      <c r="CV160" s="142">
        <f t="shared" ca="1" si="169"/>
        <v>0.1112802397553013</v>
      </c>
      <c r="CW160" s="142">
        <f t="shared" ca="1" si="149"/>
        <v>0.46642086942193017</v>
      </c>
      <c r="CY160" s="128">
        <f t="shared" si="170"/>
        <v>39434</v>
      </c>
      <c r="CZ160" s="90">
        <f t="shared" si="171"/>
        <v>165427</v>
      </c>
      <c r="DA160" s="90">
        <f t="shared" si="172"/>
        <v>75072</v>
      </c>
      <c r="DB160" s="90">
        <f t="shared" ca="1" si="186"/>
        <v>226618.25</v>
      </c>
      <c r="DC160" s="90">
        <f t="shared" ca="1" si="173"/>
        <v>506551.25</v>
      </c>
      <c r="DD160" s="142">
        <f t="shared" ca="1" si="174"/>
        <v>7.7847996624231017E-2</v>
      </c>
      <c r="DE160" s="142">
        <f t="shared" ca="1" si="174"/>
        <v>0.32657505040210638</v>
      </c>
      <c r="DF160" s="142">
        <f t="shared" ca="1" si="174"/>
        <v>0.14820218092443754</v>
      </c>
      <c r="DG160" s="142">
        <f t="shared" ca="1" si="150"/>
        <v>0.44737477204922504</v>
      </c>
      <c r="DI160" s="128">
        <f t="shared" si="175"/>
        <v>19113</v>
      </c>
      <c r="DJ160" s="90">
        <f t="shared" si="176"/>
        <v>81443</v>
      </c>
      <c r="DK160" s="90">
        <f t="shared" si="177"/>
        <v>29478</v>
      </c>
      <c r="DL160" s="90">
        <f t="shared" ca="1" si="178"/>
        <v>36961.5</v>
      </c>
      <c r="DM160" s="90">
        <f t="shared" ca="1" si="179"/>
        <v>166995.5</v>
      </c>
      <c r="DN160" s="142">
        <f t="shared" ca="1" si="180"/>
        <v>0.11445218583734293</v>
      </c>
      <c r="DO160" s="142">
        <f t="shared" ca="1" si="180"/>
        <v>0.48769577623349131</v>
      </c>
      <c r="DP160" s="142">
        <f t="shared" ca="1" si="180"/>
        <v>0.17651972657945872</v>
      </c>
      <c r="DQ160" s="142">
        <f t="shared" ca="1" si="151"/>
        <v>0.22133231134970702</v>
      </c>
      <c r="DS160" s="128">
        <f t="shared" ca="1" si="181"/>
        <v>970990</v>
      </c>
      <c r="DT160" s="90">
        <f t="shared" ca="1" si="182"/>
        <v>506551.25</v>
      </c>
      <c r="DU160" s="90">
        <f t="shared" ca="1" si="183"/>
        <v>166995.5</v>
      </c>
      <c r="DV160" s="90">
        <f t="shared" si="184"/>
        <v>2416</v>
      </c>
      <c r="DW160" s="90">
        <f ca="1">_xlfn.IFNA(INDEX(武器升级消耗!$H:$H,MATCH(玩家节奏2!DS160/玩家节奏2!DS$5,武器升级消耗!M:M,1)),0)</f>
        <v>85</v>
      </c>
      <c r="DX160" s="90">
        <f ca="1">_xlfn.IFNA(INDEX(武器升级消耗!$H:$H,MATCH(玩家节奏2!DT160/玩家节奏2!DT$5,武器升级消耗!N:N,1)),0)</f>
        <v>74</v>
      </c>
      <c r="DY160" s="90">
        <f ca="1">_xlfn.IFNA(INDEX(武器升级消耗!$H:$H,MATCH(玩家节奏2!DU160/玩家节奏2!DU$5,武器升级消耗!O:O,1)),0)</f>
        <v>56</v>
      </c>
      <c r="DZ160" s="90">
        <f>_xlfn.IFNA(INDEX(武器升级消耗!$H:$H,MATCH(玩家节奏2!DV160/玩家节奏2!DV$5,武器升级消耗!P:P,1)),0)</f>
        <v>35</v>
      </c>
      <c r="EA160" s="90">
        <f ca="1">_xlfn.IFNA(INDEX(武器升级消耗!$Q:$Q,MATCH(玩家节奏2!DW160,武器升级消耗!$H:$H,0))*2*EA$4,0)</f>
        <v>10.679999999999987</v>
      </c>
      <c r="EB160" s="90">
        <f ca="1">_xlfn.IFNA(INDEX(武器升级消耗!$Q:$Q,MATCH(玩家节奏2!DX160,武器升级消耗!$H:$H,0))*2*EB$4,0)</f>
        <v>11.699999999999985</v>
      </c>
      <c r="EC160" s="90">
        <f ca="1">_xlfn.IFNA(INDEX(武器升级消耗!$Q:$Q,MATCH(玩家节奏2!DY160,武器升级消耗!$H:$H,0))*2*EC$4,0)</f>
        <v>13.200000000000001</v>
      </c>
      <c r="ED160" s="90">
        <f>_xlfn.IFNA(INDEX(武器升级消耗!$Q:$Q,MATCH(玩家节奏2!DZ160,武器升级消耗!$H:$H,0))*2*ED$4,0)</f>
        <v>11.7</v>
      </c>
    </row>
    <row r="161" spans="1:134" x14ac:dyDescent="0.25">
      <c r="A161" s="123">
        <v>155</v>
      </c>
      <c r="B161" s="123">
        <f>INDEX(关卡对比!$Y:$Y,MATCH(关卡对比!Z161,关卡对比!$AA:$AA,1))</f>
        <v>91</v>
      </c>
      <c r="C161" s="124">
        <f>INDEX(关卡对比!$Y:$Y,MATCH(关卡对比!Z161,关卡对比!$AB:$AB,1))</f>
        <v>70</v>
      </c>
      <c r="D161" s="125">
        <f t="shared" si="189"/>
        <v>601.5</v>
      </c>
      <c r="E161" s="125">
        <v>2</v>
      </c>
      <c r="F161" s="128">
        <v>16</v>
      </c>
      <c r="G161" s="90">
        <v>16</v>
      </c>
      <c r="H161" s="90">
        <v>5</v>
      </c>
      <c r="J161" s="128">
        <v>155</v>
      </c>
      <c r="K161" s="90">
        <f t="shared" si="152"/>
        <v>16</v>
      </c>
      <c r="L161" s="90">
        <f t="shared" si="153"/>
        <v>16</v>
      </c>
      <c r="M161" s="90">
        <f t="shared" si="154"/>
        <v>5</v>
      </c>
      <c r="N161" s="140">
        <f>INDEX($A:$A,MATCH(SUM($K$7:K161),$D:$D,1))</f>
        <v>200</v>
      </c>
      <c r="O161" s="140">
        <v>0</v>
      </c>
      <c r="P161" s="141">
        <v>0</v>
      </c>
      <c r="Q161" s="126">
        <f>_xlfn.MAXIFS(关卡产出!X:X,关卡产出!$A:$A,玩家节奏2!$N$6,关卡产出!$B:$B,玩家节奏2!$N161)+_xlfn.MAXIFS(关卡产出!X:X,关卡产出!$A:$A,玩家节奏2!$O$6,关卡产出!$B:$B,玩家节奏2!$O161)+_xlfn.MAXIFS(关卡产出!X:X,关卡产出!$A:$A,玩家节奏2!$P$6,关卡产出!$B:$B,玩家节奏2!$P161)</f>
        <v>38500</v>
      </c>
      <c r="R161" s="90">
        <f>_xlfn.MAXIFS(关卡产出!Y:Y,关卡产出!$A:$A,玩家节奏2!$N$6,关卡产出!$B:$B,玩家节奏2!$N161)+_xlfn.MAXIFS(关卡产出!Y:Y,关卡产出!$A:$A,玩家节奏2!$O$6,关卡产出!$B:$B,玩家节奏2!$O161)+_xlfn.MAXIFS(关卡产出!Y:Y,关卡产出!$A:$A,玩家节奏2!$P$6,关卡产出!$B:$B,玩家节奏2!$P161)</f>
        <v>11610000</v>
      </c>
      <c r="S161" s="90">
        <f>_xlfn.MAXIFS(关卡产出!Z:Z,关卡产出!$A:$A,玩家节奏2!$N$6,关卡产出!$B:$B,玩家节奏2!$N161)+_xlfn.MAXIFS(关卡产出!Z:Z,关卡产出!$A:$A,玩家节奏2!$O$6,关卡产出!$B:$B,玩家节奏2!$O161)+_xlfn.MAXIFS(关卡产出!Z:Z,关卡产出!$A:$A,玩家节奏2!$P$6,关卡产出!$B:$B,玩家节奏2!$P161)</f>
        <v>78866</v>
      </c>
      <c r="T161" s="90">
        <f>_xlfn.MAXIFS(关卡产出!AA:AA,关卡产出!$A:$A,玩家节奏2!$N$6,关卡产出!$B:$B,玩家节奏2!$N161)+_xlfn.MAXIFS(关卡产出!AA:AA,关卡产出!$A:$A,玩家节奏2!$O$6,关卡产出!$B:$B,玩家节奏2!$O161)+_xlfn.MAXIFS(关卡产出!AA:AA,关卡产出!$A:$A,玩家节奏2!$P$6,关卡产出!$B:$B,玩家节奏2!$P161)</f>
        <v>39434</v>
      </c>
      <c r="U161" s="90">
        <f>_xlfn.MAXIFS(关卡产出!AB:AB,关卡产出!$A:$A,玩家节奏2!$N$6,关卡产出!$B:$B,玩家节奏2!$N161)+_xlfn.MAXIFS(关卡产出!AB:AB,关卡产出!$A:$A,玩家节奏2!$O$6,关卡产出!$B:$B,玩家节奏2!$O161)+_xlfn.MAXIFS(关卡产出!AB:AB,关卡产出!$A:$A,玩家节奏2!$P$6,关卡产出!$B:$B,玩家节奏2!$P161)</f>
        <v>19113</v>
      </c>
      <c r="V161" s="130">
        <f>_xlfn.MAXIFS(关卡产出!AC:AC,关卡产出!$A:$A,玩家节奏2!$N$6,关卡产出!$B:$B,玩家节奏2!$N161)+_xlfn.MAXIFS(关卡产出!AC:AC,关卡产出!$A:$A,玩家节奏2!$O$6,关卡产出!$B:$B,玩家节奏2!$O161)+_xlfn.MAXIFS(关卡产出!AC:AC,关卡产出!$A:$A,玩家节奏2!$P$6,关卡产出!$B:$B,玩家节奏2!$P161)</f>
        <v>1200</v>
      </c>
      <c r="W161" s="126">
        <f>INDEX(关卡产出!C$8:C$207,MATCH(玩家节奏2!$N161,关卡产出!$B$8:$B$207,0))*$K161</f>
        <v>2528</v>
      </c>
      <c r="X161" s="126">
        <f>INDEX(关卡产出!D$8:D$207,MATCH(玩家节奏2!$N161,关卡产出!$B$8:$B$207,0))*$K161</f>
        <v>1264</v>
      </c>
      <c r="Y161" s="126">
        <f>INDEX(关卡产出!E$8:E$207,MATCH(玩家节奏2!$N161,关卡产出!$B$8:$B$207,0))*$K161</f>
        <v>624</v>
      </c>
      <c r="Z161" s="144">
        <f>INDEX(关卡产出!F$8:F$207,MATCH(玩家节奏2!$N161,关卡产出!$B$8:$B$207,0))*$K161</f>
        <v>32800</v>
      </c>
      <c r="AA161" s="126">
        <f>SUM(W$7:W161)</f>
        <v>333710</v>
      </c>
      <c r="AB161" s="126">
        <f>SUM(X$7:X161)</f>
        <v>166691</v>
      </c>
      <c r="AC161" s="126">
        <f>SUM(Y$7:Y161)</f>
        <v>82067</v>
      </c>
      <c r="AD161" s="177">
        <f>SUM(Z$7:Z161)</f>
        <v>4357530</v>
      </c>
      <c r="AE161" s="128">
        <f>INDEX(图鉴!AQ:AQ,MATCH($N161,图鉴!$S:$S,0))*34</f>
        <v>714</v>
      </c>
      <c r="AF161" s="90">
        <f>INDEX(图鉴!AR:AR,MATCH($N161,图鉴!$S:$S,0))*34</f>
        <v>510</v>
      </c>
      <c r="AG161" s="90">
        <f>INDEX(图鉴!AS:AS,MATCH($N161,图鉴!$S:$S,0))*34</f>
        <v>204</v>
      </c>
      <c r="AH161" s="129">
        <f ca="1">INDEX(图鉴!AT:AT,MATCH($N161,图鉴!$S:$S,0))*34</f>
        <v>55930</v>
      </c>
      <c r="AI161" s="128">
        <f>SUM($AE$7:AE161)</f>
        <v>108766</v>
      </c>
      <c r="AJ161" s="90">
        <f>SUM(AF$7:AF161)</f>
        <v>75582</v>
      </c>
      <c r="AK161" s="90">
        <f>SUM(AG$7:AG161)</f>
        <v>29682</v>
      </c>
      <c r="AL161" s="130">
        <f ca="1">SUM(AH$7:AH161)</f>
        <v>7839516</v>
      </c>
      <c r="AM161" s="133">
        <f>IF(M161=0,0,INDEX(关卡产出!$AU$11:$AU$15,MATCH(玩家节奏2!N161,关卡产出!$AW$11:$AW$15,1))*M161)</f>
        <v>61000</v>
      </c>
      <c r="AN161" s="126">
        <f>IF(L161=0,0,$L161*关卡产出!AU$21)</f>
        <v>16000</v>
      </c>
      <c r="AO161" s="90">
        <f>IF(M161=0,0,$L161*关卡产出!AV$21)</f>
        <v>800</v>
      </c>
      <c r="AP161" s="129">
        <f>IF(N161=0,0,$L161*关卡产出!AW$21)</f>
        <v>16</v>
      </c>
      <c r="AQ161" s="138">
        <f>SUM(AN$7:AN161)</f>
        <v>2432000</v>
      </c>
      <c r="AR161" s="126">
        <f>SUM(AO$7:AO161)</f>
        <v>121600</v>
      </c>
      <c r="AS161" s="129">
        <f>SUM(AP$7:AP161)</f>
        <v>2432</v>
      </c>
      <c r="AT161" s="128">
        <v>3000</v>
      </c>
      <c r="AU161" s="129">
        <v>600</v>
      </c>
      <c r="AV161" s="128">
        <f>SUM(AT$7:AT161)</f>
        <v>465000</v>
      </c>
      <c r="AW161" s="90">
        <f>SUM(AU$7:AU161)</f>
        <v>93000</v>
      </c>
      <c r="AY161" s="128">
        <f t="shared" si="155"/>
        <v>38500</v>
      </c>
      <c r="AZ161" s="90">
        <f t="shared" si="156"/>
        <v>121600</v>
      </c>
      <c r="BA161" s="90">
        <f t="shared" si="157"/>
        <v>93000</v>
      </c>
      <c r="BB161" s="90">
        <f t="shared" ca="1" si="185"/>
        <v>40800</v>
      </c>
      <c r="BC161" s="90">
        <f t="shared" ca="1" si="187"/>
        <v>149125</v>
      </c>
      <c r="BD161" s="90">
        <f t="shared" ca="1" si="188"/>
        <v>144775</v>
      </c>
      <c r="BE161" s="90">
        <f t="shared" ca="1" si="158"/>
        <v>293900</v>
      </c>
      <c r="BF161" s="142">
        <f t="shared" ca="1" si="139"/>
        <v>0.25817267393126569</v>
      </c>
      <c r="BG161" s="142">
        <f t="shared" ca="1" si="140"/>
        <v>0.81542330259849116</v>
      </c>
      <c r="BH161" s="142">
        <f t="shared" ca="1" si="141"/>
        <v>0.62363788767812234</v>
      </c>
      <c r="BI161" s="142">
        <f t="shared" ca="1" si="159"/>
        <v>0.27359597652975692</v>
      </c>
      <c r="BJ161" s="143"/>
      <c r="BK161" s="128">
        <f ca="1">INDEX(商城宝箱!$L:$L,MATCH(BC161,商城宝箱!$N:$N,1))</f>
        <v>13</v>
      </c>
      <c r="BL161" s="90">
        <f ca="1">_xlfn.IFNA(INDEX(商城宝箱!T:T,MATCH(玩家节奏2!$BK161,商城宝箱!$L:$L,0)),0)+($BC161-INDEX(商城宝箱!$N:$N,MATCH(玩家节奏2!$BK161,商城宝箱!$L:$L,0)))/$BK$5*INDEX(商城宝箱!E$23:E$42,MATCH(玩家节奏2!$BK161+1,商城宝箱!$C$23:$C$42,0))</f>
        <v>372812.5</v>
      </c>
      <c r="BM161" s="90">
        <f ca="1">_xlfn.IFNA(INDEX(商城宝箱!U:U,MATCH(玩家节奏2!$BK161,商城宝箱!$L:$L,0)),0)+($BC161-INDEX(商城宝箱!$N:$N,MATCH(玩家节奏2!$BK161,商城宝箱!$L:$L,0)))/$BK$5*INDEX(商城宝箱!F$23:F$42,MATCH(玩家节奏2!$BK161+1,商城宝箱!$C$23:$C$42,0))</f>
        <v>456180</v>
      </c>
      <c r="BN161" s="90">
        <f ca="1">_xlfn.IFNA(INDEX(商城宝箱!V:V,MATCH(玩家节奏2!$BK161,商城宝箱!$L:$L,0)),0)+($BC161-INDEX(商城宝箱!$N:$N,MATCH(玩家节奏2!$BK161,商城宝箱!$L:$L,0)))/$BK$5*INDEX(商城宝箱!G$23:G$42,MATCH(玩家节奏2!$BK161+1,商城宝箱!$C$23:$C$42,0))</f>
        <v>228193.25</v>
      </c>
      <c r="BO161" s="90">
        <f ca="1">_xlfn.IFNA(INDEX(商城宝箱!W:W,MATCH(玩家节奏2!$BK161,商城宝箱!$L:$L,0)),0)+($BC161-INDEX(商城宝箱!$N:$N,MATCH(玩家节奏2!$BK161,商城宝箱!$L:$L,0)))/$BK$5*INDEX(商城宝箱!H$23:H$42,MATCH(玩家节奏2!$BK161+1,商城宝箱!$C$23:$C$42,0))</f>
        <v>37241.5</v>
      </c>
      <c r="BQ161" s="128">
        <f t="shared" si="143"/>
        <v>11610000</v>
      </c>
      <c r="BR161" s="90">
        <f t="shared" si="144"/>
        <v>4357530</v>
      </c>
      <c r="BS161" s="90">
        <f t="shared" ca="1" si="145"/>
        <v>7839516</v>
      </c>
      <c r="BT161" s="90">
        <f t="shared" si="146"/>
        <v>61000</v>
      </c>
      <c r="BU161" s="90">
        <f t="shared" si="147"/>
        <v>2432000</v>
      </c>
      <c r="BV161" s="90">
        <f t="shared" si="148"/>
        <v>465000</v>
      </c>
      <c r="BW161" s="90">
        <f t="shared" ca="1" si="160"/>
        <v>372812.5</v>
      </c>
      <c r="BX161" s="90">
        <f t="shared" ca="1" si="161"/>
        <v>27137858.5</v>
      </c>
      <c r="BY161" s="142">
        <f t="shared" ca="1" si="191"/>
        <v>0.42781562885663954</v>
      </c>
      <c r="BZ161" s="142">
        <f t="shared" ca="1" si="191"/>
        <v>0.16057014963063501</v>
      </c>
      <c r="CA161" s="142">
        <f t="shared" ca="1" si="191"/>
        <v>0.28887747351177323</v>
      </c>
      <c r="CB161" s="142">
        <f t="shared" ca="1" si="190"/>
        <v>2.2477823738376408E-3</v>
      </c>
      <c r="CC161" s="142">
        <f t="shared" ca="1" si="190"/>
        <v>8.9616503822510532E-2</v>
      </c>
      <c r="CD161" s="142">
        <f t="shared" ca="1" si="190"/>
        <v>1.7134734489090215E-2</v>
      </c>
      <c r="CE161" s="142">
        <f t="shared" ca="1" si="190"/>
        <v>1.373772731551386E-2</v>
      </c>
      <c r="CG161" s="128">
        <f t="shared" si="162"/>
        <v>200</v>
      </c>
      <c r="CH161" s="90">
        <f ca="1">INDEX(角色升级!$A:$A,MATCH(玩家节奏2!$BX161,角色升级!$J:$J,1))</f>
        <v>1047</v>
      </c>
      <c r="CI161" s="90">
        <f ca="1">INDEX(角色升级!$O:$O,MATCH(玩家节奏2!$BX161,角色升级!$J:$J,1))</f>
        <v>99294.156750000009</v>
      </c>
      <c r="CJ161" s="90">
        <f>INDEX(关卡对比!$J:$J,MATCH(玩家节奏2!N161,关卡对比!$A:$A,0))</f>
        <v>86200</v>
      </c>
      <c r="CK161" s="147">
        <f t="shared" ca="1" si="163"/>
        <v>0.8681276202086281</v>
      </c>
      <c r="CL161" s="128">
        <f ca="1">INDEX(角色升级!$P:$P,MATCH(玩家节奏2!$CH161,角色升级!$A:$A,0))</f>
        <v>40800</v>
      </c>
      <c r="CM161" s="90">
        <f ca="1">INDEX(角色升级!Q:Q,MATCH(玩家节奏2!$CH161,角色升级!$A:$A,0))</f>
        <v>2.2000000000000002</v>
      </c>
      <c r="CO161" s="128">
        <f t="shared" si="164"/>
        <v>78866</v>
      </c>
      <c r="CP161" s="90">
        <f t="shared" si="165"/>
        <v>333710</v>
      </c>
      <c r="CQ161" s="90">
        <f t="shared" si="166"/>
        <v>108766</v>
      </c>
      <c r="CR161" s="90">
        <f t="shared" ca="1" si="167"/>
        <v>456180</v>
      </c>
      <c r="CS161" s="90">
        <f t="shared" ca="1" si="168"/>
        <v>977522</v>
      </c>
      <c r="CT161" s="142">
        <f t="shared" ca="1" si="169"/>
        <v>8.0679514118352322E-2</v>
      </c>
      <c r="CU161" s="142">
        <f t="shared" ca="1" si="169"/>
        <v>0.3413836210335931</v>
      </c>
      <c r="CV161" s="142">
        <f t="shared" ca="1" si="169"/>
        <v>0.11126706099709265</v>
      </c>
      <c r="CW161" s="142">
        <f t="shared" ca="1" si="149"/>
        <v>0.46666980385096191</v>
      </c>
      <c r="CY161" s="128">
        <f t="shared" si="170"/>
        <v>39434</v>
      </c>
      <c r="CZ161" s="90">
        <f t="shared" si="171"/>
        <v>166691</v>
      </c>
      <c r="DA161" s="90">
        <f t="shared" si="172"/>
        <v>75582</v>
      </c>
      <c r="DB161" s="90">
        <f t="shared" ca="1" si="186"/>
        <v>228193.25</v>
      </c>
      <c r="DC161" s="90">
        <f t="shared" ca="1" si="173"/>
        <v>509900.25</v>
      </c>
      <c r="DD161" s="142">
        <f t="shared" ca="1" si="174"/>
        <v>7.7336694775105519E-2</v>
      </c>
      <c r="DE161" s="142">
        <f t="shared" ca="1" si="174"/>
        <v>0.32690903760098178</v>
      </c>
      <c r="DF161" s="142">
        <f t="shared" ca="1" si="174"/>
        <v>0.14822899184693478</v>
      </c>
      <c r="DG161" s="142">
        <f t="shared" ca="1" si="150"/>
        <v>0.44752527577697793</v>
      </c>
      <c r="DI161" s="128">
        <f t="shared" si="175"/>
        <v>19113</v>
      </c>
      <c r="DJ161" s="90">
        <f t="shared" si="176"/>
        <v>82067</v>
      </c>
      <c r="DK161" s="90">
        <f t="shared" si="177"/>
        <v>29682</v>
      </c>
      <c r="DL161" s="90">
        <f t="shared" ca="1" si="178"/>
        <v>37241.5</v>
      </c>
      <c r="DM161" s="90">
        <f t="shared" ca="1" si="179"/>
        <v>168103.5</v>
      </c>
      <c r="DN161" s="142">
        <f t="shared" ca="1" si="180"/>
        <v>0.11369781116990425</v>
      </c>
      <c r="DO161" s="142">
        <f t="shared" ca="1" si="180"/>
        <v>0.48819328568411724</v>
      </c>
      <c r="DP161" s="142">
        <f t="shared" ca="1" si="180"/>
        <v>0.17656979182467944</v>
      </c>
      <c r="DQ161" s="142">
        <f t="shared" ca="1" si="151"/>
        <v>0.22153911132129908</v>
      </c>
      <c r="DS161" s="128">
        <f t="shared" ca="1" si="181"/>
        <v>977522</v>
      </c>
      <c r="DT161" s="90">
        <f t="shared" ca="1" si="182"/>
        <v>509900.25</v>
      </c>
      <c r="DU161" s="90">
        <f t="shared" ca="1" si="183"/>
        <v>168103.5</v>
      </c>
      <c r="DV161" s="90">
        <f t="shared" si="184"/>
        <v>2432</v>
      </c>
      <c r="DW161" s="90">
        <f ca="1">_xlfn.IFNA(INDEX(武器升级消耗!$H:$H,MATCH(玩家节奏2!DS161/玩家节奏2!DS$5,武器升级消耗!M:M,1)),0)</f>
        <v>85</v>
      </c>
      <c r="DX161" s="90">
        <f ca="1">_xlfn.IFNA(INDEX(武器升级消耗!$H:$H,MATCH(玩家节奏2!DT161/玩家节奏2!DT$5,武器升级消耗!N:N,1)),0)</f>
        <v>75</v>
      </c>
      <c r="DY161" s="90">
        <f ca="1">_xlfn.IFNA(INDEX(武器升级消耗!$H:$H,MATCH(玩家节奏2!DU161/玩家节奏2!DU$5,武器升级消耗!O:O,1)),0)</f>
        <v>56</v>
      </c>
      <c r="DZ161" s="90">
        <f>_xlfn.IFNA(INDEX(武器升级消耗!$H:$H,MATCH(玩家节奏2!DV161/玩家节奏2!DV$5,武器升级消耗!P:P,1)),0)</f>
        <v>35</v>
      </c>
      <c r="EA161" s="90">
        <f ca="1">_xlfn.IFNA(INDEX(武器升级消耗!$Q:$Q,MATCH(玩家节奏2!DW161,武器升级消耗!$H:$H,0))*2*EA$4,0)</f>
        <v>10.679999999999987</v>
      </c>
      <c r="EB161" s="90">
        <f ca="1">_xlfn.IFNA(INDEX(武器升级消耗!$Q:$Q,MATCH(玩家节奏2!DX161,武器升级消耗!$H:$H,0))*2*EB$4,0)</f>
        <v>11.849999999999984</v>
      </c>
      <c r="EC161" s="90">
        <f ca="1">_xlfn.IFNA(INDEX(武器升级消耗!$Q:$Q,MATCH(玩家节奏2!DY161,武器升级消耗!$H:$H,0))*2*EC$4,0)</f>
        <v>13.200000000000001</v>
      </c>
      <c r="ED161" s="90">
        <f>_xlfn.IFNA(INDEX(武器升级消耗!$Q:$Q,MATCH(玩家节奏2!DZ161,武器升级消耗!$H:$H,0))*2*ED$4,0)</f>
        <v>11.7</v>
      </c>
    </row>
    <row r="162" spans="1:134" x14ac:dyDescent="0.25">
      <c r="A162" s="123">
        <v>156</v>
      </c>
      <c r="B162" s="123">
        <f>INDEX(关卡对比!$Y:$Y,MATCH(关卡对比!Z162,关卡对比!$AA:$AA,1))</f>
        <v>91</v>
      </c>
      <c r="C162" s="124">
        <f>INDEX(关卡对比!$Y:$Y,MATCH(关卡对比!Z162,关卡对比!$AB:$AB,1))</f>
        <v>70</v>
      </c>
      <c r="D162" s="125">
        <f t="shared" si="189"/>
        <v>603.5</v>
      </c>
      <c r="E162" s="125">
        <v>2</v>
      </c>
      <c r="F162" s="128">
        <v>16</v>
      </c>
      <c r="G162" s="90">
        <v>16</v>
      </c>
      <c r="H162" s="90">
        <v>5</v>
      </c>
      <c r="J162" s="128">
        <v>156</v>
      </c>
      <c r="K162" s="90">
        <f t="shared" si="152"/>
        <v>16</v>
      </c>
      <c r="L162" s="90">
        <f t="shared" si="153"/>
        <v>16</v>
      </c>
      <c r="M162" s="90">
        <f t="shared" si="154"/>
        <v>5</v>
      </c>
      <c r="N162" s="140">
        <f>INDEX($A:$A,MATCH(SUM($K$7:K162),$D:$D,1))</f>
        <v>200</v>
      </c>
      <c r="O162" s="140">
        <v>0</v>
      </c>
      <c r="P162" s="141">
        <v>0</v>
      </c>
      <c r="Q162" s="126">
        <f>_xlfn.MAXIFS(关卡产出!X:X,关卡产出!$A:$A,玩家节奏2!$N$6,关卡产出!$B:$B,玩家节奏2!$N162)+_xlfn.MAXIFS(关卡产出!X:X,关卡产出!$A:$A,玩家节奏2!$O$6,关卡产出!$B:$B,玩家节奏2!$O162)+_xlfn.MAXIFS(关卡产出!X:X,关卡产出!$A:$A,玩家节奏2!$P$6,关卡产出!$B:$B,玩家节奏2!$P162)</f>
        <v>38500</v>
      </c>
      <c r="R162" s="90">
        <f>_xlfn.MAXIFS(关卡产出!Y:Y,关卡产出!$A:$A,玩家节奏2!$N$6,关卡产出!$B:$B,玩家节奏2!$N162)+_xlfn.MAXIFS(关卡产出!Y:Y,关卡产出!$A:$A,玩家节奏2!$O$6,关卡产出!$B:$B,玩家节奏2!$O162)+_xlfn.MAXIFS(关卡产出!Y:Y,关卡产出!$A:$A,玩家节奏2!$P$6,关卡产出!$B:$B,玩家节奏2!$P162)</f>
        <v>11610000</v>
      </c>
      <c r="S162" s="90">
        <f>_xlfn.MAXIFS(关卡产出!Z:Z,关卡产出!$A:$A,玩家节奏2!$N$6,关卡产出!$B:$B,玩家节奏2!$N162)+_xlfn.MAXIFS(关卡产出!Z:Z,关卡产出!$A:$A,玩家节奏2!$O$6,关卡产出!$B:$B,玩家节奏2!$O162)+_xlfn.MAXIFS(关卡产出!Z:Z,关卡产出!$A:$A,玩家节奏2!$P$6,关卡产出!$B:$B,玩家节奏2!$P162)</f>
        <v>78866</v>
      </c>
      <c r="T162" s="90">
        <f>_xlfn.MAXIFS(关卡产出!AA:AA,关卡产出!$A:$A,玩家节奏2!$N$6,关卡产出!$B:$B,玩家节奏2!$N162)+_xlfn.MAXIFS(关卡产出!AA:AA,关卡产出!$A:$A,玩家节奏2!$O$6,关卡产出!$B:$B,玩家节奏2!$O162)+_xlfn.MAXIFS(关卡产出!AA:AA,关卡产出!$A:$A,玩家节奏2!$P$6,关卡产出!$B:$B,玩家节奏2!$P162)</f>
        <v>39434</v>
      </c>
      <c r="U162" s="90">
        <f>_xlfn.MAXIFS(关卡产出!AB:AB,关卡产出!$A:$A,玩家节奏2!$N$6,关卡产出!$B:$B,玩家节奏2!$N162)+_xlfn.MAXIFS(关卡产出!AB:AB,关卡产出!$A:$A,玩家节奏2!$O$6,关卡产出!$B:$B,玩家节奏2!$O162)+_xlfn.MAXIFS(关卡产出!AB:AB,关卡产出!$A:$A,玩家节奏2!$P$6,关卡产出!$B:$B,玩家节奏2!$P162)</f>
        <v>19113</v>
      </c>
      <c r="V162" s="130">
        <f>_xlfn.MAXIFS(关卡产出!AC:AC,关卡产出!$A:$A,玩家节奏2!$N$6,关卡产出!$B:$B,玩家节奏2!$N162)+_xlfn.MAXIFS(关卡产出!AC:AC,关卡产出!$A:$A,玩家节奏2!$O$6,关卡产出!$B:$B,玩家节奏2!$O162)+_xlfn.MAXIFS(关卡产出!AC:AC,关卡产出!$A:$A,玩家节奏2!$P$6,关卡产出!$B:$B,玩家节奏2!$P162)</f>
        <v>1200</v>
      </c>
      <c r="W162" s="126">
        <f>INDEX(关卡产出!C$8:C$207,MATCH(玩家节奏2!$N162,关卡产出!$B$8:$B$207,0))*$K162</f>
        <v>2528</v>
      </c>
      <c r="X162" s="126">
        <f>INDEX(关卡产出!D$8:D$207,MATCH(玩家节奏2!$N162,关卡产出!$B$8:$B$207,0))*$K162</f>
        <v>1264</v>
      </c>
      <c r="Y162" s="126">
        <f>INDEX(关卡产出!E$8:E$207,MATCH(玩家节奏2!$N162,关卡产出!$B$8:$B$207,0))*$K162</f>
        <v>624</v>
      </c>
      <c r="Z162" s="144">
        <f>INDEX(关卡产出!F$8:F$207,MATCH(玩家节奏2!$N162,关卡产出!$B$8:$B$207,0))*$K162</f>
        <v>32800</v>
      </c>
      <c r="AA162" s="126">
        <f>SUM(W$7:W162)</f>
        <v>336238</v>
      </c>
      <c r="AB162" s="126">
        <f>SUM(X$7:X162)</f>
        <v>167955</v>
      </c>
      <c r="AC162" s="126">
        <f>SUM(Y$7:Y162)</f>
        <v>82691</v>
      </c>
      <c r="AD162" s="177">
        <f>SUM(Z$7:Z162)</f>
        <v>4390330</v>
      </c>
      <c r="AE162" s="128">
        <f>INDEX(图鉴!AQ:AQ,MATCH($N162,图鉴!$S:$S,0))*34</f>
        <v>714</v>
      </c>
      <c r="AF162" s="90">
        <f>INDEX(图鉴!AR:AR,MATCH($N162,图鉴!$S:$S,0))*34</f>
        <v>510</v>
      </c>
      <c r="AG162" s="90">
        <f>INDEX(图鉴!AS:AS,MATCH($N162,图鉴!$S:$S,0))*34</f>
        <v>204</v>
      </c>
      <c r="AH162" s="129">
        <f ca="1">INDEX(图鉴!AT:AT,MATCH($N162,图鉴!$S:$S,0))*34</f>
        <v>55930</v>
      </c>
      <c r="AI162" s="128">
        <f>SUM($AE$7:AE162)</f>
        <v>109480</v>
      </c>
      <c r="AJ162" s="90">
        <f>SUM(AF$7:AF162)</f>
        <v>76092</v>
      </c>
      <c r="AK162" s="90">
        <f>SUM(AG$7:AG162)</f>
        <v>29886</v>
      </c>
      <c r="AL162" s="130">
        <f ca="1">SUM(AH$7:AH162)</f>
        <v>7895446</v>
      </c>
      <c r="AM162" s="133">
        <f>IF(M162=0,0,INDEX(关卡产出!$AU$11:$AU$15,MATCH(玩家节奏2!N162,关卡产出!$AW$11:$AW$15,1))*M162)</f>
        <v>61000</v>
      </c>
      <c r="AN162" s="126">
        <f>IF(L162=0,0,$L162*关卡产出!AU$21)</f>
        <v>16000</v>
      </c>
      <c r="AO162" s="90">
        <f>IF(M162=0,0,$L162*关卡产出!AV$21)</f>
        <v>800</v>
      </c>
      <c r="AP162" s="129">
        <f>IF(N162=0,0,$L162*关卡产出!AW$21)</f>
        <v>16</v>
      </c>
      <c r="AQ162" s="138">
        <f>SUM(AN$7:AN162)</f>
        <v>2448000</v>
      </c>
      <c r="AR162" s="126">
        <f>SUM(AO$7:AO162)</f>
        <v>122400</v>
      </c>
      <c r="AS162" s="129">
        <f>SUM(AP$7:AP162)</f>
        <v>2448</v>
      </c>
      <c r="AT162" s="128">
        <v>3000</v>
      </c>
      <c r="AU162" s="129">
        <v>600</v>
      </c>
      <c r="AV162" s="128">
        <f>SUM(AT$7:AT162)</f>
        <v>468000</v>
      </c>
      <c r="AW162" s="90">
        <f>SUM(AU$7:AU162)</f>
        <v>93600</v>
      </c>
      <c r="AY162" s="128">
        <f t="shared" si="155"/>
        <v>38500</v>
      </c>
      <c r="AZ162" s="90">
        <f t="shared" si="156"/>
        <v>122400</v>
      </c>
      <c r="BA162" s="90">
        <f t="shared" si="157"/>
        <v>93600</v>
      </c>
      <c r="BB162" s="90">
        <f t="shared" ca="1" si="185"/>
        <v>40800</v>
      </c>
      <c r="BC162" s="90">
        <f t="shared" ca="1" si="187"/>
        <v>149825</v>
      </c>
      <c r="BD162" s="90">
        <f t="shared" ca="1" si="188"/>
        <v>145475</v>
      </c>
      <c r="BE162" s="90">
        <f t="shared" ca="1" si="158"/>
        <v>295300</v>
      </c>
      <c r="BF162" s="142">
        <f t="shared" ca="1" si="139"/>
        <v>0.25696646087101621</v>
      </c>
      <c r="BG162" s="142">
        <f t="shared" ca="1" si="140"/>
        <v>0.81695311196395792</v>
      </c>
      <c r="BH162" s="142">
        <f t="shared" ca="1" si="141"/>
        <v>0.62472885032537961</v>
      </c>
      <c r="BI162" s="142">
        <f t="shared" ca="1" si="159"/>
        <v>0.27231770398798599</v>
      </c>
      <c r="BJ162" s="143"/>
      <c r="BK162" s="128">
        <f ca="1">INDEX(商城宝箱!$L:$L,MATCH(BC162,商城宝箱!$N:$N,1))</f>
        <v>13</v>
      </c>
      <c r="BL162" s="90">
        <f ca="1">_xlfn.IFNA(INDEX(商城宝箱!T:T,MATCH(玩家节奏2!$BK162,商城宝箱!$L:$L,0)),0)+($BC162-INDEX(商城宝箱!$N:$N,MATCH(玩家节奏2!$BK162,商城宝箱!$L:$L,0)))/$BK$5*INDEX(商城宝箱!E$23:E$42,MATCH(玩家节奏2!$BK162+1,商城宝箱!$C$23:$C$42,0))</f>
        <v>374562.5</v>
      </c>
      <c r="BM162" s="90">
        <f ca="1">_xlfn.IFNA(INDEX(商城宝箱!U:U,MATCH(玩家节奏2!$BK162,商城宝箱!$L:$L,0)),0)+($BC162-INDEX(商城宝箱!$N:$N,MATCH(玩家节奏2!$BK162,商城宝箱!$L:$L,0)))/$BK$5*INDEX(商城宝箱!F$23:F$42,MATCH(玩家节奏2!$BK162+1,商城宝箱!$C$23:$C$42,0))</f>
        <v>459470</v>
      </c>
      <c r="BN162" s="90">
        <f ca="1">_xlfn.IFNA(INDEX(商城宝箱!V:V,MATCH(玩家节奏2!$BK162,商城宝箱!$L:$L,0)),0)+($BC162-INDEX(商城宝箱!$N:$N,MATCH(玩家节奏2!$BK162,商城宝箱!$L:$L,0)))/$BK$5*INDEX(商城宝箱!G$23:G$42,MATCH(玩家节奏2!$BK162+1,商城宝箱!$C$23:$C$42,0))</f>
        <v>229768.25</v>
      </c>
      <c r="BO162" s="90">
        <f ca="1">_xlfn.IFNA(INDEX(商城宝箱!W:W,MATCH(玩家节奏2!$BK162,商城宝箱!$L:$L,0)),0)+($BC162-INDEX(商城宝箱!$N:$N,MATCH(玩家节奏2!$BK162,商城宝箱!$L:$L,0)))/$BK$5*INDEX(商城宝箱!H$23:H$42,MATCH(玩家节奏2!$BK162+1,商城宝箱!$C$23:$C$42,0))</f>
        <v>37521.5</v>
      </c>
      <c r="BQ162" s="128">
        <f t="shared" si="143"/>
        <v>11610000</v>
      </c>
      <c r="BR162" s="90">
        <f t="shared" si="144"/>
        <v>4390330</v>
      </c>
      <c r="BS162" s="90">
        <f t="shared" ca="1" si="145"/>
        <v>7895446</v>
      </c>
      <c r="BT162" s="90">
        <f t="shared" si="146"/>
        <v>61000</v>
      </c>
      <c r="BU162" s="90">
        <f t="shared" si="147"/>
        <v>2448000</v>
      </c>
      <c r="BV162" s="90">
        <f t="shared" si="148"/>
        <v>468000</v>
      </c>
      <c r="BW162" s="90">
        <f t="shared" ca="1" si="160"/>
        <v>374562.5</v>
      </c>
      <c r="BX162" s="90">
        <f t="shared" ca="1" si="161"/>
        <v>27247338.5</v>
      </c>
      <c r="BY162" s="142">
        <f t="shared" ca="1" si="191"/>
        <v>0.42609666261532297</v>
      </c>
      <c r="BZ162" s="142">
        <f t="shared" ca="1" si="191"/>
        <v>0.16112876492505865</v>
      </c>
      <c r="CA162" s="142">
        <f t="shared" ca="1" si="191"/>
        <v>0.28976943931606386</v>
      </c>
      <c r="CB162" s="142">
        <f t="shared" ca="1" si="190"/>
        <v>2.2387507682631092E-3</v>
      </c>
      <c r="CC162" s="142">
        <f t="shared" ca="1" si="190"/>
        <v>8.9843637388657249E-2</v>
      </c>
      <c r="CD162" s="142">
        <f t="shared" ca="1" si="190"/>
        <v>1.7175989500772707E-2</v>
      </c>
      <c r="CE162" s="142">
        <f t="shared" ca="1" si="190"/>
        <v>1.3746755485861491E-2</v>
      </c>
      <c r="CG162" s="128">
        <f t="shared" si="162"/>
        <v>200</v>
      </c>
      <c r="CH162" s="90">
        <f ca="1">INDEX(角色升级!$A:$A,MATCH(玩家节奏2!$BX162,角色升级!$J:$J,1))</f>
        <v>1047</v>
      </c>
      <c r="CI162" s="90">
        <f ca="1">INDEX(角色升级!$O:$O,MATCH(玩家节奏2!$BX162,角色升级!$J:$J,1))</f>
        <v>99294.156750000009</v>
      </c>
      <c r="CJ162" s="90">
        <f>INDEX(关卡对比!$J:$J,MATCH(玩家节奏2!N162,关卡对比!$A:$A,0))</f>
        <v>86200</v>
      </c>
      <c r="CK162" s="147">
        <f t="shared" ca="1" si="163"/>
        <v>0.8681276202086281</v>
      </c>
      <c r="CL162" s="128">
        <f ca="1">INDEX(角色升级!$P:$P,MATCH(玩家节奏2!$CH162,角色升级!$A:$A,0))</f>
        <v>40800</v>
      </c>
      <c r="CM162" s="90">
        <f ca="1">INDEX(角色升级!Q:Q,MATCH(玩家节奏2!$CH162,角色升级!$A:$A,0))</f>
        <v>2.2000000000000002</v>
      </c>
      <c r="CO162" s="128">
        <f t="shared" si="164"/>
        <v>78866</v>
      </c>
      <c r="CP162" s="90">
        <f t="shared" si="165"/>
        <v>336238</v>
      </c>
      <c r="CQ162" s="90">
        <f t="shared" si="166"/>
        <v>109480</v>
      </c>
      <c r="CR162" s="90">
        <f t="shared" ca="1" si="167"/>
        <v>459470</v>
      </c>
      <c r="CS162" s="90">
        <f t="shared" ca="1" si="168"/>
        <v>984054</v>
      </c>
      <c r="CT162" s="142">
        <f t="shared" ca="1" si="169"/>
        <v>8.0143975838724305E-2</v>
      </c>
      <c r="CU162" s="142">
        <f t="shared" ca="1" si="169"/>
        <v>0.34168653346259453</v>
      </c>
      <c r="CV162" s="142">
        <f t="shared" ca="1" si="169"/>
        <v>0.11125405719604818</v>
      </c>
      <c r="CW162" s="142">
        <f t="shared" ca="1" si="149"/>
        <v>0.46691543350263298</v>
      </c>
      <c r="CY162" s="128">
        <f t="shared" si="170"/>
        <v>39434</v>
      </c>
      <c r="CZ162" s="90">
        <f t="shared" si="171"/>
        <v>167955</v>
      </c>
      <c r="DA162" s="90">
        <f t="shared" si="172"/>
        <v>76092</v>
      </c>
      <c r="DB162" s="90">
        <f t="shared" ca="1" si="186"/>
        <v>229768.25</v>
      </c>
      <c r="DC162" s="90">
        <f t="shared" ca="1" si="173"/>
        <v>513249.25</v>
      </c>
      <c r="DD162" s="142">
        <f t="shared" ca="1" si="174"/>
        <v>7.6832065512029493E-2</v>
      </c>
      <c r="DE162" s="142">
        <f t="shared" ca="1" si="174"/>
        <v>0.32723866620360381</v>
      </c>
      <c r="DF162" s="142">
        <f t="shared" ca="1" si="174"/>
        <v>0.14825545288181133</v>
      </c>
      <c r="DG162" s="142">
        <f t="shared" ca="1" si="150"/>
        <v>0.44767381540255541</v>
      </c>
      <c r="DI162" s="128">
        <f t="shared" si="175"/>
        <v>19113</v>
      </c>
      <c r="DJ162" s="90">
        <f t="shared" si="176"/>
        <v>82691</v>
      </c>
      <c r="DK162" s="90">
        <f t="shared" si="177"/>
        <v>29886</v>
      </c>
      <c r="DL162" s="90">
        <f t="shared" ca="1" si="178"/>
        <v>37521.5</v>
      </c>
      <c r="DM162" s="90">
        <f t="shared" ca="1" si="179"/>
        <v>169211.5</v>
      </c>
      <c r="DN162" s="142">
        <f t="shared" ca="1" si="180"/>
        <v>0.11295331582073323</v>
      </c>
      <c r="DO162" s="142">
        <f t="shared" ca="1" si="180"/>
        <v>0.48868427973276046</v>
      </c>
      <c r="DP162" s="142">
        <f t="shared" ca="1" si="180"/>
        <v>0.17661920141361551</v>
      </c>
      <c r="DQ162" s="142">
        <f t="shared" ca="1" si="151"/>
        <v>0.2217432030328908</v>
      </c>
      <c r="DS162" s="128">
        <f t="shared" ca="1" si="181"/>
        <v>984054</v>
      </c>
      <c r="DT162" s="90">
        <f t="shared" ca="1" si="182"/>
        <v>513249.25</v>
      </c>
      <c r="DU162" s="90">
        <f t="shared" ca="1" si="183"/>
        <v>169211.5</v>
      </c>
      <c r="DV162" s="90">
        <f t="shared" si="184"/>
        <v>2448</v>
      </c>
      <c r="DW162" s="90">
        <f ca="1">_xlfn.IFNA(INDEX(武器升级消耗!$H:$H,MATCH(玩家节奏2!DS162/玩家节奏2!DS$5,武器升级消耗!M:M,1)),0)</f>
        <v>85</v>
      </c>
      <c r="DX162" s="90">
        <f ca="1">_xlfn.IFNA(INDEX(武器升级消耗!$H:$H,MATCH(玩家节奏2!DT162/玩家节奏2!DT$5,武器升级消耗!N:N,1)),0)</f>
        <v>75</v>
      </c>
      <c r="DY162" s="90">
        <f ca="1">_xlfn.IFNA(INDEX(武器升级消耗!$H:$H,MATCH(玩家节奏2!DU162/玩家节奏2!DU$5,武器升级消耗!O:O,1)),0)</f>
        <v>56</v>
      </c>
      <c r="DZ162" s="90">
        <f>_xlfn.IFNA(INDEX(武器升级消耗!$H:$H,MATCH(玩家节奏2!DV162/玩家节奏2!DV$5,武器升级消耗!P:P,1)),0)</f>
        <v>35</v>
      </c>
      <c r="EA162" s="90">
        <f ca="1">_xlfn.IFNA(INDEX(武器升级消耗!$Q:$Q,MATCH(玩家节奏2!DW162,武器升级消耗!$H:$H,0))*2*EA$4,0)</f>
        <v>10.679999999999987</v>
      </c>
      <c r="EB162" s="90">
        <f ca="1">_xlfn.IFNA(INDEX(武器升级消耗!$Q:$Q,MATCH(玩家节奏2!DX162,武器升级消耗!$H:$H,0))*2*EB$4,0)</f>
        <v>11.849999999999984</v>
      </c>
      <c r="EC162" s="90">
        <f ca="1">_xlfn.IFNA(INDEX(武器升级消耗!$Q:$Q,MATCH(玩家节奏2!DY162,武器升级消耗!$H:$H,0))*2*EC$4,0)</f>
        <v>13.200000000000001</v>
      </c>
      <c r="ED162" s="90">
        <f>_xlfn.IFNA(INDEX(武器升级消耗!$Q:$Q,MATCH(玩家节奏2!DZ162,武器升级消耗!$H:$H,0))*2*ED$4,0)</f>
        <v>11.7</v>
      </c>
    </row>
    <row r="163" spans="1:134" x14ac:dyDescent="0.25">
      <c r="A163" s="123">
        <v>157</v>
      </c>
      <c r="B163" s="123">
        <f>INDEX(关卡对比!$Y:$Y,MATCH(关卡对比!Z163,关卡对比!$AA:$AA,1))</f>
        <v>92</v>
      </c>
      <c r="C163" s="124">
        <f>INDEX(关卡对比!$Y:$Y,MATCH(关卡对比!Z163,关卡对比!$AB:$AB,1))</f>
        <v>70</v>
      </c>
      <c r="D163" s="125">
        <f t="shared" si="189"/>
        <v>607.5</v>
      </c>
      <c r="E163" s="125">
        <v>2</v>
      </c>
      <c r="F163" s="128">
        <v>16</v>
      </c>
      <c r="G163" s="90">
        <v>16</v>
      </c>
      <c r="H163" s="90">
        <v>5</v>
      </c>
      <c r="J163" s="128">
        <v>157</v>
      </c>
      <c r="K163" s="90">
        <f t="shared" si="152"/>
        <v>16</v>
      </c>
      <c r="L163" s="90">
        <f t="shared" si="153"/>
        <v>16</v>
      </c>
      <c r="M163" s="90">
        <f t="shared" si="154"/>
        <v>5</v>
      </c>
      <c r="N163" s="140">
        <f>INDEX($A:$A,MATCH(SUM($K$7:K163),$D:$D,1))</f>
        <v>200</v>
      </c>
      <c r="O163" s="140">
        <v>0</v>
      </c>
      <c r="P163" s="141">
        <v>0</v>
      </c>
      <c r="Q163" s="126">
        <f>_xlfn.MAXIFS(关卡产出!X:X,关卡产出!$A:$A,玩家节奏2!$N$6,关卡产出!$B:$B,玩家节奏2!$N163)+_xlfn.MAXIFS(关卡产出!X:X,关卡产出!$A:$A,玩家节奏2!$O$6,关卡产出!$B:$B,玩家节奏2!$O163)+_xlfn.MAXIFS(关卡产出!X:X,关卡产出!$A:$A,玩家节奏2!$P$6,关卡产出!$B:$B,玩家节奏2!$P163)</f>
        <v>38500</v>
      </c>
      <c r="R163" s="90">
        <f>_xlfn.MAXIFS(关卡产出!Y:Y,关卡产出!$A:$A,玩家节奏2!$N$6,关卡产出!$B:$B,玩家节奏2!$N163)+_xlfn.MAXIFS(关卡产出!Y:Y,关卡产出!$A:$A,玩家节奏2!$O$6,关卡产出!$B:$B,玩家节奏2!$O163)+_xlfn.MAXIFS(关卡产出!Y:Y,关卡产出!$A:$A,玩家节奏2!$P$6,关卡产出!$B:$B,玩家节奏2!$P163)</f>
        <v>11610000</v>
      </c>
      <c r="S163" s="90">
        <f>_xlfn.MAXIFS(关卡产出!Z:Z,关卡产出!$A:$A,玩家节奏2!$N$6,关卡产出!$B:$B,玩家节奏2!$N163)+_xlfn.MAXIFS(关卡产出!Z:Z,关卡产出!$A:$A,玩家节奏2!$O$6,关卡产出!$B:$B,玩家节奏2!$O163)+_xlfn.MAXIFS(关卡产出!Z:Z,关卡产出!$A:$A,玩家节奏2!$P$6,关卡产出!$B:$B,玩家节奏2!$P163)</f>
        <v>78866</v>
      </c>
      <c r="T163" s="90">
        <f>_xlfn.MAXIFS(关卡产出!AA:AA,关卡产出!$A:$A,玩家节奏2!$N$6,关卡产出!$B:$B,玩家节奏2!$N163)+_xlfn.MAXIFS(关卡产出!AA:AA,关卡产出!$A:$A,玩家节奏2!$O$6,关卡产出!$B:$B,玩家节奏2!$O163)+_xlfn.MAXIFS(关卡产出!AA:AA,关卡产出!$A:$A,玩家节奏2!$P$6,关卡产出!$B:$B,玩家节奏2!$P163)</f>
        <v>39434</v>
      </c>
      <c r="U163" s="90">
        <f>_xlfn.MAXIFS(关卡产出!AB:AB,关卡产出!$A:$A,玩家节奏2!$N$6,关卡产出!$B:$B,玩家节奏2!$N163)+_xlfn.MAXIFS(关卡产出!AB:AB,关卡产出!$A:$A,玩家节奏2!$O$6,关卡产出!$B:$B,玩家节奏2!$O163)+_xlfn.MAXIFS(关卡产出!AB:AB,关卡产出!$A:$A,玩家节奏2!$P$6,关卡产出!$B:$B,玩家节奏2!$P163)</f>
        <v>19113</v>
      </c>
      <c r="V163" s="130">
        <f>_xlfn.MAXIFS(关卡产出!AC:AC,关卡产出!$A:$A,玩家节奏2!$N$6,关卡产出!$B:$B,玩家节奏2!$N163)+_xlfn.MAXIFS(关卡产出!AC:AC,关卡产出!$A:$A,玩家节奏2!$O$6,关卡产出!$B:$B,玩家节奏2!$O163)+_xlfn.MAXIFS(关卡产出!AC:AC,关卡产出!$A:$A,玩家节奏2!$P$6,关卡产出!$B:$B,玩家节奏2!$P163)</f>
        <v>1200</v>
      </c>
      <c r="W163" s="126">
        <f>INDEX(关卡产出!C$8:C$207,MATCH(玩家节奏2!$N163,关卡产出!$B$8:$B$207,0))*$K163</f>
        <v>2528</v>
      </c>
      <c r="X163" s="126">
        <f>INDEX(关卡产出!D$8:D$207,MATCH(玩家节奏2!$N163,关卡产出!$B$8:$B$207,0))*$K163</f>
        <v>1264</v>
      </c>
      <c r="Y163" s="126">
        <f>INDEX(关卡产出!E$8:E$207,MATCH(玩家节奏2!$N163,关卡产出!$B$8:$B$207,0))*$K163</f>
        <v>624</v>
      </c>
      <c r="Z163" s="144">
        <f>INDEX(关卡产出!F$8:F$207,MATCH(玩家节奏2!$N163,关卡产出!$B$8:$B$207,0))*$K163</f>
        <v>32800</v>
      </c>
      <c r="AA163" s="126">
        <f>SUM(W$7:W163)</f>
        <v>338766</v>
      </c>
      <c r="AB163" s="126">
        <f>SUM(X$7:X163)</f>
        <v>169219</v>
      </c>
      <c r="AC163" s="126">
        <f>SUM(Y$7:Y163)</f>
        <v>83315</v>
      </c>
      <c r="AD163" s="177">
        <f>SUM(Z$7:Z163)</f>
        <v>4423130</v>
      </c>
      <c r="AE163" s="128">
        <f>INDEX(图鉴!AQ:AQ,MATCH($N163,图鉴!$S:$S,0))*34</f>
        <v>714</v>
      </c>
      <c r="AF163" s="90">
        <f>INDEX(图鉴!AR:AR,MATCH($N163,图鉴!$S:$S,0))*34</f>
        <v>510</v>
      </c>
      <c r="AG163" s="90">
        <f>INDEX(图鉴!AS:AS,MATCH($N163,图鉴!$S:$S,0))*34</f>
        <v>204</v>
      </c>
      <c r="AH163" s="129">
        <f ca="1">INDEX(图鉴!AT:AT,MATCH($N163,图鉴!$S:$S,0))*34</f>
        <v>55930</v>
      </c>
      <c r="AI163" s="128">
        <f>SUM($AE$7:AE163)</f>
        <v>110194</v>
      </c>
      <c r="AJ163" s="90">
        <f>SUM(AF$7:AF163)</f>
        <v>76602</v>
      </c>
      <c r="AK163" s="90">
        <f>SUM(AG$7:AG163)</f>
        <v>30090</v>
      </c>
      <c r="AL163" s="130">
        <f ca="1">SUM(AH$7:AH163)</f>
        <v>7951376</v>
      </c>
      <c r="AM163" s="133">
        <f>IF(M163=0,0,INDEX(关卡产出!$AU$11:$AU$15,MATCH(玩家节奏2!N163,关卡产出!$AW$11:$AW$15,1))*M163)</f>
        <v>61000</v>
      </c>
      <c r="AN163" s="126">
        <f>IF(L163=0,0,$L163*关卡产出!AU$21)</f>
        <v>16000</v>
      </c>
      <c r="AO163" s="90">
        <f>IF(M163=0,0,$L163*关卡产出!AV$21)</f>
        <v>800</v>
      </c>
      <c r="AP163" s="129">
        <f>IF(N163=0,0,$L163*关卡产出!AW$21)</f>
        <v>16</v>
      </c>
      <c r="AQ163" s="138">
        <f>SUM(AN$7:AN163)</f>
        <v>2464000</v>
      </c>
      <c r="AR163" s="126">
        <f>SUM(AO$7:AO163)</f>
        <v>123200</v>
      </c>
      <c r="AS163" s="129">
        <f>SUM(AP$7:AP163)</f>
        <v>2464</v>
      </c>
      <c r="AT163" s="128">
        <v>3000</v>
      </c>
      <c r="AU163" s="129">
        <v>600</v>
      </c>
      <c r="AV163" s="128">
        <f>SUM(AT$7:AT163)</f>
        <v>471000</v>
      </c>
      <c r="AW163" s="90">
        <f>SUM(AU$7:AU163)</f>
        <v>94200</v>
      </c>
      <c r="AY163" s="128">
        <f t="shared" si="155"/>
        <v>38500</v>
      </c>
      <c r="AZ163" s="90">
        <f t="shared" si="156"/>
        <v>123200</v>
      </c>
      <c r="BA163" s="90">
        <f t="shared" si="157"/>
        <v>94200</v>
      </c>
      <c r="BB163" s="90">
        <f t="shared" ca="1" si="185"/>
        <v>40800</v>
      </c>
      <c r="BC163" s="90">
        <f t="shared" ca="1" si="187"/>
        <v>150525</v>
      </c>
      <c r="BD163" s="90">
        <f t="shared" ca="1" si="188"/>
        <v>146175</v>
      </c>
      <c r="BE163" s="90">
        <f t="shared" ca="1" si="158"/>
        <v>296700</v>
      </c>
      <c r="BF163" s="142">
        <f t="shared" ca="1" si="139"/>
        <v>0.2557714665337984</v>
      </c>
      <c r="BG163" s="142">
        <f t="shared" ca="1" si="140"/>
        <v>0.81846869290815483</v>
      </c>
      <c r="BH163" s="142">
        <f t="shared" ca="1" si="141"/>
        <v>0.62580966616841061</v>
      </c>
      <c r="BI163" s="142">
        <f t="shared" ca="1" si="159"/>
        <v>0.27105132037867463</v>
      </c>
      <c r="BJ163" s="143"/>
      <c r="BK163" s="128">
        <f ca="1">INDEX(商城宝箱!$L:$L,MATCH(BC163,商城宝箱!$N:$N,1))</f>
        <v>13</v>
      </c>
      <c r="BL163" s="90">
        <f ca="1">_xlfn.IFNA(INDEX(商城宝箱!T:T,MATCH(玩家节奏2!$BK163,商城宝箱!$L:$L,0)),0)+($BC163-INDEX(商城宝箱!$N:$N,MATCH(玩家节奏2!$BK163,商城宝箱!$L:$L,0)))/$BK$5*INDEX(商城宝箱!E$23:E$42,MATCH(玩家节奏2!$BK163+1,商城宝箱!$C$23:$C$42,0))</f>
        <v>376312.5</v>
      </c>
      <c r="BM163" s="90">
        <f ca="1">_xlfn.IFNA(INDEX(商城宝箱!U:U,MATCH(玩家节奏2!$BK163,商城宝箱!$L:$L,0)),0)+($BC163-INDEX(商城宝箱!$N:$N,MATCH(玩家节奏2!$BK163,商城宝箱!$L:$L,0)))/$BK$5*INDEX(商城宝箱!F$23:F$42,MATCH(玩家节奏2!$BK163+1,商城宝箱!$C$23:$C$42,0))</f>
        <v>462760</v>
      </c>
      <c r="BN163" s="90">
        <f ca="1">_xlfn.IFNA(INDEX(商城宝箱!V:V,MATCH(玩家节奏2!$BK163,商城宝箱!$L:$L,0)),0)+($BC163-INDEX(商城宝箱!$N:$N,MATCH(玩家节奏2!$BK163,商城宝箱!$L:$L,0)))/$BK$5*INDEX(商城宝箱!G$23:G$42,MATCH(玩家节奏2!$BK163+1,商城宝箱!$C$23:$C$42,0))</f>
        <v>231343.25</v>
      </c>
      <c r="BO163" s="90">
        <f ca="1">_xlfn.IFNA(INDEX(商城宝箱!W:W,MATCH(玩家节奏2!$BK163,商城宝箱!$L:$L,0)),0)+($BC163-INDEX(商城宝箱!$N:$N,MATCH(玩家节奏2!$BK163,商城宝箱!$L:$L,0)))/$BK$5*INDEX(商城宝箱!H$23:H$42,MATCH(玩家节奏2!$BK163+1,商城宝箱!$C$23:$C$42,0))</f>
        <v>37801.5</v>
      </c>
      <c r="BQ163" s="128">
        <f t="shared" si="143"/>
        <v>11610000</v>
      </c>
      <c r="BR163" s="90">
        <f t="shared" si="144"/>
        <v>4423130</v>
      </c>
      <c r="BS163" s="90">
        <f t="shared" ca="1" si="145"/>
        <v>7951376</v>
      </c>
      <c r="BT163" s="90">
        <f t="shared" si="146"/>
        <v>61000</v>
      </c>
      <c r="BU163" s="90">
        <f t="shared" si="147"/>
        <v>2464000</v>
      </c>
      <c r="BV163" s="90">
        <f t="shared" si="148"/>
        <v>471000</v>
      </c>
      <c r="BW163" s="90">
        <f t="shared" ca="1" si="160"/>
        <v>376312.5</v>
      </c>
      <c r="BX163" s="90">
        <f t="shared" ca="1" si="161"/>
        <v>27356818.5</v>
      </c>
      <c r="BY163" s="142">
        <f t="shared" ca="1" si="191"/>
        <v>0.42439145473001549</v>
      </c>
      <c r="BZ163" s="142">
        <f t="shared" ca="1" si="191"/>
        <v>0.16168290914383923</v>
      </c>
      <c r="CA163" s="142">
        <f t="shared" ca="1" si="191"/>
        <v>0.29065426595567023</v>
      </c>
      <c r="CB163" s="142">
        <f t="shared" ca="1" si="190"/>
        <v>2.2297914503471958E-3</v>
      </c>
      <c r="CC163" s="142">
        <f t="shared" ca="1" si="190"/>
        <v>9.0068953010745745E-2</v>
      </c>
      <c r="CD163" s="142">
        <f t="shared" ca="1" si="190"/>
        <v>1.7216914313336544E-2</v>
      </c>
      <c r="CE163" s="142">
        <f t="shared" ca="1" si="190"/>
        <v>1.375571139604556E-2</v>
      </c>
      <c r="CG163" s="128">
        <f t="shared" si="162"/>
        <v>200</v>
      </c>
      <c r="CH163" s="90">
        <f ca="1">INDEX(角色升级!$A:$A,MATCH(玩家节奏2!$BX163,角色升级!$J:$J,1))</f>
        <v>1047</v>
      </c>
      <c r="CI163" s="90">
        <f ca="1">INDEX(角色升级!$O:$O,MATCH(玩家节奏2!$BX163,角色升级!$J:$J,1))</f>
        <v>99294.156750000009</v>
      </c>
      <c r="CJ163" s="90">
        <f>INDEX(关卡对比!$J:$J,MATCH(玩家节奏2!N163,关卡对比!$A:$A,0))</f>
        <v>86200</v>
      </c>
      <c r="CK163" s="147">
        <f t="shared" ca="1" si="163"/>
        <v>0.8681276202086281</v>
      </c>
      <c r="CL163" s="128">
        <f ca="1">INDEX(角色升级!$P:$P,MATCH(玩家节奏2!$CH163,角色升级!$A:$A,0))</f>
        <v>40800</v>
      </c>
      <c r="CM163" s="90">
        <f ca="1">INDEX(角色升级!Q:Q,MATCH(玩家节奏2!$CH163,角色升级!$A:$A,0))</f>
        <v>2.2000000000000002</v>
      </c>
      <c r="CO163" s="128">
        <f t="shared" si="164"/>
        <v>78866</v>
      </c>
      <c r="CP163" s="90">
        <f t="shared" si="165"/>
        <v>338766</v>
      </c>
      <c r="CQ163" s="90">
        <f t="shared" si="166"/>
        <v>110194</v>
      </c>
      <c r="CR163" s="90">
        <f t="shared" ca="1" si="167"/>
        <v>462760</v>
      </c>
      <c r="CS163" s="90">
        <f t="shared" ca="1" si="168"/>
        <v>990586</v>
      </c>
      <c r="CT163" s="142">
        <f t="shared" ca="1" si="169"/>
        <v>7.9615500320012605E-2</v>
      </c>
      <c r="CU163" s="142">
        <f t="shared" ca="1" si="169"/>
        <v>0.34198545103605343</v>
      </c>
      <c r="CV163" s="142">
        <f t="shared" ca="1" si="169"/>
        <v>0.11124122489112505</v>
      </c>
      <c r="CW163" s="142">
        <f t="shared" ca="1" si="149"/>
        <v>0.46715782375280895</v>
      </c>
      <c r="CY163" s="128">
        <f t="shared" si="170"/>
        <v>39434</v>
      </c>
      <c r="CZ163" s="90">
        <f t="shared" si="171"/>
        <v>169219</v>
      </c>
      <c r="DA163" s="90">
        <f t="shared" si="172"/>
        <v>76602</v>
      </c>
      <c r="DB163" s="90">
        <f t="shared" ca="1" si="186"/>
        <v>231343.25</v>
      </c>
      <c r="DC163" s="90">
        <f t="shared" ca="1" si="173"/>
        <v>516598.25</v>
      </c>
      <c r="DD163" s="142">
        <f t="shared" ca="1" si="174"/>
        <v>7.6333979064001856E-2</v>
      </c>
      <c r="DE163" s="142">
        <f t="shared" ca="1" si="174"/>
        <v>0.32756402097761655</v>
      </c>
      <c r="DF163" s="142">
        <f t="shared" ca="1" si="174"/>
        <v>0.14828157083381524</v>
      </c>
      <c r="DG163" s="142">
        <f t="shared" ca="1" si="150"/>
        <v>0.44782042912456632</v>
      </c>
      <c r="DI163" s="128">
        <f t="shared" si="175"/>
        <v>19113</v>
      </c>
      <c r="DJ163" s="90">
        <f t="shared" si="176"/>
        <v>83315</v>
      </c>
      <c r="DK163" s="90">
        <f t="shared" si="177"/>
        <v>30090</v>
      </c>
      <c r="DL163" s="90">
        <f t="shared" ca="1" si="178"/>
        <v>37801.5</v>
      </c>
      <c r="DM163" s="90">
        <f t="shared" ca="1" si="179"/>
        <v>170319.5</v>
      </c>
      <c r="DN163" s="142">
        <f t="shared" ca="1" si="180"/>
        <v>0.11221850698246531</v>
      </c>
      <c r="DO163" s="142">
        <f t="shared" ca="1" si="180"/>
        <v>0.48916888553571375</v>
      </c>
      <c r="DP163" s="142">
        <f t="shared" ca="1" si="180"/>
        <v>0.17666796814222682</v>
      </c>
      <c r="DQ163" s="142">
        <f t="shared" ca="1" si="151"/>
        <v>0.2219446393395941</v>
      </c>
      <c r="DS163" s="128">
        <f t="shared" ca="1" si="181"/>
        <v>990586</v>
      </c>
      <c r="DT163" s="90">
        <f t="shared" ca="1" si="182"/>
        <v>516598.25</v>
      </c>
      <c r="DU163" s="90">
        <f t="shared" ca="1" si="183"/>
        <v>170319.5</v>
      </c>
      <c r="DV163" s="90">
        <f t="shared" si="184"/>
        <v>2464</v>
      </c>
      <c r="DW163" s="90">
        <f ca="1">_xlfn.IFNA(INDEX(武器升级消耗!$H:$H,MATCH(玩家节奏2!DS163/玩家节奏2!DS$5,武器升级消耗!M:M,1)),0)</f>
        <v>86</v>
      </c>
      <c r="DX163" s="90">
        <f ca="1">_xlfn.IFNA(INDEX(武器升级消耗!$H:$H,MATCH(玩家节奏2!DT163/玩家节奏2!DT$5,武器升级消耗!N:N,1)),0)</f>
        <v>75</v>
      </c>
      <c r="DY163" s="90">
        <f ca="1">_xlfn.IFNA(INDEX(武器升级消耗!$H:$H,MATCH(玩家节奏2!DU163/玩家节奏2!DU$5,武器升级消耗!O:O,1)),0)</f>
        <v>57</v>
      </c>
      <c r="DZ163" s="90">
        <f>_xlfn.IFNA(INDEX(武器升级消耗!$H:$H,MATCH(玩家节奏2!DV163/玩家节奏2!DV$5,武器升级消耗!P:P,1)),0)</f>
        <v>36</v>
      </c>
      <c r="EA163" s="90">
        <f ca="1">_xlfn.IFNA(INDEX(武器升级消耗!$Q:$Q,MATCH(玩家节奏2!DW163,武器升级消耗!$H:$H,0))*2*EA$4,0)</f>
        <v>10.799999999999986</v>
      </c>
      <c r="EB163" s="90">
        <f ca="1">_xlfn.IFNA(INDEX(武器升级消耗!$Q:$Q,MATCH(玩家节奏2!DX163,武器升级消耗!$H:$H,0))*2*EB$4,0)</f>
        <v>11.849999999999984</v>
      </c>
      <c r="EC163" s="90">
        <f ca="1">_xlfn.IFNA(INDEX(武器升级消耗!$Q:$Q,MATCH(玩家节奏2!DY163,武器升级消耗!$H:$H,0))*2*EC$4,0)</f>
        <v>13.42</v>
      </c>
      <c r="ED163" s="90">
        <f>_xlfn.IFNA(INDEX(武器升级消耗!$Q:$Q,MATCH(玩家节奏2!DZ163,武器升级消耗!$H:$H,0))*2*ED$4,0)</f>
        <v>12</v>
      </c>
    </row>
    <row r="164" spans="1:134" x14ac:dyDescent="0.25">
      <c r="A164" s="123">
        <v>158</v>
      </c>
      <c r="B164" s="123">
        <f>INDEX(关卡对比!$Y:$Y,MATCH(关卡对比!Z164,关卡对比!$AA:$AA,1))</f>
        <v>92</v>
      </c>
      <c r="C164" s="124">
        <f>INDEX(关卡对比!$Y:$Y,MATCH(关卡对比!Z164,关卡对比!$AB:$AB,1))</f>
        <v>71</v>
      </c>
      <c r="D164" s="125">
        <f t="shared" si="189"/>
        <v>611.5</v>
      </c>
      <c r="E164" s="125">
        <v>2</v>
      </c>
      <c r="F164" s="128">
        <v>16</v>
      </c>
      <c r="G164" s="90">
        <v>16</v>
      </c>
      <c r="H164" s="90">
        <v>5</v>
      </c>
      <c r="J164" s="128">
        <v>158</v>
      </c>
      <c r="K164" s="90">
        <f t="shared" si="152"/>
        <v>16</v>
      </c>
      <c r="L164" s="90">
        <f t="shared" si="153"/>
        <v>16</v>
      </c>
      <c r="M164" s="90">
        <f t="shared" si="154"/>
        <v>5</v>
      </c>
      <c r="N164" s="140">
        <f>INDEX($A:$A,MATCH(SUM($K$7:K164),$D:$D,1))</f>
        <v>200</v>
      </c>
      <c r="O164" s="140">
        <v>0</v>
      </c>
      <c r="P164" s="141">
        <v>0</v>
      </c>
      <c r="Q164" s="126">
        <f>_xlfn.MAXIFS(关卡产出!X:X,关卡产出!$A:$A,玩家节奏2!$N$6,关卡产出!$B:$B,玩家节奏2!$N164)+_xlfn.MAXIFS(关卡产出!X:X,关卡产出!$A:$A,玩家节奏2!$O$6,关卡产出!$B:$B,玩家节奏2!$O164)+_xlfn.MAXIFS(关卡产出!X:X,关卡产出!$A:$A,玩家节奏2!$P$6,关卡产出!$B:$B,玩家节奏2!$P164)</f>
        <v>38500</v>
      </c>
      <c r="R164" s="90">
        <f>_xlfn.MAXIFS(关卡产出!Y:Y,关卡产出!$A:$A,玩家节奏2!$N$6,关卡产出!$B:$B,玩家节奏2!$N164)+_xlfn.MAXIFS(关卡产出!Y:Y,关卡产出!$A:$A,玩家节奏2!$O$6,关卡产出!$B:$B,玩家节奏2!$O164)+_xlfn.MAXIFS(关卡产出!Y:Y,关卡产出!$A:$A,玩家节奏2!$P$6,关卡产出!$B:$B,玩家节奏2!$P164)</f>
        <v>11610000</v>
      </c>
      <c r="S164" s="90">
        <f>_xlfn.MAXIFS(关卡产出!Z:Z,关卡产出!$A:$A,玩家节奏2!$N$6,关卡产出!$B:$B,玩家节奏2!$N164)+_xlfn.MAXIFS(关卡产出!Z:Z,关卡产出!$A:$A,玩家节奏2!$O$6,关卡产出!$B:$B,玩家节奏2!$O164)+_xlfn.MAXIFS(关卡产出!Z:Z,关卡产出!$A:$A,玩家节奏2!$P$6,关卡产出!$B:$B,玩家节奏2!$P164)</f>
        <v>78866</v>
      </c>
      <c r="T164" s="90">
        <f>_xlfn.MAXIFS(关卡产出!AA:AA,关卡产出!$A:$A,玩家节奏2!$N$6,关卡产出!$B:$B,玩家节奏2!$N164)+_xlfn.MAXIFS(关卡产出!AA:AA,关卡产出!$A:$A,玩家节奏2!$O$6,关卡产出!$B:$B,玩家节奏2!$O164)+_xlfn.MAXIFS(关卡产出!AA:AA,关卡产出!$A:$A,玩家节奏2!$P$6,关卡产出!$B:$B,玩家节奏2!$P164)</f>
        <v>39434</v>
      </c>
      <c r="U164" s="90">
        <f>_xlfn.MAXIFS(关卡产出!AB:AB,关卡产出!$A:$A,玩家节奏2!$N$6,关卡产出!$B:$B,玩家节奏2!$N164)+_xlfn.MAXIFS(关卡产出!AB:AB,关卡产出!$A:$A,玩家节奏2!$O$6,关卡产出!$B:$B,玩家节奏2!$O164)+_xlfn.MAXIFS(关卡产出!AB:AB,关卡产出!$A:$A,玩家节奏2!$P$6,关卡产出!$B:$B,玩家节奏2!$P164)</f>
        <v>19113</v>
      </c>
      <c r="V164" s="130">
        <f>_xlfn.MAXIFS(关卡产出!AC:AC,关卡产出!$A:$A,玩家节奏2!$N$6,关卡产出!$B:$B,玩家节奏2!$N164)+_xlfn.MAXIFS(关卡产出!AC:AC,关卡产出!$A:$A,玩家节奏2!$O$6,关卡产出!$B:$B,玩家节奏2!$O164)+_xlfn.MAXIFS(关卡产出!AC:AC,关卡产出!$A:$A,玩家节奏2!$P$6,关卡产出!$B:$B,玩家节奏2!$P164)</f>
        <v>1200</v>
      </c>
      <c r="W164" s="126">
        <f>INDEX(关卡产出!C$8:C$207,MATCH(玩家节奏2!$N164,关卡产出!$B$8:$B$207,0))*$K164</f>
        <v>2528</v>
      </c>
      <c r="X164" s="126">
        <f>INDEX(关卡产出!D$8:D$207,MATCH(玩家节奏2!$N164,关卡产出!$B$8:$B$207,0))*$K164</f>
        <v>1264</v>
      </c>
      <c r="Y164" s="126">
        <f>INDEX(关卡产出!E$8:E$207,MATCH(玩家节奏2!$N164,关卡产出!$B$8:$B$207,0))*$K164</f>
        <v>624</v>
      </c>
      <c r="Z164" s="144">
        <f>INDEX(关卡产出!F$8:F$207,MATCH(玩家节奏2!$N164,关卡产出!$B$8:$B$207,0))*$K164</f>
        <v>32800</v>
      </c>
      <c r="AA164" s="126">
        <f>SUM(W$7:W164)</f>
        <v>341294</v>
      </c>
      <c r="AB164" s="126">
        <f>SUM(X$7:X164)</f>
        <v>170483</v>
      </c>
      <c r="AC164" s="126">
        <f>SUM(Y$7:Y164)</f>
        <v>83939</v>
      </c>
      <c r="AD164" s="177">
        <f>SUM(Z$7:Z164)</f>
        <v>4455930</v>
      </c>
      <c r="AE164" s="128">
        <f>INDEX(图鉴!AQ:AQ,MATCH($N164,图鉴!$S:$S,0))*34</f>
        <v>714</v>
      </c>
      <c r="AF164" s="90">
        <f>INDEX(图鉴!AR:AR,MATCH($N164,图鉴!$S:$S,0))*34</f>
        <v>510</v>
      </c>
      <c r="AG164" s="90">
        <f>INDEX(图鉴!AS:AS,MATCH($N164,图鉴!$S:$S,0))*34</f>
        <v>204</v>
      </c>
      <c r="AH164" s="129">
        <f ca="1">INDEX(图鉴!AT:AT,MATCH($N164,图鉴!$S:$S,0))*34</f>
        <v>55930</v>
      </c>
      <c r="AI164" s="128">
        <f>SUM($AE$7:AE164)</f>
        <v>110908</v>
      </c>
      <c r="AJ164" s="90">
        <f>SUM(AF$7:AF164)</f>
        <v>77112</v>
      </c>
      <c r="AK164" s="90">
        <f>SUM(AG$7:AG164)</f>
        <v>30294</v>
      </c>
      <c r="AL164" s="130">
        <f ca="1">SUM(AH$7:AH164)</f>
        <v>8007306</v>
      </c>
      <c r="AM164" s="133">
        <f>IF(M164=0,0,INDEX(关卡产出!$AU$11:$AU$15,MATCH(玩家节奏2!N164,关卡产出!$AW$11:$AW$15,1))*M164)</f>
        <v>61000</v>
      </c>
      <c r="AN164" s="126">
        <f>IF(L164=0,0,$L164*关卡产出!AU$21)</f>
        <v>16000</v>
      </c>
      <c r="AO164" s="90">
        <f>IF(M164=0,0,$L164*关卡产出!AV$21)</f>
        <v>800</v>
      </c>
      <c r="AP164" s="129">
        <f>IF(N164=0,0,$L164*关卡产出!AW$21)</f>
        <v>16</v>
      </c>
      <c r="AQ164" s="138">
        <f>SUM(AN$7:AN164)</f>
        <v>2480000</v>
      </c>
      <c r="AR164" s="126">
        <f>SUM(AO$7:AO164)</f>
        <v>124000</v>
      </c>
      <c r="AS164" s="129">
        <f>SUM(AP$7:AP164)</f>
        <v>2480</v>
      </c>
      <c r="AT164" s="128">
        <v>3000</v>
      </c>
      <c r="AU164" s="129">
        <v>600</v>
      </c>
      <c r="AV164" s="128">
        <f>SUM(AT$7:AT164)</f>
        <v>474000</v>
      </c>
      <c r="AW164" s="90">
        <f>SUM(AU$7:AU164)</f>
        <v>94800</v>
      </c>
      <c r="AY164" s="128">
        <f t="shared" si="155"/>
        <v>38500</v>
      </c>
      <c r="AZ164" s="90">
        <f t="shared" si="156"/>
        <v>124000</v>
      </c>
      <c r="BA164" s="90">
        <f t="shared" si="157"/>
        <v>94800</v>
      </c>
      <c r="BB164" s="90">
        <f t="shared" ca="1" si="185"/>
        <v>40800</v>
      </c>
      <c r="BC164" s="90">
        <f t="shared" ca="1" si="187"/>
        <v>151225</v>
      </c>
      <c r="BD164" s="90">
        <f t="shared" ca="1" si="188"/>
        <v>146875</v>
      </c>
      <c r="BE164" s="90">
        <f t="shared" ca="1" si="158"/>
        <v>298100</v>
      </c>
      <c r="BF164" s="142">
        <f t="shared" ca="1" si="139"/>
        <v>0.2545875351297735</v>
      </c>
      <c r="BG164" s="142">
        <f t="shared" ca="1" si="140"/>
        <v>0.81997024301537447</v>
      </c>
      <c r="BH164" s="142">
        <f t="shared" ca="1" si="141"/>
        <v>0.62688047611175401</v>
      </c>
      <c r="BI164" s="142">
        <f t="shared" ca="1" si="159"/>
        <v>0.26979666060505869</v>
      </c>
      <c r="BJ164" s="143"/>
      <c r="BK164" s="128">
        <f ca="1">INDEX(商城宝箱!$L:$L,MATCH(BC164,商城宝箱!$N:$N,1))</f>
        <v>13</v>
      </c>
      <c r="BL164" s="90">
        <f ca="1">_xlfn.IFNA(INDEX(商城宝箱!T:T,MATCH(玩家节奏2!$BK164,商城宝箱!$L:$L,0)),0)+($BC164-INDEX(商城宝箱!$N:$N,MATCH(玩家节奏2!$BK164,商城宝箱!$L:$L,0)))/$BK$5*INDEX(商城宝箱!E$23:E$42,MATCH(玩家节奏2!$BK164+1,商城宝箱!$C$23:$C$42,0))</f>
        <v>378062.5</v>
      </c>
      <c r="BM164" s="90">
        <f ca="1">_xlfn.IFNA(INDEX(商城宝箱!U:U,MATCH(玩家节奏2!$BK164,商城宝箱!$L:$L,0)),0)+($BC164-INDEX(商城宝箱!$N:$N,MATCH(玩家节奏2!$BK164,商城宝箱!$L:$L,0)))/$BK$5*INDEX(商城宝箱!F$23:F$42,MATCH(玩家节奏2!$BK164+1,商城宝箱!$C$23:$C$42,0))</f>
        <v>466050</v>
      </c>
      <c r="BN164" s="90">
        <f ca="1">_xlfn.IFNA(INDEX(商城宝箱!V:V,MATCH(玩家节奏2!$BK164,商城宝箱!$L:$L,0)),0)+($BC164-INDEX(商城宝箱!$N:$N,MATCH(玩家节奏2!$BK164,商城宝箱!$L:$L,0)))/$BK$5*INDEX(商城宝箱!G$23:G$42,MATCH(玩家节奏2!$BK164+1,商城宝箱!$C$23:$C$42,0))</f>
        <v>232918.25</v>
      </c>
      <c r="BO164" s="90">
        <f ca="1">_xlfn.IFNA(INDEX(商城宝箱!W:W,MATCH(玩家节奏2!$BK164,商城宝箱!$L:$L,0)),0)+($BC164-INDEX(商城宝箱!$N:$N,MATCH(玩家节奏2!$BK164,商城宝箱!$L:$L,0)))/$BK$5*INDEX(商城宝箱!H$23:H$42,MATCH(玩家节奏2!$BK164+1,商城宝箱!$C$23:$C$42,0))</f>
        <v>38081.5</v>
      </c>
      <c r="BQ164" s="128">
        <f t="shared" si="143"/>
        <v>11610000</v>
      </c>
      <c r="BR164" s="90">
        <f t="shared" si="144"/>
        <v>4455930</v>
      </c>
      <c r="BS164" s="90">
        <f t="shared" ca="1" si="145"/>
        <v>8007306</v>
      </c>
      <c r="BT164" s="90">
        <f t="shared" si="146"/>
        <v>61000</v>
      </c>
      <c r="BU164" s="90">
        <f t="shared" si="147"/>
        <v>2480000</v>
      </c>
      <c r="BV164" s="90">
        <f t="shared" si="148"/>
        <v>474000</v>
      </c>
      <c r="BW164" s="90">
        <f t="shared" ca="1" si="160"/>
        <v>378062.5</v>
      </c>
      <c r="BX164" s="90">
        <f t="shared" ca="1" si="161"/>
        <v>27466298.5</v>
      </c>
      <c r="BY164" s="142">
        <f t="shared" ca="1" si="191"/>
        <v>0.4226998406792965</v>
      </c>
      <c r="BZ164" s="142">
        <f t="shared" ca="1" si="191"/>
        <v>0.16223263575177413</v>
      </c>
      <c r="CA164" s="142">
        <f t="shared" ca="1" si="191"/>
        <v>0.29153203880020456</v>
      </c>
      <c r="CB164" s="142">
        <f t="shared" ca="1" si="190"/>
        <v>2.2209035556793356E-3</v>
      </c>
      <c r="CC164" s="142">
        <f t="shared" ca="1" si="190"/>
        <v>9.0292472427618883E-2</v>
      </c>
      <c r="CD164" s="142">
        <f t="shared" ca="1" si="190"/>
        <v>1.7257512875278772E-2</v>
      </c>
      <c r="CE164" s="142">
        <f t="shared" ca="1" si="190"/>
        <v>1.3764595910147849E-2</v>
      </c>
      <c r="CG164" s="128">
        <f t="shared" si="162"/>
        <v>200</v>
      </c>
      <c r="CH164" s="90">
        <f ca="1">INDEX(角色升级!$A:$A,MATCH(玩家节奏2!$BX164,角色升级!$J:$J,1))</f>
        <v>1047</v>
      </c>
      <c r="CI164" s="90">
        <f ca="1">INDEX(角色升级!$O:$O,MATCH(玩家节奏2!$BX164,角色升级!$J:$J,1))</f>
        <v>99294.156750000009</v>
      </c>
      <c r="CJ164" s="90">
        <f>INDEX(关卡对比!$J:$J,MATCH(玩家节奏2!N164,关卡对比!$A:$A,0))</f>
        <v>86200</v>
      </c>
      <c r="CK164" s="147">
        <f t="shared" ca="1" si="163"/>
        <v>0.8681276202086281</v>
      </c>
      <c r="CL164" s="128">
        <f ca="1">INDEX(角色升级!$P:$P,MATCH(玩家节奏2!$CH164,角色升级!$A:$A,0))</f>
        <v>40800</v>
      </c>
      <c r="CM164" s="90">
        <f ca="1">INDEX(角色升级!Q:Q,MATCH(玩家节奏2!$CH164,角色升级!$A:$A,0))</f>
        <v>2.2000000000000002</v>
      </c>
      <c r="CO164" s="128">
        <f t="shared" si="164"/>
        <v>78866</v>
      </c>
      <c r="CP164" s="90">
        <f t="shared" si="165"/>
        <v>341294</v>
      </c>
      <c r="CQ164" s="90">
        <f t="shared" si="166"/>
        <v>110908</v>
      </c>
      <c r="CR164" s="90">
        <f t="shared" ca="1" si="167"/>
        <v>466050</v>
      </c>
      <c r="CS164" s="90">
        <f t="shared" ca="1" si="168"/>
        <v>997118</v>
      </c>
      <c r="CT164" s="142">
        <f t="shared" ca="1" si="169"/>
        <v>7.9093948760327257E-2</v>
      </c>
      <c r="CU164" s="142">
        <f t="shared" ca="1" si="169"/>
        <v>0.34228045226342318</v>
      </c>
      <c r="CV164" s="142">
        <f t="shared" ca="1" si="169"/>
        <v>0.1112285607119719</v>
      </c>
      <c r="CW164" s="142">
        <f t="shared" ca="1" si="149"/>
        <v>0.46739703826427764</v>
      </c>
      <c r="CY164" s="128">
        <f t="shared" si="170"/>
        <v>39434</v>
      </c>
      <c r="CZ164" s="90">
        <f t="shared" si="171"/>
        <v>170483</v>
      </c>
      <c r="DA164" s="90">
        <f t="shared" si="172"/>
        <v>77112</v>
      </c>
      <c r="DB164" s="90">
        <f t="shared" ca="1" si="186"/>
        <v>232918.25</v>
      </c>
      <c r="DC164" s="90">
        <f t="shared" ca="1" si="173"/>
        <v>519947.25</v>
      </c>
      <c r="DD164" s="142">
        <f t="shared" ca="1" si="174"/>
        <v>7.5842309003461408E-2</v>
      </c>
      <c r="DE164" s="142">
        <f t="shared" ca="1" si="174"/>
        <v>0.32788518450669757</v>
      </c>
      <c r="DF164" s="142">
        <f t="shared" ca="1" si="174"/>
        <v>0.14830735233237602</v>
      </c>
      <c r="DG164" s="142">
        <f t="shared" ca="1" si="150"/>
        <v>0.44796515415746502</v>
      </c>
      <c r="DI164" s="128">
        <f t="shared" si="175"/>
        <v>19113</v>
      </c>
      <c r="DJ164" s="90">
        <f t="shared" si="176"/>
        <v>83939</v>
      </c>
      <c r="DK164" s="90">
        <f t="shared" si="177"/>
        <v>30294</v>
      </c>
      <c r="DL164" s="90">
        <f t="shared" ca="1" si="178"/>
        <v>38081.5</v>
      </c>
      <c r="DM164" s="90">
        <f t="shared" ca="1" si="179"/>
        <v>171427.5</v>
      </c>
      <c r="DN164" s="142">
        <f t="shared" ca="1" si="180"/>
        <v>0.1114931968324802</v>
      </c>
      <c r="DO164" s="142">
        <f t="shared" ca="1" si="180"/>
        <v>0.48964722696183516</v>
      </c>
      <c r="DP164" s="142">
        <f t="shared" ca="1" si="180"/>
        <v>0.17671610447565297</v>
      </c>
      <c r="DQ164" s="142">
        <f t="shared" ca="1" si="151"/>
        <v>0.22214347173003166</v>
      </c>
      <c r="DS164" s="128">
        <f t="shared" ca="1" si="181"/>
        <v>997118</v>
      </c>
      <c r="DT164" s="90">
        <f t="shared" ca="1" si="182"/>
        <v>519947.25</v>
      </c>
      <c r="DU164" s="90">
        <f t="shared" ca="1" si="183"/>
        <v>171427.5</v>
      </c>
      <c r="DV164" s="90">
        <f t="shared" si="184"/>
        <v>2480</v>
      </c>
      <c r="DW164" s="90">
        <f ca="1">_xlfn.IFNA(INDEX(武器升级消耗!$H:$H,MATCH(玩家节奏2!DS164/玩家节奏2!DS$5,武器升级消耗!M:M,1)),0)</f>
        <v>86</v>
      </c>
      <c r="DX164" s="90">
        <f ca="1">_xlfn.IFNA(INDEX(武器升级消耗!$H:$H,MATCH(玩家节奏2!DT164/玩家节奏2!DT$5,武器升级消耗!N:N,1)),0)</f>
        <v>75</v>
      </c>
      <c r="DY164" s="90">
        <f ca="1">_xlfn.IFNA(INDEX(武器升级消耗!$H:$H,MATCH(玩家节奏2!DU164/玩家节奏2!DU$5,武器升级消耗!O:O,1)),0)</f>
        <v>57</v>
      </c>
      <c r="DZ164" s="90">
        <f>_xlfn.IFNA(INDEX(武器升级消耗!$H:$H,MATCH(玩家节奏2!DV164/玩家节奏2!DV$5,武器升级消耗!P:P,1)),0)</f>
        <v>36</v>
      </c>
      <c r="EA164" s="90">
        <f ca="1">_xlfn.IFNA(INDEX(武器升级消耗!$Q:$Q,MATCH(玩家节奏2!DW164,武器升级消耗!$H:$H,0))*2*EA$4,0)</f>
        <v>10.799999999999986</v>
      </c>
      <c r="EB164" s="90">
        <f ca="1">_xlfn.IFNA(INDEX(武器升级消耗!$Q:$Q,MATCH(玩家节奏2!DX164,武器升级消耗!$H:$H,0))*2*EB$4,0)</f>
        <v>11.849999999999984</v>
      </c>
      <c r="EC164" s="90">
        <f ca="1">_xlfn.IFNA(INDEX(武器升级消耗!$Q:$Q,MATCH(玩家节奏2!DY164,武器升级消耗!$H:$H,0))*2*EC$4,0)</f>
        <v>13.42</v>
      </c>
      <c r="ED164" s="90">
        <f>_xlfn.IFNA(INDEX(武器升级消耗!$Q:$Q,MATCH(玩家节奏2!DZ164,武器升级消耗!$H:$H,0))*2*ED$4,0)</f>
        <v>12</v>
      </c>
    </row>
    <row r="165" spans="1:134" x14ac:dyDescent="0.25">
      <c r="A165" s="123">
        <v>159</v>
      </c>
      <c r="B165" s="123">
        <f>INDEX(关卡对比!$Y:$Y,MATCH(关卡对比!Z165,关卡对比!$AA:$AA,1))</f>
        <v>93</v>
      </c>
      <c r="C165" s="124">
        <f>INDEX(关卡对比!$Y:$Y,MATCH(关卡对比!Z165,关卡对比!$AB:$AB,1))</f>
        <v>71</v>
      </c>
      <c r="D165" s="125">
        <f t="shared" si="189"/>
        <v>615.5</v>
      </c>
      <c r="E165" s="125">
        <v>2</v>
      </c>
      <c r="F165" s="128">
        <v>16</v>
      </c>
      <c r="G165" s="90">
        <v>16</v>
      </c>
      <c r="H165" s="90">
        <v>5</v>
      </c>
      <c r="J165" s="128">
        <v>159</v>
      </c>
      <c r="K165" s="90">
        <f t="shared" si="152"/>
        <v>16</v>
      </c>
      <c r="L165" s="90">
        <f t="shared" si="153"/>
        <v>16</v>
      </c>
      <c r="M165" s="90">
        <f t="shared" si="154"/>
        <v>5</v>
      </c>
      <c r="N165" s="140">
        <f>INDEX($A:$A,MATCH(SUM($K$7:K165),$D:$D,1))</f>
        <v>200</v>
      </c>
      <c r="O165" s="140">
        <v>0</v>
      </c>
      <c r="P165" s="141">
        <v>0</v>
      </c>
      <c r="Q165" s="126">
        <f>_xlfn.MAXIFS(关卡产出!X:X,关卡产出!$A:$A,玩家节奏2!$N$6,关卡产出!$B:$B,玩家节奏2!$N165)+_xlfn.MAXIFS(关卡产出!X:X,关卡产出!$A:$A,玩家节奏2!$O$6,关卡产出!$B:$B,玩家节奏2!$O165)+_xlfn.MAXIFS(关卡产出!X:X,关卡产出!$A:$A,玩家节奏2!$P$6,关卡产出!$B:$B,玩家节奏2!$P165)</f>
        <v>38500</v>
      </c>
      <c r="R165" s="90">
        <f>_xlfn.MAXIFS(关卡产出!Y:Y,关卡产出!$A:$A,玩家节奏2!$N$6,关卡产出!$B:$B,玩家节奏2!$N165)+_xlfn.MAXIFS(关卡产出!Y:Y,关卡产出!$A:$A,玩家节奏2!$O$6,关卡产出!$B:$B,玩家节奏2!$O165)+_xlfn.MAXIFS(关卡产出!Y:Y,关卡产出!$A:$A,玩家节奏2!$P$6,关卡产出!$B:$B,玩家节奏2!$P165)</f>
        <v>11610000</v>
      </c>
      <c r="S165" s="90">
        <f>_xlfn.MAXIFS(关卡产出!Z:Z,关卡产出!$A:$A,玩家节奏2!$N$6,关卡产出!$B:$B,玩家节奏2!$N165)+_xlfn.MAXIFS(关卡产出!Z:Z,关卡产出!$A:$A,玩家节奏2!$O$6,关卡产出!$B:$B,玩家节奏2!$O165)+_xlfn.MAXIFS(关卡产出!Z:Z,关卡产出!$A:$A,玩家节奏2!$P$6,关卡产出!$B:$B,玩家节奏2!$P165)</f>
        <v>78866</v>
      </c>
      <c r="T165" s="90">
        <f>_xlfn.MAXIFS(关卡产出!AA:AA,关卡产出!$A:$A,玩家节奏2!$N$6,关卡产出!$B:$B,玩家节奏2!$N165)+_xlfn.MAXIFS(关卡产出!AA:AA,关卡产出!$A:$A,玩家节奏2!$O$6,关卡产出!$B:$B,玩家节奏2!$O165)+_xlfn.MAXIFS(关卡产出!AA:AA,关卡产出!$A:$A,玩家节奏2!$P$6,关卡产出!$B:$B,玩家节奏2!$P165)</f>
        <v>39434</v>
      </c>
      <c r="U165" s="90">
        <f>_xlfn.MAXIFS(关卡产出!AB:AB,关卡产出!$A:$A,玩家节奏2!$N$6,关卡产出!$B:$B,玩家节奏2!$N165)+_xlfn.MAXIFS(关卡产出!AB:AB,关卡产出!$A:$A,玩家节奏2!$O$6,关卡产出!$B:$B,玩家节奏2!$O165)+_xlfn.MAXIFS(关卡产出!AB:AB,关卡产出!$A:$A,玩家节奏2!$P$6,关卡产出!$B:$B,玩家节奏2!$P165)</f>
        <v>19113</v>
      </c>
      <c r="V165" s="130">
        <f>_xlfn.MAXIFS(关卡产出!AC:AC,关卡产出!$A:$A,玩家节奏2!$N$6,关卡产出!$B:$B,玩家节奏2!$N165)+_xlfn.MAXIFS(关卡产出!AC:AC,关卡产出!$A:$A,玩家节奏2!$O$6,关卡产出!$B:$B,玩家节奏2!$O165)+_xlfn.MAXIFS(关卡产出!AC:AC,关卡产出!$A:$A,玩家节奏2!$P$6,关卡产出!$B:$B,玩家节奏2!$P165)</f>
        <v>1200</v>
      </c>
      <c r="W165" s="126">
        <f>INDEX(关卡产出!C$8:C$207,MATCH(玩家节奏2!$N165,关卡产出!$B$8:$B$207,0))*$K165</f>
        <v>2528</v>
      </c>
      <c r="X165" s="126">
        <f>INDEX(关卡产出!D$8:D$207,MATCH(玩家节奏2!$N165,关卡产出!$B$8:$B$207,0))*$K165</f>
        <v>1264</v>
      </c>
      <c r="Y165" s="126">
        <f>INDEX(关卡产出!E$8:E$207,MATCH(玩家节奏2!$N165,关卡产出!$B$8:$B$207,0))*$K165</f>
        <v>624</v>
      </c>
      <c r="Z165" s="144">
        <f>INDEX(关卡产出!F$8:F$207,MATCH(玩家节奏2!$N165,关卡产出!$B$8:$B$207,0))*$K165</f>
        <v>32800</v>
      </c>
      <c r="AA165" s="126">
        <f>SUM(W$7:W165)</f>
        <v>343822</v>
      </c>
      <c r="AB165" s="126">
        <f>SUM(X$7:X165)</f>
        <v>171747</v>
      </c>
      <c r="AC165" s="126">
        <f>SUM(Y$7:Y165)</f>
        <v>84563</v>
      </c>
      <c r="AD165" s="177">
        <f>SUM(Z$7:Z165)</f>
        <v>4488730</v>
      </c>
      <c r="AE165" s="128">
        <f>INDEX(图鉴!AQ:AQ,MATCH($N165,图鉴!$S:$S,0))*34</f>
        <v>714</v>
      </c>
      <c r="AF165" s="90">
        <f>INDEX(图鉴!AR:AR,MATCH($N165,图鉴!$S:$S,0))*34</f>
        <v>510</v>
      </c>
      <c r="AG165" s="90">
        <f>INDEX(图鉴!AS:AS,MATCH($N165,图鉴!$S:$S,0))*34</f>
        <v>204</v>
      </c>
      <c r="AH165" s="129">
        <f ca="1">INDEX(图鉴!AT:AT,MATCH($N165,图鉴!$S:$S,0))*34</f>
        <v>55930</v>
      </c>
      <c r="AI165" s="128">
        <f>SUM($AE$7:AE165)</f>
        <v>111622</v>
      </c>
      <c r="AJ165" s="90">
        <f>SUM(AF$7:AF165)</f>
        <v>77622</v>
      </c>
      <c r="AK165" s="90">
        <f>SUM(AG$7:AG165)</f>
        <v>30498</v>
      </c>
      <c r="AL165" s="130">
        <f ca="1">SUM(AH$7:AH165)</f>
        <v>8063236</v>
      </c>
      <c r="AM165" s="133">
        <f>IF(M165=0,0,INDEX(关卡产出!$AU$11:$AU$15,MATCH(玩家节奏2!N165,关卡产出!$AW$11:$AW$15,1))*M165)</f>
        <v>61000</v>
      </c>
      <c r="AN165" s="126">
        <f>IF(L165=0,0,$L165*关卡产出!AU$21)</f>
        <v>16000</v>
      </c>
      <c r="AO165" s="90">
        <f>IF(M165=0,0,$L165*关卡产出!AV$21)</f>
        <v>800</v>
      </c>
      <c r="AP165" s="129">
        <f>IF(N165=0,0,$L165*关卡产出!AW$21)</f>
        <v>16</v>
      </c>
      <c r="AQ165" s="138">
        <f>SUM(AN$7:AN165)</f>
        <v>2496000</v>
      </c>
      <c r="AR165" s="126">
        <f>SUM(AO$7:AO165)</f>
        <v>124800</v>
      </c>
      <c r="AS165" s="129">
        <f>SUM(AP$7:AP165)</f>
        <v>2496</v>
      </c>
      <c r="AT165" s="128">
        <v>3000</v>
      </c>
      <c r="AU165" s="129">
        <v>600</v>
      </c>
      <c r="AV165" s="128">
        <f>SUM(AT$7:AT165)</f>
        <v>477000</v>
      </c>
      <c r="AW165" s="90">
        <f>SUM(AU$7:AU165)</f>
        <v>95400</v>
      </c>
      <c r="AY165" s="128">
        <f t="shared" si="155"/>
        <v>38500</v>
      </c>
      <c r="AZ165" s="90">
        <f t="shared" si="156"/>
        <v>124800</v>
      </c>
      <c r="BA165" s="90">
        <f t="shared" si="157"/>
        <v>95400</v>
      </c>
      <c r="BB165" s="90">
        <f t="shared" ca="1" si="185"/>
        <v>40800</v>
      </c>
      <c r="BC165" s="90">
        <f t="shared" ca="1" si="187"/>
        <v>151925</v>
      </c>
      <c r="BD165" s="90">
        <f t="shared" ca="1" si="188"/>
        <v>147575</v>
      </c>
      <c r="BE165" s="90">
        <f t="shared" ca="1" si="158"/>
        <v>299500</v>
      </c>
      <c r="BF165" s="142">
        <f t="shared" ca="1" si="139"/>
        <v>0.25341451374033241</v>
      </c>
      <c r="BG165" s="142">
        <f t="shared" ca="1" si="140"/>
        <v>0.82145795622840212</v>
      </c>
      <c r="BH165" s="142">
        <f t="shared" ca="1" si="141"/>
        <v>0.6279414184630574</v>
      </c>
      <c r="BI165" s="142">
        <f t="shared" ca="1" si="159"/>
        <v>0.26855356261313146</v>
      </c>
      <c r="BJ165" s="143"/>
      <c r="BK165" s="128">
        <f ca="1">INDEX(商城宝箱!$L:$L,MATCH(BC165,商城宝箱!$N:$N,1))</f>
        <v>13</v>
      </c>
      <c r="BL165" s="90">
        <f ca="1">_xlfn.IFNA(INDEX(商城宝箱!T:T,MATCH(玩家节奏2!$BK165,商城宝箱!$L:$L,0)),0)+($BC165-INDEX(商城宝箱!$N:$N,MATCH(玩家节奏2!$BK165,商城宝箱!$L:$L,0)))/$BK$5*INDEX(商城宝箱!E$23:E$42,MATCH(玩家节奏2!$BK165+1,商城宝箱!$C$23:$C$42,0))</f>
        <v>379812.5</v>
      </c>
      <c r="BM165" s="90">
        <f ca="1">_xlfn.IFNA(INDEX(商城宝箱!U:U,MATCH(玩家节奏2!$BK165,商城宝箱!$L:$L,0)),0)+($BC165-INDEX(商城宝箱!$N:$N,MATCH(玩家节奏2!$BK165,商城宝箱!$L:$L,0)))/$BK$5*INDEX(商城宝箱!F$23:F$42,MATCH(玩家节奏2!$BK165+1,商城宝箱!$C$23:$C$42,0))</f>
        <v>469340</v>
      </c>
      <c r="BN165" s="90">
        <f ca="1">_xlfn.IFNA(INDEX(商城宝箱!V:V,MATCH(玩家节奏2!$BK165,商城宝箱!$L:$L,0)),0)+($BC165-INDEX(商城宝箱!$N:$N,MATCH(玩家节奏2!$BK165,商城宝箱!$L:$L,0)))/$BK$5*INDEX(商城宝箱!G$23:G$42,MATCH(玩家节奏2!$BK165+1,商城宝箱!$C$23:$C$42,0))</f>
        <v>234493.25</v>
      </c>
      <c r="BO165" s="90">
        <f ca="1">_xlfn.IFNA(INDEX(商城宝箱!W:W,MATCH(玩家节奏2!$BK165,商城宝箱!$L:$L,0)),0)+($BC165-INDEX(商城宝箱!$N:$N,MATCH(玩家节奏2!$BK165,商城宝箱!$L:$L,0)))/$BK$5*INDEX(商城宝箱!H$23:H$42,MATCH(玩家节奏2!$BK165+1,商城宝箱!$C$23:$C$42,0))</f>
        <v>38361.5</v>
      </c>
      <c r="BQ165" s="128">
        <f t="shared" si="143"/>
        <v>11610000</v>
      </c>
      <c r="BR165" s="90">
        <f t="shared" si="144"/>
        <v>4488730</v>
      </c>
      <c r="BS165" s="90">
        <f t="shared" ca="1" si="145"/>
        <v>8063236</v>
      </c>
      <c r="BT165" s="90">
        <f t="shared" si="146"/>
        <v>61000</v>
      </c>
      <c r="BU165" s="90">
        <f t="shared" si="147"/>
        <v>2496000</v>
      </c>
      <c r="BV165" s="90">
        <f t="shared" si="148"/>
        <v>477000</v>
      </c>
      <c r="BW165" s="90">
        <f t="shared" ca="1" si="160"/>
        <v>379812.5</v>
      </c>
      <c r="BX165" s="90">
        <f t="shared" ca="1" si="161"/>
        <v>27575778.5</v>
      </c>
      <c r="BY165" s="142">
        <f t="shared" ca="1" si="191"/>
        <v>0.42102165855444479</v>
      </c>
      <c r="BZ165" s="142">
        <f t="shared" ca="1" si="191"/>
        <v>0.16277799736460749</v>
      </c>
      <c r="CA165" s="142">
        <f t="shared" ca="1" si="191"/>
        <v>0.29240284186355792</v>
      </c>
      <c r="CB165" s="142">
        <f t="shared" ca="1" si="190"/>
        <v>2.2120862335763248E-3</v>
      </c>
      <c r="CC165" s="142">
        <f t="shared" ca="1" si="190"/>
        <v>9.0514217032893557E-2</v>
      </c>
      <c r="CD165" s="142">
        <f t="shared" ca="1" si="190"/>
        <v>1.729778907239192E-2</v>
      </c>
      <c r="CE165" s="142">
        <f t="shared" ca="1" si="190"/>
        <v>1.3773409878527999E-2</v>
      </c>
      <c r="CG165" s="128">
        <f t="shared" si="162"/>
        <v>200</v>
      </c>
      <c r="CH165" s="90">
        <f ca="1">INDEX(角色升级!$A:$A,MATCH(玩家节奏2!$BX165,角色升级!$J:$J,1))</f>
        <v>1047</v>
      </c>
      <c r="CI165" s="90">
        <f ca="1">INDEX(角色升级!$O:$O,MATCH(玩家节奏2!$BX165,角色升级!$J:$J,1))</f>
        <v>99294.156750000009</v>
      </c>
      <c r="CJ165" s="90">
        <f>INDEX(关卡对比!$J:$J,MATCH(玩家节奏2!N165,关卡对比!$A:$A,0))</f>
        <v>86200</v>
      </c>
      <c r="CK165" s="147">
        <f t="shared" ca="1" si="163"/>
        <v>0.8681276202086281</v>
      </c>
      <c r="CL165" s="128">
        <f ca="1">INDEX(角色升级!$P:$P,MATCH(玩家节奏2!$CH165,角色升级!$A:$A,0))</f>
        <v>40800</v>
      </c>
      <c r="CM165" s="90">
        <f ca="1">INDEX(角色升级!Q:Q,MATCH(玩家节奏2!$CH165,角色升级!$A:$A,0))</f>
        <v>2.2000000000000002</v>
      </c>
      <c r="CO165" s="128">
        <f t="shared" si="164"/>
        <v>78866</v>
      </c>
      <c r="CP165" s="90">
        <f t="shared" si="165"/>
        <v>343822</v>
      </c>
      <c r="CQ165" s="90">
        <f t="shared" si="166"/>
        <v>111622</v>
      </c>
      <c r="CR165" s="90">
        <f t="shared" ca="1" si="167"/>
        <v>469340</v>
      </c>
      <c r="CS165" s="90">
        <f t="shared" ca="1" si="168"/>
        <v>1003650</v>
      </c>
      <c r="CT165" s="142">
        <f t="shared" ca="1" si="169"/>
        <v>7.8579185971205098E-2</v>
      </c>
      <c r="CU165" s="142">
        <f t="shared" ca="1" si="169"/>
        <v>0.34257161361032235</v>
      </c>
      <c r="CV165" s="142">
        <f t="shared" ca="1" si="169"/>
        <v>0.11121606137597768</v>
      </c>
      <c r="CW165" s="142">
        <f t="shared" ca="1" si="149"/>
        <v>0.46763313904249487</v>
      </c>
      <c r="CY165" s="128">
        <f t="shared" si="170"/>
        <v>39434</v>
      </c>
      <c r="CZ165" s="90">
        <f t="shared" si="171"/>
        <v>171747</v>
      </c>
      <c r="DA165" s="90">
        <f t="shared" si="172"/>
        <v>77622</v>
      </c>
      <c r="DB165" s="90">
        <f t="shared" ca="1" si="186"/>
        <v>234493.25</v>
      </c>
      <c r="DC165" s="90">
        <f t="shared" ca="1" si="173"/>
        <v>523296.25</v>
      </c>
      <c r="DD165" s="142">
        <f t="shared" ca="1" si="174"/>
        <v>7.5356932139299684E-2</v>
      </c>
      <c r="DE165" s="142">
        <f t="shared" ca="1" si="174"/>
        <v>0.32820223726044284</v>
      </c>
      <c r="DF165" s="142">
        <f t="shared" ca="1" si="174"/>
        <v>0.14833280383721459</v>
      </c>
      <c r="DG165" s="142">
        <f t="shared" ca="1" si="150"/>
        <v>0.4481080267630429</v>
      </c>
      <c r="DI165" s="128">
        <f t="shared" si="175"/>
        <v>19113</v>
      </c>
      <c r="DJ165" s="90">
        <f t="shared" si="176"/>
        <v>84563</v>
      </c>
      <c r="DK165" s="90">
        <f t="shared" si="177"/>
        <v>30498</v>
      </c>
      <c r="DL165" s="90">
        <f t="shared" ca="1" si="178"/>
        <v>38361.5</v>
      </c>
      <c r="DM165" s="90">
        <f t="shared" ca="1" si="179"/>
        <v>172535.5</v>
      </c>
      <c r="DN165" s="142">
        <f t="shared" ca="1" si="180"/>
        <v>0.11077720237284501</v>
      </c>
      <c r="DO165" s="142">
        <f t="shared" ca="1" si="180"/>
        <v>0.4901194246981056</v>
      </c>
      <c r="DP165" s="142">
        <f t="shared" ca="1" si="180"/>
        <v>0.17676362255883571</v>
      </c>
      <c r="DQ165" s="142">
        <f t="shared" ca="1" si="151"/>
        <v>0.22233975037021367</v>
      </c>
      <c r="DS165" s="128">
        <f t="shared" ca="1" si="181"/>
        <v>1003650</v>
      </c>
      <c r="DT165" s="90">
        <f t="shared" ca="1" si="182"/>
        <v>523296.25</v>
      </c>
      <c r="DU165" s="90">
        <f t="shared" ca="1" si="183"/>
        <v>172535.5</v>
      </c>
      <c r="DV165" s="90">
        <f t="shared" si="184"/>
        <v>2496</v>
      </c>
      <c r="DW165" s="90">
        <f ca="1">_xlfn.IFNA(INDEX(武器升级消耗!$H:$H,MATCH(玩家节奏2!DS165/玩家节奏2!DS$5,武器升级消耗!M:M,1)),0)</f>
        <v>86</v>
      </c>
      <c r="DX165" s="90">
        <f ca="1">_xlfn.IFNA(INDEX(武器升级消耗!$H:$H,MATCH(玩家节奏2!DT165/玩家节奏2!DT$5,武器升级消耗!N:N,1)),0)</f>
        <v>76</v>
      </c>
      <c r="DY165" s="90">
        <f ca="1">_xlfn.IFNA(INDEX(武器升级消耗!$H:$H,MATCH(玩家节奏2!DU165/玩家节奏2!DU$5,武器升级消耗!O:O,1)),0)</f>
        <v>57</v>
      </c>
      <c r="DZ165" s="90">
        <f>_xlfn.IFNA(INDEX(武器升级消耗!$H:$H,MATCH(玩家节奏2!DV165/玩家节奏2!DV$5,武器升级消耗!P:P,1)),0)</f>
        <v>36</v>
      </c>
      <c r="EA165" s="90">
        <f ca="1">_xlfn.IFNA(INDEX(武器升级消耗!$Q:$Q,MATCH(玩家节奏2!DW165,武器升级消耗!$H:$H,0))*2*EA$4,0)</f>
        <v>10.799999999999986</v>
      </c>
      <c r="EB165" s="90">
        <f ca="1">_xlfn.IFNA(INDEX(武器升级消耗!$Q:$Q,MATCH(玩家节奏2!DX165,武器升级消耗!$H:$H,0))*2*EB$4,0)</f>
        <v>11.999999999999986</v>
      </c>
      <c r="EC165" s="90">
        <f ca="1">_xlfn.IFNA(INDEX(武器升级消耗!$Q:$Q,MATCH(玩家节奏2!DY165,武器升级消耗!$H:$H,0))*2*EC$4,0)</f>
        <v>13.42</v>
      </c>
      <c r="ED165" s="90">
        <f>_xlfn.IFNA(INDEX(武器升级消耗!$Q:$Q,MATCH(玩家节奏2!DZ165,武器升级消耗!$H:$H,0))*2*ED$4,0)</f>
        <v>12</v>
      </c>
    </row>
    <row r="166" spans="1:134" x14ac:dyDescent="0.25">
      <c r="A166" s="123">
        <v>160</v>
      </c>
      <c r="B166" s="123">
        <f>INDEX(关卡对比!$Y:$Y,MATCH(关卡对比!Z166,关卡对比!$AA:$AA,1))</f>
        <v>93</v>
      </c>
      <c r="C166" s="124">
        <f>INDEX(关卡对比!$Y:$Y,MATCH(关卡对比!Z166,关卡对比!$AB:$AB,1))</f>
        <v>71</v>
      </c>
      <c r="D166" s="125">
        <f t="shared" si="189"/>
        <v>617.5</v>
      </c>
      <c r="E166" s="125">
        <v>2</v>
      </c>
      <c r="F166" s="128">
        <v>16</v>
      </c>
      <c r="G166" s="90">
        <v>16</v>
      </c>
      <c r="H166" s="90">
        <v>5</v>
      </c>
      <c r="J166" s="128">
        <v>160</v>
      </c>
      <c r="K166" s="90">
        <f t="shared" si="152"/>
        <v>16</v>
      </c>
      <c r="L166" s="90">
        <f t="shared" si="153"/>
        <v>16</v>
      </c>
      <c r="M166" s="90">
        <f t="shared" si="154"/>
        <v>5</v>
      </c>
      <c r="N166" s="140">
        <f>INDEX($A:$A,MATCH(SUM($K$7:K166),$D:$D,1))</f>
        <v>200</v>
      </c>
      <c r="O166" s="140">
        <v>0</v>
      </c>
      <c r="P166" s="141">
        <v>0</v>
      </c>
      <c r="Q166" s="126">
        <f>_xlfn.MAXIFS(关卡产出!X:X,关卡产出!$A:$A,玩家节奏2!$N$6,关卡产出!$B:$B,玩家节奏2!$N166)+_xlfn.MAXIFS(关卡产出!X:X,关卡产出!$A:$A,玩家节奏2!$O$6,关卡产出!$B:$B,玩家节奏2!$O166)+_xlfn.MAXIFS(关卡产出!X:X,关卡产出!$A:$A,玩家节奏2!$P$6,关卡产出!$B:$B,玩家节奏2!$P166)</f>
        <v>38500</v>
      </c>
      <c r="R166" s="90">
        <f>_xlfn.MAXIFS(关卡产出!Y:Y,关卡产出!$A:$A,玩家节奏2!$N$6,关卡产出!$B:$B,玩家节奏2!$N166)+_xlfn.MAXIFS(关卡产出!Y:Y,关卡产出!$A:$A,玩家节奏2!$O$6,关卡产出!$B:$B,玩家节奏2!$O166)+_xlfn.MAXIFS(关卡产出!Y:Y,关卡产出!$A:$A,玩家节奏2!$P$6,关卡产出!$B:$B,玩家节奏2!$P166)</f>
        <v>11610000</v>
      </c>
      <c r="S166" s="90">
        <f>_xlfn.MAXIFS(关卡产出!Z:Z,关卡产出!$A:$A,玩家节奏2!$N$6,关卡产出!$B:$B,玩家节奏2!$N166)+_xlfn.MAXIFS(关卡产出!Z:Z,关卡产出!$A:$A,玩家节奏2!$O$6,关卡产出!$B:$B,玩家节奏2!$O166)+_xlfn.MAXIFS(关卡产出!Z:Z,关卡产出!$A:$A,玩家节奏2!$P$6,关卡产出!$B:$B,玩家节奏2!$P166)</f>
        <v>78866</v>
      </c>
      <c r="T166" s="90">
        <f>_xlfn.MAXIFS(关卡产出!AA:AA,关卡产出!$A:$A,玩家节奏2!$N$6,关卡产出!$B:$B,玩家节奏2!$N166)+_xlfn.MAXIFS(关卡产出!AA:AA,关卡产出!$A:$A,玩家节奏2!$O$6,关卡产出!$B:$B,玩家节奏2!$O166)+_xlfn.MAXIFS(关卡产出!AA:AA,关卡产出!$A:$A,玩家节奏2!$P$6,关卡产出!$B:$B,玩家节奏2!$P166)</f>
        <v>39434</v>
      </c>
      <c r="U166" s="90">
        <f>_xlfn.MAXIFS(关卡产出!AB:AB,关卡产出!$A:$A,玩家节奏2!$N$6,关卡产出!$B:$B,玩家节奏2!$N166)+_xlfn.MAXIFS(关卡产出!AB:AB,关卡产出!$A:$A,玩家节奏2!$O$6,关卡产出!$B:$B,玩家节奏2!$O166)+_xlfn.MAXIFS(关卡产出!AB:AB,关卡产出!$A:$A,玩家节奏2!$P$6,关卡产出!$B:$B,玩家节奏2!$P166)</f>
        <v>19113</v>
      </c>
      <c r="V166" s="130">
        <f>_xlfn.MAXIFS(关卡产出!AC:AC,关卡产出!$A:$A,玩家节奏2!$N$6,关卡产出!$B:$B,玩家节奏2!$N166)+_xlfn.MAXIFS(关卡产出!AC:AC,关卡产出!$A:$A,玩家节奏2!$O$6,关卡产出!$B:$B,玩家节奏2!$O166)+_xlfn.MAXIFS(关卡产出!AC:AC,关卡产出!$A:$A,玩家节奏2!$P$6,关卡产出!$B:$B,玩家节奏2!$P166)</f>
        <v>1200</v>
      </c>
      <c r="W166" s="126">
        <f>INDEX(关卡产出!C$8:C$207,MATCH(玩家节奏2!$N166,关卡产出!$B$8:$B$207,0))*$K166</f>
        <v>2528</v>
      </c>
      <c r="X166" s="126">
        <f>INDEX(关卡产出!D$8:D$207,MATCH(玩家节奏2!$N166,关卡产出!$B$8:$B$207,0))*$K166</f>
        <v>1264</v>
      </c>
      <c r="Y166" s="126">
        <f>INDEX(关卡产出!E$8:E$207,MATCH(玩家节奏2!$N166,关卡产出!$B$8:$B$207,0))*$K166</f>
        <v>624</v>
      </c>
      <c r="Z166" s="144">
        <f>INDEX(关卡产出!F$8:F$207,MATCH(玩家节奏2!$N166,关卡产出!$B$8:$B$207,0))*$K166</f>
        <v>32800</v>
      </c>
      <c r="AA166" s="126">
        <f>SUM(W$7:W166)</f>
        <v>346350</v>
      </c>
      <c r="AB166" s="126">
        <f>SUM(X$7:X166)</f>
        <v>173011</v>
      </c>
      <c r="AC166" s="126">
        <f>SUM(Y$7:Y166)</f>
        <v>85187</v>
      </c>
      <c r="AD166" s="177">
        <f>SUM(Z$7:Z166)</f>
        <v>4521530</v>
      </c>
      <c r="AE166" s="128">
        <f>INDEX(图鉴!AQ:AQ,MATCH($N166,图鉴!$S:$S,0))*34</f>
        <v>714</v>
      </c>
      <c r="AF166" s="90">
        <f>INDEX(图鉴!AR:AR,MATCH($N166,图鉴!$S:$S,0))*34</f>
        <v>510</v>
      </c>
      <c r="AG166" s="90">
        <f>INDEX(图鉴!AS:AS,MATCH($N166,图鉴!$S:$S,0))*34</f>
        <v>204</v>
      </c>
      <c r="AH166" s="129">
        <f ca="1">INDEX(图鉴!AT:AT,MATCH($N166,图鉴!$S:$S,0))*34</f>
        <v>55930</v>
      </c>
      <c r="AI166" s="128">
        <f>SUM($AE$7:AE166)</f>
        <v>112336</v>
      </c>
      <c r="AJ166" s="90">
        <f>SUM(AF$7:AF166)</f>
        <v>78132</v>
      </c>
      <c r="AK166" s="90">
        <f>SUM(AG$7:AG166)</f>
        <v>30702</v>
      </c>
      <c r="AL166" s="130">
        <f ca="1">SUM(AH$7:AH166)</f>
        <v>8119166</v>
      </c>
      <c r="AM166" s="133">
        <f>IF(M166=0,0,INDEX(关卡产出!$AU$11:$AU$15,MATCH(玩家节奏2!N166,关卡产出!$AW$11:$AW$15,1))*M166)</f>
        <v>61000</v>
      </c>
      <c r="AN166" s="126">
        <f>IF(L166=0,0,$L166*关卡产出!AU$21)</f>
        <v>16000</v>
      </c>
      <c r="AO166" s="90">
        <f>IF(M166=0,0,$L166*关卡产出!AV$21)</f>
        <v>800</v>
      </c>
      <c r="AP166" s="129">
        <f>IF(N166=0,0,$L166*关卡产出!AW$21)</f>
        <v>16</v>
      </c>
      <c r="AQ166" s="138">
        <f>SUM(AN$7:AN166)</f>
        <v>2512000</v>
      </c>
      <c r="AR166" s="126">
        <f>SUM(AO$7:AO166)</f>
        <v>125600</v>
      </c>
      <c r="AS166" s="129">
        <f>SUM(AP$7:AP166)</f>
        <v>2512</v>
      </c>
      <c r="AT166" s="128">
        <v>3000</v>
      </c>
      <c r="AU166" s="129">
        <v>600</v>
      </c>
      <c r="AV166" s="128">
        <f>SUM(AT$7:AT166)</f>
        <v>480000</v>
      </c>
      <c r="AW166" s="90">
        <f>SUM(AU$7:AU166)</f>
        <v>96000</v>
      </c>
      <c r="AY166" s="128">
        <f t="shared" si="155"/>
        <v>38500</v>
      </c>
      <c r="AZ166" s="90">
        <f t="shared" si="156"/>
        <v>125600</v>
      </c>
      <c r="BA166" s="90">
        <f t="shared" si="157"/>
        <v>96000</v>
      </c>
      <c r="BB166" s="90">
        <f t="shared" ca="1" si="185"/>
        <v>40800</v>
      </c>
      <c r="BC166" s="90">
        <f t="shared" ca="1" si="187"/>
        <v>152625</v>
      </c>
      <c r="BD166" s="90">
        <f t="shared" ca="1" si="188"/>
        <v>148275</v>
      </c>
      <c r="BE166" s="90">
        <f t="shared" ca="1" si="158"/>
        <v>300900</v>
      </c>
      <c r="BF166" s="142">
        <f t="shared" ca="1" si="139"/>
        <v>0.25225225225225223</v>
      </c>
      <c r="BG166" s="142">
        <f t="shared" ca="1" si="140"/>
        <v>0.82293202293202294</v>
      </c>
      <c r="BH166" s="142">
        <f t="shared" ca="1" si="141"/>
        <v>0.62899262899262898</v>
      </c>
      <c r="BI166" s="142">
        <f t="shared" ca="1" si="159"/>
        <v>0.2673218673218673</v>
      </c>
      <c r="BJ166" s="143"/>
      <c r="BK166" s="128">
        <f ca="1">INDEX(商城宝箱!$L:$L,MATCH(BC166,商城宝箱!$N:$N,1))</f>
        <v>13</v>
      </c>
      <c r="BL166" s="90">
        <f ca="1">_xlfn.IFNA(INDEX(商城宝箱!T:T,MATCH(玩家节奏2!$BK166,商城宝箱!$L:$L,0)),0)+($BC166-INDEX(商城宝箱!$N:$N,MATCH(玩家节奏2!$BK166,商城宝箱!$L:$L,0)))/$BK$5*INDEX(商城宝箱!E$23:E$42,MATCH(玩家节奏2!$BK166+1,商城宝箱!$C$23:$C$42,0))</f>
        <v>381562.5</v>
      </c>
      <c r="BM166" s="90">
        <f ca="1">_xlfn.IFNA(INDEX(商城宝箱!U:U,MATCH(玩家节奏2!$BK166,商城宝箱!$L:$L,0)),0)+($BC166-INDEX(商城宝箱!$N:$N,MATCH(玩家节奏2!$BK166,商城宝箱!$L:$L,0)))/$BK$5*INDEX(商城宝箱!F$23:F$42,MATCH(玩家节奏2!$BK166+1,商城宝箱!$C$23:$C$42,0))</f>
        <v>472630</v>
      </c>
      <c r="BN166" s="90">
        <f ca="1">_xlfn.IFNA(INDEX(商城宝箱!V:V,MATCH(玩家节奏2!$BK166,商城宝箱!$L:$L,0)),0)+($BC166-INDEX(商城宝箱!$N:$N,MATCH(玩家节奏2!$BK166,商城宝箱!$L:$L,0)))/$BK$5*INDEX(商城宝箱!G$23:G$42,MATCH(玩家节奏2!$BK166+1,商城宝箱!$C$23:$C$42,0))</f>
        <v>236068.25</v>
      </c>
      <c r="BO166" s="90">
        <f ca="1">_xlfn.IFNA(INDEX(商城宝箱!W:W,MATCH(玩家节奏2!$BK166,商城宝箱!$L:$L,0)),0)+($BC166-INDEX(商城宝箱!$N:$N,MATCH(玩家节奏2!$BK166,商城宝箱!$L:$L,0)))/$BK$5*INDEX(商城宝箱!H$23:H$42,MATCH(玩家节奏2!$BK166+1,商城宝箱!$C$23:$C$42,0))</f>
        <v>38641.5</v>
      </c>
      <c r="BQ166" s="128">
        <f t="shared" si="143"/>
        <v>11610000</v>
      </c>
      <c r="BR166" s="90">
        <f t="shared" si="144"/>
        <v>4521530</v>
      </c>
      <c r="BS166" s="90">
        <f t="shared" ca="1" si="145"/>
        <v>8119166</v>
      </c>
      <c r="BT166" s="90">
        <f t="shared" si="146"/>
        <v>61000</v>
      </c>
      <c r="BU166" s="90">
        <f t="shared" si="147"/>
        <v>2512000</v>
      </c>
      <c r="BV166" s="90">
        <f t="shared" si="148"/>
        <v>480000</v>
      </c>
      <c r="BW166" s="90">
        <f t="shared" ca="1" si="160"/>
        <v>381562.5</v>
      </c>
      <c r="BX166" s="90">
        <f t="shared" ca="1" si="161"/>
        <v>27685258.5</v>
      </c>
      <c r="BY166" s="142">
        <f t="shared" ca="1" si="191"/>
        <v>0.41935674900777969</v>
      </c>
      <c r="BZ166" s="142">
        <f t="shared" ca="1" si="191"/>
        <v>0.16331904576581793</v>
      </c>
      <c r="CA166" s="142">
        <f t="shared" ca="1" si="191"/>
        <v>0.29326675783070616</v>
      </c>
      <c r="CB166" s="142">
        <f t="shared" ca="1" si="190"/>
        <v>2.2033386468109013E-3</v>
      </c>
      <c r="CC166" s="142">
        <f t="shared" ca="1" si="190"/>
        <v>9.0734207881786613E-2</v>
      </c>
      <c r="CD166" s="142">
        <f t="shared" ca="1" si="190"/>
        <v>1.7337746729003813E-2</v>
      </c>
      <c r="CE166" s="142">
        <f t="shared" ca="1" si="190"/>
        <v>1.3782154138094827E-2</v>
      </c>
      <c r="CG166" s="128">
        <f t="shared" si="162"/>
        <v>200</v>
      </c>
      <c r="CH166" s="90">
        <f ca="1">INDEX(角色升级!$A:$A,MATCH(玩家节奏2!$BX166,角色升级!$J:$J,1))</f>
        <v>1047</v>
      </c>
      <c r="CI166" s="90">
        <f ca="1">INDEX(角色升级!$O:$O,MATCH(玩家节奏2!$BX166,角色升级!$J:$J,1))</f>
        <v>99294.156750000009</v>
      </c>
      <c r="CJ166" s="90">
        <f>INDEX(关卡对比!$J:$J,MATCH(玩家节奏2!N166,关卡对比!$A:$A,0))</f>
        <v>86200</v>
      </c>
      <c r="CK166" s="147">
        <f t="shared" ca="1" si="163"/>
        <v>0.8681276202086281</v>
      </c>
      <c r="CL166" s="128">
        <f ca="1">INDEX(角色升级!$P:$P,MATCH(玩家节奏2!$CH166,角色升级!$A:$A,0))</f>
        <v>40800</v>
      </c>
      <c r="CM166" s="90">
        <f ca="1">INDEX(角色升级!Q:Q,MATCH(玩家节奏2!$CH166,角色升级!$A:$A,0))</f>
        <v>2.2000000000000002</v>
      </c>
      <c r="CO166" s="128">
        <f t="shared" si="164"/>
        <v>78866</v>
      </c>
      <c r="CP166" s="90">
        <f t="shared" si="165"/>
        <v>346350</v>
      </c>
      <c r="CQ166" s="90">
        <f t="shared" si="166"/>
        <v>112336</v>
      </c>
      <c r="CR166" s="90">
        <f t="shared" ca="1" si="167"/>
        <v>472630</v>
      </c>
      <c r="CS166" s="90">
        <f t="shared" ca="1" si="168"/>
        <v>1010182</v>
      </c>
      <c r="CT166" s="142">
        <f t="shared" ca="1" si="169"/>
        <v>7.8071080260784687E-2</v>
      </c>
      <c r="CU166" s="142">
        <f t="shared" ca="1" si="169"/>
        <v>0.34285900956461313</v>
      </c>
      <c r="CV166" s="142">
        <f t="shared" ca="1" si="169"/>
        <v>0.11120372368543491</v>
      </c>
      <c r="CW166" s="142">
        <f t="shared" ca="1" si="149"/>
        <v>0.46786618648916728</v>
      </c>
      <c r="CY166" s="128">
        <f t="shared" si="170"/>
        <v>39434</v>
      </c>
      <c r="CZ166" s="90">
        <f t="shared" si="171"/>
        <v>173011</v>
      </c>
      <c r="DA166" s="90">
        <f t="shared" si="172"/>
        <v>78132</v>
      </c>
      <c r="DB166" s="90">
        <f t="shared" ca="1" si="186"/>
        <v>236068.25</v>
      </c>
      <c r="DC166" s="90">
        <f t="shared" ca="1" si="173"/>
        <v>526645.25</v>
      </c>
      <c r="DD166" s="142">
        <f t="shared" ca="1" si="174"/>
        <v>7.4877728413956068E-2</v>
      </c>
      <c r="DE166" s="142">
        <f t="shared" ca="1" si="174"/>
        <v>0.32851525766158529</v>
      </c>
      <c r="DF166" s="142">
        <f t="shared" ca="1" si="174"/>
        <v>0.14835793164373931</v>
      </c>
      <c r="DG166" s="142">
        <f t="shared" ca="1" si="150"/>
        <v>0.4482490822807193</v>
      </c>
      <c r="DI166" s="128">
        <f t="shared" si="175"/>
        <v>19113</v>
      </c>
      <c r="DJ166" s="90">
        <f t="shared" si="176"/>
        <v>85187</v>
      </c>
      <c r="DK166" s="90">
        <f t="shared" si="177"/>
        <v>30702</v>
      </c>
      <c r="DL166" s="90">
        <f t="shared" ca="1" si="178"/>
        <v>38641.5</v>
      </c>
      <c r="DM166" s="90">
        <f t="shared" ca="1" si="179"/>
        <v>173643.5</v>
      </c>
      <c r="DN166" s="142">
        <f t="shared" ca="1" si="180"/>
        <v>0.11007034527638523</v>
      </c>
      <c r="DO166" s="142">
        <f t="shared" ca="1" si="180"/>
        <v>0.49058559635114474</v>
      </c>
      <c r="DP166" s="142">
        <f t="shared" ca="1" si="180"/>
        <v>0.17681053422673465</v>
      </c>
      <c r="DQ166" s="142">
        <f t="shared" ca="1" si="151"/>
        <v>0.22253352414573538</v>
      </c>
      <c r="DS166" s="128">
        <f t="shared" ca="1" si="181"/>
        <v>1010182</v>
      </c>
      <c r="DT166" s="90">
        <f t="shared" ca="1" si="182"/>
        <v>526645.25</v>
      </c>
      <c r="DU166" s="90">
        <f t="shared" ca="1" si="183"/>
        <v>173643.5</v>
      </c>
      <c r="DV166" s="90">
        <f t="shared" si="184"/>
        <v>2512</v>
      </c>
      <c r="DW166" s="90">
        <f ca="1">_xlfn.IFNA(INDEX(武器升级消耗!$H:$H,MATCH(玩家节奏2!DS166/玩家节奏2!DS$5,武器升级消耗!M:M,1)),0)</f>
        <v>86</v>
      </c>
      <c r="DX166" s="90">
        <f ca="1">_xlfn.IFNA(INDEX(武器升级消耗!$H:$H,MATCH(玩家节奏2!DT166/玩家节奏2!DT$5,武器升级消耗!N:N,1)),0)</f>
        <v>76</v>
      </c>
      <c r="DY166" s="90">
        <f ca="1">_xlfn.IFNA(INDEX(武器升级消耗!$H:$H,MATCH(玩家节奏2!DU166/玩家节奏2!DU$5,武器升级消耗!O:O,1)),0)</f>
        <v>57</v>
      </c>
      <c r="DZ166" s="90">
        <f>_xlfn.IFNA(INDEX(武器升级消耗!$H:$H,MATCH(玩家节奏2!DV166/玩家节奏2!DV$5,武器升级消耗!P:P,1)),0)</f>
        <v>36</v>
      </c>
      <c r="EA166" s="90">
        <f ca="1">_xlfn.IFNA(INDEX(武器升级消耗!$Q:$Q,MATCH(玩家节奏2!DW166,武器升级消耗!$H:$H,0))*2*EA$4,0)</f>
        <v>10.799999999999986</v>
      </c>
      <c r="EB166" s="90">
        <f ca="1">_xlfn.IFNA(INDEX(武器升级消耗!$Q:$Q,MATCH(玩家节奏2!DX166,武器升级消耗!$H:$H,0))*2*EB$4,0)</f>
        <v>11.999999999999986</v>
      </c>
      <c r="EC166" s="90">
        <f ca="1">_xlfn.IFNA(INDEX(武器升级消耗!$Q:$Q,MATCH(玩家节奏2!DY166,武器升级消耗!$H:$H,0))*2*EC$4,0)</f>
        <v>13.42</v>
      </c>
      <c r="ED166" s="90">
        <f>_xlfn.IFNA(INDEX(武器升级消耗!$Q:$Q,MATCH(玩家节奏2!DZ166,武器升级消耗!$H:$H,0))*2*ED$4,0)</f>
        <v>12</v>
      </c>
    </row>
    <row r="167" spans="1:134" x14ac:dyDescent="0.25">
      <c r="A167" s="123">
        <v>161</v>
      </c>
      <c r="B167" s="123">
        <f>INDEX(关卡对比!$Y:$Y,MATCH(关卡对比!Z167,关卡对比!$AA:$AA,1))</f>
        <v>94</v>
      </c>
      <c r="C167" s="124">
        <f>INDEX(关卡对比!$Y:$Y,MATCH(关卡对比!Z167,关卡对比!$AB:$AB,1))</f>
        <v>72</v>
      </c>
      <c r="D167" s="125">
        <f t="shared" si="189"/>
        <v>623.5</v>
      </c>
      <c r="E167" s="125">
        <v>2</v>
      </c>
      <c r="F167" s="128">
        <v>16</v>
      </c>
      <c r="G167" s="90">
        <v>16</v>
      </c>
      <c r="H167" s="90">
        <v>5</v>
      </c>
      <c r="J167" s="128">
        <v>161</v>
      </c>
      <c r="K167" s="90">
        <f t="shared" si="152"/>
        <v>16</v>
      </c>
      <c r="L167" s="90">
        <f t="shared" si="153"/>
        <v>16</v>
      </c>
      <c r="M167" s="90">
        <f t="shared" si="154"/>
        <v>5</v>
      </c>
      <c r="N167" s="140">
        <f>INDEX($A:$A,MATCH(SUM($K$7:K167),$D:$D,1))</f>
        <v>200</v>
      </c>
      <c r="O167" s="140">
        <v>0</v>
      </c>
      <c r="P167" s="141">
        <v>0</v>
      </c>
      <c r="Q167" s="126">
        <f>_xlfn.MAXIFS(关卡产出!X:X,关卡产出!$A:$A,玩家节奏2!$N$6,关卡产出!$B:$B,玩家节奏2!$N167)+_xlfn.MAXIFS(关卡产出!X:X,关卡产出!$A:$A,玩家节奏2!$O$6,关卡产出!$B:$B,玩家节奏2!$O167)+_xlfn.MAXIFS(关卡产出!X:X,关卡产出!$A:$A,玩家节奏2!$P$6,关卡产出!$B:$B,玩家节奏2!$P167)</f>
        <v>38500</v>
      </c>
      <c r="R167" s="90">
        <f>_xlfn.MAXIFS(关卡产出!Y:Y,关卡产出!$A:$A,玩家节奏2!$N$6,关卡产出!$B:$B,玩家节奏2!$N167)+_xlfn.MAXIFS(关卡产出!Y:Y,关卡产出!$A:$A,玩家节奏2!$O$6,关卡产出!$B:$B,玩家节奏2!$O167)+_xlfn.MAXIFS(关卡产出!Y:Y,关卡产出!$A:$A,玩家节奏2!$P$6,关卡产出!$B:$B,玩家节奏2!$P167)</f>
        <v>11610000</v>
      </c>
      <c r="S167" s="90">
        <f>_xlfn.MAXIFS(关卡产出!Z:Z,关卡产出!$A:$A,玩家节奏2!$N$6,关卡产出!$B:$B,玩家节奏2!$N167)+_xlfn.MAXIFS(关卡产出!Z:Z,关卡产出!$A:$A,玩家节奏2!$O$6,关卡产出!$B:$B,玩家节奏2!$O167)+_xlfn.MAXIFS(关卡产出!Z:Z,关卡产出!$A:$A,玩家节奏2!$P$6,关卡产出!$B:$B,玩家节奏2!$P167)</f>
        <v>78866</v>
      </c>
      <c r="T167" s="90">
        <f>_xlfn.MAXIFS(关卡产出!AA:AA,关卡产出!$A:$A,玩家节奏2!$N$6,关卡产出!$B:$B,玩家节奏2!$N167)+_xlfn.MAXIFS(关卡产出!AA:AA,关卡产出!$A:$A,玩家节奏2!$O$6,关卡产出!$B:$B,玩家节奏2!$O167)+_xlfn.MAXIFS(关卡产出!AA:AA,关卡产出!$A:$A,玩家节奏2!$P$6,关卡产出!$B:$B,玩家节奏2!$P167)</f>
        <v>39434</v>
      </c>
      <c r="U167" s="90">
        <f>_xlfn.MAXIFS(关卡产出!AB:AB,关卡产出!$A:$A,玩家节奏2!$N$6,关卡产出!$B:$B,玩家节奏2!$N167)+_xlfn.MAXIFS(关卡产出!AB:AB,关卡产出!$A:$A,玩家节奏2!$O$6,关卡产出!$B:$B,玩家节奏2!$O167)+_xlfn.MAXIFS(关卡产出!AB:AB,关卡产出!$A:$A,玩家节奏2!$P$6,关卡产出!$B:$B,玩家节奏2!$P167)</f>
        <v>19113</v>
      </c>
      <c r="V167" s="130">
        <f>_xlfn.MAXIFS(关卡产出!AC:AC,关卡产出!$A:$A,玩家节奏2!$N$6,关卡产出!$B:$B,玩家节奏2!$N167)+_xlfn.MAXIFS(关卡产出!AC:AC,关卡产出!$A:$A,玩家节奏2!$O$6,关卡产出!$B:$B,玩家节奏2!$O167)+_xlfn.MAXIFS(关卡产出!AC:AC,关卡产出!$A:$A,玩家节奏2!$P$6,关卡产出!$B:$B,玩家节奏2!$P167)</f>
        <v>1200</v>
      </c>
      <c r="W167" s="126">
        <f>INDEX(关卡产出!C$8:C$207,MATCH(玩家节奏2!$N167,关卡产出!$B$8:$B$207,0))*$K167</f>
        <v>2528</v>
      </c>
      <c r="X167" s="126">
        <f>INDEX(关卡产出!D$8:D$207,MATCH(玩家节奏2!$N167,关卡产出!$B$8:$B$207,0))*$K167</f>
        <v>1264</v>
      </c>
      <c r="Y167" s="126">
        <f>INDEX(关卡产出!E$8:E$207,MATCH(玩家节奏2!$N167,关卡产出!$B$8:$B$207,0))*$K167</f>
        <v>624</v>
      </c>
      <c r="Z167" s="144">
        <f>INDEX(关卡产出!F$8:F$207,MATCH(玩家节奏2!$N167,关卡产出!$B$8:$B$207,0))*$K167</f>
        <v>32800</v>
      </c>
      <c r="AA167" s="126">
        <f>SUM(W$7:W167)</f>
        <v>348878</v>
      </c>
      <c r="AB167" s="126">
        <f>SUM(X$7:X167)</f>
        <v>174275</v>
      </c>
      <c r="AC167" s="126">
        <f>SUM(Y$7:Y167)</f>
        <v>85811</v>
      </c>
      <c r="AD167" s="177">
        <f>SUM(Z$7:Z167)</f>
        <v>4554330</v>
      </c>
      <c r="AE167" s="128">
        <f>INDEX(图鉴!AQ:AQ,MATCH($N167,图鉴!$S:$S,0))*34</f>
        <v>714</v>
      </c>
      <c r="AF167" s="90">
        <f>INDEX(图鉴!AR:AR,MATCH($N167,图鉴!$S:$S,0))*34</f>
        <v>510</v>
      </c>
      <c r="AG167" s="90">
        <f>INDEX(图鉴!AS:AS,MATCH($N167,图鉴!$S:$S,0))*34</f>
        <v>204</v>
      </c>
      <c r="AH167" s="129">
        <f ca="1">INDEX(图鉴!AT:AT,MATCH($N167,图鉴!$S:$S,0))*34</f>
        <v>55930</v>
      </c>
      <c r="AI167" s="128">
        <f>SUM($AE$7:AE167)</f>
        <v>113050</v>
      </c>
      <c r="AJ167" s="90">
        <f>SUM(AF$7:AF167)</f>
        <v>78642</v>
      </c>
      <c r="AK167" s="90">
        <f>SUM(AG$7:AG167)</f>
        <v>30906</v>
      </c>
      <c r="AL167" s="130">
        <f ca="1">SUM(AH$7:AH167)</f>
        <v>8175096</v>
      </c>
      <c r="AM167" s="133">
        <f>IF(M167=0,0,INDEX(关卡产出!$AU$11:$AU$15,MATCH(玩家节奏2!N167,关卡产出!$AW$11:$AW$15,1))*M167)</f>
        <v>61000</v>
      </c>
      <c r="AN167" s="126">
        <f>IF(L167=0,0,$L167*关卡产出!AU$21)</f>
        <v>16000</v>
      </c>
      <c r="AO167" s="90">
        <f>IF(M167=0,0,$L167*关卡产出!AV$21)</f>
        <v>800</v>
      </c>
      <c r="AP167" s="129">
        <f>IF(N167=0,0,$L167*关卡产出!AW$21)</f>
        <v>16</v>
      </c>
      <c r="AQ167" s="138">
        <f>SUM(AN$7:AN167)</f>
        <v>2528000</v>
      </c>
      <c r="AR167" s="126">
        <f>SUM(AO$7:AO167)</f>
        <v>126400</v>
      </c>
      <c r="AS167" s="129">
        <f>SUM(AP$7:AP167)</f>
        <v>2528</v>
      </c>
      <c r="AT167" s="128">
        <v>3000</v>
      </c>
      <c r="AU167" s="129">
        <v>600</v>
      </c>
      <c r="AV167" s="128">
        <f>SUM(AT$7:AT167)</f>
        <v>483000</v>
      </c>
      <c r="AW167" s="90">
        <f>SUM(AU$7:AU167)</f>
        <v>96600</v>
      </c>
      <c r="AY167" s="128">
        <f t="shared" si="155"/>
        <v>38500</v>
      </c>
      <c r="AZ167" s="90">
        <f t="shared" si="156"/>
        <v>126400</v>
      </c>
      <c r="BA167" s="90">
        <f t="shared" si="157"/>
        <v>96600</v>
      </c>
      <c r="BB167" s="90">
        <f t="shared" ca="1" si="185"/>
        <v>40800</v>
      </c>
      <c r="BC167" s="90">
        <f t="shared" ca="1" si="187"/>
        <v>153325</v>
      </c>
      <c r="BD167" s="90">
        <f t="shared" ca="1" si="188"/>
        <v>148975</v>
      </c>
      <c r="BE167" s="90">
        <f t="shared" ca="1" si="158"/>
        <v>302300</v>
      </c>
      <c r="BF167" s="142">
        <f t="shared" ref="BF167:BF198" ca="1" si="192">AY167/$BC167</f>
        <v>0.25110060329365724</v>
      </c>
      <c r="BG167" s="142">
        <f t="shared" ref="BG167:BG198" ca="1" si="193">AZ167/$BC167</f>
        <v>0.82439263003424101</v>
      </c>
      <c r="BH167" s="142">
        <f t="shared" ref="BH167:BH198" ca="1" si="194">BA167/$BC167</f>
        <v>0.63003424099135819</v>
      </c>
      <c r="BI167" s="142">
        <f t="shared" ca="1" si="159"/>
        <v>0.26610141855535629</v>
      </c>
      <c r="BJ167" s="143"/>
      <c r="BK167" s="128">
        <f ca="1">INDEX(商城宝箱!$L:$L,MATCH(BC167,商城宝箱!$N:$N,1))</f>
        <v>13</v>
      </c>
      <c r="BL167" s="90">
        <f ca="1">_xlfn.IFNA(INDEX(商城宝箱!T:T,MATCH(玩家节奏2!$BK167,商城宝箱!$L:$L,0)),0)+($BC167-INDEX(商城宝箱!$N:$N,MATCH(玩家节奏2!$BK167,商城宝箱!$L:$L,0)))/$BK$5*INDEX(商城宝箱!E$23:E$42,MATCH(玩家节奏2!$BK167+1,商城宝箱!$C$23:$C$42,0))</f>
        <v>383312.5</v>
      </c>
      <c r="BM167" s="90">
        <f ca="1">_xlfn.IFNA(INDEX(商城宝箱!U:U,MATCH(玩家节奏2!$BK167,商城宝箱!$L:$L,0)),0)+($BC167-INDEX(商城宝箱!$N:$N,MATCH(玩家节奏2!$BK167,商城宝箱!$L:$L,0)))/$BK$5*INDEX(商城宝箱!F$23:F$42,MATCH(玩家节奏2!$BK167+1,商城宝箱!$C$23:$C$42,0))</f>
        <v>475920</v>
      </c>
      <c r="BN167" s="90">
        <f ca="1">_xlfn.IFNA(INDEX(商城宝箱!V:V,MATCH(玩家节奏2!$BK167,商城宝箱!$L:$L,0)),0)+($BC167-INDEX(商城宝箱!$N:$N,MATCH(玩家节奏2!$BK167,商城宝箱!$L:$L,0)))/$BK$5*INDEX(商城宝箱!G$23:G$42,MATCH(玩家节奏2!$BK167+1,商城宝箱!$C$23:$C$42,0))</f>
        <v>237643.25</v>
      </c>
      <c r="BO167" s="90">
        <f ca="1">_xlfn.IFNA(INDEX(商城宝箱!W:W,MATCH(玩家节奏2!$BK167,商城宝箱!$L:$L,0)),0)+($BC167-INDEX(商城宝箱!$N:$N,MATCH(玩家节奏2!$BK167,商城宝箱!$L:$L,0)))/$BK$5*INDEX(商城宝箱!H$23:H$42,MATCH(玩家节奏2!$BK167+1,商城宝箱!$C$23:$C$42,0))</f>
        <v>38921.5</v>
      </c>
      <c r="BQ167" s="128">
        <f t="shared" si="143"/>
        <v>11610000</v>
      </c>
      <c r="BR167" s="90">
        <f t="shared" si="144"/>
        <v>4554330</v>
      </c>
      <c r="BS167" s="90">
        <f t="shared" ref="BS167:BS198" ca="1" si="195">AL167</f>
        <v>8175096</v>
      </c>
      <c r="BT167" s="90">
        <f t="shared" ref="BT167:BT198" si="196">AM167</f>
        <v>61000</v>
      </c>
      <c r="BU167" s="90">
        <f t="shared" si="147"/>
        <v>2528000</v>
      </c>
      <c r="BV167" s="90">
        <f t="shared" si="148"/>
        <v>483000</v>
      </c>
      <c r="BW167" s="90">
        <f t="shared" ca="1" si="160"/>
        <v>383312.5</v>
      </c>
      <c r="BX167" s="90">
        <f t="shared" ca="1" si="161"/>
        <v>27794738.5</v>
      </c>
      <c r="BY167" s="142">
        <f t="shared" ca="1" si="191"/>
        <v>0.41770495520222289</v>
      </c>
      <c r="BZ167" s="142">
        <f t="shared" ca="1" si="191"/>
        <v>0.16385583192300945</v>
      </c>
      <c r="CA167" s="142">
        <f t="shared" ca="1" si="191"/>
        <v>0.29412386808388213</v>
      </c>
      <c r="CB167" s="142">
        <f t="shared" ca="1" si="190"/>
        <v>2.1946599713467351E-3</v>
      </c>
      <c r="CC167" s="142">
        <f t="shared" ca="1" si="190"/>
        <v>9.0952465697779455E-2</v>
      </c>
      <c r="CD167" s="142">
        <f t="shared" ca="1" si="190"/>
        <v>1.7377389609188085E-2</v>
      </c>
      <c r="CE167" s="142">
        <f t="shared" ca="1" si="190"/>
        <v>1.3790829512571236E-2</v>
      </c>
      <c r="CG167" s="128">
        <f t="shared" si="162"/>
        <v>200</v>
      </c>
      <c r="CH167" s="90">
        <f ca="1">INDEX(角色升级!$A:$A,MATCH(玩家节奏2!$BX167,角色升级!$J:$J,1))</f>
        <v>1047</v>
      </c>
      <c r="CI167" s="90">
        <f ca="1">INDEX(角色升级!$O:$O,MATCH(玩家节奏2!$BX167,角色升级!$J:$J,1))</f>
        <v>99294.156750000009</v>
      </c>
      <c r="CJ167" s="90">
        <f>INDEX(关卡对比!$J:$J,MATCH(玩家节奏2!N167,关卡对比!$A:$A,0))</f>
        <v>86200</v>
      </c>
      <c r="CK167" s="147">
        <f t="shared" ca="1" si="163"/>
        <v>0.8681276202086281</v>
      </c>
      <c r="CL167" s="128">
        <f ca="1">INDEX(角色升级!$P:$P,MATCH(玩家节奏2!$CH167,角色升级!$A:$A,0))</f>
        <v>40800</v>
      </c>
      <c r="CM167" s="90">
        <f ca="1">INDEX(角色升级!Q:Q,MATCH(玩家节奏2!$CH167,角色升级!$A:$A,0))</f>
        <v>2.2000000000000002</v>
      </c>
      <c r="CO167" s="128">
        <f t="shared" si="164"/>
        <v>78866</v>
      </c>
      <c r="CP167" s="90">
        <f t="shared" si="165"/>
        <v>348878</v>
      </c>
      <c r="CQ167" s="90">
        <f t="shared" si="166"/>
        <v>113050</v>
      </c>
      <c r="CR167" s="90">
        <f t="shared" ca="1" si="167"/>
        <v>475920</v>
      </c>
      <c r="CS167" s="90">
        <f t="shared" ca="1" si="168"/>
        <v>1016714</v>
      </c>
      <c r="CT167" s="142">
        <f t="shared" ca="1" si="169"/>
        <v>7.7569503321484698E-2</v>
      </c>
      <c r="CU167" s="142">
        <f t="shared" ca="1" si="169"/>
        <v>0.34314271269993329</v>
      </c>
      <c r="CV167" s="142">
        <f t="shared" ca="1" si="169"/>
        <v>0.11119154452481229</v>
      </c>
      <c r="CW167" s="142">
        <f t="shared" ca="1" si="149"/>
        <v>0.46809623945376971</v>
      </c>
      <c r="CY167" s="128">
        <f t="shared" si="170"/>
        <v>39434</v>
      </c>
      <c r="CZ167" s="90">
        <f t="shared" si="171"/>
        <v>174275</v>
      </c>
      <c r="DA167" s="90">
        <f t="shared" si="172"/>
        <v>78642</v>
      </c>
      <c r="DB167" s="90">
        <f t="shared" ca="1" si="186"/>
        <v>237643.25</v>
      </c>
      <c r="DC167" s="90">
        <f t="shared" ca="1" si="173"/>
        <v>529994.25</v>
      </c>
      <c r="DD167" s="142">
        <f t="shared" ca="1" si="174"/>
        <v>7.4404580804414394E-2</v>
      </c>
      <c r="DE167" s="142">
        <f t="shared" ca="1" si="174"/>
        <v>0.32882432215066482</v>
      </c>
      <c r="DF167" s="142">
        <f t="shared" ca="1" si="174"/>
        <v>0.14838274188823747</v>
      </c>
      <c r="DG167" s="142">
        <f t="shared" ca="1" si="150"/>
        <v>0.44838835515668329</v>
      </c>
      <c r="DI167" s="128">
        <f t="shared" si="175"/>
        <v>19113</v>
      </c>
      <c r="DJ167" s="90">
        <f t="shared" si="176"/>
        <v>85811</v>
      </c>
      <c r="DK167" s="90">
        <f t="shared" si="177"/>
        <v>30906</v>
      </c>
      <c r="DL167" s="90">
        <f t="shared" ca="1" si="178"/>
        <v>38921.5</v>
      </c>
      <c r="DM167" s="90">
        <f t="shared" ca="1" si="179"/>
        <v>174751.5</v>
      </c>
      <c r="DN167" s="142">
        <f t="shared" ca="1" si="180"/>
        <v>0.10937245173861168</v>
      </c>
      <c r="DO167" s="142">
        <f t="shared" ca="1" si="180"/>
        <v>0.49104585654486516</v>
      </c>
      <c r="DP167" s="142">
        <f t="shared" ca="1" si="180"/>
        <v>0.17685685101415438</v>
      </c>
      <c r="DQ167" s="142">
        <f t="shared" ca="1" si="151"/>
        <v>0.22272484070236878</v>
      </c>
      <c r="DS167" s="128">
        <f t="shared" ca="1" si="181"/>
        <v>1016714</v>
      </c>
      <c r="DT167" s="90">
        <f t="shared" ca="1" si="182"/>
        <v>529994.25</v>
      </c>
      <c r="DU167" s="90">
        <f t="shared" ca="1" si="183"/>
        <v>174751.5</v>
      </c>
      <c r="DV167" s="90">
        <f t="shared" si="184"/>
        <v>2528</v>
      </c>
      <c r="DW167" s="90">
        <f ca="1">_xlfn.IFNA(INDEX(武器升级消耗!$H:$H,MATCH(玩家节奏2!DS167/玩家节奏2!DS$5,武器升级消耗!M:M,1)),0)</f>
        <v>87</v>
      </c>
      <c r="DX167" s="90">
        <f ca="1">_xlfn.IFNA(INDEX(武器升级消耗!$H:$H,MATCH(玩家节奏2!DT167/玩家节奏2!DT$5,武器升级消耗!N:N,1)),0)</f>
        <v>76</v>
      </c>
      <c r="DY167" s="90">
        <f ca="1">_xlfn.IFNA(INDEX(武器升级消耗!$H:$H,MATCH(玩家节奏2!DU167/玩家节奏2!DU$5,武器升级消耗!O:O,1)),0)</f>
        <v>57</v>
      </c>
      <c r="DZ167" s="90">
        <f>_xlfn.IFNA(INDEX(武器升级消耗!$H:$H,MATCH(玩家节奏2!DV167/玩家节奏2!DV$5,武器升级消耗!P:P,1)),0)</f>
        <v>36</v>
      </c>
      <c r="EA167" s="90">
        <f ca="1">_xlfn.IFNA(INDEX(武器升级消耗!$Q:$Q,MATCH(玩家节奏2!DW167,武器升级消耗!$H:$H,0))*2*EA$4,0)</f>
        <v>10.919999999999989</v>
      </c>
      <c r="EB167" s="90">
        <f ca="1">_xlfn.IFNA(INDEX(武器升级消耗!$Q:$Q,MATCH(玩家节奏2!DX167,武器升级消耗!$H:$H,0))*2*EB$4,0)</f>
        <v>11.999999999999986</v>
      </c>
      <c r="EC167" s="90">
        <f ca="1">_xlfn.IFNA(INDEX(武器升级消耗!$Q:$Q,MATCH(玩家节奏2!DY167,武器升级消耗!$H:$H,0))*2*EC$4,0)</f>
        <v>13.42</v>
      </c>
      <c r="ED167" s="90">
        <f>_xlfn.IFNA(INDEX(武器升级消耗!$Q:$Q,MATCH(玩家节奏2!DZ167,武器升级消耗!$H:$H,0))*2*ED$4,0)</f>
        <v>12</v>
      </c>
    </row>
    <row r="168" spans="1:134" x14ac:dyDescent="0.25">
      <c r="A168" s="123">
        <v>162</v>
      </c>
      <c r="B168" s="123">
        <f>INDEX(关卡对比!$Y:$Y,MATCH(关卡对比!Z168,关卡对比!$AA:$AA,1))</f>
        <v>94</v>
      </c>
      <c r="C168" s="124">
        <f>INDEX(关卡对比!$Y:$Y,MATCH(关卡对比!Z168,关卡对比!$AB:$AB,1))</f>
        <v>72</v>
      </c>
      <c r="D168" s="125">
        <f t="shared" si="189"/>
        <v>625.5</v>
      </c>
      <c r="E168" s="125">
        <v>2</v>
      </c>
      <c r="F168" s="128">
        <v>16</v>
      </c>
      <c r="G168" s="90">
        <v>16</v>
      </c>
      <c r="H168" s="90">
        <v>5</v>
      </c>
      <c r="J168" s="128">
        <v>162</v>
      </c>
      <c r="K168" s="90">
        <f t="shared" si="152"/>
        <v>16</v>
      </c>
      <c r="L168" s="90">
        <f t="shared" si="153"/>
        <v>16</v>
      </c>
      <c r="M168" s="90">
        <f t="shared" si="154"/>
        <v>5</v>
      </c>
      <c r="N168" s="140">
        <f>INDEX($A:$A,MATCH(SUM($K$7:K168),$D:$D,1))</f>
        <v>200</v>
      </c>
      <c r="O168" s="140">
        <v>0</v>
      </c>
      <c r="P168" s="141">
        <v>0</v>
      </c>
      <c r="Q168" s="126">
        <f>_xlfn.MAXIFS(关卡产出!X:X,关卡产出!$A:$A,玩家节奏2!$N$6,关卡产出!$B:$B,玩家节奏2!$N168)+_xlfn.MAXIFS(关卡产出!X:X,关卡产出!$A:$A,玩家节奏2!$O$6,关卡产出!$B:$B,玩家节奏2!$O168)+_xlfn.MAXIFS(关卡产出!X:X,关卡产出!$A:$A,玩家节奏2!$P$6,关卡产出!$B:$B,玩家节奏2!$P168)</f>
        <v>38500</v>
      </c>
      <c r="R168" s="90">
        <f>_xlfn.MAXIFS(关卡产出!Y:Y,关卡产出!$A:$A,玩家节奏2!$N$6,关卡产出!$B:$B,玩家节奏2!$N168)+_xlfn.MAXIFS(关卡产出!Y:Y,关卡产出!$A:$A,玩家节奏2!$O$6,关卡产出!$B:$B,玩家节奏2!$O168)+_xlfn.MAXIFS(关卡产出!Y:Y,关卡产出!$A:$A,玩家节奏2!$P$6,关卡产出!$B:$B,玩家节奏2!$P168)</f>
        <v>11610000</v>
      </c>
      <c r="S168" s="90">
        <f>_xlfn.MAXIFS(关卡产出!Z:Z,关卡产出!$A:$A,玩家节奏2!$N$6,关卡产出!$B:$B,玩家节奏2!$N168)+_xlfn.MAXIFS(关卡产出!Z:Z,关卡产出!$A:$A,玩家节奏2!$O$6,关卡产出!$B:$B,玩家节奏2!$O168)+_xlfn.MAXIFS(关卡产出!Z:Z,关卡产出!$A:$A,玩家节奏2!$P$6,关卡产出!$B:$B,玩家节奏2!$P168)</f>
        <v>78866</v>
      </c>
      <c r="T168" s="90">
        <f>_xlfn.MAXIFS(关卡产出!AA:AA,关卡产出!$A:$A,玩家节奏2!$N$6,关卡产出!$B:$B,玩家节奏2!$N168)+_xlfn.MAXIFS(关卡产出!AA:AA,关卡产出!$A:$A,玩家节奏2!$O$6,关卡产出!$B:$B,玩家节奏2!$O168)+_xlfn.MAXIFS(关卡产出!AA:AA,关卡产出!$A:$A,玩家节奏2!$P$6,关卡产出!$B:$B,玩家节奏2!$P168)</f>
        <v>39434</v>
      </c>
      <c r="U168" s="90">
        <f>_xlfn.MAXIFS(关卡产出!AB:AB,关卡产出!$A:$A,玩家节奏2!$N$6,关卡产出!$B:$B,玩家节奏2!$N168)+_xlfn.MAXIFS(关卡产出!AB:AB,关卡产出!$A:$A,玩家节奏2!$O$6,关卡产出!$B:$B,玩家节奏2!$O168)+_xlfn.MAXIFS(关卡产出!AB:AB,关卡产出!$A:$A,玩家节奏2!$P$6,关卡产出!$B:$B,玩家节奏2!$P168)</f>
        <v>19113</v>
      </c>
      <c r="V168" s="130">
        <f>_xlfn.MAXIFS(关卡产出!AC:AC,关卡产出!$A:$A,玩家节奏2!$N$6,关卡产出!$B:$B,玩家节奏2!$N168)+_xlfn.MAXIFS(关卡产出!AC:AC,关卡产出!$A:$A,玩家节奏2!$O$6,关卡产出!$B:$B,玩家节奏2!$O168)+_xlfn.MAXIFS(关卡产出!AC:AC,关卡产出!$A:$A,玩家节奏2!$P$6,关卡产出!$B:$B,玩家节奏2!$P168)</f>
        <v>1200</v>
      </c>
      <c r="W168" s="126">
        <f>INDEX(关卡产出!C$8:C$207,MATCH(玩家节奏2!$N168,关卡产出!$B$8:$B$207,0))*$K168</f>
        <v>2528</v>
      </c>
      <c r="X168" s="126">
        <f>INDEX(关卡产出!D$8:D$207,MATCH(玩家节奏2!$N168,关卡产出!$B$8:$B$207,0))*$K168</f>
        <v>1264</v>
      </c>
      <c r="Y168" s="126">
        <f>INDEX(关卡产出!E$8:E$207,MATCH(玩家节奏2!$N168,关卡产出!$B$8:$B$207,0))*$K168</f>
        <v>624</v>
      </c>
      <c r="Z168" s="144">
        <f>INDEX(关卡产出!F$8:F$207,MATCH(玩家节奏2!$N168,关卡产出!$B$8:$B$207,0))*$K168</f>
        <v>32800</v>
      </c>
      <c r="AA168" s="126">
        <f>SUM(W$7:W168)</f>
        <v>351406</v>
      </c>
      <c r="AB168" s="126">
        <f>SUM(X$7:X168)</f>
        <v>175539</v>
      </c>
      <c r="AC168" s="126">
        <f>SUM(Y$7:Y168)</f>
        <v>86435</v>
      </c>
      <c r="AD168" s="177">
        <f>SUM(Z$7:Z168)</f>
        <v>4587130</v>
      </c>
      <c r="AE168" s="128">
        <f>INDEX(图鉴!AQ:AQ,MATCH($N168,图鉴!$S:$S,0))*34</f>
        <v>714</v>
      </c>
      <c r="AF168" s="90">
        <f>INDEX(图鉴!AR:AR,MATCH($N168,图鉴!$S:$S,0))*34</f>
        <v>510</v>
      </c>
      <c r="AG168" s="90">
        <f>INDEX(图鉴!AS:AS,MATCH($N168,图鉴!$S:$S,0))*34</f>
        <v>204</v>
      </c>
      <c r="AH168" s="129">
        <f ca="1">INDEX(图鉴!AT:AT,MATCH($N168,图鉴!$S:$S,0))*34</f>
        <v>55930</v>
      </c>
      <c r="AI168" s="128">
        <f>SUM($AE$7:AE168)</f>
        <v>113764</v>
      </c>
      <c r="AJ168" s="90">
        <f>SUM(AF$7:AF168)</f>
        <v>79152</v>
      </c>
      <c r="AK168" s="90">
        <f>SUM(AG$7:AG168)</f>
        <v>31110</v>
      </c>
      <c r="AL168" s="130">
        <f ca="1">SUM(AH$7:AH168)</f>
        <v>8231026</v>
      </c>
      <c r="AM168" s="133">
        <f>IF(M168=0,0,INDEX(关卡产出!$AU$11:$AU$15,MATCH(玩家节奏2!N168,关卡产出!$AW$11:$AW$15,1))*M168)</f>
        <v>61000</v>
      </c>
      <c r="AN168" s="126">
        <f>IF(L168=0,0,$L168*关卡产出!AU$21)</f>
        <v>16000</v>
      </c>
      <c r="AO168" s="90">
        <f>IF(M168=0,0,$L168*关卡产出!AV$21)</f>
        <v>800</v>
      </c>
      <c r="AP168" s="129">
        <f>IF(N168=0,0,$L168*关卡产出!AW$21)</f>
        <v>16</v>
      </c>
      <c r="AQ168" s="138">
        <f>SUM(AN$7:AN168)</f>
        <v>2544000</v>
      </c>
      <c r="AR168" s="126">
        <f>SUM(AO$7:AO168)</f>
        <v>127200</v>
      </c>
      <c r="AS168" s="129">
        <f>SUM(AP$7:AP168)</f>
        <v>2544</v>
      </c>
      <c r="AT168" s="128">
        <v>3000</v>
      </c>
      <c r="AU168" s="129">
        <v>600</v>
      </c>
      <c r="AV168" s="128">
        <f>SUM(AT$7:AT168)</f>
        <v>486000</v>
      </c>
      <c r="AW168" s="90">
        <f>SUM(AU$7:AU168)</f>
        <v>97200</v>
      </c>
      <c r="AY168" s="128">
        <f t="shared" si="155"/>
        <v>38500</v>
      </c>
      <c r="AZ168" s="90">
        <f t="shared" si="156"/>
        <v>127200</v>
      </c>
      <c r="BA168" s="90">
        <f t="shared" si="157"/>
        <v>97200</v>
      </c>
      <c r="BB168" s="90">
        <f t="shared" ca="1" si="185"/>
        <v>40800</v>
      </c>
      <c r="BC168" s="90">
        <f t="shared" ca="1" si="187"/>
        <v>154025</v>
      </c>
      <c r="BD168" s="90">
        <f t="shared" ca="1" si="188"/>
        <v>149675</v>
      </c>
      <c r="BE168" s="90">
        <f t="shared" ca="1" si="158"/>
        <v>303700</v>
      </c>
      <c r="BF168" s="142">
        <f t="shared" ca="1" si="192"/>
        <v>0.24995942217172537</v>
      </c>
      <c r="BG168" s="142">
        <f t="shared" ca="1" si="193"/>
        <v>0.8258399610452849</v>
      </c>
      <c r="BH168" s="142">
        <f t="shared" ca="1" si="194"/>
        <v>0.63106638532705728</v>
      </c>
      <c r="BI168" s="142">
        <f t="shared" ref="BI168:BI198" ca="1" si="197">BB168/$BC168</f>
        <v>0.26489206297678947</v>
      </c>
      <c r="BJ168" s="143"/>
      <c r="BK168" s="128">
        <f ca="1">INDEX(商城宝箱!$L:$L,MATCH(BC168,商城宝箱!$N:$N,1))</f>
        <v>13</v>
      </c>
      <c r="BL168" s="90">
        <f ca="1">_xlfn.IFNA(INDEX(商城宝箱!T:T,MATCH(玩家节奏2!$BK168,商城宝箱!$L:$L,0)),0)+($BC168-INDEX(商城宝箱!$N:$N,MATCH(玩家节奏2!$BK168,商城宝箱!$L:$L,0)))/$BK$5*INDEX(商城宝箱!E$23:E$42,MATCH(玩家节奏2!$BK168+1,商城宝箱!$C$23:$C$42,0))</f>
        <v>385062.5</v>
      </c>
      <c r="BM168" s="90">
        <f ca="1">_xlfn.IFNA(INDEX(商城宝箱!U:U,MATCH(玩家节奏2!$BK168,商城宝箱!$L:$L,0)),0)+($BC168-INDEX(商城宝箱!$N:$N,MATCH(玩家节奏2!$BK168,商城宝箱!$L:$L,0)))/$BK$5*INDEX(商城宝箱!F$23:F$42,MATCH(玩家节奏2!$BK168+1,商城宝箱!$C$23:$C$42,0))</f>
        <v>479210</v>
      </c>
      <c r="BN168" s="90">
        <f ca="1">_xlfn.IFNA(INDEX(商城宝箱!V:V,MATCH(玩家节奏2!$BK168,商城宝箱!$L:$L,0)),0)+($BC168-INDEX(商城宝箱!$N:$N,MATCH(玩家节奏2!$BK168,商城宝箱!$L:$L,0)))/$BK$5*INDEX(商城宝箱!G$23:G$42,MATCH(玩家节奏2!$BK168+1,商城宝箱!$C$23:$C$42,0))</f>
        <v>239218.25</v>
      </c>
      <c r="BO168" s="90">
        <f ca="1">_xlfn.IFNA(INDEX(商城宝箱!W:W,MATCH(玩家节奏2!$BK168,商城宝箱!$L:$L,0)),0)+($BC168-INDEX(商城宝箱!$N:$N,MATCH(玩家节奏2!$BK168,商城宝箱!$L:$L,0)))/$BK$5*INDEX(商城宝箱!H$23:H$42,MATCH(玩家节奏2!$BK168+1,商城宝箱!$C$23:$C$42,0))</f>
        <v>39201.5</v>
      </c>
      <c r="BQ168" s="128">
        <f t="shared" si="143"/>
        <v>11610000</v>
      </c>
      <c r="BR168" s="90">
        <f t="shared" si="144"/>
        <v>4587130</v>
      </c>
      <c r="BS168" s="90">
        <f t="shared" ca="1" si="195"/>
        <v>8231026</v>
      </c>
      <c r="BT168" s="90">
        <f t="shared" si="196"/>
        <v>61000</v>
      </c>
      <c r="BU168" s="90">
        <f t="shared" si="147"/>
        <v>2544000</v>
      </c>
      <c r="BV168" s="90">
        <f t="shared" si="148"/>
        <v>486000</v>
      </c>
      <c r="BW168" s="90">
        <f t="shared" ca="1" si="160"/>
        <v>385062.5</v>
      </c>
      <c r="BX168" s="90">
        <f t="shared" ca="1" si="161"/>
        <v>27904218.5</v>
      </c>
      <c r="BY168" s="142">
        <f t="shared" ca="1" si="191"/>
        <v>0.41606612276204763</v>
      </c>
      <c r="BZ168" s="142">
        <f t="shared" ca="1" si="191"/>
        <v>0.16438840600391658</v>
      </c>
      <c r="CA168" s="142">
        <f t="shared" ca="1" si="191"/>
        <v>0.29497425272813144</v>
      </c>
      <c r="CB168" s="142">
        <f t="shared" ca="1" si="190"/>
        <v>2.1860493960796645E-3</v>
      </c>
      <c r="CC168" s="142">
        <f t="shared" ca="1" si="190"/>
        <v>9.1169010879125684E-2</v>
      </c>
      <c r="CD168" s="142">
        <f t="shared" ca="1" si="190"/>
        <v>1.7416721417946181E-2</v>
      </c>
      <c r="CE168" s="142">
        <f t="shared" ca="1" si="190"/>
        <v>1.3799436812752882E-2</v>
      </c>
      <c r="CG168" s="128">
        <f t="shared" si="162"/>
        <v>200</v>
      </c>
      <c r="CH168" s="90">
        <f ca="1">INDEX(角色升级!$A:$A,MATCH(玩家节奏2!$BX168,角色升级!$J:$J,1))</f>
        <v>1047</v>
      </c>
      <c r="CI168" s="90">
        <f ca="1">INDEX(角色升级!$O:$O,MATCH(玩家节奏2!$BX168,角色升级!$J:$J,1))</f>
        <v>99294.156750000009</v>
      </c>
      <c r="CJ168" s="90">
        <f>INDEX(关卡对比!$J:$J,MATCH(玩家节奏2!N168,关卡对比!$A:$A,0))</f>
        <v>86200</v>
      </c>
      <c r="CK168" s="147">
        <f t="shared" ca="1" si="163"/>
        <v>0.8681276202086281</v>
      </c>
      <c r="CL168" s="128">
        <f ca="1">INDEX(角色升级!$P:$P,MATCH(玩家节奏2!$CH168,角色升级!$A:$A,0))</f>
        <v>40800</v>
      </c>
      <c r="CM168" s="90">
        <f ca="1">INDEX(角色升级!Q:Q,MATCH(玩家节奏2!$CH168,角色升级!$A:$A,0))</f>
        <v>2.2000000000000002</v>
      </c>
      <c r="CO168" s="128">
        <f t="shared" si="164"/>
        <v>78866</v>
      </c>
      <c r="CP168" s="90">
        <f t="shared" si="165"/>
        <v>351406</v>
      </c>
      <c r="CQ168" s="90">
        <f t="shared" si="166"/>
        <v>113764</v>
      </c>
      <c r="CR168" s="90">
        <f t="shared" ca="1" si="167"/>
        <v>479210</v>
      </c>
      <c r="CS168" s="90">
        <f t="shared" ca="1" si="168"/>
        <v>1023246</v>
      </c>
      <c r="CT168" s="142">
        <f t="shared" ca="1" si="169"/>
        <v>7.707433012198435E-2</v>
      </c>
      <c r="CU168" s="142">
        <f t="shared" ca="1" si="169"/>
        <v>0.34342279373679446</v>
      </c>
      <c r="CV168" s="142">
        <f t="shared" ca="1" si="169"/>
        <v>0.11117952085813186</v>
      </c>
      <c r="CW168" s="142">
        <f t="shared" ca="1" si="149"/>
        <v>0.46832335528308933</v>
      </c>
      <c r="CY168" s="128">
        <f t="shared" si="170"/>
        <v>39434</v>
      </c>
      <c r="CZ168" s="90">
        <f t="shared" si="171"/>
        <v>175539</v>
      </c>
      <c r="DA168" s="90">
        <f t="shared" si="172"/>
        <v>79152</v>
      </c>
      <c r="DB168" s="90">
        <f t="shared" ca="1" si="186"/>
        <v>239218.25</v>
      </c>
      <c r="DC168" s="90">
        <f t="shared" ca="1" si="173"/>
        <v>533343.25</v>
      </c>
      <c r="DD168" s="142">
        <f t="shared" ca="1" si="174"/>
        <v>7.3937375226929378E-2</v>
      </c>
      <c r="DE168" s="142">
        <f t="shared" ca="1" si="174"/>
        <v>0.32912950524826179</v>
      </c>
      <c r="DF168" s="142">
        <f t="shared" ca="1" si="174"/>
        <v>0.14840724055287097</v>
      </c>
      <c r="DG168" s="142">
        <f t="shared" ca="1" si="150"/>
        <v>0.44852587897193785</v>
      </c>
      <c r="DI168" s="128">
        <f t="shared" si="175"/>
        <v>19113</v>
      </c>
      <c r="DJ168" s="90">
        <f t="shared" si="176"/>
        <v>86435</v>
      </c>
      <c r="DK168" s="90">
        <f t="shared" si="177"/>
        <v>31110</v>
      </c>
      <c r="DL168" s="90">
        <f t="shared" ca="1" si="178"/>
        <v>39201.5</v>
      </c>
      <c r="DM168" s="90">
        <f t="shared" ca="1" si="179"/>
        <v>175859.5</v>
      </c>
      <c r="DN168" s="142">
        <f t="shared" ca="1" si="180"/>
        <v>0.1086833523352449</v>
      </c>
      <c r="DO168" s="142">
        <f t="shared" ca="1" si="180"/>
        <v>0.49150031701443481</v>
      </c>
      <c r="DP168" s="142">
        <f t="shared" ca="1" si="180"/>
        <v>0.17690258416520005</v>
      </c>
      <c r="DQ168" s="142">
        <f t="shared" ca="1" si="151"/>
        <v>0.22291374648512022</v>
      </c>
      <c r="DS168" s="128">
        <f t="shared" ca="1" si="181"/>
        <v>1023246</v>
      </c>
      <c r="DT168" s="90">
        <f t="shared" ca="1" si="182"/>
        <v>533343.25</v>
      </c>
      <c r="DU168" s="90">
        <f t="shared" ca="1" si="183"/>
        <v>175859.5</v>
      </c>
      <c r="DV168" s="90">
        <f t="shared" si="184"/>
        <v>2544</v>
      </c>
      <c r="DW168" s="90">
        <f ca="1">_xlfn.IFNA(INDEX(武器升级消耗!$H:$H,MATCH(玩家节奏2!DS168/玩家节奏2!DS$5,武器升级消耗!M:M,1)),0)</f>
        <v>87</v>
      </c>
      <c r="DX168" s="90">
        <f ca="1">_xlfn.IFNA(INDEX(武器升级消耗!$H:$H,MATCH(玩家节奏2!DT168/玩家节奏2!DT$5,武器升级消耗!N:N,1)),0)</f>
        <v>76</v>
      </c>
      <c r="DY168" s="90">
        <f ca="1">_xlfn.IFNA(INDEX(武器升级消耗!$H:$H,MATCH(玩家节奏2!DU168/玩家节奏2!DU$5,武器升级消耗!O:O,1)),0)</f>
        <v>58</v>
      </c>
      <c r="DZ168" s="90">
        <f>_xlfn.IFNA(INDEX(武器升级消耗!$H:$H,MATCH(玩家节奏2!DV168/玩家节奏2!DV$5,武器升级消耗!P:P,1)),0)</f>
        <v>36</v>
      </c>
      <c r="EA168" s="90">
        <f ca="1">_xlfn.IFNA(INDEX(武器升级消耗!$Q:$Q,MATCH(玩家节奏2!DW168,武器升级消耗!$H:$H,0))*2*EA$4,0)</f>
        <v>10.919999999999989</v>
      </c>
      <c r="EB168" s="90">
        <f ca="1">_xlfn.IFNA(INDEX(武器升级消耗!$Q:$Q,MATCH(玩家节奏2!DX168,武器升级消耗!$H:$H,0))*2*EB$4,0)</f>
        <v>11.999999999999986</v>
      </c>
      <c r="EC168" s="90">
        <f ca="1">_xlfn.IFNA(INDEX(武器升级消耗!$Q:$Q,MATCH(玩家节奏2!DY168,武器升级消耗!$H:$H,0))*2*EC$4,0)</f>
        <v>13.640000000000002</v>
      </c>
      <c r="ED168" s="90">
        <f>_xlfn.IFNA(INDEX(武器升级消耗!$Q:$Q,MATCH(玩家节奏2!DZ168,武器升级消耗!$H:$H,0))*2*ED$4,0)</f>
        <v>12</v>
      </c>
    </row>
    <row r="169" spans="1:134" x14ac:dyDescent="0.25">
      <c r="A169" s="123">
        <v>163</v>
      </c>
      <c r="B169" s="123">
        <f>INDEX(关卡对比!$Y:$Y,MATCH(关卡对比!Z169,关卡对比!$AA:$AA,1))</f>
        <v>95</v>
      </c>
      <c r="C169" s="124">
        <f>INDEX(关卡对比!$Y:$Y,MATCH(关卡对比!Z169,关卡对比!$AB:$AB,1))</f>
        <v>72</v>
      </c>
      <c r="D169" s="125">
        <f t="shared" si="189"/>
        <v>629.5</v>
      </c>
      <c r="E169" s="125">
        <v>2</v>
      </c>
      <c r="F169" s="128">
        <v>16</v>
      </c>
      <c r="G169" s="90">
        <v>16</v>
      </c>
      <c r="H169" s="90">
        <v>5</v>
      </c>
      <c r="J169" s="128">
        <v>163</v>
      </c>
      <c r="K169" s="90">
        <f t="shared" si="152"/>
        <v>16</v>
      </c>
      <c r="L169" s="90">
        <f t="shared" si="153"/>
        <v>16</v>
      </c>
      <c r="M169" s="90">
        <f t="shared" si="154"/>
        <v>5</v>
      </c>
      <c r="N169" s="140">
        <f>INDEX($A:$A,MATCH(SUM($K$7:K169),$D:$D,1))</f>
        <v>200</v>
      </c>
      <c r="O169" s="140">
        <v>0</v>
      </c>
      <c r="P169" s="141">
        <v>0</v>
      </c>
      <c r="Q169" s="126">
        <f>_xlfn.MAXIFS(关卡产出!X:X,关卡产出!$A:$A,玩家节奏2!$N$6,关卡产出!$B:$B,玩家节奏2!$N169)+_xlfn.MAXIFS(关卡产出!X:X,关卡产出!$A:$A,玩家节奏2!$O$6,关卡产出!$B:$B,玩家节奏2!$O169)+_xlfn.MAXIFS(关卡产出!X:X,关卡产出!$A:$A,玩家节奏2!$P$6,关卡产出!$B:$B,玩家节奏2!$P169)</f>
        <v>38500</v>
      </c>
      <c r="R169" s="90">
        <f>_xlfn.MAXIFS(关卡产出!Y:Y,关卡产出!$A:$A,玩家节奏2!$N$6,关卡产出!$B:$B,玩家节奏2!$N169)+_xlfn.MAXIFS(关卡产出!Y:Y,关卡产出!$A:$A,玩家节奏2!$O$6,关卡产出!$B:$B,玩家节奏2!$O169)+_xlfn.MAXIFS(关卡产出!Y:Y,关卡产出!$A:$A,玩家节奏2!$P$6,关卡产出!$B:$B,玩家节奏2!$P169)</f>
        <v>11610000</v>
      </c>
      <c r="S169" s="90">
        <f>_xlfn.MAXIFS(关卡产出!Z:Z,关卡产出!$A:$A,玩家节奏2!$N$6,关卡产出!$B:$B,玩家节奏2!$N169)+_xlfn.MAXIFS(关卡产出!Z:Z,关卡产出!$A:$A,玩家节奏2!$O$6,关卡产出!$B:$B,玩家节奏2!$O169)+_xlfn.MAXIFS(关卡产出!Z:Z,关卡产出!$A:$A,玩家节奏2!$P$6,关卡产出!$B:$B,玩家节奏2!$P169)</f>
        <v>78866</v>
      </c>
      <c r="T169" s="90">
        <f>_xlfn.MAXIFS(关卡产出!AA:AA,关卡产出!$A:$A,玩家节奏2!$N$6,关卡产出!$B:$B,玩家节奏2!$N169)+_xlfn.MAXIFS(关卡产出!AA:AA,关卡产出!$A:$A,玩家节奏2!$O$6,关卡产出!$B:$B,玩家节奏2!$O169)+_xlfn.MAXIFS(关卡产出!AA:AA,关卡产出!$A:$A,玩家节奏2!$P$6,关卡产出!$B:$B,玩家节奏2!$P169)</f>
        <v>39434</v>
      </c>
      <c r="U169" s="90">
        <f>_xlfn.MAXIFS(关卡产出!AB:AB,关卡产出!$A:$A,玩家节奏2!$N$6,关卡产出!$B:$B,玩家节奏2!$N169)+_xlfn.MAXIFS(关卡产出!AB:AB,关卡产出!$A:$A,玩家节奏2!$O$6,关卡产出!$B:$B,玩家节奏2!$O169)+_xlfn.MAXIFS(关卡产出!AB:AB,关卡产出!$A:$A,玩家节奏2!$P$6,关卡产出!$B:$B,玩家节奏2!$P169)</f>
        <v>19113</v>
      </c>
      <c r="V169" s="130">
        <f>_xlfn.MAXIFS(关卡产出!AC:AC,关卡产出!$A:$A,玩家节奏2!$N$6,关卡产出!$B:$B,玩家节奏2!$N169)+_xlfn.MAXIFS(关卡产出!AC:AC,关卡产出!$A:$A,玩家节奏2!$O$6,关卡产出!$B:$B,玩家节奏2!$O169)+_xlfn.MAXIFS(关卡产出!AC:AC,关卡产出!$A:$A,玩家节奏2!$P$6,关卡产出!$B:$B,玩家节奏2!$P169)</f>
        <v>1200</v>
      </c>
      <c r="W169" s="126">
        <f>INDEX(关卡产出!C$8:C$207,MATCH(玩家节奏2!$N169,关卡产出!$B$8:$B$207,0))*$K169</f>
        <v>2528</v>
      </c>
      <c r="X169" s="126">
        <f>INDEX(关卡产出!D$8:D$207,MATCH(玩家节奏2!$N169,关卡产出!$B$8:$B$207,0))*$K169</f>
        <v>1264</v>
      </c>
      <c r="Y169" s="126">
        <f>INDEX(关卡产出!E$8:E$207,MATCH(玩家节奏2!$N169,关卡产出!$B$8:$B$207,0))*$K169</f>
        <v>624</v>
      </c>
      <c r="Z169" s="144">
        <f>INDEX(关卡产出!F$8:F$207,MATCH(玩家节奏2!$N169,关卡产出!$B$8:$B$207,0))*$K169</f>
        <v>32800</v>
      </c>
      <c r="AA169" s="126">
        <f>SUM(W$7:W169)</f>
        <v>353934</v>
      </c>
      <c r="AB169" s="126">
        <f>SUM(X$7:X169)</f>
        <v>176803</v>
      </c>
      <c r="AC169" s="126">
        <f>SUM(Y$7:Y169)</f>
        <v>87059</v>
      </c>
      <c r="AD169" s="177">
        <f>SUM(Z$7:Z169)</f>
        <v>4619930</v>
      </c>
      <c r="AE169" s="128">
        <f>INDEX(图鉴!AQ:AQ,MATCH($N169,图鉴!$S:$S,0))*34</f>
        <v>714</v>
      </c>
      <c r="AF169" s="90">
        <f>INDEX(图鉴!AR:AR,MATCH($N169,图鉴!$S:$S,0))*34</f>
        <v>510</v>
      </c>
      <c r="AG169" s="90">
        <f>INDEX(图鉴!AS:AS,MATCH($N169,图鉴!$S:$S,0))*34</f>
        <v>204</v>
      </c>
      <c r="AH169" s="129">
        <f ca="1">INDEX(图鉴!AT:AT,MATCH($N169,图鉴!$S:$S,0))*34</f>
        <v>55930</v>
      </c>
      <c r="AI169" s="128">
        <f>SUM($AE$7:AE169)</f>
        <v>114478</v>
      </c>
      <c r="AJ169" s="90">
        <f>SUM(AF$7:AF169)</f>
        <v>79662</v>
      </c>
      <c r="AK169" s="90">
        <f>SUM(AG$7:AG169)</f>
        <v>31314</v>
      </c>
      <c r="AL169" s="130">
        <f ca="1">SUM(AH$7:AH169)</f>
        <v>8286956</v>
      </c>
      <c r="AM169" s="133">
        <f>IF(M169=0,0,INDEX(关卡产出!$AU$11:$AU$15,MATCH(玩家节奏2!N169,关卡产出!$AW$11:$AW$15,1))*M169)</f>
        <v>61000</v>
      </c>
      <c r="AN169" s="126">
        <f>IF(L169=0,0,$L169*关卡产出!AU$21)</f>
        <v>16000</v>
      </c>
      <c r="AO169" s="90">
        <f>IF(M169=0,0,$L169*关卡产出!AV$21)</f>
        <v>800</v>
      </c>
      <c r="AP169" s="129">
        <f>IF(N169=0,0,$L169*关卡产出!AW$21)</f>
        <v>16</v>
      </c>
      <c r="AQ169" s="138">
        <f>SUM(AN$7:AN169)</f>
        <v>2560000</v>
      </c>
      <c r="AR169" s="126">
        <f>SUM(AO$7:AO169)</f>
        <v>128000</v>
      </c>
      <c r="AS169" s="129">
        <f>SUM(AP$7:AP169)</f>
        <v>2560</v>
      </c>
      <c r="AT169" s="128">
        <v>3000</v>
      </c>
      <c r="AU169" s="129">
        <v>600</v>
      </c>
      <c r="AV169" s="128">
        <f>SUM(AT$7:AT169)</f>
        <v>489000</v>
      </c>
      <c r="AW169" s="90">
        <f>SUM(AU$7:AU169)</f>
        <v>97800</v>
      </c>
      <c r="AY169" s="128">
        <f t="shared" si="155"/>
        <v>38500</v>
      </c>
      <c r="AZ169" s="90">
        <f t="shared" si="156"/>
        <v>128000</v>
      </c>
      <c r="BA169" s="90">
        <f t="shared" si="157"/>
        <v>97800</v>
      </c>
      <c r="BB169" s="90">
        <f t="shared" ca="1" si="185"/>
        <v>40800</v>
      </c>
      <c r="BC169" s="90">
        <f t="shared" ca="1" si="187"/>
        <v>154725</v>
      </c>
      <c r="BD169" s="90">
        <f t="shared" ca="1" si="188"/>
        <v>150375</v>
      </c>
      <c r="BE169" s="90">
        <f t="shared" ca="1" si="158"/>
        <v>305100</v>
      </c>
      <c r="BF169" s="142">
        <f t="shared" ca="1" si="192"/>
        <v>0.24882856681208596</v>
      </c>
      <c r="BG169" s="142">
        <f t="shared" ca="1" si="193"/>
        <v>0.82727419615446762</v>
      </c>
      <c r="BH169" s="142">
        <f t="shared" ca="1" si="194"/>
        <v>0.63208919049927292</v>
      </c>
      <c r="BI169" s="142">
        <f t="shared" ca="1" si="197"/>
        <v>0.26369365002423656</v>
      </c>
      <c r="BJ169" s="143"/>
      <c r="BK169" s="128">
        <f ca="1">INDEX(商城宝箱!$L:$L,MATCH(BC169,商城宝箱!$N:$N,1))</f>
        <v>13</v>
      </c>
      <c r="BL169" s="90">
        <f ca="1">_xlfn.IFNA(INDEX(商城宝箱!T:T,MATCH(玩家节奏2!$BK169,商城宝箱!$L:$L,0)),0)+($BC169-INDEX(商城宝箱!$N:$N,MATCH(玩家节奏2!$BK169,商城宝箱!$L:$L,0)))/$BK$5*INDEX(商城宝箱!E$23:E$42,MATCH(玩家节奏2!$BK169+1,商城宝箱!$C$23:$C$42,0))</f>
        <v>386812.5</v>
      </c>
      <c r="BM169" s="90">
        <f ca="1">_xlfn.IFNA(INDEX(商城宝箱!U:U,MATCH(玩家节奏2!$BK169,商城宝箱!$L:$L,0)),0)+($BC169-INDEX(商城宝箱!$N:$N,MATCH(玩家节奏2!$BK169,商城宝箱!$L:$L,0)))/$BK$5*INDEX(商城宝箱!F$23:F$42,MATCH(玩家节奏2!$BK169+1,商城宝箱!$C$23:$C$42,0))</f>
        <v>482500</v>
      </c>
      <c r="BN169" s="90">
        <f ca="1">_xlfn.IFNA(INDEX(商城宝箱!V:V,MATCH(玩家节奏2!$BK169,商城宝箱!$L:$L,0)),0)+($BC169-INDEX(商城宝箱!$N:$N,MATCH(玩家节奏2!$BK169,商城宝箱!$L:$L,0)))/$BK$5*INDEX(商城宝箱!G$23:G$42,MATCH(玩家节奏2!$BK169+1,商城宝箱!$C$23:$C$42,0))</f>
        <v>240793.25</v>
      </c>
      <c r="BO169" s="90">
        <f ca="1">_xlfn.IFNA(INDEX(商城宝箱!W:W,MATCH(玩家节奏2!$BK169,商城宝箱!$L:$L,0)),0)+($BC169-INDEX(商城宝箱!$N:$N,MATCH(玩家节奏2!$BK169,商城宝箱!$L:$L,0)))/$BK$5*INDEX(商城宝箱!H$23:H$42,MATCH(玩家节奏2!$BK169+1,商城宝箱!$C$23:$C$42,0))</f>
        <v>39481.5</v>
      </c>
      <c r="BQ169" s="128">
        <f t="shared" si="143"/>
        <v>11610000</v>
      </c>
      <c r="BR169" s="90">
        <f t="shared" si="144"/>
        <v>4619930</v>
      </c>
      <c r="BS169" s="90">
        <f t="shared" ca="1" si="195"/>
        <v>8286956</v>
      </c>
      <c r="BT169" s="90">
        <f t="shared" si="196"/>
        <v>61000</v>
      </c>
      <c r="BU169" s="90">
        <f t="shared" si="147"/>
        <v>2560000</v>
      </c>
      <c r="BV169" s="90">
        <f t="shared" si="148"/>
        <v>489000</v>
      </c>
      <c r="BW169" s="90">
        <f t="shared" ca="1" si="160"/>
        <v>386812.5</v>
      </c>
      <c r="BX169" s="90">
        <f t="shared" ca="1" si="161"/>
        <v>28013698.5</v>
      </c>
      <c r="BY169" s="142">
        <f t="shared" ca="1" si="191"/>
        <v>0.41444009972478285</v>
      </c>
      <c r="BZ169" s="142">
        <f t="shared" ca="1" si="191"/>
        <v>0.16491681739203412</v>
      </c>
      <c r="CA169" s="142">
        <f t="shared" ca="1" si="191"/>
        <v>0.2958179906162694</v>
      </c>
      <c r="CB169" s="142">
        <f t="shared" ca="1" si="190"/>
        <v>2.1775061225849917E-3</v>
      </c>
      <c r="CC169" s="142">
        <f t="shared" ca="1" si="190"/>
        <v>9.1383863505206206E-2</v>
      </c>
      <c r="CD169" s="142">
        <f t="shared" ca="1" si="190"/>
        <v>1.7455745802361654E-2</v>
      </c>
      <c r="CE169" s="142">
        <f t="shared" ca="1" si="190"/>
        <v>1.3807976836760773E-2</v>
      </c>
      <c r="CG169" s="128">
        <f t="shared" si="162"/>
        <v>200</v>
      </c>
      <c r="CH169" s="90">
        <f ca="1">INDEX(角色升级!$A:$A,MATCH(玩家节奏2!$BX169,角色升级!$J:$J,1))</f>
        <v>1047</v>
      </c>
      <c r="CI169" s="90">
        <f ca="1">INDEX(角色升级!$O:$O,MATCH(玩家节奏2!$BX169,角色升级!$J:$J,1))</f>
        <v>99294.156750000009</v>
      </c>
      <c r="CJ169" s="90">
        <f>INDEX(关卡对比!$J:$J,MATCH(玩家节奏2!N169,关卡对比!$A:$A,0))</f>
        <v>86200</v>
      </c>
      <c r="CK169" s="147">
        <f t="shared" ca="1" si="163"/>
        <v>0.8681276202086281</v>
      </c>
      <c r="CL169" s="128">
        <f ca="1">INDEX(角色升级!$P:$P,MATCH(玩家节奏2!$CH169,角色升级!$A:$A,0))</f>
        <v>40800</v>
      </c>
      <c r="CM169" s="90">
        <f ca="1">INDEX(角色升级!Q:Q,MATCH(玩家节奏2!$CH169,角色升级!$A:$A,0))</f>
        <v>2.2000000000000002</v>
      </c>
      <c r="CO169" s="128">
        <f t="shared" si="164"/>
        <v>78866</v>
      </c>
      <c r="CP169" s="90">
        <f t="shared" si="165"/>
        <v>353934</v>
      </c>
      <c r="CQ169" s="90">
        <f t="shared" si="166"/>
        <v>114478</v>
      </c>
      <c r="CR169" s="90">
        <f t="shared" ca="1" si="167"/>
        <v>482500</v>
      </c>
      <c r="CS169" s="90">
        <f t="shared" ca="1" si="168"/>
        <v>1029778</v>
      </c>
      <c r="CT169" s="142">
        <f t="shared" ca="1" si="169"/>
        <v>7.6585438803314893E-2</v>
      </c>
      <c r="CU169" s="142">
        <f t="shared" ca="1" si="169"/>
        <v>0.34369932160135486</v>
      </c>
      <c r="CV169" s="142">
        <f t="shared" ca="1" si="169"/>
        <v>0.1111676497264459</v>
      </c>
      <c r="CW169" s="142">
        <f t="shared" ca="1" si="149"/>
        <v>0.46854758986888434</v>
      </c>
      <c r="CY169" s="128">
        <f t="shared" si="170"/>
        <v>39434</v>
      </c>
      <c r="CZ169" s="90">
        <f t="shared" si="171"/>
        <v>176803</v>
      </c>
      <c r="DA169" s="90">
        <f t="shared" si="172"/>
        <v>79662</v>
      </c>
      <c r="DB169" s="90">
        <f t="shared" ca="1" si="186"/>
        <v>240793.25</v>
      </c>
      <c r="DC169" s="90">
        <f t="shared" ca="1" si="173"/>
        <v>536692.25</v>
      </c>
      <c r="DD169" s="142">
        <f t="shared" ca="1" si="174"/>
        <v>7.3476000445320391E-2</v>
      </c>
      <c r="DE169" s="142">
        <f t="shared" ca="1" si="174"/>
        <v>0.32943087961490036</v>
      </c>
      <c r="DF169" s="142">
        <f t="shared" ca="1" si="174"/>
        <v>0.14843143347048518</v>
      </c>
      <c r="DG169" s="142">
        <f t="shared" ca="1" si="150"/>
        <v>0.44866168646929411</v>
      </c>
      <c r="DI169" s="128">
        <f t="shared" si="175"/>
        <v>19113</v>
      </c>
      <c r="DJ169" s="90">
        <f t="shared" si="176"/>
        <v>87059</v>
      </c>
      <c r="DK169" s="90">
        <f t="shared" si="177"/>
        <v>31314</v>
      </c>
      <c r="DL169" s="90">
        <f t="shared" ca="1" si="178"/>
        <v>39481.5</v>
      </c>
      <c r="DM169" s="90">
        <f t="shared" ca="1" si="179"/>
        <v>176967.5</v>
      </c>
      <c r="DN169" s="142">
        <f t="shared" ca="1" si="180"/>
        <v>0.1080028818850919</v>
      </c>
      <c r="DO169" s="142">
        <f t="shared" ca="1" si="180"/>
        <v>0.49194908669670984</v>
      </c>
      <c r="DP169" s="142">
        <f t="shared" ca="1" si="180"/>
        <v>0.17694774464237784</v>
      </c>
      <c r="DQ169" s="142">
        <f t="shared" ca="1" si="151"/>
        <v>0.22310028677582042</v>
      </c>
      <c r="DS169" s="128">
        <f t="shared" ca="1" si="181"/>
        <v>1029778</v>
      </c>
      <c r="DT169" s="90">
        <f t="shared" ca="1" si="182"/>
        <v>536692.25</v>
      </c>
      <c r="DU169" s="90">
        <f t="shared" ca="1" si="183"/>
        <v>176967.5</v>
      </c>
      <c r="DV169" s="90">
        <f t="shared" si="184"/>
        <v>2560</v>
      </c>
      <c r="DW169" s="90">
        <f ca="1">_xlfn.IFNA(INDEX(武器升级消耗!$H:$H,MATCH(玩家节奏2!DS169/玩家节奏2!DS$5,武器升级消耗!M:M,1)),0)</f>
        <v>87</v>
      </c>
      <c r="DX169" s="90">
        <f ca="1">_xlfn.IFNA(INDEX(武器升级消耗!$H:$H,MATCH(玩家节奏2!DT169/玩家节奏2!DT$5,武器升级消耗!N:N,1)),0)</f>
        <v>77</v>
      </c>
      <c r="DY169" s="90">
        <f ca="1">_xlfn.IFNA(INDEX(武器升级消耗!$H:$H,MATCH(玩家节奏2!DU169/玩家节奏2!DU$5,武器升级消耗!O:O,1)),0)</f>
        <v>58</v>
      </c>
      <c r="DZ169" s="90">
        <f>_xlfn.IFNA(INDEX(武器升级消耗!$H:$H,MATCH(玩家节奏2!DV169/玩家节奏2!DV$5,武器升级消耗!P:P,1)),0)</f>
        <v>36</v>
      </c>
      <c r="EA169" s="90">
        <f ca="1">_xlfn.IFNA(INDEX(武器升级消耗!$Q:$Q,MATCH(玩家节奏2!DW169,武器升级消耗!$H:$H,0))*2*EA$4,0)</f>
        <v>10.919999999999989</v>
      </c>
      <c r="EB169" s="90">
        <f ca="1">_xlfn.IFNA(INDEX(武器升级消耗!$Q:$Q,MATCH(玩家节奏2!DX169,武器升级消耗!$H:$H,0))*2*EB$4,0)</f>
        <v>12.149999999999986</v>
      </c>
      <c r="EC169" s="90">
        <f ca="1">_xlfn.IFNA(INDEX(武器升级消耗!$Q:$Q,MATCH(玩家节奏2!DY169,武器升级消耗!$H:$H,0))*2*EC$4,0)</f>
        <v>13.640000000000002</v>
      </c>
      <c r="ED169" s="90">
        <f>_xlfn.IFNA(INDEX(武器升级消耗!$Q:$Q,MATCH(玩家节奏2!DZ169,武器升级消耗!$H:$H,0))*2*ED$4,0)</f>
        <v>12</v>
      </c>
    </row>
    <row r="170" spans="1:134" x14ac:dyDescent="0.25">
      <c r="A170" s="123">
        <v>164</v>
      </c>
      <c r="B170" s="123">
        <f>INDEX(关卡对比!$Y:$Y,MATCH(关卡对比!Z170,关卡对比!$AA:$AA,1))</f>
        <v>95</v>
      </c>
      <c r="C170" s="124">
        <f>INDEX(关卡对比!$Y:$Y,MATCH(关卡对比!Z170,关卡对比!$AB:$AB,1))</f>
        <v>73</v>
      </c>
      <c r="D170" s="125">
        <f t="shared" si="189"/>
        <v>633.5</v>
      </c>
      <c r="E170" s="125">
        <v>2</v>
      </c>
      <c r="F170" s="128">
        <v>16</v>
      </c>
      <c r="G170" s="90">
        <v>16</v>
      </c>
      <c r="H170" s="90">
        <v>5</v>
      </c>
      <c r="J170" s="128">
        <v>164</v>
      </c>
      <c r="K170" s="90">
        <f t="shared" si="152"/>
        <v>16</v>
      </c>
      <c r="L170" s="90">
        <f t="shared" si="153"/>
        <v>16</v>
      </c>
      <c r="M170" s="90">
        <f t="shared" si="154"/>
        <v>5</v>
      </c>
      <c r="N170" s="140">
        <f>INDEX($A:$A,MATCH(SUM($K$7:K170),$D:$D,1))</f>
        <v>200</v>
      </c>
      <c r="O170" s="140">
        <v>0</v>
      </c>
      <c r="P170" s="141">
        <v>0</v>
      </c>
      <c r="Q170" s="126">
        <f>_xlfn.MAXIFS(关卡产出!X:X,关卡产出!$A:$A,玩家节奏2!$N$6,关卡产出!$B:$B,玩家节奏2!$N170)+_xlfn.MAXIFS(关卡产出!X:X,关卡产出!$A:$A,玩家节奏2!$O$6,关卡产出!$B:$B,玩家节奏2!$O170)+_xlfn.MAXIFS(关卡产出!X:X,关卡产出!$A:$A,玩家节奏2!$P$6,关卡产出!$B:$B,玩家节奏2!$P170)</f>
        <v>38500</v>
      </c>
      <c r="R170" s="90">
        <f>_xlfn.MAXIFS(关卡产出!Y:Y,关卡产出!$A:$A,玩家节奏2!$N$6,关卡产出!$B:$B,玩家节奏2!$N170)+_xlfn.MAXIFS(关卡产出!Y:Y,关卡产出!$A:$A,玩家节奏2!$O$6,关卡产出!$B:$B,玩家节奏2!$O170)+_xlfn.MAXIFS(关卡产出!Y:Y,关卡产出!$A:$A,玩家节奏2!$P$6,关卡产出!$B:$B,玩家节奏2!$P170)</f>
        <v>11610000</v>
      </c>
      <c r="S170" s="90">
        <f>_xlfn.MAXIFS(关卡产出!Z:Z,关卡产出!$A:$A,玩家节奏2!$N$6,关卡产出!$B:$B,玩家节奏2!$N170)+_xlfn.MAXIFS(关卡产出!Z:Z,关卡产出!$A:$A,玩家节奏2!$O$6,关卡产出!$B:$B,玩家节奏2!$O170)+_xlfn.MAXIFS(关卡产出!Z:Z,关卡产出!$A:$A,玩家节奏2!$P$6,关卡产出!$B:$B,玩家节奏2!$P170)</f>
        <v>78866</v>
      </c>
      <c r="T170" s="90">
        <f>_xlfn.MAXIFS(关卡产出!AA:AA,关卡产出!$A:$A,玩家节奏2!$N$6,关卡产出!$B:$B,玩家节奏2!$N170)+_xlfn.MAXIFS(关卡产出!AA:AA,关卡产出!$A:$A,玩家节奏2!$O$6,关卡产出!$B:$B,玩家节奏2!$O170)+_xlfn.MAXIFS(关卡产出!AA:AA,关卡产出!$A:$A,玩家节奏2!$P$6,关卡产出!$B:$B,玩家节奏2!$P170)</f>
        <v>39434</v>
      </c>
      <c r="U170" s="90">
        <f>_xlfn.MAXIFS(关卡产出!AB:AB,关卡产出!$A:$A,玩家节奏2!$N$6,关卡产出!$B:$B,玩家节奏2!$N170)+_xlfn.MAXIFS(关卡产出!AB:AB,关卡产出!$A:$A,玩家节奏2!$O$6,关卡产出!$B:$B,玩家节奏2!$O170)+_xlfn.MAXIFS(关卡产出!AB:AB,关卡产出!$A:$A,玩家节奏2!$P$6,关卡产出!$B:$B,玩家节奏2!$P170)</f>
        <v>19113</v>
      </c>
      <c r="V170" s="130">
        <f>_xlfn.MAXIFS(关卡产出!AC:AC,关卡产出!$A:$A,玩家节奏2!$N$6,关卡产出!$B:$B,玩家节奏2!$N170)+_xlfn.MAXIFS(关卡产出!AC:AC,关卡产出!$A:$A,玩家节奏2!$O$6,关卡产出!$B:$B,玩家节奏2!$O170)+_xlfn.MAXIFS(关卡产出!AC:AC,关卡产出!$A:$A,玩家节奏2!$P$6,关卡产出!$B:$B,玩家节奏2!$P170)</f>
        <v>1200</v>
      </c>
      <c r="W170" s="126">
        <f>INDEX(关卡产出!C$8:C$207,MATCH(玩家节奏2!$N170,关卡产出!$B$8:$B$207,0))*$K170</f>
        <v>2528</v>
      </c>
      <c r="X170" s="126">
        <f>INDEX(关卡产出!D$8:D$207,MATCH(玩家节奏2!$N170,关卡产出!$B$8:$B$207,0))*$K170</f>
        <v>1264</v>
      </c>
      <c r="Y170" s="126">
        <f>INDEX(关卡产出!E$8:E$207,MATCH(玩家节奏2!$N170,关卡产出!$B$8:$B$207,0))*$K170</f>
        <v>624</v>
      </c>
      <c r="Z170" s="144">
        <f>INDEX(关卡产出!F$8:F$207,MATCH(玩家节奏2!$N170,关卡产出!$B$8:$B$207,0))*$K170</f>
        <v>32800</v>
      </c>
      <c r="AA170" s="126">
        <f>SUM(W$7:W170)</f>
        <v>356462</v>
      </c>
      <c r="AB170" s="126">
        <f>SUM(X$7:X170)</f>
        <v>178067</v>
      </c>
      <c r="AC170" s="126">
        <f>SUM(Y$7:Y170)</f>
        <v>87683</v>
      </c>
      <c r="AD170" s="177">
        <f>SUM(Z$7:Z170)</f>
        <v>4652730</v>
      </c>
      <c r="AE170" s="128">
        <f>INDEX(图鉴!AQ:AQ,MATCH($N170,图鉴!$S:$S,0))*34</f>
        <v>714</v>
      </c>
      <c r="AF170" s="90">
        <f>INDEX(图鉴!AR:AR,MATCH($N170,图鉴!$S:$S,0))*34</f>
        <v>510</v>
      </c>
      <c r="AG170" s="90">
        <f>INDEX(图鉴!AS:AS,MATCH($N170,图鉴!$S:$S,0))*34</f>
        <v>204</v>
      </c>
      <c r="AH170" s="129">
        <f ca="1">INDEX(图鉴!AT:AT,MATCH($N170,图鉴!$S:$S,0))*34</f>
        <v>55930</v>
      </c>
      <c r="AI170" s="128">
        <f>SUM($AE$7:AE170)</f>
        <v>115192</v>
      </c>
      <c r="AJ170" s="90">
        <f>SUM(AF$7:AF170)</f>
        <v>80172</v>
      </c>
      <c r="AK170" s="90">
        <f>SUM(AG$7:AG170)</f>
        <v>31518</v>
      </c>
      <c r="AL170" s="130">
        <f ca="1">SUM(AH$7:AH170)</f>
        <v>8342886</v>
      </c>
      <c r="AM170" s="133">
        <f>IF(M170=0,0,INDEX(关卡产出!$AU$11:$AU$15,MATCH(玩家节奏2!N170,关卡产出!$AW$11:$AW$15,1))*M170)</f>
        <v>61000</v>
      </c>
      <c r="AN170" s="126">
        <f>IF(L170=0,0,$L170*关卡产出!AU$21)</f>
        <v>16000</v>
      </c>
      <c r="AO170" s="90">
        <f>IF(M170=0,0,$L170*关卡产出!AV$21)</f>
        <v>800</v>
      </c>
      <c r="AP170" s="129">
        <f>IF(N170=0,0,$L170*关卡产出!AW$21)</f>
        <v>16</v>
      </c>
      <c r="AQ170" s="138">
        <f>SUM(AN$7:AN170)</f>
        <v>2576000</v>
      </c>
      <c r="AR170" s="126">
        <f>SUM(AO$7:AO170)</f>
        <v>128800</v>
      </c>
      <c r="AS170" s="129">
        <f>SUM(AP$7:AP170)</f>
        <v>2576</v>
      </c>
      <c r="AT170" s="128">
        <v>3000</v>
      </c>
      <c r="AU170" s="129">
        <v>600</v>
      </c>
      <c r="AV170" s="128">
        <f>SUM(AT$7:AT170)</f>
        <v>492000</v>
      </c>
      <c r="AW170" s="90">
        <f>SUM(AU$7:AU170)</f>
        <v>98400</v>
      </c>
      <c r="AY170" s="128">
        <f t="shared" si="155"/>
        <v>38500</v>
      </c>
      <c r="AZ170" s="90">
        <f t="shared" si="156"/>
        <v>128800</v>
      </c>
      <c r="BA170" s="90">
        <f t="shared" si="157"/>
        <v>98400</v>
      </c>
      <c r="BB170" s="90">
        <f t="shared" ca="1" si="185"/>
        <v>40800</v>
      </c>
      <c r="BC170" s="90">
        <f t="shared" ca="1" si="187"/>
        <v>155425</v>
      </c>
      <c r="BD170" s="90">
        <f t="shared" ca="1" si="188"/>
        <v>151075</v>
      </c>
      <c r="BE170" s="90">
        <f t="shared" ca="1" si="158"/>
        <v>306500</v>
      </c>
      <c r="BF170" s="142">
        <f t="shared" ca="1" si="192"/>
        <v>0.24770789769985524</v>
      </c>
      <c r="BG170" s="142">
        <f t="shared" ca="1" si="193"/>
        <v>0.82869551230497029</v>
      </c>
      <c r="BH170" s="142">
        <f t="shared" ca="1" si="194"/>
        <v>0.63310278269261699</v>
      </c>
      <c r="BI170" s="142">
        <f t="shared" ca="1" si="197"/>
        <v>0.26250603184815829</v>
      </c>
      <c r="BJ170" s="143"/>
      <c r="BK170" s="128">
        <f ca="1">INDEX(商城宝箱!$L:$L,MATCH(BC170,商城宝箱!$N:$N,1))</f>
        <v>13</v>
      </c>
      <c r="BL170" s="90">
        <f ca="1">_xlfn.IFNA(INDEX(商城宝箱!T:T,MATCH(玩家节奏2!$BK170,商城宝箱!$L:$L,0)),0)+($BC170-INDEX(商城宝箱!$N:$N,MATCH(玩家节奏2!$BK170,商城宝箱!$L:$L,0)))/$BK$5*INDEX(商城宝箱!E$23:E$42,MATCH(玩家节奏2!$BK170+1,商城宝箱!$C$23:$C$42,0))</f>
        <v>388562.5</v>
      </c>
      <c r="BM170" s="90">
        <f ca="1">_xlfn.IFNA(INDEX(商城宝箱!U:U,MATCH(玩家节奏2!$BK170,商城宝箱!$L:$L,0)),0)+($BC170-INDEX(商城宝箱!$N:$N,MATCH(玩家节奏2!$BK170,商城宝箱!$L:$L,0)))/$BK$5*INDEX(商城宝箱!F$23:F$42,MATCH(玩家节奏2!$BK170+1,商城宝箱!$C$23:$C$42,0))</f>
        <v>485790</v>
      </c>
      <c r="BN170" s="90">
        <f ca="1">_xlfn.IFNA(INDEX(商城宝箱!V:V,MATCH(玩家节奏2!$BK170,商城宝箱!$L:$L,0)),0)+($BC170-INDEX(商城宝箱!$N:$N,MATCH(玩家节奏2!$BK170,商城宝箱!$L:$L,0)))/$BK$5*INDEX(商城宝箱!G$23:G$42,MATCH(玩家节奏2!$BK170+1,商城宝箱!$C$23:$C$42,0))</f>
        <v>242368.25</v>
      </c>
      <c r="BO170" s="90">
        <f ca="1">_xlfn.IFNA(INDEX(商城宝箱!W:W,MATCH(玩家节奏2!$BK170,商城宝箱!$L:$L,0)),0)+($BC170-INDEX(商城宝箱!$N:$N,MATCH(玩家节奏2!$BK170,商城宝箱!$L:$L,0)))/$BK$5*INDEX(商城宝箱!H$23:H$42,MATCH(玩家节奏2!$BK170+1,商城宝箱!$C$23:$C$42,0))</f>
        <v>39761.5</v>
      </c>
      <c r="BQ170" s="128">
        <f t="shared" si="143"/>
        <v>11610000</v>
      </c>
      <c r="BR170" s="90">
        <f t="shared" si="144"/>
        <v>4652730</v>
      </c>
      <c r="BS170" s="90">
        <f t="shared" ca="1" si="195"/>
        <v>8342886</v>
      </c>
      <c r="BT170" s="90">
        <f t="shared" si="196"/>
        <v>61000</v>
      </c>
      <c r="BU170" s="90">
        <f t="shared" si="147"/>
        <v>2576000</v>
      </c>
      <c r="BV170" s="90">
        <f t="shared" si="148"/>
        <v>492000</v>
      </c>
      <c r="BW170" s="90">
        <f t="shared" ca="1" si="160"/>
        <v>388562.5</v>
      </c>
      <c r="BX170" s="90">
        <f t="shared" ca="1" si="161"/>
        <v>28123178.5</v>
      </c>
      <c r="BY170" s="142">
        <f t="shared" ca="1" si="191"/>
        <v>0.41282673649424084</v>
      </c>
      <c r="BZ170" s="142">
        <f t="shared" ca="1" si="191"/>
        <v>0.16544111470188194</v>
      </c>
      <c r="CA170" s="142">
        <f t="shared" ca="1" si="191"/>
        <v>0.29665515937325504</v>
      </c>
      <c r="CB170" s="142">
        <f t="shared" ca="1" si="190"/>
        <v>2.1690293648706886E-3</v>
      </c>
      <c r="CC170" s="142">
        <f t="shared" ca="1" si="190"/>
        <v>9.1597043342735954E-2</v>
      </c>
      <c r="CD170" s="142">
        <f t="shared" ca="1" si="190"/>
        <v>1.7494466352727521E-2</v>
      </c>
      <c r="CE170" s="142">
        <f t="shared" ca="1" si="190"/>
        <v>1.3816450370287982E-2</v>
      </c>
      <c r="CG170" s="128">
        <f t="shared" si="162"/>
        <v>200</v>
      </c>
      <c r="CH170" s="90">
        <f ca="1">INDEX(角色升级!$A:$A,MATCH(玩家节奏2!$BX170,角色升级!$J:$J,1))</f>
        <v>1047</v>
      </c>
      <c r="CI170" s="90">
        <f ca="1">INDEX(角色升级!$O:$O,MATCH(玩家节奏2!$BX170,角色升级!$J:$J,1))</f>
        <v>99294.156750000009</v>
      </c>
      <c r="CJ170" s="90">
        <f>INDEX(关卡对比!$J:$J,MATCH(玩家节奏2!N170,关卡对比!$A:$A,0))</f>
        <v>86200</v>
      </c>
      <c r="CK170" s="147">
        <f t="shared" ca="1" si="163"/>
        <v>0.8681276202086281</v>
      </c>
      <c r="CL170" s="128">
        <f ca="1">INDEX(角色升级!$P:$P,MATCH(玩家节奏2!$CH170,角色升级!$A:$A,0))</f>
        <v>40800</v>
      </c>
      <c r="CM170" s="90">
        <f ca="1">INDEX(角色升级!Q:Q,MATCH(玩家节奏2!$CH170,角色升级!$A:$A,0))</f>
        <v>2.2000000000000002</v>
      </c>
      <c r="CO170" s="128">
        <f t="shared" si="164"/>
        <v>78866</v>
      </c>
      <c r="CP170" s="90">
        <f t="shared" si="165"/>
        <v>356462</v>
      </c>
      <c r="CQ170" s="90">
        <f t="shared" si="166"/>
        <v>115192</v>
      </c>
      <c r="CR170" s="90">
        <f t="shared" ca="1" si="167"/>
        <v>485790</v>
      </c>
      <c r="CS170" s="90">
        <f t="shared" ca="1" si="168"/>
        <v>1036310</v>
      </c>
      <c r="CT170" s="142">
        <f t="shared" ca="1" si="169"/>
        <v>7.6102710578880836E-2</v>
      </c>
      <c r="CU170" s="142">
        <f t="shared" ca="1" si="169"/>
        <v>0.34397236348196969</v>
      </c>
      <c r="CV170" s="142">
        <f t="shared" ca="1" si="169"/>
        <v>0.11115592824540919</v>
      </c>
      <c r="CW170" s="142">
        <f t="shared" ca="1" si="149"/>
        <v>0.46876899769374031</v>
      </c>
      <c r="CY170" s="128">
        <f t="shared" si="170"/>
        <v>39434</v>
      </c>
      <c r="CZ170" s="90">
        <f t="shared" si="171"/>
        <v>178067</v>
      </c>
      <c r="DA170" s="90">
        <f t="shared" si="172"/>
        <v>80172</v>
      </c>
      <c r="DB170" s="90">
        <f t="shared" ca="1" si="186"/>
        <v>242368.25</v>
      </c>
      <c r="DC170" s="90">
        <f t="shared" ca="1" si="173"/>
        <v>540041.25</v>
      </c>
      <c r="DD170" s="142">
        <f t="shared" ca="1" si="174"/>
        <v>7.3020347982677244E-2</v>
      </c>
      <c r="DE170" s="142">
        <f t="shared" ca="1" si="174"/>
        <v>0.32972851610872317</v>
      </c>
      <c r="DF170" s="142">
        <f t="shared" ca="1" si="174"/>
        <v>0.14845532632923875</v>
      </c>
      <c r="DG170" s="142">
        <f t="shared" ca="1" si="150"/>
        <v>0.44879580957936083</v>
      </c>
      <c r="DI170" s="128">
        <f t="shared" si="175"/>
        <v>19113</v>
      </c>
      <c r="DJ170" s="90">
        <f t="shared" si="176"/>
        <v>87683</v>
      </c>
      <c r="DK170" s="90">
        <f t="shared" si="177"/>
        <v>31518</v>
      </c>
      <c r="DL170" s="90">
        <f t="shared" ca="1" si="178"/>
        <v>39761.5</v>
      </c>
      <c r="DM170" s="90">
        <f t="shared" ca="1" si="179"/>
        <v>178075.5</v>
      </c>
      <c r="DN170" s="142">
        <f t="shared" ca="1" si="180"/>
        <v>0.10733087931804207</v>
      </c>
      <c r="DO170" s="142">
        <f t="shared" ca="1" si="180"/>
        <v>0.49239227181729101</v>
      </c>
      <c r="DP170" s="142">
        <f t="shared" ca="1" si="180"/>
        <v>0.1769923431353555</v>
      </c>
      <c r="DQ170" s="142">
        <f t="shared" ca="1" si="151"/>
        <v>0.22328450572931144</v>
      </c>
      <c r="DS170" s="128">
        <f t="shared" ca="1" si="181"/>
        <v>1036310</v>
      </c>
      <c r="DT170" s="90">
        <f t="shared" ca="1" si="182"/>
        <v>540041.25</v>
      </c>
      <c r="DU170" s="90">
        <f t="shared" ca="1" si="183"/>
        <v>178075.5</v>
      </c>
      <c r="DV170" s="90">
        <f t="shared" si="184"/>
        <v>2576</v>
      </c>
      <c r="DW170" s="90">
        <f ca="1">_xlfn.IFNA(INDEX(武器升级消耗!$H:$H,MATCH(玩家节奏2!DS170/玩家节奏2!DS$5,武器升级消耗!M:M,1)),0)</f>
        <v>88</v>
      </c>
      <c r="DX170" s="90">
        <f ca="1">_xlfn.IFNA(INDEX(武器升级消耗!$H:$H,MATCH(玩家节奏2!DT170/玩家节奏2!DT$5,武器升级消耗!N:N,1)),0)</f>
        <v>77</v>
      </c>
      <c r="DY170" s="90">
        <f ca="1">_xlfn.IFNA(INDEX(武器升级消耗!$H:$H,MATCH(玩家节奏2!DU170/玩家节奏2!DU$5,武器升级消耗!O:O,1)),0)</f>
        <v>58</v>
      </c>
      <c r="DZ170" s="90">
        <f>_xlfn.IFNA(INDEX(武器升级消耗!$H:$H,MATCH(玩家节奏2!DV170/玩家节奏2!DV$5,武器升级消耗!P:P,1)),0)</f>
        <v>36</v>
      </c>
      <c r="EA170" s="90">
        <f ca="1">_xlfn.IFNA(INDEX(武器升级消耗!$Q:$Q,MATCH(玩家节奏2!DW170,武器升级消耗!$H:$H,0))*2*EA$4,0)</f>
        <v>11.039999999999988</v>
      </c>
      <c r="EB170" s="90">
        <f ca="1">_xlfn.IFNA(INDEX(武器升级消耗!$Q:$Q,MATCH(玩家节奏2!DX170,武器升级消耗!$H:$H,0))*2*EB$4,0)</f>
        <v>12.149999999999986</v>
      </c>
      <c r="EC170" s="90">
        <f ca="1">_xlfn.IFNA(INDEX(武器升级消耗!$Q:$Q,MATCH(玩家节奏2!DY170,武器升级消耗!$H:$H,0))*2*EC$4,0)</f>
        <v>13.640000000000002</v>
      </c>
      <c r="ED170" s="90">
        <f>_xlfn.IFNA(INDEX(武器升级消耗!$Q:$Q,MATCH(玩家节奏2!DZ170,武器升级消耗!$H:$H,0))*2*ED$4,0)</f>
        <v>12</v>
      </c>
    </row>
    <row r="171" spans="1:134" x14ac:dyDescent="0.25">
      <c r="A171" s="123">
        <v>165</v>
      </c>
      <c r="B171" s="123">
        <f>INDEX(关卡对比!$Y:$Y,MATCH(关卡对比!Z171,关卡对比!$AA:$AA,1))</f>
        <v>96</v>
      </c>
      <c r="C171" s="124">
        <f>INDEX(关卡对比!$Y:$Y,MATCH(关卡对比!Z171,关卡对比!$AB:$AB,1))</f>
        <v>73</v>
      </c>
      <c r="D171" s="125">
        <f t="shared" si="189"/>
        <v>637.5</v>
      </c>
      <c r="E171" s="125">
        <v>2</v>
      </c>
      <c r="F171" s="128">
        <v>16</v>
      </c>
      <c r="G171" s="90">
        <v>16</v>
      </c>
      <c r="H171" s="90">
        <v>5</v>
      </c>
      <c r="J171" s="128">
        <v>165</v>
      </c>
      <c r="K171" s="90">
        <f t="shared" si="152"/>
        <v>16</v>
      </c>
      <c r="L171" s="90">
        <f t="shared" si="153"/>
        <v>16</v>
      </c>
      <c r="M171" s="90">
        <f t="shared" si="154"/>
        <v>5</v>
      </c>
      <c r="N171" s="140">
        <f>INDEX($A:$A,MATCH(SUM($K$7:K171),$D:$D,1))</f>
        <v>200</v>
      </c>
      <c r="O171" s="140">
        <v>0</v>
      </c>
      <c r="P171" s="141">
        <v>0</v>
      </c>
      <c r="Q171" s="126">
        <f>_xlfn.MAXIFS(关卡产出!X:X,关卡产出!$A:$A,玩家节奏2!$N$6,关卡产出!$B:$B,玩家节奏2!$N171)+_xlfn.MAXIFS(关卡产出!X:X,关卡产出!$A:$A,玩家节奏2!$O$6,关卡产出!$B:$B,玩家节奏2!$O171)+_xlfn.MAXIFS(关卡产出!X:X,关卡产出!$A:$A,玩家节奏2!$P$6,关卡产出!$B:$B,玩家节奏2!$P171)</f>
        <v>38500</v>
      </c>
      <c r="R171" s="90">
        <f>_xlfn.MAXIFS(关卡产出!Y:Y,关卡产出!$A:$A,玩家节奏2!$N$6,关卡产出!$B:$B,玩家节奏2!$N171)+_xlfn.MAXIFS(关卡产出!Y:Y,关卡产出!$A:$A,玩家节奏2!$O$6,关卡产出!$B:$B,玩家节奏2!$O171)+_xlfn.MAXIFS(关卡产出!Y:Y,关卡产出!$A:$A,玩家节奏2!$P$6,关卡产出!$B:$B,玩家节奏2!$P171)</f>
        <v>11610000</v>
      </c>
      <c r="S171" s="90">
        <f>_xlfn.MAXIFS(关卡产出!Z:Z,关卡产出!$A:$A,玩家节奏2!$N$6,关卡产出!$B:$B,玩家节奏2!$N171)+_xlfn.MAXIFS(关卡产出!Z:Z,关卡产出!$A:$A,玩家节奏2!$O$6,关卡产出!$B:$B,玩家节奏2!$O171)+_xlfn.MAXIFS(关卡产出!Z:Z,关卡产出!$A:$A,玩家节奏2!$P$6,关卡产出!$B:$B,玩家节奏2!$P171)</f>
        <v>78866</v>
      </c>
      <c r="T171" s="90">
        <f>_xlfn.MAXIFS(关卡产出!AA:AA,关卡产出!$A:$A,玩家节奏2!$N$6,关卡产出!$B:$B,玩家节奏2!$N171)+_xlfn.MAXIFS(关卡产出!AA:AA,关卡产出!$A:$A,玩家节奏2!$O$6,关卡产出!$B:$B,玩家节奏2!$O171)+_xlfn.MAXIFS(关卡产出!AA:AA,关卡产出!$A:$A,玩家节奏2!$P$6,关卡产出!$B:$B,玩家节奏2!$P171)</f>
        <v>39434</v>
      </c>
      <c r="U171" s="90">
        <f>_xlfn.MAXIFS(关卡产出!AB:AB,关卡产出!$A:$A,玩家节奏2!$N$6,关卡产出!$B:$B,玩家节奏2!$N171)+_xlfn.MAXIFS(关卡产出!AB:AB,关卡产出!$A:$A,玩家节奏2!$O$6,关卡产出!$B:$B,玩家节奏2!$O171)+_xlfn.MAXIFS(关卡产出!AB:AB,关卡产出!$A:$A,玩家节奏2!$P$6,关卡产出!$B:$B,玩家节奏2!$P171)</f>
        <v>19113</v>
      </c>
      <c r="V171" s="130">
        <f>_xlfn.MAXIFS(关卡产出!AC:AC,关卡产出!$A:$A,玩家节奏2!$N$6,关卡产出!$B:$B,玩家节奏2!$N171)+_xlfn.MAXIFS(关卡产出!AC:AC,关卡产出!$A:$A,玩家节奏2!$O$6,关卡产出!$B:$B,玩家节奏2!$O171)+_xlfn.MAXIFS(关卡产出!AC:AC,关卡产出!$A:$A,玩家节奏2!$P$6,关卡产出!$B:$B,玩家节奏2!$P171)</f>
        <v>1200</v>
      </c>
      <c r="W171" s="126">
        <f>INDEX(关卡产出!C$8:C$207,MATCH(玩家节奏2!$N171,关卡产出!$B$8:$B$207,0))*$K171</f>
        <v>2528</v>
      </c>
      <c r="X171" s="126">
        <f>INDEX(关卡产出!D$8:D$207,MATCH(玩家节奏2!$N171,关卡产出!$B$8:$B$207,0))*$K171</f>
        <v>1264</v>
      </c>
      <c r="Y171" s="126">
        <f>INDEX(关卡产出!E$8:E$207,MATCH(玩家节奏2!$N171,关卡产出!$B$8:$B$207,0))*$K171</f>
        <v>624</v>
      </c>
      <c r="Z171" s="144">
        <f>INDEX(关卡产出!F$8:F$207,MATCH(玩家节奏2!$N171,关卡产出!$B$8:$B$207,0))*$K171</f>
        <v>32800</v>
      </c>
      <c r="AA171" s="126">
        <f>SUM(W$7:W171)</f>
        <v>358990</v>
      </c>
      <c r="AB171" s="126">
        <f>SUM(X$7:X171)</f>
        <v>179331</v>
      </c>
      <c r="AC171" s="126">
        <f>SUM(Y$7:Y171)</f>
        <v>88307</v>
      </c>
      <c r="AD171" s="177">
        <f>SUM(Z$7:Z171)</f>
        <v>4685530</v>
      </c>
      <c r="AE171" s="128">
        <f>INDEX(图鉴!AQ:AQ,MATCH($N171,图鉴!$S:$S,0))*34</f>
        <v>714</v>
      </c>
      <c r="AF171" s="90">
        <f>INDEX(图鉴!AR:AR,MATCH($N171,图鉴!$S:$S,0))*34</f>
        <v>510</v>
      </c>
      <c r="AG171" s="90">
        <f>INDEX(图鉴!AS:AS,MATCH($N171,图鉴!$S:$S,0))*34</f>
        <v>204</v>
      </c>
      <c r="AH171" s="129">
        <f ca="1">INDEX(图鉴!AT:AT,MATCH($N171,图鉴!$S:$S,0))*34</f>
        <v>55930</v>
      </c>
      <c r="AI171" s="128">
        <f>SUM($AE$7:AE171)</f>
        <v>115906</v>
      </c>
      <c r="AJ171" s="90">
        <f>SUM(AF$7:AF171)</f>
        <v>80682</v>
      </c>
      <c r="AK171" s="90">
        <f>SUM(AG$7:AG171)</f>
        <v>31722</v>
      </c>
      <c r="AL171" s="130">
        <f ca="1">SUM(AH$7:AH171)</f>
        <v>8398816</v>
      </c>
      <c r="AM171" s="133">
        <f>IF(M171=0,0,INDEX(关卡产出!$AU$11:$AU$15,MATCH(玩家节奏2!N171,关卡产出!$AW$11:$AW$15,1))*M171)</f>
        <v>61000</v>
      </c>
      <c r="AN171" s="126">
        <f>IF(L171=0,0,$L171*关卡产出!AU$21)</f>
        <v>16000</v>
      </c>
      <c r="AO171" s="90">
        <f>IF(M171=0,0,$L171*关卡产出!AV$21)</f>
        <v>800</v>
      </c>
      <c r="AP171" s="129">
        <f>IF(N171=0,0,$L171*关卡产出!AW$21)</f>
        <v>16</v>
      </c>
      <c r="AQ171" s="138">
        <f>SUM(AN$7:AN171)</f>
        <v>2592000</v>
      </c>
      <c r="AR171" s="126">
        <f>SUM(AO$7:AO171)</f>
        <v>129600</v>
      </c>
      <c r="AS171" s="129">
        <f>SUM(AP$7:AP171)</f>
        <v>2592</v>
      </c>
      <c r="AT171" s="128">
        <v>3000</v>
      </c>
      <c r="AU171" s="129">
        <v>600</v>
      </c>
      <c r="AV171" s="128">
        <f>SUM(AT$7:AT171)</f>
        <v>495000</v>
      </c>
      <c r="AW171" s="90">
        <f>SUM(AU$7:AU171)</f>
        <v>99000</v>
      </c>
      <c r="AY171" s="128">
        <f t="shared" si="155"/>
        <v>38500</v>
      </c>
      <c r="AZ171" s="90">
        <f t="shared" si="156"/>
        <v>129600</v>
      </c>
      <c r="BA171" s="90">
        <f t="shared" si="157"/>
        <v>99000</v>
      </c>
      <c r="BB171" s="90">
        <f t="shared" ca="1" si="185"/>
        <v>40800</v>
      </c>
      <c r="BC171" s="90">
        <f t="shared" ca="1" si="187"/>
        <v>156125</v>
      </c>
      <c r="BD171" s="90">
        <f t="shared" ca="1" si="188"/>
        <v>151775</v>
      </c>
      <c r="BE171" s="90">
        <f t="shared" ca="1" si="158"/>
        <v>307900</v>
      </c>
      <c r="BF171" s="142">
        <f t="shared" ca="1" si="192"/>
        <v>0.24659727782225779</v>
      </c>
      <c r="BG171" s="142">
        <f t="shared" ca="1" si="193"/>
        <v>0.83010408326661334</v>
      </c>
      <c r="BH171" s="142">
        <f t="shared" ca="1" si="194"/>
        <v>0.63410728582866294</v>
      </c>
      <c r="BI171" s="142">
        <f t="shared" ca="1" si="197"/>
        <v>0.26132906325060046</v>
      </c>
      <c r="BJ171" s="143"/>
      <c r="BK171" s="128">
        <f ca="1">INDEX(商城宝箱!$L:$L,MATCH(BC171,商城宝箱!$N:$N,1))</f>
        <v>13</v>
      </c>
      <c r="BL171" s="90">
        <f ca="1">_xlfn.IFNA(INDEX(商城宝箱!T:T,MATCH(玩家节奏2!$BK171,商城宝箱!$L:$L,0)),0)+($BC171-INDEX(商城宝箱!$N:$N,MATCH(玩家节奏2!$BK171,商城宝箱!$L:$L,0)))/$BK$5*INDEX(商城宝箱!E$23:E$42,MATCH(玩家节奏2!$BK171+1,商城宝箱!$C$23:$C$42,0))</f>
        <v>390312.5</v>
      </c>
      <c r="BM171" s="90">
        <f ca="1">_xlfn.IFNA(INDEX(商城宝箱!U:U,MATCH(玩家节奏2!$BK171,商城宝箱!$L:$L,0)),0)+($BC171-INDEX(商城宝箱!$N:$N,MATCH(玩家节奏2!$BK171,商城宝箱!$L:$L,0)))/$BK$5*INDEX(商城宝箱!F$23:F$42,MATCH(玩家节奏2!$BK171+1,商城宝箱!$C$23:$C$42,0))</f>
        <v>489080</v>
      </c>
      <c r="BN171" s="90">
        <f ca="1">_xlfn.IFNA(INDEX(商城宝箱!V:V,MATCH(玩家节奏2!$BK171,商城宝箱!$L:$L,0)),0)+($BC171-INDEX(商城宝箱!$N:$N,MATCH(玩家节奏2!$BK171,商城宝箱!$L:$L,0)))/$BK$5*INDEX(商城宝箱!G$23:G$42,MATCH(玩家节奏2!$BK171+1,商城宝箱!$C$23:$C$42,0))</f>
        <v>243943.25</v>
      </c>
      <c r="BO171" s="90">
        <f ca="1">_xlfn.IFNA(INDEX(商城宝箱!W:W,MATCH(玩家节奏2!$BK171,商城宝箱!$L:$L,0)),0)+($BC171-INDEX(商城宝箱!$N:$N,MATCH(玩家节奏2!$BK171,商城宝箱!$L:$L,0)))/$BK$5*INDEX(商城宝箱!H$23:H$42,MATCH(玩家节奏2!$BK171+1,商城宝箱!$C$23:$C$42,0))</f>
        <v>40041.5</v>
      </c>
      <c r="BQ171" s="128">
        <f t="shared" si="143"/>
        <v>11610000</v>
      </c>
      <c r="BR171" s="90">
        <f t="shared" si="144"/>
        <v>4685530</v>
      </c>
      <c r="BS171" s="90">
        <f t="shared" ca="1" si="195"/>
        <v>8398816</v>
      </c>
      <c r="BT171" s="90">
        <f t="shared" si="196"/>
        <v>61000</v>
      </c>
      <c r="BU171" s="90">
        <f t="shared" si="147"/>
        <v>2592000</v>
      </c>
      <c r="BV171" s="90">
        <f t="shared" si="148"/>
        <v>495000</v>
      </c>
      <c r="BW171" s="90">
        <f t="shared" ca="1" si="160"/>
        <v>390312.5</v>
      </c>
      <c r="BX171" s="90">
        <f t="shared" ca="1" si="161"/>
        <v>28232658.5</v>
      </c>
      <c r="BY171" s="142">
        <f t="shared" ca="1" si="191"/>
        <v>0.41122588579463742</v>
      </c>
      <c r="BZ171" s="142">
        <f t="shared" ca="1" si="191"/>
        <v>0.16596134579391453</v>
      </c>
      <c r="CA171" s="142">
        <f t="shared" ca="1" si="191"/>
        <v>0.29748583541999774</v>
      </c>
      <c r="CB171" s="142">
        <f t="shared" ca="1" si="190"/>
        <v>2.1606183491363379E-3</v>
      </c>
      <c r="CC171" s="142">
        <f t="shared" ca="1" si="190"/>
        <v>9.1808569851826033E-2</v>
      </c>
      <c r="CD171" s="142">
        <f t="shared" ca="1" si="190"/>
        <v>1.7532886603647331E-2</v>
      </c>
      <c r="CE171" s="142">
        <f t="shared" ca="1" si="190"/>
        <v>1.3824858186840604E-2</v>
      </c>
      <c r="CG171" s="128">
        <f t="shared" si="162"/>
        <v>200</v>
      </c>
      <c r="CH171" s="90">
        <f ca="1">INDEX(角色升级!$A:$A,MATCH(玩家节奏2!$BX171,角色升级!$J:$J,1))</f>
        <v>1047</v>
      </c>
      <c r="CI171" s="90">
        <f ca="1">INDEX(角色升级!$O:$O,MATCH(玩家节奏2!$BX171,角色升级!$J:$J,1))</f>
        <v>99294.156750000009</v>
      </c>
      <c r="CJ171" s="90">
        <f>INDEX(关卡对比!$J:$J,MATCH(玩家节奏2!N171,关卡对比!$A:$A,0))</f>
        <v>86200</v>
      </c>
      <c r="CK171" s="147">
        <f t="shared" ca="1" si="163"/>
        <v>0.8681276202086281</v>
      </c>
      <c r="CL171" s="128">
        <f ca="1">INDEX(角色升级!$P:$P,MATCH(玩家节奏2!$CH171,角色升级!$A:$A,0))</f>
        <v>40800</v>
      </c>
      <c r="CM171" s="90">
        <f ca="1">INDEX(角色升级!Q:Q,MATCH(玩家节奏2!$CH171,角色升级!$A:$A,0))</f>
        <v>2.2000000000000002</v>
      </c>
      <c r="CO171" s="128">
        <f t="shared" si="164"/>
        <v>78866</v>
      </c>
      <c r="CP171" s="90">
        <f t="shared" si="165"/>
        <v>358990</v>
      </c>
      <c r="CQ171" s="90">
        <f t="shared" si="166"/>
        <v>115906</v>
      </c>
      <c r="CR171" s="90">
        <f t="shared" ca="1" si="167"/>
        <v>489080</v>
      </c>
      <c r="CS171" s="90">
        <f t="shared" ca="1" si="168"/>
        <v>1042842</v>
      </c>
      <c r="CT171" s="142">
        <f t="shared" ca="1" si="169"/>
        <v>7.5626029638238584E-2</v>
      </c>
      <c r="CU171" s="142">
        <f t="shared" ca="1" si="169"/>
        <v>0.34424198488361613</v>
      </c>
      <c r="CV171" s="142">
        <f t="shared" ca="1" si="169"/>
        <v>0.11114435360294272</v>
      </c>
      <c r="CW171" s="142">
        <f t="shared" ca="1" si="149"/>
        <v>0.46898763187520259</v>
      </c>
      <c r="CY171" s="128">
        <f t="shared" si="170"/>
        <v>39434</v>
      </c>
      <c r="CZ171" s="90">
        <f t="shared" si="171"/>
        <v>179331</v>
      </c>
      <c r="DA171" s="90">
        <f t="shared" si="172"/>
        <v>80682</v>
      </c>
      <c r="DB171" s="90">
        <f t="shared" ca="1" si="186"/>
        <v>243943.25</v>
      </c>
      <c r="DC171" s="90">
        <f t="shared" ca="1" si="173"/>
        <v>543390.25</v>
      </c>
      <c r="DD171" s="142">
        <f t="shared" ca="1" si="174"/>
        <v>7.2570312036331158E-2</v>
      </c>
      <c r="DE171" s="142">
        <f t="shared" ca="1" si="174"/>
        <v>0.33002248384103322</v>
      </c>
      <c r="DF171" s="142">
        <f t="shared" ca="1" si="174"/>
        <v>0.1484789246770622</v>
      </c>
      <c r="DG171" s="142">
        <f t="shared" ca="1" si="150"/>
        <v>0.4489282794455734</v>
      </c>
      <c r="DI171" s="128">
        <f t="shared" si="175"/>
        <v>19113</v>
      </c>
      <c r="DJ171" s="90">
        <f t="shared" si="176"/>
        <v>88307</v>
      </c>
      <c r="DK171" s="90">
        <f t="shared" si="177"/>
        <v>31722</v>
      </c>
      <c r="DL171" s="90">
        <f t="shared" ca="1" si="178"/>
        <v>40041.5</v>
      </c>
      <c r="DM171" s="90">
        <f t="shared" ca="1" si="179"/>
        <v>179183.5</v>
      </c>
      <c r="DN171" s="142">
        <f t="shared" ca="1" si="180"/>
        <v>0.1066671875479606</v>
      </c>
      <c r="DO171" s="142">
        <f t="shared" ca="1" si="180"/>
        <v>0.4928299759743503</v>
      </c>
      <c r="DP171" s="142">
        <f t="shared" ca="1" si="180"/>
        <v>0.17703639006939814</v>
      </c>
      <c r="DQ171" s="142">
        <f t="shared" ca="1" si="151"/>
        <v>0.22346644640829094</v>
      </c>
      <c r="DS171" s="128">
        <f t="shared" ca="1" si="181"/>
        <v>1042842</v>
      </c>
      <c r="DT171" s="90">
        <f t="shared" ca="1" si="182"/>
        <v>543390.25</v>
      </c>
      <c r="DU171" s="90">
        <f t="shared" ca="1" si="183"/>
        <v>179183.5</v>
      </c>
      <c r="DV171" s="90">
        <f t="shared" si="184"/>
        <v>2592</v>
      </c>
      <c r="DW171" s="90">
        <f ca="1">_xlfn.IFNA(INDEX(武器升级消耗!$H:$H,MATCH(玩家节奏2!DS171/玩家节奏2!DS$5,武器升级消耗!M:M,1)),0)</f>
        <v>88</v>
      </c>
      <c r="DX171" s="90">
        <f ca="1">_xlfn.IFNA(INDEX(武器升级消耗!$H:$H,MATCH(玩家节奏2!DT171/玩家节奏2!DT$5,武器升级消耗!N:N,1)),0)</f>
        <v>77</v>
      </c>
      <c r="DY171" s="90">
        <f ca="1">_xlfn.IFNA(INDEX(武器升级消耗!$H:$H,MATCH(玩家节奏2!DU171/玩家节奏2!DU$5,武器升级消耗!O:O,1)),0)</f>
        <v>58</v>
      </c>
      <c r="DZ171" s="90">
        <f>_xlfn.IFNA(INDEX(武器升级消耗!$H:$H,MATCH(玩家节奏2!DV171/玩家节奏2!DV$5,武器升级消耗!P:P,1)),0)</f>
        <v>36</v>
      </c>
      <c r="EA171" s="90">
        <f ca="1">_xlfn.IFNA(INDEX(武器升级消耗!$Q:$Q,MATCH(玩家节奏2!DW171,武器升级消耗!$H:$H,0))*2*EA$4,0)</f>
        <v>11.039999999999988</v>
      </c>
      <c r="EB171" s="90">
        <f ca="1">_xlfn.IFNA(INDEX(武器升级消耗!$Q:$Q,MATCH(玩家节奏2!DX171,武器升级消耗!$H:$H,0))*2*EB$4,0)</f>
        <v>12.149999999999986</v>
      </c>
      <c r="EC171" s="90">
        <f ca="1">_xlfn.IFNA(INDEX(武器升级消耗!$Q:$Q,MATCH(玩家节奏2!DY171,武器升级消耗!$H:$H,0))*2*EC$4,0)</f>
        <v>13.640000000000002</v>
      </c>
      <c r="ED171" s="90">
        <f>_xlfn.IFNA(INDEX(武器升级消耗!$Q:$Q,MATCH(玩家节奏2!DZ171,武器升级消耗!$H:$H,0))*2*ED$4,0)</f>
        <v>12</v>
      </c>
    </row>
    <row r="172" spans="1:134" x14ac:dyDescent="0.25">
      <c r="A172" s="123">
        <v>166</v>
      </c>
      <c r="B172" s="123">
        <f>INDEX(关卡对比!$Y:$Y,MATCH(关卡对比!Z172,关卡对比!$AA:$AA,1))</f>
        <v>96</v>
      </c>
      <c r="C172" s="124">
        <f>INDEX(关卡对比!$Y:$Y,MATCH(关卡对比!Z172,关卡对比!$AB:$AB,1))</f>
        <v>73</v>
      </c>
      <c r="D172" s="125">
        <f t="shared" si="189"/>
        <v>639.5</v>
      </c>
      <c r="E172" s="125">
        <v>2</v>
      </c>
      <c r="F172" s="128">
        <v>16</v>
      </c>
      <c r="G172" s="90">
        <v>16</v>
      </c>
      <c r="H172" s="90">
        <v>5</v>
      </c>
      <c r="J172" s="128">
        <v>166</v>
      </c>
      <c r="K172" s="90">
        <f t="shared" si="152"/>
        <v>16</v>
      </c>
      <c r="L172" s="90">
        <f t="shared" si="153"/>
        <v>16</v>
      </c>
      <c r="M172" s="90">
        <f t="shared" si="154"/>
        <v>5</v>
      </c>
      <c r="N172" s="140">
        <f>INDEX($A:$A,MATCH(SUM($K$7:K172),$D:$D,1))</f>
        <v>200</v>
      </c>
      <c r="O172" s="140">
        <v>0</v>
      </c>
      <c r="P172" s="141">
        <v>0</v>
      </c>
      <c r="Q172" s="126">
        <f>_xlfn.MAXIFS(关卡产出!X:X,关卡产出!$A:$A,玩家节奏2!$N$6,关卡产出!$B:$B,玩家节奏2!$N172)+_xlfn.MAXIFS(关卡产出!X:X,关卡产出!$A:$A,玩家节奏2!$O$6,关卡产出!$B:$B,玩家节奏2!$O172)+_xlfn.MAXIFS(关卡产出!X:X,关卡产出!$A:$A,玩家节奏2!$P$6,关卡产出!$B:$B,玩家节奏2!$P172)</f>
        <v>38500</v>
      </c>
      <c r="R172" s="90">
        <f>_xlfn.MAXIFS(关卡产出!Y:Y,关卡产出!$A:$A,玩家节奏2!$N$6,关卡产出!$B:$B,玩家节奏2!$N172)+_xlfn.MAXIFS(关卡产出!Y:Y,关卡产出!$A:$A,玩家节奏2!$O$6,关卡产出!$B:$B,玩家节奏2!$O172)+_xlfn.MAXIFS(关卡产出!Y:Y,关卡产出!$A:$A,玩家节奏2!$P$6,关卡产出!$B:$B,玩家节奏2!$P172)</f>
        <v>11610000</v>
      </c>
      <c r="S172" s="90">
        <f>_xlfn.MAXIFS(关卡产出!Z:Z,关卡产出!$A:$A,玩家节奏2!$N$6,关卡产出!$B:$B,玩家节奏2!$N172)+_xlfn.MAXIFS(关卡产出!Z:Z,关卡产出!$A:$A,玩家节奏2!$O$6,关卡产出!$B:$B,玩家节奏2!$O172)+_xlfn.MAXIFS(关卡产出!Z:Z,关卡产出!$A:$A,玩家节奏2!$P$6,关卡产出!$B:$B,玩家节奏2!$P172)</f>
        <v>78866</v>
      </c>
      <c r="T172" s="90">
        <f>_xlfn.MAXIFS(关卡产出!AA:AA,关卡产出!$A:$A,玩家节奏2!$N$6,关卡产出!$B:$B,玩家节奏2!$N172)+_xlfn.MAXIFS(关卡产出!AA:AA,关卡产出!$A:$A,玩家节奏2!$O$6,关卡产出!$B:$B,玩家节奏2!$O172)+_xlfn.MAXIFS(关卡产出!AA:AA,关卡产出!$A:$A,玩家节奏2!$P$6,关卡产出!$B:$B,玩家节奏2!$P172)</f>
        <v>39434</v>
      </c>
      <c r="U172" s="90">
        <f>_xlfn.MAXIFS(关卡产出!AB:AB,关卡产出!$A:$A,玩家节奏2!$N$6,关卡产出!$B:$B,玩家节奏2!$N172)+_xlfn.MAXIFS(关卡产出!AB:AB,关卡产出!$A:$A,玩家节奏2!$O$6,关卡产出!$B:$B,玩家节奏2!$O172)+_xlfn.MAXIFS(关卡产出!AB:AB,关卡产出!$A:$A,玩家节奏2!$P$6,关卡产出!$B:$B,玩家节奏2!$P172)</f>
        <v>19113</v>
      </c>
      <c r="V172" s="130">
        <f>_xlfn.MAXIFS(关卡产出!AC:AC,关卡产出!$A:$A,玩家节奏2!$N$6,关卡产出!$B:$B,玩家节奏2!$N172)+_xlfn.MAXIFS(关卡产出!AC:AC,关卡产出!$A:$A,玩家节奏2!$O$6,关卡产出!$B:$B,玩家节奏2!$O172)+_xlfn.MAXIFS(关卡产出!AC:AC,关卡产出!$A:$A,玩家节奏2!$P$6,关卡产出!$B:$B,玩家节奏2!$P172)</f>
        <v>1200</v>
      </c>
      <c r="W172" s="126">
        <f>INDEX(关卡产出!C$8:C$207,MATCH(玩家节奏2!$N172,关卡产出!$B$8:$B$207,0))*$K172</f>
        <v>2528</v>
      </c>
      <c r="X172" s="126">
        <f>INDEX(关卡产出!D$8:D$207,MATCH(玩家节奏2!$N172,关卡产出!$B$8:$B$207,0))*$K172</f>
        <v>1264</v>
      </c>
      <c r="Y172" s="126">
        <f>INDEX(关卡产出!E$8:E$207,MATCH(玩家节奏2!$N172,关卡产出!$B$8:$B$207,0))*$K172</f>
        <v>624</v>
      </c>
      <c r="Z172" s="144">
        <f>INDEX(关卡产出!F$8:F$207,MATCH(玩家节奏2!$N172,关卡产出!$B$8:$B$207,0))*$K172</f>
        <v>32800</v>
      </c>
      <c r="AA172" s="126">
        <f>SUM(W$7:W172)</f>
        <v>361518</v>
      </c>
      <c r="AB172" s="126">
        <f>SUM(X$7:X172)</f>
        <v>180595</v>
      </c>
      <c r="AC172" s="126">
        <f>SUM(Y$7:Y172)</f>
        <v>88931</v>
      </c>
      <c r="AD172" s="177">
        <f>SUM(Z$7:Z172)</f>
        <v>4718330</v>
      </c>
      <c r="AE172" s="128">
        <f>INDEX(图鉴!AQ:AQ,MATCH($N172,图鉴!$S:$S,0))*34</f>
        <v>714</v>
      </c>
      <c r="AF172" s="90">
        <f>INDEX(图鉴!AR:AR,MATCH($N172,图鉴!$S:$S,0))*34</f>
        <v>510</v>
      </c>
      <c r="AG172" s="90">
        <f>INDEX(图鉴!AS:AS,MATCH($N172,图鉴!$S:$S,0))*34</f>
        <v>204</v>
      </c>
      <c r="AH172" s="129">
        <f ca="1">INDEX(图鉴!AT:AT,MATCH($N172,图鉴!$S:$S,0))*34</f>
        <v>55930</v>
      </c>
      <c r="AI172" s="128">
        <f>SUM($AE$7:AE172)</f>
        <v>116620</v>
      </c>
      <c r="AJ172" s="90">
        <f>SUM(AF$7:AF172)</f>
        <v>81192</v>
      </c>
      <c r="AK172" s="90">
        <f>SUM(AG$7:AG172)</f>
        <v>31926</v>
      </c>
      <c r="AL172" s="130">
        <f ca="1">SUM(AH$7:AH172)</f>
        <v>8454746</v>
      </c>
      <c r="AM172" s="133">
        <f>IF(M172=0,0,INDEX(关卡产出!$AU$11:$AU$15,MATCH(玩家节奏2!N172,关卡产出!$AW$11:$AW$15,1))*M172)</f>
        <v>61000</v>
      </c>
      <c r="AN172" s="126">
        <f>IF(L172=0,0,$L172*关卡产出!AU$21)</f>
        <v>16000</v>
      </c>
      <c r="AO172" s="90">
        <f>IF(M172=0,0,$L172*关卡产出!AV$21)</f>
        <v>800</v>
      </c>
      <c r="AP172" s="129">
        <f>IF(N172=0,0,$L172*关卡产出!AW$21)</f>
        <v>16</v>
      </c>
      <c r="AQ172" s="138">
        <f>SUM(AN$7:AN172)</f>
        <v>2608000</v>
      </c>
      <c r="AR172" s="126">
        <f>SUM(AO$7:AO172)</f>
        <v>130400</v>
      </c>
      <c r="AS172" s="129">
        <f>SUM(AP$7:AP172)</f>
        <v>2608</v>
      </c>
      <c r="AT172" s="128">
        <v>3000</v>
      </c>
      <c r="AU172" s="129">
        <v>600</v>
      </c>
      <c r="AV172" s="128">
        <f>SUM(AT$7:AT172)</f>
        <v>498000</v>
      </c>
      <c r="AW172" s="90">
        <f>SUM(AU$7:AU172)</f>
        <v>99600</v>
      </c>
      <c r="AY172" s="128">
        <f t="shared" si="155"/>
        <v>38500</v>
      </c>
      <c r="AZ172" s="90">
        <f t="shared" si="156"/>
        <v>130400</v>
      </c>
      <c r="BA172" s="90">
        <f t="shared" si="157"/>
        <v>99600</v>
      </c>
      <c r="BB172" s="90">
        <f t="shared" ca="1" si="185"/>
        <v>40800</v>
      </c>
      <c r="BC172" s="90">
        <f t="shared" ca="1" si="187"/>
        <v>156825</v>
      </c>
      <c r="BD172" s="90">
        <f t="shared" ca="1" si="188"/>
        <v>152475</v>
      </c>
      <c r="BE172" s="90">
        <f t="shared" ca="1" si="158"/>
        <v>309300</v>
      </c>
      <c r="BF172" s="142">
        <f t="shared" ca="1" si="192"/>
        <v>0.24549657261278496</v>
      </c>
      <c r="BG172" s="142">
        <f t="shared" ca="1" si="193"/>
        <v>0.83150007970667938</v>
      </c>
      <c r="BH172" s="142">
        <f t="shared" ca="1" si="194"/>
        <v>0.63510282161645149</v>
      </c>
      <c r="BI172" s="142">
        <f t="shared" ca="1" si="197"/>
        <v>0.26016260162601629</v>
      </c>
      <c r="BJ172" s="143"/>
      <c r="BK172" s="128">
        <f ca="1">INDEX(商城宝箱!$L:$L,MATCH(BC172,商城宝箱!$N:$N,1))</f>
        <v>13</v>
      </c>
      <c r="BL172" s="90">
        <f ca="1">_xlfn.IFNA(INDEX(商城宝箱!T:T,MATCH(玩家节奏2!$BK172,商城宝箱!$L:$L,0)),0)+($BC172-INDEX(商城宝箱!$N:$N,MATCH(玩家节奏2!$BK172,商城宝箱!$L:$L,0)))/$BK$5*INDEX(商城宝箱!E$23:E$42,MATCH(玩家节奏2!$BK172+1,商城宝箱!$C$23:$C$42,0))</f>
        <v>392062.5</v>
      </c>
      <c r="BM172" s="90">
        <f ca="1">_xlfn.IFNA(INDEX(商城宝箱!U:U,MATCH(玩家节奏2!$BK172,商城宝箱!$L:$L,0)),0)+($BC172-INDEX(商城宝箱!$N:$N,MATCH(玩家节奏2!$BK172,商城宝箱!$L:$L,0)))/$BK$5*INDEX(商城宝箱!F$23:F$42,MATCH(玩家节奏2!$BK172+1,商城宝箱!$C$23:$C$42,0))</f>
        <v>492370</v>
      </c>
      <c r="BN172" s="90">
        <f ca="1">_xlfn.IFNA(INDEX(商城宝箱!V:V,MATCH(玩家节奏2!$BK172,商城宝箱!$L:$L,0)),0)+($BC172-INDEX(商城宝箱!$N:$N,MATCH(玩家节奏2!$BK172,商城宝箱!$L:$L,0)))/$BK$5*INDEX(商城宝箱!G$23:G$42,MATCH(玩家节奏2!$BK172+1,商城宝箱!$C$23:$C$42,0))</f>
        <v>245518.25</v>
      </c>
      <c r="BO172" s="90">
        <f ca="1">_xlfn.IFNA(INDEX(商城宝箱!W:W,MATCH(玩家节奏2!$BK172,商城宝箱!$L:$L,0)),0)+($BC172-INDEX(商城宝箱!$N:$N,MATCH(玩家节奏2!$BK172,商城宝箱!$L:$L,0)))/$BK$5*INDEX(商城宝箱!H$23:H$42,MATCH(玩家节奏2!$BK172+1,商城宝箱!$C$23:$C$42,0))</f>
        <v>40321.5</v>
      </c>
      <c r="BQ172" s="128">
        <f t="shared" si="143"/>
        <v>11610000</v>
      </c>
      <c r="BR172" s="90">
        <f t="shared" si="144"/>
        <v>4718330</v>
      </c>
      <c r="BS172" s="90">
        <f t="shared" ca="1" si="195"/>
        <v>8454746</v>
      </c>
      <c r="BT172" s="90">
        <f t="shared" si="196"/>
        <v>61000</v>
      </c>
      <c r="BU172" s="90">
        <f t="shared" si="147"/>
        <v>2608000</v>
      </c>
      <c r="BV172" s="90">
        <f t="shared" si="148"/>
        <v>498000</v>
      </c>
      <c r="BW172" s="90">
        <f t="shared" ca="1" si="160"/>
        <v>392062.5</v>
      </c>
      <c r="BX172" s="90">
        <f t="shared" ca="1" si="161"/>
        <v>28342138.5</v>
      </c>
      <c r="BY172" s="142">
        <f t="shared" ca="1" si="191"/>
        <v>0.40963740262577575</v>
      </c>
      <c r="BZ172" s="142">
        <f t="shared" ca="1" si="191"/>
        <v>0.16647755778908496</v>
      </c>
      <c r="CA172" s="142">
        <f t="shared" ca="1" si="191"/>
        <v>0.29831009399661212</v>
      </c>
      <c r="CB172" s="142">
        <f t="shared" ca="1" si="190"/>
        <v>2.1522723135376674E-3</v>
      </c>
      <c r="CC172" s="142">
        <f t="shared" ca="1" si="190"/>
        <v>9.2018462191905528E-2</v>
      </c>
      <c r="CD172" s="142">
        <f t="shared" ca="1" si="190"/>
        <v>1.7571010035110794E-2</v>
      </c>
      <c r="CE172" s="142">
        <f t="shared" ca="1" si="190"/>
        <v>1.3833201047973144E-2</v>
      </c>
      <c r="CG172" s="128">
        <f t="shared" si="162"/>
        <v>200</v>
      </c>
      <c r="CH172" s="90">
        <f ca="1">INDEX(角色升级!$A:$A,MATCH(玩家节奏2!$BX172,角色升级!$J:$J,1))</f>
        <v>1047</v>
      </c>
      <c r="CI172" s="90">
        <f ca="1">INDEX(角色升级!$O:$O,MATCH(玩家节奏2!$BX172,角色升级!$J:$J,1))</f>
        <v>99294.156750000009</v>
      </c>
      <c r="CJ172" s="90">
        <f>INDEX(关卡对比!$J:$J,MATCH(玩家节奏2!N172,关卡对比!$A:$A,0))</f>
        <v>86200</v>
      </c>
      <c r="CK172" s="147">
        <f t="shared" ca="1" si="163"/>
        <v>0.8681276202086281</v>
      </c>
      <c r="CL172" s="128">
        <f ca="1">INDEX(角色升级!$P:$P,MATCH(玩家节奏2!$CH172,角色升级!$A:$A,0))</f>
        <v>40800</v>
      </c>
      <c r="CM172" s="90">
        <f ca="1">INDEX(角色升级!Q:Q,MATCH(玩家节奏2!$CH172,角色升级!$A:$A,0))</f>
        <v>2.2000000000000002</v>
      </c>
      <c r="CO172" s="128">
        <f t="shared" si="164"/>
        <v>78866</v>
      </c>
      <c r="CP172" s="90">
        <f t="shared" si="165"/>
        <v>361518</v>
      </c>
      <c r="CQ172" s="90">
        <f t="shared" si="166"/>
        <v>116620</v>
      </c>
      <c r="CR172" s="90">
        <f t="shared" ca="1" si="167"/>
        <v>492370</v>
      </c>
      <c r="CS172" s="90">
        <f t="shared" ca="1" si="168"/>
        <v>1049374</v>
      </c>
      <c r="CT172" s="142">
        <f t="shared" ca="1" si="169"/>
        <v>7.5155283054468669E-2</v>
      </c>
      <c r="CU172" s="142">
        <f t="shared" ca="1" si="169"/>
        <v>0.34450824968028559</v>
      </c>
      <c r="CV172" s="142">
        <f t="shared" ca="1" si="169"/>
        <v>0.11113292305698445</v>
      </c>
      <c r="CW172" s="142">
        <f t="shared" ca="1" si="149"/>
        <v>0.46920354420826133</v>
      </c>
      <c r="CY172" s="128">
        <f t="shared" si="170"/>
        <v>39434</v>
      </c>
      <c r="CZ172" s="90">
        <f t="shared" si="171"/>
        <v>180595</v>
      </c>
      <c r="DA172" s="90">
        <f t="shared" si="172"/>
        <v>81192</v>
      </c>
      <c r="DB172" s="90">
        <f t="shared" ca="1" si="186"/>
        <v>245518.25</v>
      </c>
      <c r="DC172" s="90">
        <f t="shared" ca="1" si="173"/>
        <v>546739.25</v>
      </c>
      <c r="DD172" s="142">
        <f t="shared" ca="1" si="174"/>
        <v>7.2125789395950629E-2</v>
      </c>
      <c r="DE172" s="142">
        <f t="shared" ca="1" si="174"/>
        <v>0.33031285022979417</v>
      </c>
      <c r="DF172" s="142">
        <f t="shared" ca="1" si="174"/>
        <v>0.14850223392595283</v>
      </c>
      <c r="DG172" s="142">
        <f t="shared" ca="1" si="150"/>
        <v>0.44905912644830237</v>
      </c>
      <c r="DI172" s="128">
        <f t="shared" si="175"/>
        <v>19113</v>
      </c>
      <c r="DJ172" s="90">
        <f t="shared" si="176"/>
        <v>88931</v>
      </c>
      <c r="DK172" s="90">
        <f t="shared" si="177"/>
        <v>31926</v>
      </c>
      <c r="DL172" s="90">
        <f t="shared" ca="1" si="178"/>
        <v>40321.5</v>
      </c>
      <c r="DM172" s="90">
        <f t="shared" ca="1" si="179"/>
        <v>180291.5</v>
      </c>
      <c r="DN172" s="142">
        <f t="shared" ca="1" si="180"/>
        <v>0.10601165335026887</v>
      </c>
      <c r="DO172" s="142">
        <f t="shared" ca="1" si="180"/>
        <v>0.49326230021936696</v>
      </c>
      <c r="DP172" s="142">
        <f t="shared" ca="1" si="180"/>
        <v>0.1770798956134926</v>
      </c>
      <c r="DQ172" s="142">
        <f t="shared" ca="1" si="151"/>
        <v>0.22364615081687156</v>
      </c>
      <c r="DS172" s="128">
        <f t="shared" ca="1" si="181"/>
        <v>1049374</v>
      </c>
      <c r="DT172" s="90">
        <f t="shared" ca="1" si="182"/>
        <v>546739.25</v>
      </c>
      <c r="DU172" s="90">
        <f t="shared" ca="1" si="183"/>
        <v>180291.5</v>
      </c>
      <c r="DV172" s="90">
        <f t="shared" si="184"/>
        <v>2608</v>
      </c>
      <c r="DW172" s="90">
        <f ca="1">_xlfn.IFNA(INDEX(武器升级消耗!$H:$H,MATCH(玩家节奏2!DS172/玩家节奏2!DS$5,武器升级消耗!M:M,1)),0)</f>
        <v>88</v>
      </c>
      <c r="DX172" s="90">
        <f ca="1">_xlfn.IFNA(INDEX(武器升级消耗!$H:$H,MATCH(玩家节奏2!DT172/玩家节奏2!DT$5,武器升级消耗!N:N,1)),0)</f>
        <v>77</v>
      </c>
      <c r="DY172" s="90">
        <f ca="1">_xlfn.IFNA(INDEX(武器升级消耗!$H:$H,MATCH(玩家节奏2!DU172/玩家节奏2!DU$5,武器升级消耗!O:O,1)),0)</f>
        <v>58</v>
      </c>
      <c r="DZ172" s="90">
        <f>_xlfn.IFNA(INDEX(武器升级消耗!$H:$H,MATCH(玩家节奏2!DV172/玩家节奏2!DV$5,武器升级消耗!P:P,1)),0)</f>
        <v>37</v>
      </c>
      <c r="EA172" s="90">
        <f ca="1">_xlfn.IFNA(INDEX(武器升级消耗!$Q:$Q,MATCH(玩家节奏2!DW172,武器升级消耗!$H:$H,0))*2*EA$4,0)</f>
        <v>11.039999999999988</v>
      </c>
      <c r="EB172" s="90">
        <f ca="1">_xlfn.IFNA(INDEX(武器升级消耗!$Q:$Q,MATCH(玩家节奏2!DX172,武器升级消耗!$H:$H,0))*2*EB$4,0)</f>
        <v>12.149999999999986</v>
      </c>
      <c r="EC172" s="90">
        <f ca="1">_xlfn.IFNA(INDEX(武器升级消耗!$Q:$Q,MATCH(玩家节奏2!DY172,武器升级消耗!$H:$H,0))*2*EC$4,0)</f>
        <v>13.640000000000002</v>
      </c>
      <c r="ED172" s="90">
        <f>_xlfn.IFNA(INDEX(武器升级消耗!$Q:$Q,MATCH(玩家节奏2!DZ172,武器升级消耗!$H:$H,0))*2*ED$4,0)</f>
        <v>12.299999999999999</v>
      </c>
    </row>
    <row r="173" spans="1:134" x14ac:dyDescent="0.25">
      <c r="A173" s="123">
        <v>167</v>
      </c>
      <c r="B173" s="123">
        <f>INDEX(关卡对比!$Y:$Y,MATCH(关卡对比!Z173,关卡对比!$AA:$AA,1))</f>
        <v>97</v>
      </c>
      <c r="C173" s="124">
        <f>INDEX(关卡对比!$Y:$Y,MATCH(关卡对比!Z173,关卡对比!$AB:$AB,1))</f>
        <v>74</v>
      </c>
      <c r="D173" s="125">
        <f t="shared" si="189"/>
        <v>645.5</v>
      </c>
      <c r="E173" s="125">
        <v>2</v>
      </c>
      <c r="F173" s="128">
        <v>16</v>
      </c>
      <c r="G173" s="90">
        <v>16</v>
      </c>
      <c r="H173" s="90">
        <v>5</v>
      </c>
      <c r="J173" s="128">
        <v>167</v>
      </c>
      <c r="K173" s="90">
        <f t="shared" si="152"/>
        <v>16</v>
      </c>
      <c r="L173" s="90">
        <f t="shared" si="153"/>
        <v>16</v>
      </c>
      <c r="M173" s="90">
        <f t="shared" si="154"/>
        <v>5</v>
      </c>
      <c r="N173" s="140">
        <f>INDEX($A:$A,MATCH(SUM($K$7:K173),$D:$D,1))</f>
        <v>200</v>
      </c>
      <c r="O173" s="140">
        <v>0</v>
      </c>
      <c r="P173" s="141">
        <v>0</v>
      </c>
      <c r="Q173" s="126">
        <f>_xlfn.MAXIFS(关卡产出!X:X,关卡产出!$A:$A,玩家节奏2!$N$6,关卡产出!$B:$B,玩家节奏2!$N173)+_xlfn.MAXIFS(关卡产出!X:X,关卡产出!$A:$A,玩家节奏2!$O$6,关卡产出!$B:$B,玩家节奏2!$O173)+_xlfn.MAXIFS(关卡产出!X:X,关卡产出!$A:$A,玩家节奏2!$P$6,关卡产出!$B:$B,玩家节奏2!$P173)</f>
        <v>38500</v>
      </c>
      <c r="R173" s="90">
        <f>_xlfn.MAXIFS(关卡产出!Y:Y,关卡产出!$A:$A,玩家节奏2!$N$6,关卡产出!$B:$B,玩家节奏2!$N173)+_xlfn.MAXIFS(关卡产出!Y:Y,关卡产出!$A:$A,玩家节奏2!$O$6,关卡产出!$B:$B,玩家节奏2!$O173)+_xlfn.MAXIFS(关卡产出!Y:Y,关卡产出!$A:$A,玩家节奏2!$P$6,关卡产出!$B:$B,玩家节奏2!$P173)</f>
        <v>11610000</v>
      </c>
      <c r="S173" s="90">
        <f>_xlfn.MAXIFS(关卡产出!Z:Z,关卡产出!$A:$A,玩家节奏2!$N$6,关卡产出!$B:$B,玩家节奏2!$N173)+_xlfn.MAXIFS(关卡产出!Z:Z,关卡产出!$A:$A,玩家节奏2!$O$6,关卡产出!$B:$B,玩家节奏2!$O173)+_xlfn.MAXIFS(关卡产出!Z:Z,关卡产出!$A:$A,玩家节奏2!$P$6,关卡产出!$B:$B,玩家节奏2!$P173)</f>
        <v>78866</v>
      </c>
      <c r="T173" s="90">
        <f>_xlfn.MAXIFS(关卡产出!AA:AA,关卡产出!$A:$A,玩家节奏2!$N$6,关卡产出!$B:$B,玩家节奏2!$N173)+_xlfn.MAXIFS(关卡产出!AA:AA,关卡产出!$A:$A,玩家节奏2!$O$6,关卡产出!$B:$B,玩家节奏2!$O173)+_xlfn.MAXIFS(关卡产出!AA:AA,关卡产出!$A:$A,玩家节奏2!$P$6,关卡产出!$B:$B,玩家节奏2!$P173)</f>
        <v>39434</v>
      </c>
      <c r="U173" s="90">
        <f>_xlfn.MAXIFS(关卡产出!AB:AB,关卡产出!$A:$A,玩家节奏2!$N$6,关卡产出!$B:$B,玩家节奏2!$N173)+_xlfn.MAXIFS(关卡产出!AB:AB,关卡产出!$A:$A,玩家节奏2!$O$6,关卡产出!$B:$B,玩家节奏2!$O173)+_xlfn.MAXIFS(关卡产出!AB:AB,关卡产出!$A:$A,玩家节奏2!$P$6,关卡产出!$B:$B,玩家节奏2!$P173)</f>
        <v>19113</v>
      </c>
      <c r="V173" s="130">
        <f>_xlfn.MAXIFS(关卡产出!AC:AC,关卡产出!$A:$A,玩家节奏2!$N$6,关卡产出!$B:$B,玩家节奏2!$N173)+_xlfn.MAXIFS(关卡产出!AC:AC,关卡产出!$A:$A,玩家节奏2!$O$6,关卡产出!$B:$B,玩家节奏2!$O173)+_xlfn.MAXIFS(关卡产出!AC:AC,关卡产出!$A:$A,玩家节奏2!$P$6,关卡产出!$B:$B,玩家节奏2!$P173)</f>
        <v>1200</v>
      </c>
      <c r="W173" s="126">
        <f>INDEX(关卡产出!C$8:C$207,MATCH(玩家节奏2!$N173,关卡产出!$B$8:$B$207,0))*$K173</f>
        <v>2528</v>
      </c>
      <c r="X173" s="126">
        <f>INDEX(关卡产出!D$8:D$207,MATCH(玩家节奏2!$N173,关卡产出!$B$8:$B$207,0))*$K173</f>
        <v>1264</v>
      </c>
      <c r="Y173" s="126">
        <f>INDEX(关卡产出!E$8:E$207,MATCH(玩家节奏2!$N173,关卡产出!$B$8:$B$207,0))*$K173</f>
        <v>624</v>
      </c>
      <c r="Z173" s="144">
        <f>INDEX(关卡产出!F$8:F$207,MATCH(玩家节奏2!$N173,关卡产出!$B$8:$B$207,0))*$K173</f>
        <v>32800</v>
      </c>
      <c r="AA173" s="126">
        <f>SUM(W$7:W173)</f>
        <v>364046</v>
      </c>
      <c r="AB173" s="126">
        <f>SUM(X$7:X173)</f>
        <v>181859</v>
      </c>
      <c r="AC173" s="126">
        <f>SUM(Y$7:Y173)</f>
        <v>89555</v>
      </c>
      <c r="AD173" s="177">
        <f>SUM(Z$7:Z173)</f>
        <v>4751130</v>
      </c>
      <c r="AE173" s="128">
        <f>INDEX(图鉴!AQ:AQ,MATCH($N173,图鉴!$S:$S,0))*34</f>
        <v>714</v>
      </c>
      <c r="AF173" s="90">
        <f>INDEX(图鉴!AR:AR,MATCH($N173,图鉴!$S:$S,0))*34</f>
        <v>510</v>
      </c>
      <c r="AG173" s="90">
        <f>INDEX(图鉴!AS:AS,MATCH($N173,图鉴!$S:$S,0))*34</f>
        <v>204</v>
      </c>
      <c r="AH173" s="129">
        <f ca="1">INDEX(图鉴!AT:AT,MATCH($N173,图鉴!$S:$S,0))*34</f>
        <v>55930</v>
      </c>
      <c r="AI173" s="128">
        <f>SUM($AE$7:AE173)</f>
        <v>117334</v>
      </c>
      <c r="AJ173" s="90">
        <f>SUM(AF$7:AF173)</f>
        <v>81702</v>
      </c>
      <c r="AK173" s="90">
        <f>SUM(AG$7:AG173)</f>
        <v>32130</v>
      </c>
      <c r="AL173" s="130">
        <f ca="1">SUM(AH$7:AH173)</f>
        <v>8510676</v>
      </c>
      <c r="AM173" s="133">
        <f>IF(M173=0,0,INDEX(关卡产出!$AU$11:$AU$15,MATCH(玩家节奏2!N173,关卡产出!$AW$11:$AW$15,1))*M173)</f>
        <v>61000</v>
      </c>
      <c r="AN173" s="126">
        <f>IF(L173=0,0,$L173*关卡产出!AU$21)</f>
        <v>16000</v>
      </c>
      <c r="AO173" s="90">
        <f>IF(M173=0,0,$L173*关卡产出!AV$21)</f>
        <v>800</v>
      </c>
      <c r="AP173" s="129">
        <f>IF(N173=0,0,$L173*关卡产出!AW$21)</f>
        <v>16</v>
      </c>
      <c r="AQ173" s="138">
        <f>SUM(AN$7:AN173)</f>
        <v>2624000</v>
      </c>
      <c r="AR173" s="126">
        <f>SUM(AO$7:AO173)</f>
        <v>131200</v>
      </c>
      <c r="AS173" s="129">
        <f>SUM(AP$7:AP173)</f>
        <v>2624</v>
      </c>
      <c r="AT173" s="128">
        <v>3000</v>
      </c>
      <c r="AU173" s="129">
        <v>600</v>
      </c>
      <c r="AV173" s="128">
        <f>SUM(AT$7:AT173)</f>
        <v>501000</v>
      </c>
      <c r="AW173" s="90">
        <f>SUM(AU$7:AU173)</f>
        <v>100200</v>
      </c>
      <c r="AY173" s="128">
        <f t="shared" si="155"/>
        <v>38500</v>
      </c>
      <c r="AZ173" s="90">
        <f t="shared" si="156"/>
        <v>131200</v>
      </c>
      <c r="BA173" s="90">
        <f t="shared" si="157"/>
        <v>100200</v>
      </c>
      <c r="BB173" s="90">
        <f t="shared" ca="1" si="185"/>
        <v>40800</v>
      </c>
      <c r="BC173" s="90">
        <f t="shared" ca="1" si="187"/>
        <v>157525</v>
      </c>
      <c r="BD173" s="90">
        <f t="shared" ca="1" si="188"/>
        <v>153175</v>
      </c>
      <c r="BE173" s="90">
        <f t="shared" ca="1" si="158"/>
        <v>310700</v>
      </c>
      <c r="BF173" s="142">
        <f t="shared" ca="1" si="192"/>
        <v>0.24440564989684177</v>
      </c>
      <c r="BG173" s="142">
        <f t="shared" ca="1" si="193"/>
        <v>0.83288366925884783</v>
      </c>
      <c r="BH173" s="142">
        <f t="shared" ca="1" si="194"/>
        <v>0.63608950960165056</v>
      </c>
      <c r="BI173" s="142">
        <f t="shared" ca="1" si="197"/>
        <v>0.25900650690366611</v>
      </c>
      <c r="BJ173" s="143"/>
      <c r="BK173" s="128">
        <f ca="1">INDEX(商城宝箱!$L:$L,MATCH(BC173,商城宝箱!$N:$N,1))</f>
        <v>13</v>
      </c>
      <c r="BL173" s="90">
        <f ca="1">_xlfn.IFNA(INDEX(商城宝箱!T:T,MATCH(玩家节奏2!$BK173,商城宝箱!$L:$L,0)),0)+($BC173-INDEX(商城宝箱!$N:$N,MATCH(玩家节奏2!$BK173,商城宝箱!$L:$L,0)))/$BK$5*INDEX(商城宝箱!E$23:E$42,MATCH(玩家节奏2!$BK173+1,商城宝箱!$C$23:$C$42,0))</f>
        <v>393812.5</v>
      </c>
      <c r="BM173" s="90">
        <f ca="1">_xlfn.IFNA(INDEX(商城宝箱!U:U,MATCH(玩家节奏2!$BK173,商城宝箱!$L:$L,0)),0)+($BC173-INDEX(商城宝箱!$N:$N,MATCH(玩家节奏2!$BK173,商城宝箱!$L:$L,0)))/$BK$5*INDEX(商城宝箱!F$23:F$42,MATCH(玩家节奏2!$BK173+1,商城宝箱!$C$23:$C$42,0))</f>
        <v>495660</v>
      </c>
      <c r="BN173" s="90">
        <f ca="1">_xlfn.IFNA(INDEX(商城宝箱!V:V,MATCH(玩家节奏2!$BK173,商城宝箱!$L:$L,0)),0)+($BC173-INDEX(商城宝箱!$N:$N,MATCH(玩家节奏2!$BK173,商城宝箱!$L:$L,0)))/$BK$5*INDEX(商城宝箱!G$23:G$42,MATCH(玩家节奏2!$BK173+1,商城宝箱!$C$23:$C$42,0))</f>
        <v>247093.25</v>
      </c>
      <c r="BO173" s="90">
        <f ca="1">_xlfn.IFNA(INDEX(商城宝箱!W:W,MATCH(玩家节奏2!$BK173,商城宝箱!$L:$L,0)),0)+($BC173-INDEX(商城宝箱!$N:$N,MATCH(玩家节奏2!$BK173,商城宝箱!$L:$L,0)))/$BK$5*INDEX(商城宝箱!H$23:H$42,MATCH(玩家节奏2!$BK173+1,商城宝箱!$C$23:$C$42,0))</f>
        <v>40601.5</v>
      </c>
      <c r="BQ173" s="128">
        <f t="shared" si="143"/>
        <v>11610000</v>
      </c>
      <c r="BR173" s="90">
        <f t="shared" si="144"/>
        <v>4751130</v>
      </c>
      <c r="BS173" s="90">
        <f t="shared" ca="1" si="195"/>
        <v>8510676</v>
      </c>
      <c r="BT173" s="90">
        <f t="shared" si="196"/>
        <v>61000</v>
      </c>
      <c r="BU173" s="90">
        <f t="shared" si="147"/>
        <v>2624000</v>
      </c>
      <c r="BV173" s="90">
        <f t="shared" si="148"/>
        <v>501000</v>
      </c>
      <c r="BW173" s="90">
        <f t="shared" ca="1" si="160"/>
        <v>393812.5</v>
      </c>
      <c r="BX173" s="90">
        <f t="shared" ca="1" si="161"/>
        <v>28451618.5</v>
      </c>
      <c r="BY173" s="142">
        <f t="shared" ca="1" si="191"/>
        <v>0.4080611442192647</v>
      </c>
      <c r="BZ173" s="142">
        <f t="shared" ca="1" si="191"/>
        <v>0.16698979708307279</v>
      </c>
      <c r="CA173" s="142">
        <f t="shared" ca="1" si="191"/>
        <v>0.29912800918513649</v>
      </c>
      <c r="CB173" s="142">
        <f t="shared" ca="1" si="190"/>
        <v>2.1439905079565155E-3</v>
      </c>
      <c r="CC173" s="142">
        <f t="shared" ca="1" si="190"/>
        <v>9.2226739227506516E-2</v>
      </c>
      <c r="CD173" s="142">
        <f t="shared" ca="1" si="190"/>
        <v>1.7608840073544497E-2</v>
      </c>
      <c r="CE173" s="142">
        <f t="shared" ca="1" si="190"/>
        <v>1.3841479703518449E-2</v>
      </c>
      <c r="CG173" s="128">
        <f t="shared" si="162"/>
        <v>200</v>
      </c>
      <c r="CH173" s="90">
        <f ca="1">INDEX(角色升级!$A:$A,MATCH(玩家节奏2!$BX173,角色升级!$J:$J,1))</f>
        <v>1047</v>
      </c>
      <c r="CI173" s="90">
        <f ca="1">INDEX(角色升级!$O:$O,MATCH(玩家节奏2!$BX173,角色升级!$J:$J,1))</f>
        <v>99294.156750000009</v>
      </c>
      <c r="CJ173" s="90">
        <f>INDEX(关卡对比!$J:$J,MATCH(玩家节奏2!N173,关卡对比!$A:$A,0))</f>
        <v>86200</v>
      </c>
      <c r="CK173" s="147">
        <f t="shared" ca="1" si="163"/>
        <v>0.8681276202086281</v>
      </c>
      <c r="CL173" s="128">
        <f ca="1">INDEX(角色升级!$P:$P,MATCH(玩家节奏2!$CH173,角色升级!$A:$A,0))</f>
        <v>40800</v>
      </c>
      <c r="CM173" s="90">
        <f ca="1">INDEX(角色升级!Q:Q,MATCH(玩家节奏2!$CH173,角色升级!$A:$A,0))</f>
        <v>2.2000000000000002</v>
      </c>
      <c r="CO173" s="128">
        <f t="shared" si="164"/>
        <v>78866</v>
      </c>
      <c r="CP173" s="90">
        <f t="shared" si="165"/>
        <v>364046</v>
      </c>
      <c r="CQ173" s="90">
        <f t="shared" si="166"/>
        <v>117334</v>
      </c>
      <c r="CR173" s="90">
        <f t="shared" ca="1" si="167"/>
        <v>495660</v>
      </c>
      <c r="CS173" s="90">
        <f t="shared" ca="1" si="168"/>
        <v>1055906</v>
      </c>
      <c r="CT173" s="142">
        <f t="shared" ca="1" si="169"/>
        <v>7.4690360694986108E-2</v>
      </c>
      <c r="CU173" s="142">
        <f t="shared" ca="1" si="169"/>
        <v>0.34477122016543138</v>
      </c>
      <c r="CV173" s="142">
        <f t="shared" ca="1" si="169"/>
        <v>0.11112163393332361</v>
      </c>
      <c r="CW173" s="142">
        <f t="shared" ca="1" si="149"/>
        <v>0.4694167852062589</v>
      </c>
      <c r="CY173" s="128">
        <f t="shared" si="170"/>
        <v>39434</v>
      </c>
      <c r="CZ173" s="90">
        <f t="shared" si="171"/>
        <v>181859</v>
      </c>
      <c r="DA173" s="90">
        <f t="shared" si="172"/>
        <v>81702</v>
      </c>
      <c r="DB173" s="90">
        <f t="shared" ca="1" si="186"/>
        <v>247093.25</v>
      </c>
      <c r="DC173" s="90">
        <f t="shared" ca="1" si="173"/>
        <v>550088.25</v>
      </c>
      <c r="DD173" s="142">
        <f t="shared" ca="1" si="174"/>
        <v>7.1686679364629219E-2</v>
      </c>
      <c r="DE173" s="142">
        <f t="shared" ca="1" si="174"/>
        <v>0.33059968105117676</v>
      </c>
      <c r="DF173" s="142">
        <f t="shared" ca="1" si="174"/>
        <v>0.14852525935611241</v>
      </c>
      <c r="DG173" s="142">
        <f t="shared" ca="1" si="150"/>
        <v>0.44918838022808161</v>
      </c>
      <c r="DI173" s="128">
        <f t="shared" si="175"/>
        <v>19113</v>
      </c>
      <c r="DJ173" s="90">
        <f t="shared" si="176"/>
        <v>89555</v>
      </c>
      <c r="DK173" s="90">
        <f t="shared" si="177"/>
        <v>32130</v>
      </c>
      <c r="DL173" s="90">
        <f t="shared" ca="1" si="178"/>
        <v>40601.5</v>
      </c>
      <c r="DM173" s="90">
        <f t="shared" ca="1" si="179"/>
        <v>181399.5</v>
      </c>
      <c r="DN173" s="142">
        <f t="shared" ca="1" si="180"/>
        <v>0.10536412724401115</v>
      </c>
      <c r="DO173" s="142">
        <f t="shared" ca="1" si="180"/>
        <v>0.49368934313490392</v>
      </c>
      <c r="DP173" s="142">
        <f t="shared" ca="1" si="180"/>
        <v>0.17712286968817445</v>
      </c>
      <c r="DQ173" s="142">
        <f t="shared" ca="1" si="151"/>
        <v>0.22382365993291051</v>
      </c>
      <c r="DS173" s="128">
        <f t="shared" ca="1" si="181"/>
        <v>1055906</v>
      </c>
      <c r="DT173" s="90">
        <f t="shared" ca="1" si="182"/>
        <v>550088.25</v>
      </c>
      <c r="DU173" s="90">
        <f t="shared" ca="1" si="183"/>
        <v>181399.5</v>
      </c>
      <c r="DV173" s="90">
        <f t="shared" si="184"/>
        <v>2624</v>
      </c>
      <c r="DW173" s="90">
        <f ca="1">_xlfn.IFNA(INDEX(武器升级消耗!$H:$H,MATCH(玩家节奏2!DS173/玩家节奏2!DS$5,武器升级消耗!M:M,1)),0)</f>
        <v>88</v>
      </c>
      <c r="DX173" s="90">
        <f ca="1">_xlfn.IFNA(INDEX(武器升级消耗!$H:$H,MATCH(玩家节奏2!DT173/玩家节奏2!DT$5,武器升级消耗!N:N,1)),0)</f>
        <v>77</v>
      </c>
      <c r="DY173" s="90">
        <f ca="1">_xlfn.IFNA(INDEX(武器升级消耗!$H:$H,MATCH(玩家节奏2!DU173/玩家节奏2!DU$5,武器升级消耗!O:O,1)),0)</f>
        <v>58</v>
      </c>
      <c r="DZ173" s="90">
        <f>_xlfn.IFNA(INDEX(武器升级消耗!$H:$H,MATCH(玩家节奏2!DV173/玩家节奏2!DV$5,武器升级消耗!P:P,1)),0)</f>
        <v>37</v>
      </c>
      <c r="EA173" s="90">
        <f ca="1">_xlfn.IFNA(INDEX(武器升级消耗!$Q:$Q,MATCH(玩家节奏2!DW173,武器升级消耗!$H:$H,0))*2*EA$4,0)</f>
        <v>11.039999999999988</v>
      </c>
      <c r="EB173" s="90">
        <f ca="1">_xlfn.IFNA(INDEX(武器升级消耗!$Q:$Q,MATCH(玩家节奏2!DX173,武器升级消耗!$H:$H,0))*2*EB$4,0)</f>
        <v>12.149999999999986</v>
      </c>
      <c r="EC173" s="90">
        <f ca="1">_xlfn.IFNA(INDEX(武器升级消耗!$Q:$Q,MATCH(玩家节奏2!DY173,武器升级消耗!$H:$H,0))*2*EC$4,0)</f>
        <v>13.640000000000002</v>
      </c>
      <c r="ED173" s="90">
        <f>_xlfn.IFNA(INDEX(武器升级消耗!$Q:$Q,MATCH(玩家节奏2!DZ173,武器升级消耗!$H:$H,0))*2*ED$4,0)</f>
        <v>12.299999999999999</v>
      </c>
    </row>
    <row r="174" spans="1:134" x14ac:dyDescent="0.25">
      <c r="A174" s="123">
        <v>168</v>
      </c>
      <c r="B174" s="123">
        <f>INDEX(关卡对比!$Y:$Y,MATCH(关卡对比!Z174,关卡对比!$AA:$AA,1))</f>
        <v>97</v>
      </c>
      <c r="C174" s="124">
        <f>INDEX(关卡对比!$Y:$Y,MATCH(关卡对比!Z174,关卡对比!$AB:$AB,1))</f>
        <v>74</v>
      </c>
      <c r="D174" s="125">
        <f t="shared" si="189"/>
        <v>647.5</v>
      </c>
      <c r="E174" s="125">
        <v>2</v>
      </c>
      <c r="F174" s="128">
        <v>16</v>
      </c>
      <c r="G174" s="90">
        <v>16</v>
      </c>
      <c r="H174" s="90">
        <v>5</v>
      </c>
      <c r="J174" s="128">
        <v>168</v>
      </c>
      <c r="K174" s="90">
        <f t="shared" si="152"/>
        <v>16</v>
      </c>
      <c r="L174" s="90">
        <f t="shared" si="153"/>
        <v>16</v>
      </c>
      <c r="M174" s="90">
        <f t="shared" si="154"/>
        <v>5</v>
      </c>
      <c r="N174" s="140">
        <f>INDEX($A:$A,MATCH(SUM($K$7:K174),$D:$D,1))</f>
        <v>200</v>
      </c>
      <c r="O174" s="140">
        <v>0</v>
      </c>
      <c r="P174" s="141">
        <v>0</v>
      </c>
      <c r="Q174" s="126">
        <f>_xlfn.MAXIFS(关卡产出!X:X,关卡产出!$A:$A,玩家节奏2!$N$6,关卡产出!$B:$B,玩家节奏2!$N174)+_xlfn.MAXIFS(关卡产出!X:X,关卡产出!$A:$A,玩家节奏2!$O$6,关卡产出!$B:$B,玩家节奏2!$O174)+_xlfn.MAXIFS(关卡产出!X:X,关卡产出!$A:$A,玩家节奏2!$P$6,关卡产出!$B:$B,玩家节奏2!$P174)</f>
        <v>38500</v>
      </c>
      <c r="R174" s="90">
        <f>_xlfn.MAXIFS(关卡产出!Y:Y,关卡产出!$A:$A,玩家节奏2!$N$6,关卡产出!$B:$B,玩家节奏2!$N174)+_xlfn.MAXIFS(关卡产出!Y:Y,关卡产出!$A:$A,玩家节奏2!$O$6,关卡产出!$B:$B,玩家节奏2!$O174)+_xlfn.MAXIFS(关卡产出!Y:Y,关卡产出!$A:$A,玩家节奏2!$P$6,关卡产出!$B:$B,玩家节奏2!$P174)</f>
        <v>11610000</v>
      </c>
      <c r="S174" s="90">
        <f>_xlfn.MAXIFS(关卡产出!Z:Z,关卡产出!$A:$A,玩家节奏2!$N$6,关卡产出!$B:$B,玩家节奏2!$N174)+_xlfn.MAXIFS(关卡产出!Z:Z,关卡产出!$A:$A,玩家节奏2!$O$6,关卡产出!$B:$B,玩家节奏2!$O174)+_xlfn.MAXIFS(关卡产出!Z:Z,关卡产出!$A:$A,玩家节奏2!$P$6,关卡产出!$B:$B,玩家节奏2!$P174)</f>
        <v>78866</v>
      </c>
      <c r="T174" s="90">
        <f>_xlfn.MAXIFS(关卡产出!AA:AA,关卡产出!$A:$A,玩家节奏2!$N$6,关卡产出!$B:$B,玩家节奏2!$N174)+_xlfn.MAXIFS(关卡产出!AA:AA,关卡产出!$A:$A,玩家节奏2!$O$6,关卡产出!$B:$B,玩家节奏2!$O174)+_xlfn.MAXIFS(关卡产出!AA:AA,关卡产出!$A:$A,玩家节奏2!$P$6,关卡产出!$B:$B,玩家节奏2!$P174)</f>
        <v>39434</v>
      </c>
      <c r="U174" s="90">
        <f>_xlfn.MAXIFS(关卡产出!AB:AB,关卡产出!$A:$A,玩家节奏2!$N$6,关卡产出!$B:$B,玩家节奏2!$N174)+_xlfn.MAXIFS(关卡产出!AB:AB,关卡产出!$A:$A,玩家节奏2!$O$6,关卡产出!$B:$B,玩家节奏2!$O174)+_xlfn.MAXIFS(关卡产出!AB:AB,关卡产出!$A:$A,玩家节奏2!$P$6,关卡产出!$B:$B,玩家节奏2!$P174)</f>
        <v>19113</v>
      </c>
      <c r="V174" s="130">
        <f>_xlfn.MAXIFS(关卡产出!AC:AC,关卡产出!$A:$A,玩家节奏2!$N$6,关卡产出!$B:$B,玩家节奏2!$N174)+_xlfn.MAXIFS(关卡产出!AC:AC,关卡产出!$A:$A,玩家节奏2!$O$6,关卡产出!$B:$B,玩家节奏2!$O174)+_xlfn.MAXIFS(关卡产出!AC:AC,关卡产出!$A:$A,玩家节奏2!$P$6,关卡产出!$B:$B,玩家节奏2!$P174)</f>
        <v>1200</v>
      </c>
      <c r="W174" s="126">
        <f>INDEX(关卡产出!C$8:C$207,MATCH(玩家节奏2!$N174,关卡产出!$B$8:$B$207,0))*$K174</f>
        <v>2528</v>
      </c>
      <c r="X174" s="126">
        <f>INDEX(关卡产出!D$8:D$207,MATCH(玩家节奏2!$N174,关卡产出!$B$8:$B$207,0))*$K174</f>
        <v>1264</v>
      </c>
      <c r="Y174" s="126">
        <f>INDEX(关卡产出!E$8:E$207,MATCH(玩家节奏2!$N174,关卡产出!$B$8:$B$207,0))*$K174</f>
        <v>624</v>
      </c>
      <c r="Z174" s="144">
        <f>INDEX(关卡产出!F$8:F$207,MATCH(玩家节奏2!$N174,关卡产出!$B$8:$B$207,0))*$K174</f>
        <v>32800</v>
      </c>
      <c r="AA174" s="126">
        <f>SUM(W$7:W174)</f>
        <v>366574</v>
      </c>
      <c r="AB174" s="126">
        <f>SUM(X$7:X174)</f>
        <v>183123</v>
      </c>
      <c r="AC174" s="126">
        <f>SUM(Y$7:Y174)</f>
        <v>90179</v>
      </c>
      <c r="AD174" s="177">
        <f>SUM(Z$7:Z174)</f>
        <v>4783930</v>
      </c>
      <c r="AE174" s="128">
        <f>INDEX(图鉴!AQ:AQ,MATCH($N174,图鉴!$S:$S,0))*34</f>
        <v>714</v>
      </c>
      <c r="AF174" s="90">
        <f>INDEX(图鉴!AR:AR,MATCH($N174,图鉴!$S:$S,0))*34</f>
        <v>510</v>
      </c>
      <c r="AG174" s="90">
        <f>INDEX(图鉴!AS:AS,MATCH($N174,图鉴!$S:$S,0))*34</f>
        <v>204</v>
      </c>
      <c r="AH174" s="129">
        <f ca="1">INDEX(图鉴!AT:AT,MATCH($N174,图鉴!$S:$S,0))*34</f>
        <v>55930</v>
      </c>
      <c r="AI174" s="128">
        <f>SUM($AE$7:AE174)</f>
        <v>118048</v>
      </c>
      <c r="AJ174" s="90">
        <f>SUM(AF$7:AF174)</f>
        <v>82212</v>
      </c>
      <c r="AK174" s="90">
        <f>SUM(AG$7:AG174)</f>
        <v>32334</v>
      </c>
      <c r="AL174" s="130">
        <f ca="1">SUM(AH$7:AH174)</f>
        <v>8566606</v>
      </c>
      <c r="AM174" s="133">
        <f>IF(M174=0,0,INDEX(关卡产出!$AU$11:$AU$15,MATCH(玩家节奏2!N174,关卡产出!$AW$11:$AW$15,1))*M174)</f>
        <v>61000</v>
      </c>
      <c r="AN174" s="126">
        <f>IF(L174=0,0,$L174*关卡产出!AU$21)</f>
        <v>16000</v>
      </c>
      <c r="AO174" s="90">
        <f>IF(M174=0,0,$L174*关卡产出!AV$21)</f>
        <v>800</v>
      </c>
      <c r="AP174" s="129">
        <f>IF(N174=0,0,$L174*关卡产出!AW$21)</f>
        <v>16</v>
      </c>
      <c r="AQ174" s="138">
        <f>SUM(AN$7:AN174)</f>
        <v>2640000</v>
      </c>
      <c r="AR174" s="126">
        <f>SUM(AO$7:AO174)</f>
        <v>132000</v>
      </c>
      <c r="AS174" s="129">
        <f>SUM(AP$7:AP174)</f>
        <v>2640</v>
      </c>
      <c r="AT174" s="128">
        <v>3000</v>
      </c>
      <c r="AU174" s="129">
        <v>600</v>
      </c>
      <c r="AV174" s="128">
        <f>SUM(AT$7:AT174)</f>
        <v>504000</v>
      </c>
      <c r="AW174" s="90">
        <f>SUM(AU$7:AU174)</f>
        <v>100800</v>
      </c>
      <c r="AY174" s="128">
        <f t="shared" si="155"/>
        <v>38500</v>
      </c>
      <c r="AZ174" s="90">
        <f t="shared" si="156"/>
        <v>132000</v>
      </c>
      <c r="BA174" s="90">
        <f t="shared" si="157"/>
        <v>100800</v>
      </c>
      <c r="BB174" s="90">
        <f t="shared" ca="1" si="185"/>
        <v>40800</v>
      </c>
      <c r="BC174" s="90">
        <f t="shared" ca="1" si="187"/>
        <v>158225</v>
      </c>
      <c r="BD174" s="90">
        <f t="shared" ca="1" si="188"/>
        <v>153875</v>
      </c>
      <c r="BE174" s="90">
        <f t="shared" ca="1" si="158"/>
        <v>312100</v>
      </c>
      <c r="BF174" s="142">
        <f t="shared" ca="1" si="192"/>
        <v>0.24332437983883709</v>
      </c>
      <c r="BG174" s="142">
        <f t="shared" ca="1" si="193"/>
        <v>0.83425501659029866</v>
      </c>
      <c r="BH174" s="142">
        <f t="shared" ca="1" si="194"/>
        <v>0.63706746721440988</v>
      </c>
      <c r="BI174" s="142">
        <f t="shared" ca="1" si="197"/>
        <v>0.25786064149154686</v>
      </c>
      <c r="BJ174" s="143"/>
      <c r="BK174" s="128">
        <f ca="1">INDEX(商城宝箱!$L:$L,MATCH(BC174,商城宝箱!$N:$N,1))</f>
        <v>13</v>
      </c>
      <c r="BL174" s="90">
        <f ca="1">_xlfn.IFNA(INDEX(商城宝箱!T:T,MATCH(玩家节奏2!$BK174,商城宝箱!$L:$L,0)),0)+($BC174-INDEX(商城宝箱!$N:$N,MATCH(玩家节奏2!$BK174,商城宝箱!$L:$L,0)))/$BK$5*INDEX(商城宝箱!E$23:E$42,MATCH(玩家节奏2!$BK174+1,商城宝箱!$C$23:$C$42,0))</f>
        <v>395562.5</v>
      </c>
      <c r="BM174" s="90">
        <f ca="1">_xlfn.IFNA(INDEX(商城宝箱!U:U,MATCH(玩家节奏2!$BK174,商城宝箱!$L:$L,0)),0)+($BC174-INDEX(商城宝箱!$N:$N,MATCH(玩家节奏2!$BK174,商城宝箱!$L:$L,0)))/$BK$5*INDEX(商城宝箱!F$23:F$42,MATCH(玩家节奏2!$BK174+1,商城宝箱!$C$23:$C$42,0))</f>
        <v>498950</v>
      </c>
      <c r="BN174" s="90">
        <f ca="1">_xlfn.IFNA(INDEX(商城宝箱!V:V,MATCH(玩家节奏2!$BK174,商城宝箱!$L:$L,0)),0)+($BC174-INDEX(商城宝箱!$N:$N,MATCH(玩家节奏2!$BK174,商城宝箱!$L:$L,0)))/$BK$5*INDEX(商城宝箱!G$23:G$42,MATCH(玩家节奏2!$BK174+1,商城宝箱!$C$23:$C$42,0))</f>
        <v>248668.25</v>
      </c>
      <c r="BO174" s="90">
        <f ca="1">_xlfn.IFNA(INDEX(商城宝箱!W:W,MATCH(玩家节奏2!$BK174,商城宝箱!$L:$L,0)),0)+($BC174-INDEX(商城宝箱!$N:$N,MATCH(玩家节奏2!$BK174,商城宝箱!$L:$L,0)))/$BK$5*INDEX(商城宝箱!H$23:H$42,MATCH(玩家节奏2!$BK174+1,商城宝箱!$C$23:$C$42,0))</f>
        <v>40881.5</v>
      </c>
      <c r="BQ174" s="128">
        <f t="shared" si="143"/>
        <v>11610000</v>
      </c>
      <c r="BR174" s="90">
        <f t="shared" si="144"/>
        <v>4783930</v>
      </c>
      <c r="BS174" s="90">
        <f t="shared" ca="1" si="195"/>
        <v>8566606</v>
      </c>
      <c r="BT174" s="90">
        <f t="shared" si="196"/>
        <v>61000</v>
      </c>
      <c r="BU174" s="90">
        <f t="shared" si="147"/>
        <v>2640000</v>
      </c>
      <c r="BV174" s="90">
        <f t="shared" si="148"/>
        <v>504000</v>
      </c>
      <c r="BW174" s="90">
        <f t="shared" ca="1" si="160"/>
        <v>395562.5</v>
      </c>
      <c r="BX174" s="90">
        <f t="shared" ca="1" si="161"/>
        <v>28561098.5</v>
      </c>
      <c r="BY174" s="142">
        <f t="shared" ca="1" si="191"/>
        <v>0.40649696999574436</v>
      </c>
      <c r="BZ174" s="142">
        <f t="shared" ca="1" si="191"/>
        <v>0.16749810936018444</v>
      </c>
      <c r="CA174" s="142">
        <f t="shared" ca="1" si="191"/>
        <v>0.29993965393172817</v>
      </c>
      <c r="CB174" s="142">
        <f t="shared" ca="1" si="190"/>
        <v>2.1357721937760904E-3</v>
      </c>
      <c r="CC174" s="142">
        <f t="shared" ca="1" si="190"/>
        <v>9.2433419533916039E-2</v>
      </c>
      <c r="CD174" s="142">
        <f t="shared" ca="1" si="190"/>
        <v>1.7646380092838514E-2</v>
      </c>
      <c r="CE174" s="142">
        <f t="shared" ca="1" si="190"/>
        <v>1.3849694891812371E-2</v>
      </c>
      <c r="CG174" s="128">
        <f t="shared" si="162"/>
        <v>200</v>
      </c>
      <c r="CH174" s="90">
        <f ca="1">INDEX(角色升级!$A:$A,MATCH(玩家节奏2!$BX174,角色升级!$J:$J,1))</f>
        <v>1047</v>
      </c>
      <c r="CI174" s="90">
        <f ca="1">INDEX(角色升级!$O:$O,MATCH(玩家节奏2!$BX174,角色升级!$J:$J,1))</f>
        <v>99294.156750000009</v>
      </c>
      <c r="CJ174" s="90">
        <f>INDEX(关卡对比!$J:$J,MATCH(玩家节奏2!N174,关卡对比!$A:$A,0))</f>
        <v>86200</v>
      </c>
      <c r="CK174" s="147">
        <f t="shared" ca="1" si="163"/>
        <v>0.8681276202086281</v>
      </c>
      <c r="CL174" s="128">
        <f ca="1">INDEX(角色升级!$P:$P,MATCH(玩家节奏2!$CH174,角色升级!$A:$A,0))</f>
        <v>40800</v>
      </c>
      <c r="CM174" s="90">
        <f ca="1">INDEX(角色升级!Q:Q,MATCH(玩家节奏2!$CH174,角色升级!$A:$A,0))</f>
        <v>2.2000000000000002</v>
      </c>
      <c r="CO174" s="128">
        <f t="shared" si="164"/>
        <v>78866</v>
      </c>
      <c r="CP174" s="90">
        <f t="shared" si="165"/>
        <v>366574</v>
      </c>
      <c r="CQ174" s="90">
        <f t="shared" si="166"/>
        <v>118048</v>
      </c>
      <c r="CR174" s="90">
        <f t="shared" ca="1" si="167"/>
        <v>498950</v>
      </c>
      <c r="CS174" s="90">
        <f t="shared" ca="1" si="168"/>
        <v>1062438</v>
      </c>
      <c r="CT174" s="142">
        <f t="shared" ca="1" si="169"/>
        <v>7.4231155135640853E-2</v>
      </c>
      <c r="CU174" s="142">
        <f t="shared" ca="1" si="169"/>
        <v>0.34503095710055554</v>
      </c>
      <c r="CV174" s="142">
        <f t="shared" ca="1" si="169"/>
        <v>0.11111048362351497</v>
      </c>
      <c r="CW174" s="142">
        <f t="shared" ca="1" si="149"/>
        <v>0.46962740414028864</v>
      </c>
      <c r="CY174" s="128">
        <f t="shared" si="170"/>
        <v>39434</v>
      </c>
      <c r="CZ174" s="90">
        <f t="shared" si="171"/>
        <v>183123</v>
      </c>
      <c r="DA174" s="90">
        <f t="shared" si="172"/>
        <v>82212</v>
      </c>
      <c r="DB174" s="90">
        <f t="shared" ca="1" si="186"/>
        <v>248668.25</v>
      </c>
      <c r="DC174" s="90">
        <f t="shared" ca="1" si="173"/>
        <v>553437.25</v>
      </c>
      <c r="DD174" s="142">
        <f t="shared" ca="1" si="174"/>
        <v>7.1252883682838483E-2</v>
      </c>
      <c r="DE174" s="142">
        <f t="shared" ca="1" si="174"/>
        <v>0.33088304048923345</v>
      </c>
      <c r="DF174" s="142">
        <f t="shared" ca="1" si="174"/>
        <v>0.14854800611993502</v>
      </c>
      <c r="DG174" s="142">
        <f t="shared" ca="1" si="150"/>
        <v>0.44931606970799309</v>
      </c>
      <c r="DI174" s="128">
        <f t="shared" si="175"/>
        <v>19113</v>
      </c>
      <c r="DJ174" s="90">
        <f t="shared" si="176"/>
        <v>90179</v>
      </c>
      <c r="DK174" s="90">
        <f t="shared" si="177"/>
        <v>32334</v>
      </c>
      <c r="DL174" s="90">
        <f t="shared" ca="1" si="178"/>
        <v>40881.5</v>
      </c>
      <c r="DM174" s="90">
        <f t="shared" ca="1" si="179"/>
        <v>182507.5</v>
      </c>
      <c r="DN174" s="142">
        <f t="shared" ca="1" si="180"/>
        <v>0.10472446337821734</v>
      </c>
      <c r="DO174" s="142">
        <f t="shared" ca="1" si="180"/>
        <v>0.49411120090955168</v>
      </c>
      <c r="DP174" s="142">
        <f t="shared" ca="1" si="180"/>
        <v>0.17716532197306961</v>
      </c>
      <c r="DQ174" s="142">
        <f t="shared" ca="1" si="151"/>
        <v>0.2239990137391614</v>
      </c>
      <c r="DS174" s="128">
        <f t="shared" ca="1" si="181"/>
        <v>1062438</v>
      </c>
      <c r="DT174" s="90">
        <f t="shared" ca="1" si="182"/>
        <v>553437.25</v>
      </c>
      <c r="DU174" s="90">
        <f t="shared" ca="1" si="183"/>
        <v>182507.5</v>
      </c>
      <c r="DV174" s="90">
        <f t="shared" si="184"/>
        <v>2640</v>
      </c>
      <c r="DW174" s="90">
        <f ca="1">_xlfn.IFNA(INDEX(武器升级消耗!$H:$H,MATCH(玩家节奏2!DS174/玩家节奏2!DS$5,武器升级消耗!M:M,1)),0)</f>
        <v>89</v>
      </c>
      <c r="DX174" s="90">
        <f ca="1">_xlfn.IFNA(INDEX(武器升级消耗!$H:$H,MATCH(玩家节奏2!DT174/玩家节奏2!DT$5,武器升级消耗!N:N,1)),0)</f>
        <v>78</v>
      </c>
      <c r="DY174" s="90">
        <f ca="1">_xlfn.IFNA(INDEX(武器升级消耗!$H:$H,MATCH(玩家节奏2!DU174/玩家节奏2!DU$5,武器升级消耗!O:O,1)),0)</f>
        <v>59</v>
      </c>
      <c r="DZ174" s="90">
        <f>_xlfn.IFNA(INDEX(武器升级消耗!$H:$H,MATCH(玩家节奏2!DV174/玩家节奏2!DV$5,武器升级消耗!P:P,1)),0)</f>
        <v>37</v>
      </c>
      <c r="EA174" s="90">
        <f ca="1">_xlfn.IFNA(INDEX(武器升级消耗!$Q:$Q,MATCH(玩家节奏2!DW174,武器升级消耗!$H:$H,0))*2*EA$4,0)</f>
        <v>11.159999999999988</v>
      </c>
      <c r="EB174" s="90">
        <f ca="1">_xlfn.IFNA(INDEX(武器升级消耗!$Q:$Q,MATCH(玩家节奏2!DX174,武器升级消耗!$H:$H,0))*2*EB$4,0)</f>
        <v>12.299999999999986</v>
      </c>
      <c r="EC174" s="90">
        <f ca="1">_xlfn.IFNA(INDEX(武器升级消耗!$Q:$Q,MATCH(玩家节奏2!DY174,武器升级消耗!$H:$H,0))*2*EC$4,0)</f>
        <v>13.860000000000001</v>
      </c>
      <c r="ED174" s="90">
        <f>_xlfn.IFNA(INDEX(武器升级消耗!$Q:$Q,MATCH(玩家节奏2!DZ174,武器升级消耗!$H:$H,0))*2*ED$4,0)</f>
        <v>12.299999999999999</v>
      </c>
    </row>
    <row r="175" spans="1:134" x14ac:dyDescent="0.25">
      <c r="A175" s="123">
        <v>169</v>
      </c>
      <c r="B175" s="123">
        <f>INDEX(关卡对比!$Y:$Y,MATCH(关卡对比!Z175,关卡对比!$AA:$AA,1))</f>
        <v>98</v>
      </c>
      <c r="C175" s="124">
        <f>INDEX(关卡对比!$Y:$Y,MATCH(关卡对比!Z175,关卡对比!$AB:$AB,1))</f>
        <v>74</v>
      </c>
      <c r="D175" s="125">
        <f t="shared" si="189"/>
        <v>651.5</v>
      </c>
      <c r="E175" s="125">
        <v>2</v>
      </c>
      <c r="F175" s="128">
        <v>16</v>
      </c>
      <c r="G175" s="90">
        <v>16</v>
      </c>
      <c r="H175" s="90">
        <v>5</v>
      </c>
      <c r="J175" s="128">
        <v>169</v>
      </c>
      <c r="K175" s="90">
        <f t="shared" si="152"/>
        <v>16</v>
      </c>
      <c r="L175" s="90">
        <f t="shared" si="153"/>
        <v>16</v>
      </c>
      <c r="M175" s="90">
        <f t="shared" si="154"/>
        <v>5</v>
      </c>
      <c r="N175" s="140">
        <f>INDEX($A:$A,MATCH(SUM($K$7:K175),$D:$D,1))</f>
        <v>200</v>
      </c>
      <c r="O175" s="140">
        <v>0</v>
      </c>
      <c r="P175" s="141">
        <v>0</v>
      </c>
      <c r="Q175" s="126">
        <f>_xlfn.MAXIFS(关卡产出!X:X,关卡产出!$A:$A,玩家节奏2!$N$6,关卡产出!$B:$B,玩家节奏2!$N175)+_xlfn.MAXIFS(关卡产出!X:X,关卡产出!$A:$A,玩家节奏2!$O$6,关卡产出!$B:$B,玩家节奏2!$O175)+_xlfn.MAXIFS(关卡产出!X:X,关卡产出!$A:$A,玩家节奏2!$P$6,关卡产出!$B:$B,玩家节奏2!$P175)</f>
        <v>38500</v>
      </c>
      <c r="R175" s="90">
        <f>_xlfn.MAXIFS(关卡产出!Y:Y,关卡产出!$A:$A,玩家节奏2!$N$6,关卡产出!$B:$B,玩家节奏2!$N175)+_xlfn.MAXIFS(关卡产出!Y:Y,关卡产出!$A:$A,玩家节奏2!$O$6,关卡产出!$B:$B,玩家节奏2!$O175)+_xlfn.MAXIFS(关卡产出!Y:Y,关卡产出!$A:$A,玩家节奏2!$P$6,关卡产出!$B:$B,玩家节奏2!$P175)</f>
        <v>11610000</v>
      </c>
      <c r="S175" s="90">
        <f>_xlfn.MAXIFS(关卡产出!Z:Z,关卡产出!$A:$A,玩家节奏2!$N$6,关卡产出!$B:$B,玩家节奏2!$N175)+_xlfn.MAXIFS(关卡产出!Z:Z,关卡产出!$A:$A,玩家节奏2!$O$6,关卡产出!$B:$B,玩家节奏2!$O175)+_xlfn.MAXIFS(关卡产出!Z:Z,关卡产出!$A:$A,玩家节奏2!$P$6,关卡产出!$B:$B,玩家节奏2!$P175)</f>
        <v>78866</v>
      </c>
      <c r="T175" s="90">
        <f>_xlfn.MAXIFS(关卡产出!AA:AA,关卡产出!$A:$A,玩家节奏2!$N$6,关卡产出!$B:$B,玩家节奏2!$N175)+_xlfn.MAXIFS(关卡产出!AA:AA,关卡产出!$A:$A,玩家节奏2!$O$6,关卡产出!$B:$B,玩家节奏2!$O175)+_xlfn.MAXIFS(关卡产出!AA:AA,关卡产出!$A:$A,玩家节奏2!$P$6,关卡产出!$B:$B,玩家节奏2!$P175)</f>
        <v>39434</v>
      </c>
      <c r="U175" s="90">
        <f>_xlfn.MAXIFS(关卡产出!AB:AB,关卡产出!$A:$A,玩家节奏2!$N$6,关卡产出!$B:$B,玩家节奏2!$N175)+_xlfn.MAXIFS(关卡产出!AB:AB,关卡产出!$A:$A,玩家节奏2!$O$6,关卡产出!$B:$B,玩家节奏2!$O175)+_xlfn.MAXIFS(关卡产出!AB:AB,关卡产出!$A:$A,玩家节奏2!$P$6,关卡产出!$B:$B,玩家节奏2!$P175)</f>
        <v>19113</v>
      </c>
      <c r="V175" s="130">
        <f>_xlfn.MAXIFS(关卡产出!AC:AC,关卡产出!$A:$A,玩家节奏2!$N$6,关卡产出!$B:$B,玩家节奏2!$N175)+_xlfn.MAXIFS(关卡产出!AC:AC,关卡产出!$A:$A,玩家节奏2!$O$6,关卡产出!$B:$B,玩家节奏2!$O175)+_xlfn.MAXIFS(关卡产出!AC:AC,关卡产出!$A:$A,玩家节奏2!$P$6,关卡产出!$B:$B,玩家节奏2!$P175)</f>
        <v>1200</v>
      </c>
      <c r="W175" s="126">
        <f>INDEX(关卡产出!C$8:C$207,MATCH(玩家节奏2!$N175,关卡产出!$B$8:$B$207,0))*$K175</f>
        <v>2528</v>
      </c>
      <c r="X175" s="126">
        <f>INDEX(关卡产出!D$8:D$207,MATCH(玩家节奏2!$N175,关卡产出!$B$8:$B$207,0))*$K175</f>
        <v>1264</v>
      </c>
      <c r="Y175" s="126">
        <f>INDEX(关卡产出!E$8:E$207,MATCH(玩家节奏2!$N175,关卡产出!$B$8:$B$207,0))*$K175</f>
        <v>624</v>
      </c>
      <c r="Z175" s="144">
        <f>INDEX(关卡产出!F$8:F$207,MATCH(玩家节奏2!$N175,关卡产出!$B$8:$B$207,0))*$K175</f>
        <v>32800</v>
      </c>
      <c r="AA175" s="126">
        <f>SUM(W$7:W175)</f>
        <v>369102</v>
      </c>
      <c r="AB175" s="126">
        <f>SUM(X$7:X175)</f>
        <v>184387</v>
      </c>
      <c r="AC175" s="126">
        <f>SUM(Y$7:Y175)</f>
        <v>90803</v>
      </c>
      <c r="AD175" s="177">
        <f>SUM(Z$7:Z175)</f>
        <v>4816730</v>
      </c>
      <c r="AE175" s="128">
        <f>INDEX(图鉴!AQ:AQ,MATCH($N175,图鉴!$S:$S,0))*34</f>
        <v>714</v>
      </c>
      <c r="AF175" s="90">
        <f>INDEX(图鉴!AR:AR,MATCH($N175,图鉴!$S:$S,0))*34</f>
        <v>510</v>
      </c>
      <c r="AG175" s="90">
        <f>INDEX(图鉴!AS:AS,MATCH($N175,图鉴!$S:$S,0))*34</f>
        <v>204</v>
      </c>
      <c r="AH175" s="129">
        <f ca="1">INDEX(图鉴!AT:AT,MATCH($N175,图鉴!$S:$S,0))*34</f>
        <v>55930</v>
      </c>
      <c r="AI175" s="128">
        <f>SUM($AE$7:AE175)</f>
        <v>118762</v>
      </c>
      <c r="AJ175" s="90">
        <f>SUM(AF$7:AF175)</f>
        <v>82722</v>
      </c>
      <c r="AK175" s="90">
        <f>SUM(AG$7:AG175)</f>
        <v>32538</v>
      </c>
      <c r="AL175" s="130">
        <f ca="1">SUM(AH$7:AH175)</f>
        <v>8622536</v>
      </c>
      <c r="AM175" s="133">
        <f>IF(M175=0,0,INDEX(关卡产出!$AU$11:$AU$15,MATCH(玩家节奏2!N175,关卡产出!$AW$11:$AW$15,1))*M175)</f>
        <v>61000</v>
      </c>
      <c r="AN175" s="126">
        <f>IF(L175=0,0,$L175*关卡产出!AU$21)</f>
        <v>16000</v>
      </c>
      <c r="AO175" s="90">
        <f>IF(M175=0,0,$L175*关卡产出!AV$21)</f>
        <v>800</v>
      </c>
      <c r="AP175" s="129">
        <f>IF(N175=0,0,$L175*关卡产出!AW$21)</f>
        <v>16</v>
      </c>
      <c r="AQ175" s="138">
        <f>SUM(AN$7:AN175)</f>
        <v>2656000</v>
      </c>
      <c r="AR175" s="126">
        <f>SUM(AO$7:AO175)</f>
        <v>132800</v>
      </c>
      <c r="AS175" s="129">
        <f>SUM(AP$7:AP175)</f>
        <v>2656</v>
      </c>
      <c r="AT175" s="128">
        <v>3000</v>
      </c>
      <c r="AU175" s="129">
        <v>600</v>
      </c>
      <c r="AV175" s="128">
        <f>SUM(AT$7:AT175)</f>
        <v>507000</v>
      </c>
      <c r="AW175" s="90">
        <f>SUM(AU$7:AU175)</f>
        <v>101400</v>
      </c>
      <c r="AY175" s="128">
        <f t="shared" si="155"/>
        <v>38500</v>
      </c>
      <c r="AZ175" s="90">
        <f t="shared" si="156"/>
        <v>132800</v>
      </c>
      <c r="BA175" s="90">
        <f t="shared" si="157"/>
        <v>101400</v>
      </c>
      <c r="BB175" s="90">
        <f t="shared" ca="1" si="185"/>
        <v>40800</v>
      </c>
      <c r="BC175" s="90">
        <f t="shared" ca="1" si="187"/>
        <v>158925</v>
      </c>
      <c r="BD175" s="90">
        <f t="shared" ca="1" si="188"/>
        <v>154575</v>
      </c>
      <c r="BE175" s="90">
        <f t="shared" ca="1" si="158"/>
        <v>313500</v>
      </c>
      <c r="BF175" s="142">
        <f t="shared" ca="1" si="192"/>
        <v>0.2422526348906717</v>
      </c>
      <c r="BG175" s="142">
        <f t="shared" ca="1" si="193"/>
        <v>0.83561428346704425</v>
      </c>
      <c r="BH175" s="142">
        <f t="shared" ca="1" si="194"/>
        <v>0.6380368098159509</v>
      </c>
      <c r="BI175" s="142">
        <f t="shared" ca="1" si="197"/>
        <v>0.25672487022180274</v>
      </c>
      <c r="BJ175" s="143"/>
      <c r="BK175" s="128">
        <f ca="1">INDEX(商城宝箱!$L:$L,MATCH(BC175,商城宝箱!$N:$N,1))</f>
        <v>13</v>
      </c>
      <c r="BL175" s="90">
        <f ca="1">_xlfn.IFNA(INDEX(商城宝箱!T:T,MATCH(玩家节奏2!$BK175,商城宝箱!$L:$L,0)),0)+($BC175-INDEX(商城宝箱!$N:$N,MATCH(玩家节奏2!$BK175,商城宝箱!$L:$L,0)))/$BK$5*INDEX(商城宝箱!E$23:E$42,MATCH(玩家节奏2!$BK175+1,商城宝箱!$C$23:$C$42,0))</f>
        <v>397312.5</v>
      </c>
      <c r="BM175" s="90">
        <f ca="1">_xlfn.IFNA(INDEX(商城宝箱!U:U,MATCH(玩家节奏2!$BK175,商城宝箱!$L:$L,0)),0)+($BC175-INDEX(商城宝箱!$N:$N,MATCH(玩家节奏2!$BK175,商城宝箱!$L:$L,0)))/$BK$5*INDEX(商城宝箱!F$23:F$42,MATCH(玩家节奏2!$BK175+1,商城宝箱!$C$23:$C$42,0))</f>
        <v>502240</v>
      </c>
      <c r="BN175" s="90">
        <f ca="1">_xlfn.IFNA(INDEX(商城宝箱!V:V,MATCH(玩家节奏2!$BK175,商城宝箱!$L:$L,0)),0)+($BC175-INDEX(商城宝箱!$N:$N,MATCH(玩家节奏2!$BK175,商城宝箱!$L:$L,0)))/$BK$5*INDEX(商城宝箱!G$23:G$42,MATCH(玩家节奏2!$BK175+1,商城宝箱!$C$23:$C$42,0))</f>
        <v>250243.25</v>
      </c>
      <c r="BO175" s="90">
        <f ca="1">_xlfn.IFNA(INDEX(商城宝箱!W:W,MATCH(玩家节奏2!$BK175,商城宝箱!$L:$L,0)),0)+($BC175-INDEX(商城宝箱!$N:$N,MATCH(玩家节奏2!$BK175,商城宝箱!$L:$L,0)))/$BK$5*INDEX(商城宝箱!H$23:H$42,MATCH(玩家节奏2!$BK175+1,商城宝箱!$C$23:$C$42,0))</f>
        <v>41161.5</v>
      </c>
      <c r="BQ175" s="128">
        <f t="shared" si="143"/>
        <v>11610000</v>
      </c>
      <c r="BR175" s="90">
        <f t="shared" si="144"/>
        <v>4816730</v>
      </c>
      <c r="BS175" s="90">
        <f t="shared" ca="1" si="195"/>
        <v>8622536</v>
      </c>
      <c r="BT175" s="90">
        <f t="shared" si="196"/>
        <v>61000</v>
      </c>
      <c r="BU175" s="90">
        <f t="shared" si="147"/>
        <v>2656000</v>
      </c>
      <c r="BV175" s="90">
        <f t="shared" si="148"/>
        <v>507000</v>
      </c>
      <c r="BW175" s="90">
        <f t="shared" ca="1" si="160"/>
        <v>397312.5</v>
      </c>
      <c r="BX175" s="90">
        <f t="shared" ca="1" si="161"/>
        <v>28670578.5</v>
      </c>
      <c r="BY175" s="142">
        <f t="shared" ca="1" si="191"/>
        <v>0.40494474152309134</v>
      </c>
      <c r="BZ175" s="142">
        <f t="shared" ca="1" si="191"/>
        <v>0.16800253960693537</v>
      </c>
      <c r="CA175" s="142">
        <f t="shared" ca="1" si="191"/>
        <v>0.30074510006835053</v>
      </c>
      <c r="CB175" s="142">
        <f t="shared" ca="1" si="190"/>
        <v>2.1276166436613756E-3</v>
      </c>
      <c r="CC175" s="142">
        <f t="shared" ca="1" si="190"/>
        <v>9.2638521402698584E-2</v>
      </c>
      <c r="CD175" s="142">
        <f t="shared" ca="1" si="190"/>
        <v>1.7683633415349467E-2</v>
      </c>
      <c r="CE175" s="142">
        <f t="shared" ca="1" si="190"/>
        <v>1.3857847339913285E-2</v>
      </c>
      <c r="CG175" s="128">
        <f t="shared" si="162"/>
        <v>200</v>
      </c>
      <c r="CH175" s="90">
        <f ca="1">INDEX(角色升级!$A:$A,MATCH(玩家节奏2!$BX175,角色升级!$J:$J,1))</f>
        <v>1047</v>
      </c>
      <c r="CI175" s="90">
        <f ca="1">INDEX(角色升级!$O:$O,MATCH(玩家节奏2!$BX175,角色升级!$J:$J,1))</f>
        <v>99294.156750000009</v>
      </c>
      <c r="CJ175" s="90">
        <f>INDEX(关卡对比!$J:$J,MATCH(玩家节奏2!N175,关卡对比!$A:$A,0))</f>
        <v>86200</v>
      </c>
      <c r="CK175" s="147">
        <f t="shared" ca="1" si="163"/>
        <v>0.8681276202086281</v>
      </c>
      <c r="CL175" s="128">
        <f ca="1">INDEX(角色升级!$P:$P,MATCH(玩家节奏2!$CH175,角色升级!$A:$A,0))</f>
        <v>40800</v>
      </c>
      <c r="CM175" s="90">
        <f ca="1">INDEX(角色升级!Q:Q,MATCH(玩家节奏2!$CH175,角色升级!$A:$A,0))</f>
        <v>2.2000000000000002</v>
      </c>
      <c r="CO175" s="128">
        <f t="shared" si="164"/>
        <v>78866</v>
      </c>
      <c r="CP175" s="90">
        <f t="shared" si="165"/>
        <v>369102</v>
      </c>
      <c r="CQ175" s="90">
        <f t="shared" si="166"/>
        <v>118762</v>
      </c>
      <c r="CR175" s="90">
        <f t="shared" ca="1" si="167"/>
        <v>502240</v>
      </c>
      <c r="CS175" s="90">
        <f t="shared" ca="1" si="168"/>
        <v>1068970</v>
      </c>
      <c r="CT175" s="142">
        <f t="shared" ca="1" si="169"/>
        <v>7.3777561577967582E-2</v>
      </c>
      <c r="CU175" s="142">
        <f t="shared" ca="1" si="169"/>
        <v>0.34528751976201388</v>
      </c>
      <c r="CV175" s="142">
        <f t="shared" ca="1" si="169"/>
        <v>0.1110994695828695</v>
      </c>
      <c r="CW175" s="142">
        <f t="shared" ca="1" si="149"/>
        <v>0.46983544907714903</v>
      </c>
      <c r="CY175" s="128">
        <f t="shared" si="170"/>
        <v>39434</v>
      </c>
      <c r="CZ175" s="90">
        <f t="shared" si="171"/>
        <v>184387</v>
      </c>
      <c r="DA175" s="90">
        <f t="shared" si="172"/>
        <v>82722</v>
      </c>
      <c r="DB175" s="90">
        <f t="shared" ca="1" si="186"/>
        <v>250243.25</v>
      </c>
      <c r="DC175" s="90">
        <f t="shared" ca="1" si="173"/>
        <v>556786.25</v>
      </c>
      <c r="DD175" s="142">
        <f t="shared" ca="1" si="174"/>
        <v>7.0824306455125288E-2</v>
      </c>
      <c r="DE175" s="142">
        <f t="shared" ca="1" si="174"/>
        <v>0.33116299118378012</v>
      </c>
      <c r="DF175" s="142">
        <f t="shared" ca="1" si="174"/>
        <v>0.14857047924585062</v>
      </c>
      <c r="DG175" s="142">
        <f t="shared" ca="1" si="150"/>
        <v>0.44944222311524396</v>
      </c>
      <c r="DI175" s="128">
        <f t="shared" si="175"/>
        <v>19113</v>
      </c>
      <c r="DJ175" s="90">
        <f t="shared" si="176"/>
        <v>90803</v>
      </c>
      <c r="DK175" s="90">
        <f t="shared" si="177"/>
        <v>32538</v>
      </c>
      <c r="DL175" s="90">
        <f t="shared" ca="1" si="178"/>
        <v>41161.5</v>
      </c>
      <c r="DM175" s="90">
        <f t="shared" ca="1" si="179"/>
        <v>183615.5</v>
      </c>
      <c r="DN175" s="142">
        <f t="shared" ca="1" si="180"/>
        <v>0.10409251942237992</v>
      </c>
      <c r="DO175" s="142">
        <f t="shared" ca="1" si="180"/>
        <v>0.49452796741015875</v>
      </c>
      <c r="DP175" s="142">
        <f t="shared" ca="1" si="180"/>
        <v>0.17720726191416303</v>
      </c>
      <c r="DQ175" s="142">
        <f t="shared" ca="1" si="151"/>
        <v>0.22417225125329834</v>
      </c>
      <c r="DS175" s="128">
        <f t="shared" ca="1" si="181"/>
        <v>1068970</v>
      </c>
      <c r="DT175" s="90">
        <f t="shared" ca="1" si="182"/>
        <v>556786.25</v>
      </c>
      <c r="DU175" s="90">
        <f t="shared" ca="1" si="183"/>
        <v>183615.5</v>
      </c>
      <c r="DV175" s="90">
        <f t="shared" si="184"/>
        <v>2656</v>
      </c>
      <c r="DW175" s="90">
        <f ca="1">_xlfn.IFNA(INDEX(武器升级消耗!$H:$H,MATCH(玩家节奏2!DS175/玩家节奏2!DS$5,武器升级消耗!M:M,1)),0)</f>
        <v>89</v>
      </c>
      <c r="DX175" s="90">
        <f ca="1">_xlfn.IFNA(INDEX(武器升级消耗!$H:$H,MATCH(玩家节奏2!DT175/玩家节奏2!DT$5,武器升级消耗!N:N,1)),0)</f>
        <v>78</v>
      </c>
      <c r="DY175" s="90">
        <f ca="1">_xlfn.IFNA(INDEX(武器升级消耗!$H:$H,MATCH(玩家节奏2!DU175/玩家节奏2!DU$5,武器升级消耗!O:O,1)),0)</f>
        <v>59</v>
      </c>
      <c r="DZ175" s="90">
        <f>_xlfn.IFNA(INDEX(武器升级消耗!$H:$H,MATCH(玩家节奏2!DV175/玩家节奏2!DV$5,武器升级消耗!P:P,1)),0)</f>
        <v>37</v>
      </c>
      <c r="EA175" s="90">
        <f ca="1">_xlfn.IFNA(INDEX(武器升级消耗!$Q:$Q,MATCH(玩家节奏2!DW175,武器升级消耗!$H:$H,0))*2*EA$4,0)</f>
        <v>11.159999999999988</v>
      </c>
      <c r="EB175" s="90">
        <f ca="1">_xlfn.IFNA(INDEX(武器升级消耗!$Q:$Q,MATCH(玩家节奏2!DX175,武器升级消耗!$H:$H,0))*2*EB$4,0)</f>
        <v>12.299999999999986</v>
      </c>
      <c r="EC175" s="90">
        <f ca="1">_xlfn.IFNA(INDEX(武器升级消耗!$Q:$Q,MATCH(玩家节奏2!DY175,武器升级消耗!$H:$H,0))*2*EC$4,0)</f>
        <v>13.860000000000001</v>
      </c>
      <c r="ED175" s="90">
        <f>_xlfn.IFNA(INDEX(武器升级消耗!$Q:$Q,MATCH(玩家节奏2!DZ175,武器升级消耗!$H:$H,0))*2*ED$4,0)</f>
        <v>12.299999999999999</v>
      </c>
    </row>
    <row r="176" spans="1:134" x14ac:dyDescent="0.25">
      <c r="A176" s="123">
        <v>170</v>
      </c>
      <c r="B176" s="123">
        <f>INDEX(关卡对比!$Y:$Y,MATCH(关卡对比!Z176,关卡对比!$AA:$AA,1))</f>
        <v>98</v>
      </c>
      <c r="C176" s="124">
        <f>INDEX(关卡对比!$Y:$Y,MATCH(关卡对比!Z176,关卡对比!$AB:$AB,1))</f>
        <v>75</v>
      </c>
      <c r="D176" s="125">
        <f t="shared" si="189"/>
        <v>655.5</v>
      </c>
      <c r="E176" s="125">
        <v>2</v>
      </c>
      <c r="F176" s="128">
        <v>16</v>
      </c>
      <c r="G176" s="90">
        <v>16</v>
      </c>
      <c r="H176" s="90">
        <v>5</v>
      </c>
      <c r="J176" s="128">
        <v>170</v>
      </c>
      <c r="K176" s="90">
        <f t="shared" si="152"/>
        <v>16</v>
      </c>
      <c r="L176" s="90">
        <f t="shared" si="153"/>
        <v>16</v>
      </c>
      <c r="M176" s="90">
        <f t="shared" si="154"/>
        <v>5</v>
      </c>
      <c r="N176" s="140">
        <f>INDEX($A:$A,MATCH(SUM($K$7:K176),$D:$D,1))</f>
        <v>200</v>
      </c>
      <c r="O176" s="140">
        <v>0</v>
      </c>
      <c r="P176" s="141">
        <v>0</v>
      </c>
      <c r="Q176" s="126">
        <f>_xlfn.MAXIFS(关卡产出!X:X,关卡产出!$A:$A,玩家节奏2!$N$6,关卡产出!$B:$B,玩家节奏2!$N176)+_xlfn.MAXIFS(关卡产出!X:X,关卡产出!$A:$A,玩家节奏2!$O$6,关卡产出!$B:$B,玩家节奏2!$O176)+_xlfn.MAXIFS(关卡产出!X:X,关卡产出!$A:$A,玩家节奏2!$P$6,关卡产出!$B:$B,玩家节奏2!$P176)</f>
        <v>38500</v>
      </c>
      <c r="R176" s="90">
        <f>_xlfn.MAXIFS(关卡产出!Y:Y,关卡产出!$A:$A,玩家节奏2!$N$6,关卡产出!$B:$B,玩家节奏2!$N176)+_xlfn.MAXIFS(关卡产出!Y:Y,关卡产出!$A:$A,玩家节奏2!$O$6,关卡产出!$B:$B,玩家节奏2!$O176)+_xlfn.MAXIFS(关卡产出!Y:Y,关卡产出!$A:$A,玩家节奏2!$P$6,关卡产出!$B:$B,玩家节奏2!$P176)</f>
        <v>11610000</v>
      </c>
      <c r="S176" s="90">
        <f>_xlfn.MAXIFS(关卡产出!Z:Z,关卡产出!$A:$A,玩家节奏2!$N$6,关卡产出!$B:$B,玩家节奏2!$N176)+_xlfn.MAXIFS(关卡产出!Z:Z,关卡产出!$A:$A,玩家节奏2!$O$6,关卡产出!$B:$B,玩家节奏2!$O176)+_xlfn.MAXIFS(关卡产出!Z:Z,关卡产出!$A:$A,玩家节奏2!$P$6,关卡产出!$B:$B,玩家节奏2!$P176)</f>
        <v>78866</v>
      </c>
      <c r="T176" s="90">
        <f>_xlfn.MAXIFS(关卡产出!AA:AA,关卡产出!$A:$A,玩家节奏2!$N$6,关卡产出!$B:$B,玩家节奏2!$N176)+_xlfn.MAXIFS(关卡产出!AA:AA,关卡产出!$A:$A,玩家节奏2!$O$6,关卡产出!$B:$B,玩家节奏2!$O176)+_xlfn.MAXIFS(关卡产出!AA:AA,关卡产出!$A:$A,玩家节奏2!$P$6,关卡产出!$B:$B,玩家节奏2!$P176)</f>
        <v>39434</v>
      </c>
      <c r="U176" s="90">
        <f>_xlfn.MAXIFS(关卡产出!AB:AB,关卡产出!$A:$A,玩家节奏2!$N$6,关卡产出!$B:$B,玩家节奏2!$N176)+_xlfn.MAXIFS(关卡产出!AB:AB,关卡产出!$A:$A,玩家节奏2!$O$6,关卡产出!$B:$B,玩家节奏2!$O176)+_xlfn.MAXIFS(关卡产出!AB:AB,关卡产出!$A:$A,玩家节奏2!$P$6,关卡产出!$B:$B,玩家节奏2!$P176)</f>
        <v>19113</v>
      </c>
      <c r="V176" s="130">
        <f>_xlfn.MAXIFS(关卡产出!AC:AC,关卡产出!$A:$A,玩家节奏2!$N$6,关卡产出!$B:$B,玩家节奏2!$N176)+_xlfn.MAXIFS(关卡产出!AC:AC,关卡产出!$A:$A,玩家节奏2!$O$6,关卡产出!$B:$B,玩家节奏2!$O176)+_xlfn.MAXIFS(关卡产出!AC:AC,关卡产出!$A:$A,玩家节奏2!$P$6,关卡产出!$B:$B,玩家节奏2!$P176)</f>
        <v>1200</v>
      </c>
      <c r="W176" s="126">
        <f>INDEX(关卡产出!C$8:C$207,MATCH(玩家节奏2!$N176,关卡产出!$B$8:$B$207,0))*$K176</f>
        <v>2528</v>
      </c>
      <c r="X176" s="126">
        <f>INDEX(关卡产出!D$8:D$207,MATCH(玩家节奏2!$N176,关卡产出!$B$8:$B$207,0))*$K176</f>
        <v>1264</v>
      </c>
      <c r="Y176" s="126">
        <f>INDEX(关卡产出!E$8:E$207,MATCH(玩家节奏2!$N176,关卡产出!$B$8:$B$207,0))*$K176</f>
        <v>624</v>
      </c>
      <c r="Z176" s="144">
        <f>INDEX(关卡产出!F$8:F$207,MATCH(玩家节奏2!$N176,关卡产出!$B$8:$B$207,0))*$K176</f>
        <v>32800</v>
      </c>
      <c r="AA176" s="126">
        <f>SUM(W$7:W176)</f>
        <v>371630</v>
      </c>
      <c r="AB176" s="126">
        <f>SUM(X$7:X176)</f>
        <v>185651</v>
      </c>
      <c r="AC176" s="126">
        <f>SUM(Y$7:Y176)</f>
        <v>91427</v>
      </c>
      <c r="AD176" s="177">
        <f>SUM(Z$7:Z176)</f>
        <v>4849530</v>
      </c>
      <c r="AE176" s="128">
        <f>INDEX(图鉴!AQ:AQ,MATCH($N176,图鉴!$S:$S,0))*34</f>
        <v>714</v>
      </c>
      <c r="AF176" s="90">
        <f>INDEX(图鉴!AR:AR,MATCH($N176,图鉴!$S:$S,0))*34</f>
        <v>510</v>
      </c>
      <c r="AG176" s="90">
        <f>INDEX(图鉴!AS:AS,MATCH($N176,图鉴!$S:$S,0))*34</f>
        <v>204</v>
      </c>
      <c r="AH176" s="129">
        <f ca="1">INDEX(图鉴!AT:AT,MATCH($N176,图鉴!$S:$S,0))*34</f>
        <v>55930</v>
      </c>
      <c r="AI176" s="128">
        <f>SUM($AE$7:AE176)</f>
        <v>119476</v>
      </c>
      <c r="AJ176" s="90">
        <f>SUM(AF$7:AF176)</f>
        <v>83232</v>
      </c>
      <c r="AK176" s="90">
        <f>SUM(AG$7:AG176)</f>
        <v>32742</v>
      </c>
      <c r="AL176" s="130">
        <f ca="1">SUM(AH$7:AH176)</f>
        <v>8678466</v>
      </c>
      <c r="AM176" s="133">
        <f>IF(M176=0,0,INDEX(关卡产出!$AU$11:$AU$15,MATCH(玩家节奏2!N176,关卡产出!$AW$11:$AW$15,1))*M176)</f>
        <v>61000</v>
      </c>
      <c r="AN176" s="126">
        <f>IF(L176=0,0,$L176*关卡产出!AU$21)</f>
        <v>16000</v>
      </c>
      <c r="AO176" s="90">
        <f>IF(M176=0,0,$L176*关卡产出!AV$21)</f>
        <v>800</v>
      </c>
      <c r="AP176" s="129">
        <f>IF(N176=0,0,$L176*关卡产出!AW$21)</f>
        <v>16</v>
      </c>
      <c r="AQ176" s="138">
        <f>SUM(AN$7:AN176)</f>
        <v>2672000</v>
      </c>
      <c r="AR176" s="126">
        <f>SUM(AO$7:AO176)</f>
        <v>133600</v>
      </c>
      <c r="AS176" s="129">
        <f>SUM(AP$7:AP176)</f>
        <v>2672</v>
      </c>
      <c r="AT176" s="128">
        <v>3000</v>
      </c>
      <c r="AU176" s="129">
        <v>600</v>
      </c>
      <c r="AV176" s="128">
        <f>SUM(AT$7:AT176)</f>
        <v>510000</v>
      </c>
      <c r="AW176" s="90">
        <f>SUM(AU$7:AU176)</f>
        <v>102000</v>
      </c>
      <c r="AY176" s="128">
        <f t="shared" si="155"/>
        <v>38500</v>
      </c>
      <c r="AZ176" s="90">
        <f t="shared" si="156"/>
        <v>133600</v>
      </c>
      <c r="BA176" s="90">
        <f t="shared" si="157"/>
        <v>102000</v>
      </c>
      <c r="BB176" s="90">
        <f t="shared" ca="1" si="185"/>
        <v>40800</v>
      </c>
      <c r="BC176" s="90">
        <f t="shared" ca="1" si="187"/>
        <v>159625</v>
      </c>
      <c r="BD176" s="90">
        <f t="shared" ca="1" si="188"/>
        <v>155275</v>
      </c>
      <c r="BE176" s="90">
        <f t="shared" ca="1" si="158"/>
        <v>314900</v>
      </c>
      <c r="BF176" s="142">
        <f t="shared" ca="1" si="192"/>
        <v>0.24119028974158183</v>
      </c>
      <c r="BG176" s="142">
        <f t="shared" ca="1" si="193"/>
        <v>0.8369616288175411</v>
      </c>
      <c r="BH176" s="142">
        <f t="shared" ca="1" si="194"/>
        <v>0.63899765074393111</v>
      </c>
      <c r="BI176" s="142">
        <f t="shared" ca="1" si="197"/>
        <v>0.25559906029757246</v>
      </c>
      <c r="BJ176" s="143"/>
      <c r="BK176" s="128">
        <f ca="1">INDEX(商城宝箱!$L:$L,MATCH(BC176,商城宝箱!$N:$N,1))</f>
        <v>13</v>
      </c>
      <c r="BL176" s="90">
        <f ca="1">_xlfn.IFNA(INDEX(商城宝箱!T:T,MATCH(玩家节奏2!$BK176,商城宝箱!$L:$L,0)),0)+($BC176-INDEX(商城宝箱!$N:$N,MATCH(玩家节奏2!$BK176,商城宝箱!$L:$L,0)))/$BK$5*INDEX(商城宝箱!E$23:E$42,MATCH(玩家节奏2!$BK176+1,商城宝箱!$C$23:$C$42,0))</f>
        <v>399062.5</v>
      </c>
      <c r="BM176" s="90">
        <f ca="1">_xlfn.IFNA(INDEX(商城宝箱!U:U,MATCH(玩家节奏2!$BK176,商城宝箱!$L:$L,0)),0)+($BC176-INDEX(商城宝箱!$N:$N,MATCH(玩家节奏2!$BK176,商城宝箱!$L:$L,0)))/$BK$5*INDEX(商城宝箱!F$23:F$42,MATCH(玩家节奏2!$BK176+1,商城宝箱!$C$23:$C$42,0))</f>
        <v>505530</v>
      </c>
      <c r="BN176" s="90">
        <f ca="1">_xlfn.IFNA(INDEX(商城宝箱!V:V,MATCH(玩家节奏2!$BK176,商城宝箱!$L:$L,0)),0)+($BC176-INDEX(商城宝箱!$N:$N,MATCH(玩家节奏2!$BK176,商城宝箱!$L:$L,0)))/$BK$5*INDEX(商城宝箱!G$23:G$42,MATCH(玩家节奏2!$BK176+1,商城宝箱!$C$23:$C$42,0))</f>
        <v>251818.25</v>
      </c>
      <c r="BO176" s="90">
        <f ca="1">_xlfn.IFNA(INDEX(商城宝箱!W:W,MATCH(玩家节奏2!$BK176,商城宝箱!$L:$L,0)),0)+($BC176-INDEX(商城宝箱!$N:$N,MATCH(玩家节奏2!$BK176,商城宝箱!$L:$L,0)))/$BK$5*INDEX(商城宝箱!H$23:H$42,MATCH(玩家节奏2!$BK176+1,商城宝箱!$C$23:$C$42,0))</f>
        <v>41441.5</v>
      </c>
      <c r="BQ176" s="128">
        <f t="shared" si="143"/>
        <v>11610000</v>
      </c>
      <c r="BR176" s="90">
        <f t="shared" si="144"/>
        <v>4849530</v>
      </c>
      <c r="BS176" s="90">
        <f t="shared" ca="1" si="195"/>
        <v>8678466</v>
      </c>
      <c r="BT176" s="90">
        <f t="shared" si="196"/>
        <v>61000</v>
      </c>
      <c r="BU176" s="90">
        <f t="shared" si="147"/>
        <v>2672000</v>
      </c>
      <c r="BV176" s="90">
        <f t="shared" si="148"/>
        <v>510000</v>
      </c>
      <c r="BW176" s="90">
        <f t="shared" ca="1" si="160"/>
        <v>399062.5</v>
      </c>
      <c r="BX176" s="90">
        <f t="shared" ca="1" si="161"/>
        <v>28780058.5</v>
      </c>
      <c r="BY176" s="142">
        <f t="shared" ca="1" si="191"/>
        <v>0.403404322475578</v>
      </c>
      <c r="BZ176" s="142">
        <f t="shared" ca="1" si="191"/>
        <v>0.16850313212532211</v>
      </c>
      <c r="CA176" s="142">
        <f t="shared" ca="1" si="191"/>
        <v>0.3015444183339655</v>
      </c>
      <c r="CB176" s="142">
        <f t="shared" ca="1" si="190"/>
        <v>2.1195231413445527E-3</v>
      </c>
      <c r="CC176" s="142">
        <f t="shared" ca="1" si="190"/>
        <v>9.2842062847092552E-2</v>
      </c>
      <c r="CD176" s="142">
        <f t="shared" ca="1" si="190"/>
        <v>1.7720603312880688E-2</v>
      </c>
      <c r="CE176" s="142">
        <f t="shared" ca="1" si="190"/>
        <v>1.3865937763816567E-2</v>
      </c>
      <c r="CG176" s="128">
        <f t="shared" si="162"/>
        <v>200</v>
      </c>
      <c r="CH176" s="90">
        <f ca="1">INDEX(角色升级!$A:$A,MATCH(玩家节奏2!$BX176,角色升级!$J:$J,1))</f>
        <v>1047</v>
      </c>
      <c r="CI176" s="90">
        <f ca="1">INDEX(角色升级!$O:$O,MATCH(玩家节奏2!$BX176,角色升级!$J:$J,1))</f>
        <v>99294.156750000009</v>
      </c>
      <c r="CJ176" s="90">
        <f>INDEX(关卡对比!$J:$J,MATCH(玩家节奏2!N176,关卡对比!$A:$A,0))</f>
        <v>86200</v>
      </c>
      <c r="CK176" s="147">
        <f t="shared" ca="1" si="163"/>
        <v>0.8681276202086281</v>
      </c>
      <c r="CL176" s="128">
        <f ca="1">INDEX(角色升级!$P:$P,MATCH(玩家节奏2!$CH176,角色升级!$A:$A,0))</f>
        <v>40800</v>
      </c>
      <c r="CM176" s="90">
        <f ca="1">INDEX(角色升级!Q:Q,MATCH(玩家节奏2!$CH176,角色升级!$A:$A,0))</f>
        <v>2.2000000000000002</v>
      </c>
      <c r="CO176" s="128">
        <f t="shared" si="164"/>
        <v>78866</v>
      </c>
      <c r="CP176" s="90">
        <f t="shared" si="165"/>
        <v>371630</v>
      </c>
      <c r="CQ176" s="90">
        <f t="shared" si="166"/>
        <v>119476</v>
      </c>
      <c r="CR176" s="90">
        <f t="shared" ca="1" si="167"/>
        <v>505530</v>
      </c>
      <c r="CS176" s="90">
        <f t="shared" ca="1" si="168"/>
        <v>1075502</v>
      </c>
      <c r="CT176" s="142">
        <f t="shared" ca="1" si="169"/>
        <v>7.3329477769450924E-2</v>
      </c>
      <c r="CU176" s="142">
        <f t="shared" ca="1" si="169"/>
        <v>0.34554096598611628</v>
      </c>
      <c r="CV176" s="142">
        <f t="shared" ca="1" si="169"/>
        <v>0.11108858932851821</v>
      </c>
      <c r="CW176" s="142">
        <f t="shared" ca="1" si="149"/>
        <v>0.47004096691591463</v>
      </c>
      <c r="CY176" s="128">
        <f t="shared" si="170"/>
        <v>39434</v>
      </c>
      <c r="CZ176" s="90">
        <f t="shared" si="171"/>
        <v>185651</v>
      </c>
      <c r="DA176" s="90">
        <f t="shared" si="172"/>
        <v>83232</v>
      </c>
      <c r="DB176" s="90">
        <f t="shared" ca="1" si="186"/>
        <v>251818.25</v>
      </c>
      <c r="DC176" s="90">
        <f t="shared" ca="1" si="173"/>
        <v>560135.25</v>
      </c>
      <c r="DD176" s="142">
        <f t="shared" ca="1" si="174"/>
        <v>7.0400854079438843E-2</v>
      </c>
      <c r="DE176" s="142">
        <f t="shared" ca="1" si="174"/>
        <v>0.33143959427656089</v>
      </c>
      <c r="DF176" s="142">
        <f t="shared" ca="1" si="174"/>
        <v>0.1485926836420311</v>
      </c>
      <c r="DG176" s="142">
        <f t="shared" ca="1" si="150"/>
        <v>0.44956686800196916</v>
      </c>
      <c r="DI176" s="128">
        <f t="shared" si="175"/>
        <v>19113</v>
      </c>
      <c r="DJ176" s="90">
        <f t="shared" si="176"/>
        <v>91427</v>
      </c>
      <c r="DK176" s="90">
        <f t="shared" si="177"/>
        <v>32742</v>
      </c>
      <c r="DL176" s="90">
        <f t="shared" ca="1" si="178"/>
        <v>41441.5</v>
      </c>
      <c r="DM176" s="90">
        <f t="shared" ca="1" si="179"/>
        <v>184723.5</v>
      </c>
      <c r="DN176" s="142">
        <f t="shared" ca="1" si="180"/>
        <v>0.1034681564608726</v>
      </c>
      <c r="DO176" s="142">
        <f t="shared" ca="1" si="180"/>
        <v>0.49493973425146232</v>
      </c>
      <c r="DP176" s="142">
        <f t="shared" ca="1" si="180"/>
        <v>0.17724869873080576</v>
      </c>
      <c r="DQ176" s="142">
        <f t="shared" ca="1" si="151"/>
        <v>0.2243434105568593</v>
      </c>
      <c r="DS176" s="128">
        <f t="shared" ca="1" si="181"/>
        <v>1075502</v>
      </c>
      <c r="DT176" s="90">
        <f t="shared" ca="1" si="182"/>
        <v>560135.25</v>
      </c>
      <c r="DU176" s="90">
        <f t="shared" ca="1" si="183"/>
        <v>184723.5</v>
      </c>
      <c r="DV176" s="90">
        <f t="shared" si="184"/>
        <v>2672</v>
      </c>
      <c r="DW176" s="90">
        <f ca="1">_xlfn.IFNA(INDEX(武器升级消耗!$H:$H,MATCH(玩家节奏2!DS176/玩家节奏2!DS$5,武器升级消耗!M:M,1)),0)</f>
        <v>89</v>
      </c>
      <c r="DX176" s="90">
        <f ca="1">_xlfn.IFNA(INDEX(武器升级消耗!$H:$H,MATCH(玩家节奏2!DT176/玩家节奏2!DT$5,武器升级消耗!N:N,1)),0)</f>
        <v>78</v>
      </c>
      <c r="DY176" s="90">
        <f ca="1">_xlfn.IFNA(INDEX(武器升级消耗!$H:$H,MATCH(玩家节奏2!DU176/玩家节奏2!DU$5,武器升级消耗!O:O,1)),0)</f>
        <v>59</v>
      </c>
      <c r="DZ176" s="90">
        <f>_xlfn.IFNA(INDEX(武器升级消耗!$H:$H,MATCH(玩家节奏2!DV176/玩家节奏2!DV$5,武器升级消耗!P:P,1)),0)</f>
        <v>37</v>
      </c>
      <c r="EA176" s="90">
        <f ca="1">_xlfn.IFNA(INDEX(武器升级消耗!$Q:$Q,MATCH(玩家节奏2!DW176,武器升级消耗!$H:$H,0))*2*EA$4,0)</f>
        <v>11.159999999999988</v>
      </c>
      <c r="EB176" s="90">
        <f ca="1">_xlfn.IFNA(INDEX(武器升级消耗!$Q:$Q,MATCH(玩家节奏2!DX176,武器升级消耗!$H:$H,0))*2*EB$4,0)</f>
        <v>12.299999999999986</v>
      </c>
      <c r="EC176" s="90">
        <f ca="1">_xlfn.IFNA(INDEX(武器升级消耗!$Q:$Q,MATCH(玩家节奏2!DY176,武器升级消耗!$H:$H,0))*2*EC$4,0)</f>
        <v>13.860000000000001</v>
      </c>
      <c r="ED176" s="90">
        <f>_xlfn.IFNA(INDEX(武器升级消耗!$Q:$Q,MATCH(玩家节奏2!DZ176,武器升级消耗!$H:$H,0))*2*ED$4,0)</f>
        <v>12.299999999999999</v>
      </c>
    </row>
    <row r="177" spans="1:134" x14ac:dyDescent="0.25">
      <c r="A177" s="123">
        <v>171</v>
      </c>
      <c r="B177" s="123">
        <f>INDEX(关卡对比!$Y:$Y,MATCH(关卡对比!Z177,关卡对比!$AA:$AA,1))</f>
        <v>99</v>
      </c>
      <c r="C177" s="124">
        <f>INDEX(关卡对比!$Y:$Y,MATCH(关卡对比!Z177,关卡对比!$AB:$AB,1))</f>
        <v>75</v>
      </c>
      <c r="D177" s="125">
        <f t="shared" si="189"/>
        <v>659.5</v>
      </c>
      <c r="E177" s="125">
        <v>2</v>
      </c>
      <c r="F177" s="128">
        <v>16</v>
      </c>
      <c r="G177" s="90">
        <v>16</v>
      </c>
      <c r="H177" s="90">
        <v>5</v>
      </c>
      <c r="J177" s="128">
        <v>171</v>
      </c>
      <c r="K177" s="90">
        <f t="shared" si="152"/>
        <v>16</v>
      </c>
      <c r="L177" s="90">
        <f t="shared" si="153"/>
        <v>16</v>
      </c>
      <c r="M177" s="90">
        <f t="shared" si="154"/>
        <v>5</v>
      </c>
      <c r="N177" s="140">
        <f>INDEX($A:$A,MATCH(SUM($K$7:K177),$D:$D,1))</f>
        <v>200</v>
      </c>
      <c r="O177" s="140">
        <v>0</v>
      </c>
      <c r="P177" s="141">
        <v>0</v>
      </c>
      <c r="Q177" s="126">
        <f>_xlfn.MAXIFS(关卡产出!X:X,关卡产出!$A:$A,玩家节奏2!$N$6,关卡产出!$B:$B,玩家节奏2!$N177)+_xlfn.MAXIFS(关卡产出!X:X,关卡产出!$A:$A,玩家节奏2!$O$6,关卡产出!$B:$B,玩家节奏2!$O177)+_xlfn.MAXIFS(关卡产出!X:X,关卡产出!$A:$A,玩家节奏2!$P$6,关卡产出!$B:$B,玩家节奏2!$P177)</f>
        <v>38500</v>
      </c>
      <c r="R177" s="90">
        <f>_xlfn.MAXIFS(关卡产出!Y:Y,关卡产出!$A:$A,玩家节奏2!$N$6,关卡产出!$B:$B,玩家节奏2!$N177)+_xlfn.MAXIFS(关卡产出!Y:Y,关卡产出!$A:$A,玩家节奏2!$O$6,关卡产出!$B:$B,玩家节奏2!$O177)+_xlfn.MAXIFS(关卡产出!Y:Y,关卡产出!$A:$A,玩家节奏2!$P$6,关卡产出!$B:$B,玩家节奏2!$P177)</f>
        <v>11610000</v>
      </c>
      <c r="S177" s="90">
        <f>_xlfn.MAXIFS(关卡产出!Z:Z,关卡产出!$A:$A,玩家节奏2!$N$6,关卡产出!$B:$B,玩家节奏2!$N177)+_xlfn.MAXIFS(关卡产出!Z:Z,关卡产出!$A:$A,玩家节奏2!$O$6,关卡产出!$B:$B,玩家节奏2!$O177)+_xlfn.MAXIFS(关卡产出!Z:Z,关卡产出!$A:$A,玩家节奏2!$P$6,关卡产出!$B:$B,玩家节奏2!$P177)</f>
        <v>78866</v>
      </c>
      <c r="T177" s="90">
        <f>_xlfn.MAXIFS(关卡产出!AA:AA,关卡产出!$A:$A,玩家节奏2!$N$6,关卡产出!$B:$B,玩家节奏2!$N177)+_xlfn.MAXIFS(关卡产出!AA:AA,关卡产出!$A:$A,玩家节奏2!$O$6,关卡产出!$B:$B,玩家节奏2!$O177)+_xlfn.MAXIFS(关卡产出!AA:AA,关卡产出!$A:$A,玩家节奏2!$P$6,关卡产出!$B:$B,玩家节奏2!$P177)</f>
        <v>39434</v>
      </c>
      <c r="U177" s="90">
        <f>_xlfn.MAXIFS(关卡产出!AB:AB,关卡产出!$A:$A,玩家节奏2!$N$6,关卡产出!$B:$B,玩家节奏2!$N177)+_xlfn.MAXIFS(关卡产出!AB:AB,关卡产出!$A:$A,玩家节奏2!$O$6,关卡产出!$B:$B,玩家节奏2!$O177)+_xlfn.MAXIFS(关卡产出!AB:AB,关卡产出!$A:$A,玩家节奏2!$P$6,关卡产出!$B:$B,玩家节奏2!$P177)</f>
        <v>19113</v>
      </c>
      <c r="V177" s="130">
        <f>_xlfn.MAXIFS(关卡产出!AC:AC,关卡产出!$A:$A,玩家节奏2!$N$6,关卡产出!$B:$B,玩家节奏2!$N177)+_xlfn.MAXIFS(关卡产出!AC:AC,关卡产出!$A:$A,玩家节奏2!$O$6,关卡产出!$B:$B,玩家节奏2!$O177)+_xlfn.MAXIFS(关卡产出!AC:AC,关卡产出!$A:$A,玩家节奏2!$P$6,关卡产出!$B:$B,玩家节奏2!$P177)</f>
        <v>1200</v>
      </c>
      <c r="W177" s="126">
        <f>INDEX(关卡产出!C$8:C$207,MATCH(玩家节奏2!$N177,关卡产出!$B$8:$B$207,0))*$K177</f>
        <v>2528</v>
      </c>
      <c r="X177" s="126">
        <f>INDEX(关卡产出!D$8:D$207,MATCH(玩家节奏2!$N177,关卡产出!$B$8:$B$207,0))*$K177</f>
        <v>1264</v>
      </c>
      <c r="Y177" s="126">
        <f>INDEX(关卡产出!E$8:E$207,MATCH(玩家节奏2!$N177,关卡产出!$B$8:$B$207,0))*$K177</f>
        <v>624</v>
      </c>
      <c r="Z177" s="144">
        <f>INDEX(关卡产出!F$8:F$207,MATCH(玩家节奏2!$N177,关卡产出!$B$8:$B$207,0))*$K177</f>
        <v>32800</v>
      </c>
      <c r="AA177" s="126">
        <f>SUM(W$7:W177)</f>
        <v>374158</v>
      </c>
      <c r="AB177" s="126">
        <f>SUM(X$7:X177)</f>
        <v>186915</v>
      </c>
      <c r="AC177" s="126">
        <f>SUM(Y$7:Y177)</f>
        <v>92051</v>
      </c>
      <c r="AD177" s="177">
        <f>SUM(Z$7:Z177)</f>
        <v>4882330</v>
      </c>
      <c r="AE177" s="128">
        <f>INDEX(图鉴!AQ:AQ,MATCH($N177,图鉴!$S:$S,0))*34</f>
        <v>714</v>
      </c>
      <c r="AF177" s="90">
        <f>INDEX(图鉴!AR:AR,MATCH($N177,图鉴!$S:$S,0))*34</f>
        <v>510</v>
      </c>
      <c r="AG177" s="90">
        <f>INDEX(图鉴!AS:AS,MATCH($N177,图鉴!$S:$S,0))*34</f>
        <v>204</v>
      </c>
      <c r="AH177" s="129">
        <f ca="1">INDEX(图鉴!AT:AT,MATCH($N177,图鉴!$S:$S,0))*34</f>
        <v>55930</v>
      </c>
      <c r="AI177" s="128">
        <f>SUM($AE$7:AE177)</f>
        <v>120190</v>
      </c>
      <c r="AJ177" s="90">
        <f>SUM(AF$7:AF177)</f>
        <v>83742</v>
      </c>
      <c r="AK177" s="90">
        <f>SUM(AG$7:AG177)</f>
        <v>32946</v>
      </c>
      <c r="AL177" s="130">
        <f ca="1">SUM(AH$7:AH177)</f>
        <v>8734396</v>
      </c>
      <c r="AM177" s="133">
        <f>IF(M177=0,0,INDEX(关卡产出!$AU$11:$AU$15,MATCH(玩家节奏2!N177,关卡产出!$AW$11:$AW$15,1))*M177)</f>
        <v>61000</v>
      </c>
      <c r="AN177" s="126">
        <f>IF(L177=0,0,$L177*关卡产出!AU$21)</f>
        <v>16000</v>
      </c>
      <c r="AO177" s="90">
        <f>IF(M177=0,0,$L177*关卡产出!AV$21)</f>
        <v>800</v>
      </c>
      <c r="AP177" s="129">
        <f>IF(N177=0,0,$L177*关卡产出!AW$21)</f>
        <v>16</v>
      </c>
      <c r="AQ177" s="138">
        <f>SUM(AN$7:AN177)</f>
        <v>2688000</v>
      </c>
      <c r="AR177" s="126">
        <f>SUM(AO$7:AO177)</f>
        <v>134400</v>
      </c>
      <c r="AS177" s="129">
        <f>SUM(AP$7:AP177)</f>
        <v>2688</v>
      </c>
      <c r="AT177" s="128">
        <v>3000</v>
      </c>
      <c r="AU177" s="129">
        <v>600</v>
      </c>
      <c r="AV177" s="128">
        <f>SUM(AT$7:AT177)</f>
        <v>513000</v>
      </c>
      <c r="AW177" s="90">
        <f>SUM(AU$7:AU177)</f>
        <v>102600</v>
      </c>
      <c r="AY177" s="128">
        <f t="shared" si="155"/>
        <v>38500</v>
      </c>
      <c r="AZ177" s="90">
        <f t="shared" si="156"/>
        <v>134400</v>
      </c>
      <c r="BA177" s="90">
        <f t="shared" si="157"/>
        <v>102600</v>
      </c>
      <c r="BB177" s="90">
        <f t="shared" ca="1" si="185"/>
        <v>40800</v>
      </c>
      <c r="BC177" s="90">
        <f t="shared" ca="1" si="187"/>
        <v>160325</v>
      </c>
      <c r="BD177" s="90">
        <f t="shared" ca="1" si="188"/>
        <v>155975</v>
      </c>
      <c r="BE177" s="90">
        <f t="shared" ca="1" si="158"/>
        <v>316300</v>
      </c>
      <c r="BF177" s="142">
        <f t="shared" ca="1" si="192"/>
        <v>0.24013722126929674</v>
      </c>
      <c r="BG177" s="142">
        <f t="shared" ca="1" si="193"/>
        <v>0.83829720879463587</v>
      </c>
      <c r="BH177" s="142">
        <f t="shared" ca="1" si="194"/>
        <v>0.63995010135661934</v>
      </c>
      <c r="BI177" s="142">
        <f t="shared" ca="1" si="197"/>
        <v>0.25448308124122876</v>
      </c>
      <c r="BJ177" s="143"/>
      <c r="BK177" s="128">
        <f ca="1">INDEX(商城宝箱!$L:$L,MATCH(BC177,商城宝箱!$N:$N,1))</f>
        <v>13</v>
      </c>
      <c r="BL177" s="90">
        <f ca="1">_xlfn.IFNA(INDEX(商城宝箱!T:T,MATCH(玩家节奏2!$BK177,商城宝箱!$L:$L,0)),0)+($BC177-INDEX(商城宝箱!$N:$N,MATCH(玩家节奏2!$BK177,商城宝箱!$L:$L,0)))/$BK$5*INDEX(商城宝箱!E$23:E$42,MATCH(玩家节奏2!$BK177+1,商城宝箱!$C$23:$C$42,0))</f>
        <v>400812.5</v>
      </c>
      <c r="BM177" s="90">
        <f ca="1">_xlfn.IFNA(INDEX(商城宝箱!U:U,MATCH(玩家节奏2!$BK177,商城宝箱!$L:$L,0)),0)+($BC177-INDEX(商城宝箱!$N:$N,MATCH(玩家节奏2!$BK177,商城宝箱!$L:$L,0)))/$BK$5*INDEX(商城宝箱!F$23:F$42,MATCH(玩家节奏2!$BK177+1,商城宝箱!$C$23:$C$42,0))</f>
        <v>508820</v>
      </c>
      <c r="BN177" s="90">
        <f ca="1">_xlfn.IFNA(INDEX(商城宝箱!V:V,MATCH(玩家节奏2!$BK177,商城宝箱!$L:$L,0)),0)+($BC177-INDEX(商城宝箱!$N:$N,MATCH(玩家节奏2!$BK177,商城宝箱!$L:$L,0)))/$BK$5*INDEX(商城宝箱!G$23:G$42,MATCH(玩家节奏2!$BK177+1,商城宝箱!$C$23:$C$42,0))</f>
        <v>253393.25</v>
      </c>
      <c r="BO177" s="90">
        <f ca="1">_xlfn.IFNA(INDEX(商城宝箱!W:W,MATCH(玩家节奏2!$BK177,商城宝箱!$L:$L,0)),0)+($BC177-INDEX(商城宝箱!$N:$N,MATCH(玩家节奏2!$BK177,商城宝箱!$L:$L,0)))/$BK$5*INDEX(商城宝箱!H$23:H$42,MATCH(玩家节奏2!$BK177+1,商城宝箱!$C$23:$C$42,0))</f>
        <v>41721.5</v>
      </c>
      <c r="BQ177" s="128">
        <f t="shared" si="143"/>
        <v>11610000</v>
      </c>
      <c r="BR177" s="90">
        <f t="shared" si="144"/>
        <v>4882330</v>
      </c>
      <c r="BS177" s="90">
        <f t="shared" ca="1" si="195"/>
        <v>8734396</v>
      </c>
      <c r="BT177" s="90">
        <f t="shared" si="196"/>
        <v>61000</v>
      </c>
      <c r="BU177" s="90">
        <f t="shared" si="147"/>
        <v>2688000</v>
      </c>
      <c r="BV177" s="90">
        <f t="shared" si="148"/>
        <v>513000</v>
      </c>
      <c r="BW177" s="90">
        <f t="shared" ca="1" si="160"/>
        <v>400812.5</v>
      </c>
      <c r="BX177" s="90">
        <f t="shared" ca="1" si="161"/>
        <v>28889538.5</v>
      </c>
      <c r="BY177" s="142">
        <f t="shared" ca="1" si="191"/>
        <v>0.40187557859396056</v>
      </c>
      <c r="BZ177" s="142">
        <f t="shared" ca="1" si="191"/>
        <v>0.16899993054579254</v>
      </c>
      <c r="CA177" s="142">
        <f t="shared" ca="1" si="191"/>
        <v>0.30233767839524334</v>
      </c>
      <c r="CB177" s="142">
        <f t="shared" ca="1" si="190"/>
        <v>2.1114909814152968E-3</v>
      </c>
      <c r="CC177" s="142">
        <f t="shared" ca="1" si="190"/>
        <v>9.3044061607283901E-2</v>
      </c>
      <c r="CD177" s="142">
        <f t="shared" ca="1" si="190"/>
        <v>1.7757293007640118E-2</v>
      </c>
      <c r="CE177" s="142">
        <f t="shared" ca="1" si="190"/>
        <v>1.3873966868664239E-2</v>
      </c>
      <c r="CG177" s="128">
        <f t="shared" si="162"/>
        <v>200</v>
      </c>
      <c r="CH177" s="90">
        <f ca="1">INDEX(角色升级!$A:$A,MATCH(玩家节奏2!$BX177,角色升级!$J:$J,1))</f>
        <v>1047</v>
      </c>
      <c r="CI177" s="90">
        <f ca="1">INDEX(角色升级!$O:$O,MATCH(玩家节奏2!$BX177,角色升级!$J:$J,1))</f>
        <v>99294.156750000009</v>
      </c>
      <c r="CJ177" s="90">
        <f>INDEX(关卡对比!$J:$J,MATCH(玩家节奏2!N177,关卡对比!$A:$A,0))</f>
        <v>86200</v>
      </c>
      <c r="CK177" s="147">
        <f t="shared" ca="1" si="163"/>
        <v>0.8681276202086281</v>
      </c>
      <c r="CL177" s="128">
        <f ca="1">INDEX(角色升级!$P:$P,MATCH(玩家节奏2!$CH177,角色升级!$A:$A,0))</f>
        <v>40800</v>
      </c>
      <c r="CM177" s="90">
        <f ca="1">INDEX(角色升级!Q:Q,MATCH(玩家节奏2!$CH177,角色升级!$A:$A,0))</f>
        <v>2.2000000000000002</v>
      </c>
      <c r="CO177" s="128">
        <f t="shared" si="164"/>
        <v>78866</v>
      </c>
      <c r="CP177" s="90">
        <f t="shared" si="165"/>
        <v>374158</v>
      </c>
      <c r="CQ177" s="90">
        <f t="shared" si="166"/>
        <v>120190</v>
      </c>
      <c r="CR177" s="90">
        <f t="shared" ca="1" si="167"/>
        <v>508820</v>
      </c>
      <c r="CS177" s="90">
        <f t="shared" ca="1" si="168"/>
        <v>1082034</v>
      </c>
      <c r="CT177" s="142">
        <f t="shared" ca="1" si="169"/>
        <v>7.2886803926678831E-2</v>
      </c>
      <c r="CU177" s="142">
        <f t="shared" ca="1" si="169"/>
        <v>0.34579135221259222</v>
      </c>
      <c r="CV177" s="142">
        <f t="shared" ca="1" si="169"/>
        <v>0.11107784043754633</v>
      </c>
      <c r="CW177" s="142">
        <f t="shared" ca="1" si="149"/>
        <v>0.47024400342318262</v>
      </c>
      <c r="CY177" s="128">
        <f t="shared" si="170"/>
        <v>39434</v>
      </c>
      <c r="CZ177" s="90">
        <f t="shared" si="171"/>
        <v>186915</v>
      </c>
      <c r="DA177" s="90">
        <f t="shared" si="172"/>
        <v>83742</v>
      </c>
      <c r="DB177" s="90">
        <f t="shared" ca="1" si="186"/>
        <v>253393.25</v>
      </c>
      <c r="DC177" s="90">
        <f t="shared" ca="1" si="173"/>
        <v>563484.25</v>
      </c>
      <c r="DD177" s="142">
        <f t="shared" ca="1" si="174"/>
        <v>6.9982435178977939E-2</v>
      </c>
      <c r="DE177" s="142">
        <f t="shared" ca="1" si="174"/>
        <v>0.33171290945576565</v>
      </c>
      <c r="DF177" s="142">
        <f t="shared" ca="1" si="174"/>
        <v>0.14861462409996376</v>
      </c>
      <c r="DG177" s="142">
        <f t="shared" ca="1" si="150"/>
        <v>0.44969003126529267</v>
      </c>
      <c r="DI177" s="128">
        <f t="shared" si="175"/>
        <v>19113</v>
      </c>
      <c r="DJ177" s="90">
        <f t="shared" si="176"/>
        <v>92051</v>
      </c>
      <c r="DK177" s="90">
        <f t="shared" si="177"/>
        <v>32946</v>
      </c>
      <c r="DL177" s="90">
        <f t="shared" ca="1" si="178"/>
        <v>41721.5</v>
      </c>
      <c r="DM177" s="90">
        <f t="shared" ca="1" si="179"/>
        <v>185831.5</v>
      </c>
      <c r="DN177" s="142">
        <f t="shared" ca="1" si="180"/>
        <v>0.10285123889114602</v>
      </c>
      <c r="DO177" s="142">
        <f t="shared" ca="1" si="180"/>
        <v>0.49534659086322824</v>
      </c>
      <c r="DP177" s="142">
        <f t="shared" ca="1" si="180"/>
        <v>0.17728964142247144</v>
      </c>
      <c r="DQ177" s="142">
        <f t="shared" ca="1" si="151"/>
        <v>0.22451252882315431</v>
      </c>
      <c r="DS177" s="128">
        <f t="shared" ca="1" si="181"/>
        <v>1082034</v>
      </c>
      <c r="DT177" s="90">
        <f t="shared" ca="1" si="182"/>
        <v>563484.25</v>
      </c>
      <c r="DU177" s="90">
        <f t="shared" ca="1" si="183"/>
        <v>185831.5</v>
      </c>
      <c r="DV177" s="90">
        <f t="shared" si="184"/>
        <v>2688</v>
      </c>
      <c r="DW177" s="90">
        <f ca="1">_xlfn.IFNA(INDEX(武器升级消耗!$H:$H,MATCH(玩家节奏2!DS177/玩家节奏2!DS$5,武器升级消耗!M:M,1)),0)</f>
        <v>89</v>
      </c>
      <c r="DX177" s="90">
        <f ca="1">_xlfn.IFNA(INDEX(武器升级消耗!$H:$H,MATCH(玩家节奏2!DT177/玩家节奏2!DT$5,武器升级消耗!N:N,1)),0)</f>
        <v>78</v>
      </c>
      <c r="DY177" s="90">
        <f ca="1">_xlfn.IFNA(INDEX(武器升级消耗!$H:$H,MATCH(玩家节奏2!DU177/玩家节奏2!DU$5,武器升级消耗!O:O,1)),0)</f>
        <v>59</v>
      </c>
      <c r="DZ177" s="90">
        <f>_xlfn.IFNA(INDEX(武器升级消耗!$H:$H,MATCH(玩家节奏2!DV177/玩家节奏2!DV$5,武器升级消耗!P:P,1)),0)</f>
        <v>37</v>
      </c>
      <c r="EA177" s="90">
        <f ca="1">_xlfn.IFNA(INDEX(武器升级消耗!$Q:$Q,MATCH(玩家节奏2!DW177,武器升级消耗!$H:$H,0))*2*EA$4,0)</f>
        <v>11.159999999999988</v>
      </c>
      <c r="EB177" s="90">
        <f ca="1">_xlfn.IFNA(INDEX(武器升级消耗!$Q:$Q,MATCH(玩家节奏2!DX177,武器升级消耗!$H:$H,0))*2*EB$4,0)</f>
        <v>12.299999999999986</v>
      </c>
      <c r="EC177" s="90">
        <f ca="1">_xlfn.IFNA(INDEX(武器升级消耗!$Q:$Q,MATCH(玩家节奏2!DY177,武器升级消耗!$H:$H,0))*2*EC$4,0)</f>
        <v>13.860000000000001</v>
      </c>
      <c r="ED177" s="90">
        <f>_xlfn.IFNA(INDEX(武器升级消耗!$Q:$Q,MATCH(玩家节奏2!DZ177,武器升级消耗!$H:$H,0))*2*ED$4,0)</f>
        <v>12.299999999999999</v>
      </c>
    </row>
    <row r="178" spans="1:134" x14ac:dyDescent="0.25">
      <c r="A178" s="123">
        <v>172</v>
      </c>
      <c r="B178" s="123">
        <f>INDEX(关卡对比!$Y:$Y,MATCH(关卡对比!Z178,关卡对比!$AA:$AA,1))</f>
        <v>99</v>
      </c>
      <c r="C178" s="124">
        <f>INDEX(关卡对比!$Y:$Y,MATCH(关卡对比!Z178,关卡对比!$AB:$AB,1))</f>
        <v>75</v>
      </c>
      <c r="D178" s="125">
        <f t="shared" si="189"/>
        <v>661.5</v>
      </c>
      <c r="E178" s="125">
        <v>2</v>
      </c>
      <c r="F178" s="128">
        <v>16</v>
      </c>
      <c r="G178" s="90">
        <v>16</v>
      </c>
      <c r="H178" s="90">
        <v>5</v>
      </c>
      <c r="J178" s="128">
        <v>172</v>
      </c>
      <c r="K178" s="90">
        <f t="shared" si="152"/>
        <v>16</v>
      </c>
      <c r="L178" s="90">
        <f t="shared" si="153"/>
        <v>16</v>
      </c>
      <c r="M178" s="90">
        <f t="shared" si="154"/>
        <v>5</v>
      </c>
      <c r="N178" s="140">
        <f>INDEX($A:$A,MATCH(SUM($K$7:K178),$D:$D,1))</f>
        <v>200</v>
      </c>
      <c r="O178" s="140">
        <v>0</v>
      </c>
      <c r="P178" s="141">
        <v>0</v>
      </c>
      <c r="Q178" s="126">
        <f>_xlfn.MAXIFS(关卡产出!X:X,关卡产出!$A:$A,玩家节奏2!$N$6,关卡产出!$B:$B,玩家节奏2!$N178)+_xlfn.MAXIFS(关卡产出!X:X,关卡产出!$A:$A,玩家节奏2!$O$6,关卡产出!$B:$B,玩家节奏2!$O178)+_xlfn.MAXIFS(关卡产出!X:X,关卡产出!$A:$A,玩家节奏2!$P$6,关卡产出!$B:$B,玩家节奏2!$P178)</f>
        <v>38500</v>
      </c>
      <c r="R178" s="90">
        <f>_xlfn.MAXIFS(关卡产出!Y:Y,关卡产出!$A:$A,玩家节奏2!$N$6,关卡产出!$B:$B,玩家节奏2!$N178)+_xlfn.MAXIFS(关卡产出!Y:Y,关卡产出!$A:$A,玩家节奏2!$O$6,关卡产出!$B:$B,玩家节奏2!$O178)+_xlfn.MAXIFS(关卡产出!Y:Y,关卡产出!$A:$A,玩家节奏2!$P$6,关卡产出!$B:$B,玩家节奏2!$P178)</f>
        <v>11610000</v>
      </c>
      <c r="S178" s="90">
        <f>_xlfn.MAXIFS(关卡产出!Z:Z,关卡产出!$A:$A,玩家节奏2!$N$6,关卡产出!$B:$B,玩家节奏2!$N178)+_xlfn.MAXIFS(关卡产出!Z:Z,关卡产出!$A:$A,玩家节奏2!$O$6,关卡产出!$B:$B,玩家节奏2!$O178)+_xlfn.MAXIFS(关卡产出!Z:Z,关卡产出!$A:$A,玩家节奏2!$P$6,关卡产出!$B:$B,玩家节奏2!$P178)</f>
        <v>78866</v>
      </c>
      <c r="T178" s="90">
        <f>_xlfn.MAXIFS(关卡产出!AA:AA,关卡产出!$A:$A,玩家节奏2!$N$6,关卡产出!$B:$B,玩家节奏2!$N178)+_xlfn.MAXIFS(关卡产出!AA:AA,关卡产出!$A:$A,玩家节奏2!$O$6,关卡产出!$B:$B,玩家节奏2!$O178)+_xlfn.MAXIFS(关卡产出!AA:AA,关卡产出!$A:$A,玩家节奏2!$P$6,关卡产出!$B:$B,玩家节奏2!$P178)</f>
        <v>39434</v>
      </c>
      <c r="U178" s="90">
        <f>_xlfn.MAXIFS(关卡产出!AB:AB,关卡产出!$A:$A,玩家节奏2!$N$6,关卡产出!$B:$B,玩家节奏2!$N178)+_xlfn.MAXIFS(关卡产出!AB:AB,关卡产出!$A:$A,玩家节奏2!$O$6,关卡产出!$B:$B,玩家节奏2!$O178)+_xlfn.MAXIFS(关卡产出!AB:AB,关卡产出!$A:$A,玩家节奏2!$P$6,关卡产出!$B:$B,玩家节奏2!$P178)</f>
        <v>19113</v>
      </c>
      <c r="V178" s="130">
        <f>_xlfn.MAXIFS(关卡产出!AC:AC,关卡产出!$A:$A,玩家节奏2!$N$6,关卡产出!$B:$B,玩家节奏2!$N178)+_xlfn.MAXIFS(关卡产出!AC:AC,关卡产出!$A:$A,玩家节奏2!$O$6,关卡产出!$B:$B,玩家节奏2!$O178)+_xlfn.MAXIFS(关卡产出!AC:AC,关卡产出!$A:$A,玩家节奏2!$P$6,关卡产出!$B:$B,玩家节奏2!$P178)</f>
        <v>1200</v>
      </c>
      <c r="W178" s="126">
        <f>INDEX(关卡产出!C$8:C$207,MATCH(玩家节奏2!$N178,关卡产出!$B$8:$B$207,0))*$K178</f>
        <v>2528</v>
      </c>
      <c r="X178" s="126">
        <f>INDEX(关卡产出!D$8:D$207,MATCH(玩家节奏2!$N178,关卡产出!$B$8:$B$207,0))*$K178</f>
        <v>1264</v>
      </c>
      <c r="Y178" s="126">
        <f>INDEX(关卡产出!E$8:E$207,MATCH(玩家节奏2!$N178,关卡产出!$B$8:$B$207,0))*$K178</f>
        <v>624</v>
      </c>
      <c r="Z178" s="144">
        <f>INDEX(关卡产出!F$8:F$207,MATCH(玩家节奏2!$N178,关卡产出!$B$8:$B$207,0))*$K178</f>
        <v>32800</v>
      </c>
      <c r="AA178" s="126">
        <f>SUM(W$7:W178)</f>
        <v>376686</v>
      </c>
      <c r="AB178" s="126">
        <f>SUM(X$7:X178)</f>
        <v>188179</v>
      </c>
      <c r="AC178" s="126">
        <f>SUM(Y$7:Y178)</f>
        <v>92675</v>
      </c>
      <c r="AD178" s="177">
        <f>SUM(Z$7:Z178)</f>
        <v>4915130</v>
      </c>
      <c r="AE178" s="128">
        <f>INDEX(图鉴!AQ:AQ,MATCH($N178,图鉴!$S:$S,0))*34</f>
        <v>714</v>
      </c>
      <c r="AF178" s="90">
        <f>INDEX(图鉴!AR:AR,MATCH($N178,图鉴!$S:$S,0))*34</f>
        <v>510</v>
      </c>
      <c r="AG178" s="90">
        <f>INDEX(图鉴!AS:AS,MATCH($N178,图鉴!$S:$S,0))*34</f>
        <v>204</v>
      </c>
      <c r="AH178" s="129">
        <f ca="1">INDEX(图鉴!AT:AT,MATCH($N178,图鉴!$S:$S,0))*34</f>
        <v>55930</v>
      </c>
      <c r="AI178" s="128">
        <f>SUM($AE$7:AE178)</f>
        <v>120904</v>
      </c>
      <c r="AJ178" s="90">
        <f>SUM(AF$7:AF178)</f>
        <v>84252</v>
      </c>
      <c r="AK178" s="90">
        <f>SUM(AG$7:AG178)</f>
        <v>33150</v>
      </c>
      <c r="AL178" s="130">
        <f ca="1">SUM(AH$7:AH178)</f>
        <v>8790326</v>
      </c>
      <c r="AM178" s="133">
        <f>IF(M178=0,0,INDEX(关卡产出!$AU$11:$AU$15,MATCH(玩家节奏2!N178,关卡产出!$AW$11:$AW$15,1))*M178)</f>
        <v>61000</v>
      </c>
      <c r="AN178" s="126">
        <f>IF(L178=0,0,$L178*关卡产出!AU$21)</f>
        <v>16000</v>
      </c>
      <c r="AO178" s="90">
        <f>IF(M178=0,0,$L178*关卡产出!AV$21)</f>
        <v>800</v>
      </c>
      <c r="AP178" s="129">
        <f>IF(N178=0,0,$L178*关卡产出!AW$21)</f>
        <v>16</v>
      </c>
      <c r="AQ178" s="138">
        <f>SUM(AN$7:AN178)</f>
        <v>2704000</v>
      </c>
      <c r="AR178" s="126">
        <f>SUM(AO$7:AO178)</f>
        <v>135200</v>
      </c>
      <c r="AS178" s="129">
        <f>SUM(AP$7:AP178)</f>
        <v>2704</v>
      </c>
      <c r="AT178" s="128">
        <v>3000</v>
      </c>
      <c r="AU178" s="129">
        <v>600</v>
      </c>
      <c r="AV178" s="128">
        <f>SUM(AT$7:AT178)</f>
        <v>516000</v>
      </c>
      <c r="AW178" s="90">
        <f>SUM(AU$7:AU178)</f>
        <v>103200</v>
      </c>
      <c r="AY178" s="128">
        <f t="shared" si="155"/>
        <v>38500</v>
      </c>
      <c r="AZ178" s="90">
        <f t="shared" si="156"/>
        <v>135200</v>
      </c>
      <c r="BA178" s="90">
        <f t="shared" si="157"/>
        <v>103200</v>
      </c>
      <c r="BB178" s="90">
        <f t="shared" ca="1" si="185"/>
        <v>40800</v>
      </c>
      <c r="BC178" s="90">
        <f t="shared" ca="1" si="187"/>
        <v>161025</v>
      </c>
      <c r="BD178" s="90">
        <f t="shared" ca="1" si="188"/>
        <v>156675</v>
      </c>
      <c r="BE178" s="90">
        <f t="shared" ca="1" si="158"/>
        <v>317700</v>
      </c>
      <c r="BF178" s="142">
        <f t="shared" ca="1" si="192"/>
        <v>0.23909330849247012</v>
      </c>
      <c r="BG178" s="142">
        <f t="shared" ca="1" si="193"/>
        <v>0.8396211768358951</v>
      </c>
      <c r="BH178" s="142">
        <f t="shared" ca="1" si="194"/>
        <v>0.6408942710759199</v>
      </c>
      <c r="BI178" s="142">
        <f t="shared" ca="1" si="197"/>
        <v>0.25337680484396835</v>
      </c>
      <c r="BJ178" s="143"/>
      <c r="BK178" s="128">
        <f ca="1">INDEX(商城宝箱!$L:$L,MATCH(BC178,商城宝箱!$N:$N,1))</f>
        <v>13</v>
      </c>
      <c r="BL178" s="90">
        <f ca="1">_xlfn.IFNA(INDEX(商城宝箱!T:T,MATCH(玩家节奏2!$BK178,商城宝箱!$L:$L,0)),0)+($BC178-INDEX(商城宝箱!$N:$N,MATCH(玩家节奏2!$BK178,商城宝箱!$L:$L,0)))/$BK$5*INDEX(商城宝箱!E$23:E$42,MATCH(玩家节奏2!$BK178+1,商城宝箱!$C$23:$C$42,0))</f>
        <v>402562.5</v>
      </c>
      <c r="BM178" s="90">
        <f ca="1">_xlfn.IFNA(INDEX(商城宝箱!U:U,MATCH(玩家节奏2!$BK178,商城宝箱!$L:$L,0)),0)+($BC178-INDEX(商城宝箱!$N:$N,MATCH(玩家节奏2!$BK178,商城宝箱!$L:$L,0)))/$BK$5*INDEX(商城宝箱!F$23:F$42,MATCH(玩家节奏2!$BK178+1,商城宝箱!$C$23:$C$42,0))</f>
        <v>512110</v>
      </c>
      <c r="BN178" s="90">
        <f ca="1">_xlfn.IFNA(INDEX(商城宝箱!V:V,MATCH(玩家节奏2!$BK178,商城宝箱!$L:$L,0)),0)+($BC178-INDEX(商城宝箱!$N:$N,MATCH(玩家节奏2!$BK178,商城宝箱!$L:$L,0)))/$BK$5*INDEX(商城宝箱!G$23:G$42,MATCH(玩家节奏2!$BK178+1,商城宝箱!$C$23:$C$42,0))</f>
        <v>254968.25</v>
      </c>
      <c r="BO178" s="90">
        <f ca="1">_xlfn.IFNA(INDEX(商城宝箱!W:W,MATCH(玩家节奏2!$BK178,商城宝箱!$L:$L,0)),0)+($BC178-INDEX(商城宝箱!$N:$N,MATCH(玩家节奏2!$BK178,商城宝箱!$L:$L,0)))/$BK$5*INDEX(商城宝箱!H$23:H$42,MATCH(玩家节奏2!$BK178+1,商城宝箱!$C$23:$C$42,0))</f>
        <v>42001.5</v>
      </c>
      <c r="BQ178" s="128">
        <f t="shared" si="143"/>
        <v>11610000</v>
      </c>
      <c r="BR178" s="90">
        <f t="shared" si="144"/>
        <v>4915130</v>
      </c>
      <c r="BS178" s="90">
        <f t="shared" ca="1" si="195"/>
        <v>8790326</v>
      </c>
      <c r="BT178" s="90">
        <f t="shared" si="196"/>
        <v>61000</v>
      </c>
      <c r="BU178" s="90">
        <f t="shared" si="147"/>
        <v>2704000</v>
      </c>
      <c r="BV178" s="90">
        <f t="shared" si="148"/>
        <v>516000</v>
      </c>
      <c r="BW178" s="90">
        <f t="shared" ca="1" si="160"/>
        <v>402562.5</v>
      </c>
      <c r="BX178" s="90">
        <f t="shared" ca="1" si="161"/>
        <v>28999018.5</v>
      </c>
      <c r="BY178" s="142">
        <f t="shared" ca="1" si="191"/>
        <v>0.40035837764647103</v>
      </c>
      <c r="BZ178" s="142">
        <f t="shared" ca="1" si="191"/>
        <v>0.1694929778399224</v>
      </c>
      <c r="CA178" s="142">
        <f t="shared" ca="1" si="191"/>
        <v>0.30312494886680391</v>
      </c>
      <c r="CB178" s="142">
        <f t="shared" ca="1" si="190"/>
        <v>2.1035194691158255E-3</v>
      </c>
      <c r="CC178" s="142">
        <f t="shared" ca="1" si="190"/>
        <v>9.3244535155560526E-2</v>
      </c>
      <c r="CD178" s="142">
        <f t="shared" ca="1" si="190"/>
        <v>1.779370567317649E-2</v>
      </c>
      <c r="CE178" s="142">
        <f t="shared" ca="1" si="190"/>
        <v>1.3881935348949827E-2</v>
      </c>
      <c r="CG178" s="128">
        <f t="shared" si="162"/>
        <v>200</v>
      </c>
      <c r="CH178" s="90">
        <f ca="1">INDEX(角色升级!$A:$A,MATCH(玩家节奏2!$BX178,角色升级!$J:$J,1))</f>
        <v>1047</v>
      </c>
      <c r="CI178" s="90">
        <f ca="1">INDEX(角色升级!$O:$O,MATCH(玩家节奏2!$BX178,角色升级!$J:$J,1))</f>
        <v>99294.156750000009</v>
      </c>
      <c r="CJ178" s="90">
        <f>INDEX(关卡对比!$J:$J,MATCH(玩家节奏2!N178,关卡对比!$A:$A,0))</f>
        <v>86200</v>
      </c>
      <c r="CK178" s="147">
        <f t="shared" ca="1" si="163"/>
        <v>0.8681276202086281</v>
      </c>
      <c r="CL178" s="128">
        <f ca="1">INDEX(角色升级!$P:$P,MATCH(玩家节奏2!$CH178,角色升级!$A:$A,0))</f>
        <v>40800</v>
      </c>
      <c r="CM178" s="90">
        <f ca="1">INDEX(角色升级!Q:Q,MATCH(玩家节奏2!$CH178,角色升级!$A:$A,0))</f>
        <v>2.2000000000000002</v>
      </c>
      <c r="CO178" s="128">
        <f t="shared" si="164"/>
        <v>78866</v>
      </c>
      <c r="CP178" s="90">
        <f t="shared" si="165"/>
        <v>376686</v>
      </c>
      <c r="CQ178" s="90">
        <f t="shared" si="166"/>
        <v>120904</v>
      </c>
      <c r="CR178" s="90">
        <f t="shared" ca="1" si="167"/>
        <v>512110</v>
      </c>
      <c r="CS178" s="90">
        <f t="shared" ca="1" si="168"/>
        <v>1088566</v>
      </c>
      <c r="CT178" s="142">
        <f t="shared" ca="1" si="169"/>
        <v>7.2449442661262617E-2</v>
      </c>
      <c r="CU178" s="142">
        <f t="shared" ca="1" si="169"/>
        <v>0.34603873352649267</v>
      </c>
      <c r="CV178" s="142">
        <f t="shared" ca="1" si="169"/>
        <v>0.11106722054519431</v>
      </c>
      <c r="CW178" s="142">
        <f t="shared" ca="1" si="149"/>
        <v>0.4704446032670504</v>
      </c>
      <c r="CY178" s="128">
        <f t="shared" si="170"/>
        <v>39434</v>
      </c>
      <c r="CZ178" s="90">
        <f t="shared" si="171"/>
        <v>188179</v>
      </c>
      <c r="DA178" s="90">
        <f t="shared" si="172"/>
        <v>84252</v>
      </c>
      <c r="DB178" s="90">
        <f t="shared" ca="1" si="186"/>
        <v>254968.25</v>
      </c>
      <c r="DC178" s="90">
        <f t="shared" ca="1" si="173"/>
        <v>566833.25</v>
      </c>
      <c r="DD178" s="142">
        <f t="shared" ca="1" si="174"/>
        <v>6.9568960536454061E-2</v>
      </c>
      <c r="DE178" s="142">
        <f t="shared" ca="1" si="174"/>
        <v>0.33198299499897016</v>
      </c>
      <c r="DF178" s="142">
        <f t="shared" ca="1" si="174"/>
        <v>0.14863630529789845</v>
      </c>
      <c r="DG178" s="142">
        <f t="shared" ca="1" si="150"/>
        <v>0.44981173916667733</v>
      </c>
      <c r="DI178" s="128">
        <f t="shared" si="175"/>
        <v>19113</v>
      </c>
      <c r="DJ178" s="90">
        <f t="shared" si="176"/>
        <v>92675</v>
      </c>
      <c r="DK178" s="90">
        <f t="shared" si="177"/>
        <v>33150</v>
      </c>
      <c r="DL178" s="90">
        <f t="shared" ca="1" si="178"/>
        <v>42001.5</v>
      </c>
      <c r="DM178" s="90">
        <f t="shared" ca="1" si="179"/>
        <v>186939.5</v>
      </c>
      <c r="DN178" s="142">
        <f t="shared" ca="1" si="180"/>
        <v>0.10224163432554383</v>
      </c>
      <c r="DO178" s="142">
        <f t="shared" ca="1" si="180"/>
        <v>0.49574862455500307</v>
      </c>
      <c r="DP178" s="142">
        <f t="shared" ca="1" si="180"/>
        <v>0.17733009877527223</v>
      </c>
      <c r="DQ178" s="142">
        <f t="shared" ca="1" si="151"/>
        <v>0.22467964234418086</v>
      </c>
      <c r="DS178" s="128">
        <f t="shared" ca="1" si="181"/>
        <v>1088566</v>
      </c>
      <c r="DT178" s="90">
        <f t="shared" ca="1" si="182"/>
        <v>566833.25</v>
      </c>
      <c r="DU178" s="90">
        <f t="shared" ca="1" si="183"/>
        <v>186939.5</v>
      </c>
      <c r="DV178" s="90">
        <f t="shared" si="184"/>
        <v>2704</v>
      </c>
      <c r="DW178" s="90">
        <f ca="1">_xlfn.IFNA(INDEX(武器升级消耗!$H:$H,MATCH(玩家节奏2!DS178/玩家节奏2!DS$5,武器升级消耗!M:M,1)),0)</f>
        <v>90</v>
      </c>
      <c r="DX178" s="90">
        <f ca="1">_xlfn.IFNA(INDEX(武器升级消耗!$H:$H,MATCH(玩家节奏2!DT178/玩家节奏2!DT$5,武器升级消耗!N:N,1)),0)</f>
        <v>79</v>
      </c>
      <c r="DY178" s="90">
        <f ca="1">_xlfn.IFNA(INDEX(武器升级消耗!$H:$H,MATCH(玩家节奏2!DU178/玩家节奏2!DU$5,武器升级消耗!O:O,1)),0)</f>
        <v>59</v>
      </c>
      <c r="DZ178" s="90">
        <f>_xlfn.IFNA(INDEX(武器升级消耗!$H:$H,MATCH(玩家节奏2!DV178/玩家节奏2!DV$5,武器升级消耗!P:P,1)),0)</f>
        <v>37</v>
      </c>
      <c r="EA178" s="90">
        <f ca="1">_xlfn.IFNA(INDEX(武器升级消耗!$Q:$Q,MATCH(玩家节奏2!DW178,武器升级消耗!$H:$H,0))*2*EA$4,0)</f>
        <v>11.279999999999987</v>
      </c>
      <c r="EB178" s="90">
        <f ca="1">_xlfn.IFNA(INDEX(武器升级消耗!$Q:$Q,MATCH(玩家节奏2!DX178,武器升级消耗!$H:$H,0))*2*EB$4,0)</f>
        <v>12.449999999999985</v>
      </c>
      <c r="EC178" s="90">
        <f ca="1">_xlfn.IFNA(INDEX(武器升级消耗!$Q:$Q,MATCH(玩家节奏2!DY178,武器升级消耗!$H:$H,0))*2*EC$4,0)</f>
        <v>13.860000000000001</v>
      </c>
      <c r="ED178" s="90">
        <f>_xlfn.IFNA(INDEX(武器升级消耗!$Q:$Q,MATCH(玩家节奏2!DZ178,武器升级消耗!$H:$H,0))*2*ED$4,0)</f>
        <v>12.299999999999999</v>
      </c>
    </row>
    <row r="179" spans="1:134" x14ac:dyDescent="0.25">
      <c r="A179" s="123">
        <v>173</v>
      </c>
      <c r="B179" s="123">
        <f>INDEX(关卡对比!$Y:$Y,MATCH(关卡对比!Z179,关卡对比!$AA:$AA,1))</f>
        <v>100</v>
      </c>
      <c r="C179" s="124">
        <f>INDEX(关卡对比!$Y:$Y,MATCH(关卡对比!Z179,关卡对比!$AB:$AB,1))</f>
        <v>76</v>
      </c>
      <c r="D179" s="125">
        <f t="shared" si="189"/>
        <v>667.5</v>
      </c>
      <c r="E179" s="125">
        <v>2</v>
      </c>
      <c r="F179" s="128">
        <v>16</v>
      </c>
      <c r="G179" s="90">
        <v>16</v>
      </c>
      <c r="H179" s="90">
        <v>5</v>
      </c>
      <c r="J179" s="128">
        <v>173</v>
      </c>
      <c r="K179" s="90">
        <f t="shared" si="152"/>
        <v>16</v>
      </c>
      <c r="L179" s="90">
        <f t="shared" si="153"/>
        <v>16</v>
      </c>
      <c r="M179" s="90">
        <f t="shared" si="154"/>
        <v>5</v>
      </c>
      <c r="N179" s="140">
        <f>INDEX($A:$A,MATCH(SUM($K$7:K179),$D:$D,1))</f>
        <v>200</v>
      </c>
      <c r="O179" s="140">
        <v>0</v>
      </c>
      <c r="P179" s="141">
        <v>0</v>
      </c>
      <c r="Q179" s="126">
        <f>_xlfn.MAXIFS(关卡产出!X:X,关卡产出!$A:$A,玩家节奏2!$N$6,关卡产出!$B:$B,玩家节奏2!$N179)+_xlfn.MAXIFS(关卡产出!X:X,关卡产出!$A:$A,玩家节奏2!$O$6,关卡产出!$B:$B,玩家节奏2!$O179)+_xlfn.MAXIFS(关卡产出!X:X,关卡产出!$A:$A,玩家节奏2!$P$6,关卡产出!$B:$B,玩家节奏2!$P179)</f>
        <v>38500</v>
      </c>
      <c r="R179" s="90">
        <f>_xlfn.MAXIFS(关卡产出!Y:Y,关卡产出!$A:$A,玩家节奏2!$N$6,关卡产出!$B:$B,玩家节奏2!$N179)+_xlfn.MAXIFS(关卡产出!Y:Y,关卡产出!$A:$A,玩家节奏2!$O$6,关卡产出!$B:$B,玩家节奏2!$O179)+_xlfn.MAXIFS(关卡产出!Y:Y,关卡产出!$A:$A,玩家节奏2!$P$6,关卡产出!$B:$B,玩家节奏2!$P179)</f>
        <v>11610000</v>
      </c>
      <c r="S179" s="90">
        <f>_xlfn.MAXIFS(关卡产出!Z:Z,关卡产出!$A:$A,玩家节奏2!$N$6,关卡产出!$B:$B,玩家节奏2!$N179)+_xlfn.MAXIFS(关卡产出!Z:Z,关卡产出!$A:$A,玩家节奏2!$O$6,关卡产出!$B:$B,玩家节奏2!$O179)+_xlfn.MAXIFS(关卡产出!Z:Z,关卡产出!$A:$A,玩家节奏2!$P$6,关卡产出!$B:$B,玩家节奏2!$P179)</f>
        <v>78866</v>
      </c>
      <c r="T179" s="90">
        <f>_xlfn.MAXIFS(关卡产出!AA:AA,关卡产出!$A:$A,玩家节奏2!$N$6,关卡产出!$B:$B,玩家节奏2!$N179)+_xlfn.MAXIFS(关卡产出!AA:AA,关卡产出!$A:$A,玩家节奏2!$O$6,关卡产出!$B:$B,玩家节奏2!$O179)+_xlfn.MAXIFS(关卡产出!AA:AA,关卡产出!$A:$A,玩家节奏2!$P$6,关卡产出!$B:$B,玩家节奏2!$P179)</f>
        <v>39434</v>
      </c>
      <c r="U179" s="90">
        <f>_xlfn.MAXIFS(关卡产出!AB:AB,关卡产出!$A:$A,玩家节奏2!$N$6,关卡产出!$B:$B,玩家节奏2!$N179)+_xlfn.MAXIFS(关卡产出!AB:AB,关卡产出!$A:$A,玩家节奏2!$O$6,关卡产出!$B:$B,玩家节奏2!$O179)+_xlfn.MAXIFS(关卡产出!AB:AB,关卡产出!$A:$A,玩家节奏2!$P$6,关卡产出!$B:$B,玩家节奏2!$P179)</f>
        <v>19113</v>
      </c>
      <c r="V179" s="130">
        <f>_xlfn.MAXIFS(关卡产出!AC:AC,关卡产出!$A:$A,玩家节奏2!$N$6,关卡产出!$B:$B,玩家节奏2!$N179)+_xlfn.MAXIFS(关卡产出!AC:AC,关卡产出!$A:$A,玩家节奏2!$O$6,关卡产出!$B:$B,玩家节奏2!$O179)+_xlfn.MAXIFS(关卡产出!AC:AC,关卡产出!$A:$A,玩家节奏2!$P$6,关卡产出!$B:$B,玩家节奏2!$P179)</f>
        <v>1200</v>
      </c>
      <c r="W179" s="126">
        <f>INDEX(关卡产出!C$8:C$207,MATCH(玩家节奏2!$N179,关卡产出!$B$8:$B$207,0))*$K179</f>
        <v>2528</v>
      </c>
      <c r="X179" s="126">
        <f>INDEX(关卡产出!D$8:D$207,MATCH(玩家节奏2!$N179,关卡产出!$B$8:$B$207,0))*$K179</f>
        <v>1264</v>
      </c>
      <c r="Y179" s="126">
        <f>INDEX(关卡产出!E$8:E$207,MATCH(玩家节奏2!$N179,关卡产出!$B$8:$B$207,0))*$K179</f>
        <v>624</v>
      </c>
      <c r="Z179" s="144">
        <f>INDEX(关卡产出!F$8:F$207,MATCH(玩家节奏2!$N179,关卡产出!$B$8:$B$207,0))*$K179</f>
        <v>32800</v>
      </c>
      <c r="AA179" s="126">
        <f>SUM(W$7:W179)</f>
        <v>379214</v>
      </c>
      <c r="AB179" s="126">
        <f>SUM(X$7:X179)</f>
        <v>189443</v>
      </c>
      <c r="AC179" s="126">
        <f>SUM(Y$7:Y179)</f>
        <v>93299</v>
      </c>
      <c r="AD179" s="177">
        <f>SUM(Z$7:Z179)</f>
        <v>4947930</v>
      </c>
      <c r="AE179" s="128">
        <f>INDEX(图鉴!AQ:AQ,MATCH($N179,图鉴!$S:$S,0))*34</f>
        <v>714</v>
      </c>
      <c r="AF179" s="90">
        <f>INDEX(图鉴!AR:AR,MATCH($N179,图鉴!$S:$S,0))*34</f>
        <v>510</v>
      </c>
      <c r="AG179" s="90">
        <f>INDEX(图鉴!AS:AS,MATCH($N179,图鉴!$S:$S,0))*34</f>
        <v>204</v>
      </c>
      <c r="AH179" s="129">
        <f ca="1">INDEX(图鉴!AT:AT,MATCH($N179,图鉴!$S:$S,0))*34</f>
        <v>55930</v>
      </c>
      <c r="AI179" s="128">
        <f>SUM($AE$7:AE179)</f>
        <v>121618</v>
      </c>
      <c r="AJ179" s="90">
        <f>SUM(AF$7:AF179)</f>
        <v>84762</v>
      </c>
      <c r="AK179" s="90">
        <f>SUM(AG$7:AG179)</f>
        <v>33354</v>
      </c>
      <c r="AL179" s="130">
        <f ca="1">SUM(AH$7:AH179)</f>
        <v>8846256</v>
      </c>
      <c r="AM179" s="133">
        <f>IF(M179=0,0,INDEX(关卡产出!$AU$11:$AU$15,MATCH(玩家节奏2!N179,关卡产出!$AW$11:$AW$15,1))*M179)</f>
        <v>61000</v>
      </c>
      <c r="AN179" s="126">
        <f>IF(L179=0,0,$L179*关卡产出!AU$21)</f>
        <v>16000</v>
      </c>
      <c r="AO179" s="90">
        <f>IF(M179=0,0,$L179*关卡产出!AV$21)</f>
        <v>800</v>
      </c>
      <c r="AP179" s="129">
        <f>IF(N179=0,0,$L179*关卡产出!AW$21)</f>
        <v>16</v>
      </c>
      <c r="AQ179" s="138">
        <f>SUM(AN$7:AN179)</f>
        <v>2720000</v>
      </c>
      <c r="AR179" s="126">
        <f>SUM(AO$7:AO179)</f>
        <v>136000</v>
      </c>
      <c r="AS179" s="129">
        <f>SUM(AP$7:AP179)</f>
        <v>2720</v>
      </c>
      <c r="AT179" s="128">
        <v>3000</v>
      </c>
      <c r="AU179" s="129">
        <v>600</v>
      </c>
      <c r="AV179" s="128">
        <f>SUM(AT$7:AT179)</f>
        <v>519000</v>
      </c>
      <c r="AW179" s="90">
        <f>SUM(AU$7:AU179)</f>
        <v>103800</v>
      </c>
      <c r="AY179" s="128">
        <f t="shared" si="155"/>
        <v>38500</v>
      </c>
      <c r="AZ179" s="90">
        <f t="shared" si="156"/>
        <v>136000</v>
      </c>
      <c r="BA179" s="90">
        <f t="shared" si="157"/>
        <v>103800</v>
      </c>
      <c r="BB179" s="90">
        <f t="shared" ca="1" si="185"/>
        <v>40800</v>
      </c>
      <c r="BC179" s="90">
        <f t="shared" ca="1" si="187"/>
        <v>161725</v>
      </c>
      <c r="BD179" s="90">
        <f t="shared" ca="1" si="188"/>
        <v>157375</v>
      </c>
      <c r="BE179" s="90">
        <f t="shared" ca="1" si="158"/>
        <v>319100</v>
      </c>
      <c r="BF179" s="142">
        <f t="shared" ca="1" si="192"/>
        <v>0.23805843252434689</v>
      </c>
      <c r="BG179" s="142">
        <f t="shared" ca="1" si="193"/>
        <v>0.84093368372236821</v>
      </c>
      <c r="BH179" s="142">
        <f t="shared" ca="1" si="194"/>
        <v>0.64183026742927807</v>
      </c>
      <c r="BI179" s="142">
        <f t="shared" ca="1" si="197"/>
        <v>0.25228010511671045</v>
      </c>
      <c r="BJ179" s="143"/>
      <c r="BK179" s="128">
        <f ca="1">INDEX(商城宝箱!$L:$L,MATCH(BC179,商城宝箱!$N:$N,1))</f>
        <v>13</v>
      </c>
      <c r="BL179" s="90">
        <f ca="1">_xlfn.IFNA(INDEX(商城宝箱!T:T,MATCH(玩家节奏2!$BK179,商城宝箱!$L:$L,0)),0)+($BC179-INDEX(商城宝箱!$N:$N,MATCH(玩家节奏2!$BK179,商城宝箱!$L:$L,0)))/$BK$5*INDEX(商城宝箱!E$23:E$42,MATCH(玩家节奏2!$BK179+1,商城宝箱!$C$23:$C$42,0))</f>
        <v>404312.5</v>
      </c>
      <c r="BM179" s="90">
        <f ca="1">_xlfn.IFNA(INDEX(商城宝箱!U:U,MATCH(玩家节奏2!$BK179,商城宝箱!$L:$L,0)),0)+($BC179-INDEX(商城宝箱!$N:$N,MATCH(玩家节奏2!$BK179,商城宝箱!$L:$L,0)))/$BK$5*INDEX(商城宝箱!F$23:F$42,MATCH(玩家节奏2!$BK179+1,商城宝箱!$C$23:$C$42,0))</f>
        <v>515400</v>
      </c>
      <c r="BN179" s="90">
        <f ca="1">_xlfn.IFNA(INDEX(商城宝箱!V:V,MATCH(玩家节奏2!$BK179,商城宝箱!$L:$L,0)),0)+($BC179-INDEX(商城宝箱!$N:$N,MATCH(玩家节奏2!$BK179,商城宝箱!$L:$L,0)))/$BK$5*INDEX(商城宝箱!G$23:G$42,MATCH(玩家节奏2!$BK179+1,商城宝箱!$C$23:$C$42,0))</f>
        <v>256543.25</v>
      </c>
      <c r="BO179" s="90">
        <f ca="1">_xlfn.IFNA(INDEX(商城宝箱!W:W,MATCH(玩家节奏2!$BK179,商城宝箱!$L:$L,0)),0)+($BC179-INDEX(商城宝箱!$N:$N,MATCH(玩家节奏2!$BK179,商城宝箱!$L:$L,0)))/$BK$5*INDEX(商城宝箱!H$23:H$42,MATCH(玩家节奏2!$BK179+1,商城宝箱!$C$23:$C$42,0))</f>
        <v>42281.5</v>
      </c>
      <c r="BQ179" s="128">
        <f t="shared" si="143"/>
        <v>11610000</v>
      </c>
      <c r="BR179" s="90">
        <f t="shared" si="144"/>
        <v>4947930</v>
      </c>
      <c r="BS179" s="90">
        <f t="shared" ca="1" si="195"/>
        <v>8846256</v>
      </c>
      <c r="BT179" s="90">
        <f t="shared" si="196"/>
        <v>61000</v>
      </c>
      <c r="BU179" s="90">
        <f t="shared" si="147"/>
        <v>2720000</v>
      </c>
      <c r="BV179" s="90">
        <f t="shared" si="148"/>
        <v>519000</v>
      </c>
      <c r="BW179" s="90">
        <f t="shared" ca="1" si="160"/>
        <v>404312.5</v>
      </c>
      <c r="BX179" s="90">
        <f t="shared" ca="1" si="161"/>
        <v>29108498.5</v>
      </c>
      <c r="BY179" s="142">
        <f t="shared" ca="1" si="191"/>
        <v>0.39885258939068946</v>
      </c>
      <c r="BZ179" s="142">
        <f t="shared" ca="1" si="191"/>
        <v>0.16998231633280569</v>
      </c>
      <c r="CA179" s="142">
        <f t="shared" ca="1" si="191"/>
        <v>0.30390629733100111</v>
      </c>
      <c r="CB179" s="142">
        <f t="shared" ca="1" si="190"/>
        <v>2.0956079201405733E-3</v>
      </c>
      <c r="CC179" s="142">
        <f t="shared" ca="1" si="190"/>
        <v>9.3443500701350157E-2</v>
      </c>
      <c r="CD179" s="142">
        <f t="shared" ca="1" si="190"/>
        <v>1.7829844435294388E-2</v>
      </c>
      <c r="CE179" s="142">
        <f t="shared" ca="1" si="190"/>
        <v>1.3889843888718617E-2</v>
      </c>
      <c r="CG179" s="128">
        <f t="shared" si="162"/>
        <v>200</v>
      </c>
      <c r="CH179" s="90">
        <f ca="1">INDEX(角色升级!$A:$A,MATCH(玩家节奏2!$BX179,角色升级!$J:$J,1))</f>
        <v>1047</v>
      </c>
      <c r="CI179" s="90">
        <f ca="1">INDEX(角色升级!$O:$O,MATCH(玩家节奏2!$BX179,角色升级!$J:$J,1))</f>
        <v>99294.156750000009</v>
      </c>
      <c r="CJ179" s="90">
        <f>INDEX(关卡对比!$J:$J,MATCH(玩家节奏2!N179,关卡对比!$A:$A,0))</f>
        <v>86200</v>
      </c>
      <c r="CK179" s="147">
        <f t="shared" ca="1" si="163"/>
        <v>0.8681276202086281</v>
      </c>
      <c r="CL179" s="128">
        <f ca="1">INDEX(角色升级!$P:$P,MATCH(玩家节奏2!$CH179,角色升级!$A:$A,0))</f>
        <v>40800</v>
      </c>
      <c r="CM179" s="90">
        <f ca="1">INDEX(角色升级!Q:Q,MATCH(玩家节奏2!$CH179,角色升级!$A:$A,0))</f>
        <v>2.2000000000000002</v>
      </c>
      <c r="CO179" s="128">
        <f t="shared" si="164"/>
        <v>78866</v>
      </c>
      <c r="CP179" s="90">
        <f t="shared" si="165"/>
        <v>379214</v>
      </c>
      <c r="CQ179" s="90">
        <f t="shared" si="166"/>
        <v>121618</v>
      </c>
      <c r="CR179" s="90">
        <f t="shared" ca="1" si="167"/>
        <v>515400</v>
      </c>
      <c r="CS179" s="90">
        <f t="shared" ca="1" si="168"/>
        <v>1095098</v>
      </c>
      <c r="CT179" s="142">
        <f t="shared" ca="1" si="169"/>
        <v>7.2017298908408203E-2</v>
      </c>
      <c r="CU179" s="142">
        <f t="shared" ca="1" si="169"/>
        <v>0.34628316369859136</v>
      </c>
      <c r="CV179" s="142">
        <f t="shared" ca="1" si="169"/>
        <v>0.11105672734312363</v>
      </c>
      <c r="CW179" s="142">
        <f t="shared" ca="1" si="149"/>
        <v>0.47064281004987679</v>
      </c>
      <c r="CY179" s="128">
        <f t="shared" si="170"/>
        <v>39434</v>
      </c>
      <c r="CZ179" s="90">
        <f t="shared" si="171"/>
        <v>189443</v>
      </c>
      <c r="DA179" s="90">
        <f t="shared" si="172"/>
        <v>84762</v>
      </c>
      <c r="DB179" s="90">
        <f t="shared" ca="1" si="186"/>
        <v>256543.25</v>
      </c>
      <c r="DC179" s="90">
        <f t="shared" ca="1" si="173"/>
        <v>570182.25</v>
      </c>
      <c r="DD179" s="142">
        <f t="shared" ca="1" si="174"/>
        <v>6.916034303067134E-2</v>
      </c>
      <c r="DE179" s="142">
        <f t="shared" ca="1" si="174"/>
        <v>0.33224990781456282</v>
      </c>
      <c r="DF179" s="142">
        <f t="shared" ca="1" si="174"/>
        <v>0.14865773180417313</v>
      </c>
      <c r="DG179" s="142">
        <f t="shared" ca="1" si="150"/>
        <v>0.44993201735059274</v>
      </c>
      <c r="DI179" s="128">
        <f t="shared" si="175"/>
        <v>19113</v>
      </c>
      <c r="DJ179" s="90">
        <f t="shared" si="176"/>
        <v>93299</v>
      </c>
      <c r="DK179" s="90">
        <f t="shared" si="177"/>
        <v>33354</v>
      </c>
      <c r="DL179" s="90">
        <f t="shared" ca="1" si="178"/>
        <v>42281.5</v>
      </c>
      <c r="DM179" s="90">
        <f t="shared" ca="1" si="179"/>
        <v>188047.5</v>
      </c>
      <c r="DN179" s="142">
        <f t="shared" ca="1" si="180"/>
        <v>0.10163921349658996</v>
      </c>
      <c r="DO179" s="142">
        <f t="shared" ca="1" si="180"/>
        <v>0.4961459205785772</v>
      </c>
      <c r="DP179" s="142">
        <f t="shared" ca="1" si="180"/>
        <v>0.17737007936824473</v>
      </c>
      <c r="DQ179" s="142">
        <f t="shared" ca="1" si="151"/>
        <v>0.2248447865565881</v>
      </c>
      <c r="DS179" s="128">
        <f t="shared" ca="1" si="181"/>
        <v>1095098</v>
      </c>
      <c r="DT179" s="90">
        <f t="shared" ca="1" si="182"/>
        <v>570182.25</v>
      </c>
      <c r="DU179" s="90">
        <f t="shared" ca="1" si="183"/>
        <v>188047.5</v>
      </c>
      <c r="DV179" s="90">
        <f t="shared" si="184"/>
        <v>2720</v>
      </c>
      <c r="DW179" s="90">
        <f ca="1">_xlfn.IFNA(INDEX(武器升级消耗!$H:$H,MATCH(玩家节奏2!DS179/玩家节奏2!DS$5,武器升级消耗!M:M,1)),0)</f>
        <v>90</v>
      </c>
      <c r="DX179" s="90">
        <f ca="1">_xlfn.IFNA(INDEX(武器升级消耗!$H:$H,MATCH(玩家节奏2!DT179/玩家节奏2!DT$5,武器升级消耗!N:N,1)),0)</f>
        <v>79</v>
      </c>
      <c r="DY179" s="90">
        <f ca="1">_xlfn.IFNA(INDEX(武器升级消耗!$H:$H,MATCH(玩家节奏2!DU179/玩家节奏2!DU$5,武器升级消耗!O:O,1)),0)</f>
        <v>60</v>
      </c>
      <c r="DZ179" s="90">
        <f>_xlfn.IFNA(INDEX(武器升级消耗!$H:$H,MATCH(玩家节奏2!DV179/玩家节奏2!DV$5,武器升级消耗!P:P,1)),0)</f>
        <v>37</v>
      </c>
      <c r="EA179" s="90">
        <f ca="1">_xlfn.IFNA(INDEX(武器升级消耗!$Q:$Q,MATCH(玩家节奏2!DW179,武器升级消耗!$H:$H,0))*2*EA$4,0)</f>
        <v>11.279999999999987</v>
      </c>
      <c r="EB179" s="90">
        <f ca="1">_xlfn.IFNA(INDEX(武器升级消耗!$Q:$Q,MATCH(玩家节奏2!DX179,武器升级消耗!$H:$H,0))*2*EB$4,0)</f>
        <v>12.449999999999985</v>
      </c>
      <c r="EC179" s="90">
        <f ca="1">_xlfn.IFNA(INDEX(武器升级消耗!$Q:$Q,MATCH(玩家节奏2!DY179,武器升级消耗!$H:$H,0))*2*EC$4,0)</f>
        <v>14.080000000000002</v>
      </c>
      <c r="ED179" s="90">
        <f>_xlfn.IFNA(INDEX(武器升级消耗!$Q:$Q,MATCH(玩家节奏2!DZ179,武器升级消耗!$H:$H,0))*2*ED$4,0)</f>
        <v>12.299999999999999</v>
      </c>
    </row>
    <row r="180" spans="1:134" x14ac:dyDescent="0.25">
      <c r="A180" s="123">
        <v>174</v>
      </c>
      <c r="B180" s="123">
        <f>INDEX(关卡对比!$Y:$Y,MATCH(关卡对比!Z180,关卡对比!$AA:$AA,1))</f>
        <v>100</v>
      </c>
      <c r="C180" s="124">
        <f>INDEX(关卡对比!$Y:$Y,MATCH(关卡对比!Z180,关卡对比!$AB:$AB,1))</f>
        <v>76</v>
      </c>
      <c r="D180" s="125">
        <f t="shared" si="189"/>
        <v>669.5</v>
      </c>
      <c r="E180" s="125">
        <v>2</v>
      </c>
      <c r="F180" s="128">
        <v>16</v>
      </c>
      <c r="G180" s="90">
        <v>16</v>
      </c>
      <c r="H180" s="90">
        <v>5</v>
      </c>
      <c r="J180" s="128">
        <v>174</v>
      </c>
      <c r="K180" s="90">
        <f t="shared" si="152"/>
        <v>16</v>
      </c>
      <c r="L180" s="90">
        <f t="shared" si="153"/>
        <v>16</v>
      </c>
      <c r="M180" s="90">
        <f t="shared" si="154"/>
        <v>5</v>
      </c>
      <c r="N180" s="140">
        <f>INDEX($A:$A,MATCH(SUM($K$7:K180),$D:$D,1))</f>
        <v>200</v>
      </c>
      <c r="O180" s="140">
        <v>0</v>
      </c>
      <c r="P180" s="141">
        <v>0</v>
      </c>
      <c r="Q180" s="126">
        <f>_xlfn.MAXIFS(关卡产出!X:X,关卡产出!$A:$A,玩家节奏2!$N$6,关卡产出!$B:$B,玩家节奏2!$N180)+_xlfn.MAXIFS(关卡产出!X:X,关卡产出!$A:$A,玩家节奏2!$O$6,关卡产出!$B:$B,玩家节奏2!$O180)+_xlfn.MAXIFS(关卡产出!X:X,关卡产出!$A:$A,玩家节奏2!$P$6,关卡产出!$B:$B,玩家节奏2!$P180)</f>
        <v>38500</v>
      </c>
      <c r="R180" s="90">
        <f>_xlfn.MAXIFS(关卡产出!Y:Y,关卡产出!$A:$A,玩家节奏2!$N$6,关卡产出!$B:$B,玩家节奏2!$N180)+_xlfn.MAXIFS(关卡产出!Y:Y,关卡产出!$A:$A,玩家节奏2!$O$6,关卡产出!$B:$B,玩家节奏2!$O180)+_xlfn.MAXIFS(关卡产出!Y:Y,关卡产出!$A:$A,玩家节奏2!$P$6,关卡产出!$B:$B,玩家节奏2!$P180)</f>
        <v>11610000</v>
      </c>
      <c r="S180" s="90">
        <f>_xlfn.MAXIFS(关卡产出!Z:Z,关卡产出!$A:$A,玩家节奏2!$N$6,关卡产出!$B:$B,玩家节奏2!$N180)+_xlfn.MAXIFS(关卡产出!Z:Z,关卡产出!$A:$A,玩家节奏2!$O$6,关卡产出!$B:$B,玩家节奏2!$O180)+_xlfn.MAXIFS(关卡产出!Z:Z,关卡产出!$A:$A,玩家节奏2!$P$6,关卡产出!$B:$B,玩家节奏2!$P180)</f>
        <v>78866</v>
      </c>
      <c r="T180" s="90">
        <f>_xlfn.MAXIFS(关卡产出!AA:AA,关卡产出!$A:$A,玩家节奏2!$N$6,关卡产出!$B:$B,玩家节奏2!$N180)+_xlfn.MAXIFS(关卡产出!AA:AA,关卡产出!$A:$A,玩家节奏2!$O$6,关卡产出!$B:$B,玩家节奏2!$O180)+_xlfn.MAXIFS(关卡产出!AA:AA,关卡产出!$A:$A,玩家节奏2!$P$6,关卡产出!$B:$B,玩家节奏2!$P180)</f>
        <v>39434</v>
      </c>
      <c r="U180" s="90">
        <f>_xlfn.MAXIFS(关卡产出!AB:AB,关卡产出!$A:$A,玩家节奏2!$N$6,关卡产出!$B:$B,玩家节奏2!$N180)+_xlfn.MAXIFS(关卡产出!AB:AB,关卡产出!$A:$A,玩家节奏2!$O$6,关卡产出!$B:$B,玩家节奏2!$O180)+_xlfn.MAXIFS(关卡产出!AB:AB,关卡产出!$A:$A,玩家节奏2!$P$6,关卡产出!$B:$B,玩家节奏2!$P180)</f>
        <v>19113</v>
      </c>
      <c r="V180" s="130">
        <f>_xlfn.MAXIFS(关卡产出!AC:AC,关卡产出!$A:$A,玩家节奏2!$N$6,关卡产出!$B:$B,玩家节奏2!$N180)+_xlfn.MAXIFS(关卡产出!AC:AC,关卡产出!$A:$A,玩家节奏2!$O$6,关卡产出!$B:$B,玩家节奏2!$O180)+_xlfn.MAXIFS(关卡产出!AC:AC,关卡产出!$A:$A,玩家节奏2!$P$6,关卡产出!$B:$B,玩家节奏2!$P180)</f>
        <v>1200</v>
      </c>
      <c r="W180" s="126">
        <f>INDEX(关卡产出!C$8:C$207,MATCH(玩家节奏2!$N180,关卡产出!$B$8:$B$207,0))*$K180</f>
        <v>2528</v>
      </c>
      <c r="X180" s="126">
        <f>INDEX(关卡产出!D$8:D$207,MATCH(玩家节奏2!$N180,关卡产出!$B$8:$B$207,0))*$K180</f>
        <v>1264</v>
      </c>
      <c r="Y180" s="126">
        <f>INDEX(关卡产出!E$8:E$207,MATCH(玩家节奏2!$N180,关卡产出!$B$8:$B$207,0))*$K180</f>
        <v>624</v>
      </c>
      <c r="Z180" s="144">
        <f>INDEX(关卡产出!F$8:F$207,MATCH(玩家节奏2!$N180,关卡产出!$B$8:$B$207,0))*$K180</f>
        <v>32800</v>
      </c>
      <c r="AA180" s="126">
        <f>SUM(W$7:W180)</f>
        <v>381742</v>
      </c>
      <c r="AB180" s="126">
        <f>SUM(X$7:X180)</f>
        <v>190707</v>
      </c>
      <c r="AC180" s="126">
        <f>SUM(Y$7:Y180)</f>
        <v>93923</v>
      </c>
      <c r="AD180" s="177">
        <f>SUM(Z$7:Z180)</f>
        <v>4980730</v>
      </c>
      <c r="AE180" s="128">
        <f>INDEX(图鉴!AQ:AQ,MATCH($N180,图鉴!$S:$S,0))*34</f>
        <v>714</v>
      </c>
      <c r="AF180" s="90">
        <f>INDEX(图鉴!AR:AR,MATCH($N180,图鉴!$S:$S,0))*34</f>
        <v>510</v>
      </c>
      <c r="AG180" s="90">
        <f>INDEX(图鉴!AS:AS,MATCH($N180,图鉴!$S:$S,0))*34</f>
        <v>204</v>
      </c>
      <c r="AH180" s="129">
        <f ca="1">INDEX(图鉴!AT:AT,MATCH($N180,图鉴!$S:$S,0))*34</f>
        <v>55930</v>
      </c>
      <c r="AI180" s="128">
        <f>SUM($AE$7:AE180)</f>
        <v>122332</v>
      </c>
      <c r="AJ180" s="90">
        <f>SUM(AF$7:AF180)</f>
        <v>85272</v>
      </c>
      <c r="AK180" s="90">
        <f>SUM(AG$7:AG180)</f>
        <v>33558</v>
      </c>
      <c r="AL180" s="130">
        <f ca="1">SUM(AH$7:AH180)</f>
        <v>8902186</v>
      </c>
      <c r="AM180" s="133">
        <f>IF(M180=0,0,INDEX(关卡产出!$AU$11:$AU$15,MATCH(玩家节奏2!N180,关卡产出!$AW$11:$AW$15,1))*M180)</f>
        <v>61000</v>
      </c>
      <c r="AN180" s="126">
        <f>IF(L180=0,0,$L180*关卡产出!AU$21)</f>
        <v>16000</v>
      </c>
      <c r="AO180" s="90">
        <f>IF(M180=0,0,$L180*关卡产出!AV$21)</f>
        <v>800</v>
      </c>
      <c r="AP180" s="129">
        <f>IF(N180=0,0,$L180*关卡产出!AW$21)</f>
        <v>16</v>
      </c>
      <c r="AQ180" s="138">
        <f>SUM(AN$7:AN180)</f>
        <v>2736000</v>
      </c>
      <c r="AR180" s="126">
        <f>SUM(AO$7:AO180)</f>
        <v>136800</v>
      </c>
      <c r="AS180" s="129">
        <f>SUM(AP$7:AP180)</f>
        <v>2736</v>
      </c>
      <c r="AT180" s="128">
        <v>3000</v>
      </c>
      <c r="AU180" s="129">
        <v>600</v>
      </c>
      <c r="AV180" s="128">
        <f>SUM(AT$7:AT180)</f>
        <v>522000</v>
      </c>
      <c r="AW180" s="90">
        <f>SUM(AU$7:AU180)</f>
        <v>104400</v>
      </c>
      <c r="AY180" s="128">
        <f t="shared" si="155"/>
        <v>38500</v>
      </c>
      <c r="AZ180" s="90">
        <f t="shared" si="156"/>
        <v>136800</v>
      </c>
      <c r="BA180" s="90">
        <f t="shared" si="157"/>
        <v>104400</v>
      </c>
      <c r="BB180" s="90">
        <f t="shared" ca="1" si="185"/>
        <v>40800</v>
      </c>
      <c r="BC180" s="90">
        <f t="shared" ca="1" si="187"/>
        <v>162425</v>
      </c>
      <c r="BD180" s="90">
        <f t="shared" ca="1" si="188"/>
        <v>158075</v>
      </c>
      <c r="BE180" s="90">
        <f t="shared" ca="1" si="158"/>
        <v>320500</v>
      </c>
      <c r="BF180" s="142">
        <f t="shared" ca="1" si="192"/>
        <v>0.23703247652762813</v>
      </c>
      <c r="BG180" s="142">
        <f t="shared" ca="1" si="193"/>
        <v>0.84223487763583194</v>
      </c>
      <c r="BH180" s="142">
        <f t="shared" ca="1" si="194"/>
        <v>0.64275819609050333</v>
      </c>
      <c r="BI180" s="142">
        <f t="shared" ca="1" si="197"/>
        <v>0.25119285824226567</v>
      </c>
      <c r="BJ180" s="143"/>
      <c r="BK180" s="128">
        <f ca="1">INDEX(商城宝箱!$L:$L,MATCH(BC180,商城宝箱!$N:$N,1))</f>
        <v>13</v>
      </c>
      <c r="BL180" s="90">
        <f ca="1">_xlfn.IFNA(INDEX(商城宝箱!T:T,MATCH(玩家节奏2!$BK180,商城宝箱!$L:$L,0)),0)+($BC180-INDEX(商城宝箱!$N:$N,MATCH(玩家节奏2!$BK180,商城宝箱!$L:$L,0)))/$BK$5*INDEX(商城宝箱!E$23:E$42,MATCH(玩家节奏2!$BK180+1,商城宝箱!$C$23:$C$42,0))</f>
        <v>406062.5</v>
      </c>
      <c r="BM180" s="90">
        <f ca="1">_xlfn.IFNA(INDEX(商城宝箱!U:U,MATCH(玩家节奏2!$BK180,商城宝箱!$L:$L,0)),0)+($BC180-INDEX(商城宝箱!$N:$N,MATCH(玩家节奏2!$BK180,商城宝箱!$L:$L,0)))/$BK$5*INDEX(商城宝箱!F$23:F$42,MATCH(玩家节奏2!$BK180+1,商城宝箱!$C$23:$C$42,0))</f>
        <v>518690</v>
      </c>
      <c r="BN180" s="90">
        <f ca="1">_xlfn.IFNA(INDEX(商城宝箱!V:V,MATCH(玩家节奏2!$BK180,商城宝箱!$L:$L,0)),0)+($BC180-INDEX(商城宝箱!$N:$N,MATCH(玩家节奏2!$BK180,商城宝箱!$L:$L,0)))/$BK$5*INDEX(商城宝箱!G$23:G$42,MATCH(玩家节奏2!$BK180+1,商城宝箱!$C$23:$C$42,0))</f>
        <v>258118.25</v>
      </c>
      <c r="BO180" s="90">
        <f ca="1">_xlfn.IFNA(INDEX(商城宝箱!W:W,MATCH(玩家节奏2!$BK180,商城宝箱!$L:$L,0)),0)+($BC180-INDEX(商城宝箱!$N:$N,MATCH(玩家节奏2!$BK180,商城宝箱!$L:$L,0)))/$BK$5*INDEX(商城宝箱!H$23:H$42,MATCH(玩家节奏2!$BK180+1,商城宝箱!$C$23:$C$42,0))</f>
        <v>42561.5</v>
      </c>
      <c r="BQ180" s="128">
        <f t="shared" si="143"/>
        <v>11610000</v>
      </c>
      <c r="BR180" s="90">
        <f t="shared" si="144"/>
        <v>4980730</v>
      </c>
      <c r="BS180" s="90">
        <f t="shared" ca="1" si="195"/>
        <v>8902186</v>
      </c>
      <c r="BT180" s="90">
        <f t="shared" si="196"/>
        <v>61000</v>
      </c>
      <c r="BU180" s="90">
        <f t="shared" si="147"/>
        <v>2736000</v>
      </c>
      <c r="BV180" s="90">
        <f t="shared" si="148"/>
        <v>522000</v>
      </c>
      <c r="BW180" s="90">
        <f t="shared" ca="1" si="160"/>
        <v>406062.5</v>
      </c>
      <c r="BX180" s="90">
        <f t="shared" ca="1" si="161"/>
        <v>29217978.5</v>
      </c>
      <c r="BY180" s="142">
        <f t="shared" ca="1" si="191"/>
        <v>0.3973580855362735</v>
      </c>
      <c r="BZ180" s="142">
        <f t="shared" ca="1" si="191"/>
        <v>0.17046798771516652</v>
      </c>
      <c r="CA180" s="142">
        <f t="shared" ca="1" si="191"/>
        <v>0.30468179035726239</v>
      </c>
      <c r="CB180" s="142">
        <f t="shared" ca="1" si="190"/>
        <v>2.0877556604403688E-3</v>
      </c>
      <c r="CC180" s="142">
        <f t="shared" ca="1" si="190"/>
        <v>9.3640975196145074E-2</v>
      </c>
      <c r="CD180" s="142">
        <f t="shared" ca="1" si="190"/>
        <v>1.786571237294873E-2</v>
      </c>
      <c r="CE180" s="142">
        <f t="shared" ca="1" si="190"/>
        <v>1.3897693161763399E-2</v>
      </c>
      <c r="CG180" s="128">
        <f t="shared" si="162"/>
        <v>200</v>
      </c>
      <c r="CH180" s="90">
        <f ca="1">INDEX(角色升级!$A:$A,MATCH(玩家节奏2!$BX180,角色升级!$J:$J,1))</f>
        <v>1047</v>
      </c>
      <c r="CI180" s="90">
        <f ca="1">INDEX(角色升级!$O:$O,MATCH(玩家节奏2!$BX180,角色升级!$J:$J,1))</f>
        <v>99294.156750000009</v>
      </c>
      <c r="CJ180" s="90">
        <f>INDEX(关卡对比!$J:$J,MATCH(玩家节奏2!N180,关卡对比!$A:$A,0))</f>
        <v>86200</v>
      </c>
      <c r="CK180" s="147">
        <f t="shared" ca="1" si="163"/>
        <v>0.8681276202086281</v>
      </c>
      <c r="CL180" s="128">
        <f ca="1">INDEX(角色升级!$P:$P,MATCH(玩家节奏2!$CH180,角色升级!$A:$A,0))</f>
        <v>40800</v>
      </c>
      <c r="CM180" s="90">
        <f ca="1">INDEX(角色升级!Q:Q,MATCH(玩家节奏2!$CH180,角色升级!$A:$A,0))</f>
        <v>2.2000000000000002</v>
      </c>
      <c r="CO180" s="128">
        <f t="shared" si="164"/>
        <v>78866</v>
      </c>
      <c r="CP180" s="90">
        <f t="shared" si="165"/>
        <v>381742</v>
      </c>
      <c r="CQ180" s="90">
        <f t="shared" si="166"/>
        <v>122332</v>
      </c>
      <c r="CR180" s="90">
        <f t="shared" ca="1" si="167"/>
        <v>518690</v>
      </c>
      <c r="CS180" s="90">
        <f t="shared" ca="1" si="168"/>
        <v>1101630</v>
      </c>
      <c r="CT180" s="142">
        <f t="shared" ca="1" si="169"/>
        <v>7.1590279858028558E-2</v>
      </c>
      <c r="CU180" s="142">
        <f t="shared" ca="1" si="169"/>
        <v>0.34652469522434937</v>
      </c>
      <c r="CV180" s="142">
        <f t="shared" ca="1" si="169"/>
        <v>0.11104635857774389</v>
      </c>
      <c r="CW180" s="142">
        <f t="shared" ca="1" si="149"/>
        <v>0.4708386663398782</v>
      </c>
      <c r="CY180" s="128">
        <f t="shared" si="170"/>
        <v>39434</v>
      </c>
      <c r="CZ180" s="90">
        <f t="shared" si="171"/>
        <v>190707</v>
      </c>
      <c r="DA180" s="90">
        <f t="shared" si="172"/>
        <v>85272</v>
      </c>
      <c r="DB180" s="90">
        <f t="shared" ca="1" si="186"/>
        <v>258118.25</v>
      </c>
      <c r="DC180" s="90">
        <f t="shared" ca="1" si="173"/>
        <v>573531.25</v>
      </c>
      <c r="DD180" s="142">
        <f t="shared" ca="1" si="174"/>
        <v>6.8756497575328285E-2</v>
      </c>
      <c r="DE180" s="142">
        <f t="shared" ca="1" si="174"/>
        <v>0.3325137034817196</v>
      </c>
      <c r="DF180" s="142">
        <f t="shared" ca="1" si="174"/>
        <v>0.14867890808042281</v>
      </c>
      <c r="DG180" s="142">
        <f t="shared" ca="1" si="150"/>
        <v>0.45005089086252931</v>
      </c>
      <c r="DI180" s="128">
        <f t="shared" si="175"/>
        <v>19113</v>
      </c>
      <c r="DJ180" s="90">
        <f t="shared" si="176"/>
        <v>93923</v>
      </c>
      <c r="DK180" s="90">
        <f t="shared" si="177"/>
        <v>33558</v>
      </c>
      <c r="DL180" s="90">
        <f t="shared" ca="1" si="178"/>
        <v>42561.5</v>
      </c>
      <c r="DM180" s="90">
        <f t="shared" ca="1" si="179"/>
        <v>189155.5</v>
      </c>
      <c r="DN180" s="142">
        <f t="shared" ca="1" si="180"/>
        <v>0.10104385016560449</v>
      </c>
      <c r="DO180" s="142">
        <f t="shared" ca="1" si="180"/>
        <v>0.49653856218825254</v>
      </c>
      <c r="DP180" s="142">
        <f t="shared" ca="1" si="180"/>
        <v>0.17740959157941483</v>
      </c>
      <c r="DQ180" s="142">
        <f t="shared" ca="1" si="151"/>
        <v>0.22500799606672817</v>
      </c>
      <c r="DS180" s="128">
        <f t="shared" ca="1" si="181"/>
        <v>1101630</v>
      </c>
      <c r="DT180" s="90">
        <f t="shared" ca="1" si="182"/>
        <v>573531.25</v>
      </c>
      <c r="DU180" s="90">
        <f t="shared" ca="1" si="183"/>
        <v>189155.5</v>
      </c>
      <c r="DV180" s="90">
        <f t="shared" si="184"/>
        <v>2736</v>
      </c>
      <c r="DW180" s="90">
        <f ca="1">_xlfn.IFNA(INDEX(武器升级消耗!$H:$H,MATCH(玩家节奏2!DS180/玩家节奏2!DS$5,武器升级消耗!M:M,1)),0)</f>
        <v>90</v>
      </c>
      <c r="DX180" s="90">
        <f ca="1">_xlfn.IFNA(INDEX(武器升级消耗!$H:$H,MATCH(玩家节奏2!DT180/玩家节奏2!DT$5,武器升级消耗!N:N,1)),0)</f>
        <v>79</v>
      </c>
      <c r="DY180" s="90">
        <f ca="1">_xlfn.IFNA(INDEX(武器升级消耗!$H:$H,MATCH(玩家节奏2!DU180/玩家节奏2!DU$5,武器升级消耗!O:O,1)),0)</f>
        <v>60</v>
      </c>
      <c r="DZ180" s="90">
        <f>_xlfn.IFNA(INDEX(武器升级消耗!$H:$H,MATCH(玩家节奏2!DV180/玩家节奏2!DV$5,武器升级消耗!P:P,1)),0)</f>
        <v>37</v>
      </c>
      <c r="EA180" s="90">
        <f ca="1">_xlfn.IFNA(INDEX(武器升级消耗!$Q:$Q,MATCH(玩家节奏2!DW180,武器升级消耗!$H:$H,0))*2*EA$4,0)</f>
        <v>11.279999999999987</v>
      </c>
      <c r="EB180" s="90">
        <f ca="1">_xlfn.IFNA(INDEX(武器升级消耗!$Q:$Q,MATCH(玩家节奏2!DX180,武器升级消耗!$H:$H,0))*2*EB$4,0)</f>
        <v>12.449999999999985</v>
      </c>
      <c r="EC180" s="90">
        <f ca="1">_xlfn.IFNA(INDEX(武器升级消耗!$Q:$Q,MATCH(玩家节奏2!DY180,武器升级消耗!$H:$H,0))*2*EC$4,0)</f>
        <v>14.080000000000002</v>
      </c>
      <c r="ED180" s="90">
        <f>_xlfn.IFNA(INDEX(武器升级消耗!$Q:$Q,MATCH(玩家节奏2!DZ180,武器升级消耗!$H:$H,0))*2*ED$4,0)</f>
        <v>12.299999999999999</v>
      </c>
    </row>
    <row r="181" spans="1:134" x14ac:dyDescent="0.25">
      <c r="A181" s="123">
        <v>175</v>
      </c>
      <c r="B181" s="123">
        <f>INDEX(关卡对比!$Y:$Y,MATCH(关卡对比!Z181,关卡对比!$AA:$AA,1))</f>
        <v>101</v>
      </c>
      <c r="C181" s="124">
        <f>INDEX(关卡对比!$Y:$Y,MATCH(关卡对比!Z181,关卡对比!$AB:$AB,1))</f>
        <v>76</v>
      </c>
      <c r="D181" s="125">
        <f t="shared" si="189"/>
        <v>673.5</v>
      </c>
      <c r="E181" s="125">
        <v>2</v>
      </c>
      <c r="F181" s="128">
        <v>16</v>
      </c>
      <c r="G181" s="90">
        <v>16</v>
      </c>
      <c r="H181" s="90">
        <v>5</v>
      </c>
      <c r="J181" s="128">
        <v>175</v>
      </c>
      <c r="K181" s="90">
        <f t="shared" si="152"/>
        <v>16</v>
      </c>
      <c r="L181" s="90">
        <f t="shared" si="153"/>
        <v>16</v>
      </c>
      <c r="M181" s="90">
        <f t="shared" si="154"/>
        <v>5</v>
      </c>
      <c r="N181" s="140">
        <f>INDEX($A:$A,MATCH(SUM($K$7:K181),$D:$D,1))</f>
        <v>200</v>
      </c>
      <c r="O181" s="140">
        <v>0</v>
      </c>
      <c r="P181" s="141">
        <v>0</v>
      </c>
      <c r="Q181" s="126">
        <f>_xlfn.MAXIFS(关卡产出!X:X,关卡产出!$A:$A,玩家节奏2!$N$6,关卡产出!$B:$B,玩家节奏2!$N181)+_xlfn.MAXIFS(关卡产出!X:X,关卡产出!$A:$A,玩家节奏2!$O$6,关卡产出!$B:$B,玩家节奏2!$O181)+_xlfn.MAXIFS(关卡产出!X:X,关卡产出!$A:$A,玩家节奏2!$P$6,关卡产出!$B:$B,玩家节奏2!$P181)</f>
        <v>38500</v>
      </c>
      <c r="R181" s="90">
        <f>_xlfn.MAXIFS(关卡产出!Y:Y,关卡产出!$A:$A,玩家节奏2!$N$6,关卡产出!$B:$B,玩家节奏2!$N181)+_xlfn.MAXIFS(关卡产出!Y:Y,关卡产出!$A:$A,玩家节奏2!$O$6,关卡产出!$B:$B,玩家节奏2!$O181)+_xlfn.MAXIFS(关卡产出!Y:Y,关卡产出!$A:$A,玩家节奏2!$P$6,关卡产出!$B:$B,玩家节奏2!$P181)</f>
        <v>11610000</v>
      </c>
      <c r="S181" s="90">
        <f>_xlfn.MAXIFS(关卡产出!Z:Z,关卡产出!$A:$A,玩家节奏2!$N$6,关卡产出!$B:$B,玩家节奏2!$N181)+_xlfn.MAXIFS(关卡产出!Z:Z,关卡产出!$A:$A,玩家节奏2!$O$6,关卡产出!$B:$B,玩家节奏2!$O181)+_xlfn.MAXIFS(关卡产出!Z:Z,关卡产出!$A:$A,玩家节奏2!$P$6,关卡产出!$B:$B,玩家节奏2!$P181)</f>
        <v>78866</v>
      </c>
      <c r="T181" s="90">
        <f>_xlfn.MAXIFS(关卡产出!AA:AA,关卡产出!$A:$A,玩家节奏2!$N$6,关卡产出!$B:$B,玩家节奏2!$N181)+_xlfn.MAXIFS(关卡产出!AA:AA,关卡产出!$A:$A,玩家节奏2!$O$6,关卡产出!$B:$B,玩家节奏2!$O181)+_xlfn.MAXIFS(关卡产出!AA:AA,关卡产出!$A:$A,玩家节奏2!$P$6,关卡产出!$B:$B,玩家节奏2!$P181)</f>
        <v>39434</v>
      </c>
      <c r="U181" s="90">
        <f>_xlfn.MAXIFS(关卡产出!AB:AB,关卡产出!$A:$A,玩家节奏2!$N$6,关卡产出!$B:$B,玩家节奏2!$N181)+_xlfn.MAXIFS(关卡产出!AB:AB,关卡产出!$A:$A,玩家节奏2!$O$6,关卡产出!$B:$B,玩家节奏2!$O181)+_xlfn.MAXIFS(关卡产出!AB:AB,关卡产出!$A:$A,玩家节奏2!$P$6,关卡产出!$B:$B,玩家节奏2!$P181)</f>
        <v>19113</v>
      </c>
      <c r="V181" s="130">
        <f>_xlfn.MAXIFS(关卡产出!AC:AC,关卡产出!$A:$A,玩家节奏2!$N$6,关卡产出!$B:$B,玩家节奏2!$N181)+_xlfn.MAXIFS(关卡产出!AC:AC,关卡产出!$A:$A,玩家节奏2!$O$6,关卡产出!$B:$B,玩家节奏2!$O181)+_xlfn.MAXIFS(关卡产出!AC:AC,关卡产出!$A:$A,玩家节奏2!$P$6,关卡产出!$B:$B,玩家节奏2!$P181)</f>
        <v>1200</v>
      </c>
      <c r="W181" s="126">
        <f>INDEX(关卡产出!C$8:C$207,MATCH(玩家节奏2!$N181,关卡产出!$B$8:$B$207,0))*$K181</f>
        <v>2528</v>
      </c>
      <c r="X181" s="126">
        <f>INDEX(关卡产出!D$8:D$207,MATCH(玩家节奏2!$N181,关卡产出!$B$8:$B$207,0))*$K181</f>
        <v>1264</v>
      </c>
      <c r="Y181" s="126">
        <f>INDEX(关卡产出!E$8:E$207,MATCH(玩家节奏2!$N181,关卡产出!$B$8:$B$207,0))*$K181</f>
        <v>624</v>
      </c>
      <c r="Z181" s="144">
        <f>INDEX(关卡产出!F$8:F$207,MATCH(玩家节奏2!$N181,关卡产出!$B$8:$B$207,0))*$K181</f>
        <v>32800</v>
      </c>
      <c r="AA181" s="126">
        <f>SUM(W$7:W181)</f>
        <v>384270</v>
      </c>
      <c r="AB181" s="126">
        <f>SUM(X$7:X181)</f>
        <v>191971</v>
      </c>
      <c r="AC181" s="126">
        <f>SUM(Y$7:Y181)</f>
        <v>94547</v>
      </c>
      <c r="AD181" s="177">
        <f>SUM(Z$7:Z181)</f>
        <v>5013530</v>
      </c>
      <c r="AE181" s="128">
        <f>INDEX(图鉴!AQ:AQ,MATCH($N181,图鉴!$S:$S,0))*34</f>
        <v>714</v>
      </c>
      <c r="AF181" s="90">
        <f>INDEX(图鉴!AR:AR,MATCH($N181,图鉴!$S:$S,0))*34</f>
        <v>510</v>
      </c>
      <c r="AG181" s="90">
        <f>INDEX(图鉴!AS:AS,MATCH($N181,图鉴!$S:$S,0))*34</f>
        <v>204</v>
      </c>
      <c r="AH181" s="129">
        <f ca="1">INDEX(图鉴!AT:AT,MATCH($N181,图鉴!$S:$S,0))*34</f>
        <v>55930</v>
      </c>
      <c r="AI181" s="128">
        <f>SUM($AE$7:AE181)</f>
        <v>123046</v>
      </c>
      <c r="AJ181" s="90">
        <f>SUM(AF$7:AF181)</f>
        <v>85782</v>
      </c>
      <c r="AK181" s="90">
        <f>SUM(AG$7:AG181)</f>
        <v>33762</v>
      </c>
      <c r="AL181" s="130">
        <f ca="1">SUM(AH$7:AH181)</f>
        <v>8958116</v>
      </c>
      <c r="AM181" s="133">
        <f>IF(M181=0,0,INDEX(关卡产出!$AU$11:$AU$15,MATCH(玩家节奏2!N181,关卡产出!$AW$11:$AW$15,1))*M181)</f>
        <v>61000</v>
      </c>
      <c r="AN181" s="126">
        <f>IF(L181=0,0,$L181*关卡产出!AU$21)</f>
        <v>16000</v>
      </c>
      <c r="AO181" s="90">
        <f>IF(M181=0,0,$L181*关卡产出!AV$21)</f>
        <v>800</v>
      </c>
      <c r="AP181" s="129">
        <f>IF(N181=0,0,$L181*关卡产出!AW$21)</f>
        <v>16</v>
      </c>
      <c r="AQ181" s="138">
        <f>SUM(AN$7:AN181)</f>
        <v>2752000</v>
      </c>
      <c r="AR181" s="126">
        <f>SUM(AO$7:AO181)</f>
        <v>137600</v>
      </c>
      <c r="AS181" s="129">
        <f>SUM(AP$7:AP181)</f>
        <v>2752</v>
      </c>
      <c r="AT181" s="128">
        <v>3000</v>
      </c>
      <c r="AU181" s="129">
        <v>600</v>
      </c>
      <c r="AV181" s="128">
        <f>SUM(AT$7:AT181)</f>
        <v>525000</v>
      </c>
      <c r="AW181" s="90">
        <f>SUM(AU$7:AU181)</f>
        <v>105000</v>
      </c>
      <c r="AY181" s="128">
        <f t="shared" si="155"/>
        <v>38500</v>
      </c>
      <c r="AZ181" s="90">
        <f t="shared" si="156"/>
        <v>137600</v>
      </c>
      <c r="BA181" s="90">
        <f t="shared" si="157"/>
        <v>105000</v>
      </c>
      <c r="BB181" s="90">
        <f t="shared" ca="1" si="185"/>
        <v>40800</v>
      </c>
      <c r="BC181" s="90">
        <f t="shared" ca="1" si="187"/>
        <v>163125</v>
      </c>
      <c r="BD181" s="90">
        <f t="shared" ca="1" si="188"/>
        <v>158775</v>
      </c>
      <c r="BE181" s="90">
        <f t="shared" ca="1" si="158"/>
        <v>321900</v>
      </c>
      <c r="BF181" s="142">
        <f t="shared" ca="1" si="192"/>
        <v>0.23601532567049807</v>
      </c>
      <c r="BG181" s="142">
        <f t="shared" ca="1" si="193"/>
        <v>0.84352490421455939</v>
      </c>
      <c r="BH181" s="142">
        <f t="shared" ca="1" si="194"/>
        <v>0.64367816091954022</v>
      </c>
      <c r="BI181" s="142">
        <f t="shared" ca="1" si="197"/>
        <v>0.25011494252873562</v>
      </c>
      <c r="BJ181" s="143"/>
      <c r="BK181" s="128">
        <f ca="1">INDEX(商城宝箱!$L:$L,MATCH(BC181,商城宝箱!$N:$N,1))</f>
        <v>13</v>
      </c>
      <c r="BL181" s="90">
        <f ca="1">_xlfn.IFNA(INDEX(商城宝箱!T:T,MATCH(玩家节奏2!$BK181,商城宝箱!$L:$L,0)),0)+($BC181-INDEX(商城宝箱!$N:$N,MATCH(玩家节奏2!$BK181,商城宝箱!$L:$L,0)))/$BK$5*INDEX(商城宝箱!E$23:E$42,MATCH(玩家节奏2!$BK181+1,商城宝箱!$C$23:$C$42,0))</f>
        <v>407812.5</v>
      </c>
      <c r="BM181" s="90">
        <f ca="1">_xlfn.IFNA(INDEX(商城宝箱!U:U,MATCH(玩家节奏2!$BK181,商城宝箱!$L:$L,0)),0)+($BC181-INDEX(商城宝箱!$N:$N,MATCH(玩家节奏2!$BK181,商城宝箱!$L:$L,0)))/$BK$5*INDEX(商城宝箱!F$23:F$42,MATCH(玩家节奏2!$BK181+1,商城宝箱!$C$23:$C$42,0))</f>
        <v>521980</v>
      </c>
      <c r="BN181" s="90">
        <f ca="1">_xlfn.IFNA(INDEX(商城宝箱!V:V,MATCH(玩家节奏2!$BK181,商城宝箱!$L:$L,0)),0)+($BC181-INDEX(商城宝箱!$N:$N,MATCH(玩家节奏2!$BK181,商城宝箱!$L:$L,0)))/$BK$5*INDEX(商城宝箱!G$23:G$42,MATCH(玩家节奏2!$BK181+1,商城宝箱!$C$23:$C$42,0))</f>
        <v>259693.25</v>
      </c>
      <c r="BO181" s="90">
        <f ca="1">_xlfn.IFNA(INDEX(商城宝箱!W:W,MATCH(玩家节奏2!$BK181,商城宝箱!$L:$L,0)),0)+($BC181-INDEX(商城宝箱!$N:$N,MATCH(玩家节奏2!$BK181,商城宝箱!$L:$L,0)))/$BK$5*INDEX(商城宝箱!H$23:H$42,MATCH(玩家节奏2!$BK181+1,商城宝箱!$C$23:$C$42,0))</f>
        <v>42841.5</v>
      </c>
      <c r="BQ181" s="128">
        <f t="shared" si="143"/>
        <v>11610000</v>
      </c>
      <c r="BR181" s="90">
        <f t="shared" si="144"/>
        <v>5013530</v>
      </c>
      <c r="BS181" s="90">
        <f t="shared" ca="1" si="195"/>
        <v>8958116</v>
      </c>
      <c r="BT181" s="90">
        <f t="shared" si="196"/>
        <v>61000</v>
      </c>
      <c r="BU181" s="90">
        <f t="shared" si="147"/>
        <v>2752000</v>
      </c>
      <c r="BV181" s="90">
        <f t="shared" si="148"/>
        <v>525000</v>
      </c>
      <c r="BW181" s="90">
        <f t="shared" ca="1" si="160"/>
        <v>407812.5</v>
      </c>
      <c r="BX181" s="90">
        <f t="shared" ca="1" si="161"/>
        <v>29327458.5</v>
      </c>
      <c r="BY181" s="142">
        <f t="shared" ca="1" si="191"/>
        <v>0.39587473970852266</v>
      </c>
      <c r="BZ181" s="142">
        <f t="shared" ca="1" si="191"/>
        <v>0.17095003305519979</v>
      </c>
      <c r="CA181" s="142">
        <f t="shared" ca="1" si="191"/>
        <v>0.30545149352099499</v>
      </c>
      <c r="CB181" s="142">
        <f t="shared" ca="1" si="190"/>
        <v>2.0799620260309975E-3</v>
      </c>
      <c r="CC181" s="142">
        <f t="shared" ca="1" si="190"/>
        <v>9.3836975338316475E-2</v>
      </c>
      <c r="CD181" s="142">
        <f t="shared" ca="1" si="190"/>
        <v>1.790131251911924E-2</v>
      </c>
      <c r="CE181" s="142">
        <f t="shared" ca="1" si="190"/>
        <v>1.390548383181584E-2</v>
      </c>
      <c r="CG181" s="128">
        <f t="shared" si="162"/>
        <v>200</v>
      </c>
      <c r="CH181" s="90">
        <f ca="1">INDEX(角色升级!$A:$A,MATCH(玩家节奏2!$BX181,角色升级!$J:$J,1))</f>
        <v>1047</v>
      </c>
      <c r="CI181" s="90">
        <f ca="1">INDEX(角色升级!$O:$O,MATCH(玩家节奏2!$BX181,角色升级!$J:$J,1))</f>
        <v>99294.156750000009</v>
      </c>
      <c r="CJ181" s="90">
        <f>INDEX(关卡对比!$J:$J,MATCH(玩家节奏2!N181,关卡对比!$A:$A,0))</f>
        <v>86200</v>
      </c>
      <c r="CK181" s="147">
        <f t="shared" ca="1" si="163"/>
        <v>0.8681276202086281</v>
      </c>
      <c r="CL181" s="128">
        <f ca="1">INDEX(角色升级!$P:$P,MATCH(玩家节奏2!$CH181,角色升级!$A:$A,0))</f>
        <v>40800</v>
      </c>
      <c r="CM181" s="90">
        <f ca="1">INDEX(角色升级!Q:Q,MATCH(玩家节奏2!$CH181,角色升级!$A:$A,0))</f>
        <v>2.2000000000000002</v>
      </c>
      <c r="CO181" s="128">
        <f t="shared" si="164"/>
        <v>78866</v>
      </c>
      <c r="CP181" s="90">
        <f t="shared" si="165"/>
        <v>384270</v>
      </c>
      <c r="CQ181" s="90">
        <f t="shared" si="166"/>
        <v>123046</v>
      </c>
      <c r="CR181" s="90">
        <f t="shared" ca="1" si="167"/>
        <v>521980</v>
      </c>
      <c r="CS181" s="90">
        <f t="shared" ca="1" si="168"/>
        <v>1108162</v>
      </c>
      <c r="CT181" s="142">
        <f t="shared" ca="1" si="169"/>
        <v>7.1168294888292502E-2</v>
      </c>
      <c r="CU181" s="142">
        <f t="shared" ca="1" si="169"/>
        <v>0.34676337936150131</v>
      </c>
      <c r="CV181" s="142">
        <f t="shared" ca="1" si="169"/>
        <v>0.11103611204859939</v>
      </c>
      <c r="CW181" s="142">
        <f t="shared" ca="1" si="149"/>
        <v>0.47103221370160681</v>
      </c>
      <c r="CY181" s="128">
        <f t="shared" si="170"/>
        <v>39434</v>
      </c>
      <c r="CZ181" s="90">
        <f t="shared" si="171"/>
        <v>191971</v>
      </c>
      <c r="DA181" s="90">
        <f t="shared" si="172"/>
        <v>85782</v>
      </c>
      <c r="DB181" s="90">
        <f t="shared" ca="1" si="186"/>
        <v>259693.25</v>
      </c>
      <c r="DC181" s="90">
        <f t="shared" ca="1" si="173"/>
        <v>576880.25</v>
      </c>
      <c r="DD181" s="142">
        <f t="shared" ca="1" si="174"/>
        <v>6.8357341059951351E-2</v>
      </c>
      <c r="DE181" s="142">
        <f t="shared" ca="1" si="174"/>
        <v>0.33277443628898717</v>
      </c>
      <c r="DF181" s="142">
        <f t="shared" ca="1" si="174"/>
        <v>0.14869983848467686</v>
      </c>
      <c r="DG181" s="142">
        <f t="shared" ca="1" si="150"/>
        <v>0.45016838416638461</v>
      </c>
      <c r="DI181" s="128">
        <f t="shared" si="175"/>
        <v>19113</v>
      </c>
      <c r="DJ181" s="90">
        <f t="shared" si="176"/>
        <v>94547</v>
      </c>
      <c r="DK181" s="90">
        <f t="shared" si="177"/>
        <v>33762</v>
      </c>
      <c r="DL181" s="90">
        <f t="shared" ca="1" si="178"/>
        <v>42841.5</v>
      </c>
      <c r="DM181" s="90">
        <f t="shared" ca="1" si="179"/>
        <v>190263.5</v>
      </c>
      <c r="DN181" s="142">
        <f t="shared" ca="1" si="180"/>
        <v>0.10045542103451266</v>
      </c>
      <c r="DO181" s="142">
        <f t="shared" ca="1" si="180"/>
        <v>0.49692663069900428</v>
      </c>
      <c r="DP181" s="142">
        <f t="shared" ca="1" si="180"/>
        <v>0.17744864359165052</v>
      </c>
      <c r="DQ181" s="142">
        <f t="shared" ca="1" si="151"/>
        <v>0.22516930467483254</v>
      </c>
      <c r="DS181" s="128">
        <f t="shared" ca="1" si="181"/>
        <v>1108162</v>
      </c>
      <c r="DT181" s="90">
        <f t="shared" ca="1" si="182"/>
        <v>576880.25</v>
      </c>
      <c r="DU181" s="90">
        <f t="shared" ca="1" si="183"/>
        <v>190263.5</v>
      </c>
      <c r="DV181" s="90">
        <f t="shared" si="184"/>
        <v>2752</v>
      </c>
      <c r="DW181" s="90">
        <f ca="1">_xlfn.IFNA(INDEX(武器升级消耗!$H:$H,MATCH(玩家节奏2!DS181/玩家节奏2!DS$5,武器升级消耗!M:M,1)),0)</f>
        <v>90</v>
      </c>
      <c r="DX181" s="90">
        <f ca="1">_xlfn.IFNA(INDEX(武器升级消耗!$H:$H,MATCH(玩家节奏2!DT181/玩家节奏2!DT$5,武器升级消耗!N:N,1)),0)</f>
        <v>79</v>
      </c>
      <c r="DY181" s="90">
        <f ca="1">_xlfn.IFNA(INDEX(武器升级消耗!$H:$H,MATCH(玩家节奏2!DU181/玩家节奏2!DU$5,武器升级消耗!O:O,1)),0)</f>
        <v>60</v>
      </c>
      <c r="DZ181" s="90">
        <f>_xlfn.IFNA(INDEX(武器升级消耗!$H:$H,MATCH(玩家节奏2!DV181/玩家节奏2!DV$5,武器升级消耗!P:P,1)),0)</f>
        <v>38</v>
      </c>
      <c r="EA181" s="90">
        <f ca="1">_xlfn.IFNA(INDEX(武器升级消耗!$Q:$Q,MATCH(玩家节奏2!DW181,武器升级消耗!$H:$H,0))*2*EA$4,0)</f>
        <v>11.279999999999987</v>
      </c>
      <c r="EB181" s="90">
        <f ca="1">_xlfn.IFNA(INDEX(武器升级消耗!$Q:$Q,MATCH(玩家节奏2!DX181,武器升级消耗!$H:$H,0))*2*EB$4,0)</f>
        <v>12.449999999999985</v>
      </c>
      <c r="EC181" s="90">
        <f ca="1">_xlfn.IFNA(INDEX(武器升级消耗!$Q:$Q,MATCH(玩家节奏2!DY181,武器升级消耗!$H:$H,0))*2*EC$4,0)</f>
        <v>14.080000000000002</v>
      </c>
      <c r="ED181" s="90">
        <f>_xlfn.IFNA(INDEX(武器升级消耗!$Q:$Q,MATCH(玩家节奏2!DZ181,武器升级消耗!$H:$H,0))*2*ED$4,0)</f>
        <v>12.600000000000001</v>
      </c>
    </row>
    <row r="182" spans="1:134" x14ac:dyDescent="0.25">
      <c r="A182" s="123">
        <v>176</v>
      </c>
      <c r="B182" s="123">
        <f>INDEX(关卡对比!$Y:$Y,MATCH(关卡对比!Z182,关卡对比!$AA:$AA,1))</f>
        <v>101</v>
      </c>
      <c r="C182" s="124">
        <f>INDEX(关卡对比!$Y:$Y,MATCH(关卡对比!Z182,关卡对比!$AB:$AB,1))</f>
        <v>77</v>
      </c>
      <c r="D182" s="125">
        <f t="shared" si="189"/>
        <v>677.5</v>
      </c>
      <c r="E182" s="125">
        <v>2</v>
      </c>
      <c r="F182" s="128">
        <v>16</v>
      </c>
      <c r="G182" s="90">
        <v>16</v>
      </c>
      <c r="H182" s="90">
        <v>5</v>
      </c>
      <c r="J182" s="128">
        <v>176</v>
      </c>
      <c r="K182" s="90">
        <f t="shared" si="152"/>
        <v>16</v>
      </c>
      <c r="L182" s="90">
        <f t="shared" si="153"/>
        <v>16</v>
      </c>
      <c r="M182" s="90">
        <f t="shared" si="154"/>
        <v>5</v>
      </c>
      <c r="N182" s="140">
        <f>INDEX($A:$A,MATCH(SUM($K$7:K182),$D:$D,1))</f>
        <v>200</v>
      </c>
      <c r="O182" s="140">
        <v>0</v>
      </c>
      <c r="P182" s="141">
        <v>0</v>
      </c>
      <c r="Q182" s="126">
        <f>_xlfn.MAXIFS(关卡产出!X:X,关卡产出!$A:$A,玩家节奏2!$N$6,关卡产出!$B:$B,玩家节奏2!$N182)+_xlfn.MAXIFS(关卡产出!X:X,关卡产出!$A:$A,玩家节奏2!$O$6,关卡产出!$B:$B,玩家节奏2!$O182)+_xlfn.MAXIFS(关卡产出!X:X,关卡产出!$A:$A,玩家节奏2!$P$6,关卡产出!$B:$B,玩家节奏2!$P182)</f>
        <v>38500</v>
      </c>
      <c r="R182" s="90">
        <f>_xlfn.MAXIFS(关卡产出!Y:Y,关卡产出!$A:$A,玩家节奏2!$N$6,关卡产出!$B:$B,玩家节奏2!$N182)+_xlfn.MAXIFS(关卡产出!Y:Y,关卡产出!$A:$A,玩家节奏2!$O$6,关卡产出!$B:$B,玩家节奏2!$O182)+_xlfn.MAXIFS(关卡产出!Y:Y,关卡产出!$A:$A,玩家节奏2!$P$6,关卡产出!$B:$B,玩家节奏2!$P182)</f>
        <v>11610000</v>
      </c>
      <c r="S182" s="90">
        <f>_xlfn.MAXIFS(关卡产出!Z:Z,关卡产出!$A:$A,玩家节奏2!$N$6,关卡产出!$B:$B,玩家节奏2!$N182)+_xlfn.MAXIFS(关卡产出!Z:Z,关卡产出!$A:$A,玩家节奏2!$O$6,关卡产出!$B:$B,玩家节奏2!$O182)+_xlfn.MAXIFS(关卡产出!Z:Z,关卡产出!$A:$A,玩家节奏2!$P$6,关卡产出!$B:$B,玩家节奏2!$P182)</f>
        <v>78866</v>
      </c>
      <c r="T182" s="90">
        <f>_xlfn.MAXIFS(关卡产出!AA:AA,关卡产出!$A:$A,玩家节奏2!$N$6,关卡产出!$B:$B,玩家节奏2!$N182)+_xlfn.MAXIFS(关卡产出!AA:AA,关卡产出!$A:$A,玩家节奏2!$O$6,关卡产出!$B:$B,玩家节奏2!$O182)+_xlfn.MAXIFS(关卡产出!AA:AA,关卡产出!$A:$A,玩家节奏2!$P$6,关卡产出!$B:$B,玩家节奏2!$P182)</f>
        <v>39434</v>
      </c>
      <c r="U182" s="90">
        <f>_xlfn.MAXIFS(关卡产出!AB:AB,关卡产出!$A:$A,玩家节奏2!$N$6,关卡产出!$B:$B,玩家节奏2!$N182)+_xlfn.MAXIFS(关卡产出!AB:AB,关卡产出!$A:$A,玩家节奏2!$O$6,关卡产出!$B:$B,玩家节奏2!$O182)+_xlfn.MAXIFS(关卡产出!AB:AB,关卡产出!$A:$A,玩家节奏2!$P$6,关卡产出!$B:$B,玩家节奏2!$P182)</f>
        <v>19113</v>
      </c>
      <c r="V182" s="130">
        <f>_xlfn.MAXIFS(关卡产出!AC:AC,关卡产出!$A:$A,玩家节奏2!$N$6,关卡产出!$B:$B,玩家节奏2!$N182)+_xlfn.MAXIFS(关卡产出!AC:AC,关卡产出!$A:$A,玩家节奏2!$O$6,关卡产出!$B:$B,玩家节奏2!$O182)+_xlfn.MAXIFS(关卡产出!AC:AC,关卡产出!$A:$A,玩家节奏2!$P$6,关卡产出!$B:$B,玩家节奏2!$P182)</f>
        <v>1200</v>
      </c>
      <c r="W182" s="126">
        <f>INDEX(关卡产出!C$8:C$207,MATCH(玩家节奏2!$N182,关卡产出!$B$8:$B$207,0))*$K182</f>
        <v>2528</v>
      </c>
      <c r="X182" s="126">
        <f>INDEX(关卡产出!D$8:D$207,MATCH(玩家节奏2!$N182,关卡产出!$B$8:$B$207,0))*$K182</f>
        <v>1264</v>
      </c>
      <c r="Y182" s="126">
        <f>INDEX(关卡产出!E$8:E$207,MATCH(玩家节奏2!$N182,关卡产出!$B$8:$B$207,0))*$K182</f>
        <v>624</v>
      </c>
      <c r="Z182" s="144">
        <f>INDEX(关卡产出!F$8:F$207,MATCH(玩家节奏2!$N182,关卡产出!$B$8:$B$207,0))*$K182</f>
        <v>32800</v>
      </c>
      <c r="AA182" s="126">
        <f>SUM(W$7:W182)</f>
        <v>386798</v>
      </c>
      <c r="AB182" s="126">
        <f>SUM(X$7:X182)</f>
        <v>193235</v>
      </c>
      <c r="AC182" s="126">
        <f>SUM(Y$7:Y182)</f>
        <v>95171</v>
      </c>
      <c r="AD182" s="177">
        <f>SUM(Z$7:Z182)</f>
        <v>5046330</v>
      </c>
      <c r="AE182" s="128">
        <f>INDEX(图鉴!AQ:AQ,MATCH($N182,图鉴!$S:$S,0))*34</f>
        <v>714</v>
      </c>
      <c r="AF182" s="90">
        <f>INDEX(图鉴!AR:AR,MATCH($N182,图鉴!$S:$S,0))*34</f>
        <v>510</v>
      </c>
      <c r="AG182" s="90">
        <f>INDEX(图鉴!AS:AS,MATCH($N182,图鉴!$S:$S,0))*34</f>
        <v>204</v>
      </c>
      <c r="AH182" s="129">
        <f ca="1">INDEX(图鉴!AT:AT,MATCH($N182,图鉴!$S:$S,0))*34</f>
        <v>55930</v>
      </c>
      <c r="AI182" s="128">
        <f>SUM($AE$7:AE182)</f>
        <v>123760</v>
      </c>
      <c r="AJ182" s="90">
        <f>SUM(AF$7:AF182)</f>
        <v>86292</v>
      </c>
      <c r="AK182" s="90">
        <f>SUM(AG$7:AG182)</f>
        <v>33966</v>
      </c>
      <c r="AL182" s="130">
        <f ca="1">SUM(AH$7:AH182)</f>
        <v>9014046</v>
      </c>
      <c r="AM182" s="133">
        <f>IF(M182=0,0,INDEX(关卡产出!$AU$11:$AU$15,MATCH(玩家节奏2!N182,关卡产出!$AW$11:$AW$15,1))*M182)</f>
        <v>61000</v>
      </c>
      <c r="AN182" s="126">
        <f>IF(L182=0,0,$L182*关卡产出!AU$21)</f>
        <v>16000</v>
      </c>
      <c r="AO182" s="90">
        <f>IF(M182=0,0,$L182*关卡产出!AV$21)</f>
        <v>800</v>
      </c>
      <c r="AP182" s="129">
        <f>IF(N182=0,0,$L182*关卡产出!AW$21)</f>
        <v>16</v>
      </c>
      <c r="AQ182" s="138">
        <f>SUM(AN$7:AN182)</f>
        <v>2768000</v>
      </c>
      <c r="AR182" s="126">
        <f>SUM(AO$7:AO182)</f>
        <v>138400</v>
      </c>
      <c r="AS182" s="129">
        <f>SUM(AP$7:AP182)</f>
        <v>2768</v>
      </c>
      <c r="AT182" s="128">
        <v>3000</v>
      </c>
      <c r="AU182" s="129">
        <v>600</v>
      </c>
      <c r="AV182" s="128">
        <f>SUM(AT$7:AT182)</f>
        <v>528000</v>
      </c>
      <c r="AW182" s="90">
        <f>SUM(AU$7:AU182)</f>
        <v>105600</v>
      </c>
      <c r="AY182" s="128">
        <f t="shared" si="155"/>
        <v>38500</v>
      </c>
      <c r="AZ182" s="90">
        <f t="shared" si="156"/>
        <v>138400</v>
      </c>
      <c r="BA182" s="90">
        <f t="shared" si="157"/>
        <v>105600</v>
      </c>
      <c r="BB182" s="90">
        <f t="shared" ca="1" si="185"/>
        <v>40800</v>
      </c>
      <c r="BC182" s="90">
        <f t="shared" ca="1" si="187"/>
        <v>163825</v>
      </c>
      <c r="BD182" s="90">
        <f t="shared" ca="1" si="188"/>
        <v>159475</v>
      </c>
      <c r="BE182" s="90">
        <f t="shared" ca="1" si="158"/>
        <v>323300</v>
      </c>
      <c r="BF182" s="142">
        <f t="shared" ca="1" si="192"/>
        <v>0.23500686708377841</v>
      </c>
      <c r="BG182" s="142">
        <f t="shared" ca="1" si="193"/>
        <v>0.84480390660766058</v>
      </c>
      <c r="BH182" s="142">
        <f t="shared" ca="1" si="194"/>
        <v>0.64459026400122077</v>
      </c>
      <c r="BI182" s="142">
        <f t="shared" ca="1" si="197"/>
        <v>0.24904623836410805</v>
      </c>
      <c r="BJ182" s="143"/>
      <c r="BK182" s="128">
        <f ca="1">INDEX(商城宝箱!$L:$L,MATCH(BC182,商城宝箱!$N:$N,1))</f>
        <v>13</v>
      </c>
      <c r="BL182" s="90">
        <f ca="1">_xlfn.IFNA(INDEX(商城宝箱!T:T,MATCH(玩家节奏2!$BK182,商城宝箱!$L:$L,0)),0)+($BC182-INDEX(商城宝箱!$N:$N,MATCH(玩家节奏2!$BK182,商城宝箱!$L:$L,0)))/$BK$5*INDEX(商城宝箱!E$23:E$42,MATCH(玩家节奏2!$BK182+1,商城宝箱!$C$23:$C$42,0))</f>
        <v>409562.5</v>
      </c>
      <c r="BM182" s="90">
        <f ca="1">_xlfn.IFNA(INDEX(商城宝箱!U:U,MATCH(玩家节奏2!$BK182,商城宝箱!$L:$L,0)),0)+($BC182-INDEX(商城宝箱!$N:$N,MATCH(玩家节奏2!$BK182,商城宝箱!$L:$L,0)))/$BK$5*INDEX(商城宝箱!F$23:F$42,MATCH(玩家节奏2!$BK182+1,商城宝箱!$C$23:$C$42,0))</f>
        <v>525270</v>
      </c>
      <c r="BN182" s="90">
        <f ca="1">_xlfn.IFNA(INDEX(商城宝箱!V:V,MATCH(玩家节奏2!$BK182,商城宝箱!$L:$L,0)),0)+($BC182-INDEX(商城宝箱!$N:$N,MATCH(玩家节奏2!$BK182,商城宝箱!$L:$L,0)))/$BK$5*INDEX(商城宝箱!G$23:G$42,MATCH(玩家节奏2!$BK182+1,商城宝箱!$C$23:$C$42,0))</f>
        <v>261268.25</v>
      </c>
      <c r="BO182" s="90">
        <f ca="1">_xlfn.IFNA(INDEX(商城宝箱!W:W,MATCH(玩家节奏2!$BK182,商城宝箱!$L:$L,0)),0)+($BC182-INDEX(商城宝箱!$N:$N,MATCH(玩家节奏2!$BK182,商城宝箱!$L:$L,0)))/$BK$5*INDEX(商城宝箱!H$23:H$42,MATCH(玩家节奏2!$BK182+1,商城宝箱!$C$23:$C$42,0))</f>
        <v>43121.5</v>
      </c>
      <c r="BQ182" s="128">
        <f t="shared" si="143"/>
        <v>11610000</v>
      </c>
      <c r="BR182" s="90">
        <f t="shared" si="144"/>
        <v>5046330</v>
      </c>
      <c r="BS182" s="90">
        <f t="shared" ca="1" si="195"/>
        <v>9014046</v>
      </c>
      <c r="BT182" s="90">
        <f t="shared" si="196"/>
        <v>61000</v>
      </c>
      <c r="BU182" s="90">
        <f t="shared" si="147"/>
        <v>2768000</v>
      </c>
      <c r="BV182" s="90">
        <f t="shared" si="148"/>
        <v>528000</v>
      </c>
      <c r="BW182" s="90">
        <f t="shared" ca="1" si="160"/>
        <v>409562.5</v>
      </c>
      <c r="BX182" s="90">
        <f t="shared" ca="1" si="161"/>
        <v>29436938.5</v>
      </c>
      <c r="BY182" s="142">
        <f t="shared" ca="1" si="191"/>
        <v>0.39440242741275555</v>
      </c>
      <c r="BZ182" s="142">
        <f t="shared" ca="1" si="191"/>
        <v>0.17142849281014735</v>
      </c>
      <c r="CA182" s="142">
        <f t="shared" ca="1" si="191"/>
        <v>0.30621547142207062</v>
      </c>
      <c r="CB182" s="142">
        <f t="shared" ca="1" si="190"/>
        <v>2.0722263628060369E-3</v>
      </c>
      <c r="CC182" s="142">
        <f t="shared" ca="1" si="190"/>
        <v>9.403151757782148E-2</v>
      </c>
      <c r="CD182" s="142">
        <f t="shared" ca="1" si="190"/>
        <v>1.7936647861665371E-2</v>
      </c>
      <c r="CE182" s="142">
        <f t="shared" ca="1" si="190"/>
        <v>1.3913216552733566E-2</v>
      </c>
      <c r="CG182" s="128">
        <f t="shared" si="162"/>
        <v>200</v>
      </c>
      <c r="CH182" s="90">
        <f ca="1">INDEX(角色升级!$A:$A,MATCH(玩家节奏2!$BX182,角色升级!$J:$J,1))</f>
        <v>1047</v>
      </c>
      <c r="CI182" s="90">
        <f ca="1">INDEX(角色升级!$O:$O,MATCH(玩家节奏2!$BX182,角色升级!$J:$J,1))</f>
        <v>99294.156750000009</v>
      </c>
      <c r="CJ182" s="90">
        <f>INDEX(关卡对比!$J:$J,MATCH(玩家节奏2!N182,关卡对比!$A:$A,0))</f>
        <v>86200</v>
      </c>
      <c r="CK182" s="147">
        <f t="shared" ca="1" si="163"/>
        <v>0.8681276202086281</v>
      </c>
      <c r="CL182" s="128">
        <f ca="1">INDEX(角色升级!$P:$P,MATCH(玩家节奏2!$CH182,角色升级!$A:$A,0))</f>
        <v>40800</v>
      </c>
      <c r="CM182" s="90">
        <f ca="1">INDEX(角色升级!Q:Q,MATCH(玩家节奏2!$CH182,角色升级!$A:$A,0))</f>
        <v>2.2000000000000002</v>
      </c>
      <c r="CO182" s="128">
        <f t="shared" si="164"/>
        <v>78866</v>
      </c>
      <c r="CP182" s="90">
        <f t="shared" si="165"/>
        <v>386798</v>
      </c>
      <c r="CQ182" s="90">
        <f t="shared" si="166"/>
        <v>123760</v>
      </c>
      <c r="CR182" s="90">
        <f t="shared" ca="1" si="167"/>
        <v>525270</v>
      </c>
      <c r="CS182" s="90">
        <f t="shared" ca="1" si="168"/>
        <v>1114694</v>
      </c>
      <c r="CT182" s="142">
        <f t="shared" ca="1" si="169"/>
        <v>7.0751255501509833E-2</v>
      </c>
      <c r="CU182" s="142">
        <f t="shared" ca="1" si="169"/>
        <v>0.3469992661663201</v>
      </c>
      <c r="CV182" s="142">
        <f t="shared" ca="1" si="169"/>
        <v>0.11102598560681227</v>
      </c>
      <c r="CW182" s="142">
        <f t="shared" ca="1" si="149"/>
        <v>0.4712234927253578</v>
      </c>
      <c r="CY182" s="128">
        <f t="shared" si="170"/>
        <v>39434</v>
      </c>
      <c r="CZ182" s="90">
        <f t="shared" si="171"/>
        <v>193235</v>
      </c>
      <c r="DA182" s="90">
        <f t="shared" si="172"/>
        <v>86292</v>
      </c>
      <c r="DB182" s="90">
        <f t="shared" ca="1" si="186"/>
        <v>261268.25</v>
      </c>
      <c r="DC182" s="90">
        <f t="shared" ca="1" si="173"/>
        <v>580229.25</v>
      </c>
      <c r="DD182" s="142">
        <f t="shared" ca="1" si="174"/>
        <v>6.79627922928739E-2</v>
      </c>
      <c r="DE182" s="142">
        <f t="shared" ca="1" si="174"/>
        <v>0.33303215927152929</v>
      </c>
      <c r="DF182" s="142">
        <f t="shared" ca="1" si="174"/>
        <v>0.1487205272743489</v>
      </c>
      <c r="DG182" s="142">
        <f t="shared" ca="1" si="150"/>
        <v>0.4502845211612479</v>
      </c>
      <c r="DI182" s="128">
        <f t="shared" si="175"/>
        <v>19113</v>
      </c>
      <c r="DJ182" s="90">
        <f t="shared" si="176"/>
        <v>95171</v>
      </c>
      <c r="DK182" s="90">
        <f t="shared" si="177"/>
        <v>33966</v>
      </c>
      <c r="DL182" s="90">
        <f t="shared" ca="1" si="178"/>
        <v>43121.5</v>
      </c>
      <c r="DM182" s="90">
        <f t="shared" ca="1" si="179"/>
        <v>191371.5</v>
      </c>
      <c r="DN182" s="142">
        <f t="shared" ca="1" si="180"/>
        <v>9.9873805660717505E-2</v>
      </c>
      <c r="DO182" s="142">
        <f t="shared" ca="1" si="180"/>
        <v>0.49731020554262262</v>
      </c>
      <c r="DP182" s="142">
        <f t="shared" ca="1" si="180"/>
        <v>0.17748724339831165</v>
      </c>
      <c r="DQ182" s="142">
        <f t="shared" ca="1" si="151"/>
        <v>0.22532874539834824</v>
      </c>
      <c r="DS182" s="128">
        <f t="shared" ca="1" si="181"/>
        <v>1114694</v>
      </c>
      <c r="DT182" s="90">
        <f t="shared" ca="1" si="182"/>
        <v>580229.25</v>
      </c>
      <c r="DU182" s="90">
        <f t="shared" ca="1" si="183"/>
        <v>191371.5</v>
      </c>
      <c r="DV182" s="90">
        <f t="shared" si="184"/>
        <v>2768</v>
      </c>
      <c r="DW182" s="90">
        <f ca="1">_xlfn.IFNA(INDEX(武器升级消耗!$H:$H,MATCH(玩家节奏2!DS182/玩家节奏2!DS$5,武器升级消耗!M:M,1)),0)</f>
        <v>91</v>
      </c>
      <c r="DX182" s="90">
        <f ca="1">_xlfn.IFNA(INDEX(武器升级消耗!$H:$H,MATCH(玩家节奏2!DT182/玩家节奏2!DT$5,武器升级消耗!N:N,1)),0)</f>
        <v>79</v>
      </c>
      <c r="DY182" s="90">
        <f ca="1">_xlfn.IFNA(INDEX(武器升级消耗!$H:$H,MATCH(玩家节奏2!DU182/玩家节奏2!DU$5,武器升级消耗!O:O,1)),0)</f>
        <v>60</v>
      </c>
      <c r="DZ182" s="90">
        <f>_xlfn.IFNA(INDEX(武器升级消耗!$H:$H,MATCH(玩家节奏2!DV182/玩家节奏2!DV$5,武器升级消耗!P:P,1)),0)</f>
        <v>38</v>
      </c>
      <c r="EA182" s="90">
        <f ca="1">_xlfn.IFNA(INDEX(武器升级消耗!$Q:$Q,MATCH(玩家节奏2!DW182,武器升级消耗!$H:$H,0))*2*EA$4,0)</f>
        <v>11.399999999999986</v>
      </c>
      <c r="EB182" s="90">
        <f ca="1">_xlfn.IFNA(INDEX(武器升级消耗!$Q:$Q,MATCH(玩家节奏2!DX182,武器升级消耗!$H:$H,0))*2*EB$4,0)</f>
        <v>12.449999999999985</v>
      </c>
      <c r="EC182" s="90">
        <f ca="1">_xlfn.IFNA(INDEX(武器升级消耗!$Q:$Q,MATCH(玩家节奏2!DY182,武器升级消耗!$H:$H,0))*2*EC$4,0)</f>
        <v>14.080000000000002</v>
      </c>
      <c r="ED182" s="90">
        <f>_xlfn.IFNA(INDEX(武器升级消耗!$Q:$Q,MATCH(玩家节奏2!DZ182,武器升级消耗!$H:$H,0))*2*ED$4,0)</f>
        <v>12.600000000000001</v>
      </c>
    </row>
    <row r="183" spans="1:134" x14ac:dyDescent="0.25">
      <c r="A183" s="123">
        <v>177</v>
      </c>
      <c r="B183" s="123">
        <f>INDEX(关卡对比!$Y:$Y,MATCH(关卡对比!Z183,关卡对比!$AA:$AA,1))</f>
        <v>102</v>
      </c>
      <c r="C183" s="124">
        <f>INDEX(关卡对比!$Y:$Y,MATCH(关卡对比!Z183,关卡对比!$AB:$AB,1))</f>
        <v>77</v>
      </c>
      <c r="D183" s="125">
        <f t="shared" si="189"/>
        <v>681.5</v>
      </c>
      <c r="E183" s="125">
        <v>2</v>
      </c>
      <c r="F183" s="128">
        <v>16</v>
      </c>
      <c r="G183" s="90">
        <v>16</v>
      </c>
      <c r="H183" s="90">
        <v>5</v>
      </c>
      <c r="J183" s="128">
        <v>177</v>
      </c>
      <c r="K183" s="90">
        <f t="shared" si="152"/>
        <v>16</v>
      </c>
      <c r="L183" s="90">
        <f t="shared" si="153"/>
        <v>16</v>
      </c>
      <c r="M183" s="90">
        <f t="shared" si="154"/>
        <v>5</v>
      </c>
      <c r="N183" s="140">
        <f>INDEX($A:$A,MATCH(SUM($K$7:K183),$D:$D,1))</f>
        <v>200</v>
      </c>
      <c r="O183" s="140">
        <v>0</v>
      </c>
      <c r="P183" s="141">
        <v>0</v>
      </c>
      <c r="Q183" s="126">
        <f>_xlfn.MAXIFS(关卡产出!X:X,关卡产出!$A:$A,玩家节奏2!$N$6,关卡产出!$B:$B,玩家节奏2!$N183)+_xlfn.MAXIFS(关卡产出!X:X,关卡产出!$A:$A,玩家节奏2!$O$6,关卡产出!$B:$B,玩家节奏2!$O183)+_xlfn.MAXIFS(关卡产出!X:X,关卡产出!$A:$A,玩家节奏2!$P$6,关卡产出!$B:$B,玩家节奏2!$P183)</f>
        <v>38500</v>
      </c>
      <c r="R183" s="90">
        <f>_xlfn.MAXIFS(关卡产出!Y:Y,关卡产出!$A:$A,玩家节奏2!$N$6,关卡产出!$B:$B,玩家节奏2!$N183)+_xlfn.MAXIFS(关卡产出!Y:Y,关卡产出!$A:$A,玩家节奏2!$O$6,关卡产出!$B:$B,玩家节奏2!$O183)+_xlfn.MAXIFS(关卡产出!Y:Y,关卡产出!$A:$A,玩家节奏2!$P$6,关卡产出!$B:$B,玩家节奏2!$P183)</f>
        <v>11610000</v>
      </c>
      <c r="S183" s="90">
        <f>_xlfn.MAXIFS(关卡产出!Z:Z,关卡产出!$A:$A,玩家节奏2!$N$6,关卡产出!$B:$B,玩家节奏2!$N183)+_xlfn.MAXIFS(关卡产出!Z:Z,关卡产出!$A:$A,玩家节奏2!$O$6,关卡产出!$B:$B,玩家节奏2!$O183)+_xlfn.MAXIFS(关卡产出!Z:Z,关卡产出!$A:$A,玩家节奏2!$P$6,关卡产出!$B:$B,玩家节奏2!$P183)</f>
        <v>78866</v>
      </c>
      <c r="T183" s="90">
        <f>_xlfn.MAXIFS(关卡产出!AA:AA,关卡产出!$A:$A,玩家节奏2!$N$6,关卡产出!$B:$B,玩家节奏2!$N183)+_xlfn.MAXIFS(关卡产出!AA:AA,关卡产出!$A:$A,玩家节奏2!$O$6,关卡产出!$B:$B,玩家节奏2!$O183)+_xlfn.MAXIFS(关卡产出!AA:AA,关卡产出!$A:$A,玩家节奏2!$P$6,关卡产出!$B:$B,玩家节奏2!$P183)</f>
        <v>39434</v>
      </c>
      <c r="U183" s="90">
        <f>_xlfn.MAXIFS(关卡产出!AB:AB,关卡产出!$A:$A,玩家节奏2!$N$6,关卡产出!$B:$B,玩家节奏2!$N183)+_xlfn.MAXIFS(关卡产出!AB:AB,关卡产出!$A:$A,玩家节奏2!$O$6,关卡产出!$B:$B,玩家节奏2!$O183)+_xlfn.MAXIFS(关卡产出!AB:AB,关卡产出!$A:$A,玩家节奏2!$P$6,关卡产出!$B:$B,玩家节奏2!$P183)</f>
        <v>19113</v>
      </c>
      <c r="V183" s="130">
        <f>_xlfn.MAXIFS(关卡产出!AC:AC,关卡产出!$A:$A,玩家节奏2!$N$6,关卡产出!$B:$B,玩家节奏2!$N183)+_xlfn.MAXIFS(关卡产出!AC:AC,关卡产出!$A:$A,玩家节奏2!$O$6,关卡产出!$B:$B,玩家节奏2!$O183)+_xlfn.MAXIFS(关卡产出!AC:AC,关卡产出!$A:$A,玩家节奏2!$P$6,关卡产出!$B:$B,玩家节奏2!$P183)</f>
        <v>1200</v>
      </c>
      <c r="W183" s="126">
        <f>INDEX(关卡产出!C$8:C$207,MATCH(玩家节奏2!$N183,关卡产出!$B$8:$B$207,0))*$K183</f>
        <v>2528</v>
      </c>
      <c r="X183" s="126">
        <f>INDEX(关卡产出!D$8:D$207,MATCH(玩家节奏2!$N183,关卡产出!$B$8:$B$207,0))*$K183</f>
        <v>1264</v>
      </c>
      <c r="Y183" s="126">
        <f>INDEX(关卡产出!E$8:E$207,MATCH(玩家节奏2!$N183,关卡产出!$B$8:$B$207,0))*$K183</f>
        <v>624</v>
      </c>
      <c r="Z183" s="144">
        <f>INDEX(关卡产出!F$8:F$207,MATCH(玩家节奏2!$N183,关卡产出!$B$8:$B$207,0))*$K183</f>
        <v>32800</v>
      </c>
      <c r="AA183" s="126">
        <f>SUM(W$7:W183)</f>
        <v>389326</v>
      </c>
      <c r="AB183" s="126">
        <f>SUM(X$7:X183)</f>
        <v>194499</v>
      </c>
      <c r="AC183" s="126">
        <f>SUM(Y$7:Y183)</f>
        <v>95795</v>
      </c>
      <c r="AD183" s="177">
        <f>SUM(Z$7:Z183)</f>
        <v>5079130</v>
      </c>
      <c r="AE183" s="128">
        <f>INDEX(图鉴!AQ:AQ,MATCH($N183,图鉴!$S:$S,0))*34</f>
        <v>714</v>
      </c>
      <c r="AF183" s="90">
        <f>INDEX(图鉴!AR:AR,MATCH($N183,图鉴!$S:$S,0))*34</f>
        <v>510</v>
      </c>
      <c r="AG183" s="90">
        <f>INDEX(图鉴!AS:AS,MATCH($N183,图鉴!$S:$S,0))*34</f>
        <v>204</v>
      </c>
      <c r="AH183" s="129">
        <f ca="1">INDEX(图鉴!AT:AT,MATCH($N183,图鉴!$S:$S,0))*34</f>
        <v>55930</v>
      </c>
      <c r="AI183" s="128">
        <f>SUM($AE$7:AE183)</f>
        <v>124474</v>
      </c>
      <c r="AJ183" s="90">
        <f>SUM(AF$7:AF183)</f>
        <v>86802</v>
      </c>
      <c r="AK183" s="90">
        <f>SUM(AG$7:AG183)</f>
        <v>34170</v>
      </c>
      <c r="AL183" s="130">
        <f ca="1">SUM(AH$7:AH183)</f>
        <v>9069976</v>
      </c>
      <c r="AM183" s="133">
        <f>IF(M183=0,0,INDEX(关卡产出!$AU$11:$AU$15,MATCH(玩家节奏2!N183,关卡产出!$AW$11:$AW$15,1))*M183)</f>
        <v>61000</v>
      </c>
      <c r="AN183" s="126">
        <f>IF(L183=0,0,$L183*关卡产出!AU$21)</f>
        <v>16000</v>
      </c>
      <c r="AO183" s="90">
        <f>IF(M183=0,0,$L183*关卡产出!AV$21)</f>
        <v>800</v>
      </c>
      <c r="AP183" s="129">
        <f>IF(N183=0,0,$L183*关卡产出!AW$21)</f>
        <v>16</v>
      </c>
      <c r="AQ183" s="138">
        <f>SUM(AN$7:AN183)</f>
        <v>2784000</v>
      </c>
      <c r="AR183" s="126">
        <f>SUM(AO$7:AO183)</f>
        <v>139200</v>
      </c>
      <c r="AS183" s="129">
        <f>SUM(AP$7:AP183)</f>
        <v>2784</v>
      </c>
      <c r="AT183" s="128">
        <v>3000</v>
      </c>
      <c r="AU183" s="129">
        <v>600</v>
      </c>
      <c r="AV183" s="128">
        <f>SUM(AT$7:AT183)</f>
        <v>531000</v>
      </c>
      <c r="AW183" s="90">
        <f>SUM(AU$7:AU183)</f>
        <v>106200</v>
      </c>
      <c r="AY183" s="128">
        <f t="shared" si="155"/>
        <v>38500</v>
      </c>
      <c r="AZ183" s="90">
        <f t="shared" si="156"/>
        <v>139200</v>
      </c>
      <c r="BA183" s="90">
        <f t="shared" si="157"/>
        <v>106200</v>
      </c>
      <c r="BB183" s="90">
        <f t="shared" ca="1" si="185"/>
        <v>40800</v>
      </c>
      <c r="BC183" s="90">
        <f t="shared" ca="1" si="187"/>
        <v>164525</v>
      </c>
      <c r="BD183" s="90">
        <f t="shared" ca="1" si="188"/>
        <v>160175</v>
      </c>
      <c r="BE183" s="90">
        <f t="shared" ca="1" si="158"/>
        <v>324700</v>
      </c>
      <c r="BF183" s="142">
        <f t="shared" ca="1" si="192"/>
        <v>0.23400698981917642</v>
      </c>
      <c r="BG183" s="142">
        <f t="shared" ca="1" si="193"/>
        <v>0.84607202552803529</v>
      </c>
      <c r="BH183" s="142">
        <f t="shared" ca="1" si="194"/>
        <v>0.64549460568302686</v>
      </c>
      <c r="BI183" s="142">
        <f t="shared" ca="1" si="197"/>
        <v>0.24798662817201034</v>
      </c>
      <c r="BJ183" s="143"/>
      <c r="BK183" s="128">
        <f ca="1">INDEX(商城宝箱!$L:$L,MATCH(BC183,商城宝箱!$N:$N,1))</f>
        <v>13</v>
      </c>
      <c r="BL183" s="90">
        <f ca="1">_xlfn.IFNA(INDEX(商城宝箱!T:T,MATCH(玩家节奏2!$BK183,商城宝箱!$L:$L,0)),0)+($BC183-INDEX(商城宝箱!$N:$N,MATCH(玩家节奏2!$BK183,商城宝箱!$L:$L,0)))/$BK$5*INDEX(商城宝箱!E$23:E$42,MATCH(玩家节奏2!$BK183+1,商城宝箱!$C$23:$C$42,0))</f>
        <v>411312.5</v>
      </c>
      <c r="BM183" s="90">
        <f ca="1">_xlfn.IFNA(INDEX(商城宝箱!U:U,MATCH(玩家节奏2!$BK183,商城宝箱!$L:$L,0)),0)+($BC183-INDEX(商城宝箱!$N:$N,MATCH(玩家节奏2!$BK183,商城宝箱!$L:$L,0)))/$BK$5*INDEX(商城宝箱!F$23:F$42,MATCH(玩家节奏2!$BK183+1,商城宝箱!$C$23:$C$42,0))</f>
        <v>528560</v>
      </c>
      <c r="BN183" s="90">
        <f ca="1">_xlfn.IFNA(INDEX(商城宝箱!V:V,MATCH(玩家节奏2!$BK183,商城宝箱!$L:$L,0)),0)+($BC183-INDEX(商城宝箱!$N:$N,MATCH(玩家节奏2!$BK183,商城宝箱!$L:$L,0)))/$BK$5*INDEX(商城宝箱!G$23:G$42,MATCH(玩家节奏2!$BK183+1,商城宝箱!$C$23:$C$42,0))</f>
        <v>262843.25</v>
      </c>
      <c r="BO183" s="90">
        <f ca="1">_xlfn.IFNA(INDEX(商城宝箱!W:W,MATCH(玩家节奏2!$BK183,商城宝箱!$L:$L,0)),0)+($BC183-INDEX(商城宝箱!$N:$N,MATCH(玩家节奏2!$BK183,商城宝箱!$L:$L,0)))/$BK$5*INDEX(商城宝箱!H$23:H$42,MATCH(玩家节奏2!$BK183+1,商城宝箱!$C$23:$C$42,0))</f>
        <v>43401.5</v>
      </c>
      <c r="BQ183" s="128">
        <f t="shared" si="143"/>
        <v>11610000</v>
      </c>
      <c r="BR183" s="90">
        <f t="shared" si="144"/>
        <v>5079130</v>
      </c>
      <c r="BS183" s="90">
        <f t="shared" ca="1" si="195"/>
        <v>9069976</v>
      </c>
      <c r="BT183" s="90">
        <f t="shared" si="196"/>
        <v>61000</v>
      </c>
      <c r="BU183" s="90">
        <f t="shared" si="147"/>
        <v>2784000</v>
      </c>
      <c r="BV183" s="90">
        <f t="shared" si="148"/>
        <v>531000</v>
      </c>
      <c r="BW183" s="90">
        <f t="shared" ca="1" si="160"/>
        <v>411312.5</v>
      </c>
      <c r="BX183" s="90">
        <f t="shared" ca="1" si="161"/>
        <v>29546418.5</v>
      </c>
      <c r="BY183" s="142">
        <f t="shared" ca="1" si="191"/>
        <v>0.39294102599947944</v>
      </c>
      <c r="BZ183" s="142">
        <f t="shared" ca="1" si="191"/>
        <v>0.17190340683761723</v>
      </c>
      <c r="CA183" s="142">
        <f t="shared" ca="1" si="191"/>
        <v>0.30697378770289874</v>
      </c>
      <c r="CB183" s="142">
        <f t="shared" ca="1" si="190"/>
        <v>2.0645480263538538E-3</v>
      </c>
      <c r="CC183" s="142">
        <f t="shared" ca="1" si="190"/>
        <v>9.4224618120805403E-2</v>
      </c>
      <c r="CD183" s="142">
        <f t="shared" ca="1" si="190"/>
        <v>1.7971721344162236E-2</v>
      </c>
      <c r="CE183" s="142">
        <f t="shared" ca="1" si="190"/>
        <v>1.3920891968683107E-2</v>
      </c>
      <c r="CG183" s="128">
        <f t="shared" si="162"/>
        <v>200</v>
      </c>
      <c r="CH183" s="90">
        <f ca="1">INDEX(角色升级!$A:$A,MATCH(玩家节奏2!$BX183,角色升级!$J:$J,1))</f>
        <v>1047</v>
      </c>
      <c r="CI183" s="90">
        <f ca="1">INDEX(角色升级!$O:$O,MATCH(玩家节奏2!$BX183,角色升级!$J:$J,1))</f>
        <v>99294.156750000009</v>
      </c>
      <c r="CJ183" s="90">
        <f>INDEX(关卡对比!$J:$J,MATCH(玩家节奏2!N183,关卡对比!$A:$A,0))</f>
        <v>86200</v>
      </c>
      <c r="CK183" s="147">
        <f t="shared" ca="1" si="163"/>
        <v>0.8681276202086281</v>
      </c>
      <c r="CL183" s="128">
        <f ca="1">INDEX(角色升级!$P:$P,MATCH(玩家节奏2!$CH183,角色升级!$A:$A,0))</f>
        <v>40800</v>
      </c>
      <c r="CM183" s="90">
        <f ca="1">INDEX(角色升级!Q:Q,MATCH(玩家节奏2!$CH183,角色升级!$A:$A,0))</f>
        <v>2.2000000000000002</v>
      </c>
      <c r="CO183" s="128">
        <f t="shared" si="164"/>
        <v>78866</v>
      </c>
      <c r="CP183" s="90">
        <f t="shared" si="165"/>
        <v>389326</v>
      </c>
      <c r="CQ183" s="90">
        <f t="shared" si="166"/>
        <v>124474</v>
      </c>
      <c r="CR183" s="90">
        <f t="shared" ca="1" si="167"/>
        <v>528560</v>
      </c>
      <c r="CS183" s="90">
        <f t="shared" ca="1" si="168"/>
        <v>1121226</v>
      </c>
      <c r="CT183" s="142">
        <f t="shared" ca="1" si="169"/>
        <v>7.0339075262257564E-2</v>
      </c>
      <c r="CU183" s="142">
        <f t="shared" ca="1" si="169"/>
        <v>0.3472324045286142</v>
      </c>
      <c r="CV183" s="142">
        <f t="shared" ca="1" si="169"/>
        <v>0.11101597715358009</v>
      </c>
      <c r="CW183" s="142">
        <f t="shared" ca="1" si="149"/>
        <v>0.47141254305554814</v>
      </c>
      <c r="CY183" s="128">
        <f t="shared" si="170"/>
        <v>39434</v>
      </c>
      <c r="CZ183" s="90">
        <f t="shared" si="171"/>
        <v>194499</v>
      </c>
      <c r="DA183" s="90">
        <f t="shared" si="172"/>
        <v>86802</v>
      </c>
      <c r="DB183" s="90">
        <f t="shared" ca="1" si="186"/>
        <v>262843.25</v>
      </c>
      <c r="DC183" s="90">
        <f t="shared" ca="1" si="173"/>
        <v>583578.25</v>
      </c>
      <c r="DD183" s="142">
        <f t="shared" ca="1" si="174"/>
        <v>6.7572771946178598E-2</v>
      </c>
      <c r="DE183" s="142">
        <f t="shared" ca="1" si="174"/>
        <v>0.33328692424709111</v>
      </c>
      <c r="DF183" s="142">
        <f t="shared" ca="1" si="174"/>
        <v>0.14874097860912397</v>
      </c>
      <c r="DG183" s="142">
        <f t="shared" ca="1" si="150"/>
        <v>0.45039932519760634</v>
      </c>
      <c r="DI183" s="128">
        <f t="shared" si="175"/>
        <v>19113</v>
      </c>
      <c r="DJ183" s="90">
        <f t="shared" si="176"/>
        <v>95795</v>
      </c>
      <c r="DK183" s="90">
        <f t="shared" si="177"/>
        <v>34170</v>
      </c>
      <c r="DL183" s="90">
        <f t="shared" ca="1" si="178"/>
        <v>43401.5</v>
      </c>
      <c r="DM183" s="90">
        <f t="shared" ca="1" si="179"/>
        <v>192479.5</v>
      </c>
      <c r="DN183" s="142">
        <f t="shared" ca="1" si="180"/>
        <v>9.9298886374912659E-2</v>
      </c>
      <c r="DO183" s="142">
        <f t="shared" ca="1" si="180"/>
        <v>0.4976893643219148</v>
      </c>
      <c r="DP183" s="142">
        <f t="shared" ca="1" si="180"/>
        <v>0.1775253988087043</v>
      </c>
      <c r="DQ183" s="142">
        <f t="shared" ca="1" si="151"/>
        <v>0.22548635049446825</v>
      </c>
      <c r="DS183" s="128">
        <f t="shared" ca="1" si="181"/>
        <v>1121226</v>
      </c>
      <c r="DT183" s="90">
        <f t="shared" ca="1" si="182"/>
        <v>583578.25</v>
      </c>
      <c r="DU183" s="90">
        <f t="shared" ca="1" si="183"/>
        <v>192479.5</v>
      </c>
      <c r="DV183" s="90">
        <f t="shared" si="184"/>
        <v>2784</v>
      </c>
      <c r="DW183" s="90">
        <f ca="1">_xlfn.IFNA(INDEX(武器升级消耗!$H:$H,MATCH(玩家节奏2!DS183/玩家节奏2!DS$5,武器升级消耗!M:M,1)),0)</f>
        <v>91</v>
      </c>
      <c r="DX183" s="90">
        <f ca="1">_xlfn.IFNA(INDEX(武器升级消耗!$H:$H,MATCH(玩家节奏2!DT183/玩家节奏2!DT$5,武器升级消耗!N:N,1)),0)</f>
        <v>80</v>
      </c>
      <c r="DY183" s="90">
        <f ca="1">_xlfn.IFNA(INDEX(武器升级消耗!$H:$H,MATCH(玩家节奏2!DU183/玩家节奏2!DU$5,武器升级消耗!O:O,1)),0)</f>
        <v>60</v>
      </c>
      <c r="DZ183" s="90">
        <f>_xlfn.IFNA(INDEX(武器升级消耗!$H:$H,MATCH(玩家节奏2!DV183/玩家节奏2!DV$5,武器升级消耗!P:P,1)),0)</f>
        <v>38</v>
      </c>
      <c r="EA183" s="90">
        <f ca="1">_xlfn.IFNA(INDEX(武器升级消耗!$Q:$Q,MATCH(玩家节奏2!DW183,武器升级消耗!$H:$H,0))*2*EA$4,0)</f>
        <v>11.399999999999986</v>
      </c>
      <c r="EB183" s="90">
        <f ca="1">_xlfn.IFNA(INDEX(武器升级消耗!$Q:$Q,MATCH(玩家节奏2!DX183,武器升级消耗!$H:$H,0))*2*EB$4,0)</f>
        <v>12.599999999999984</v>
      </c>
      <c r="EC183" s="90">
        <f ca="1">_xlfn.IFNA(INDEX(武器升级消耗!$Q:$Q,MATCH(玩家节奏2!DY183,武器升级消耗!$H:$H,0))*2*EC$4,0)</f>
        <v>14.080000000000002</v>
      </c>
      <c r="ED183" s="90">
        <f>_xlfn.IFNA(INDEX(武器升级消耗!$Q:$Q,MATCH(玩家节奏2!DZ183,武器升级消耗!$H:$H,0))*2*ED$4,0)</f>
        <v>12.600000000000001</v>
      </c>
    </row>
    <row r="184" spans="1:134" x14ac:dyDescent="0.25">
      <c r="A184" s="123">
        <v>178</v>
      </c>
      <c r="B184" s="123">
        <f>INDEX(关卡对比!$Y:$Y,MATCH(关卡对比!Z184,关卡对比!$AA:$AA,1))</f>
        <v>102</v>
      </c>
      <c r="C184" s="124">
        <f>INDEX(关卡对比!$Y:$Y,MATCH(关卡对比!Z184,关卡对比!$AB:$AB,1))</f>
        <v>77</v>
      </c>
      <c r="D184" s="125">
        <f t="shared" si="189"/>
        <v>683.5</v>
      </c>
      <c r="E184" s="125">
        <v>2</v>
      </c>
      <c r="F184" s="128">
        <v>16</v>
      </c>
      <c r="G184" s="90">
        <v>16</v>
      </c>
      <c r="H184" s="90">
        <v>5</v>
      </c>
      <c r="J184" s="128">
        <v>178</v>
      </c>
      <c r="K184" s="90">
        <f t="shared" si="152"/>
        <v>16</v>
      </c>
      <c r="L184" s="90">
        <f t="shared" si="153"/>
        <v>16</v>
      </c>
      <c r="M184" s="90">
        <f t="shared" si="154"/>
        <v>5</v>
      </c>
      <c r="N184" s="140">
        <f>INDEX($A:$A,MATCH(SUM($K$7:K184),$D:$D,1))</f>
        <v>200</v>
      </c>
      <c r="O184" s="140">
        <v>0</v>
      </c>
      <c r="P184" s="141">
        <v>0</v>
      </c>
      <c r="Q184" s="126">
        <f>_xlfn.MAXIFS(关卡产出!X:X,关卡产出!$A:$A,玩家节奏2!$N$6,关卡产出!$B:$B,玩家节奏2!$N184)+_xlfn.MAXIFS(关卡产出!X:X,关卡产出!$A:$A,玩家节奏2!$O$6,关卡产出!$B:$B,玩家节奏2!$O184)+_xlfn.MAXIFS(关卡产出!X:X,关卡产出!$A:$A,玩家节奏2!$P$6,关卡产出!$B:$B,玩家节奏2!$P184)</f>
        <v>38500</v>
      </c>
      <c r="R184" s="90">
        <f>_xlfn.MAXIFS(关卡产出!Y:Y,关卡产出!$A:$A,玩家节奏2!$N$6,关卡产出!$B:$B,玩家节奏2!$N184)+_xlfn.MAXIFS(关卡产出!Y:Y,关卡产出!$A:$A,玩家节奏2!$O$6,关卡产出!$B:$B,玩家节奏2!$O184)+_xlfn.MAXIFS(关卡产出!Y:Y,关卡产出!$A:$A,玩家节奏2!$P$6,关卡产出!$B:$B,玩家节奏2!$P184)</f>
        <v>11610000</v>
      </c>
      <c r="S184" s="90">
        <f>_xlfn.MAXIFS(关卡产出!Z:Z,关卡产出!$A:$A,玩家节奏2!$N$6,关卡产出!$B:$B,玩家节奏2!$N184)+_xlfn.MAXIFS(关卡产出!Z:Z,关卡产出!$A:$A,玩家节奏2!$O$6,关卡产出!$B:$B,玩家节奏2!$O184)+_xlfn.MAXIFS(关卡产出!Z:Z,关卡产出!$A:$A,玩家节奏2!$P$6,关卡产出!$B:$B,玩家节奏2!$P184)</f>
        <v>78866</v>
      </c>
      <c r="T184" s="90">
        <f>_xlfn.MAXIFS(关卡产出!AA:AA,关卡产出!$A:$A,玩家节奏2!$N$6,关卡产出!$B:$B,玩家节奏2!$N184)+_xlfn.MAXIFS(关卡产出!AA:AA,关卡产出!$A:$A,玩家节奏2!$O$6,关卡产出!$B:$B,玩家节奏2!$O184)+_xlfn.MAXIFS(关卡产出!AA:AA,关卡产出!$A:$A,玩家节奏2!$P$6,关卡产出!$B:$B,玩家节奏2!$P184)</f>
        <v>39434</v>
      </c>
      <c r="U184" s="90">
        <f>_xlfn.MAXIFS(关卡产出!AB:AB,关卡产出!$A:$A,玩家节奏2!$N$6,关卡产出!$B:$B,玩家节奏2!$N184)+_xlfn.MAXIFS(关卡产出!AB:AB,关卡产出!$A:$A,玩家节奏2!$O$6,关卡产出!$B:$B,玩家节奏2!$O184)+_xlfn.MAXIFS(关卡产出!AB:AB,关卡产出!$A:$A,玩家节奏2!$P$6,关卡产出!$B:$B,玩家节奏2!$P184)</f>
        <v>19113</v>
      </c>
      <c r="V184" s="130">
        <f>_xlfn.MAXIFS(关卡产出!AC:AC,关卡产出!$A:$A,玩家节奏2!$N$6,关卡产出!$B:$B,玩家节奏2!$N184)+_xlfn.MAXIFS(关卡产出!AC:AC,关卡产出!$A:$A,玩家节奏2!$O$6,关卡产出!$B:$B,玩家节奏2!$O184)+_xlfn.MAXIFS(关卡产出!AC:AC,关卡产出!$A:$A,玩家节奏2!$P$6,关卡产出!$B:$B,玩家节奏2!$P184)</f>
        <v>1200</v>
      </c>
      <c r="W184" s="126">
        <f>INDEX(关卡产出!C$8:C$207,MATCH(玩家节奏2!$N184,关卡产出!$B$8:$B$207,0))*$K184</f>
        <v>2528</v>
      </c>
      <c r="X184" s="126">
        <f>INDEX(关卡产出!D$8:D$207,MATCH(玩家节奏2!$N184,关卡产出!$B$8:$B$207,0))*$K184</f>
        <v>1264</v>
      </c>
      <c r="Y184" s="126">
        <f>INDEX(关卡产出!E$8:E$207,MATCH(玩家节奏2!$N184,关卡产出!$B$8:$B$207,0))*$K184</f>
        <v>624</v>
      </c>
      <c r="Z184" s="144">
        <f>INDEX(关卡产出!F$8:F$207,MATCH(玩家节奏2!$N184,关卡产出!$B$8:$B$207,0))*$K184</f>
        <v>32800</v>
      </c>
      <c r="AA184" s="126">
        <f>SUM(W$7:W184)</f>
        <v>391854</v>
      </c>
      <c r="AB184" s="126">
        <f>SUM(X$7:X184)</f>
        <v>195763</v>
      </c>
      <c r="AC184" s="126">
        <f>SUM(Y$7:Y184)</f>
        <v>96419</v>
      </c>
      <c r="AD184" s="177">
        <f>SUM(Z$7:Z184)</f>
        <v>5111930</v>
      </c>
      <c r="AE184" s="128">
        <f>INDEX(图鉴!AQ:AQ,MATCH($N184,图鉴!$S:$S,0))*34</f>
        <v>714</v>
      </c>
      <c r="AF184" s="90">
        <f>INDEX(图鉴!AR:AR,MATCH($N184,图鉴!$S:$S,0))*34</f>
        <v>510</v>
      </c>
      <c r="AG184" s="90">
        <f>INDEX(图鉴!AS:AS,MATCH($N184,图鉴!$S:$S,0))*34</f>
        <v>204</v>
      </c>
      <c r="AH184" s="129">
        <f ca="1">INDEX(图鉴!AT:AT,MATCH($N184,图鉴!$S:$S,0))*34</f>
        <v>55930</v>
      </c>
      <c r="AI184" s="128">
        <f>SUM($AE$7:AE184)</f>
        <v>125188</v>
      </c>
      <c r="AJ184" s="90">
        <f>SUM(AF$7:AF184)</f>
        <v>87312</v>
      </c>
      <c r="AK184" s="90">
        <f>SUM(AG$7:AG184)</f>
        <v>34374</v>
      </c>
      <c r="AL184" s="130">
        <f ca="1">SUM(AH$7:AH184)</f>
        <v>9125906</v>
      </c>
      <c r="AM184" s="133">
        <f>IF(M184=0,0,INDEX(关卡产出!$AU$11:$AU$15,MATCH(玩家节奏2!N184,关卡产出!$AW$11:$AW$15,1))*M184)</f>
        <v>61000</v>
      </c>
      <c r="AN184" s="126">
        <f>IF(L184=0,0,$L184*关卡产出!AU$21)</f>
        <v>16000</v>
      </c>
      <c r="AO184" s="90">
        <f>IF(M184=0,0,$L184*关卡产出!AV$21)</f>
        <v>800</v>
      </c>
      <c r="AP184" s="129">
        <f>IF(N184=0,0,$L184*关卡产出!AW$21)</f>
        <v>16</v>
      </c>
      <c r="AQ184" s="138">
        <f>SUM(AN$7:AN184)</f>
        <v>2800000</v>
      </c>
      <c r="AR184" s="126">
        <f>SUM(AO$7:AO184)</f>
        <v>140000</v>
      </c>
      <c r="AS184" s="129">
        <f>SUM(AP$7:AP184)</f>
        <v>2800</v>
      </c>
      <c r="AT184" s="128">
        <v>3000</v>
      </c>
      <c r="AU184" s="129">
        <v>600</v>
      </c>
      <c r="AV184" s="128">
        <f>SUM(AT$7:AT184)</f>
        <v>534000</v>
      </c>
      <c r="AW184" s="90">
        <f>SUM(AU$7:AU184)</f>
        <v>106800</v>
      </c>
      <c r="AY184" s="128">
        <f t="shared" si="155"/>
        <v>38500</v>
      </c>
      <c r="AZ184" s="90">
        <f t="shared" si="156"/>
        <v>140000</v>
      </c>
      <c r="BA184" s="90">
        <f t="shared" si="157"/>
        <v>106800</v>
      </c>
      <c r="BB184" s="90">
        <f t="shared" ca="1" si="185"/>
        <v>40800</v>
      </c>
      <c r="BC184" s="90">
        <f t="shared" ca="1" si="187"/>
        <v>165225</v>
      </c>
      <c r="BD184" s="90">
        <f t="shared" ca="1" si="188"/>
        <v>160875</v>
      </c>
      <c r="BE184" s="90">
        <f t="shared" ca="1" si="158"/>
        <v>326100</v>
      </c>
      <c r="BF184" s="142">
        <f t="shared" ca="1" si="192"/>
        <v>0.23301558480859433</v>
      </c>
      <c r="BG184" s="142">
        <f t="shared" ca="1" si="193"/>
        <v>0.84732939930397944</v>
      </c>
      <c r="BH184" s="142">
        <f t="shared" ca="1" si="194"/>
        <v>0.64639128461189288</v>
      </c>
      <c r="BI184" s="142">
        <f t="shared" ca="1" si="197"/>
        <v>0.24693599636858829</v>
      </c>
      <c r="BJ184" s="143"/>
      <c r="BK184" s="128">
        <f ca="1">INDEX(商城宝箱!$L:$L,MATCH(BC184,商城宝箱!$N:$N,1))</f>
        <v>13</v>
      </c>
      <c r="BL184" s="90">
        <f ca="1">_xlfn.IFNA(INDEX(商城宝箱!T:T,MATCH(玩家节奏2!$BK184,商城宝箱!$L:$L,0)),0)+($BC184-INDEX(商城宝箱!$N:$N,MATCH(玩家节奏2!$BK184,商城宝箱!$L:$L,0)))/$BK$5*INDEX(商城宝箱!E$23:E$42,MATCH(玩家节奏2!$BK184+1,商城宝箱!$C$23:$C$42,0))</f>
        <v>413062.5</v>
      </c>
      <c r="BM184" s="90">
        <f ca="1">_xlfn.IFNA(INDEX(商城宝箱!U:U,MATCH(玩家节奏2!$BK184,商城宝箱!$L:$L,0)),0)+($BC184-INDEX(商城宝箱!$N:$N,MATCH(玩家节奏2!$BK184,商城宝箱!$L:$L,0)))/$BK$5*INDEX(商城宝箱!F$23:F$42,MATCH(玩家节奏2!$BK184+1,商城宝箱!$C$23:$C$42,0))</f>
        <v>531850</v>
      </c>
      <c r="BN184" s="90">
        <f ca="1">_xlfn.IFNA(INDEX(商城宝箱!V:V,MATCH(玩家节奏2!$BK184,商城宝箱!$L:$L,0)),0)+($BC184-INDEX(商城宝箱!$N:$N,MATCH(玩家节奏2!$BK184,商城宝箱!$L:$L,0)))/$BK$5*INDEX(商城宝箱!G$23:G$42,MATCH(玩家节奏2!$BK184+1,商城宝箱!$C$23:$C$42,0))</f>
        <v>264418.25</v>
      </c>
      <c r="BO184" s="90">
        <f ca="1">_xlfn.IFNA(INDEX(商城宝箱!W:W,MATCH(玩家节奏2!$BK184,商城宝箱!$L:$L,0)),0)+($BC184-INDEX(商城宝箱!$N:$N,MATCH(玩家节奏2!$BK184,商城宝箱!$L:$L,0)))/$BK$5*INDEX(商城宝箱!H$23:H$42,MATCH(玩家节奏2!$BK184+1,商城宝箱!$C$23:$C$42,0))</f>
        <v>43681.5</v>
      </c>
      <c r="BQ184" s="128">
        <f t="shared" si="143"/>
        <v>11610000</v>
      </c>
      <c r="BR184" s="90">
        <f t="shared" si="144"/>
        <v>5111930</v>
      </c>
      <c r="BS184" s="90">
        <f t="shared" ca="1" si="195"/>
        <v>9125906</v>
      </c>
      <c r="BT184" s="90">
        <f t="shared" si="196"/>
        <v>61000</v>
      </c>
      <c r="BU184" s="90">
        <f t="shared" si="147"/>
        <v>2800000</v>
      </c>
      <c r="BV184" s="90">
        <f t="shared" si="148"/>
        <v>534000</v>
      </c>
      <c r="BW184" s="90">
        <f t="shared" ca="1" si="160"/>
        <v>413062.5</v>
      </c>
      <c r="BX184" s="90">
        <f t="shared" ca="1" si="161"/>
        <v>29655898.5</v>
      </c>
      <c r="BY184" s="142">
        <f t="shared" ca="1" si="191"/>
        <v>0.39149041463033063</v>
      </c>
      <c r="BZ184" s="142">
        <f t="shared" ca="1" si="191"/>
        <v>0.17237481440665167</v>
      </c>
      <c r="CA184" s="142">
        <f t="shared" ca="1" si="191"/>
        <v>0.30772650506610011</v>
      </c>
      <c r="CB184" s="142">
        <f t="shared" ca="1" si="190"/>
        <v>2.0569263817786535E-3</v>
      </c>
      <c r="CC184" s="142">
        <f t="shared" ca="1" si="190"/>
        <v>9.4416292934102128E-2</v>
      </c>
      <c r="CD184" s="142">
        <f t="shared" ca="1" si="190"/>
        <v>1.8006535866718049E-2</v>
      </c>
      <c r="CE184" s="142">
        <f t="shared" ca="1" si="190"/>
        <v>1.3928510714318772E-2</v>
      </c>
      <c r="CG184" s="128">
        <f t="shared" si="162"/>
        <v>200</v>
      </c>
      <c r="CH184" s="90">
        <f ca="1">INDEX(角色升级!$A:$A,MATCH(玩家节奏2!$BX184,角色升级!$J:$J,1))</f>
        <v>1047</v>
      </c>
      <c r="CI184" s="90">
        <f ca="1">INDEX(角色升级!$O:$O,MATCH(玩家节奏2!$BX184,角色升级!$J:$J,1))</f>
        <v>99294.156750000009</v>
      </c>
      <c r="CJ184" s="90">
        <f>INDEX(关卡对比!$J:$J,MATCH(玩家节奏2!N184,关卡对比!$A:$A,0))</f>
        <v>86200</v>
      </c>
      <c r="CK184" s="147">
        <f t="shared" ca="1" si="163"/>
        <v>0.8681276202086281</v>
      </c>
      <c r="CL184" s="128">
        <f ca="1">INDEX(角色升级!$P:$P,MATCH(玩家节奏2!$CH184,角色升级!$A:$A,0))</f>
        <v>40800</v>
      </c>
      <c r="CM184" s="90">
        <f ca="1">INDEX(角色升级!Q:Q,MATCH(玩家节奏2!$CH184,角色升级!$A:$A,0))</f>
        <v>2.2000000000000002</v>
      </c>
      <c r="CO184" s="128">
        <f t="shared" si="164"/>
        <v>78866</v>
      </c>
      <c r="CP184" s="90">
        <f t="shared" si="165"/>
        <v>391854</v>
      </c>
      <c r="CQ184" s="90">
        <f t="shared" si="166"/>
        <v>125188</v>
      </c>
      <c r="CR184" s="90">
        <f t="shared" ca="1" si="167"/>
        <v>531850</v>
      </c>
      <c r="CS184" s="90">
        <f t="shared" ca="1" si="168"/>
        <v>1127758</v>
      </c>
      <c r="CT184" s="142">
        <f t="shared" ca="1" si="169"/>
        <v>6.9931669737656479E-2</v>
      </c>
      <c r="CU184" s="142">
        <f t="shared" ca="1" si="169"/>
        <v>0.3474628422055086</v>
      </c>
      <c r="CV184" s="142">
        <f t="shared" ca="1" si="169"/>
        <v>0.11100608463872569</v>
      </c>
      <c r="CW184" s="142">
        <f t="shared" ca="1" si="149"/>
        <v>0.47159940341810919</v>
      </c>
      <c r="CY184" s="128">
        <f t="shared" si="170"/>
        <v>39434</v>
      </c>
      <c r="CZ184" s="90">
        <f t="shared" si="171"/>
        <v>195763</v>
      </c>
      <c r="DA184" s="90">
        <f t="shared" si="172"/>
        <v>87312</v>
      </c>
      <c r="DB184" s="90">
        <f t="shared" ca="1" si="186"/>
        <v>264418.25</v>
      </c>
      <c r="DC184" s="90">
        <f t="shared" ca="1" si="173"/>
        <v>586927.25</v>
      </c>
      <c r="DD184" s="142">
        <f t="shared" ca="1" si="174"/>
        <v>6.7187202502524801E-2</v>
      </c>
      <c r="DE184" s="142">
        <f t="shared" ca="1" si="174"/>
        <v>0.33353878185073194</v>
      </c>
      <c r="DF184" s="142">
        <f t="shared" ca="1" si="174"/>
        <v>0.14876119655374664</v>
      </c>
      <c r="DG184" s="142">
        <f t="shared" ca="1" si="150"/>
        <v>0.45051281909299662</v>
      </c>
      <c r="DI184" s="128">
        <f t="shared" si="175"/>
        <v>19113</v>
      </c>
      <c r="DJ184" s="90">
        <f t="shared" si="176"/>
        <v>96419</v>
      </c>
      <c r="DK184" s="90">
        <f t="shared" si="177"/>
        <v>34374</v>
      </c>
      <c r="DL184" s="90">
        <f t="shared" ca="1" si="178"/>
        <v>43681.5</v>
      </c>
      <c r="DM184" s="90">
        <f t="shared" ca="1" si="179"/>
        <v>193587.5</v>
      </c>
      <c r="DN184" s="142">
        <f t="shared" ca="1" si="180"/>
        <v>9.8730548201717575E-2</v>
      </c>
      <c r="DO184" s="142">
        <f t="shared" ca="1" si="180"/>
        <v>0.49806418286304643</v>
      </c>
      <c r="DP184" s="142">
        <f t="shared" ca="1" si="180"/>
        <v>0.17756311745334796</v>
      </c>
      <c r="DQ184" s="142">
        <f t="shared" ca="1" si="151"/>
        <v>0.22564215148188804</v>
      </c>
      <c r="DS184" s="128">
        <f t="shared" ca="1" si="181"/>
        <v>1127758</v>
      </c>
      <c r="DT184" s="90">
        <f t="shared" ca="1" si="182"/>
        <v>586927.25</v>
      </c>
      <c r="DU184" s="90">
        <f t="shared" ca="1" si="183"/>
        <v>193587.5</v>
      </c>
      <c r="DV184" s="90">
        <f t="shared" si="184"/>
        <v>2800</v>
      </c>
      <c r="DW184" s="90">
        <f ca="1">_xlfn.IFNA(INDEX(武器升级消耗!$H:$H,MATCH(玩家节奏2!DS184/玩家节奏2!DS$5,武器升级消耗!M:M,1)),0)</f>
        <v>91</v>
      </c>
      <c r="DX184" s="90">
        <f ca="1">_xlfn.IFNA(INDEX(武器升级消耗!$H:$H,MATCH(玩家节奏2!DT184/玩家节奏2!DT$5,武器升级消耗!N:N,1)),0)</f>
        <v>80</v>
      </c>
      <c r="DY184" s="90">
        <f ca="1">_xlfn.IFNA(INDEX(武器升级消耗!$H:$H,MATCH(玩家节奏2!DU184/玩家节奏2!DU$5,武器升级消耗!O:O,1)),0)</f>
        <v>60</v>
      </c>
      <c r="DZ184" s="90">
        <f>_xlfn.IFNA(INDEX(武器升级消耗!$H:$H,MATCH(玩家节奏2!DV184/玩家节奏2!DV$5,武器升级消耗!P:P,1)),0)</f>
        <v>38</v>
      </c>
      <c r="EA184" s="90">
        <f ca="1">_xlfn.IFNA(INDEX(武器升级消耗!$Q:$Q,MATCH(玩家节奏2!DW184,武器升级消耗!$H:$H,0))*2*EA$4,0)</f>
        <v>11.399999999999986</v>
      </c>
      <c r="EB184" s="90">
        <f ca="1">_xlfn.IFNA(INDEX(武器升级消耗!$Q:$Q,MATCH(玩家节奏2!DX184,武器升级消耗!$H:$H,0))*2*EB$4,0)</f>
        <v>12.599999999999984</v>
      </c>
      <c r="EC184" s="90">
        <f ca="1">_xlfn.IFNA(INDEX(武器升级消耗!$Q:$Q,MATCH(玩家节奏2!DY184,武器升级消耗!$H:$H,0))*2*EC$4,0)</f>
        <v>14.080000000000002</v>
      </c>
      <c r="ED184" s="90">
        <f>_xlfn.IFNA(INDEX(武器升级消耗!$Q:$Q,MATCH(玩家节奏2!DZ184,武器升级消耗!$H:$H,0))*2*ED$4,0)</f>
        <v>12.600000000000001</v>
      </c>
    </row>
    <row r="185" spans="1:134" x14ac:dyDescent="0.25">
      <c r="A185" s="123">
        <v>179</v>
      </c>
      <c r="B185" s="123">
        <f>INDEX(关卡对比!$Y:$Y,MATCH(关卡对比!Z185,关卡对比!$AA:$AA,1))</f>
        <v>103</v>
      </c>
      <c r="C185" s="124">
        <f>INDEX(关卡对比!$Y:$Y,MATCH(关卡对比!Z185,关卡对比!$AB:$AB,1))</f>
        <v>78</v>
      </c>
      <c r="D185" s="125">
        <f t="shared" si="189"/>
        <v>689.5</v>
      </c>
      <c r="E185" s="125">
        <v>2</v>
      </c>
      <c r="F185" s="128">
        <v>16</v>
      </c>
      <c r="G185" s="90">
        <v>16</v>
      </c>
      <c r="H185" s="90">
        <v>5</v>
      </c>
      <c r="J185" s="128">
        <v>179</v>
      </c>
      <c r="K185" s="90">
        <f t="shared" si="152"/>
        <v>16</v>
      </c>
      <c r="L185" s="90">
        <f t="shared" si="153"/>
        <v>16</v>
      </c>
      <c r="M185" s="90">
        <f t="shared" si="154"/>
        <v>5</v>
      </c>
      <c r="N185" s="140">
        <f>INDEX($A:$A,MATCH(SUM($K$7:K185),$D:$D,1))</f>
        <v>200</v>
      </c>
      <c r="O185" s="140">
        <v>0</v>
      </c>
      <c r="P185" s="141">
        <v>0</v>
      </c>
      <c r="Q185" s="126">
        <f>_xlfn.MAXIFS(关卡产出!X:X,关卡产出!$A:$A,玩家节奏2!$N$6,关卡产出!$B:$B,玩家节奏2!$N185)+_xlfn.MAXIFS(关卡产出!X:X,关卡产出!$A:$A,玩家节奏2!$O$6,关卡产出!$B:$B,玩家节奏2!$O185)+_xlfn.MAXIFS(关卡产出!X:X,关卡产出!$A:$A,玩家节奏2!$P$6,关卡产出!$B:$B,玩家节奏2!$P185)</f>
        <v>38500</v>
      </c>
      <c r="R185" s="90">
        <f>_xlfn.MAXIFS(关卡产出!Y:Y,关卡产出!$A:$A,玩家节奏2!$N$6,关卡产出!$B:$B,玩家节奏2!$N185)+_xlfn.MAXIFS(关卡产出!Y:Y,关卡产出!$A:$A,玩家节奏2!$O$6,关卡产出!$B:$B,玩家节奏2!$O185)+_xlfn.MAXIFS(关卡产出!Y:Y,关卡产出!$A:$A,玩家节奏2!$P$6,关卡产出!$B:$B,玩家节奏2!$P185)</f>
        <v>11610000</v>
      </c>
      <c r="S185" s="90">
        <f>_xlfn.MAXIFS(关卡产出!Z:Z,关卡产出!$A:$A,玩家节奏2!$N$6,关卡产出!$B:$B,玩家节奏2!$N185)+_xlfn.MAXIFS(关卡产出!Z:Z,关卡产出!$A:$A,玩家节奏2!$O$6,关卡产出!$B:$B,玩家节奏2!$O185)+_xlfn.MAXIFS(关卡产出!Z:Z,关卡产出!$A:$A,玩家节奏2!$P$6,关卡产出!$B:$B,玩家节奏2!$P185)</f>
        <v>78866</v>
      </c>
      <c r="T185" s="90">
        <f>_xlfn.MAXIFS(关卡产出!AA:AA,关卡产出!$A:$A,玩家节奏2!$N$6,关卡产出!$B:$B,玩家节奏2!$N185)+_xlfn.MAXIFS(关卡产出!AA:AA,关卡产出!$A:$A,玩家节奏2!$O$6,关卡产出!$B:$B,玩家节奏2!$O185)+_xlfn.MAXIFS(关卡产出!AA:AA,关卡产出!$A:$A,玩家节奏2!$P$6,关卡产出!$B:$B,玩家节奏2!$P185)</f>
        <v>39434</v>
      </c>
      <c r="U185" s="90">
        <f>_xlfn.MAXIFS(关卡产出!AB:AB,关卡产出!$A:$A,玩家节奏2!$N$6,关卡产出!$B:$B,玩家节奏2!$N185)+_xlfn.MAXIFS(关卡产出!AB:AB,关卡产出!$A:$A,玩家节奏2!$O$6,关卡产出!$B:$B,玩家节奏2!$O185)+_xlfn.MAXIFS(关卡产出!AB:AB,关卡产出!$A:$A,玩家节奏2!$P$6,关卡产出!$B:$B,玩家节奏2!$P185)</f>
        <v>19113</v>
      </c>
      <c r="V185" s="130">
        <f>_xlfn.MAXIFS(关卡产出!AC:AC,关卡产出!$A:$A,玩家节奏2!$N$6,关卡产出!$B:$B,玩家节奏2!$N185)+_xlfn.MAXIFS(关卡产出!AC:AC,关卡产出!$A:$A,玩家节奏2!$O$6,关卡产出!$B:$B,玩家节奏2!$O185)+_xlfn.MAXIFS(关卡产出!AC:AC,关卡产出!$A:$A,玩家节奏2!$P$6,关卡产出!$B:$B,玩家节奏2!$P185)</f>
        <v>1200</v>
      </c>
      <c r="W185" s="126">
        <f>INDEX(关卡产出!C$8:C$207,MATCH(玩家节奏2!$N185,关卡产出!$B$8:$B$207,0))*$K185</f>
        <v>2528</v>
      </c>
      <c r="X185" s="126">
        <f>INDEX(关卡产出!D$8:D$207,MATCH(玩家节奏2!$N185,关卡产出!$B$8:$B$207,0))*$K185</f>
        <v>1264</v>
      </c>
      <c r="Y185" s="126">
        <f>INDEX(关卡产出!E$8:E$207,MATCH(玩家节奏2!$N185,关卡产出!$B$8:$B$207,0))*$K185</f>
        <v>624</v>
      </c>
      <c r="Z185" s="144">
        <f>INDEX(关卡产出!F$8:F$207,MATCH(玩家节奏2!$N185,关卡产出!$B$8:$B$207,0))*$K185</f>
        <v>32800</v>
      </c>
      <c r="AA185" s="126">
        <f>SUM(W$7:W185)</f>
        <v>394382</v>
      </c>
      <c r="AB185" s="126">
        <f>SUM(X$7:X185)</f>
        <v>197027</v>
      </c>
      <c r="AC185" s="126">
        <f>SUM(Y$7:Y185)</f>
        <v>97043</v>
      </c>
      <c r="AD185" s="177">
        <f>SUM(Z$7:Z185)</f>
        <v>5144730</v>
      </c>
      <c r="AE185" s="128">
        <f>INDEX(图鉴!AQ:AQ,MATCH($N185,图鉴!$S:$S,0))*34</f>
        <v>714</v>
      </c>
      <c r="AF185" s="90">
        <f>INDEX(图鉴!AR:AR,MATCH($N185,图鉴!$S:$S,0))*34</f>
        <v>510</v>
      </c>
      <c r="AG185" s="90">
        <f>INDEX(图鉴!AS:AS,MATCH($N185,图鉴!$S:$S,0))*34</f>
        <v>204</v>
      </c>
      <c r="AH185" s="129">
        <f ca="1">INDEX(图鉴!AT:AT,MATCH($N185,图鉴!$S:$S,0))*34</f>
        <v>55930</v>
      </c>
      <c r="AI185" s="128">
        <f>SUM($AE$7:AE185)</f>
        <v>125902</v>
      </c>
      <c r="AJ185" s="90">
        <f>SUM(AF$7:AF185)</f>
        <v>87822</v>
      </c>
      <c r="AK185" s="90">
        <f>SUM(AG$7:AG185)</f>
        <v>34578</v>
      </c>
      <c r="AL185" s="130">
        <f ca="1">SUM(AH$7:AH185)</f>
        <v>9181836</v>
      </c>
      <c r="AM185" s="133">
        <f>IF(M185=0,0,INDEX(关卡产出!$AU$11:$AU$15,MATCH(玩家节奏2!N185,关卡产出!$AW$11:$AW$15,1))*M185)</f>
        <v>61000</v>
      </c>
      <c r="AN185" s="126">
        <f>IF(L185=0,0,$L185*关卡产出!AU$21)</f>
        <v>16000</v>
      </c>
      <c r="AO185" s="90">
        <f>IF(M185=0,0,$L185*关卡产出!AV$21)</f>
        <v>800</v>
      </c>
      <c r="AP185" s="129">
        <f>IF(N185=0,0,$L185*关卡产出!AW$21)</f>
        <v>16</v>
      </c>
      <c r="AQ185" s="138">
        <f>SUM(AN$7:AN185)</f>
        <v>2816000</v>
      </c>
      <c r="AR185" s="126">
        <f>SUM(AO$7:AO185)</f>
        <v>140800</v>
      </c>
      <c r="AS185" s="129">
        <f>SUM(AP$7:AP185)</f>
        <v>2816</v>
      </c>
      <c r="AT185" s="128">
        <v>3000</v>
      </c>
      <c r="AU185" s="129">
        <v>600</v>
      </c>
      <c r="AV185" s="128">
        <f>SUM(AT$7:AT185)</f>
        <v>537000</v>
      </c>
      <c r="AW185" s="90">
        <f>SUM(AU$7:AU185)</f>
        <v>107400</v>
      </c>
      <c r="AY185" s="128">
        <f t="shared" si="155"/>
        <v>38500</v>
      </c>
      <c r="AZ185" s="90">
        <f t="shared" si="156"/>
        <v>140800</v>
      </c>
      <c r="BA185" s="90">
        <f t="shared" si="157"/>
        <v>107400</v>
      </c>
      <c r="BB185" s="90">
        <f t="shared" ca="1" si="185"/>
        <v>40800</v>
      </c>
      <c r="BC185" s="90">
        <f t="shared" ca="1" si="187"/>
        <v>165925</v>
      </c>
      <c r="BD185" s="90">
        <f t="shared" ca="1" si="188"/>
        <v>161575</v>
      </c>
      <c r="BE185" s="90">
        <f t="shared" ca="1" si="158"/>
        <v>327500</v>
      </c>
      <c r="BF185" s="142">
        <f t="shared" ca="1" si="192"/>
        <v>0.23203254482446889</v>
      </c>
      <c r="BG185" s="142">
        <f t="shared" ca="1" si="193"/>
        <v>0.8485761639294862</v>
      </c>
      <c r="BH185" s="142">
        <f t="shared" ca="1" si="194"/>
        <v>0.64728039777007684</v>
      </c>
      <c r="BI185" s="142">
        <f t="shared" ca="1" si="197"/>
        <v>0.24589422932047611</v>
      </c>
      <c r="BJ185" s="143"/>
      <c r="BK185" s="128">
        <f ca="1">INDEX(商城宝箱!$L:$L,MATCH(BC185,商城宝箱!$N:$N,1))</f>
        <v>13</v>
      </c>
      <c r="BL185" s="90">
        <f ca="1">_xlfn.IFNA(INDEX(商城宝箱!T:T,MATCH(玩家节奏2!$BK185,商城宝箱!$L:$L,0)),0)+($BC185-INDEX(商城宝箱!$N:$N,MATCH(玩家节奏2!$BK185,商城宝箱!$L:$L,0)))/$BK$5*INDEX(商城宝箱!E$23:E$42,MATCH(玩家节奏2!$BK185+1,商城宝箱!$C$23:$C$42,0))</f>
        <v>414812.5</v>
      </c>
      <c r="BM185" s="90">
        <f ca="1">_xlfn.IFNA(INDEX(商城宝箱!U:U,MATCH(玩家节奏2!$BK185,商城宝箱!$L:$L,0)),0)+($BC185-INDEX(商城宝箱!$N:$N,MATCH(玩家节奏2!$BK185,商城宝箱!$L:$L,0)))/$BK$5*INDEX(商城宝箱!F$23:F$42,MATCH(玩家节奏2!$BK185+1,商城宝箱!$C$23:$C$42,0))</f>
        <v>535140</v>
      </c>
      <c r="BN185" s="90">
        <f ca="1">_xlfn.IFNA(INDEX(商城宝箱!V:V,MATCH(玩家节奏2!$BK185,商城宝箱!$L:$L,0)),0)+($BC185-INDEX(商城宝箱!$N:$N,MATCH(玩家节奏2!$BK185,商城宝箱!$L:$L,0)))/$BK$5*INDEX(商城宝箱!G$23:G$42,MATCH(玩家节奏2!$BK185+1,商城宝箱!$C$23:$C$42,0))</f>
        <v>265993.25</v>
      </c>
      <c r="BO185" s="90">
        <f ca="1">_xlfn.IFNA(INDEX(商城宝箱!W:W,MATCH(玩家节奏2!$BK185,商城宝箱!$L:$L,0)),0)+($BC185-INDEX(商城宝箱!$N:$N,MATCH(玩家节奏2!$BK185,商城宝箱!$L:$L,0)))/$BK$5*INDEX(商城宝箱!H$23:H$42,MATCH(玩家节奏2!$BK185+1,商城宝箱!$C$23:$C$42,0))</f>
        <v>43961.5</v>
      </c>
      <c r="BQ185" s="128">
        <f t="shared" si="143"/>
        <v>11610000</v>
      </c>
      <c r="BR185" s="90">
        <f t="shared" si="144"/>
        <v>5144730</v>
      </c>
      <c r="BS185" s="90">
        <f t="shared" ca="1" si="195"/>
        <v>9181836</v>
      </c>
      <c r="BT185" s="90">
        <f t="shared" si="196"/>
        <v>61000</v>
      </c>
      <c r="BU185" s="90">
        <f t="shared" si="147"/>
        <v>2816000</v>
      </c>
      <c r="BV185" s="90">
        <f t="shared" si="148"/>
        <v>537000</v>
      </c>
      <c r="BW185" s="90">
        <f t="shared" ca="1" si="160"/>
        <v>414812.5</v>
      </c>
      <c r="BX185" s="90">
        <f t="shared" ca="1" si="161"/>
        <v>29765378.5</v>
      </c>
      <c r="BY185" s="142">
        <f t="shared" ca="1" si="191"/>
        <v>0.3900504742447673</v>
      </c>
      <c r="BZ185" s="142">
        <f t="shared" ca="1" si="191"/>
        <v>0.17284275420855139</v>
      </c>
      <c r="CA185" s="142">
        <f t="shared" ca="1" si="191"/>
        <v>0.30847368529178959</v>
      </c>
      <c r="CB185" s="142">
        <f t="shared" ca="1" si="190"/>
        <v>2.0493608035254784E-3</v>
      </c>
      <c r="CC185" s="142">
        <f t="shared" ca="1" si="190"/>
        <v>9.4606557749635195E-2</v>
      </c>
      <c r="CD185" s="142">
        <f t="shared" ca="1" si="190"/>
        <v>1.8041094286773474E-2</v>
      </c>
      <c r="CE185" s="142">
        <f t="shared" ca="1" si="190"/>
        <v>1.3936073414957582E-2</v>
      </c>
      <c r="CG185" s="128">
        <f t="shared" si="162"/>
        <v>200</v>
      </c>
      <c r="CH185" s="90">
        <f ca="1">INDEX(角色升级!$A:$A,MATCH(玩家节奏2!$BX185,角色升级!$J:$J,1))</f>
        <v>1047</v>
      </c>
      <c r="CI185" s="90">
        <f ca="1">INDEX(角色升级!$O:$O,MATCH(玩家节奏2!$BX185,角色升级!$J:$J,1))</f>
        <v>99294.156750000009</v>
      </c>
      <c r="CJ185" s="90">
        <f>INDEX(关卡对比!$J:$J,MATCH(玩家节奏2!N185,关卡对比!$A:$A,0))</f>
        <v>86200</v>
      </c>
      <c r="CK185" s="147">
        <f t="shared" ca="1" si="163"/>
        <v>0.8681276202086281</v>
      </c>
      <c r="CL185" s="128">
        <f ca="1">INDEX(角色升级!$P:$P,MATCH(玩家节奏2!$CH185,角色升级!$A:$A,0))</f>
        <v>40800</v>
      </c>
      <c r="CM185" s="90">
        <f ca="1">INDEX(角色升级!Q:Q,MATCH(玩家节奏2!$CH185,角色升级!$A:$A,0))</f>
        <v>2.2000000000000002</v>
      </c>
      <c r="CO185" s="128">
        <f t="shared" si="164"/>
        <v>78866</v>
      </c>
      <c r="CP185" s="90">
        <f t="shared" si="165"/>
        <v>394382</v>
      </c>
      <c r="CQ185" s="90">
        <f t="shared" si="166"/>
        <v>125902</v>
      </c>
      <c r="CR185" s="90">
        <f t="shared" ca="1" si="167"/>
        <v>535140</v>
      </c>
      <c r="CS185" s="90">
        <f t="shared" ca="1" si="168"/>
        <v>1134290</v>
      </c>
      <c r="CT185" s="142">
        <f t="shared" ca="1" si="169"/>
        <v>6.9528956439711187E-2</v>
      </c>
      <c r="CU185" s="142">
        <f t="shared" ca="1" si="169"/>
        <v>0.34769062585405847</v>
      </c>
      <c r="CV185" s="142">
        <f t="shared" ca="1" si="169"/>
        <v>0.110996306059297</v>
      </c>
      <c r="CW185" s="142">
        <f t="shared" ca="1" si="149"/>
        <v>0.47178411164693335</v>
      </c>
      <c r="CY185" s="128">
        <f t="shared" si="170"/>
        <v>39434</v>
      </c>
      <c r="CZ185" s="90">
        <f t="shared" si="171"/>
        <v>197027</v>
      </c>
      <c r="DA185" s="90">
        <f t="shared" si="172"/>
        <v>87822</v>
      </c>
      <c r="DB185" s="90">
        <f t="shared" ca="1" si="186"/>
        <v>265993.25</v>
      </c>
      <c r="DC185" s="90">
        <f t="shared" ca="1" si="173"/>
        <v>590276.25</v>
      </c>
      <c r="DD185" s="142">
        <f t="shared" ca="1" si="174"/>
        <v>6.6806008203785933E-2</v>
      </c>
      <c r="DE185" s="142">
        <f t="shared" ca="1" si="174"/>
        <v>0.3337877815683758</v>
      </c>
      <c r="DF185" s="142">
        <f t="shared" ca="1" si="174"/>
        <v>0.14878118508071433</v>
      </c>
      <c r="DG185" s="142">
        <f t="shared" ca="1" si="150"/>
        <v>0.45062502514712394</v>
      </c>
      <c r="DI185" s="128">
        <f t="shared" si="175"/>
        <v>19113</v>
      </c>
      <c r="DJ185" s="90">
        <f t="shared" si="176"/>
        <v>97043</v>
      </c>
      <c r="DK185" s="90">
        <f t="shared" si="177"/>
        <v>34578</v>
      </c>
      <c r="DL185" s="90">
        <f t="shared" ca="1" si="178"/>
        <v>43961.5</v>
      </c>
      <c r="DM185" s="90">
        <f t="shared" ca="1" si="179"/>
        <v>194695.5</v>
      </c>
      <c r="DN185" s="142">
        <f t="shared" ca="1" si="180"/>
        <v>9.8168678783022725E-2</v>
      </c>
      <c r="DO185" s="142">
        <f t="shared" ca="1" si="180"/>
        <v>0.498434735266095</v>
      </c>
      <c r="DP185" s="142">
        <f t="shared" ca="1" si="180"/>
        <v>0.17760040678906291</v>
      </c>
      <c r="DQ185" s="142">
        <f t="shared" ca="1" si="151"/>
        <v>0.22579617916181935</v>
      </c>
      <c r="DS185" s="128">
        <f t="shared" ca="1" si="181"/>
        <v>1134290</v>
      </c>
      <c r="DT185" s="90">
        <f t="shared" ca="1" si="182"/>
        <v>590276.25</v>
      </c>
      <c r="DU185" s="90">
        <f t="shared" ca="1" si="183"/>
        <v>194695.5</v>
      </c>
      <c r="DV185" s="90">
        <f t="shared" si="184"/>
        <v>2816</v>
      </c>
      <c r="DW185" s="90">
        <f ca="1">_xlfn.IFNA(INDEX(武器升级消耗!$H:$H,MATCH(玩家节奏2!DS185/玩家节奏2!DS$5,武器升级消耗!M:M,1)),0)</f>
        <v>91</v>
      </c>
      <c r="DX185" s="90">
        <f ca="1">_xlfn.IFNA(INDEX(武器升级消耗!$H:$H,MATCH(玩家节奏2!DT185/玩家节奏2!DT$5,武器升级消耗!N:N,1)),0)</f>
        <v>80</v>
      </c>
      <c r="DY185" s="90">
        <f ca="1">_xlfn.IFNA(INDEX(武器升级消耗!$H:$H,MATCH(玩家节奏2!DU185/玩家节奏2!DU$5,武器升级消耗!O:O,1)),0)</f>
        <v>61</v>
      </c>
      <c r="DZ185" s="90">
        <f>_xlfn.IFNA(INDEX(武器升级消耗!$H:$H,MATCH(玩家节奏2!DV185/玩家节奏2!DV$5,武器升级消耗!P:P,1)),0)</f>
        <v>38</v>
      </c>
      <c r="EA185" s="90">
        <f ca="1">_xlfn.IFNA(INDEX(武器升级消耗!$Q:$Q,MATCH(玩家节奏2!DW185,武器升级消耗!$H:$H,0))*2*EA$4,0)</f>
        <v>11.399999999999986</v>
      </c>
      <c r="EB185" s="90">
        <f ca="1">_xlfn.IFNA(INDEX(武器升级消耗!$Q:$Q,MATCH(玩家节奏2!DX185,武器升级消耗!$H:$H,0))*2*EB$4,0)</f>
        <v>12.599999999999984</v>
      </c>
      <c r="EC185" s="90">
        <f ca="1">_xlfn.IFNA(INDEX(武器升级消耗!$Q:$Q,MATCH(玩家节奏2!DY185,武器升级消耗!$H:$H,0))*2*EC$4,0)</f>
        <v>14.3</v>
      </c>
      <c r="ED185" s="90">
        <f>_xlfn.IFNA(INDEX(武器升级消耗!$Q:$Q,MATCH(玩家节奏2!DZ185,武器升级消耗!$H:$H,0))*2*ED$4,0)</f>
        <v>12.600000000000001</v>
      </c>
    </row>
    <row r="186" spans="1:134" x14ac:dyDescent="0.25">
      <c r="A186" s="123">
        <v>180</v>
      </c>
      <c r="B186" s="123">
        <f>INDEX(关卡对比!$Y:$Y,MATCH(关卡对比!Z186,关卡对比!$AA:$AA,1))</f>
        <v>103</v>
      </c>
      <c r="C186" s="124">
        <f>INDEX(关卡对比!$Y:$Y,MATCH(关卡对比!Z186,关卡对比!$AB:$AB,1))</f>
        <v>78</v>
      </c>
      <c r="D186" s="125">
        <f t="shared" si="189"/>
        <v>691.5</v>
      </c>
      <c r="E186" s="125">
        <v>2</v>
      </c>
      <c r="F186" s="128">
        <v>16</v>
      </c>
      <c r="G186" s="90">
        <v>16</v>
      </c>
      <c r="H186" s="90">
        <v>5</v>
      </c>
      <c r="J186" s="128">
        <v>180</v>
      </c>
      <c r="K186" s="90">
        <f t="shared" si="152"/>
        <v>16</v>
      </c>
      <c r="L186" s="90">
        <f t="shared" si="153"/>
        <v>16</v>
      </c>
      <c r="M186" s="90">
        <f t="shared" si="154"/>
        <v>5</v>
      </c>
      <c r="N186" s="140">
        <f>INDEX($A:$A,MATCH(SUM($K$7:K186),$D:$D,1))</f>
        <v>200</v>
      </c>
      <c r="O186" s="140">
        <v>0</v>
      </c>
      <c r="P186" s="141">
        <v>0</v>
      </c>
      <c r="Q186" s="126">
        <f>_xlfn.MAXIFS(关卡产出!X:X,关卡产出!$A:$A,玩家节奏2!$N$6,关卡产出!$B:$B,玩家节奏2!$N186)+_xlfn.MAXIFS(关卡产出!X:X,关卡产出!$A:$A,玩家节奏2!$O$6,关卡产出!$B:$B,玩家节奏2!$O186)+_xlfn.MAXIFS(关卡产出!X:X,关卡产出!$A:$A,玩家节奏2!$P$6,关卡产出!$B:$B,玩家节奏2!$P186)</f>
        <v>38500</v>
      </c>
      <c r="R186" s="90">
        <f>_xlfn.MAXIFS(关卡产出!Y:Y,关卡产出!$A:$A,玩家节奏2!$N$6,关卡产出!$B:$B,玩家节奏2!$N186)+_xlfn.MAXIFS(关卡产出!Y:Y,关卡产出!$A:$A,玩家节奏2!$O$6,关卡产出!$B:$B,玩家节奏2!$O186)+_xlfn.MAXIFS(关卡产出!Y:Y,关卡产出!$A:$A,玩家节奏2!$P$6,关卡产出!$B:$B,玩家节奏2!$P186)</f>
        <v>11610000</v>
      </c>
      <c r="S186" s="90">
        <f>_xlfn.MAXIFS(关卡产出!Z:Z,关卡产出!$A:$A,玩家节奏2!$N$6,关卡产出!$B:$B,玩家节奏2!$N186)+_xlfn.MAXIFS(关卡产出!Z:Z,关卡产出!$A:$A,玩家节奏2!$O$6,关卡产出!$B:$B,玩家节奏2!$O186)+_xlfn.MAXIFS(关卡产出!Z:Z,关卡产出!$A:$A,玩家节奏2!$P$6,关卡产出!$B:$B,玩家节奏2!$P186)</f>
        <v>78866</v>
      </c>
      <c r="T186" s="90">
        <f>_xlfn.MAXIFS(关卡产出!AA:AA,关卡产出!$A:$A,玩家节奏2!$N$6,关卡产出!$B:$B,玩家节奏2!$N186)+_xlfn.MAXIFS(关卡产出!AA:AA,关卡产出!$A:$A,玩家节奏2!$O$6,关卡产出!$B:$B,玩家节奏2!$O186)+_xlfn.MAXIFS(关卡产出!AA:AA,关卡产出!$A:$A,玩家节奏2!$P$6,关卡产出!$B:$B,玩家节奏2!$P186)</f>
        <v>39434</v>
      </c>
      <c r="U186" s="90">
        <f>_xlfn.MAXIFS(关卡产出!AB:AB,关卡产出!$A:$A,玩家节奏2!$N$6,关卡产出!$B:$B,玩家节奏2!$N186)+_xlfn.MAXIFS(关卡产出!AB:AB,关卡产出!$A:$A,玩家节奏2!$O$6,关卡产出!$B:$B,玩家节奏2!$O186)+_xlfn.MAXIFS(关卡产出!AB:AB,关卡产出!$A:$A,玩家节奏2!$P$6,关卡产出!$B:$B,玩家节奏2!$P186)</f>
        <v>19113</v>
      </c>
      <c r="V186" s="130">
        <f>_xlfn.MAXIFS(关卡产出!AC:AC,关卡产出!$A:$A,玩家节奏2!$N$6,关卡产出!$B:$B,玩家节奏2!$N186)+_xlfn.MAXIFS(关卡产出!AC:AC,关卡产出!$A:$A,玩家节奏2!$O$6,关卡产出!$B:$B,玩家节奏2!$O186)+_xlfn.MAXIFS(关卡产出!AC:AC,关卡产出!$A:$A,玩家节奏2!$P$6,关卡产出!$B:$B,玩家节奏2!$P186)</f>
        <v>1200</v>
      </c>
      <c r="W186" s="126">
        <f>INDEX(关卡产出!C$8:C$207,MATCH(玩家节奏2!$N186,关卡产出!$B$8:$B$207,0))*$K186</f>
        <v>2528</v>
      </c>
      <c r="X186" s="126">
        <f>INDEX(关卡产出!D$8:D$207,MATCH(玩家节奏2!$N186,关卡产出!$B$8:$B$207,0))*$K186</f>
        <v>1264</v>
      </c>
      <c r="Y186" s="126">
        <f>INDEX(关卡产出!E$8:E$207,MATCH(玩家节奏2!$N186,关卡产出!$B$8:$B$207,0))*$K186</f>
        <v>624</v>
      </c>
      <c r="Z186" s="144">
        <f>INDEX(关卡产出!F$8:F$207,MATCH(玩家节奏2!$N186,关卡产出!$B$8:$B$207,0))*$K186</f>
        <v>32800</v>
      </c>
      <c r="AA186" s="126">
        <f>SUM(W$7:W186)</f>
        <v>396910</v>
      </c>
      <c r="AB186" s="126">
        <f>SUM(X$7:X186)</f>
        <v>198291</v>
      </c>
      <c r="AC186" s="126">
        <f>SUM(Y$7:Y186)</f>
        <v>97667</v>
      </c>
      <c r="AD186" s="177">
        <f>SUM(Z$7:Z186)</f>
        <v>5177530</v>
      </c>
      <c r="AE186" s="128">
        <f>INDEX(图鉴!AQ:AQ,MATCH($N186,图鉴!$S:$S,0))*34</f>
        <v>714</v>
      </c>
      <c r="AF186" s="90">
        <f>INDEX(图鉴!AR:AR,MATCH($N186,图鉴!$S:$S,0))*34</f>
        <v>510</v>
      </c>
      <c r="AG186" s="90">
        <f>INDEX(图鉴!AS:AS,MATCH($N186,图鉴!$S:$S,0))*34</f>
        <v>204</v>
      </c>
      <c r="AH186" s="129">
        <f ca="1">INDEX(图鉴!AT:AT,MATCH($N186,图鉴!$S:$S,0))*34</f>
        <v>55930</v>
      </c>
      <c r="AI186" s="128">
        <f>SUM($AE$7:AE186)</f>
        <v>126616</v>
      </c>
      <c r="AJ186" s="90">
        <f>SUM(AF$7:AF186)</f>
        <v>88332</v>
      </c>
      <c r="AK186" s="90">
        <f>SUM(AG$7:AG186)</f>
        <v>34782</v>
      </c>
      <c r="AL186" s="130">
        <f ca="1">SUM(AH$7:AH186)</f>
        <v>9237766</v>
      </c>
      <c r="AM186" s="133">
        <f>IF(M186=0,0,INDEX(关卡产出!$AU$11:$AU$15,MATCH(玩家节奏2!N186,关卡产出!$AW$11:$AW$15,1))*M186)</f>
        <v>61000</v>
      </c>
      <c r="AN186" s="126">
        <f>IF(L186=0,0,$L186*关卡产出!AU$21)</f>
        <v>16000</v>
      </c>
      <c r="AO186" s="90">
        <f>IF(M186=0,0,$L186*关卡产出!AV$21)</f>
        <v>800</v>
      </c>
      <c r="AP186" s="129">
        <f>IF(N186=0,0,$L186*关卡产出!AW$21)</f>
        <v>16</v>
      </c>
      <c r="AQ186" s="138">
        <f>SUM(AN$7:AN186)</f>
        <v>2832000</v>
      </c>
      <c r="AR186" s="126">
        <f>SUM(AO$7:AO186)</f>
        <v>141600</v>
      </c>
      <c r="AS186" s="129">
        <f>SUM(AP$7:AP186)</f>
        <v>2832</v>
      </c>
      <c r="AT186" s="128">
        <v>3000</v>
      </c>
      <c r="AU186" s="129">
        <v>600</v>
      </c>
      <c r="AV186" s="128">
        <f>SUM(AT$7:AT186)</f>
        <v>540000</v>
      </c>
      <c r="AW186" s="90">
        <f>SUM(AU$7:AU186)</f>
        <v>108000</v>
      </c>
      <c r="AY186" s="128">
        <f t="shared" si="155"/>
        <v>38500</v>
      </c>
      <c r="AZ186" s="90">
        <f t="shared" si="156"/>
        <v>141600</v>
      </c>
      <c r="BA186" s="90">
        <f t="shared" si="157"/>
        <v>108000</v>
      </c>
      <c r="BB186" s="90">
        <f t="shared" ca="1" si="185"/>
        <v>40800</v>
      </c>
      <c r="BC186" s="90">
        <f t="shared" ca="1" si="187"/>
        <v>166625</v>
      </c>
      <c r="BD186" s="90">
        <f t="shared" ca="1" si="188"/>
        <v>162275</v>
      </c>
      <c r="BE186" s="90">
        <f t="shared" ca="1" si="158"/>
        <v>328900</v>
      </c>
      <c r="BF186" s="142">
        <f t="shared" ca="1" si="192"/>
        <v>0.23105776444111029</v>
      </c>
      <c r="BG186" s="142">
        <f t="shared" ca="1" si="193"/>
        <v>0.84981245311327835</v>
      </c>
      <c r="BH186" s="142">
        <f t="shared" ca="1" si="194"/>
        <v>0.64816204051012749</v>
      </c>
      <c r="BI186" s="142">
        <f t="shared" ca="1" si="197"/>
        <v>0.24486121530382596</v>
      </c>
      <c r="BJ186" s="143"/>
      <c r="BK186" s="128">
        <f ca="1">INDEX(商城宝箱!$L:$L,MATCH(BC186,商城宝箱!$N:$N,1))</f>
        <v>13</v>
      </c>
      <c r="BL186" s="90">
        <f ca="1">_xlfn.IFNA(INDEX(商城宝箱!T:T,MATCH(玩家节奏2!$BK186,商城宝箱!$L:$L,0)),0)+($BC186-INDEX(商城宝箱!$N:$N,MATCH(玩家节奏2!$BK186,商城宝箱!$L:$L,0)))/$BK$5*INDEX(商城宝箱!E$23:E$42,MATCH(玩家节奏2!$BK186+1,商城宝箱!$C$23:$C$42,0))</f>
        <v>416562.5</v>
      </c>
      <c r="BM186" s="90">
        <f ca="1">_xlfn.IFNA(INDEX(商城宝箱!U:U,MATCH(玩家节奏2!$BK186,商城宝箱!$L:$L,0)),0)+($BC186-INDEX(商城宝箱!$N:$N,MATCH(玩家节奏2!$BK186,商城宝箱!$L:$L,0)))/$BK$5*INDEX(商城宝箱!F$23:F$42,MATCH(玩家节奏2!$BK186+1,商城宝箱!$C$23:$C$42,0))</f>
        <v>538430</v>
      </c>
      <c r="BN186" s="90">
        <f ca="1">_xlfn.IFNA(INDEX(商城宝箱!V:V,MATCH(玩家节奏2!$BK186,商城宝箱!$L:$L,0)),0)+($BC186-INDEX(商城宝箱!$N:$N,MATCH(玩家节奏2!$BK186,商城宝箱!$L:$L,0)))/$BK$5*INDEX(商城宝箱!G$23:G$42,MATCH(玩家节奏2!$BK186+1,商城宝箱!$C$23:$C$42,0))</f>
        <v>267568.25</v>
      </c>
      <c r="BO186" s="90">
        <f ca="1">_xlfn.IFNA(INDEX(商城宝箱!W:W,MATCH(玩家节奏2!$BK186,商城宝箱!$L:$L,0)),0)+($BC186-INDEX(商城宝箱!$N:$N,MATCH(玩家节奏2!$BK186,商城宝箱!$L:$L,0)))/$BK$5*INDEX(商城宝箱!H$23:H$42,MATCH(玩家节奏2!$BK186+1,商城宝箱!$C$23:$C$42,0))</f>
        <v>44241.5</v>
      </c>
      <c r="BQ186" s="128">
        <f t="shared" si="143"/>
        <v>11610000</v>
      </c>
      <c r="BR186" s="90">
        <f t="shared" si="144"/>
        <v>5177530</v>
      </c>
      <c r="BS186" s="90">
        <f t="shared" ca="1" si="195"/>
        <v>9237766</v>
      </c>
      <c r="BT186" s="90">
        <f t="shared" si="196"/>
        <v>61000</v>
      </c>
      <c r="BU186" s="90">
        <f t="shared" si="147"/>
        <v>2832000</v>
      </c>
      <c r="BV186" s="90">
        <f t="shared" si="148"/>
        <v>540000</v>
      </c>
      <c r="BW186" s="90">
        <f t="shared" ca="1" si="160"/>
        <v>416562.5</v>
      </c>
      <c r="BX186" s="90">
        <f t="shared" ca="1" si="161"/>
        <v>29874858.5</v>
      </c>
      <c r="BY186" s="142">
        <f t="shared" ca="1" si="191"/>
        <v>0.38862108752749408</v>
      </c>
      <c r="BZ186" s="142">
        <f t="shared" ca="1" si="191"/>
        <v>0.17330726436746136</v>
      </c>
      <c r="CA186" s="142">
        <f t="shared" ca="1" si="191"/>
        <v>0.30921538925447967</v>
      </c>
      <c r="CB186" s="142">
        <f t="shared" ca="1" si="190"/>
        <v>2.0418506752090558E-3</v>
      </c>
      <c r="CC186" s="142">
        <f t="shared" ca="1" si="190"/>
        <v>9.4795428068722071E-2</v>
      </c>
      <c r="CD186" s="142">
        <f t="shared" ca="1" si="190"/>
        <v>1.8075399419883446E-2</v>
      </c>
      <c r="CE186" s="142">
        <f t="shared" ca="1" si="190"/>
        <v>1.3943580686750365E-2</v>
      </c>
      <c r="CG186" s="128">
        <f t="shared" si="162"/>
        <v>200</v>
      </c>
      <c r="CH186" s="90">
        <f ca="1">INDEX(角色升级!$A:$A,MATCH(玩家节奏2!$BX186,角色升级!$J:$J,1))</f>
        <v>1047</v>
      </c>
      <c r="CI186" s="90">
        <f ca="1">INDEX(角色升级!$O:$O,MATCH(玩家节奏2!$BX186,角色升级!$J:$J,1))</f>
        <v>99294.156750000009</v>
      </c>
      <c r="CJ186" s="90">
        <f>INDEX(关卡对比!$J:$J,MATCH(玩家节奏2!N186,关卡对比!$A:$A,0))</f>
        <v>86200</v>
      </c>
      <c r="CK186" s="147">
        <f t="shared" ca="1" si="163"/>
        <v>0.8681276202086281</v>
      </c>
      <c r="CL186" s="128">
        <f ca="1">INDEX(角色升级!$P:$P,MATCH(玩家节奏2!$CH186,角色升级!$A:$A,0))</f>
        <v>40800</v>
      </c>
      <c r="CM186" s="90">
        <f ca="1">INDEX(角色升级!Q:Q,MATCH(玩家节奏2!$CH186,角色升级!$A:$A,0))</f>
        <v>2.2000000000000002</v>
      </c>
      <c r="CO186" s="128">
        <f t="shared" si="164"/>
        <v>78866</v>
      </c>
      <c r="CP186" s="90">
        <f t="shared" si="165"/>
        <v>396910</v>
      </c>
      <c r="CQ186" s="90">
        <f t="shared" si="166"/>
        <v>126616</v>
      </c>
      <c r="CR186" s="90">
        <f t="shared" ca="1" si="167"/>
        <v>538430</v>
      </c>
      <c r="CS186" s="90">
        <f t="shared" ca="1" si="168"/>
        <v>1140822</v>
      </c>
      <c r="CT186" s="142">
        <f t="shared" ca="1" si="169"/>
        <v>6.9130854769631017E-2</v>
      </c>
      <c r="CU186" s="142">
        <f t="shared" ca="1" si="169"/>
        <v>0.3479158010627425</v>
      </c>
      <c r="CV186" s="142">
        <f t="shared" ca="1" si="169"/>
        <v>0.11098663945821521</v>
      </c>
      <c r="CW186" s="142">
        <f t="shared" ca="1" si="149"/>
        <v>0.47196670470941127</v>
      </c>
      <c r="CY186" s="128">
        <f t="shared" si="170"/>
        <v>39434</v>
      </c>
      <c r="CZ186" s="90">
        <f t="shared" si="171"/>
        <v>198291</v>
      </c>
      <c r="DA186" s="90">
        <f t="shared" si="172"/>
        <v>88332</v>
      </c>
      <c r="DB186" s="90">
        <f t="shared" ca="1" si="186"/>
        <v>267568.25</v>
      </c>
      <c r="DC186" s="90">
        <f t="shared" ca="1" si="173"/>
        <v>593625.25</v>
      </c>
      <c r="DD186" s="142">
        <f t="shared" ca="1" si="174"/>
        <v>6.6429115001425565E-2</v>
      </c>
      <c r="DE186" s="142">
        <f t="shared" ca="1" si="174"/>
        <v>0.33403397176922645</v>
      </c>
      <c r="DF186" s="142">
        <f t="shared" ca="1" si="174"/>
        <v>0.1488009480728793</v>
      </c>
      <c r="DG186" s="142">
        <f t="shared" ca="1" si="150"/>
        <v>0.45073596515646869</v>
      </c>
      <c r="DI186" s="128">
        <f t="shared" si="175"/>
        <v>19113</v>
      </c>
      <c r="DJ186" s="90">
        <f t="shared" si="176"/>
        <v>97667</v>
      </c>
      <c r="DK186" s="90">
        <f t="shared" si="177"/>
        <v>34782</v>
      </c>
      <c r="DL186" s="90">
        <f t="shared" ca="1" si="178"/>
        <v>44241.5</v>
      </c>
      <c r="DM186" s="90">
        <f t="shared" ca="1" si="179"/>
        <v>195803.5</v>
      </c>
      <c r="DN186" s="142">
        <f t="shared" ca="1" si="180"/>
        <v>9.7613168303937362E-2</v>
      </c>
      <c r="DO186" s="142">
        <f t="shared" ca="1" si="180"/>
        <v>0.49880109395388744</v>
      </c>
      <c r="DP186" s="142">
        <f t="shared" ca="1" si="180"/>
        <v>0.17763727410388477</v>
      </c>
      <c r="DQ186" s="142">
        <f t="shared" ca="1" si="151"/>
        <v>0.22594846363829044</v>
      </c>
      <c r="DS186" s="128">
        <f t="shared" ca="1" si="181"/>
        <v>1140822</v>
      </c>
      <c r="DT186" s="90">
        <f t="shared" ca="1" si="182"/>
        <v>593625.25</v>
      </c>
      <c r="DU186" s="90">
        <f t="shared" ca="1" si="183"/>
        <v>195803.5</v>
      </c>
      <c r="DV186" s="90">
        <f t="shared" si="184"/>
        <v>2832</v>
      </c>
      <c r="DW186" s="90">
        <f ca="1">_xlfn.IFNA(INDEX(武器升级消耗!$H:$H,MATCH(玩家节奏2!DS186/玩家节奏2!DS$5,武器升级消耗!M:M,1)),0)</f>
        <v>92</v>
      </c>
      <c r="DX186" s="90">
        <f ca="1">_xlfn.IFNA(INDEX(武器升级消耗!$H:$H,MATCH(玩家节奏2!DT186/玩家节奏2!DT$5,武器升级消耗!N:N,1)),0)</f>
        <v>80</v>
      </c>
      <c r="DY186" s="90">
        <f ca="1">_xlfn.IFNA(INDEX(武器升级消耗!$H:$H,MATCH(玩家节奏2!DU186/玩家节奏2!DU$5,武器升级消耗!O:O,1)),0)</f>
        <v>61</v>
      </c>
      <c r="DZ186" s="90">
        <f>_xlfn.IFNA(INDEX(武器升级消耗!$H:$H,MATCH(玩家节奏2!DV186/玩家节奏2!DV$5,武器升级消耗!P:P,1)),0)</f>
        <v>38</v>
      </c>
      <c r="EA186" s="90">
        <f ca="1">_xlfn.IFNA(INDEX(武器升级消耗!$Q:$Q,MATCH(玩家节奏2!DW186,武器升级消耗!$H:$H,0))*2*EA$4,0)</f>
        <v>11.519999999999989</v>
      </c>
      <c r="EB186" s="90">
        <f ca="1">_xlfn.IFNA(INDEX(武器升级消耗!$Q:$Q,MATCH(玩家节奏2!DX186,武器升级消耗!$H:$H,0))*2*EB$4,0)</f>
        <v>12.599999999999984</v>
      </c>
      <c r="EC186" s="90">
        <f ca="1">_xlfn.IFNA(INDEX(武器升级消耗!$Q:$Q,MATCH(玩家节奏2!DY186,武器升级消耗!$H:$H,0))*2*EC$4,0)</f>
        <v>14.3</v>
      </c>
      <c r="ED186" s="90">
        <f>_xlfn.IFNA(INDEX(武器升级消耗!$Q:$Q,MATCH(玩家节奏2!DZ186,武器升级消耗!$H:$H,0))*2*ED$4,0)</f>
        <v>12.600000000000001</v>
      </c>
    </row>
    <row r="187" spans="1:134" x14ac:dyDescent="0.25">
      <c r="A187" s="123">
        <v>181</v>
      </c>
      <c r="B187" s="123">
        <f>INDEX(关卡对比!$Y:$Y,MATCH(关卡对比!Z187,关卡对比!$AA:$AA,1))</f>
        <v>104</v>
      </c>
      <c r="C187" s="124">
        <f>INDEX(关卡对比!$Y:$Y,MATCH(关卡对比!Z187,关卡对比!$AB:$AB,1))</f>
        <v>78</v>
      </c>
      <c r="D187" s="125">
        <f t="shared" si="189"/>
        <v>695.5</v>
      </c>
      <c r="E187" s="125">
        <v>2</v>
      </c>
      <c r="F187" s="128">
        <v>16</v>
      </c>
      <c r="G187" s="90">
        <v>16</v>
      </c>
      <c r="H187" s="90">
        <v>5</v>
      </c>
      <c r="J187" s="128">
        <v>181</v>
      </c>
      <c r="K187" s="90">
        <f t="shared" si="152"/>
        <v>16</v>
      </c>
      <c r="L187" s="90">
        <f t="shared" si="153"/>
        <v>16</v>
      </c>
      <c r="M187" s="90">
        <f t="shared" si="154"/>
        <v>5</v>
      </c>
      <c r="N187" s="140">
        <f>INDEX($A:$A,MATCH(SUM($K$7:K187),$D:$D,1))</f>
        <v>200</v>
      </c>
      <c r="O187" s="140">
        <v>0</v>
      </c>
      <c r="P187" s="141">
        <v>0</v>
      </c>
      <c r="Q187" s="126">
        <f>_xlfn.MAXIFS(关卡产出!X:X,关卡产出!$A:$A,玩家节奏2!$N$6,关卡产出!$B:$B,玩家节奏2!$N187)+_xlfn.MAXIFS(关卡产出!X:X,关卡产出!$A:$A,玩家节奏2!$O$6,关卡产出!$B:$B,玩家节奏2!$O187)+_xlfn.MAXIFS(关卡产出!X:X,关卡产出!$A:$A,玩家节奏2!$P$6,关卡产出!$B:$B,玩家节奏2!$P187)</f>
        <v>38500</v>
      </c>
      <c r="R187" s="90">
        <f>_xlfn.MAXIFS(关卡产出!Y:Y,关卡产出!$A:$A,玩家节奏2!$N$6,关卡产出!$B:$B,玩家节奏2!$N187)+_xlfn.MAXIFS(关卡产出!Y:Y,关卡产出!$A:$A,玩家节奏2!$O$6,关卡产出!$B:$B,玩家节奏2!$O187)+_xlfn.MAXIFS(关卡产出!Y:Y,关卡产出!$A:$A,玩家节奏2!$P$6,关卡产出!$B:$B,玩家节奏2!$P187)</f>
        <v>11610000</v>
      </c>
      <c r="S187" s="90">
        <f>_xlfn.MAXIFS(关卡产出!Z:Z,关卡产出!$A:$A,玩家节奏2!$N$6,关卡产出!$B:$B,玩家节奏2!$N187)+_xlfn.MAXIFS(关卡产出!Z:Z,关卡产出!$A:$A,玩家节奏2!$O$6,关卡产出!$B:$B,玩家节奏2!$O187)+_xlfn.MAXIFS(关卡产出!Z:Z,关卡产出!$A:$A,玩家节奏2!$P$6,关卡产出!$B:$B,玩家节奏2!$P187)</f>
        <v>78866</v>
      </c>
      <c r="T187" s="90">
        <f>_xlfn.MAXIFS(关卡产出!AA:AA,关卡产出!$A:$A,玩家节奏2!$N$6,关卡产出!$B:$B,玩家节奏2!$N187)+_xlfn.MAXIFS(关卡产出!AA:AA,关卡产出!$A:$A,玩家节奏2!$O$6,关卡产出!$B:$B,玩家节奏2!$O187)+_xlfn.MAXIFS(关卡产出!AA:AA,关卡产出!$A:$A,玩家节奏2!$P$6,关卡产出!$B:$B,玩家节奏2!$P187)</f>
        <v>39434</v>
      </c>
      <c r="U187" s="90">
        <f>_xlfn.MAXIFS(关卡产出!AB:AB,关卡产出!$A:$A,玩家节奏2!$N$6,关卡产出!$B:$B,玩家节奏2!$N187)+_xlfn.MAXIFS(关卡产出!AB:AB,关卡产出!$A:$A,玩家节奏2!$O$6,关卡产出!$B:$B,玩家节奏2!$O187)+_xlfn.MAXIFS(关卡产出!AB:AB,关卡产出!$A:$A,玩家节奏2!$P$6,关卡产出!$B:$B,玩家节奏2!$P187)</f>
        <v>19113</v>
      </c>
      <c r="V187" s="130">
        <f>_xlfn.MAXIFS(关卡产出!AC:AC,关卡产出!$A:$A,玩家节奏2!$N$6,关卡产出!$B:$B,玩家节奏2!$N187)+_xlfn.MAXIFS(关卡产出!AC:AC,关卡产出!$A:$A,玩家节奏2!$O$6,关卡产出!$B:$B,玩家节奏2!$O187)+_xlfn.MAXIFS(关卡产出!AC:AC,关卡产出!$A:$A,玩家节奏2!$P$6,关卡产出!$B:$B,玩家节奏2!$P187)</f>
        <v>1200</v>
      </c>
      <c r="W187" s="126">
        <f>INDEX(关卡产出!C$8:C$207,MATCH(玩家节奏2!$N187,关卡产出!$B$8:$B$207,0))*$K187</f>
        <v>2528</v>
      </c>
      <c r="X187" s="126">
        <f>INDEX(关卡产出!D$8:D$207,MATCH(玩家节奏2!$N187,关卡产出!$B$8:$B$207,0))*$K187</f>
        <v>1264</v>
      </c>
      <c r="Y187" s="126">
        <f>INDEX(关卡产出!E$8:E$207,MATCH(玩家节奏2!$N187,关卡产出!$B$8:$B$207,0))*$K187</f>
        <v>624</v>
      </c>
      <c r="Z187" s="144">
        <f>INDEX(关卡产出!F$8:F$207,MATCH(玩家节奏2!$N187,关卡产出!$B$8:$B$207,0))*$K187</f>
        <v>32800</v>
      </c>
      <c r="AA187" s="126">
        <f>SUM(W$7:W187)</f>
        <v>399438</v>
      </c>
      <c r="AB187" s="126">
        <f>SUM(X$7:X187)</f>
        <v>199555</v>
      </c>
      <c r="AC187" s="126">
        <f>SUM(Y$7:Y187)</f>
        <v>98291</v>
      </c>
      <c r="AD187" s="177">
        <f>SUM(Z$7:Z187)</f>
        <v>5210330</v>
      </c>
      <c r="AE187" s="128">
        <f>INDEX(图鉴!AQ:AQ,MATCH($N187,图鉴!$S:$S,0))*34</f>
        <v>714</v>
      </c>
      <c r="AF187" s="90">
        <f>INDEX(图鉴!AR:AR,MATCH($N187,图鉴!$S:$S,0))*34</f>
        <v>510</v>
      </c>
      <c r="AG187" s="90">
        <f>INDEX(图鉴!AS:AS,MATCH($N187,图鉴!$S:$S,0))*34</f>
        <v>204</v>
      </c>
      <c r="AH187" s="129">
        <f ca="1">INDEX(图鉴!AT:AT,MATCH($N187,图鉴!$S:$S,0))*34</f>
        <v>55930</v>
      </c>
      <c r="AI187" s="128">
        <f>SUM($AE$7:AE187)</f>
        <v>127330</v>
      </c>
      <c r="AJ187" s="90">
        <f>SUM(AF$7:AF187)</f>
        <v>88842</v>
      </c>
      <c r="AK187" s="90">
        <f>SUM(AG$7:AG187)</f>
        <v>34986</v>
      </c>
      <c r="AL187" s="130">
        <f ca="1">SUM(AH$7:AH187)</f>
        <v>9293696</v>
      </c>
      <c r="AM187" s="133">
        <f>IF(M187=0,0,INDEX(关卡产出!$AU$11:$AU$15,MATCH(玩家节奏2!N187,关卡产出!$AW$11:$AW$15,1))*M187)</f>
        <v>61000</v>
      </c>
      <c r="AN187" s="126">
        <f>IF(L187=0,0,$L187*关卡产出!AU$21)</f>
        <v>16000</v>
      </c>
      <c r="AO187" s="90">
        <f>IF(M187=0,0,$L187*关卡产出!AV$21)</f>
        <v>800</v>
      </c>
      <c r="AP187" s="129">
        <f>IF(N187=0,0,$L187*关卡产出!AW$21)</f>
        <v>16</v>
      </c>
      <c r="AQ187" s="138">
        <f>SUM(AN$7:AN187)</f>
        <v>2848000</v>
      </c>
      <c r="AR187" s="126">
        <f>SUM(AO$7:AO187)</f>
        <v>142400</v>
      </c>
      <c r="AS187" s="129">
        <f>SUM(AP$7:AP187)</f>
        <v>2848</v>
      </c>
      <c r="AT187" s="128">
        <v>3000</v>
      </c>
      <c r="AU187" s="129">
        <v>600</v>
      </c>
      <c r="AV187" s="128">
        <f>SUM(AT$7:AT187)</f>
        <v>543000</v>
      </c>
      <c r="AW187" s="90">
        <f>SUM(AU$7:AU187)</f>
        <v>108600</v>
      </c>
      <c r="AY187" s="128">
        <f t="shared" si="155"/>
        <v>38500</v>
      </c>
      <c r="AZ187" s="90">
        <f t="shared" si="156"/>
        <v>142400</v>
      </c>
      <c r="BA187" s="90">
        <f t="shared" si="157"/>
        <v>108600</v>
      </c>
      <c r="BB187" s="90">
        <f t="shared" ca="1" si="185"/>
        <v>40800</v>
      </c>
      <c r="BC187" s="90">
        <f t="shared" ca="1" si="187"/>
        <v>167325</v>
      </c>
      <c r="BD187" s="90">
        <f t="shared" ca="1" si="188"/>
        <v>162975</v>
      </c>
      <c r="BE187" s="90">
        <f t="shared" ca="1" si="158"/>
        <v>330300</v>
      </c>
      <c r="BF187" s="142">
        <f t="shared" ca="1" si="192"/>
        <v>0.23009113999701181</v>
      </c>
      <c r="BG187" s="142">
        <f t="shared" ca="1" si="193"/>
        <v>0.85103839832660988</v>
      </c>
      <c r="BH187" s="142">
        <f t="shared" ca="1" si="194"/>
        <v>0.6490363065889736</v>
      </c>
      <c r="BI187" s="142">
        <f t="shared" ca="1" si="197"/>
        <v>0.24383684446436577</v>
      </c>
      <c r="BJ187" s="143"/>
      <c r="BK187" s="128">
        <f ca="1">INDEX(商城宝箱!$L:$L,MATCH(BC187,商城宝箱!$N:$N,1))</f>
        <v>13</v>
      </c>
      <c r="BL187" s="90">
        <f ca="1">_xlfn.IFNA(INDEX(商城宝箱!T:T,MATCH(玩家节奏2!$BK187,商城宝箱!$L:$L,0)),0)+($BC187-INDEX(商城宝箱!$N:$N,MATCH(玩家节奏2!$BK187,商城宝箱!$L:$L,0)))/$BK$5*INDEX(商城宝箱!E$23:E$42,MATCH(玩家节奏2!$BK187+1,商城宝箱!$C$23:$C$42,0))</f>
        <v>418312.5</v>
      </c>
      <c r="BM187" s="90">
        <f ca="1">_xlfn.IFNA(INDEX(商城宝箱!U:U,MATCH(玩家节奏2!$BK187,商城宝箱!$L:$L,0)),0)+($BC187-INDEX(商城宝箱!$N:$N,MATCH(玩家节奏2!$BK187,商城宝箱!$L:$L,0)))/$BK$5*INDEX(商城宝箱!F$23:F$42,MATCH(玩家节奏2!$BK187+1,商城宝箱!$C$23:$C$42,0))</f>
        <v>541720</v>
      </c>
      <c r="BN187" s="90">
        <f ca="1">_xlfn.IFNA(INDEX(商城宝箱!V:V,MATCH(玩家节奏2!$BK187,商城宝箱!$L:$L,0)),0)+($BC187-INDEX(商城宝箱!$N:$N,MATCH(玩家节奏2!$BK187,商城宝箱!$L:$L,0)))/$BK$5*INDEX(商城宝箱!G$23:G$42,MATCH(玩家节奏2!$BK187+1,商城宝箱!$C$23:$C$42,0))</f>
        <v>269143.25</v>
      </c>
      <c r="BO187" s="90">
        <f ca="1">_xlfn.IFNA(INDEX(商城宝箱!W:W,MATCH(玩家节奏2!$BK187,商城宝箱!$L:$L,0)),0)+($BC187-INDEX(商城宝箱!$N:$N,MATCH(玩家节奏2!$BK187,商城宝箱!$L:$L,0)))/$BK$5*INDEX(商城宝箱!H$23:H$42,MATCH(玩家节奏2!$BK187+1,商城宝箱!$C$23:$C$42,0))</f>
        <v>44521.5</v>
      </c>
      <c r="BQ187" s="128">
        <f t="shared" si="143"/>
        <v>11610000</v>
      </c>
      <c r="BR187" s="90">
        <f t="shared" si="144"/>
        <v>5210330</v>
      </c>
      <c r="BS187" s="90">
        <f t="shared" ca="1" si="195"/>
        <v>9293696</v>
      </c>
      <c r="BT187" s="90">
        <f t="shared" si="196"/>
        <v>61000</v>
      </c>
      <c r="BU187" s="90">
        <f t="shared" si="147"/>
        <v>2848000</v>
      </c>
      <c r="BV187" s="90">
        <f t="shared" si="148"/>
        <v>543000</v>
      </c>
      <c r="BW187" s="90">
        <f t="shared" ca="1" si="160"/>
        <v>418312.5</v>
      </c>
      <c r="BX187" s="90">
        <f t="shared" ca="1" si="161"/>
        <v>29984338.5</v>
      </c>
      <c r="BY187" s="142">
        <f t="shared" ca="1" si="191"/>
        <v>0.38720213887660054</v>
      </c>
      <c r="BZ187" s="142">
        <f t="shared" ca="1" si="191"/>
        <v>0.17376838245072507</v>
      </c>
      <c r="CA187" s="142">
        <f t="shared" ca="1" si="191"/>
        <v>0.30995167693961301</v>
      </c>
      <c r="CB187" s="142">
        <f t="shared" ca="1" si="190"/>
        <v>2.034395389446394E-3</v>
      </c>
      <c r="CC187" s="142">
        <f t="shared" ca="1" si="190"/>
        <v>9.4982919166284097E-2</v>
      </c>
      <c r="CD187" s="142">
        <f t="shared" ca="1" si="190"/>
        <v>1.8109454040481834E-2</v>
      </c>
      <c r="CE187" s="142">
        <f t="shared" ca="1" si="190"/>
        <v>1.3951033136849093E-2</v>
      </c>
      <c r="CG187" s="128">
        <f t="shared" si="162"/>
        <v>200</v>
      </c>
      <c r="CH187" s="90">
        <f ca="1">INDEX(角色升级!$A:$A,MATCH(玩家节奏2!$BX187,角色升级!$J:$J,1))</f>
        <v>1047</v>
      </c>
      <c r="CI187" s="90">
        <f ca="1">INDEX(角色升级!$O:$O,MATCH(玩家节奏2!$BX187,角色升级!$J:$J,1))</f>
        <v>99294.156750000009</v>
      </c>
      <c r="CJ187" s="90">
        <f>INDEX(关卡对比!$J:$J,MATCH(玩家节奏2!N187,关卡对比!$A:$A,0))</f>
        <v>86200</v>
      </c>
      <c r="CK187" s="147">
        <f t="shared" ca="1" si="163"/>
        <v>0.8681276202086281</v>
      </c>
      <c r="CL187" s="128">
        <f ca="1">INDEX(角色升级!$P:$P,MATCH(玩家节奏2!$CH187,角色升级!$A:$A,0))</f>
        <v>40800</v>
      </c>
      <c r="CM187" s="90">
        <f ca="1">INDEX(角色升级!Q:Q,MATCH(玩家节奏2!$CH187,角色升级!$A:$A,0))</f>
        <v>2.2000000000000002</v>
      </c>
      <c r="CO187" s="128">
        <f t="shared" si="164"/>
        <v>78866</v>
      </c>
      <c r="CP187" s="90">
        <f t="shared" si="165"/>
        <v>399438</v>
      </c>
      <c r="CQ187" s="90">
        <f t="shared" si="166"/>
        <v>127330</v>
      </c>
      <c r="CR187" s="90">
        <f t="shared" ca="1" si="167"/>
        <v>541720</v>
      </c>
      <c r="CS187" s="90">
        <f t="shared" ca="1" si="168"/>
        <v>1147354</v>
      </c>
      <c r="CT187" s="142">
        <f t="shared" ca="1" si="169"/>
        <v>6.8737285964052944E-2</v>
      </c>
      <c r="CU187" s="142">
        <f t="shared" ca="1" si="169"/>
        <v>0.34813841238188037</v>
      </c>
      <c r="CV187" s="142">
        <f t="shared" ca="1" si="169"/>
        <v>0.11097708292296884</v>
      </c>
      <c r="CW187" s="142">
        <f t="shared" ca="1" si="149"/>
        <v>0.47214721873109783</v>
      </c>
      <c r="CY187" s="128">
        <f t="shared" si="170"/>
        <v>39434</v>
      </c>
      <c r="CZ187" s="90">
        <f t="shared" si="171"/>
        <v>199555</v>
      </c>
      <c r="DA187" s="90">
        <f t="shared" si="172"/>
        <v>88842</v>
      </c>
      <c r="DB187" s="90">
        <f t="shared" ca="1" si="186"/>
        <v>269143.25</v>
      </c>
      <c r="DC187" s="90">
        <f t="shared" ca="1" si="173"/>
        <v>596974.25</v>
      </c>
      <c r="DD187" s="142">
        <f t="shared" ca="1" si="174"/>
        <v>6.605645050854371E-2</v>
      </c>
      <c r="DE187" s="142">
        <f t="shared" ca="1" si="174"/>
        <v>0.33427739973709086</v>
      </c>
      <c r="DF187" s="142">
        <f t="shared" ca="1" si="174"/>
        <v>0.1488204893259634</v>
      </c>
      <c r="DG187" s="142">
        <f t="shared" ca="1" si="150"/>
        <v>0.45084566042840207</v>
      </c>
      <c r="DI187" s="128">
        <f t="shared" si="175"/>
        <v>19113</v>
      </c>
      <c r="DJ187" s="90">
        <f t="shared" si="176"/>
        <v>98291</v>
      </c>
      <c r="DK187" s="90">
        <f t="shared" si="177"/>
        <v>34986</v>
      </c>
      <c r="DL187" s="90">
        <f t="shared" ca="1" si="178"/>
        <v>44521.5</v>
      </c>
      <c r="DM187" s="90">
        <f t="shared" ca="1" si="179"/>
        <v>196911.5</v>
      </c>
      <c r="DN187" s="142">
        <f t="shared" ca="1" si="180"/>
        <v>9.7063909421237465E-2</v>
      </c>
      <c r="DO187" s="142">
        <f t="shared" ca="1" si="180"/>
        <v>0.49916332971918859</v>
      </c>
      <c r="DP187" s="142">
        <f t="shared" ca="1" si="180"/>
        <v>0.1776737265218131</v>
      </c>
      <c r="DQ187" s="142">
        <f t="shared" ca="1" si="151"/>
        <v>0.22609903433776088</v>
      </c>
      <c r="DS187" s="128">
        <f t="shared" ca="1" si="181"/>
        <v>1147354</v>
      </c>
      <c r="DT187" s="90">
        <f t="shared" ca="1" si="182"/>
        <v>596974.25</v>
      </c>
      <c r="DU187" s="90">
        <f t="shared" ca="1" si="183"/>
        <v>196911.5</v>
      </c>
      <c r="DV187" s="90">
        <f t="shared" si="184"/>
        <v>2848</v>
      </c>
      <c r="DW187" s="90">
        <f ca="1">_xlfn.IFNA(INDEX(武器升级消耗!$H:$H,MATCH(玩家节奏2!DS187/玩家节奏2!DS$5,武器升级消耗!M:M,1)),0)</f>
        <v>92</v>
      </c>
      <c r="DX187" s="90">
        <f ca="1">_xlfn.IFNA(INDEX(武器升级消耗!$H:$H,MATCH(玩家节奏2!DT187/玩家节奏2!DT$5,武器升级消耗!N:N,1)),0)</f>
        <v>81</v>
      </c>
      <c r="DY187" s="90">
        <f ca="1">_xlfn.IFNA(INDEX(武器升级消耗!$H:$H,MATCH(玩家节奏2!DU187/玩家节奏2!DU$5,武器升级消耗!O:O,1)),0)</f>
        <v>61</v>
      </c>
      <c r="DZ187" s="90">
        <f>_xlfn.IFNA(INDEX(武器升级消耗!$H:$H,MATCH(玩家节奏2!DV187/玩家节奏2!DV$5,武器升级消耗!P:P,1)),0)</f>
        <v>38</v>
      </c>
      <c r="EA187" s="90">
        <f ca="1">_xlfn.IFNA(INDEX(武器升级消耗!$Q:$Q,MATCH(玩家节奏2!DW187,武器升级消耗!$H:$H,0))*2*EA$4,0)</f>
        <v>11.519999999999989</v>
      </c>
      <c r="EB187" s="90">
        <f ca="1">_xlfn.IFNA(INDEX(武器升级消耗!$Q:$Q,MATCH(玩家节奏2!DX187,武器升级消耗!$H:$H,0))*2*EB$4,0)</f>
        <v>12.749999999999984</v>
      </c>
      <c r="EC187" s="90">
        <f ca="1">_xlfn.IFNA(INDEX(武器升级消耗!$Q:$Q,MATCH(玩家节奏2!DY187,武器升级消耗!$H:$H,0))*2*EC$4,0)</f>
        <v>14.3</v>
      </c>
      <c r="ED187" s="90">
        <f>_xlfn.IFNA(INDEX(武器升级消耗!$Q:$Q,MATCH(玩家节奏2!DZ187,武器升级消耗!$H:$H,0))*2*ED$4,0)</f>
        <v>12.600000000000001</v>
      </c>
    </row>
    <row r="188" spans="1:134" x14ac:dyDescent="0.25">
      <c r="A188" s="123">
        <v>182</v>
      </c>
      <c r="B188" s="123">
        <f>INDEX(关卡对比!$Y:$Y,MATCH(关卡对比!Z188,关卡对比!$AA:$AA,1))</f>
        <v>104</v>
      </c>
      <c r="C188" s="124">
        <f>INDEX(关卡对比!$Y:$Y,MATCH(关卡对比!Z188,关卡对比!$AB:$AB,1))</f>
        <v>79</v>
      </c>
      <c r="D188" s="125">
        <f t="shared" si="189"/>
        <v>699.5</v>
      </c>
      <c r="E188" s="125">
        <v>2</v>
      </c>
      <c r="F188" s="128">
        <v>16</v>
      </c>
      <c r="G188" s="90">
        <v>16</v>
      </c>
      <c r="H188" s="90">
        <v>5</v>
      </c>
      <c r="J188" s="128">
        <v>182</v>
      </c>
      <c r="K188" s="90">
        <f t="shared" si="152"/>
        <v>16</v>
      </c>
      <c r="L188" s="90">
        <f t="shared" si="153"/>
        <v>16</v>
      </c>
      <c r="M188" s="90">
        <f t="shared" si="154"/>
        <v>5</v>
      </c>
      <c r="N188" s="140">
        <f>INDEX($A:$A,MATCH(SUM($K$7:K188),$D:$D,1))</f>
        <v>200</v>
      </c>
      <c r="O188" s="140">
        <v>0</v>
      </c>
      <c r="P188" s="141">
        <v>0</v>
      </c>
      <c r="Q188" s="126">
        <f>_xlfn.MAXIFS(关卡产出!X:X,关卡产出!$A:$A,玩家节奏2!$N$6,关卡产出!$B:$B,玩家节奏2!$N188)+_xlfn.MAXIFS(关卡产出!X:X,关卡产出!$A:$A,玩家节奏2!$O$6,关卡产出!$B:$B,玩家节奏2!$O188)+_xlfn.MAXIFS(关卡产出!X:X,关卡产出!$A:$A,玩家节奏2!$P$6,关卡产出!$B:$B,玩家节奏2!$P188)</f>
        <v>38500</v>
      </c>
      <c r="R188" s="90">
        <f>_xlfn.MAXIFS(关卡产出!Y:Y,关卡产出!$A:$A,玩家节奏2!$N$6,关卡产出!$B:$B,玩家节奏2!$N188)+_xlfn.MAXIFS(关卡产出!Y:Y,关卡产出!$A:$A,玩家节奏2!$O$6,关卡产出!$B:$B,玩家节奏2!$O188)+_xlfn.MAXIFS(关卡产出!Y:Y,关卡产出!$A:$A,玩家节奏2!$P$6,关卡产出!$B:$B,玩家节奏2!$P188)</f>
        <v>11610000</v>
      </c>
      <c r="S188" s="90">
        <f>_xlfn.MAXIFS(关卡产出!Z:Z,关卡产出!$A:$A,玩家节奏2!$N$6,关卡产出!$B:$B,玩家节奏2!$N188)+_xlfn.MAXIFS(关卡产出!Z:Z,关卡产出!$A:$A,玩家节奏2!$O$6,关卡产出!$B:$B,玩家节奏2!$O188)+_xlfn.MAXIFS(关卡产出!Z:Z,关卡产出!$A:$A,玩家节奏2!$P$6,关卡产出!$B:$B,玩家节奏2!$P188)</f>
        <v>78866</v>
      </c>
      <c r="T188" s="90">
        <f>_xlfn.MAXIFS(关卡产出!AA:AA,关卡产出!$A:$A,玩家节奏2!$N$6,关卡产出!$B:$B,玩家节奏2!$N188)+_xlfn.MAXIFS(关卡产出!AA:AA,关卡产出!$A:$A,玩家节奏2!$O$6,关卡产出!$B:$B,玩家节奏2!$O188)+_xlfn.MAXIFS(关卡产出!AA:AA,关卡产出!$A:$A,玩家节奏2!$P$6,关卡产出!$B:$B,玩家节奏2!$P188)</f>
        <v>39434</v>
      </c>
      <c r="U188" s="90">
        <f>_xlfn.MAXIFS(关卡产出!AB:AB,关卡产出!$A:$A,玩家节奏2!$N$6,关卡产出!$B:$B,玩家节奏2!$N188)+_xlfn.MAXIFS(关卡产出!AB:AB,关卡产出!$A:$A,玩家节奏2!$O$6,关卡产出!$B:$B,玩家节奏2!$O188)+_xlfn.MAXIFS(关卡产出!AB:AB,关卡产出!$A:$A,玩家节奏2!$P$6,关卡产出!$B:$B,玩家节奏2!$P188)</f>
        <v>19113</v>
      </c>
      <c r="V188" s="130">
        <f>_xlfn.MAXIFS(关卡产出!AC:AC,关卡产出!$A:$A,玩家节奏2!$N$6,关卡产出!$B:$B,玩家节奏2!$N188)+_xlfn.MAXIFS(关卡产出!AC:AC,关卡产出!$A:$A,玩家节奏2!$O$6,关卡产出!$B:$B,玩家节奏2!$O188)+_xlfn.MAXIFS(关卡产出!AC:AC,关卡产出!$A:$A,玩家节奏2!$P$6,关卡产出!$B:$B,玩家节奏2!$P188)</f>
        <v>1200</v>
      </c>
      <c r="W188" s="126">
        <f>INDEX(关卡产出!C$8:C$207,MATCH(玩家节奏2!$N188,关卡产出!$B$8:$B$207,0))*$K188</f>
        <v>2528</v>
      </c>
      <c r="X188" s="126">
        <f>INDEX(关卡产出!D$8:D$207,MATCH(玩家节奏2!$N188,关卡产出!$B$8:$B$207,0))*$K188</f>
        <v>1264</v>
      </c>
      <c r="Y188" s="126">
        <f>INDEX(关卡产出!E$8:E$207,MATCH(玩家节奏2!$N188,关卡产出!$B$8:$B$207,0))*$K188</f>
        <v>624</v>
      </c>
      <c r="Z188" s="144">
        <f>INDEX(关卡产出!F$8:F$207,MATCH(玩家节奏2!$N188,关卡产出!$B$8:$B$207,0))*$K188</f>
        <v>32800</v>
      </c>
      <c r="AA188" s="126">
        <f>SUM(W$7:W188)</f>
        <v>401966</v>
      </c>
      <c r="AB188" s="126">
        <f>SUM(X$7:X188)</f>
        <v>200819</v>
      </c>
      <c r="AC188" s="126">
        <f>SUM(Y$7:Y188)</f>
        <v>98915</v>
      </c>
      <c r="AD188" s="177">
        <f>SUM(Z$7:Z188)</f>
        <v>5243130</v>
      </c>
      <c r="AE188" s="128">
        <f>INDEX(图鉴!AQ:AQ,MATCH($N188,图鉴!$S:$S,0))*34</f>
        <v>714</v>
      </c>
      <c r="AF188" s="90">
        <f>INDEX(图鉴!AR:AR,MATCH($N188,图鉴!$S:$S,0))*34</f>
        <v>510</v>
      </c>
      <c r="AG188" s="90">
        <f>INDEX(图鉴!AS:AS,MATCH($N188,图鉴!$S:$S,0))*34</f>
        <v>204</v>
      </c>
      <c r="AH188" s="129">
        <f ca="1">INDEX(图鉴!AT:AT,MATCH($N188,图鉴!$S:$S,0))*34</f>
        <v>55930</v>
      </c>
      <c r="AI188" s="128">
        <f>SUM($AE$7:AE188)</f>
        <v>128044</v>
      </c>
      <c r="AJ188" s="90">
        <f>SUM(AF$7:AF188)</f>
        <v>89352</v>
      </c>
      <c r="AK188" s="90">
        <f>SUM(AG$7:AG188)</f>
        <v>35190</v>
      </c>
      <c r="AL188" s="130">
        <f ca="1">SUM(AH$7:AH188)</f>
        <v>9349626</v>
      </c>
      <c r="AM188" s="133">
        <f>IF(M188=0,0,INDEX(关卡产出!$AU$11:$AU$15,MATCH(玩家节奏2!N188,关卡产出!$AW$11:$AW$15,1))*M188)</f>
        <v>61000</v>
      </c>
      <c r="AN188" s="126">
        <f>IF(L188=0,0,$L188*关卡产出!AU$21)</f>
        <v>16000</v>
      </c>
      <c r="AO188" s="90">
        <f>IF(M188=0,0,$L188*关卡产出!AV$21)</f>
        <v>800</v>
      </c>
      <c r="AP188" s="129">
        <f>IF(N188=0,0,$L188*关卡产出!AW$21)</f>
        <v>16</v>
      </c>
      <c r="AQ188" s="138">
        <f>SUM(AN$7:AN188)</f>
        <v>2864000</v>
      </c>
      <c r="AR188" s="126">
        <f>SUM(AO$7:AO188)</f>
        <v>143200</v>
      </c>
      <c r="AS188" s="129">
        <f>SUM(AP$7:AP188)</f>
        <v>2864</v>
      </c>
      <c r="AT188" s="128">
        <v>3000</v>
      </c>
      <c r="AU188" s="129">
        <v>600</v>
      </c>
      <c r="AV188" s="128">
        <f>SUM(AT$7:AT188)</f>
        <v>546000</v>
      </c>
      <c r="AW188" s="90">
        <f>SUM(AU$7:AU188)</f>
        <v>109200</v>
      </c>
      <c r="AY188" s="128">
        <f t="shared" si="155"/>
        <v>38500</v>
      </c>
      <c r="AZ188" s="90">
        <f t="shared" si="156"/>
        <v>143200</v>
      </c>
      <c r="BA188" s="90">
        <f t="shared" si="157"/>
        <v>109200</v>
      </c>
      <c r="BB188" s="90">
        <f t="shared" ca="1" si="185"/>
        <v>40800</v>
      </c>
      <c r="BC188" s="90">
        <f t="shared" ca="1" si="187"/>
        <v>168025</v>
      </c>
      <c r="BD188" s="90">
        <f t="shared" ca="1" si="188"/>
        <v>163675</v>
      </c>
      <c r="BE188" s="90">
        <f t="shared" ca="1" si="158"/>
        <v>331700</v>
      </c>
      <c r="BF188" s="142">
        <f t="shared" ca="1" si="192"/>
        <v>0.22913256955810146</v>
      </c>
      <c r="BG188" s="142">
        <f t="shared" ca="1" si="193"/>
        <v>0.8522541288498735</v>
      </c>
      <c r="BH188" s="142">
        <f t="shared" ca="1" si="194"/>
        <v>0.6499032882011605</v>
      </c>
      <c r="BI188" s="142">
        <f t="shared" ca="1" si="197"/>
        <v>0.24282100877845558</v>
      </c>
      <c r="BJ188" s="143"/>
      <c r="BK188" s="128">
        <f ca="1">INDEX(商城宝箱!$L:$L,MATCH(BC188,商城宝箱!$N:$N,1))</f>
        <v>13</v>
      </c>
      <c r="BL188" s="90">
        <f ca="1">_xlfn.IFNA(INDEX(商城宝箱!T:T,MATCH(玩家节奏2!$BK188,商城宝箱!$L:$L,0)),0)+($BC188-INDEX(商城宝箱!$N:$N,MATCH(玩家节奏2!$BK188,商城宝箱!$L:$L,0)))/$BK$5*INDEX(商城宝箱!E$23:E$42,MATCH(玩家节奏2!$BK188+1,商城宝箱!$C$23:$C$42,0))</f>
        <v>420062.5</v>
      </c>
      <c r="BM188" s="90">
        <f ca="1">_xlfn.IFNA(INDEX(商城宝箱!U:U,MATCH(玩家节奏2!$BK188,商城宝箱!$L:$L,0)),0)+($BC188-INDEX(商城宝箱!$N:$N,MATCH(玩家节奏2!$BK188,商城宝箱!$L:$L,0)))/$BK$5*INDEX(商城宝箱!F$23:F$42,MATCH(玩家节奏2!$BK188+1,商城宝箱!$C$23:$C$42,0))</f>
        <v>545010</v>
      </c>
      <c r="BN188" s="90">
        <f ca="1">_xlfn.IFNA(INDEX(商城宝箱!V:V,MATCH(玩家节奏2!$BK188,商城宝箱!$L:$L,0)),0)+($BC188-INDEX(商城宝箱!$N:$N,MATCH(玩家节奏2!$BK188,商城宝箱!$L:$L,0)))/$BK$5*INDEX(商城宝箱!G$23:G$42,MATCH(玩家节奏2!$BK188+1,商城宝箱!$C$23:$C$42,0))</f>
        <v>270718.25</v>
      </c>
      <c r="BO188" s="90">
        <f ca="1">_xlfn.IFNA(INDEX(商城宝箱!W:W,MATCH(玩家节奏2!$BK188,商城宝箱!$L:$L,0)),0)+($BC188-INDEX(商城宝箱!$N:$N,MATCH(玩家节奏2!$BK188,商城宝箱!$L:$L,0)))/$BK$5*INDEX(商城宝箱!H$23:H$42,MATCH(玩家节奏2!$BK188+1,商城宝箱!$C$23:$C$42,0))</f>
        <v>44801.5</v>
      </c>
      <c r="BQ188" s="128">
        <f t="shared" si="143"/>
        <v>11610000</v>
      </c>
      <c r="BR188" s="90">
        <f t="shared" si="144"/>
        <v>5243130</v>
      </c>
      <c r="BS188" s="90">
        <f t="shared" ca="1" si="195"/>
        <v>9349626</v>
      </c>
      <c r="BT188" s="90">
        <f t="shared" si="196"/>
        <v>61000</v>
      </c>
      <c r="BU188" s="90">
        <f t="shared" si="147"/>
        <v>2864000</v>
      </c>
      <c r="BV188" s="90">
        <f t="shared" si="148"/>
        <v>546000</v>
      </c>
      <c r="BW188" s="90">
        <f t="shared" ca="1" si="160"/>
        <v>420062.5</v>
      </c>
      <c r="BX188" s="90">
        <f t="shared" ca="1" si="161"/>
        <v>30093818.5</v>
      </c>
      <c r="BY188" s="142">
        <f t="shared" ca="1" si="191"/>
        <v>0.38579351437239512</v>
      </c>
      <c r="BZ188" s="142">
        <f t="shared" ca="1" si="191"/>
        <v>0.17422614547901258</v>
      </c>
      <c r="CA188" s="142">
        <f t="shared" ca="1" si="191"/>
        <v>0.31068260745973464</v>
      </c>
      <c r="CB188" s="142">
        <f t="shared" ca="1" si="190"/>
        <v>2.0269943476930322E-3</v>
      </c>
      <c r="CC188" s="142">
        <f t="shared" ca="1" si="190"/>
        <v>9.5169046094964654E-2</v>
      </c>
      <c r="CD188" s="142">
        <f t="shared" ca="1" si="190"/>
        <v>1.8143260882629433E-2</v>
      </c>
      <c r="CE188" s="142">
        <f t="shared" ca="1" si="190"/>
        <v>1.3958431363570561E-2</v>
      </c>
      <c r="CG188" s="128">
        <f t="shared" si="162"/>
        <v>200</v>
      </c>
      <c r="CH188" s="90">
        <f ca="1">INDEX(角色升级!$A:$A,MATCH(玩家节奏2!$BX188,角色升级!$J:$J,1))</f>
        <v>1047</v>
      </c>
      <c r="CI188" s="90">
        <f ca="1">INDEX(角色升级!$O:$O,MATCH(玩家节奏2!$BX188,角色升级!$J:$J,1))</f>
        <v>99294.156750000009</v>
      </c>
      <c r="CJ188" s="90">
        <f>INDEX(关卡对比!$J:$J,MATCH(玩家节奏2!N188,关卡对比!$A:$A,0))</f>
        <v>86200</v>
      </c>
      <c r="CK188" s="147">
        <f t="shared" ca="1" si="163"/>
        <v>0.8681276202086281</v>
      </c>
      <c r="CL188" s="128">
        <f ca="1">INDEX(角色升级!$P:$P,MATCH(玩家节奏2!$CH188,角色升级!$A:$A,0))</f>
        <v>40800</v>
      </c>
      <c r="CM188" s="90">
        <f ca="1">INDEX(角色升级!Q:Q,MATCH(玩家节奏2!$CH188,角色升级!$A:$A,0))</f>
        <v>2.2000000000000002</v>
      </c>
      <c r="CO188" s="128">
        <f t="shared" si="164"/>
        <v>78866</v>
      </c>
      <c r="CP188" s="90">
        <f t="shared" si="165"/>
        <v>401966</v>
      </c>
      <c r="CQ188" s="90">
        <f t="shared" si="166"/>
        <v>128044</v>
      </c>
      <c r="CR188" s="90">
        <f t="shared" ca="1" si="167"/>
        <v>545010</v>
      </c>
      <c r="CS188" s="90">
        <f t="shared" ca="1" si="168"/>
        <v>1153886</v>
      </c>
      <c r="CT188" s="142">
        <f t="shared" ca="1" si="169"/>
        <v>6.8348173043090918E-2</v>
      </c>
      <c r="CU188" s="142">
        <f t="shared" ca="1" si="169"/>
        <v>0.34835850335301755</v>
      </c>
      <c r="CV188" s="142">
        <f t="shared" ca="1" si="169"/>
        <v>0.11096763458435235</v>
      </c>
      <c r="CW188" s="142">
        <f t="shared" ca="1" si="149"/>
        <v>0.4723256890195392</v>
      </c>
      <c r="CY188" s="128">
        <f t="shared" si="170"/>
        <v>39434</v>
      </c>
      <c r="CZ188" s="90">
        <f t="shared" si="171"/>
        <v>200819</v>
      </c>
      <c r="DA188" s="90">
        <f t="shared" si="172"/>
        <v>89352</v>
      </c>
      <c r="DB188" s="90">
        <f t="shared" ca="1" si="186"/>
        <v>270718.25</v>
      </c>
      <c r="DC188" s="90">
        <f t="shared" ca="1" si="173"/>
        <v>600323.25</v>
      </c>
      <c r="DD188" s="142">
        <f t="shared" ca="1" si="174"/>
        <v>6.5687943953528366E-2</v>
      </c>
      <c r="DE188" s="142">
        <f t="shared" ca="1" si="174"/>
        <v>0.3345181117006546</v>
      </c>
      <c r="DF188" s="142">
        <f t="shared" ca="1" si="174"/>
        <v>0.14883981255098816</v>
      </c>
      <c r="DG188" s="142">
        <f t="shared" ca="1" si="150"/>
        <v>0.45095413179482885</v>
      </c>
      <c r="DI188" s="128">
        <f t="shared" si="175"/>
        <v>19113</v>
      </c>
      <c r="DJ188" s="90">
        <f t="shared" si="176"/>
        <v>98915</v>
      </c>
      <c r="DK188" s="90">
        <f t="shared" si="177"/>
        <v>35190</v>
      </c>
      <c r="DL188" s="90">
        <f t="shared" ca="1" si="178"/>
        <v>44801.5</v>
      </c>
      <c r="DM188" s="90">
        <f t="shared" ca="1" si="179"/>
        <v>198019.5</v>
      </c>
      <c r="DN188" s="142">
        <f t="shared" ca="1" si="180"/>
        <v>9.6520797194215718E-2</v>
      </c>
      <c r="DO188" s="142">
        <f t="shared" ca="1" si="180"/>
        <v>0.49952151177030546</v>
      </c>
      <c r="DP188" s="142">
        <f t="shared" ca="1" si="180"/>
        <v>0.17770977100740079</v>
      </c>
      <c r="DQ188" s="142">
        <f t="shared" ca="1" si="151"/>
        <v>0.22624792002807803</v>
      </c>
      <c r="DS188" s="128">
        <f t="shared" ca="1" si="181"/>
        <v>1153886</v>
      </c>
      <c r="DT188" s="90">
        <f t="shared" ca="1" si="182"/>
        <v>600323.25</v>
      </c>
      <c r="DU188" s="90">
        <f t="shared" ca="1" si="183"/>
        <v>198019.5</v>
      </c>
      <c r="DV188" s="90">
        <f t="shared" si="184"/>
        <v>2864</v>
      </c>
      <c r="DW188" s="90">
        <f ca="1">_xlfn.IFNA(INDEX(武器升级消耗!$H:$H,MATCH(玩家节奏2!DS188/玩家节奏2!DS$5,武器升级消耗!M:M,1)),0)</f>
        <v>92</v>
      </c>
      <c r="DX188" s="90">
        <f ca="1">_xlfn.IFNA(INDEX(武器升级消耗!$H:$H,MATCH(玩家节奏2!DT188/玩家节奏2!DT$5,武器升级消耗!N:N,1)),0)</f>
        <v>81</v>
      </c>
      <c r="DY188" s="90">
        <f ca="1">_xlfn.IFNA(INDEX(武器升级消耗!$H:$H,MATCH(玩家节奏2!DU188/玩家节奏2!DU$5,武器升级消耗!O:O,1)),0)</f>
        <v>61</v>
      </c>
      <c r="DZ188" s="90">
        <f>_xlfn.IFNA(INDEX(武器升级消耗!$H:$H,MATCH(玩家节奏2!DV188/玩家节奏2!DV$5,武器升级消耗!P:P,1)),0)</f>
        <v>38</v>
      </c>
      <c r="EA188" s="90">
        <f ca="1">_xlfn.IFNA(INDEX(武器升级消耗!$Q:$Q,MATCH(玩家节奏2!DW188,武器升级消耗!$H:$H,0))*2*EA$4,0)</f>
        <v>11.519999999999989</v>
      </c>
      <c r="EB188" s="90">
        <f ca="1">_xlfn.IFNA(INDEX(武器升级消耗!$Q:$Q,MATCH(玩家节奏2!DX188,武器升级消耗!$H:$H,0))*2*EB$4,0)</f>
        <v>12.749999999999984</v>
      </c>
      <c r="EC188" s="90">
        <f ca="1">_xlfn.IFNA(INDEX(武器升级消耗!$Q:$Q,MATCH(玩家节奏2!DY188,武器升级消耗!$H:$H,0))*2*EC$4,0)</f>
        <v>14.3</v>
      </c>
      <c r="ED188" s="90">
        <f>_xlfn.IFNA(INDEX(武器升级消耗!$Q:$Q,MATCH(玩家节奏2!DZ188,武器升级消耗!$H:$H,0))*2*ED$4,0)</f>
        <v>12.600000000000001</v>
      </c>
    </row>
    <row r="189" spans="1:134" x14ac:dyDescent="0.25">
      <c r="A189" s="123">
        <v>183</v>
      </c>
      <c r="B189" s="123">
        <f>INDEX(关卡对比!$Y:$Y,MATCH(关卡对比!Z189,关卡对比!$AA:$AA,1))</f>
        <v>105</v>
      </c>
      <c r="C189" s="124">
        <f>INDEX(关卡对比!$Y:$Y,MATCH(关卡对比!Z189,关卡对比!$AB:$AB,1))</f>
        <v>79</v>
      </c>
      <c r="D189" s="125">
        <f t="shared" si="189"/>
        <v>703.5</v>
      </c>
      <c r="E189" s="125">
        <v>2</v>
      </c>
      <c r="F189" s="128">
        <v>16</v>
      </c>
      <c r="G189" s="90">
        <v>16</v>
      </c>
      <c r="H189" s="90">
        <v>5</v>
      </c>
      <c r="J189" s="128">
        <v>183</v>
      </c>
      <c r="K189" s="90">
        <f t="shared" si="152"/>
        <v>16</v>
      </c>
      <c r="L189" s="90">
        <f t="shared" si="153"/>
        <v>16</v>
      </c>
      <c r="M189" s="90">
        <f t="shared" si="154"/>
        <v>5</v>
      </c>
      <c r="N189" s="140">
        <f>INDEX($A:$A,MATCH(SUM($K$7:K189),$D:$D,1))</f>
        <v>200</v>
      </c>
      <c r="O189" s="140">
        <v>0</v>
      </c>
      <c r="P189" s="141">
        <v>0</v>
      </c>
      <c r="Q189" s="126">
        <f>_xlfn.MAXIFS(关卡产出!X:X,关卡产出!$A:$A,玩家节奏2!$N$6,关卡产出!$B:$B,玩家节奏2!$N189)+_xlfn.MAXIFS(关卡产出!X:X,关卡产出!$A:$A,玩家节奏2!$O$6,关卡产出!$B:$B,玩家节奏2!$O189)+_xlfn.MAXIFS(关卡产出!X:X,关卡产出!$A:$A,玩家节奏2!$P$6,关卡产出!$B:$B,玩家节奏2!$P189)</f>
        <v>38500</v>
      </c>
      <c r="R189" s="90">
        <f>_xlfn.MAXIFS(关卡产出!Y:Y,关卡产出!$A:$A,玩家节奏2!$N$6,关卡产出!$B:$B,玩家节奏2!$N189)+_xlfn.MAXIFS(关卡产出!Y:Y,关卡产出!$A:$A,玩家节奏2!$O$6,关卡产出!$B:$B,玩家节奏2!$O189)+_xlfn.MAXIFS(关卡产出!Y:Y,关卡产出!$A:$A,玩家节奏2!$P$6,关卡产出!$B:$B,玩家节奏2!$P189)</f>
        <v>11610000</v>
      </c>
      <c r="S189" s="90">
        <f>_xlfn.MAXIFS(关卡产出!Z:Z,关卡产出!$A:$A,玩家节奏2!$N$6,关卡产出!$B:$B,玩家节奏2!$N189)+_xlfn.MAXIFS(关卡产出!Z:Z,关卡产出!$A:$A,玩家节奏2!$O$6,关卡产出!$B:$B,玩家节奏2!$O189)+_xlfn.MAXIFS(关卡产出!Z:Z,关卡产出!$A:$A,玩家节奏2!$P$6,关卡产出!$B:$B,玩家节奏2!$P189)</f>
        <v>78866</v>
      </c>
      <c r="T189" s="90">
        <f>_xlfn.MAXIFS(关卡产出!AA:AA,关卡产出!$A:$A,玩家节奏2!$N$6,关卡产出!$B:$B,玩家节奏2!$N189)+_xlfn.MAXIFS(关卡产出!AA:AA,关卡产出!$A:$A,玩家节奏2!$O$6,关卡产出!$B:$B,玩家节奏2!$O189)+_xlfn.MAXIFS(关卡产出!AA:AA,关卡产出!$A:$A,玩家节奏2!$P$6,关卡产出!$B:$B,玩家节奏2!$P189)</f>
        <v>39434</v>
      </c>
      <c r="U189" s="90">
        <f>_xlfn.MAXIFS(关卡产出!AB:AB,关卡产出!$A:$A,玩家节奏2!$N$6,关卡产出!$B:$B,玩家节奏2!$N189)+_xlfn.MAXIFS(关卡产出!AB:AB,关卡产出!$A:$A,玩家节奏2!$O$6,关卡产出!$B:$B,玩家节奏2!$O189)+_xlfn.MAXIFS(关卡产出!AB:AB,关卡产出!$A:$A,玩家节奏2!$P$6,关卡产出!$B:$B,玩家节奏2!$P189)</f>
        <v>19113</v>
      </c>
      <c r="V189" s="130">
        <f>_xlfn.MAXIFS(关卡产出!AC:AC,关卡产出!$A:$A,玩家节奏2!$N$6,关卡产出!$B:$B,玩家节奏2!$N189)+_xlfn.MAXIFS(关卡产出!AC:AC,关卡产出!$A:$A,玩家节奏2!$O$6,关卡产出!$B:$B,玩家节奏2!$O189)+_xlfn.MAXIFS(关卡产出!AC:AC,关卡产出!$A:$A,玩家节奏2!$P$6,关卡产出!$B:$B,玩家节奏2!$P189)</f>
        <v>1200</v>
      </c>
      <c r="W189" s="126">
        <f>INDEX(关卡产出!C$8:C$207,MATCH(玩家节奏2!$N189,关卡产出!$B$8:$B$207,0))*$K189</f>
        <v>2528</v>
      </c>
      <c r="X189" s="126">
        <f>INDEX(关卡产出!D$8:D$207,MATCH(玩家节奏2!$N189,关卡产出!$B$8:$B$207,0))*$K189</f>
        <v>1264</v>
      </c>
      <c r="Y189" s="126">
        <f>INDEX(关卡产出!E$8:E$207,MATCH(玩家节奏2!$N189,关卡产出!$B$8:$B$207,0))*$K189</f>
        <v>624</v>
      </c>
      <c r="Z189" s="144">
        <f>INDEX(关卡产出!F$8:F$207,MATCH(玩家节奏2!$N189,关卡产出!$B$8:$B$207,0))*$K189</f>
        <v>32800</v>
      </c>
      <c r="AA189" s="126">
        <f>SUM(W$7:W189)</f>
        <v>404494</v>
      </c>
      <c r="AB189" s="126">
        <f>SUM(X$7:X189)</f>
        <v>202083</v>
      </c>
      <c r="AC189" s="126">
        <f>SUM(Y$7:Y189)</f>
        <v>99539</v>
      </c>
      <c r="AD189" s="177">
        <f>SUM(Z$7:Z189)</f>
        <v>5275930</v>
      </c>
      <c r="AE189" s="128">
        <f>INDEX(图鉴!AQ:AQ,MATCH($N189,图鉴!$S:$S,0))*34</f>
        <v>714</v>
      </c>
      <c r="AF189" s="90">
        <f>INDEX(图鉴!AR:AR,MATCH($N189,图鉴!$S:$S,0))*34</f>
        <v>510</v>
      </c>
      <c r="AG189" s="90">
        <f>INDEX(图鉴!AS:AS,MATCH($N189,图鉴!$S:$S,0))*34</f>
        <v>204</v>
      </c>
      <c r="AH189" s="129">
        <f ca="1">INDEX(图鉴!AT:AT,MATCH($N189,图鉴!$S:$S,0))*34</f>
        <v>55930</v>
      </c>
      <c r="AI189" s="128">
        <f>SUM($AE$7:AE189)</f>
        <v>128758</v>
      </c>
      <c r="AJ189" s="90">
        <f>SUM(AF$7:AF189)</f>
        <v>89862</v>
      </c>
      <c r="AK189" s="90">
        <f>SUM(AG$7:AG189)</f>
        <v>35394</v>
      </c>
      <c r="AL189" s="130">
        <f ca="1">SUM(AH$7:AH189)</f>
        <v>9405556</v>
      </c>
      <c r="AM189" s="133">
        <f>IF(M189=0,0,INDEX(关卡产出!$AU$11:$AU$15,MATCH(玩家节奏2!N189,关卡产出!$AW$11:$AW$15,1))*M189)</f>
        <v>61000</v>
      </c>
      <c r="AN189" s="126">
        <f>IF(L189=0,0,$L189*关卡产出!AU$21)</f>
        <v>16000</v>
      </c>
      <c r="AO189" s="90">
        <f>IF(M189=0,0,$L189*关卡产出!AV$21)</f>
        <v>800</v>
      </c>
      <c r="AP189" s="129">
        <f>IF(N189=0,0,$L189*关卡产出!AW$21)</f>
        <v>16</v>
      </c>
      <c r="AQ189" s="138">
        <f>SUM(AN$7:AN189)</f>
        <v>2880000</v>
      </c>
      <c r="AR189" s="126">
        <f>SUM(AO$7:AO189)</f>
        <v>144000</v>
      </c>
      <c r="AS189" s="129">
        <f>SUM(AP$7:AP189)</f>
        <v>2880</v>
      </c>
      <c r="AT189" s="128">
        <v>3000</v>
      </c>
      <c r="AU189" s="129">
        <v>600</v>
      </c>
      <c r="AV189" s="128">
        <f>SUM(AT$7:AT189)</f>
        <v>549000</v>
      </c>
      <c r="AW189" s="90">
        <f>SUM(AU$7:AU189)</f>
        <v>109800</v>
      </c>
      <c r="AY189" s="128">
        <f t="shared" si="155"/>
        <v>38500</v>
      </c>
      <c r="AZ189" s="90">
        <f t="shared" si="156"/>
        <v>144000</v>
      </c>
      <c r="BA189" s="90">
        <f t="shared" si="157"/>
        <v>109800</v>
      </c>
      <c r="BB189" s="90">
        <f t="shared" ca="1" si="185"/>
        <v>40800</v>
      </c>
      <c r="BC189" s="90">
        <f t="shared" ca="1" si="187"/>
        <v>168725</v>
      </c>
      <c r="BD189" s="90">
        <f t="shared" ca="1" si="188"/>
        <v>164375</v>
      </c>
      <c r="BE189" s="90">
        <f t="shared" ca="1" si="158"/>
        <v>333100</v>
      </c>
      <c r="BF189" s="142">
        <f t="shared" ca="1" si="192"/>
        <v>0.22818195288190843</v>
      </c>
      <c r="BG189" s="142">
        <f t="shared" ca="1" si="193"/>
        <v>0.85345977181804711</v>
      </c>
      <c r="BH189" s="142">
        <f t="shared" ca="1" si="194"/>
        <v>0.65076307601126093</v>
      </c>
      <c r="BI189" s="142">
        <f t="shared" ca="1" si="197"/>
        <v>0.24181360201511334</v>
      </c>
      <c r="BJ189" s="143"/>
      <c r="BK189" s="128">
        <f ca="1">INDEX(商城宝箱!$L:$L,MATCH(BC189,商城宝箱!$N:$N,1))</f>
        <v>13</v>
      </c>
      <c r="BL189" s="90">
        <f ca="1">_xlfn.IFNA(INDEX(商城宝箱!T:T,MATCH(玩家节奏2!$BK189,商城宝箱!$L:$L,0)),0)+($BC189-INDEX(商城宝箱!$N:$N,MATCH(玩家节奏2!$BK189,商城宝箱!$L:$L,0)))/$BK$5*INDEX(商城宝箱!E$23:E$42,MATCH(玩家节奏2!$BK189+1,商城宝箱!$C$23:$C$42,0))</f>
        <v>421812.5</v>
      </c>
      <c r="BM189" s="90">
        <f ca="1">_xlfn.IFNA(INDEX(商城宝箱!U:U,MATCH(玩家节奏2!$BK189,商城宝箱!$L:$L,0)),0)+($BC189-INDEX(商城宝箱!$N:$N,MATCH(玩家节奏2!$BK189,商城宝箱!$L:$L,0)))/$BK$5*INDEX(商城宝箱!F$23:F$42,MATCH(玩家节奏2!$BK189+1,商城宝箱!$C$23:$C$42,0))</f>
        <v>548300</v>
      </c>
      <c r="BN189" s="90">
        <f ca="1">_xlfn.IFNA(INDEX(商城宝箱!V:V,MATCH(玩家节奏2!$BK189,商城宝箱!$L:$L,0)),0)+($BC189-INDEX(商城宝箱!$N:$N,MATCH(玩家节奏2!$BK189,商城宝箱!$L:$L,0)))/$BK$5*INDEX(商城宝箱!G$23:G$42,MATCH(玩家节奏2!$BK189+1,商城宝箱!$C$23:$C$42,0))</f>
        <v>272293.25</v>
      </c>
      <c r="BO189" s="90">
        <f ca="1">_xlfn.IFNA(INDEX(商城宝箱!W:W,MATCH(玩家节奏2!$BK189,商城宝箱!$L:$L,0)),0)+($BC189-INDEX(商城宝箱!$N:$N,MATCH(玩家节奏2!$BK189,商城宝箱!$L:$L,0)))/$BK$5*INDEX(商城宝箱!H$23:H$42,MATCH(玩家节奏2!$BK189+1,商城宝箱!$C$23:$C$42,0))</f>
        <v>45081.5</v>
      </c>
      <c r="BQ189" s="128">
        <f t="shared" si="143"/>
        <v>11610000</v>
      </c>
      <c r="BR189" s="90">
        <f t="shared" si="144"/>
        <v>5275930</v>
      </c>
      <c r="BS189" s="90">
        <f t="shared" ca="1" si="195"/>
        <v>9405556</v>
      </c>
      <c r="BT189" s="90">
        <f t="shared" si="196"/>
        <v>61000</v>
      </c>
      <c r="BU189" s="90">
        <f t="shared" si="147"/>
        <v>2880000</v>
      </c>
      <c r="BV189" s="90">
        <f t="shared" si="148"/>
        <v>549000</v>
      </c>
      <c r="BW189" s="90">
        <f t="shared" ca="1" si="160"/>
        <v>421812.5</v>
      </c>
      <c r="BX189" s="90">
        <f t="shared" ca="1" si="161"/>
        <v>30203298.5</v>
      </c>
      <c r="BY189" s="142">
        <f t="shared" ca="1" si="191"/>
        <v>0.38439510174691682</v>
      </c>
      <c r="BZ189" s="142">
        <f t="shared" ca="1" si="191"/>
        <v>0.17468058993622831</v>
      </c>
      <c r="CA189" s="142">
        <f t="shared" ca="1" si="191"/>
        <v>0.31140823907031212</v>
      </c>
      <c r="CB189" s="142">
        <f t="shared" ca="1" si="190"/>
        <v>2.019646960082853E-3</v>
      </c>
      <c r="CC189" s="142">
        <f t="shared" ca="1" si="190"/>
        <v>9.5353823689157666E-2</v>
      </c>
      <c r="CD189" s="142">
        <f t="shared" ca="1" si="190"/>
        <v>1.8176822640745677E-2</v>
      </c>
      <c r="CE189" s="142">
        <f t="shared" ca="1" si="190"/>
        <v>1.3965775956556533E-2</v>
      </c>
      <c r="CG189" s="128">
        <f t="shared" si="162"/>
        <v>200</v>
      </c>
      <c r="CH189" s="90">
        <f ca="1">INDEX(角色升级!$A:$A,MATCH(玩家节奏2!$BX189,角色升级!$J:$J,1))</f>
        <v>1047</v>
      </c>
      <c r="CI189" s="90">
        <f ca="1">INDEX(角色升级!$O:$O,MATCH(玩家节奏2!$BX189,角色升级!$J:$J,1))</f>
        <v>99294.156750000009</v>
      </c>
      <c r="CJ189" s="90">
        <f>INDEX(关卡对比!$J:$J,MATCH(玩家节奏2!N189,关卡对比!$A:$A,0))</f>
        <v>86200</v>
      </c>
      <c r="CK189" s="147">
        <f t="shared" ca="1" si="163"/>
        <v>0.8681276202086281</v>
      </c>
      <c r="CL189" s="128">
        <f ca="1">INDEX(角色升级!$P:$P,MATCH(玩家节奏2!$CH189,角色升级!$A:$A,0))</f>
        <v>40800</v>
      </c>
      <c r="CM189" s="90">
        <f ca="1">INDEX(角色升级!Q:Q,MATCH(玩家节奏2!$CH189,角色升级!$A:$A,0))</f>
        <v>2.2000000000000002</v>
      </c>
      <c r="CO189" s="128">
        <f t="shared" si="164"/>
        <v>78866</v>
      </c>
      <c r="CP189" s="90">
        <f t="shared" si="165"/>
        <v>404494</v>
      </c>
      <c r="CQ189" s="90">
        <f t="shared" si="166"/>
        <v>128758</v>
      </c>
      <c r="CR189" s="90">
        <f t="shared" ca="1" si="167"/>
        <v>548300</v>
      </c>
      <c r="CS189" s="90">
        <f t="shared" ca="1" si="168"/>
        <v>1160418</v>
      </c>
      <c r="CT189" s="142">
        <f t="shared" ca="1" si="169"/>
        <v>6.7963440760139882E-2</v>
      </c>
      <c r="CU189" s="142">
        <f t="shared" ca="1" si="169"/>
        <v>0.34857611653731674</v>
      </c>
      <c r="CV189" s="142">
        <f t="shared" ca="1" si="169"/>
        <v>0.11095829261524727</v>
      </c>
      <c r="CW189" s="142">
        <f t="shared" ca="1" si="149"/>
        <v>0.47250215008729612</v>
      </c>
      <c r="CY189" s="128">
        <f t="shared" si="170"/>
        <v>39434</v>
      </c>
      <c r="CZ189" s="90">
        <f t="shared" si="171"/>
        <v>202083</v>
      </c>
      <c r="DA189" s="90">
        <f t="shared" si="172"/>
        <v>89862</v>
      </c>
      <c r="DB189" s="90">
        <f t="shared" ca="1" si="186"/>
        <v>272293.25</v>
      </c>
      <c r="DC189" s="90">
        <f t="shared" ca="1" si="173"/>
        <v>603672.25</v>
      </c>
      <c r="DD189" s="142">
        <f t="shared" ca="1" si="174"/>
        <v>6.5323526135249721E-2</v>
      </c>
      <c r="DE189" s="142">
        <f t="shared" ca="1" si="174"/>
        <v>0.33475615286274962</v>
      </c>
      <c r="DF189" s="142">
        <f t="shared" ca="1" si="174"/>
        <v>0.14885892137662449</v>
      </c>
      <c r="DG189" s="142">
        <f t="shared" ca="1" si="150"/>
        <v>0.45106139962537617</v>
      </c>
      <c r="DI189" s="128">
        <f t="shared" si="175"/>
        <v>19113</v>
      </c>
      <c r="DJ189" s="90">
        <f t="shared" si="176"/>
        <v>99539</v>
      </c>
      <c r="DK189" s="90">
        <f t="shared" si="177"/>
        <v>35394</v>
      </c>
      <c r="DL189" s="90">
        <f t="shared" ca="1" si="178"/>
        <v>45081.5</v>
      </c>
      <c r="DM189" s="90">
        <f t="shared" ca="1" si="179"/>
        <v>199127.5</v>
      </c>
      <c r="DN189" s="142">
        <f t="shared" ca="1" si="180"/>
        <v>9.598372901784033E-2</v>
      </c>
      <c r="DO189" s="142">
        <f t="shared" ca="1" si="180"/>
        <v>0.49987570777516915</v>
      </c>
      <c r="DP189" s="142">
        <f t="shared" ca="1" si="180"/>
        <v>0.17774541437018995</v>
      </c>
      <c r="DQ189" s="142">
        <f t="shared" ca="1" si="151"/>
        <v>0.22639514883680054</v>
      </c>
      <c r="DS189" s="128">
        <f t="shared" ca="1" si="181"/>
        <v>1160418</v>
      </c>
      <c r="DT189" s="90">
        <f t="shared" ca="1" si="182"/>
        <v>603672.25</v>
      </c>
      <c r="DU189" s="90">
        <f t="shared" ca="1" si="183"/>
        <v>199127.5</v>
      </c>
      <c r="DV189" s="90">
        <f t="shared" si="184"/>
        <v>2880</v>
      </c>
      <c r="DW189" s="90">
        <f ca="1">_xlfn.IFNA(INDEX(武器升级消耗!$H:$H,MATCH(玩家节奏2!DS189/玩家节奏2!DS$5,武器升级消耗!M:M,1)),0)</f>
        <v>93</v>
      </c>
      <c r="DX189" s="90">
        <f ca="1">_xlfn.IFNA(INDEX(武器升级消耗!$H:$H,MATCH(玩家节奏2!DT189/玩家节奏2!DT$5,武器升级消耗!N:N,1)),0)</f>
        <v>81</v>
      </c>
      <c r="DY189" s="90">
        <f ca="1">_xlfn.IFNA(INDEX(武器升级消耗!$H:$H,MATCH(玩家节奏2!DU189/玩家节奏2!DU$5,武器升级消耗!O:O,1)),0)</f>
        <v>61</v>
      </c>
      <c r="DZ189" s="90">
        <f>_xlfn.IFNA(INDEX(武器升级消耗!$H:$H,MATCH(玩家节奏2!DV189/玩家节奏2!DV$5,武器升级消耗!P:P,1)),0)</f>
        <v>38</v>
      </c>
      <c r="EA189" s="90">
        <f ca="1">_xlfn.IFNA(INDEX(武器升级消耗!$Q:$Q,MATCH(玩家节奏2!DW189,武器升级消耗!$H:$H,0))*2*EA$4,0)</f>
        <v>11.639999999999988</v>
      </c>
      <c r="EB189" s="90">
        <f ca="1">_xlfn.IFNA(INDEX(武器升级消耗!$Q:$Q,MATCH(玩家节奏2!DX189,武器升级消耗!$H:$H,0))*2*EB$4,0)</f>
        <v>12.749999999999984</v>
      </c>
      <c r="EC189" s="90">
        <f ca="1">_xlfn.IFNA(INDEX(武器升级消耗!$Q:$Q,MATCH(玩家节奏2!DY189,武器升级消耗!$H:$H,0))*2*EC$4,0)</f>
        <v>14.3</v>
      </c>
      <c r="ED189" s="90">
        <f>_xlfn.IFNA(INDEX(武器升级消耗!$Q:$Q,MATCH(玩家节奏2!DZ189,武器升级消耗!$H:$H,0))*2*ED$4,0)</f>
        <v>12.600000000000001</v>
      </c>
    </row>
    <row r="190" spans="1:134" x14ac:dyDescent="0.25">
      <c r="A190" s="123">
        <v>184</v>
      </c>
      <c r="B190" s="123">
        <f>INDEX(关卡对比!$Y:$Y,MATCH(关卡对比!Z190,关卡对比!$AA:$AA,1))</f>
        <v>105</v>
      </c>
      <c r="C190" s="124">
        <f>INDEX(关卡对比!$Y:$Y,MATCH(关卡对比!Z190,关卡对比!$AB:$AB,1))</f>
        <v>79</v>
      </c>
      <c r="D190" s="125">
        <f t="shared" si="189"/>
        <v>705.5</v>
      </c>
      <c r="E190" s="125">
        <v>2</v>
      </c>
      <c r="F190" s="128">
        <v>16</v>
      </c>
      <c r="G190" s="90">
        <v>16</v>
      </c>
      <c r="H190" s="90">
        <v>5</v>
      </c>
      <c r="J190" s="128">
        <v>184</v>
      </c>
      <c r="K190" s="90">
        <f t="shared" si="152"/>
        <v>16</v>
      </c>
      <c r="L190" s="90">
        <f t="shared" si="153"/>
        <v>16</v>
      </c>
      <c r="M190" s="90">
        <f t="shared" si="154"/>
        <v>5</v>
      </c>
      <c r="N190" s="140">
        <f>INDEX($A:$A,MATCH(SUM($K$7:K190),$D:$D,1))</f>
        <v>200</v>
      </c>
      <c r="O190" s="140">
        <v>0</v>
      </c>
      <c r="P190" s="141">
        <v>0</v>
      </c>
      <c r="Q190" s="126">
        <f>_xlfn.MAXIFS(关卡产出!X:X,关卡产出!$A:$A,玩家节奏2!$N$6,关卡产出!$B:$B,玩家节奏2!$N190)+_xlfn.MAXIFS(关卡产出!X:X,关卡产出!$A:$A,玩家节奏2!$O$6,关卡产出!$B:$B,玩家节奏2!$O190)+_xlfn.MAXIFS(关卡产出!X:X,关卡产出!$A:$A,玩家节奏2!$P$6,关卡产出!$B:$B,玩家节奏2!$P190)</f>
        <v>38500</v>
      </c>
      <c r="R190" s="90">
        <f>_xlfn.MAXIFS(关卡产出!Y:Y,关卡产出!$A:$A,玩家节奏2!$N$6,关卡产出!$B:$B,玩家节奏2!$N190)+_xlfn.MAXIFS(关卡产出!Y:Y,关卡产出!$A:$A,玩家节奏2!$O$6,关卡产出!$B:$B,玩家节奏2!$O190)+_xlfn.MAXIFS(关卡产出!Y:Y,关卡产出!$A:$A,玩家节奏2!$P$6,关卡产出!$B:$B,玩家节奏2!$P190)</f>
        <v>11610000</v>
      </c>
      <c r="S190" s="90">
        <f>_xlfn.MAXIFS(关卡产出!Z:Z,关卡产出!$A:$A,玩家节奏2!$N$6,关卡产出!$B:$B,玩家节奏2!$N190)+_xlfn.MAXIFS(关卡产出!Z:Z,关卡产出!$A:$A,玩家节奏2!$O$6,关卡产出!$B:$B,玩家节奏2!$O190)+_xlfn.MAXIFS(关卡产出!Z:Z,关卡产出!$A:$A,玩家节奏2!$P$6,关卡产出!$B:$B,玩家节奏2!$P190)</f>
        <v>78866</v>
      </c>
      <c r="T190" s="90">
        <f>_xlfn.MAXIFS(关卡产出!AA:AA,关卡产出!$A:$A,玩家节奏2!$N$6,关卡产出!$B:$B,玩家节奏2!$N190)+_xlfn.MAXIFS(关卡产出!AA:AA,关卡产出!$A:$A,玩家节奏2!$O$6,关卡产出!$B:$B,玩家节奏2!$O190)+_xlfn.MAXIFS(关卡产出!AA:AA,关卡产出!$A:$A,玩家节奏2!$P$6,关卡产出!$B:$B,玩家节奏2!$P190)</f>
        <v>39434</v>
      </c>
      <c r="U190" s="90">
        <f>_xlfn.MAXIFS(关卡产出!AB:AB,关卡产出!$A:$A,玩家节奏2!$N$6,关卡产出!$B:$B,玩家节奏2!$N190)+_xlfn.MAXIFS(关卡产出!AB:AB,关卡产出!$A:$A,玩家节奏2!$O$6,关卡产出!$B:$B,玩家节奏2!$O190)+_xlfn.MAXIFS(关卡产出!AB:AB,关卡产出!$A:$A,玩家节奏2!$P$6,关卡产出!$B:$B,玩家节奏2!$P190)</f>
        <v>19113</v>
      </c>
      <c r="V190" s="130">
        <f>_xlfn.MAXIFS(关卡产出!AC:AC,关卡产出!$A:$A,玩家节奏2!$N$6,关卡产出!$B:$B,玩家节奏2!$N190)+_xlfn.MAXIFS(关卡产出!AC:AC,关卡产出!$A:$A,玩家节奏2!$O$6,关卡产出!$B:$B,玩家节奏2!$O190)+_xlfn.MAXIFS(关卡产出!AC:AC,关卡产出!$A:$A,玩家节奏2!$P$6,关卡产出!$B:$B,玩家节奏2!$P190)</f>
        <v>1200</v>
      </c>
      <c r="W190" s="126">
        <f>INDEX(关卡产出!C$8:C$207,MATCH(玩家节奏2!$N190,关卡产出!$B$8:$B$207,0))*$K190</f>
        <v>2528</v>
      </c>
      <c r="X190" s="126">
        <f>INDEX(关卡产出!D$8:D$207,MATCH(玩家节奏2!$N190,关卡产出!$B$8:$B$207,0))*$K190</f>
        <v>1264</v>
      </c>
      <c r="Y190" s="126">
        <f>INDEX(关卡产出!E$8:E$207,MATCH(玩家节奏2!$N190,关卡产出!$B$8:$B$207,0))*$K190</f>
        <v>624</v>
      </c>
      <c r="Z190" s="144">
        <f>INDEX(关卡产出!F$8:F$207,MATCH(玩家节奏2!$N190,关卡产出!$B$8:$B$207,0))*$K190</f>
        <v>32800</v>
      </c>
      <c r="AA190" s="126">
        <f>SUM(W$7:W190)</f>
        <v>407022</v>
      </c>
      <c r="AB190" s="126">
        <f>SUM(X$7:X190)</f>
        <v>203347</v>
      </c>
      <c r="AC190" s="126">
        <f>SUM(Y$7:Y190)</f>
        <v>100163</v>
      </c>
      <c r="AD190" s="177">
        <f>SUM(Z$7:Z190)</f>
        <v>5308730</v>
      </c>
      <c r="AE190" s="128">
        <f>INDEX(图鉴!AQ:AQ,MATCH($N190,图鉴!$S:$S,0))*34</f>
        <v>714</v>
      </c>
      <c r="AF190" s="90">
        <f>INDEX(图鉴!AR:AR,MATCH($N190,图鉴!$S:$S,0))*34</f>
        <v>510</v>
      </c>
      <c r="AG190" s="90">
        <f>INDEX(图鉴!AS:AS,MATCH($N190,图鉴!$S:$S,0))*34</f>
        <v>204</v>
      </c>
      <c r="AH190" s="129">
        <f ca="1">INDEX(图鉴!AT:AT,MATCH($N190,图鉴!$S:$S,0))*34</f>
        <v>55930</v>
      </c>
      <c r="AI190" s="128">
        <f>SUM($AE$7:AE190)</f>
        <v>129472</v>
      </c>
      <c r="AJ190" s="90">
        <f>SUM(AF$7:AF190)</f>
        <v>90372</v>
      </c>
      <c r="AK190" s="90">
        <f>SUM(AG$7:AG190)</f>
        <v>35598</v>
      </c>
      <c r="AL190" s="130">
        <f ca="1">SUM(AH$7:AH190)</f>
        <v>9461486</v>
      </c>
      <c r="AM190" s="133">
        <f>IF(M190=0,0,INDEX(关卡产出!$AU$11:$AU$15,MATCH(玩家节奏2!N190,关卡产出!$AW$11:$AW$15,1))*M190)</f>
        <v>61000</v>
      </c>
      <c r="AN190" s="126">
        <f>IF(L190=0,0,$L190*关卡产出!AU$21)</f>
        <v>16000</v>
      </c>
      <c r="AO190" s="90">
        <f>IF(M190=0,0,$L190*关卡产出!AV$21)</f>
        <v>800</v>
      </c>
      <c r="AP190" s="129">
        <f>IF(N190=0,0,$L190*关卡产出!AW$21)</f>
        <v>16</v>
      </c>
      <c r="AQ190" s="138">
        <f>SUM(AN$7:AN190)</f>
        <v>2896000</v>
      </c>
      <c r="AR190" s="126">
        <f>SUM(AO$7:AO190)</f>
        <v>144800</v>
      </c>
      <c r="AS190" s="129">
        <f>SUM(AP$7:AP190)</f>
        <v>2896</v>
      </c>
      <c r="AT190" s="128">
        <v>3000</v>
      </c>
      <c r="AU190" s="129">
        <v>600</v>
      </c>
      <c r="AV190" s="128">
        <f>SUM(AT$7:AT190)</f>
        <v>552000</v>
      </c>
      <c r="AW190" s="90">
        <f>SUM(AU$7:AU190)</f>
        <v>110400</v>
      </c>
      <c r="AY190" s="128">
        <f t="shared" si="155"/>
        <v>38500</v>
      </c>
      <c r="AZ190" s="90">
        <f t="shared" si="156"/>
        <v>144800</v>
      </c>
      <c r="BA190" s="90">
        <f t="shared" si="157"/>
        <v>110400</v>
      </c>
      <c r="BB190" s="90">
        <f t="shared" ca="1" si="185"/>
        <v>40800</v>
      </c>
      <c r="BC190" s="90">
        <f t="shared" ca="1" si="187"/>
        <v>169425</v>
      </c>
      <c r="BD190" s="90">
        <f t="shared" ca="1" si="188"/>
        <v>165075</v>
      </c>
      <c r="BE190" s="90">
        <f t="shared" ca="1" si="158"/>
        <v>334500</v>
      </c>
      <c r="BF190" s="142">
        <f t="shared" ca="1" si="192"/>
        <v>0.22723919138261767</v>
      </c>
      <c r="BG190" s="142">
        <f t="shared" ca="1" si="193"/>
        <v>0.85465545226501405</v>
      </c>
      <c r="BH190" s="142">
        <f t="shared" ca="1" si="194"/>
        <v>0.65161575918548031</v>
      </c>
      <c r="BI190" s="142">
        <f t="shared" ca="1" si="197"/>
        <v>0.24081451969898185</v>
      </c>
      <c r="BJ190" s="143"/>
      <c r="BK190" s="128">
        <f ca="1">INDEX(商城宝箱!$L:$L,MATCH(BC190,商城宝箱!$N:$N,1))</f>
        <v>13</v>
      </c>
      <c r="BL190" s="90">
        <f ca="1">_xlfn.IFNA(INDEX(商城宝箱!T:T,MATCH(玩家节奏2!$BK190,商城宝箱!$L:$L,0)),0)+($BC190-INDEX(商城宝箱!$N:$N,MATCH(玩家节奏2!$BK190,商城宝箱!$L:$L,0)))/$BK$5*INDEX(商城宝箱!E$23:E$42,MATCH(玩家节奏2!$BK190+1,商城宝箱!$C$23:$C$42,0))</f>
        <v>423562.5</v>
      </c>
      <c r="BM190" s="90">
        <f ca="1">_xlfn.IFNA(INDEX(商城宝箱!U:U,MATCH(玩家节奏2!$BK190,商城宝箱!$L:$L,0)),0)+($BC190-INDEX(商城宝箱!$N:$N,MATCH(玩家节奏2!$BK190,商城宝箱!$L:$L,0)))/$BK$5*INDEX(商城宝箱!F$23:F$42,MATCH(玩家节奏2!$BK190+1,商城宝箱!$C$23:$C$42,0))</f>
        <v>551590</v>
      </c>
      <c r="BN190" s="90">
        <f ca="1">_xlfn.IFNA(INDEX(商城宝箱!V:V,MATCH(玩家节奏2!$BK190,商城宝箱!$L:$L,0)),0)+($BC190-INDEX(商城宝箱!$N:$N,MATCH(玩家节奏2!$BK190,商城宝箱!$L:$L,0)))/$BK$5*INDEX(商城宝箱!G$23:G$42,MATCH(玩家节奏2!$BK190+1,商城宝箱!$C$23:$C$42,0))</f>
        <v>273868.25</v>
      </c>
      <c r="BO190" s="90">
        <f ca="1">_xlfn.IFNA(INDEX(商城宝箱!W:W,MATCH(玩家节奏2!$BK190,商城宝箱!$L:$L,0)),0)+($BC190-INDEX(商城宝箱!$N:$N,MATCH(玩家节奏2!$BK190,商城宝箱!$L:$L,0)))/$BK$5*INDEX(商城宝箱!H$23:H$42,MATCH(玩家节奏2!$BK190+1,商城宝箱!$C$23:$C$42,0))</f>
        <v>45361.5</v>
      </c>
      <c r="BQ190" s="128">
        <f t="shared" si="143"/>
        <v>11610000</v>
      </c>
      <c r="BR190" s="90">
        <f t="shared" si="144"/>
        <v>5308730</v>
      </c>
      <c r="BS190" s="90">
        <f t="shared" ca="1" si="195"/>
        <v>9461486</v>
      </c>
      <c r="BT190" s="90">
        <f t="shared" si="196"/>
        <v>61000</v>
      </c>
      <c r="BU190" s="90">
        <f t="shared" si="147"/>
        <v>2896000</v>
      </c>
      <c r="BV190" s="90">
        <f t="shared" si="148"/>
        <v>552000</v>
      </c>
      <c r="BW190" s="90">
        <f t="shared" ca="1" si="160"/>
        <v>423562.5</v>
      </c>
      <c r="BX190" s="90">
        <f t="shared" ca="1" si="161"/>
        <v>30312778.5</v>
      </c>
      <c r="BY190" s="142">
        <f t="shared" ca="1" si="191"/>
        <v>0.38300679035410762</v>
      </c>
      <c r="BZ190" s="142">
        <f t="shared" ca="1" si="191"/>
        <v>0.17513175177920426</v>
      </c>
      <c r="CA190" s="142">
        <f t="shared" ca="1" si="191"/>
        <v>0.31212862918521311</v>
      </c>
      <c r="CB190" s="142">
        <f t="shared" ca="1" si="190"/>
        <v>2.0123526452713665E-3</v>
      </c>
      <c r="CC190" s="142">
        <f t="shared" ca="1" si="190"/>
        <v>9.55372665689488E-2</v>
      </c>
      <c r="CD190" s="142">
        <f t="shared" ca="1" si="190"/>
        <v>1.8210141970324497E-2</v>
      </c>
      <c r="CE190" s="142">
        <f t="shared" ca="1" si="190"/>
        <v>1.3973067496930379E-2</v>
      </c>
      <c r="CG190" s="128">
        <f t="shared" si="162"/>
        <v>200</v>
      </c>
      <c r="CH190" s="90">
        <f ca="1">INDEX(角色升级!$A:$A,MATCH(玩家节奏2!$BX190,角色升级!$J:$J,1))</f>
        <v>1047</v>
      </c>
      <c r="CI190" s="90">
        <f ca="1">INDEX(角色升级!$O:$O,MATCH(玩家节奏2!$BX190,角色升级!$J:$J,1))</f>
        <v>99294.156750000009</v>
      </c>
      <c r="CJ190" s="90">
        <f>INDEX(关卡对比!$J:$J,MATCH(玩家节奏2!N190,关卡对比!$A:$A,0))</f>
        <v>86200</v>
      </c>
      <c r="CK190" s="147">
        <f t="shared" ca="1" si="163"/>
        <v>0.8681276202086281</v>
      </c>
      <c r="CL190" s="128">
        <f ca="1">INDEX(角色升级!$P:$P,MATCH(玩家节奏2!$CH190,角色升级!$A:$A,0))</f>
        <v>40800</v>
      </c>
      <c r="CM190" s="90">
        <f ca="1">INDEX(角色升级!Q:Q,MATCH(玩家节奏2!$CH190,角色升级!$A:$A,0))</f>
        <v>2.2000000000000002</v>
      </c>
      <c r="CO190" s="128">
        <f t="shared" si="164"/>
        <v>78866</v>
      </c>
      <c r="CP190" s="90">
        <f t="shared" si="165"/>
        <v>407022</v>
      </c>
      <c r="CQ190" s="90">
        <f t="shared" si="166"/>
        <v>129472</v>
      </c>
      <c r="CR190" s="90">
        <f t="shared" ca="1" si="167"/>
        <v>551590</v>
      </c>
      <c r="CS190" s="90">
        <f t="shared" ca="1" si="168"/>
        <v>1166950</v>
      </c>
      <c r="CT190" s="142">
        <f t="shared" ca="1" si="169"/>
        <v>6.7583015553365614E-2</v>
      </c>
      <c r="CU190" s="142">
        <f t="shared" ca="1" si="169"/>
        <v>0.34879129354299671</v>
      </c>
      <c r="CV190" s="142">
        <f t="shared" ca="1" si="169"/>
        <v>0.11094905522944427</v>
      </c>
      <c r="CW190" s="142">
        <f t="shared" ca="1" si="149"/>
        <v>0.47267663567419343</v>
      </c>
      <c r="CY190" s="128">
        <f t="shared" si="170"/>
        <v>39434</v>
      </c>
      <c r="CZ190" s="90">
        <f t="shared" si="171"/>
        <v>203347</v>
      </c>
      <c r="DA190" s="90">
        <f t="shared" si="172"/>
        <v>90372</v>
      </c>
      <c r="DB190" s="90">
        <f t="shared" ca="1" si="186"/>
        <v>273868.25</v>
      </c>
      <c r="DC190" s="90">
        <f t="shared" ca="1" si="173"/>
        <v>607021.25</v>
      </c>
      <c r="DD190" s="142">
        <f t="shared" ca="1" si="174"/>
        <v>6.4963129379737528E-2</v>
      </c>
      <c r="DE190" s="142">
        <f t="shared" ca="1" si="174"/>
        <v>0.3349915674286526</v>
      </c>
      <c r="DF190" s="142">
        <f t="shared" ca="1" si="174"/>
        <v>0.14887781935146421</v>
      </c>
      <c r="DG190" s="142">
        <f t="shared" ca="1" si="150"/>
        <v>0.45116748384014566</v>
      </c>
      <c r="DI190" s="128">
        <f t="shared" si="175"/>
        <v>19113</v>
      </c>
      <c r="DJ190" s="90">
        <f t="shared" si="176"/>
        <v>100163</v>
      </c>
      <c r="DK190" s="90">
        <f t="shared" si="177"/>
        <v>35598</v>
      </c>
      <c r="DL190" s="90">
        <f t="shared" ca="1" si="178"/>
        <v>45361.5</v>
      </c>
      <c r="DM190" s="90">
        <f t="shared" ca="1" si="179"/>
        <v>200235.5</v>
      </c>
      <c r="DN190" s="142">
        <f t="shared" ca="1" si="180"/>
        <v>9.54526045581328E-2</v>
      </c>
      <c r="DO190" s="142">
        <f t="shared" ca="1" si="180"/>
        <v>0.50022598390395312</v>
      </c>
      <c r="DP190" s="142">
        <f t="shared" ca="1" si="180"/>
        <v>0.17778066326900074</v>
      </c>
      <c r="DQ190" s="142">
        <f t="shared" ca="1" si="151"/>
        <v>0.22654074826891335</v>
      </c>
      <c r="DS190" s="128">
        <f t="shared" ca="1" si="181"/>
        <v>1166950</v>
      </c>
      <c r="DT190" s="90">
        <f t="shared" ca="1" si="182"/>
        <v>607021.25</v>
      </c>
      <c r="DU190" s="90">
        <f t="shared" ca="1" si="183"/>
        <v>200235.5</v>
      </c>
      <c r="DV190" s="90">
        <f t="shared" si="184"/>
        <v>2896</v>
      </c>
      <c r="DW190" s="90">
        <f ca="1">_xlfn.IFNA(INDEX(武器升级消耗!$H:$H,MATCH(玩家节奏2!DS190/玩家节奏2!DS$5,武器升级消耗!M:M,1)),0)</f>
        <v>93</v>
      </c>
      <c r="DX190" s="90">
        <f ca="1">_xlfn.IFNA(INDEX(武器升级消耗!$H:$H,MATCH(玩家节奏2!DT190/玩家节奏2!DT$5,武器升级消耗!N:N,1)),0)</f>
        <v>81</v>
      </c>
      <c r="DY190" s="90">
        <f ca="1">_xlfn.IFNA(INDEX(武器升级消耗!$H:$H,MATCH(玩家节奏2!DU190/玩家节奏2!DU$5,武器升级消耗!O:O,1)),0)</f>
        <v>61</v>
      </c>
      <c r="DZ190" s="90">
        <f>_xlfn.IFNA(INDEX(武器升级消耗!$H:$H,MATCH(玩家节奏2!DV190/玩家节奏2!DV$5,武器升级消耗!P:P,1)),0)</f>
        <v>39</v>
      </c>
      <c r="EA190" s="90">
        <f ca="1">_xlfn.IFNA(INDEX(武器升级消耗!$Q:$Q,MATCH(玩家节奏2!DW190,武器升级消耗!$H:$H,0))*2*EA$4,0)</f>
        <v>11.639999999999988</v>
      </c>
      <c r="EB190" s="90">
        <f ca="1">_xlfn.IFNA(INDEX(武器升级消耗!$Q:$Q,MATCH(玩家节奏2!DX190,武器升级消耗!$H:$H,0))*2*EB$4,0)</f>
        <v>12.749999999999984</v>
      </c>
      <c r="EC190" s="90">
        <f ca="1">_xlfn.IFNA(INDEX(武器升级消耗!$Q:$Q,MATCH(玩家节奏2!DY190,武器升级消耗!$H:$H,0))*2*EC$4,0)</f>
        <v>14.3</v>
      </c>
      <c r="ED190" s="90">
        <f>_xlfn.IFNA(INDEX(武器升级消耗!$Q:$Q,MATCH(玩家节奏2!DZ190,武器升级消耗!$H:$H,0))*2*ED$4,0)</f>
        <v>12.899999999999999</v>
      </c>
    </row>
    <row r="191" spans="1:134" x14ac:dyDescent="0.25">
      <c r="A191" s="123">
        <v>185</v>
      </c>
      <c r="B191" s="123">
        <f>INDEX(关卡对比!$Y:$Y,MATCH(关卡对比!Z191,关卡对比!$AA:$AA,1))</f>
        <v>106</v>
      </c>
      <c r="C191" s="124">
        <f>INDEX(关卡对比!$Y:$Y,MATCH(关卡对比!Z191,关卡对比!$AB:$AB,1))</f>
        <v>80</v>
      </c>
      <c r="D191" s="125">
        <f t="shared" si="189"/>
        <v>711.5</v>
      </c>
      <c r="E191" s="125">
        <v>2</v>
      </c>
      <c r="F191" s="128">
        <v>16</v>
      </c>
      <c r="G191" s="90">
        <v>16</v>
      </c>
      <c r="H191" s="90">
        <v>5</v>
      </c>
      <c r="J191" s="128">
        <v>185</v>
      </c>
      <c r="K191" s="90">
        <f t="shared" si="152"/>
        <v>16</v>
      </c>
      <c r="L191" s="90">
        <f t="shared" si="153"/>
        <v>16</v>
      </c>
      <c r="M191" s="90">
        <f t="shared" si="154"/>
        <v>5</v>
      </c>
      <c r="N191" s="140">
        <f>INDEX($A:$A,MATCH(SUM($K$7:K191),$D:$D,1))</f>
        <v>200</v>
      </c>
      <c r="O191" s="140">
        <v>0</v>
      </c>
      <c r="P191" s="141">
        <v>0</v>
      </c>
      <c r="Q191" s="126">
        <f>_xlfn.MAXIFS(关卡产出!X:X,关卡产出!$A:$A,玩家节奏2!$N$6,关卡产出!$B:$B,玩家节奏2!$N191)+_xlfn.MAXIFS(关卡产出!X:X,关卡产出!$A:$A,玩家节奏2!$O$6,关卡产出!$B:$B,玩家节奏2!$O191)+_xlfn.MAXIFS(关卡产出!X:X,关卡产出!$A:$A,玩家节奏2!$P$6,关卡产出!$B:$B,玩家节奏2!$P191)</f>
        <v>38500</v>
      </c>
      <c r="R191" s="90">
        <f>_xlfn.MAXIFS(关卡产出!Y:Y,关卡产出!$A:$A,玩家节奏2!$N$6,关卡产出!$B:$B,玩家节奏2!$N191)+_xlfn.MAXIFS(关卡产出!Y:Y,关卡产出!$A:$A,玩家节奏2!$O$6,关卡产出!$B:$B,玩家节奏2!$O191)+_xlfn.MAXIFS(关卡产出!Y:Y,关卡产出!$A:$A,玩家节奏2!$P$6,关卡产出!$B:$B,玩家节奏2!$P191)</f>
        <v>11610000</v>
      </c>
      <c r="S191" s="90">
        <f>_xlfn.MAXIFS(关卡产出!Z:Z,关卡产出!$A:$A,玩家节奏2!$N$6,关卡产出!$B:$B,玩家节奏2!$N191)+_xlfn.MAXIFS(关卡产出!Z:Z,关卡产出!$A:$A,玩家节奏2!$O$6,关卡产出!$B:$B,玩家节奏2!$O191)+_xlfn.MAXIFS(关卡产出!Z:Z,关卡产出!$A:$A,玩家节奏2!$P$6,关卡产出!$B:$B,玩家节奏2!$P191)</f>
        <v>78866</v>
      </c>
      <c r="T191" s="90">
        <f>_xlfn.MAXIFS(关卡产出!AA:AA,关卡产出!$A:$A,玩家节奏2!$N$6,关卡产出!$B:$B,玩家节奏2!$N191)+_xlfn.MAXIFS(关卡产出!AA:AA,关卡产出!$A:$A,玩家节奏2!$O$6,关卡产出!$B:$B,玩家节奏2!$O191)+_xlfn.MAXIFS(关卡产出!AA:AA,关卡产出!$A:$A,玩家节奏2!$P$6,关卡产出!$B:$B,玩家节奏2!$P191)</f>
        <v>39434</v>
      </c>
      <c r="U191" s="90">
        <f>_xlfn.MAXIFS(关卡产出!AB:AB,关卡产出!$A:$A,玩家节奏2!$N$6,关卡产出!$B:$B,玩家节奏2!$N191)+_xlfn.MAXIFS(关卡产出!AB:AB,关卡产出!$A:$A,玩家节奏2!$O$6,关卡产出!$B:$B,玩家节奏2!$O191)+_xlfn.MAXIFS(关卡产出!AB:AB,关卡产出!$A:$A,玩家节奏2!$P$6,关卡产出!$B:$B,玩家节奏2!$P191)</f>
        <v>19113</v>
      </c>
      <c r="V191" s="130">
        <f>_xlfn.MAXIFS(关卡产出!AC:AC,关卡产出!$A:$A,玩家节奏2!$N$6,关卡产出!$B:$B,玩家节奏2!$N191)+_xlfn.MAXIFS(关卡产出!AC:AC,关卡产出!$A:$A,玩家节奏2!$O$6,关卡产出!$B:$B,玩家节奏2!$O191)+_xlfn.MAXIFS(关卡产出!AC:AC,关卡产出!$A:$A,玩家节奏2!$P$6,关卡产出!$B:$B,玩家节奏2!$P191)</f>
        <v>1200</v>
      </c>
      <c r="W191" s="126">
        <f>INDEX(关卡产出!C$8:C$207,MATCH(玩家节奏2!$N191,关卡产出!$B$8:$B$207,0))*$K191</f>
        <v>2528</v>
      </c>
      <c r="X191" s="126">
        <f>INDEX(关卡产出!D$8:D$207,MATCH(玩家节奏2!$N191,关卡产出!$B$8:$B$207,0))*$K191</f>
        <v>1264</v>
      </c>
      <c r="Y191" s="126">
        <f>INDEX(关卡产出!E$8:E$207,MATCH(玩家节奏2!$N191,关卡产出!$B$8:$B$207,0))*$K191</f>
        <v>624</v>
      </c>
      <c r="Z191" s="144">
        <f>INDEX(关卡产出!F$8:F$207,MATCH(玩家节奏2!$N191,关卡产出!$B$8:$B$207,0))*$K191</f>
        <v>32800</v>
      </c>
      <c r="AA191" s="126">
        <f>SUM(W$7:W191)</f>
        <v>409550</v>
      </c>
      <c r="AB191" s="126">
        <f>SUM(X$7:X191)</f>
        <v>204611</v>
      </c>
      <c r="AC191" s="126">
        <f>SUM(Y$7:Y191)</f>
        <v>100787</v>
      </c>
      <c r="AD191" s="177">
        <f>SUM(Z$7:Z191)</f>
        <v>5341530</v>
      </c>
      <c r="AE191" s="128">
        <f>INDEX(图鉴!AQ:AQ,MATCH($N191,图鉴!$S:$S,0))*34</f>
        <v>714</v>
      </c>
      <c r="AF191" s="90">
        <f>INDEX(图鉴!AR:AR,MATCH($N191,图鉴!$S:$S,0))*34</f>
        <v>510</v>
      </c>
      <c r="AG191" s="90">
        <f>INDEX(图鉴!AS:AS,MATCH($N191,图鉴!$S:$S,0))*34</f>
        <v>204</v>
      </c>
      <c r="AH191" s="129">
        <f ca="1">INDEX(图鉴!AT:AT,MATCH($N191,图鉴!$S:$S,0))*34</f>
        <v>55930</v>
      </c>
      <c r="AI191" s="128">
        <f>SUM($AE$7:AE191)</f>
        <v>130186</v>
      </c>
      <c r="AJ191" s="90">
        <f>SUM(AF$7:AF191)</f>
        <v>90882</v>
      </c>
      <c r="AK191" s="90">
        <f>SUM(AG$7:AG191)</f>
        <v>35802</v>
      </c>
      <c r="AL191" s="130">
        <f ca="1">SUM(AH$7:AH191)</f>
        <v>9517416</v>
      </c>
      <c r="AM191" s="133">
        <f>IF(M191=0,0,INDEX(关卡产出!$AU$11:$AU$15,MATCH(玩家节奏2!N191,关卡产出!$AW$11:$AW$15,1))*M191)</f>
        <v>61000</v>
      </c>
      <c r="AN191" s="126">
        <f>IF(L191=0,0,$L191*关卡产出!AU$21)</f>
        <v>16000</v>
      </c>
      <c r="AO191" s="90">
        <f>IF(M191=0,0,$L191*关卡产出!AV$21)</f>
        <v>800</v>
      </c>
      <c r="AP191" s="129">
        <f>IF(N191=0,0,$L191*关卡产出!AW$21)</f>
        <v>16</v>
      </c>
      <c r="AQ191" s="138">
        <f>SUM(AN$7:AN191)</f>
        <v>2912000</v>
      </c>
      <c r="AR191" s="126">
        <f>SUM(AO$7:AO191)</f>
        <v>145600</v>
      </c>
      <c r="AS191" s="129">
        <f>SUM(AP$7:AP191)</f>
        <v>2912</v>
      </c>
      <c r="AT191" s="128">
        <v>3000</v>
      </c>
      <c r="AU191" s="129">
        <v>600</v>
      </c>
      <c r="AV191" s="128">
        <f>SUM(AT$7:AT191)</f>
        <v>555000</v>
      </c>
      <c r="AW191" s="90">
        <f>SUM(AU$7:AU191)</f>
        <v>111000</v>
      </c>
      <c r="AY191" s="128">
        <f t="shared" si="155"/>
        <v>38500</v>
      </c>
      <c r="AZ191" s="90">
        <f t="shared" si="156"/>
        <v>145600</v>
      </c>
      <c r="BA191" s="90">
        <f t="shared" si="157"/>
        <v>111000</v>
      </c>
      <c r="BB191" s="90">
        <f t="shared" ca="1" si="185"/>
        <v>40800</v>
      </c>
      <c r="BC191" s="90">
        <f t="shared" ca="1" si="187"/>
        <v>170125</v>
      </c>
      <c r="BD191" s="90">
        <f t="shared" ca="1" si="188"/>
        <v>165775</v>
      </c>
      <c r="BE191" s="90">
        <f t="shared" ca="1" si="158"/>
        <v>335900</v>
      </c>
      <c r="BF191" s="142">
        <f t="shared" ca="1" si="192"/>
        <v>0.22630418809698752</v>
      </c>
      <c r="BG191" s="142">
        <f t="shared" ca="1" si="193"/>
        <v>0.85584129316678914</v>
      </c>
      <c r="BH191" s="142">
        <f t="shared" ca="1" si="194"/>
        <v>0.65246142542248342</v>
      </c>
      <c r="BI191" s="142">
        <f t="shared" ca="1" si="197"/>
        <v>0.23982365907421013</v>
      </c>
      <c r="BJ191" s="143"/>
      <c r="BK191" s="128">
        <f ca="1">INDEX(商城宝箱!$L:$L,MATCH(BC191,商城宝箱!$N:$N,1))</f>
        <v>13</v>
      </c>
      <c r="BL191" s="90">
        <f ca="1">_xlfn.IFNA(INDEX(商城宝箱!T:T,MATCH(玩家节奏2!$BK191,商城宝箱!$L:$L,0)),0)+($BC191-INDEX(商城宝箱!$N:$N,MATCH(玩家节奏2!$BK191,商城宝箱!$L:$L,0)))/$BK$5*INDEX(商城宝箱!E$23:E$42,MATCH(玩家节奏2!$BK191+1,商城宝箱!$C$23:$C$42,0))</f>
        <v>425312.5</v>
      </c>
      <c r="BM191" s="90">
        <f ca="1">_xlfn.IFNA(INDEX(商城宝箱!U:U,MATCH(玩家节奏2!$BK191,商城宝箱!$L:$L,0)),0)+($BC191-INDEX(商城宝箱!$N:$N,MATCH(玩家节奏2!$BK191,商城宝箱!$L:$L,0)))/$BK$5*INDEX(商城宝箱!F$23:F$42,MATCH(玩家节奏2!$BK191+1,商城宝箱!$C$23:$C$42,0))</f>
        <v>554880</v>
      </c>
      <c r="BN191" s="90">
        <f ca="1">_xlfn.IFNA(INDEX(商城宝箱!V:V,MATCH(玩家节奏2!$BK191,商城宝箱!$L:$L,0)),0)+($BC191-INDEX(商城宝箱!$N:$N,MATCH(玩家节奏2!$BK191,商城宝箱!$L:$L,0)))/$BK$5*INDEX(商城宝箱!G$23:G$42,MATCH(玩家节奏2!$BK191+1,商城宝箱!$C$23:$C$42,0))</f>
        <v>275443.25</v>
      </c>
      <c r="BO191" s="90">
        <f ca="1">_xlfn.IFNA(INDEX(商城宝箱!W:W,MATCH(玩家节奏2!$BK191,商城宝箱!$L:$L,0)),0)+($BC191-INDEX(商城宝箱!$N:$N,MATCH(玩家节奏2!$BK191,商城宝箱!$L:$L,0)))/$BK$5*INDEX(商城宝箱!H$23:H$42,MATCH(玩家节奏2!$BK191+1,商城宝箱!$C$23:$C$42,0))</f>
        <v>45641.5</v>
      </c>
      <c r="BQ191" s="128">
        <f t="shared" si="143"/>
        <v>11610000</v>
      </c>
      <c r="BR191" s="90">
        <f t="shared" si="144"/>
        <v>5341530</v>
      </c>
      <c r="BS191" s="90">
        <f t="shared" ca="1" si="195"/>
        <v>9517416</v>
      </c>
      <c r="BT191" s="90">
        <f t="shared" si="196"/>
        <v>61000</v>
      </c>
      <c r="BU191" s="90">
        <f t="shared" si="147"/>
        <v>2912000</v>
      </c>
      <c r="BV191" s="90">
        <f t="shared" si="148"/>
        <v>555000</v>
      </c>
      <c r="BW191" s="90">
        <f t="shared" ca="1" si="160"/>
        <v>425312.5</v>
      </c>
      <c r="BX191" s="90">
        <f t="shared" ca="1" si="161"/>
        <v>30422258.5</v>
      </c>
      <c r="BY191" s="142">
        <f t="shared" ca="1" si="191"/>
        <v>0.38162847114062881</v>
      </c>
      <c r="BZ191" s="142">
        <f t="shared" ca="1" si="191"/>
        <v>0.17557966644718373</v>
      </c>
      <c r="CA191" s="142">
        <f t="shared" ca="1" si="191"/>
        <v>0.31284383439184832</v>
      </c>
      <c r="CB191" s="142">
        <f t="shared" ca="1" si="190"/>
        <v>2.0051108302823737E-3</v>
      </c>
      <c r="CC191" s="142">
        <f t="shared" ca="1" si="190"/>
        <v>9.571938914397167E-2</v>
      </c>
      <c r="CD191" s="142">
        <f t="shared" ca="1" si="190"/>
        <v>1.8243221488634713E-2</v>
      </c>
      <c r="CE191" s="142">
        <f t="shared" ca="1" si="190"/>
        <v>1.3980306557450362E-2</v>
      </c>
      <c r="CG191" s="128">
        <f t="shared" si="162"/>
        <v>200</v>
      </c>
      <c r="CH191" s="90">
        <f ca="1">INDEX(角色升级!$A:$A,MATCH(玩家节奏2!$BX191,角色升级!$J:$J,1))</f>
        <v>1047</v>
      </c>
      <c r="CI191" s="90">
        <f ca="1">INDEX(角色升级!$O:$O,MATCH(玩家节奏2!$BX191,角色升级!$J:$J,1))</f>
        <v>99294.156750000009</v>
      </c>
      <c r="CJ191" s="90">
        <f>INDEX(关卡对比!$J:$J,MATCH(玩家节奏2!N191,关卡对比!$A:$A,0))</f>
        <v>86200</v>
      </c>
      <c r="CK191" s="147">
        <f t="shared" ca="1" si="163"/>
        <v>0.8681276202086281</v>
      </c>
      <c r="CL191" s="128">
        <f ca="1">INDEX(角色升级!$P:$P,MATCH(玩家节奏2!$CH191,角色升级!$A:$A,0))</f>
        <v>40800</v>
      </c>
      <c r="CM191" s="90">
        <f ca="1">INDEX(角色升级!Q:Q,MATCH(玩家节奏2!$CH191,角色升级!$A:$A,0))</f>
        <v>2.2000000000000002</v>
      </c>
      <c r="CO191" s="128">
        <f t="shared" si="164"/>
        <v>78866</v>
      </c>
      <c r="CP191" s="90">
        <f t="shared" si="165"/>
        <v>409550</v>
      </c>
      <c r="CQ191" s="90">
        <f t="shared" si="166"/>
        <v>130186</v>
      </c>
      <c r="CR191" s="90">
        <f t="shared" ca="1" si="167"/>
        <v>554880</v>
      </c>
      <c r="CS191" s="90">
        <f t="shared" ca="1" si="168"/>
        <v>1173482</v>
      </c>
      <c r="CT191" s="142">
        <f t="shared" ca="1" si="169"/>
        <v>6.720682549881464E-2</v>
      </c>
      <c r="CU191" s="142">
        <f t="shared" ca="1" si="169"/>
        <v>0.34900407505185421</v>
      </c>
      <c r="CV191" s="142">
        <f t="shared" ca="1" si="169"/>
        <v>0.11093992068050469</v>
      </c>
      <c r="CW191" s="142">
        <f t="shared" ca="1" si="149"/>
        <v>0.47284917876882643</v>
      </c>
      <c r="CY191" s="128">
        <f t="shared" si="170"/>
        <v>39434</v>
      </c>
      <c r="CZ191" s="90">
        <f t="shared" si="171"/>
        <v>204611</v>
      </c>
      <c r="DA191" s="90">
        <f t="shared" si="172"/>
        <v>90882</v>
      </c>
      <c r="DB191" s="90">
        <f t="shared" ca="1" si="186"/>
        <v>275443.25</v>
      </c>
      <c r="DC191" s="90">
        <f t="shared" ca="1" si="173"/>
        <v>610370.25</v>
      </c>
      <c r="DD191" s="142">
        <f t="shared" ca="1" si="174"/>
        <v>6.4606687498284854E-2</v>
      </c>
      <c r="DE191" s="142">
        <f t="shared" ca="1" si="174"/>
        <v>0.33522439863345238</v>
      </c>
      <c r="DF191" s="142">
        <f t="shared" ca="1" si="174"/>
        <v>0.14889650994621706</v>
      </c>
      <c r="DG191" s="142">
        <f t="shared" ca="1" si="150"/>
        <v>0.45127240392204565</v>
      </c>
      <c r="DI191" s="128">
        <f t="shared" si="175"/>
        <v>19113</v>
      </c>
      <c r="DJ191" s="90">
        <f t="shared" si="176"/>
        <v>100787</v>
      </c>
      <c r="DK191" s="90">
        <f t="shared" si="177"/>
        <v>35802</v>
      </c>
      <c r="DL191" s="90">
        <f t="shared" ca="1" si="178"/>
        <v>45641.5</v>
      </c>
      <c r="DM191" s="90">
        <f t="shared" ca="1" si="179"/>
        <v>201343.5</v>
      </c>
      <c r="DN191" s="142">
        <f t="shared" ca="1" si="180"/>
        <v>9.4927325689679584E-2</v>
      </c>
      <c r="DO191" s="142">
        <f t="shared" ca="1" si="180"/>
        <v>0.50057240487028387</v>
      </c>
      <c r="DP191" s="142">
        <f t="shared" ca="1" si="180"/>
        <v>0.17781552421607849</v>
      </c>
      <c r="DQ191" s="142">
        <f t="shared" ca="1" si="151"/>
        <v>0.22668474522395807</v>
      </c>
      <c r="DS191" s="128">
        <f t="shared" ca="1" si="181"/>
        <v>1173482</v>
      </c>
      <c r="DT191" s="90">
        <f t="shared" ca="1" si="182"/>
        <v>610370.25</v>
      </c>
      <c r="DU191" s="90">
        <f t="shared" ca="1" si="183"/>
        <v>201343.5</v>
      </c>
      <c r="DV191" s="90">
        <f t="shared" si="184"/>
        <v>2912</v>
      </c>
      <c r="DW191" s="90">
        <f ca="1">_xlfn.IFNA(INDEX(武器升级消耗!$H:$H,MATCH(玩家节奏2!DS191/玩家节奏2!DS$5,武器升级消耗!M:M,1)),0)</f>
        <v>93</v>
      </c>
      <c r="DX191" s="90">
        <f ca="1">_xlfn.IFNA(INDEX(武器升级消耗!$H:$H,MATCH(玩家节奏2!DT191/玩家节奏2!DT$5,武器升级消耗!N:N,1)),0)</f>
        <v>81</v>
      </c>
      <c r="DY191" s="90">
        <f ca="1">_xlfn.IFNA(INDEX(武器升级消耗!$H:$H,MATCH(玩家节奏2!DU191/玩家节奏2!DU$5,武器升级消耗!O:O,1)),0)</f>
        <v>62</v>
      </c>
      <c r="DZ191" s="90">
        <f>_xlfn.IFNA(INDEX(武器升级消耗!$H:$H,MATCH(玩家节奏2!DV191/玩家节奏2!DV$5,武器升级消耗!P:P,1)),0)</f>
        <v>39</v>
      </c>
      <c r="EA191" s="90">
        <f ca="1">_xlfn.IFNA(INDEX(武器升级消耗!$Q:$Q,MATCH(玩家节奏2!DW191,武器升级消耗!$H:$H,0))*2*EA$4,0)</f>
        <v>11.639999999999988</v>
      </c>
      <c r="EB191" s="90">
        <f ca="1">_xlfn.IFNA(INDEX(武器升级消耗!$Q:$Q,MATCH(玩家节奏2!DX191,武器升级消耗!$H:$H,0))*2*EB$4,0)</f>
        <v>12.749999999999984</v>
      </c>
      <c r="EC191" s="90">
        <f ca="1">_xlfn.IFNA(INDEX(武器升级消耗!$Q:$Q,MATCH(玩家节奏2!DY191,武器升级消耗!$H:$H,0))*2*EC$4,0)</f>
        <v>14.52</v>
      </c>
      <c r="ED191" s="90">
        <f>_xlfn.IFNA(INDEX(武器升级消耗!$Q:$Q,MATCH(玩家节奏2!DZ191,武器升级消耗!$H:$H,0))*2*ED$4,0)</f>
        <v>12.899999999999999</v>
      </c>
    </row>
    <row r="192" spans="1:134" x14ac:dyDescent="0.25">
      <c r="A192" s="123">
        <v>186</v>
      </c>
      <c r="B192" s="123">
        <f>INDEX(关卡对比!$Y:$Y,MATCH(关卡对比!Z192,关卡对比!$AA:$AA,1))</f>
        <v>106</v>
      </c>
      <c r="C192" s="124">
        <f>INDEX(关卡对比!$Y:$Y,MATCH(关卡对比!Z192,关卡对比!$AB:$AB,1))</f>
        <v>80</v>
      </c>
      <c r="D192" s="125">
        <f t="shared" si="189"/>
        <v>713.5</v>
      </c>
      <c r="E192" s="125">
        <v>2</v>
      </c>
      <c r="F192" s="128">
        <v>16</v>
      </c>
      <c r="G192" s="90">
        <v>16</v>
      </c>
      <c r="H192" s="90">
        <v>5</v>
      </c>
      <c r="J192" s="128">
        <v>186</v>
      </c>
      <c r="K192" s="90">
        <f t="shared" si="152"/>
        <v>16</v>
      </c>
      <c r="L192" s="90">
        <f t="shared" si="153"/>
        <v>16</v>
      </c>
      <c r="M192" s="90">
        <f t="shared" si="154"/>
        <v>5</v>
      </c>
      <c r="N192" s="140">
        <f>INDEX($A:$A,MATCH(SUM($K$7:K192),$D:$D,1))</f>
        <v>200</v>
      </c>
      <c r="O192" s="140">
        <v>0</v>
      </c>
      <c r="P192" s="141">
        <v>0</v>
      </c>
      <c r="Q192" s="126">
        <f>_xlfn.MAXIFS(关卡产出!X:X,关卡产出!$A:$A,玩家节奏2!$N$6,关卡产出!$B:$B,玩家节奏2!$N192)+_xlfn.MAXIFS(关卡产出!X:X,关卡产出!$A:$A,玩家节奏2!$O$6,关卡产出!$B:$B,玩家节奏2!$O192)+_xlfn.MAXIFS(关卡产出!X:X,关卡产出!$A:$A,玩家节奏2!$P$6,关卡产出!$B:$B,玩家节奏2!$P192)</f>
        <v>38500</v>
      </c>
      <c r="R192" s="90">
        <f>_xlfn.MAXIFS(关卡产出!Y:Y,关卡产出!$A:$A,玩家节奏2!$N$6,关卡产出!$B:$B,玩家节奏2!$N192)+_xlfn.MAXIFS(关卡产出!Y:Y,关卡产出!$A:$A,玩家节奏2!$O$6,关卡产出!$B:$B,玩家节奏2!$O192)+_xlfn.MAXIFS(关卡产出!Y:Y,关卡产出!$A:$A,玩家节奏2!$P$6,关卡产出!$B:$B,玩家节奏2!$P192)</f>
        <v>11610000</v>
      </c>
      <c r="S192" s="90">
        <f>_xlfn.MAXIFS(关卡产出!Z:Z,关卡产出!$A:$A,玩家节奏2!$N$6,关卡产出!$B:$B,玩家节奏2!$N192)+_xlfn.MAXIFS(关卡产出!Z:Z,关卡产出!$A:$A,玩家节奏2!$O$6,关卡产出!$B:$B,玩家节奏2!$O192)+_xlfn.MAXIFS(关卡产出!Z:Z,关卡产出!$A:$A,玩家节奏2!$P$6,关卡产出!$B:$B,玩家节奏2!$P192)</f>
        <v>78866</v>
      </c>
      <c r="T192" s="90">
        <f>_xlfn.MAXIFS(关卡产出!AA:AA,关卡产出!$A:$A,玩家节奏2!$N$6,关卡产出!$B:$B,玩家节奏2!$N192)+_xlfn.MAXIFS(关卡产出!AA:AA,关卡产出!$A:$A,玩家节奏2!$O$6,关卡产出!$B:$B,玩家节奏2!$O192)+_xlfn.MAXIFS(关卡产出!AA:AA,关卡产出!$A:$A,玩家节奏2!$P$6,关卡产出!$B:$B,玩家节奏2!$P192)</f>
        <v>39434</v>
      </c>
      <c r="U192" s="90">
        <f>_xlfn.MAXIFS(关卡产出!AB:AB,关卡产出!$A:$A,玩家节奏2!$N$6,关卡产出!$B:$B,玩家节奏2!$N192)+_xlfn.MAXIFS(关卡产出!AB:AB,关卡产出!$A:$A,玩家节奏2!$O$6,关卡产出!$B:$B,玩家节奏2!$O192)+_xlfn.MAXIFS(关卡产出!AB:AB,关卡产出!$A:$A,玩家节奏2!$P$6,关卡产出!$B:$B,玩家节奏2!$P192)</f>
        <v>19113</v>
      </c>
      <c r="V192" s="130">
        <f>_xlfn.MAXIFS(关卡产出!AC:AC,关卡产出!$A:$A,玩家节奏2!$N$6,关卡产出!$B:$B,玩家节奏2!$N192)+_xlfn.MAXIFS(关卡产出!AC:AC,关卡产出!$A:$A,玩家节奏2!$O$6,关卡产出!$B:$B,玩家节奏2!$O192)+_xlfn.MAXIFS(关卡产出!AC:AC,关卡产出!$A:$A,玩家节奏2!$P$6,关卡产出!$B:$B,玩家节奏2!$P192)</f>
        <v>1200</v>
      </c>
      <c r="W192" s="126">
        <f>INDEX(关卡产出!C$8:C$207,MATCH(玩家节奏2!$N192,关卡产出!$B$8:$B$207,0))*$K192</f>
        <v>2528</v>
      </c>
      <c r="X192" s="126">
        <f>INDEX(关卡产出!D$8:D$207,MATCH(玩家节奏2!$N192,关卡产出!$B$8:$B$207,0))*$K192</f>
        <v>1264</v>
      </c>
      <c r="Y192" s="126">
        <f>INDEX(关卡产出!E$8:E$207,MATCH(玩家节奏2!$N192,关卡产出!$B$8:$B$207,0))*$K192</f>
        <v>624</v>
      </c>
      <c r="Z192" s="144">
        <f>INDEX(关卡产出!F$8:F$207,MATCH(玩家节奏2!$N192,关卡产出!$B$8:$B$207,0))*$K192</f>
        <v>32800</v>
      </c>
      <c r="AA192" s="126">
        <f>SUM(W$7:W192)</f>
        <v>412078</v>
      </c>
      <c r="AB192" s="126">
        <f>SUM(X$7:X192)</f>
        <v>205875</v>
      </c>
      <c r="AC192" s="126">
        <f>SUM(Y$7:Y192)</f>
        <v>101411</v>
      </c>
      <c r="AD192" s="177">
        <f>SUM(Z$7:Z192)</f>
        <v>5374330</v>
      </c>
      <c r="AE192" s="128">
        <f>INDEX(图鉴!AQ:AQ,MATCH($N192,图鉴!$S:$S,0))*34</f>
        <v>714</v>
      </c>
      <c r="AF192" s="90">
        <f>INDEX(图鉴!AR:AR,MATCH($N192,图鉴!$S:$S,0))*34</f>
        <v>510</v>
      </c>
      <c r="AG192" s="90">
        <f>INDEX(图鉴!AS:AS,MATCH($N192,图鉴!$S:$S,0))*34</f>
        <v>204</v>
      </c>
      <c r="AH192" s="129">
        <f ca="1">INDEX(图鉴!AT:AT,MATCH($N192,图鉴!$S:$S,0))*34</f>
        <v>55930</v>
      </c>
      <c r="AI192" s="128">
        <f>SUM($AE$7:AE192)</f>
        <v>130900</v>
      </c>
      <c r="AJ192" s="90">
        <f>SUM(AF$7:AF192)</f>
        <v>91392</v>
      </c>
      <c r="AK192" s="90">
        <f>SUM(AG$7:AG192)</f>
        <v>36006</v>
      </c>
      <c r="AL192" s="130">
        <f ca="1">SUM(AH$7:AH192)</f>
        <v>9573346</v>
      </c>
      <c r="AM192" s="133">
        <f>IF(M192=0,0,INDEX(关卡产出!$AU$11:$AU$15,MATCH(玩家节奏2!N192,关卡产出!$AW$11:$AW$15,1))*M192)</f>
        <v>61000</v>
      </c>
      <c r="AN192" s="126">
        <f>IF(L192=0,0,$L192*关卡产出!AU$21)</f>
        <v>16000</v>
      </c>
      <c r="AO192" s="90">
        <f>IF(M192=0,0,$L192*关卡产出!AV$21)</f>
        <v>800</v>
      </c>
      <c r="AP192" s="129">
        <f>IF(N192=0,0,$L192*关卡产出!AW$21)</f>
        <v>16</v>
      </c>
      <c r="AQ192" s="138">
        <f>SUM(AN$7:AN192)</f>
        <v>2928000</v>
      </c>
      <c r="AR192" s="126">
        <f>SUM(AO$7:AO192)</f>
        <v>146400</v>
      </c>
      <c r="AS192" s="129">
        <f>SUM(AP$7:AP192)</f>
        <v>2928</v>
      </c>
      <c r="AT192" s="128">
        <v>3000</v>
      </c>
      <c r="AU192" s="129">
        <v>600</v>
      </c>
      <c r="AV192" s="128">
        <f>SUM(AT$7:AT192)</f>
        <v>558000</v>
      </c>
      <c r="AW192" s="90">
        <f>SUM(AU$7:AU192)</f>
        <v>111600</v>
      </c>
      <c r="AY192" s="128">
        <f t="shared" si="155"/>
        <v>38500</v>
      </c>
      <c r="AZ192" s="90">
        <f t="shared" si="156"/>
        <v>146400</v>
      </c>
      <c r="BA192" s="90">
        <f t="shared" si="157"/>
        <v>111600</v>
      </c>
      <c r="BB192" s="90">
        <f t="shared" ca="1" si="185"/>
        <v>40800</v>
      </c>
      <c r="BC192" s="90">
        <f t="shared" ca="1" si="187"/>
        <v>170825</v>
      </c>
      <c r="BD192" s="90">
        <f t="shared" ca="1" si="188"/>
        <v>166475</v>
      </c>
      <c r="BE192" s="90">
        <f t="shared" ca="1" si="158"/>
        <v>337300</v>
      </c>
      <c r="BF192" s="142">
        <f t="shared" ca="1" si="192"/>
        <v>0.22537684765110494</v>
      </c>
      <c r="BG192" s="142">
        <f t="shared" ca="1" si="193"/>
        <v>0.85701741548368215</v>
      </c>
      <c r="BH192" s="142">
        <f t="shared" ca="1" si="194"/>
        <v>0.65330016098346266</v>
      </c>
      <c r="BI192" s="142">
        <f t="shared" ca="1" si="197"/>
        <v>0.23884091906922289</v>
      </c>
      <c r="BJ192" s="143"/>
      <c r="BK192" s="128">
        <f ca="1">INDEX(商城宝箱!$L:$L,MATCH(BC192,商城宝箱!$N:$N,1))</f>
        <v>13</v>
      </c>
      <c r="BL192" s="90">
        <f ca="1">_xlfn.IFNA(INDEX(商城宝箱!T:T,MATCH(玩家节奏2!$BK192,商城宝箱!$L:$L,0)),0)+($BC192-INDEX(商城宝箱!$N:$N,MATCH(玩家节奏2!$BK192,商城宝箱!$L:$L,0)))/$BK$5*INDEX(商城宝箱!E$23:E$42,MATCH(玩家节奏2!$BK192+1,商城宝箱!$C$23:$C$42,0))</f>
        <v>427062.5</v>
      </c>
      <c r="BM192" s="90">
        <f ca="1">_xlfn.IFNA(INDEX(商城宝箱!U:U,MATCH(玩家节奏2!$BK192,商城宝箱!$L:$L,0)),0)+($BC192-INDEX(商城宝箱!$N:$N,MATCH(玩家节奏2!$BK192,商城宝箱!$L:$L,0)))/$BK$5*INDEX(商城宝箱!F$23:F$42,MATCH(玩家节奏2!$BK192+1,商城宝箱!$C$23:$C$42,0))</f>
        <v>558170</v>
      </c>
      <c r="BN192" s="90">
        <f ca="1">_xlfn.IFNA(INDEX(商城宝箱!V:V,MATCH(玩家节奏2!$BK192,商城宝箱!$L:$L,0)),0)+($BC192-INDEX(商城宝箱!$N:$N,MATCH(玩家节奏2!$BK192,商城宝箱!$L:$L,0)))/$BK$5*INDEX(商城宝箱!G$23:G$42,MATCH(玩家节奏2!$BK192+1,商城宝箱!$C$23:$C$42,0))</f>
        <v>277018.25</v>
      </c>
      <c r="BO192" s="90">
        <f ca="1">_xlfn.IFNA(INDEX(商城宝箱!W:W,MATCH(玩家节奏2!$BK192,商城宝箱!$L:$L,0)),0)+($BC192-INDEX(商城宝箱!$N:$N,MATCH(玩家节奏2!$BK192,商城宝箱!$L:$L,0)))/$BK$5*INDEX(商城宝箱!H$23:H$42,MATCH(玩家节奏2!$BK192+1,商城宝箱!$C$23:$C$42,0))</f>
        <v>45921.5</v>
      </c>
      <c r="BQ192" s="128">
        <f t="shared" si="143"/>
        <v>11610000</v>
      </c>
      <c r="BR192" s="90">
        <f t="shared" si="144"/>
        <v>5374330</v>
      </c>
      <c r="BS192" s="90">
        <f t="shared" ca="1" si="195"/>
        <v>9573346</v>
      </c>
      <c r="BT192" s="90">
        <f t="shared" si="196"/>
        <v>61000</v>
      </c>
      <c r="BU192" s="90">
        <f t="shared" si="147"/>
        <v>2928000</v>
      </c>
      <c r="BV192" s="90">
        <f t="shared" si="148"/>
        <v>558000</v>
      </c>
      <c r="BW192" s="90">
        <f t="shared" ca="1" si="160"/>
        <v>427062.5</v>
      </c>
      <c r="BX192" s="90">
        <f t="shared" ca="1" si="161"/>
        <v>30531738.5</v>
      </c>
      <c r="BY192" s="142">
        <f t="shared" ca="1" si="191"/>
        <v>0.38026003661730562</v>
      </c>
      <c r="BZ192" s="142">
        <f t="shared" ca="1" si="191"/>
        <v>0.17602436887110112</v>
      </c>
      <c r="CA192" s="142">
        <f t="shared" ca="1" si="191"/>
        <v>0.31355391046598935</v>
      </c>
      <c r="CB192" s="142">
        <f t="shared" ca="1" si="190"/>
        <v>1.9979209503579367E-3</v>
      </c>
      <c r="CC192" s="142">
        <f t="shared" ca="1" si="190"/>
        <v>9.5900205617180947E-2</v>
      </c>
      <c r="CD192" s="142">
        <f t="shared" ca="1" si="190"/>
        <v>1.8276063775405388E-2</v>
      </c>
      <c r="CE192" s="142">
        <f t="shared" ca="1" si="190"/>
        <v>1.3987493702659611E-2</v>
      </c>
      <c r="CG192" s="128">
        <f t="shared" si="162"/>
        <v>200</v>
      </c>
      <c r="CH192" s="90">
        <f ca="1">INDEX(角色升级!$A:$A,MATCH(玩家节奏2!$BX192,角色升级!$J:$J,1))</f>
        <v>1047</v>
      </c>
      <c r="CI192" s="90">
        <f ca="1">INDEX(角色升级!$O:$O,MATCH(玩家节奏2!$BX192,角色升级!$J:$J,1))</f>
        <v>99294.156750000009</v>
      </c>
      <c r="CJ192" s="90">
        <f>INDEX(关卡对比!$J:$J,MATCH(玩家节奏2!N192,关卡对比!$A:$A,0))</f>
        <v>86200</v>
      </c>
      <c r="CK192" s="147">
        <f t="shared" ca="1" si="163"/>
        <v>0.8681276202086281</v>
      </c>
      <c r="CL192" s="128">
        <f ca="1">INDEX(角色升级!$P:$P,MATCH(玩家节奏2!$CH192,角色升级!$A:$A,0))</f>
        <v>40800</v>
      </c>
      <c r="CM192" s="90">
        <f ca="1">INDEX(角色升级!Q:Q,MATCH(玩家节奏2!$CH192,角色升级!$A:$A,0))</f>
        <v>2.2000000000000002</v>
      </c>
      <c r="CO192" s="128">
        <f t="shared" si="164"/>
        <v>78866</v>
      </c>
      <c r="CP192" s="90">
        <f t="shared" si="165"/>
        <v>412078</v>
      </c>
      <c r="CQ192" s="90">
        <f t="shared" si="166"/>
        <v>130900</v>
      </c>
      <c r="CR192" s="90">
        <f t="shared" ca="1" si="167"/>
        <v>558170</v>
      </c>
      <c r="CS192" s="90">
        <f t="shared" ca="1" si="168"/>
        <v>1180014</v>
      </c>
      <c r="CT192" s="142">
        <f t="shared" ca="1" si="169"/>
        <v>6.6834800265081595E-2</v>
      </c>
      <c r="CU192" s="142">
        <f t="shared" ca="1" si="169"/>
        <v>0.34921450084490524</v>
      </c>
      <c r="CV192" s="142">
        <f t="shared" ca="1" si="169"/>
        <v>0.11093088726065962</v>
      </c>
      <c r="CW192" s="142">
        <f t="shared" ca="1" si="149"/>
        <v>0.47301981162935353</v>
      </c>
      <c r="CY192" s="128">
        <f t="shared" si="170"/>
        <v>39434</v>
      </c>
      <c r="CZ192" s="90">
        <f t="shared" si="171"/>
        <v>205875</v>
      </c>
      <c r="DA192" s="90">
        <f t="shared" si="172"/>
        <v>91392</v>
      </c>
      <c r="DB192" s="90">
        <f t="shared" ca="1" si="186"/>
        <v>277018.25</v>
      </c>
      <c r="DC192" s="90">
        <f t="shared" ca="1" si="173"/>
        <v>613719.25</v>
      </c>
      <c r="DD192" s="142">
        <f t="shared" ca="1" si="174"/>
        <v>6.4254135746923374E-2</v>
      </c>
      <c r="DE192" s="142">
        <f t="shared" ca="1" si="174"/>
        <v>0.3354546887685208</v>
      </c>
      <c r="DF192" s="142">
        <f t="shared" ca="1" si="174"/>
        <v>0.14891499655583559</v>
      </c>
      <c r="DG192" s="142">
        <f t="shared" ca="1" si="150"/>
        <v>0.45137617892872028</v>
      </c>
      <c r="DI192" s="128">
        <f t="shared" si="175"/>
        <v>19113</v>
      </c>
      <c r="DJ192" s="90">
        <f t="shared" si="176"/>
        <v>101411</v>
      </c>
      <c r="DK192" s="90">
        <f t="shared" si="177"/>
        <v>36006</v>
      </c>
      <c r="DL192" s="90">
        <f t="shared" ca="1" si="178"/>
        <v>45921.5</v>
      </c>
      <c r="DM192" s="90">
        <f t="shared" ca="1" si="179"/>
        <v>202451.5</v>
      </c>
      <c r="DN192" s="142">
        <f t="shared" ca="1" si="180"/>
        <v>9.440779643519559E-2</v>
      </c>
      <c r="DO192" s="142">
        <f t="shared" ca="1" si="180"/>
        <v>0.50091503397109927</v>
      </c>
      <c r="DP192" s="142">
        <f t="shared" ca="1" si="180"/>
        <v>0.17785000358110462</v>
      </c>
      <c r="DQ192" s="142">
        <f t="shared" ca="1" si="151"/>
        <v>0.22682716601260056</v>
      </c>
      <c r="DS192" s="128">
        <f t="shared" ca="1" si="181"/>
        <v>1180014</v>
      </c>
      <c r="DT192" s="90">
        <f t="shared" ca="1" si="182"/>
        <v>613719.25</v>
      </c>
      <c r="DU192" s="90">
        <f t="shared" ca="1" si="183"/>
        <v>202451.5</v>
      </c>
      <c r="DV192" s="90">
        <f t="shared" si="184"/>
        <v>2928</v>
      </c>
      <c r="DW192" s="90">
        <f ca="1">_xlfn.IFNA(INDEX(武器升级消耗!$H:$H,MATCH(玩家节奏2!DS192/玩家节奏2!DS$5,武器升级消耗!M:M,1)),0)</f>
        <v>93</v>
      </c>
      <c r="DX192" s="90">
        <f ca="1">_xlfn.IFNA(INDEX(武器升级消耗!$H:$H,MATCH(玩家节奏2!DT192/玩家节奏2!DT$5,武器升级消耗!N:N,1)),0)</f>
        <v>82</v>
      </c>
      <c r="DY192" s="90">
        <f ca="1">_xlfn.IFNA(INDEX(武器升级消耗!$H:$H,MATCH(玩家节奏2!DU192/玩家节奏2!DU$5,武器升级消耗!O:O,1)),0)</f>
        <v>62</v>
      </c>
      <c r="DZ192" s="90">
        <f>_xlfn.IFNA(INDEX(武器升级消耗!$H:$H,MATCH(玩家节奏2!DV192/玩家节奏2!DV$5,武器升级消耗!P:P,1)),0)</f>
        <v>39</v>
      </c>
      <c r="EA192" s="90">
        <f ca="1">_xlfn.IFNA(INDEX(武器升级消耗!$Q:$Q,MATCH(玩家节奏2!DW192,武器升级消耗!$H:$H,0))*2*EA$4,0)</f>
        <v>11.639999999999988</v>
      </c>
      <c r="EB192" s="90">
        <f ca="1">_xlfn.IFNA(INDEX(武器升级消耗!$Q:$Q,MATCH(玩家节奏2!DX192,武器升级消耗!$H:$H,0))*2*EB$4,0)</f>
        <v>12.899999999999986</v>
      </c>
      <c r="EC192" s="90">
        <f ca="1">_xlfn.IFNA(INDEX(武器升级消耗!$Q:$Q,MATCH(玩家节奏2!DY192,武器升级消耗!$H:$H,0))*2*EC$4,0)</f>
        <v>14.52</v>
      </c>
      <c r="ED192" s="90">
        <f>_xlfn.IFNA(INDEX(武器升级消耗!$Q:$Q,MATCH(玩家节奏2!DZ192,武器升级消耗!$H:$H,0))*2*ED$4,0)</f>
        <v>12.899999999999999</v>
      </c>
    </row>
    <row r="193" spans="1:134" x14ac:dyDescent="0.25">
      <c r="A193" s="123">
        <v>187</v>
      </c>
      <c r="B193" s="123">
        <f>INDEX(关卡对比!$Y:$Y,MATCH(关卡对比!Z193,关卡对比!$AA:$AA,1))</f>
        <v>107</v>
      </c>
      <c r="C193" s="124">
        <f>INDEX(关卡对比!$Y:$Y,MATCH(关卡对比!Z193,关卡对比!$AB:$AB,1))</f>
        <v>80</v>
      </c>
      <c r="D193" s="125">
        <f t="shared" si="189"/>
        <v>717.5</v>
      </c>
      <c r="E193" s="125">
        <v>2</v>
      </c>
      <c r="F193" s="128">
        <v>16</v>
      </c>
      <c r="G193" s="90">
        <v>16</v>
      </c>
      <c r="H193" s="90">
        <v>5</v>
      </c>
      <c r="J193" s="128">
        <v>187</v>
      </c>
      <c r="K193" s="90">
        <f t="shared" si="152"/>
        <v>16</v>
      </c>
      <c r="L193" s="90">
        <f t="shared" si="153"/>
        <v>16</v>
      </c>
      <c r="M193" s="90">
        <f t="shared" si="154"/>
        <v>5</v>
      </c>
      <c r="N193" s="140">
        <f>INDEX($A:$A,MATCH(SUM($K$7:K193),$D:$D,1))</f>
        <v>200</v>
      </c>
      <c r="O193" s="140">
        <v>0</v>
      </c>
      <c r="P193" s="141">
        <v>0</v>
      </c>
      <c r="Q193" s="126">
        <f>_xlfn.MAXIFS(关卡产出!X:X,关卡产出!$A:$A,玩家节奏2!$N$6,关卡产出!$B:$B,玩家节奏2!$N193)+_xlfn.MAXIFS(关卡产出!X:X,关卡产出!$A:$A,玩家节奏2!$O$6,关卡产出!$B:$B,玩家节奏2!$O193)+_xlfn.MAXIFS(关卡产出!X:X,关卡产出!$A:$A,玩家节奏2!$P$6,关卡产出!$B:$B,玩家节奏2!$P193)</f>
        <v>38500</v>
      </c>
      <c r="R193" s="90">
        <f>_xlfn.MAXIFS(关卡产出!Y:Y,关卡产出!$A:$A,玩家节奏2!$N$6,关卡产出!$B:$B,玩家节奏2!$N193)+_xlfn.MAXIFS(关卡产出!Y:Y,关卡产出!$A:$A,玩家节奏2!$O$6,关卡产出!$B:$B,玩家节奏2!$O193)+_xlfn.MAXIFS(关卡产出!Y:Y,关卡产出!$A:$A,玩家节奏2!$P$6,关卡产出!$B:$B,玩家节奏2!$P193)</f>
        <v>11610000</v>
      </c>
      <c r="S193" s="90">
        <f>_xlfn.MAXIFS(关卡产出!Z:Z,关卡产出!$A:$A,玩家节奏2!$N$6,关卡产出!$B:$B,玩家节奏2!$N193)+_xlfn.MAXIFS(关卡产出!Z:Z,关卡产出!$A:$A,玩家节奏2!$O$6,关卡产出!$B:$B,玩家节奏2!$O193)+_xlfn.MAXIFS(关卡产出!Z:Z,关卡产出!$A:$A,玩家节奏2!$P$6,关卡产出!$B:$B,玩家节奏2!$P193)</f>
        <v>78866</v>
      </c>
      <c r="T193" s="90">
        <f>_xlfn.MAXIFS(关卡产出!AA:AA,关卡产出!$A:$A,玩家节奏2!$N$6,关卡产出!$B:$B,玩家节奏2!$N193)+_xlfn.MAXIFS(关卡产出!AA:AA,关卡产出!$A:$A,玩家节奏2!$O$6,关卡产出!$B:$B,玩家节奏2!$O193)+_xlfn.MAXIFS(关卡产出!AA:AA,关卡产出!$A:$A,玩家节奏2!$P$6,关卡产出!$B:$B,玩家节奏2!$P193)</f>
        <v>39434</v>
      </c>
      <c r="U193" s="90">
        <f>_xlfn.MAXIFS(关卡产出!AB:AB,关卡产出!$A:$A,玩家节奏2!$N$6,关卡产出!$B:$B,玩家节奏2!$N193)+_xlfn.MAXIFS(关卡产出!AB:AB,关卡产出!$A:$A,玩家节奏2!$O$6,关卡产出!$B:$B,玩家节奏2!$O193)+_xlfn.MAXIFS(关卡产出!AB:AB,关卡产出!$A:$A,玩家节奏2!$P$6,关卡产出!$B:$B,玩家节奏2!$P193)</f>
        <v>19113</v>
      </c>
      <c r="V193" s="130">
        <f>_xlfn.MAXIFS(关卡产出!AC:AC,关卡产出!$A:$A,玩家节奏2!$N$6,关卡产出!$B:$B,玩家节奏2!$N193)+_xlfn.MAXIFS(关卡产出!AC:AC,关卡产出!$A:$A,玩家节奏2!$O$6,关卡产出!$B:$B,玩家节奏2!$O193)+_xlfn.MAXIFS(关卡产出!AC:AC,关卡产出!$A:$A,玩家节奏2!$P$6,关卡产出!$B:$B,玩家节奏2!$P193)</f>
        <v>1200</v>
      </c>
      <c r="W193" s="126">
        <f>INDEX(关卡产出!C$8:C$207,MATCH(玩家节奏2!$N193,关卡产出!$B$8:$B$207,0))*$K193</f>
        <v>2528</v>
      </c>
      <c r="X193" s="126">
        <f>INDEX(关卡产出!D$8:D$207,MATCH(玩家节奏2!$N193,关卡产出!$B$8:$B$207,0))*$K193</f>
        <v>1264</v>
      </c>
      <c r="Y193" s="126">
        <f>INDEX(关卡产出!E$8:E$207,MATCH(玩家节奏2!$N193,关卡产出!$B$8:$B$207,0))*$K193</f>
        <v>624</v>
      </c>
      <c r="Z193" s="144">
        <f>INDEX(关卡产出!F$8:F$207,MATCH(玩家节奏2!$N193,关卡产出!$B$8:$B$207,0))*$K193</f>
        <v>32800</v>
      </c>
      <c r="AA193" s="126">
        <f>SUM(W$7:W193)</f>
        <v>414606</v>
      </c>
      <c r="AB193" s="126">
        <f>SUM(X$7:X193)</f>
        <v>207139</v>
      </c>
      <c r="AC193" s="126">
        <f>SUM(Y$7:Y193)</f>
        <v>102035</v>
      </c>
      <c r="AD193" s="177">
        <f>SUM(Z$7:Z193)</f>
        <v>5407130</v>
      </c>
      <c r="AE193" s="128">
        <f>INDEX(图鉴!AQ:AQ,MATCH($N193,图鉴!$S:$S,0))*34</f>
        <v>714</v>
      </c>
      <c r="AF193" s="90">
        <f>INDEX(图鉴!AR:AR,MATCH($N193,图鉴!$S:$S,0))*34</f>
        <v>510</v>
      </c>
      <c r="AG193" s="90">
        <f>INDEX(图鉴!AS:AS,MATCH($N193,图鉴!$S:$S,0))*34</f>
        <v>204</v>
      </c>
      <c r="AH193" s="129">
        <f ca="1">INDEX(图鉴!AT:AT,MATCH($N193,图鉴!$S:$S,0))*34</f>
        <v>55930</v>
      </c>
      <c r="AI193" s="128">
        <f>SUM($AE$7:AE193)</f>
        <v>131614</v>
      </c>
      <c r="AJ193" s="90">
        <f>SUM(AF$7:AF193)</f>
        <v>91902</v>
      </c>
      <c r="AK193" s="90">
        <f>SUM(AG$7:AG193)</f>
        <v>36210</v>
      </c>
      <c r="AL193" s="130">
        <f ca="1">SUM(AH$7:AH193)</f>
        <v>9629276</v>
      </c>
      <c r="AM193" s="133">
        <f>IF(M193=0,0,INDEX(关卡产出!$AU$11:$AU$15,MATCH(玩家节奏2!N193,关卡产出!$AW$11:$AW$15,1))*M193)</f>
        <v>61000</v>
      </c>
      <c r="AN193" s="126">
        <f>IF(L193=0,0,$L193*关卡产出!AU$21)</f>
        <v>16000</v>
      </c>
      <c r="AO193" s="90">
        <f>IF(M193=0,0,$L193*关卡产出!AV$21)</f>
        <v>800</v>
      </c>
      <c r="AP193" s="129">
        <f>IF(N193=0,0,$L193*关卡产出!AW$21)</f>
        <v>16</v>
      </c>
      <c r="AQ193" s="138">
        <f>SUM(AN$7:AN193)</f>
        <v>2944000</v>
      </c>
      <c r="AR193" s="126">
        <f>SUM(AO$7:AO193)</f>
        <v>147200</v>
      </c>
      <c r="AS193" s="129">
        <f>SUM(AP$7:AP193)</f>
        <v>2944</v>
      </c>
      <c r="AT193" s="128">
        <v>3000</v>
      </c>
      <c r="AU193" s="129">
        <v>600</v>
      </c>
      <c r="AV193" s="128">
        <f>SUM(AT$7:AT193)</f>
        <v>561000</v>
      </c>
      <c r="AW193" s="90">
        <f>SUM(AU$7:AU193)</f>
        <v>112200</v>
      </c>
      <c r="AY193" s="128">
        <f t="shared" si="155"/>
        <v>38500</v>
      </c>
      <c r="AZ193" s="90">
        <f t="shared" si="156"/>
        <v>147200</v>
      </c>
      <c r="BA193" s="90">
        <f t="shared" si="157"/>
        <v>112200</v>
      </c>
      <c r="BB193" s="90">
        <f t="shared" ca="1" si="185"/>
        <v>40800</v>
      </c>
      <c r="BC193" s="90">
        <f t="shared" ca="1" si="187"/>
        <v>171525</v>
      </c>
      <c r="BD193" s="90">
        <f t="shared" ca="1" si="188"/>
        <v>167175</v>
      </c>
      <c r="BE193" s="90">
        <f t="shared" ca="1" si="158"/>
        <v>338700</v>
      </c>
      <c r="BF193" s="142">
        <f t="shared" ca="1" si="192"/>
        <v>0.2244570762279551</v>
      </c>
      <c r="BG193" s="142">
        <f t="shared" ca="1" si="193"/>
        <v>0.85818393820142835</v>
      </c>
      <c r="BH193" s="142">
        <f t="shared" ca="1" si="194"/>
        <v>0.65413205072146918</v>
      </c>
      <c r="BI193" s="142">
        <f t="shared" ca="1" si="197"/>
        <v>0.23786620026235242</v>
      </c>
      <c r="BJ193" s="143"/>
      <c r="BK193" s="128">
        <f ca="1">INDEX(商城宝箱!$L:$L,MATCH(BC193,商城宝箱!$N:$N,1))</f>
        <v>13</v>
      </c>
      <c r="BL193" s="90">
        <f ca="1">_xlfn.IFNA(INDEX(商城宝箱!T:T,MATCH(玩家节奏2!$BK193,商城宝箱!$L:$L,0)),0)+($BC193-INDEX(商城宝箱!$N:$N,MATCH(玩家节奏2!$BK193,商城宝箱!$L:$L,0)))/$BK$5*INDEX(商城宝箱!E$23:E$42,MATCH(玩家节奏2!$BK193+1,商城宝箱!$C$23:$C$42,0))</f>
        <v>428812.5</v>
      </c>
      <c r="BM193" s="90">
        <f ca="1">_xlfn.IFNA(INDEX(商城宝箱!U:U,MATCH(玩家节奏2!$BK193,商城宝箱!$L:$L,0)),0)+($BC193-INDEX(商城宝箱!$N:$N,MATCH(玩家节奏2!$BK193,商城宝箱!$L:$L,0)))/$BK$5*INDEX(商城宝箱!F$23:F$42,MATCH(玩家节奏2!$BK193+1,商城宝箱!$C$23:$C$42,0))</f>
        <v>561460</v>
      </c>
      <c r="BN193" s="90">
        <f ca="1">_xlfn.IFNA(INDEX(商城宝箱!V:V,MATCH(玩家节奏2!$BK193,商城宝箱!$L:$L,0)),0)+($BC193-INDEX(商城宝箱!$N:$N,MATCH(玩家节奏2!$BK193,商城宝箱!$L:$L,0)))/$BK$5*INDEX(商城宝箱!G$23:G$42,MATCH(玩家节奏2!$BK193+1,商城宝箱!$C$23:$C$42,0))</f>
        <v>278593.25</v>
      </c>
      <c r="BO193" s="90">
        <f ca="1">_xlfn.IFNA(INDEX(商城宝箱!W:W,MATCH(玩家节奏2!$BK193,商城宝箱!$L:$L,0)),0)+($BC193-INDEX(商城宝箱!$N:$N,MATCH(玩家节奏2!$BK193,商城宝箱!$L:$L,0)))/$BK$5*INDEX(商城宝箱!H$23:H$42,MATCH(玩家节奏2!$BK193+1,商城宝箱!$C$23:$C$42,0))</f>
        <v>46201.5</v>
      </c>
      <c r="BQ193" s="128">
        <f t="shared" si="143"/>
        <v>11610000</v>
      </c>
      <c r="BR193" s="90">
        <f t="shared" si="144"/>
        <v>5407130</v>
      </c>
      <c r="BS193" s="90">
        <f t="shared" ca="1" si="195"/>
        <v>9629276</v>
      </c>
      <c r="BT193" s="90">
        <f t="shared" si="196"/>
        <v>61000</v>
      </c>
      <c r="BU193" s="90">
        <f t="shared" si="147"/>
        <v>2944000</v>
      </c>
      <c r="BV193" s="90">
        <f t="shared" si="148"/>
        <v>561000</v>
      </c>
      <c r="BW193" s="90">
        <f t="shared" ca="1" si="160"/>
        <v>428812.5</v>
      </c>
      <c r="BX193" s="90">
        <f t="shared" ca="1" si="161"/>
        <v>30641218.5</v>
      </c>
      <c r="BY193" s="142">
        <f t="shared" ca="1" si="191"/>
        <v>0.37890138083118335</v>
      </c>
      <c r="BZ193" s="142">
        <f t="shared" ca="1" si="191"/>
        <v>0.17646589348266289</v>
      </c>
      <c r="CA193" s="142">
        <f t="shared" ca="1" si="191"/>
        <v>0.31425891238626819</v>
      </c>
      <c r="CB193" s="142">
        <f t="shared" ca="1" si="190"/>
        <v>1.9907824488115573E-3</v>
      </c>
      <c r="CC193" s="142">
        <f t="shared" ca="1" si="190"/>
        <v>9.6079729988544679E-2</v>
      </c>
      <c r="CD193" s="142">
        <f t="shared" ca="1" si="190"/>
        <v>1.8308671373496455E-2</v>
      </c>
      <c r="CE193" s="142">
        <f t="shared" ca="1" si="190"/>
        <v>1.3994629489032885E-2</v>
      </c>
      <c r="CG193" s="128">
        <f t="shared" si="162"/>
        <v>200</v>
      </c>
      <c r="CH193" s="90">
        <f ca="1">INDEX(角色升级!$A:$A,MATCH(玩家节奏2!$BX193,角色升级!$J:$J,1))</f>
        <v>1047</v>
      </c>
      <c r="CI193" s="90">
        <f ca="1">INDEX(角色升级!$O:$O,MATCH(玩家节奏2!$BX193,角色升级!$J:$J,1))</f>
        <v>99294.156750000009</v>
      </c>
      <c r="CJ193" s="90">
        <f>INDEX(关卡对比!$J:$J,MATCH(玩家节奏2!N193,关卡对比!$A:$A,0))</f>
        <v>86200</v>
      </c>
      <c r="CK193" s="147">
        <f t="shared" ca="1" si="163"/>
        <v>0.8681276202086281</v>
      </c>
      <c r="CL193" s="128">
        <f ca="1">INDEX(角色升级!$P:$P,MATCH(玩家节奏2!$CH193,角色升级!$A:$A,0))</f>
        <v>40800</v>
      </c>
      <c r="CM193" s="90">
        <f ca="1">INDEX(角色升级!Q:Q,MATCH(玩家节奏2!$CH193,角色升级!$A:$A,0))</f>
        <v>2.2000000000000002</v>
      </c>
      <c r="CO193" s="128">
        <f t="shared" si="164"/>
        <v>78866</v>
      </c>
      <c r="CP193" s="90">
        <f t="shared" si="165"/>
        <v>414606</v>
      </c>
      <c r="CQ193" s="90">
        <f t="shared" si="166"/>
        <v>131614</v>
      </c>
      <c r="CR193" s="90">
        <f t="shared" ca="1" si="167"/>
        <v>561460</v>
      </c>
      <c r="CS193" s="90">
        <f t="shared" ca="1" si="168"/>
        <v>1186546</v>
      </c>
      <c r="CT193" s="142">
        <f t="shared" ca="1" si="169"/>
        <v>6.6466871069473923E-2</v>
      </c>
      <c r="CU193" s="142">
        <f t="shared" ca="1" si="169"/>
        <v>0.34942260982717904</v>
      </c>
      <c r="CV193" s="142">
        <f t="shared" ca="1" si="169"/>
        <v>0.11092195329974565</v>
      </c>
      <c r="CW193" s="142">
        <f t="shared" ca="1" si="149"/>
        <v>0.47318856580360136</v>
      </c>
      <c r="CY193" s="128">
        <f t="shared" si="170"/>
        <v>39434</v>
      </c>
      <c r="CZ193" s="90">
        <f t="shared" si="171"/>
        <v>207139</v>
      </c>
      <c r="DA193" s="90">
        <f t="shared" si="172"/>
        <v>91902</v>
      </c>
      <c r="DB193" s="90">
        <f t="shared" ca="1" si="186"/>
        <v>278593.25</v>
      </c>
      <c r="DC193" s="90">
        <f t="shared" ca="1" si="173"/>
        <v>617068.25</v>
      </c>
      <c r="DD193" s="142">
        <f t="shared" ca="1" si="174"/>
        <v>6.3905410787218425E-2</v>
      </c>
      <c r="DE193" s="142">
        <f t="shared" ca="1" si="174"/>
        <v>0.33568247920712174</v>
      </c>
      <c r="DF193" s="142">
        <f t="shared" ca="1" si="174"/>
        <v>0.14893328250157092</v>
      </c>
      <c r="DG193" s="142">
        <f t="shared" ca="1" si="150"/>
        <v>0.45147882750408891</v>
      </c>
      <c r="DI193" s="128">
        <f t="shared" si="175"/>
        <v>19113</v>
      </c>
      <c r="DJ193" s="90">
        <f t="shared" si="176"/>
        <v>102035</v>
      </c>
      <c r="DK193" s="90">
        <f t="shared" si="177"/>
        <v>36210</v>
      </c>
      <c r="DL193" s="90">
        <f t="shared" ca="1" si="178"/>
        <v>46201.5</v>
      </c>
      <c r="DM193" s="90">
        <f t="shared" ca="1" si="179"/>
        <v>203559.5</v>
      </c>
      <c r="DN193" s="142">
        <f t="shared" ca="1" si="180"/>
        <v>9.3893922907061569E-2</v>
      </c>
      <c r="DO193" s="142">
        <f t="shared" ca="1" si="180"/>
        <v>0.50125393312520417</v>
      </c>
      <c r="DP193" s="142">
        <f t="shared" ca="1" si="180"/>
        <v>0.17788410759507661</v>
      </c>
      <c r="DQ193" s="142">
        <f t="shared" ca="1" si="151"/>
        <v>0.22696803637265764</v>
      </c>
      <c r="DS193" s="128">
        <f t="shared" ca="1" si="181"/>
        <v>1186546</v>
      </c>
      <c r="DT193" s="90">
        <f t="shared" ca="1" si="182"/>
        <v>617068.25</v>
      </c>
      <c r="DU193" s="90">
        <f t="shared" ca="1" si="183"/>
        <v>203559.5</v>
      </c>
      <c r="DV193" s="90">
        <f t="shared" si="184"/>
        <v>2944</v>
      </c>
      <c r="DW193" s="90">
        <f ca="1">_xlfn.IFNA(INDEX(武器升级消耗!$H:$H,MATCH(玩家节奏2!DS193/玩家节奏2!DS$5,武器升级消耗!M:M,1)),0)</f>
        <v>94</v>
      </c>
      <c r="DX193" s="90">
        <f ca="1">_xlfn.IFNA(INDEX(武器升级消耗!$H:$H,MATCH(玩家节奏2!DT193/玩家节奏2!DT$5,武器升级消耗!N:N,1)),0)</f>
        <v>82</v>
      </c>
      <c r="DY193" s="90">
        <f ca="1">_xlfn.IFNA(INDEX(武器升级消耗!$H:$H,MATCH(玩家节奏2!DU193/玩家节奏2!DU$5,武器升级消耗!O:O,1)),0)</f>
        <v>62</v>
      </c>
      <c r="DZ193" s="90">
        <f>_xlfn.IFNA(INDEX(武器升级消耗!$H:$H,MATCH(玩家节奏2!DV193/玩家节奏2!DV$5,武器升级消耗!P:P,1)),0)</f>
        <v>39</v>
      </c>
      <c r="EA193" s="90">
        <f ca="1">_xlfn.IFNA(INDEX(武器升级消耗!$Q:$Q,MATCH(玩家节奏2!DW193,武器升级消耗!$H:$H,0))*2*EA$4,0)</f>
        <v>11.759999999999987</v>
      </c>
      <c r="EB193" s="90">
        <f ca="1">_xlfn.IFNA(INDEX(武器升级消耗!$Q:$Q,MATCH(玩家节奏2!DX193,武器升级消耗!$H:$H,0))*2*EB$4,0)</f>
        <v>12.899999999999986</v>
      </c>
      <c r="EC193" s="90">
        <f ca="1">_xlfn.IFNA(INDEX(武器升级消耗!$Q:$Q,MATCH(玩家节奏2!DY193,武器升级消耗!$H:$H,0))*2*EC$4,0)</f>
        <v>14.52</v>
      </c>
      <c r="ED193" s="90">
        <f>_xlfn.IFNA(INDEX(武器升级消耗!$Q:$Q,MATCH(玩家节奏2!DZ193,武器升级消耗!$H:$H,0))*2*ED$4,0)</f>
        <v>12.899999999999999</v>
      </c>
    </row>
    <row r="194" spans="1:134" x14ac:dyDescent="0.25">
      <c r="A194" s="123">
        <v>188</v>
      </c>
      <c r="B194" s="123">
        <f>INDEX(关卡对比!$Y:$Y,MATCH(关卡对比!Z194,关卡对比!$AA:$AA,1))</f>
        <v>107</v>
      </c>
      <c r="C194" s="124">
        <f>INDEX(关卡对比!$Y:$Y,MATCH(关卡对比!Z194,关卡对比!$AB:$AB,1))</f>
        <v>81</v>
      </c>
      <c r="D194" s="125">
        <f t="shared" si="189"/>
        <v>721.5</v>
      </c>
      <c r="E194" s="125">
        <v>2</v>
      </c>
      <c r="F194" s="128">
        <v>16</v>
      </c>
      <c r="G194" s="90">
        <v>16</v>
      </c>
      <c r="H194" s="90">
        <v>5</v>
      </c>
      <c r="J194" s="128">
        <v>188</v>
      </c>
      <c r="K194" s="90">
        <f t="shared" si="152"/>
        <v>16</v>
      </c>
      <c r="L194" s="90">
        <f t="shared" si="153"/>
        <v>16</v>
      </c>
      <c r="M194" s="90">
        <f t="shared" si="154"/>
        <v>5</v>
      </c>
      <c r="N194" s="140">
        <f>INDEX($A:$A,MATCH(SUM($K$7:K194),$D:$D,1))</f>
        <v>200</v>
      </c>
      <c r="O194" s="140">
        <v>0</v>
      </c>
      <c r="P194" s="141">
        <v>0</v>
      </c>
      <c r="Q194" s="126">
        <f>_xlfn.MAXIFS(关卡产出!X:X,关卡产出!$A:$A,玩家节奏2!$N$6,关卡产出!$B:$B,玩家节奏2!$N194)+_xlfn.MAXIFS(关卡产出!X:X,关卡产出!$A:$A,玩家节奏2!$O$6,关卡产出!$B:$B,玩家节奏2!$O194)+_xlfn.MAXIFS(关卡产出!X:X,关卡产出!$A:$A,玩家节奏2!$P$6,关卡产出!$B:$B,玩家节奏2!$P194)</f>
        <v>38500</v>
      </c>
      <c r="R194" s="90">
        <f>_xlfn.MAXIFS(关卡产出!Y:Y,关卡产出!$A:$A,玩家节奏2!$N$6,关卡产出!$B:$B,玩家节奏2!$N194)+_xlfn.MAXIFS(关卡产出!Y:Y,关卡产出!$A:$A,玩家节奏2!$O$6,关卡产出!$B:$B,玩家节奏2!$O194)+_xlfn.MAXIFS(关卡产出!Y:Y,关卡产出!$A:$A,玩家节奏2!$P$6,关卡产出!$B:$B,玩家节奏2!$P194)</f>
        <v>11610000</v>
      </c>
      <c r="S194" s="90">
        <f>_xlfn.MAXIFS(关卡产出!Z:Z,关卡产出!$A:$A,玩家节奏2!$N$6,关卡产出!$B:$B,玩家节奏2!$N194)+_xlfn.MAXIFS(关卡产出!Z:Z,关卡产出!$A:$A,玩家节奏2!$O$6,关卡产出!$B:$B,玩家节奏2!$O194)+_xlfn.MAXIFS(关卡产出!Z:Z,关卡产出!$A:$A,玩家节奏2!$P$6,关卡产出!$B:$B,玩家节奏2!$P194)</f>
        <v>78866</v>
      </c>
      <c r="T194" s="90">
        <f>_xlfn.MAXIFS(关卡产出!AA:AA,关卡产出!$A:$A,玩家节奏2!$N$6,关卡产出!$B:$B,玩家节奏2!$N194)+_xlfn.MAXIFS(关卡产出!AA:AA,关卡产出!$A:$A,玩家节奏2!$O$6,关卡产出!$B:$B,玩家节奏2!$O194)+_xlfn.MAXIFS(关卡产出!AA:AA,关卡产出!$A:$A,玩家节奏2!$P$6,关卡产出!$B:$B,玩家节奏2!$P194)</f>
        <v>39434</v>
      </c>
      <c r="U194" s="90">
        <f>_xlfn.MAXIFS(关卡产出!AB:AB,关卡产出!$A:$A,玩家节奏2!$N$6,关卡产出!$B:$B,玩家节奏2!$N194)+_xlfn.MAXIFS(关卡产出!AB:AB,关卡产出!$A:$A,玩家节奏2!$O$6,关卡产出!$B:$B,玩家节奏2!$O194)+_xlfn.MAXIFS(关卡产出!AB:AB,关卡产出!$A:$A,玩家节奏2!$P$6,关卡产出!$B:$B,玩家节奏2!$P194)</f>
        <v>19113</v>
      </c>
      <c r="V194" s="130">
        <f>_xlfn.MAXIFS(关卡产出!AC:AC,关卡产出!$A:$A,玩家节奏2!$N$6,关卡产出!$B:$B,玩家节奏2!$N194)+_xlfn.MAXIFS(关卡产出!AC:AC,关卡产出!$A:$A,玩家节奏2!$O$6,关卡产出!$B:$B,玩家节奏2!$O194)+_xlfn.MAXIFS(关卡产出!AC:AC,关卡产出!$A:$A,玩家节奏2!$P$6,关卡产出!$B:$B,玩家节奏2!$P194)</f>
        <v>1200</v>
      </c>
      <c r="W194" s="126">
        <f>INDEX(关卡产出!C$8:C$207,MATCH(玩家节奏2!$N194,关卡产出!$B$8:$B$207,0))*$K194</f>
        <v>2528</v>
      </c>
      <c r="X194" s="126">
        <f>INDEX(关卡产出!D$8:D$207,MATCH(玩家节奏2!$N194,关卡产出!$B$8:$B$207,0))*$K194</f>
        <v>1264</v>
      </c>
      <c r="Y194" s="126">
        <f>INDEX(关卡产出!E$8:E$207,MATCH(玩家节奏2!$N194,关卡产出!$B$8:$B$207,0))*$K194</f>
        <v>624</v>
      </c>
      <c r="Z194" s="144">
        <f>INDEX(关卡产出!F$8:F$207,MATCH(玩家节奏2!$N194,关卡产出!$B$8:$B$207,0))*$K194</f>
        <v>32800</v>
      </c>
      <c r="AA194" s="126">
        <f>SUM(W$7:W194)</f>
        <v>417134</v>
      </c>
      <c r="AB194" s="126">
        <f>SUM(X$7:X194)</f>
        <v>208403</v>
      </c>
      <c r="AC194" s="126">
        <f>SUM(Y$7:Y194)</f>
        <v>102659</v>
      </c>
      <c r="AD194" s="177">
        <f>SUM(Z$7:Z194)</f>
        <v>5439930</v>
      </c>
      <c r="AE194" s="128">
        <f>INDEX(图鉴!AQ:AQ,MATCH($N194,图鉴!$S:$S,0))*34</f>
        <v>714</v>
      </c>
      <c r="AF194" s="90">
        <f>INDEX(图鉴!AR:AR,MATCH($N194,图鉴!$S:$S,0))*34</f>
        <v>510</v>
      </c>
      <c r="AG194" s="90">
        <f>INDEX(图鉴!AS:AS,MATCH($N194,图鉴!$S:$S,0))*34</f>
        <v>204</v>
      </c>
      <c r="AH194" s="129">
        <f ca="1">INDEX(图鉴!AT:AT,MATCH($N194,图鉴!$S:$S,0))*34</f>
        <v>55930</v>
      </c>
      <c r="AI194" s="128">
        <f>SUM($AE$7:AE194)</f>
        <v>132328</v>
      </c>
      <c r="AJ194" s="90">
        <f>SUM(AF$7:AF194)</f>
        <v>92412</v>
      </c>
      <c r="AK194" s="90">
        <f>SUM(AG$7:AG194)</f>
        <v>36414</v>
      </c>
      <c r="AL194" s="130">
        <f ca="1">SUM(AH$7:AH194)</f>
        <v>9685206</v>
      </c>
      <c r="AM194" s="133">
        <f>IF(M194=0,0,INDEX(关卡产出!$AU$11:$AU$15,MATCH(玩家节奏2!N194,关卡产出!$AW$11:$AW$15,1))*M194)</f>
        <v>61000</v>
      </c>
      <c r="AN194" s="126">
        <f>IF(L194=0,0,$L194*关卡产出!AU$21)</f>
        <v>16000</v>
      </c>
      <c r="AO194" s="90">
        <f>IF(M194=0,0,$L194*关卡产出!AV$21)</f>
        <v>800</v>
      </c>
      <c r="AP194" s="129">
        <f>IF(N194=0,0,$L194*关卡产出!AW$21)</f>
        <v>16</v>
      </c>
      <c r="AQ194" s="138">
        <f>SUM(AN$7:AN194)</f>
        <v>2960000</v>
      </c>
      <c r="AR194" s="126">
        <f>SUM(AO$7:AO194)</f>
        <v>148000</v>
      </c>
      <c r="AS194" s="129">
        <f>SUM(AP$7:AP194)</f>
        <v>2960</v>
      </c>
      <c r="AT194" s="128">
        <v>3000</v>
      </c>
      <c r="AU194" s="129">
        <v>600</v>
      </c>
      <c r="AV194" s="128">
        <f>SUM(AT$7:AT194)</f>
        <v>564000</v>
      </c>
      <c r="AW194" s="90">
        <f>SUM(AU$7:AU194)</f>
        <v>112800</v>
      </c>
      <c r="AY194" s="128">
        <f t="shared" si="155"/>
        <v>38500</v>
      </c>
      <c r="AZ194" s="90">
        <f t="shared" si="156"/>
        <v>148000</v>
      </c>
      <c r="BA194" s="90">
        <f t="shared" si="157"/>
        <v>112800</v>
      </c>
      <c r="BB194" s="90">
        <f t="shared" ca="1" si="185"/>
        <v>40800</v>
      </c>
      <c r="BC194" s="90">
        <f t="shared" ca="1" si="187"/>
        <v>172225</v>
      </c>
      <c r="BD194" s="90">
        <f t="shared" ca="1" si="188"/>
        <v>167875</v>
      </c>
      <c r="BE194" s="90">
        <f t="shared" ca="1" si="158"/>
        <v>340100</v>
      </c>
      <c r="BF194" s="142">
        <f t="shared" ca="1" si="192"/>
        <v>0.22354478153578169</v>
      </c>
      <c r="BG194" s="142">
        <f t="shared" ca="1" si="193"/>
        <v>0.85934097837131662</v>
      </c>
      <c r="BH194" s="142">
        <f t="shared" ca="1" si="194"/>
        <v>0.65495717811003051</v>
      </c>
      <c r="BI194" s="142">
        <f t="shared" ca="1" si="197"/>
        <v>0.2368994048483089</v>
      </c>
      <c r="BJ194" s="143"/>
      <c r="BK194" s="128">
        <f ca="1">INDEX(商城宝箱!$L:$L,MATCH(BC194,商城宝箱!$N:$N,1))</f>
        <v>13</v>
      </c>
      <c r="BL194" s="90">
        <f ca="1">_xlfn.IFNA(INDEX(商城宝箱!T:T,MATCH(玩家节奏2!$BK194,商城宝箱!$L:$L,0)),0)+($BC194-INDEX(商城宝箱!$N:$N,MATCH(玩家节奏2!$BK194,商城宝箱!$L:$L,0)))/$BK$5*INDEX(商城宝箱!E$23:E$42,MATCH(玩家节奏2!$BK194+1,商城宝箱!$C$23:$C$42,0))</f>
        <v>430562.5</v>
      </c>
      <c r="BM194" s="90">
        <f ca="1">_xlfn.IFNA(INDEX(商城宝箱!U:U,MATCH(玩家节奏2!$BK194,商城宝箱!$L:$L,0)),0)+($BC194-INDEX(商城宝箱!$N:$N,MATCH(玩家节奏2!$BK194,商城宝箱!$L:$L,0)))/$BK$5*INDEX(商城宝箱!F$23:F$42,MATCH(玩家节奏2!$BK194+1,商城宝箱!$C$23:$C$42,0))</f>
        <v>564750</v>
      </c>
      <c r="BN194" s="90">
        <f ca="1">_xlfn.IFNA(INDEX(商城宝箱!V:V,MATCH(玩家节奏2!$BK194,商城宝箱!$L:$L,0)),0)+($BC194-INDEX(商城宝箱!$N:$N,MATCH(玩家节奏2!$BK194,商城宝箱!$L:$L,0)))/$BK$5*INDEX(商城宝箱!G$23:G$42,MATCH(玩家节奏2!$BK194+1,商城宝箱!$C$23:$C$42,0))</f>
        <v>280168.25</v>
      </c>
      <c r="BO194" s="90">
        <f ca="1">_xlfn.IFNA(INDEX(商城宝箱!W:W,MATCH(玩家节奏2!$BK194,商城宝箱!$L:$L,0)),0)+($BC194-INDEX(商城宝箱!$N:$N,MATCH(玩家节奏2!$BK194,商城宝箱!$L:$L,0)))/$BK$5*INDEX(商城宝箱!H$23:H$42,MATCH(玩家节奏2!$BK194+1,商城宝箱!$C$23:$C$42,0))</f>
        <v>46481.5</v>
      </c>
      <c r="BQ194" s="128">
        <f t="shared" si="143"/>
        <v>11610000</v>
      </c>
      <c r="BR194" s="90">
        <f t="shared" si="144"/>
        <v>5439930</v>
      </c>
      <c r="BS194" s="90">
        <f t="shared" ca="1" si="195"/>
        <v>9685206</v>
      </c>
      <c r="BT194" s="90">
        <f t="shared" si="196"/>
        <v>61000</v>
      </c>
      <c r="BU194" s="90">
        <f t="shared" si="147"/>
        <v>2960000</v>
      </c>
      <c r="BV194" s="90">
        <f t="shared" si="148"/>
        <v>564000</v>
      </c>
      <c r="BW194" s="90">
        <f t="shared" ca="1" si="160"/>
        <v>430562.5</v>
      </c>
      <c r="BX194" s="90">
        <f t="shared" ca="1" si="161"/>
        <v>30750698.5</v>
      </c>
      <c r="BY194" s="142">
        <f t="shared" ca="1" si="191"/>
        <v>0.37755239933818091</v>
      </c>
      <c r="BZ194" s="142">
        <f t="shared" ca="1" si="191"/>
        <v>0.17690427422323432</v>
      </c>
      <c r="CA194" s="142">
        <f t="shared" ca="1" si="191"/>
        <v>0.31495889434836738</v>
      </c>
      <c r="CB194" s="142">
        <f t="shared" ca="1" si="190"/>
        <v>1.9836947768844993E-3</v>
      </c>
      <c r="CC194" s="142">
        <f t="shared" ca="1" si="190"/>
        <v>9.6257976058657657E-2</v>
      </c>
      <c r="CD194" s="142">
        <f t="shared" ca="1" si="190"/>
        <v>1.8341046789555039E-2</v>
      </c>
      <c r="CE194" s="142">
        <f t="shared" ca="1" si="190"/>
        <v>1.4001714465120199E-2</v>
      </c>
      <c r="CG194" s="128">
        <f t="shared" si="162"/>
        <v>200</v>
      </c>
      <c r="CH194" s="90">
        <f ca="1">INDEX(角色升级!$A:$A,MATCH(玩家节奏2!$BX194,角色升级!$J:$J,1))</f>
        <v>1047</v>
      </c>
      <c r="CI194" s="90">
        <f ca="1">INDEX(角色升级!$O:$O,MATCH(玩家节奏2!$BX194,角色升级!$J:$J,1))</f>
        <v>99294.156750000009</v>
      </c>
      <c r="CJ194" s="90">
        <f>INDEX(关卡对比!$J:$J,MATCH(玩家节奏2!N194,关卡对比!$A:$A,0))</f>
        <v>86200</v>
      </c>
      <c r="CK194" s="147">
        <f t="shared" ca="1" si="163"/>
        <v>0.8681276202086281</v>
      </c>
      <c r="CL194" s="128">
        <f ca="1">INDEX(角色升级!$P:$P,MATCH(玩家节奏2!$CH194,角色升级!$A:$A,0))</f>
        <v>40800</v>
      </c>
      <c r="CM194" s="90">
        <f ca="1">INDEX(角色升级!Q:Q,MATCH(玩家节奏2!$CH194,角色升级!$A:$A,0))</f>
        <v>2.2000000000000002</v>
      </c>
      <c r="CO194" s="128">
        <f t="shared" si="164"/>
        <v>78866</v>
      </c>
      <c r="CP194" s="90">
        <f t="shared" si="165"/>
        <v>417134</v>
      </c>
      <c r="CQ194" s="90">
        <f t="shared" si="166"/>
        <v>132328</v>
      </c>
      <c r="CR194" s="90">
        <f t="shared" ca="1" si="167"/>
        <v>564750</v>
      </c>
      <c r="CS194" s="90">
        <f t="shared" ca="1" si="168"/>
        <v>1193078</v>
      </c>
      <c r="CT194" s="142">
        <f t="shared" ca="1" si="169"/>
        <v>6.6102970635616445E-2</v>
      </c>
      <c r="CU194" s="142">
        <f t="shared" ca="1" si="169"/>
        <v>0.34962844005169819</v>
      </c>
      <c r="CV194" s="142">
        <f t="shared" ca="1" si="169"/>
        <v>0.11091311716417535</v>
      </c>
      <c r="CW194" s="142">
        <f t="shared" ca="1" si="149"/>
        <v>0.47335547214850998</v>
      </c>
      <c r="CY194" s="128">
        <f t="shared" si="170"/>
        <v>39434</v>
      </c>
      <c r="CZ194" s="90">
        <f t="shared" si="171"/>
        <v>208403</v>
      </c>
      <c r="DA194" s="90">
        <f t="shared" si="172"/>
        <v>92412</v>
      </c>
      <c r="DB194" s="90">
        <f t="shared" ca="1" si="186"/>
        <v>280168.25</v>
      </c>
      <c r="DC194" s="90">
        <f t="shared" ca="1" si="173"/>
        <v>620417.25</v>
      </c>
      <c r="DD194" s="142">
        <f t="shared" ca="1" si="174"/>
        <v>6.3560450648333849E-2</v>
      </c>
      <c r="DE194" s="142">
        <f t="shared" ca="1" si="174"/>
        <v>0.33590781042919099</v>
      </c>
      <c r="DF194" s="142">
        <f t="shared" ca="1" si="174"/>
        <v>0.1489513710329621</v>
      </c>
      <c r="DG194" s="142">
        <f t="shared" ca="1" si="150"/>
        <v>0.45158036788951306</v>
      </c>
      <c r="DI194" s="128">
        <f t="shared" si="175"/>
        <v>19113</v>
      </c>
      <c r="DJ194" s="90">
        <f t="shared" si="176"/>
        <v>102659</v>
      </c>
      <c r="DK194" s="90">
        <f t="shared" si="177"/>
        <v>36414</v>
      </c>
      <c r="DL194" s="90">
        <f t="shared" ca="1" si="178"/>
        <v>46481.5</v>
      </c>
      <c r="DM194" s="90">
        <f t="shared" ca="1" si="179"/>
        <v>204667.5</v>
      </c>
      <c r="DN194" s="142">
        <f t="shared" ca="1" si="180"/>
        <v>9.3385613250760377E-2</v>
      </c>
      <c r="DO194" s="142">
        <f t="shared" ca="1" si="180"/>
        <v>0.50158916291057443</v>
      </c>
      <c r="DP194" s="142">
        <f t="shared" ca="1" si="180"/>
        <v>0.17791784235406208</v>
      </c>
      <c r="DQ194" s="142">
        <f t="shared" ca="1" si="151"/>
        <v>0.22710738148460308</v>
      </c>
      <c r="DS194" s="128">
        <f t="shared" ca="1" si="181"/>
        <v>1193078</v>
      </c>
      <c r="DT194" s="90">
        <f t="shared" ca="1" si="182"/>
        <v>620417.25</v>
      </c>
      <c r="DU194" s="90">
        <f t="shared" ca="1" si="183"/>
        <v>204667.5</v>
      </c>
      <c r="DV194" s="90">
        <f t="shared" si="184"/>
        <v>2960</v>
      </c>
      <c r="DW194" s="90">
        <f ca="1">_xlfn.IFNA(INDEX(武器升级消耗!$H:$H,MATCH(玩家节奏2!DS194/玩家节奏2!DS$5,武器升级消耗!M:M,1)),0)</f>
        <v>94</v>
      </c>
      <c r="DX194" s="90">
        <f ca="1">_xlfn.IFNA(INDEX(武器升级消耗!$H:$H,MATCH(玩家节奏2!DT194/玩家节奏2!DT$5,武器升级消耗!N:N,1)),0)</f>
        <v>82</v>
      </c>
      <c r="DY194" s="90">
        <f ca="1">_xlfn.IFNA(INDEX(武器升级消耗!$H:$H,MATCH(玩家节奏2!DU194/玩家节奏2!DU$5,武器升级消耗!O:O,1)),0)</f>
        <v>62</v>
      </c>
      <c r="DZ194" s="90">
        <f>_xlfn.IFNA(INDEX(武器升级消耗!$H:$H,MATCH(玩家节奏2!DV194/玩家节奏2!DV$5,武器升级消耗!P:P,1)),0)</f>
        <v>39</v>
      </c>
      <c r="EA194" s="90">
        <f ca="1">_xlfn.IFNA(INDEX(武器升级消耗!$Q:$Q,MATCH(玩家节奏2!DW194,武器升级消耗!$H:$H,0))*2*EA$4,0)</f>
        <v>11.759999999999987</v>
      </c>
      <c r="EB194" s="90">
        <f ca="1">_xlfn.IFNA(INDEX(武器升级消耗!$Q:$Q,MATCH(玩家节奏2!DX194,武器升级消耗!$H:$H,0))*2*EB$4,0)</f>
        <v>12.899999999999986</v>
      </c>
      <c r="EC194" s="90">
        <f ca="1">_xlfn.IFNA(INDEX(武器升级消耗!$Q:$Q,MATCH(玩家节奏2!DY194,武器升级消耗!$H:$H,0))*2*EC$4,0)</f>
        <v>14.52</v>
      </c>
      <c r="ED194" s="90">
        <f>_xlfn.IFNA(INDEX(武器升级消耗!$Q:$Q,MATCH(玩家节奏2!DZ194,武器升级消耗!$H:$H,0))*2*ED$4,0)</f>
        <v>12.899999999999999</v>
      </c>
    </row>
    <row r="195" spans="1:134" x14ac:dyDescent="0.25">
      <c r="A195" s="123">
        <v>189</v>
      </c>
      <c r="B195" s="123">
        <f>INDEX(关卡对比!$Y:$Y,MATCH(关卡对比!Z195,关卡对比!$AA:$AA,1))</f>
        <v>108</v>
      </c>
      <c r="C195" s="124">
        <f>INDEX(关卡对比!$Y:$Y,MATCH(关卡对比!Z195,关卡对比!$AB:$AB,1))</f>
        <v>81</v>
      </c>
      <c r="D195" s="125">
        <f t="shared" si="189"/>
        <v>725.5</v>
      </c>
      <c r="E195" s="125">
        <v>2</v>
      </c>
      <c r="F195" s="128">
        <v>16</v>
      </c>
      <c r="G195" s="90">
        <v>16</v>
      </c>
      <c r="H195" s="90">
        <v>5</v>
      </c>
      <c r="J195" s="128">
        <v>189</v>
      </c>
      <c r="K195" s="90">
        <f t="shared" si="152"/>
        <v>16</v>
      </c>
      <c r="L195" s="90">
        <f t="shared" si="153"/>
        <v>16</v>
      </c>
      <c r="M195" s="90">
        <f t="shared" si="154"/>
        <v>5</v>
      </c>
      <c r="N195" s="140">
        <f>INDEX($A:$A,MATCH(SUM($K$7:K195),$D:$D,1))</f>
        <v>200</v>
      </c>
      <c r="O195" s="140">
        <v>0</v>
      </c>
      <c r="P195" s="141">
        <v>0</v>
      </c>
      <c r="Q195" s="126">
        <f>_xlfn.MAXIFS(关卡产出!X:X,关卡产出!$A:$A,玩家节奏2!$N$6,关卡产出!$B:$B,玩家节奏2!$N195)+_xlfn.MAXIFS(关卡产出!X:X,关卡产出!$A:$A,玩家节奏2!$O$6,关卡产出!$B:$B,玩家节奏2!$O195)+_xlfn.MAXIFS(关卡产出!X:X,关卡产出!$A:$A,玩家节奏2!$P$6,关卡产出!$B:$B,玩家节奏2!$P195)</f>
        <v>38500</v>
      </c>
      <c r="R195" s="90">
        <f>_xlfn.MAXIFS(关卡产出!Y:Y,关卡产出!$A:$A,玩家节奏2!$N$6,关卡产出!$B:$B,玩家节奏2!$N195)+_xlfn.MAXIFS(关卡产出!Y:Y,关卡产出!$A:$A,玩家节奏2!$O$6,关卡产出!$B:$B,玩家节奏2!$O195)+_xlfn.MAXIFS(关卡产出!Y:Y,关卡产出!$A:$A,玩家节奏2!$P$6,关卡产出!$B:$B,玩家节奏2!$P195)</f>
        <v>11610000</v>
      </c>
      <c r="S195" s="90">
        <f>_xlfn.MAXIFS(关卡产出!Z:Z,关卡产出!$A:$A,玩家节奏2!$N$6,关卡产出!$B:$B,玩家节奏2!$N195)+_xlfn.MAXIFS(关卡产出!Z:Z,关卡产出!$A:$A,玩家节奏2!$O$6,关卡产出!$B:$B,玩家节奏2!$O195)+_xlfn.MAXIFS(关卡产出!Z:Z,关卡产出!$A:$A,玩家节奏2!$P$6,关卡产出!$B:$B,玩家节奏2!$P195)</f>
        <v>78866</v>
      </c>
      <c r="T195" s="90">
        <f>_xlfn.MAXIFS(关卡产出!AA:AA,关卡产出!$A:$A,玩家节奏2!$N$6,关卡产出!$B:$B,玩家节奏2!$N195)+_xlfn.MAXIFS(关卡产出!AA:AA,关卡产出!$A:$A,玩家节奏2!$O$6,关卡产出!$B:$B,玩家节奏2!$O195)+_xlfn.MAXIFS(关卡产出!AA:AA,关卡产出!$A:$A,玩家节奏2!$P$6,关卡产出!$B:$B,玩家节奏2!$P195)</f>
        <v>39434</v>
      </c>
      <c r="U195" s="90">
        <f>_xlfn.MAXIFS(关卡产出!AB:AB,关卡产出!$A:$A,玩家节奏2!$N$6,关卡产出!$B:$B,玩家节奏2!$N195)+_xlfn.MAXIFS(关卡产出!AB:AB,关卡产出!$A:$A,玩家节奏2!$O$6,关卡产出!$B:$B,玩家节奏2!$O195)+_xlfn.MAXIFS(关卡产出!AB:AB,关卡产出!$A:$A,玩家节奏2!$P$6,关卡产出!$B:$B,玩家节奏2!$P195)</f>
        <v>19113</v>
      </c>
      <c r="V195" s="130">
        <f>_xlfn.MAXIFS(关卡产出!AC:AC,关卡产出!$A:$A,玩家节奏2!$N$6,关卡产出!$B:$B,玩家节奏2!$N195)+_xlfn.MAXIFS(关卡产出!AC:AC,关卡产出!$A:$A,玩家节奏2!$O$6,关卡产出!$B:$B,玩家节奏2!$O195)+_xlfn.MAXIFS(关卡产出!AC:AC,关卡产出!$A:$A,玩家节奏2!$P$6,关卡产出!$B:$B,玩家节奏2!$P195)</f>
        <v>1200</v>
      </c>
      <c r="W195" s="126">
        <f>INDEX(关卡产出!C$8:C$207,MATCH(玩家节奏2!$N195,关卡产出!$B$8:$B$207,0))*$K195</f>
        <v>2528</v>
      </c>
      <c r="X195" s="126">
        <f>INDEX(关卡产出!D$8:D$207,MATCH(玩家节奏2!$N195,关卡产出!$B$8:$B$207,0))*$K195</f>
        <v>1264</v>
      </c>
      <c r="Y195" s="126">
        <f>INDEX(关卡产出!E$8:E$207,MATCH(玩家节奏2!$N195,关卡产出!$B$8:$B$207,0))*$K195</f>
        <v>624</v>
      </c>
      <c r="Z195" s="144">
        <f>INDEX(关卡产出!F$8:F$207,MATCH(玩家节奏2!$N195,关卡产出!$B$8:$B$207,0))*$K195</f>
        <v>32800</v>
      </c>
      <c r="AA195" s="126">
        <f>SUM(W$7:W195)</f>
        <v>419662</v>
      </c>
      <c r="AB195" s="126">
        <f>SUM(X$7:X195)</f>
        <v>209667</v>
      </c>
      <c r="AC195" s="126">
        <f>SUM(Y$7:Y195)</f>
        <v>103283</v>
      </c>
      <c r="AD195" s="177">
        <f>SUM(Z$7:Z195)</f>
        <v>5472730</v>
      </c>
      <c r="AE195" s="128">
        <f>INDEX(图鉴!AQ:AQ,MATCH($N195,图鉴!$S:$S,0))*34</f>
        <v>714</v>
      </c>
      <c r="AF195" s="90">
        <f>INDEX(图鉴!AR:AR,MATCH($N195,图鉴!$S:$S,0))*34</f>
        <v>510</v>
      </c>
      <c r="AG195" s="90">
        <f>INDEX(图鉴!AS:AS,MATCH($N195,图鉴!$S:$S,0))*34</f>
        <v>204</v>
      </c>
      <c r="AH195" s="129">
        <f ca="1">INDEX(图鉴!AT:AT,MATCH($N195,图鉴!$S:$S,0))*34</f>
        <v>55930</v>
      </c>
      <c r="AI195" s="128">
        <f>SUM($AE$7:AE195)</f>
        <v>133042</v>
      </c>
      <c r="AJ195" s="90">
        <f>SUM(AF$7:AF195)</f>
        <v>92922</v>
      </c>
      <c r="AK195" s="90">
        <f>SUM(AG$7:AG195)</f>
        <v>36618</v>
      </c>
      <c r="AL195" s="130">
        <f ca="1">SUM(AH$7:AH195)</f>
        <v>9741136</v>
      </c>
      <c r="AM195" s="133">
        <f>IF(M195=0,0,INDEX(关卡产出!$AU$11:$AU$15,MATCH(玩家节奏2!N195,关卡产出!$AW$11:$AW$15,1))*M195)</f>
        <v>61000</v>
      </c>
      <c r="AN195" s="126">
        <f>IF(L195=0,0,$L195*关卡产出!AU$21)</f>
        <v>16000</v>
      </c>
      <c r="AO195" s="90">
        <f>IF(M195=0,0,$L195*关卡产出!AV$21)</f>
        <v>800</v>
      </c>
      <c r="AP195" s="129">
        <f>IF(N195=0,0,$L195*关卡产出!AW$21)</f>
        <v>16</v>
      </c>
      <c r="AQ195" s="138">
        <f>SUM(AN$7:AN195)</f>
        <v>2976000</v>
      </c>
      <c r="AR195" s="126">
        <f>SUM(AO$7:AO195)</f>
        <v>148800</v>
      </c>
      <c r="AS195" s="129">
        <f>SUM(AP$7:AP195)</f>
        <v>2976</v>
      </c>
      <c r="AT195" s="128">
        <v>3000</v>
      </c>
      <c r="AU195" s="129">
        <v>600</v>
      </c>
      <c r="AV195" s="128">
        <f>SUM(AT$7:AT195)</f>
        <v>567000</v>
      </c>
      <c r="AW195" s="90">
        <f>SUM(AU$7:AU195)</f>
        <v>113400</v>
      </c>
      <c r="AY195" s="128">
        <f t="shared" si="155"/>
        <v>38500</v>
      </c>
      <c r="AZ195" s="90">
        <f t="shared" si="156"/>
        <v>148800</v>
      </c>
      <c r="BA195" s="90">
        <f t="shared" si="157"/>
        <v>113400</v>
      </c>
      <c r="BB195" s="90">
        <f t="shared" ca="1" si="185"/>
        <v>40800</v>
      </c>
      <c r="BC195" s="90">
        <f t="shared" ca="1" si="187"/>
        <v>172925</v>
      </c>
      <c r="BD195" s="90">
        <f t="shared" ca="1" si="188"/>
        <v>168575</v>
      </c>
      <c r="BE195" s="90">
        <f t="shared" ca="1" si="158"/>
        <v>341500</v>
      </c>
      <c r="BF195" s="142">
        <f t="shared" ca="1" si="192"/>
        <v>0.22263987277721556</v>
      </c>
      <c r="BG195" s="142">
        <f t="shared" ca="1" si="193"/>
        <v>0.86048865114934225</v>
      </c>
      <c r="BH195" s="142">
        <f t="shared" ca="1" si="194"/>
        <v>0.65577562527107125</v>
      </c>
      <c r="BI195" s="142">
        <f t="shared" ca="1" si="197"/>
        <v>0.23594043660546479</v>
      </c>
      <c r="BJ195" s="143"/>
      <c r="BK195" s="128">
        <f ca="1">INDEX(商城宝箱!$L:$L,MATCH(BC195,商城宝箱!$N:$N,1))</f>
        <v>13</v>
      </c>
      <c r="BL195" s="90">
        <f ca="1">_xlfn.IFNA(INDEX(商城宝箱!T:T,MATCH(玩家节奏2!$BK195,商城宝箱!$L:$L,0)),0)+($BC195-INDEX(商城宝箱!$N:$N,MATCH(玩家节奏2!$BK195,商城宝箱!$L:$L,0)))/$BK$5*INDEX(商城宝箱!E$23:E$42,MATCH(玩家节奏2!$BK195+1,商城宝箱!$C$23:$C$42,0))</f>
        <v>432312.5</v>
      </c>
      <c r="BM195" s="90">
        <f ca="1">_xlfn.IFNA(INDEX(商城宝箱!U:U,MATCH(玩家节奏2!$BK195,商城宝箱!$L:$L,0)),0)+($BC195-INDEX(商城宝箱!$N:$N,MATCH(玩家节奏2!$BK195,商城宝箱!$L:$L,0)))/$BK$5*INDEX(商城宝箱!F$23:F$42,MATCH(玩家节奏2!$BK195+1,商城宝箱!$C$23:$C$42,0))</f>
        <v>568040</v>
      </c>
      <c r="BN195" s="90">
        <f ca="1">_xlfn.IFNA(INDEX(商城宝箱!V:V,MATCH(玩家节奏2!$BK195,商城宝箱!$L:$L,0)),0)+($BC195-INDEX(商城宝箱!$N:$N,MATCH(玩家节奏2!$BK195,商城宝箱!$L:$L,0)))/$BK$5*INDEX(商城宝箱!G$23:G$42,MATCH(玩家节奏2!$BK195+1,商城宝箱!$C$23:$C$42,0))</f>
        <v>281743.25</v>
      </c>
      <c r="BO195" s="90">
        <f ca="1">_xlfn.IFNA(INDEX(商城宝箱!W:W,MATCH(玩家节奏2!$BK195,商城宝箱!$L:$L,0)),0)+($BC195-INDEX(商城宝箱!$N:$N,MATCH(玩家节奏2!$BK195,商城宝箱!$L:$L,0)))/$BK$5*INDEX(商城宝箱!H$23:H$42,MATCH(玩家节奏2!$BK195+1,商城宝箱!$C$23:$C$42,0))</f>
        <v>46761.5</v>
      </c>
      <c r="BQ195" s="128">
        <f t="shared" si="143"/>
        <v>11610000</v>
      </c>
      <c r="BR195" s="90">
        <f t="shared" si="144"/>
        <v>5472730</v>
      </c>
      <c r="BS195" s="90">
        <f t="shared" ca="1" si="195"/>
        <v>9741136</v>
      </c>
      <c r="BT195" s="90">
        <f t="shared" si="196"/>
        <v>61000</v>
      </c>
      <c r="BU195" s="90">
        <f t="shared" si="147"/>
        <v>2976000</v>
      </c>
      <c r="BV195" s="90">
        <f t="shared" si="148"/>
        <v>567000</v>
      </c>
      <c r="BW195" s="90">
        <f t="shared" ca="1" si="160"/>
        <v>432312.5</v>
      </c>
      <c r="BX195" s="90">
        <f t="shared" ca="1" si="161"/>
        <v>30860178.5</v>
      </c>
      <c r="BY195" s="142">
        <f t="shared" ca="1" si="191"/>
        <v>0.3762129891763264</v>
      </c>
      <c r="BZ195" s="142">
        <f t="shared" ca="1" si="191"/>
        <v>0.17733954455253717</v>
      </c>
      <c r="CA195" s="142">
        <f t="shared" ca="1" si="191"/>
        <v>0.31565390977890811</v>
      </c>
      <c r="CB195" s="142">
        <f t="shared" ca="1" si="190"/>
        <v>1.9766573936051603E-3</v>
      </c>
      <c r="CC195" s="142">
        <f t="shared" ca="1" si="190"/>
        <v>9.6434957432277979E-2</v>
      </c>
      <c r="CD195" s="142">
        <f t="shared" ca="1" si="190"/>
        <v>1.8373192494657801E-2</v>
      </c>
      <c r="CE195" s="142">
        <f t="shared" ca="1" si="190"/>
        <v>1.4008749171687389E-2</v>
      </c>
      <c r="CG195" s="128">
        <f t="shared" si="162"/>
        <v>200</v>
      </c>
      <c r="CH195" s="90">
        <f ca="1">INDEX(角色升级!$A:$A,MATCH(玩家节奏2!$BX195,角色升级!$J:$J,1))</f>
        <v>1047</v>
      </c>
      <c r="CI195" s="90">
        <f ca="1">INDEX(角色升级!$O:$O,MATCH(玩家节奏2!$BX195,角色升级!$J:$J,1))</f>
        <v>99294.156750000009</v>
      </c>
      <c r="CJ195" s="90">
        <f>INDEX(关卡对比!$J:$J,MATCH(玩家节奏2!N195,关卡对比!$A:$A,0))</f>
        <v>86200</v>
      </c>
      <c r="CK195" s="147">
        <f t="shared" ca="1" si="163"/>
        <v>0.8681276202086281</v>
      </c>
      <c r="CL195" s="128">
        <f ca="1">INDEX(角色升级!$P:$P,MATCH(玩家节奏2!$CH195,角色升级!$A:$A,0))</f>
        <v>40800</v>
      </c>
      <c r="CM195" s="90">
        <f ca="1">INDEX(角色升级!Q:Q,MATCH(玩家节奏2!$CH195,角色升级!$A:$A,0))</f>
        <v>2.2000000000000002</v>
      </c>
      <c r="CO195" s="128">
        <f t="shared" si="164"/>
        <v>78866</v>
      </c>
      <c r="CP195" s="90">
        <f t="shared" si="165"/>
        <v>419662</v>
      </c>
      <c r="CQ195" s="90">
        <f t="shared" si="166"/>
        <v>133042</v>
      </c>
      <c r="CR195" s="90">
        <f t="shared" ca="1" si="167"/>
        <v>568040</v>
      </c>
      <c r="CS195" s="90">
        <f t="shared" ca="1" si="168"/>
        <v>1199610</v>
      </c>
      <c r="CT195" s="142">
        <f t="shared" ca="1" si="169"/>
        <v>6.5743033152441205E-2</v>
      </c>
      <c r="CU195" s="142">
        <f t="shared" ca="1" si="169"/>
        <v>0.34983202874267472</v>
      </c>
      <c r="CV195" s="142">
        <f t="shared" ca="1" si="169"/>
        <v>0.11090437725594152</v>
      </c>
      <c r="CW195" s="142">
        <f t="shared" ca="1" si="149"/>
        <v>0.47352056084894256</v>
      </c>
      <c r="CY195" s="128">
        <f t="shared" si="170"/>
        <v>39434</v>
      </c>
      <c r="CZ195" s="90">
        <f t="shared" si="171"/>
        <v>209667</v>
      </c>
      <c r="DA195" s="90">
        <f t="shared" si="172"/>
        <v>92922</v>
      </c>
      <c r="DB195" s="90">
        <f t="shared" ca="1" si="186"/>
        <v>281743.25</v>
      </c>
      <c r="DC195" s="90">
        <f t="shared" ca="1" si="173"/>
        <v>623766.25</v>
      </c>
      <c r="DD195" s="142">
        <f t="shared" ca="1" si="174"/>
        <v>6.3219194690318684E-2</v>
      </c>
      <c r="DE195" s="142">
        <f t="shared" ca="1" si="174"/>
        <v>0.33613072204531746</v>
      </c>
      <c r="DF195" s="142">
        <f t="shared" ca="1" si="174"/>
        <v>0.14896926532976096</v>
      </c>
      <c r="DG195" s="142">
        <f t="shared" ca="1" si="150"/>
        <v>0.45168081793460291</v>
      </c>
      <c r="DI195" s="128">
        <f t="shared" si="175"/>
        <v>19113</v>
      </c>
      <c r="DJ195" s="90">
        <f t="shared" si="176"/>
        <v>103283</v>
      </c>
      <c r="DK195" s="90">
        <f t="shared" si="177"/>
        <v>36618</v>
      </c>
      <c r="DL195" s="90">
        <f t="shared" ca="1" si="178"/>
        <v>46761.5</v>
      </c>
      <c r="DM195" s="90">
        <f t="shared" ca="1" si="179"/>
        <v>205775.5</v>
      </c>
      <c r="DN195" s="142">
        <f t="shared" ca="1" si="180"/>
        <v>9.2882777590140714E-2</v>
      </c>
      <c r="DO195" s="142">
        <f t="shared" ca="1" si="180"/>
        <v>0.50192078260045536</v>
      </c>
      <c r="DP195" s="142">
        <f t="shared" ca="1" si="180"/>
        <v>0.17795121382283119</v>
      </c>
      <c r="DQ195" s="142">
        <f t="shared" ca="1" si="151"/>
        <v>0.22724522598657274</v>
      </c>
      <c r="DS195" s="128">
        <f t="shared" ca="1" si="181"/>
        <v>1199610</v>
      </c>
      <c r="DT195" s="90">
        <f t="shared" ca="1" si="182"/>
        <v>623766.25</v>
      </c>
      <c r="DU195" s="90">
        <f t="shared" ca="1" si="183"/>
        <v>205775.5</v>
      </c>
      <c r="DV195" s="90">
        <f t="shared" si="184"/>
        <v>2976</v>
      </c>
      <c r="DW195" s="90">
        <f ca="1">_xlfn.IFNA(INDEX(武器升级消耗!$H:$H,MATCH(玩家节奏2!DS195/玩家节奏2!DS$5,武器升级消耗!M:M,1)),0)</f>
        <v>94</v>
      </c>
      <c r="DX195" s="90">
        <f ca="1">_xlfn.IFNA(INDEX(武器升级消耗!$H:$H,MATCH(玩家节奏2!DT195/玩家节奏2!DT$5,武器升级消耗!N:N,1)),0)</f>
        <v>82</v>
      </c>
      <c r="DY195" s="90">
        <f ca="1">_xlfn.IFNA(INDEX(武器升级消耗!$H:$H,MATCH(玩家节奏2!DU195/玩家节奏2!DU$5,武器升级消耗!O:O,1)),0)</f>
        <v>62</v>
      </c>
      <c r="DZ195" s="90">
        <f>_xlfn.IFNA(INDEX(武器升级消耗!$H:$H,MATCH(玩家节奏2!DV195/玩家节奏2!DV$5,武器升级消耗!P:P,1)),0)</f>
        <v>39</v>
      </c>
      <c r="EA195" s="90">
        <f ca="1">_xlfn.IFNA(INDEX(武器升级消耗!$Q:$Q,MATCH(玩家节奏2!DW195,武器升级消耗!$H:$H,0))*2*EA$4,0)</f>
        <v>11.759999999999987</v>
      </c>
      <c r="EB195" s="90">
        <f ca="1">_xlfn.IFNA(INDEX(武器升级消耗!$Q:$Q,MATCH(玩家节奏2!DX195,武器升级消耗!$H:$H,0))*2*EB$4,0)</f>
        <v>12.899999999999986</v>
      </c>
      <c r="EC195" s="90">
        <f ca="1">_xlfn.IFNA(INDEX(武器升级消耗!$Q:$Q,MATCH(玩家节奏2!DY195,武器升级消耗!$H:$H,0))*2*EC$4,0)</f>
        <v>14.52</v>
      </c>
      <c r="ED195" s="90">
        <f>_xlfn.IFNA(INDEX(武器升级消耗!$Q:$Q,MATCH(玩家节奏2!DZ195,武器升级消耗!$H:$H,0))*2*ED$4,0)</f>
        <v>12.899999999999999</v>
      </c>
    </row>
    <row r="196" spans="1:134" x14ac:dyDescent="0.25">
      <c r="A196" s="123">
        <v>190</v>
      </c>
      <c r="B196" s="123">
        <f>INDEX(关卡对比!$Y:$Y,MATCH(关卡对比!Z196,关卡对比!$AA:$AA,1))</f>
        <v>108</v>
      </c>
      <c r="C196" s="124">
        <f>INDEX(关卡对比!$Y:$Y,MATCH(关卡对比!Z196,关卡对比!$AB:$AB,1))</f>
        <v>81</v>
      </c>
      <c r="D196" s="125">
        <f t="shared" si="189"/>
        <v>727.5</v>
      </c>
      <c r="E196" s="125">
        <v>2</v>
      </c>
      <c r="F196" s="128">
        <v>16</v>
      </c>
      <c r="G196" s="90">
        <v>16</v>
      </c>
      <c r="H196" s="90">
        <v>5</v>
      </c>
      <c r="J196" s="128">
        <v>190</v>
      </c>
      <c r="K196" s="90">
        <f t="shared" si="152"/>
        <v>16</v>
      </c>
      <c r="L196" s="90">
        <f t="shared" si="153"/>
        <v>16</v>
      </c>
      <c r="M196" s="90">
        <f t="shared" si="154"/>
        <v>5</v>
      </c>
      <c r="N196" s="140">
        <f>INDEX($A:$A,MATCH(SUM($K$7:K196),$D:$D,1))</f>
        <v>200</v>
      </c>
      <c r="O196" s="140">
        <v>0</v>
      </c>
      <c r="P196" s="141">
        <v>0</v>
      </c>
      <c r="Q196" s="126">
        <f>_xlfn.MAXIFS(关卡产出!X:X,关卡产出!$A:$A,玩家节奏2!$N$6,关卡产出!$B:$B,玩家节奏2!$N196)+_xlfn.MAXIFS(关卡产出!X:X,关卡产出!$A:$A,玩家节奏2!$O$6,关卡产出!$B:$B,玩家节奏2!$O196)+_xlfn.MAXIFS(关卡产出!X:X,关卡产出!$A:$A,玩家节奏2!$P$6,关卡产出!$B:$B,玩家节奏2!$P196)</f>
        <v>38500</v>
      </c>
      <c r="R196" s="90">
        <f>_xlfn.MAXIFS(关卡产出!Y:Y,关卡产出!$A:$A,玩家节奏2!$N$6,关卡产出!$B:$B,玩家节奏2!$N196)+_xlfn.MAXIFS(关卡产出!Y:Y,关卡产出!$A:$A,玩家节奏2!$O$6,关卡产出!$B:$B,玩家节奏2!$O196)+_xlfn.MAXIFS(关卡产出!Y:Y,关卡产出!$A:$A,玩家节奏2!$P$6,关卡产出!$B:$B,玩家节奏2!$P196)</f>
        <v>11610000</v>
      </c>
      <c r="S196" s="90">
        <f>_xlfn.MAXIFS(关卡产出!Z:Z,关卡产出!$A:$A,玩家节奏2!$N$6,关卡产出!$B:$B,玩家节奏2!$N196)+_xlfn.MAXIFS(关卡产出!Z:Z,关卡产出!$A:$A,玩家节奏2!$O$6,关卡产出!$B:$B,玩家节奏2!$O196)+_xlfn.MAXIFS(关卡产出!Z:Z,关卡产出!$A:$A,玩家节奏2!$P$6,关卡产出!$B:$B,玩家节奏2!$P196)</f>
        <v>78866</v>
      </c>
      <c r="T196" s="90">
        <f>_xlfn.MAXIFS(关卡产出!AA:AA,关卡产出!$A:$A,玩家节奏2!$N$6,关卡产出!$B:$B,玩家节奏2!$N196)+_xlfn.MAXIFS(关卡产出!AA:AA,关卡产出!$A:$A,玩家节奏2!$O$6,关卡产出!$B:$B,玩家节奏2!$O196)+_xlfn.MAXIFS(关卡产出!AA:AA,关卡产出!$A:$A,玩家节奏2!$P$6,关卡产出!$B:$B,玩家节奏2!$P196)</f>
        <v>39434</v>
      </c>
      <c r="U196" s="90">
        <f>_xlfn.MAXIFS(关卡产出!AB:AB,关卡产出!$A:$A,玩家节奏2!$N$6,关卡产出!$B:$B,玩家节奏2!$N196)+_xlfn.MAXIFS(关卡产出!AB:AB,关卡产出!$A:$A,玩家节奏2!$O$6,关卡产出!$B:$B,玩家节奏2!$O196)+_xlfn.MAXIFS(关卡产出!AB:AB,关卡产出!$A:$A,玩家节奏2!$P$6,关卡产出!$B:$B,玩家节奏2!$P196)</f>
        <v>19113</v>
      </c>
      <c r="V196" s="130">
        <f>_xlfn.MAXIFS(关卡产出!AC:AC,关卡产出!$A:$A,玩家节奏2!$N$6,关卡产出!$B:$B,玩家节奏2!$N196)+_xlfn.MAXIFS(关卡产出!AC:AC,关卡产出!$A:$A,玩家节奏2!$O$6,关卡产出!$B:$B,玩家节奏2!$O196)+_xlfn.MAXIFS(关卡产出!AC:AC,关卡产出!$A:$A,玩家节奏2!$P$6,关卡产出!$B:$B,玩家节奏2!$P196)</f>
        <v>1200</v>
      </c>
      <c r="W196" s="126">
        <f>INDEX(关卡产出!C$8:C$207,MATCH(玩家节奏2!$N196,关卡产出!$B$8:$B$207,0))*$K196</f>
        <v>2528</v>
      </c>
      <c r="X196" s="126">
        <f>INDEX(关卡产出!D$8:D$207,MATCH(玩家节奏2!$N196,关卡产出!$B$8:$B$207,0))*$K196</f>
        <v>1264</v>
      </c>
      <c r="Y196" s="126">
        <f>INDEX(关卡产出!E$8:E$207,MATCH(玩家节奏2!$N196,关卡产出!$B$8:$B$207,0))*$K196</f>
        <v>624</v>
      </c>
      <c r="Z196" s="144">
        <f>INDEX(关卡产出!F$8:F$207,MATCH(玩家节奏2!$N196,关卡产出!$B$8:$B$207,0))*$K196</f>
        <v>32800</v>
      </c>
      <c r="AA196" s="126">
        <f>SUM(W$7:W196)</f>
        <v>422190</v>
      </c>
      <c r="AB196" s="126">
        <f>SUM(X$7:X196)</f>
        <v>210931</v>
      </c>
      <c r="AC196" s="126">
        <f>SUM(Y$7:Y196)</f>
        <v>103907</v>
      </c>
      <c r="AD196" s="177">
        <f>SUM(Z$7:Z196)</f>
        <v>5505530</v>
      </c>
      <c r="AE196" s="128">
        <f>INDEX(图鉴!AQ:AQ,MATCH($N196,图鉴!$S:$S,0))*34</f>
        <v>714</v>
      </c>
      <c r="AF196" s="90">
        <f>INDEX(图鉴!AR:AR,MATCH($N196,图鉴!$S:$S,0))*34</f>
        <v>510</v>
      </c>
      <c r="AG196" s="90">
        <f>INDEX(图鉴!AS:AS,MATCH($N196,图鉴!$S:$S,0))*34</f>
        <v>204</v>
      </c>
      <c r="AH196" s="129">
        <f ca="1">INDEX(图鉴!AT:AT,MATCH($N196,图鉴!$S:$S,0))*34</f>
        <v>55930</v>
      </c>
      <c r="AI196" s="128">
        <f>SUM($AE$7:AE196)</f>
        <v>133756</v>
      </c>
      <c r="AJ196" s="90">
        <f>SUM(AF$7:AF196)</f>
        <v>93432</v>
      </c>
      <c r="AK196" s="90">
        <f>SUM(AG$7:AG196)</f>
        <v>36822</v>
      </c>
      <c r="AL196" s="130">
        <f ca="1">SUM(AH$7:AH196)</f>
        <v>9797066</v>
      </c>
      <c r="AM196" s="133">
        <f>IF(M196=0,0,INDEX(关卡产出!$AU$11:$AU$15,MATCH(玩家节奏2!N196,关卡产出!$AW$11:$AW$15,1))*M196)</f>
        <v>61000</v>
      </c>
      <c r="AN196" s="126">
        <f>IF(L196=0,0,$L196*关卡产出!AU$21)</f>
        <v>16000</v>
      </c>
      <c r="AO196" s="90">
        <f>IF(M196=0,0,$L196*关卡产出!AV$21)</f>
        <v>800</v>
      </c>
      <c r="AP196" s="129">
        <f>IF(N196=0,0,$L196*关卡产出!AW$21)</f>
        <v>16</v>
      </c>
      <c r="AQ196" s="138">
        <f>SUM(AN$7:AN196)</f>
        <v>2992000</v>
      </c>
      <c r="AR196" s="126">
        <f>SUM(AO$7:AO196)</f>
        <v>149600</v>
      </c>
      <c r="AS196" s="129">
        <f>SUM(AP$7:AP196)</f>
        <v>2992</v>
      </c>
      <c r="AT196" s="128">
        <v>3000</v>
      </c>
      <c r="AU196" s="129">
        <v>600</v>
      </c>
      <c r="AV196" s="128">
        <f>SUM(AT$7:AT196)</f>
        <v>570000</v>
      </c>
      <c r="AW196" s="90">
        <f>SUM(AU$7:AU196)</f>
        <v>114000</v>
      </c>
      <c r="AY196" s="128">
        <f t="shared" si="155"/>
        <v>38500</v>
      </c>
      <c r="AZ196" s="90">
        <f t="shared" si="156"/>
        <v>149600</v>
      </c>
      <c r="BA196" s="90">
        <f t="shared" si="157"/>
        <v>114000</v>
      </c>
      <c r="BB196" s="90">
        <f t="shared" ca="1" si="185"/>
        <v>40800</v>
      </c>
      <c r="BC196" s="90">
        <f t="shared" ca="1" si="187"/>
        <v>173625</v>
      </c>
      <c r="BD196" s="90">
        <f t="shared" ca="1" si="188"/>
        <v>169275</v>
      </c>
      <c r="BE196" s="90">
        <f t="shared" ca="1" si="158"/>
        <v>342900</v>
      </c>
      <c r="BF196" s="142">
        <f t="shared" ca="1" si="192"/>
        <v>0.22174226061915048</v>
      </c>
      <c r="BG196" s="142">
        <f t="shared" ca="1" si="193"/>
        <v>0.86162706983441328</v>
      </c>
      <c r="BH196" s="142">
        <f t="shared" ca="1" si="194"/>
        <v>0.6565874730021598</v>
      </c>
      <c r="BI196" s="142">
        <f t="shared" ca="1" si="197"/>
        <v>0.23498920086393088</v>
      </c>
      <c r="BJ196" s="143"/>
      <c r="BK196" s="128">
        <f ca="1">INDEX(商城宝箱!$L:$L,MATCH(BC196,商城宝箱!$N:$N,1))</f>
        <v>13</v>
      </c>
      <c r="BL196" s="90">
        <f ca="1">_xlfn.IFNA(INDEX(商城宝箱!T:T,MATCH(玩家节奏2!$BK196,商城宝箱!$L:$L,0)),0)+($BC196-INDEX(商城宝箱!$N:$N,MATCH(玩家节奏2!$BK196,商城宝箱!$L:$L,0)))/$BK$5*INDEX(商城宝箱!E$23:E$42,MATCH(玩家节奏2!$BK196+1,商城宝箱!$C$23:$C$42,0))</f>
        <v>434062.5</v>
      </c>
      <c r="BM196" s="90">
        <f ca="1">_xlfn.IFNA(INDEX(商城宝箱!U:U,MATCH(玩家节奏2!$BK196,商城宝箱!$L:$L,0)),0)+($BC196-INDEX(商城宝箱!$N:$N,MATCH(玩家节奏2!$BK196,商城宝箱!$L:$L,0)))/$BK$5*INDEX(商城宝箱!F$23:F$42,MATCH(玩家节奏2!$BK196+1,商城宝箱!$C$23:$C$42,0))</f>
        <v>571330</v>
      </c>
      <c r="BN196" s="90">
        <f ca="1">_xlfn.IFNA(INDEX(商城宝箱!V:V,MATCH(玩家节奏2!$BK196,商城宝箱!$L:$L,0)),0)+($BC196-INDEX(商城宝箱!$N:$N,MATCH(玩家节奏2!$BK196,商城宝箱!$L:$L,0)))/$BK$5*INDEX(商城宝箱!G$23:G$42,MATCH(玩家节奏2!$BK196+1,商城宝箱!$C$23:$C$42,0))</f>
        <v>283318.25</v>
      </c>
      <c r="BO196" s="90">
        <f ca="1">_xlfn.IFNA(INDEX(商城宝箱!W:W,MATCH(玩家节奏2!$BK196,商城宝箱!$L:$L,0)),0)+($BC196-INDEX(商城宝箱!$N:$N,MATCH(玩家节奏2!$BK196,商城宝箱!$L:$L,0)))/$BK$5*INDEX(商城宝箱!H$23:H$42,MATCH(玩家节奏2!$BK196+1,商城宝箱!$C$23:$C$42,0))</f>
        <v>47041.5</v>
      </c>
      <c r="BQ196" s="128">
        <f t="shared" si="143"/>
        <v>11610000</v>
      </c>
      <c r="BR196" s="90">
        <f t="shared" si="144"/>
        <v>5505530</v>
      </c>
      <c r="BS196" s="90">
        <f t="shared" ca="1" si="195"/>
        <v>9797066</v>
      </c>
      <c r="BT196" s="90">
        <f t="shared" si="196"/>
        <v>61000</v>
      </c>
      <c r="BU196" s="90">
        <f t="shared" si="147"/>
        <v>2992000</v>
      </c>
      <c r="BV196" s="90">
        <f t="shared" si="148"/>
        <v>570000</v>
      </c>
      <c r="BW196" s="90">
        <f t="shared" ca="1" si="160"/>
        <v>434062.5</v>
      </c>
      <c r="BX196" s="90">
        <f t="shared" ca="1" si="161"/>
        <v>30969658.5</v>
      </c>
      <c r="BY196" s="142">
        <f t="shared" ca="1" si="191"/>
        <v>0.3748830488395602</v>
      </c>
      <c r="BZ196" s="142">
        <f t="shared" ca="1" si="191"/>
        <v>0.17777173745716313</v>
      </c>
      <c r="CA196" s="142">
        <f t="shared" ca="1" si="191"/>
        <v>0.31634401134904344</v>
      </c>
      <c r="CB196" s="142">
        <f t="shared" ca="1" si="190"/>
        <v>1.9696697656514358E-3</v>
      </c>
      <c r="CC196" s="142">
        <f t="shared" ca="1" si="190"/>
        <v>9.661068752178846E-2</v>
      </c>
      <c r="CD196" s="142">
        <f t="shared" ca="1" si="190"/>
        <v>1.8405110924939648E-2</v>
      </c>
      <c r="CE196" s="142">
        <f t="shared" ca="1" si="190"/>
        <v>1.4015734141853711E-2</v>
      </c>
      <c r="CG196" s="128">
        <f t="shared" si="162"/>
        <v>200</v>
      </c>
      <c r="CH196" s="90">
        <f ca="1">INDEX(角色升级!$A:$A,MATCH(玩家节奏2!$BX196,角色升级!$J:$J,1))</f>
        <v>1047</v>
      </c>
      <c r="CI196" s="90">
        <f ca="1">INDEX(角色升级!$O:$O,MATCH(玩家节奏2!$BX196,角色升级!$J:$J,1))</f>
        <v>99294.156750000009</v>
      </c>
      <c r="CJ196" s="90">
        <f>INDEX(关卡对比!$J:$J,MATCH(玩家节奏2!N196,关卡对比!$A:$A,0))</f>
        <v>86200</v>
      </c>
      <c r="CK196" s="147">
        <f t="shared" ca="1" si="163"/>
        <v>0.8681276202086281</v>
      </c>
      <c r="CL196" s="128">
        <f ca="1">INDEX(角色升级!$P:$P,MATCH(玩家节奏2!$CH196,角色升级!$A:$A,0))</f>
        <v>40800</v>
      </c>
      <c r="CM196" s="90">
        <f ca="1">INDEX(角色升级!Q:Q,MATCH(玩家节奏2!$CH196,角色升级!$A:$A,0))</f>
        <v>2.2000000000000002</v>
      </c>
      <c r="CO196" s="128">
        <f t="shared" si="164"/>
        <v>78866</v>
      </c>
      <c r="CP196" s="90">
        <f t="shared" si="165"/>
        <v>422190</v>
      </c>
      <c r="CQ196" s="90">
        <f t="shared" si="166"/>
        <v>133756</v>
      </c>
      <c r="CR196" s="90">
        <f t="shared" ca="1" si="167"/>
        <v>571330</v>
      </c>
      <c r="CS196" s="90">
        <f t="shared" ca="1" si="168"/>
        <v>1206142</v>
      </c>
      <c r="CT196" s="142">
        <f t="shared" ca="1" si="169"/>
        <v>6.5386994234509707E-2</v>
      </c>
      <c r="CU196" s="142">
        <f t="shared" ca="1" si="169"/>
        <v>0.3500334123179526</v>
      </c>
      <c r="CV196" s="142">
        <f t="shared" ca="1" si="169"/>
        <v>0.11089573201165369</v>
      </c>
      <c r="CW196" s="142">
        <f t="shared" ca="1" si="149"/>
        <v>0.47368386143588398</v>
      </c>
      <c r="CY196" s="128">
        <f t="shared" si="170"/>
        <v>39434</v>
      </c>
      <c r="CZ196" s="90">
        <f t="shared" si="171"/>
        <v>210931</v>
      </c>
      <c r="DA196" s="90">
        <f t="shared" si="172"/>
        <v>93432</v>
      </c>
      <c r="DB196" s="90">
        <f t="shared" ca="1" si="186"/>
        <v>283318.25</v>
      </c>
      <c r="DC196" s="90">
        <f t="shared" ca="1" si="173"/>
        <v>627115.25</v>
      </c>
      <c r="DD196" s="142">
        <f t="shared" ca="1" si="174"/>
        <v>6.2881583568570529E-2</v>
      </c>
      <c r="DE196" s="142">
        <f t="shared" ca="1" si="174"/>
        <v>0.33635125281995615</v>
      </c>
      <c r="DF196" s="142">
        <f t="shared" ca="1" si="174"/>
        <v>0.14898696850379575</v>
      </c>
      <c r="DG196" s="142">
        <f t="shared" ca="1" si="150"/>
        <v>0.45178019510767758</v>
      </c>
      <c r="DI196" s="128">
        <f t="shared" si="175"/>
        <v>19113</v>
      </c>
      <c r="DJ196" s="90">
        <f t="shared" si="176"/>
        <v>103907</v>
      </c>
      <c r="DK196" s="90">
        <f t="shared" si="177"/>
        <v>36822</v>
      </c>
      <c r="DL196" s="90">
        <f t="shared" ca="1" si="178"/>
        <v>47041.5</v>
      </c>
      <c r="DM196" s="90">
        <f t="shared" ca="1" si="179"/>
        <v>206883.5</v>
      </c>
      <c r="DN196" s="142">
        <f t="shared" ca="1" si="180"/>
        <v>9.2385327974439727E-2</v>
      </c>
      <c r="DO196" s="142">
        <f t="shared" ca="1" si="180"/>
        <v>0.50224885019830001</v>
      </c>
      <c r="DP196" s="142">
        <f t="shared" ca="1" si="180"/>
        <v>0.17798422783837281</v>
      </c>
      <c r="DQ196" s="142">
        <f t="shared" ca="1" si="151"/>
        <v>0.22738159398888746</v>
      </c>
      <c r="DS196" s="128">
        <f t="shared" ca="1" si="181"/>
        <v>1206142</v>
      </c>
      <c r="DT196" s="90">
        <f t="shared" ca="1" si="182"/>
        <v>627115.25</v>
      </c>
      <c r="DU196" s="90">
        <f t="shared" ca="1" si="183"/>
        <v>206883.5</v>
      </c>
      <c r="DV196" s="90">
        <f t="shared" si="184"/>
        <v>2992</v>
      </c>
      <c r="DW196" s="90">
        <f ca="1">_xlfn.IFNA(INDEX(武器升级消耗!$H:$H,MATCH(玩家节奏2!DS196/玩家节奏2!DS$5,武器升级消耗!M:M,1)),0)</f>
        <v>94</v>
      </c>
      <c r="DX196" s="90">
        <f ca="1">_xlfn.IFNA(INDEX(武器升级消耗!$H:$H,MATCH(玩家节奏2!DT196/玩家节奏2!DT$5,武器升级消耗!N:N,1)),0)</f>
        <v>83</v>
      </c>
      <c r="DY196" s="90">
        <f ca="1">_xlfn.IFNA(INDEX(武器升级消耗!$H:$H,MATCH(玩家节奏2!DU196/玩家节奏2!DU$5,武器升级消耗!O:O,1)),0)</f>
        <v>62</v>
      </c>
      <c r="DZ196" s="90">
        <f>_xlfn.IFNA(INDEX(武器升级消耗!$H:$H,MATCH(玩家节奏2!DV196/玩家节奏2!DV$5,武器升级消耗!P:P,1)),0)</f>
        <v>39</v>
      </c>
      <c r="EA196" s="90">
        <f ca="1">_xlfn.IFNA(INDEX(武器升级消耗!$Q:$Q,MATCH(玩家节奏2!DW196,武器升级消耗!$H:$H,0))*2*EA$4,0)</f>
        <v>11.759999999999987</v>
      </c>
      <c r="EB196" s="90">
        <f ca="1">_xlfn.IFNA(INDEX(武器升级消耗!$Q:$Q,MATCH(玩家节奏2!DX196,武器升级消耗!$H:$H,0))*2*EB$4,0)</f>
        <v>13.049999999999986</v>
      </c>
      <c r="EC196" s="90">
        <f ca="1">_xlfn.IFNA(INDEX(武器升级消耗!$Q:$Q,MATCH(玩家节奏2!DY196,武器升级消耗!$H:$H,0))*2*EC$4,0)</f>
        <v>14.52</v>
      </c>
      <c r="ED196" s="90">
        <f>_xlfn.IFNA(INDEX(武器升级消耗!$Q:$Q,MATCH(玩家节奏2!DZ196,武器升级消耗!$H:$H,0))*2*ED$4,0)</f>
        <v>12.899999999999999</v>
      </c>
    </row>
    <row r="197" spans="1:134" x14ac:dyDescent="0.25">
      <c r="A197" s="123">
        <v>191</v>
      </c>
      <c r="B197" s="123">
        <f>INDEX(关卡对比!$Y:$Y,MATCH(关卡对比!Z197,关卡对比!$AA:$AA,1))</f>
        <v>109</v>
      </c>
      <c r="C197" s="124">
        <f>INDEX(关卡对比!$Y:$Y,MATCH(关卡对比!Z197,关卡对比!$AB:$AB,1))</f>
        <v>82</v>
      </c>
      <c r="D197" s="125">
        <f t="shared" si="189"/>
        <v>733.5</v>
      </c>
      <c r="E197" s="125">
        <v>2</v>
      </c>
      <c r="F197" s="128">
        <v>16</v>
      </c>
      <c r="G197" s="90">
        <v>16</v>
      </c>
      <c r="H197" s="90">
        <v>5</v>
      </c>
      <c r="J197" s="128">
        <v>191</v>
      </c>
      <c r="K197" s="90">
        <f t="shared" si="152"/>
        <v>16</v>
      </c>
      <c r="L197" s="90">
        <f t="shared" si="153"/>
        <v>16</v>
      </c>
      <c r="M197" s="90">
        <f t="shared" si="154"/>
        <v>5</v>
      </c>
      <c r="N197" s="140">
        <f>INDEX($A:$A,MATCH(SUM($K$7:K197),$D:$D,1))</f>
        <v>200</v>
      </c>
      <c r="O197" s="140">
        <v>0</v>
      </c>
      <c r="P197" s="141">
        <v>0</v>
      </c>
      <c r="Q197" s="126">
        <f>_xlfn.MAXIFS(关卡产出!X:X,关卡产出!$A:$A,玩家节奏2!$N$6,关卡产出!$B:$B,玩家节奏2!$N197)+_xlfn.MAXIFS(关卡产出!X:X,关卡产出!$A:$A,玩家节奏2!$O$6,关卡产出!$B:$B,玩家节奏2!$O197)+_xlfn.MAXIFS(关卡产出!X:X,关卡产出!$A:$A,玩家节奏2!$P$6,关卡产出!$B:$B,玩家节奏2!$P197)</f>
        <v>38500</v>
      </c>
      <c r="R197" s="90">
        <f>_xlfn.MAXIFS(关卡产出!Y:Y,关卡产出!$A:$A,玩家节奏2!$N$6,关卡产出!$B:$B,玩家节奏2!$N197)+_xlfn.MAXIFS(关卡产出!Y:Y,关卡产出!$A:$A,玩家节奏2!$O$6,关卡产出!$B:$B,玩家节奏2!$O197)+_xlfn.MAXIFS(关卡产出!Y:Y,关卡产出!$A:$A,玩家节奏2!$P$6,关卡产出!$B:$B,玩家节奏2!$P197)</f>
        <v>11610000</v>
      </c>
      <c r="S197" s="90">
        <f>_xlfn.MAXIFS(关卡产出!Z:Z,关卡产出!$A:$A,玩家节奏2!$N$6,关卡产出!$B:$B,玩家节奏2!$N197)+_xlfn.MAXIFS(关卡产出!Z:Z,关卡产出!$A:$A,玩家节奏2!$O$6,关卡产出!$B:$B,玩家节奏2!$O197)+_xlfn.MAXIFS(关卡产出!Z:Z,关卡产出!$A:$A,玩家节奏2!$P$6,关卡产出!$B:$B,玩家节奏2!$P197)</f>
        <v>78866</v>
      </c>
      <c r="T197" s="90">
        <f>_xlfn.MAXIFS(关卡产出!AA:AA,关卡产出!$A:$A,玩家节奏2!$N$6,关卡产出!$B:$B,玩家节奏2!$N197)+_xlfn.MAXIFS(关卡产出!AA:AA,关卡产出!$A:$A,玩家节奏2!$O$6,关卡产出!$B:$B,玩家节奏2!$O197)+_xlfn.MAXIFS(关卡产出!AA:AA,关卡产出!$A:$A,玩家节奏2!$P$6,关卡产出!$B:$B,玩家节奏2!$P197)</f>
        <v>39434</v>
      </c>
      <c r="U197" s="90">
        <f>_xlfn.MAXIFS(关卡产出!AB:AB,关卡产出!$A:$A,玩家节奏2!$N$6,关卡产出!$B:$B,玩家节奏2!$N197)+_xlfn.MAXIFS(关卡产出!AB:AB,关卡产出!$A:$A,玩家节奏2!$O$6,关卡产出!$B:$B,玩家节奏2!$O197)+_xlfn.MAXIFS(关卡产出!AB:AB,关卡产出!$A:$A,玩家节奏2!$P$6,关卡产出!$B:$B,玩家节奏2!$P197)</f>
        <v>19113</v>
      </c>
      <c r="V197" s="130">
        <f>_xlfn.MAXIFS(关卡产出!AC:AC,关卡产出!$A:$A,玩家节奏2!$N$6,关卡产出!$B:$B,玩家节奏2!$N197)+_xlfn.MAXIFS(关卡产出!AC:AC,关卡产出!$A:$A,玩家节奏2!$O$6,关卡产出!$B:$B,玩家节奏2!$O197)+_xlfn.MAXIFS(关卡产出!AC:AC,关卡产出!$A:$A,玩家节奏2!$P$6,关卡产出!$B:$B,玩家节奏2!$P197)</f>
        <v>1200</v>
      </c>
      <c r="W197" s="126">
        <f>INDEX(关卡产出!C$8:C$207,MATCH(玩家节奏2!$N197,关卡产出!$B$8:$B$207,0))*$K197</f>
        <v>2528</v>
      </c>
      <c r="X197" s="126">
        <f>INDEX(关卡产出!D$8:D$207,MATCH(玩家节奏2!$N197,关卡产出!$B$8:$B$207,0))*$K197</f>
        <v>1264</v>
      </c>
      <c r="Y197" s="126">
        <f>INDEX(关卡产出!E$8:E$207,MATCH(玩家节奏2!$N197,关卡产出!$B$8:$B$207,0))*$K197</f>
        <v>624</v>
      </c>
      <c r="Z197" s="144">
        <f>INDEX(关卡产出!F$8:F$207,MATCH(玩家节奏2!$N197,关卡产出!$B$8:$B$207,0))*$K197</f>
        <v>32800</v>
      </c>
      <c r="AA197" s="126">
        <f>SUM(W$7:W197)</f>
        <v>424718</v>
      </c>
      <c r="AB197" s="126">
        <f>SUM(X$7:X197)</f>
        <v>212195</v>
      </c>
      <c r="AC197" s="126">
        <f>SUM(Y$7:Y197)</f>
        <v>104531</v>
      </c>
      <c r="AD197" s="177">
        <f>SUM(Z$7:Z197)</f>
        <v>5538330</v>
      </c>
      <c r="AE197" s="128">
        <f>INDEX(图鉴!AQ:AQ,MATCH($N197,图鉴!$S:$S,0))*34</f>
        <v>714</v>
      </c>
      <c r="AF197" s="90">
        <f>INDEX(图鉴!AR:AR,MATCH($N197,图鉴!$S:$S,0))*34</f>
        <v>510</v>
      </c>
      <c r="AG197" s="90">
        <f>INDEX(图鉴!AS:AS,MATCH($N197,图鉴!$S:$S,0))*34</f>
        <v>204</v>
      </c>
      <c r="AH197" s="129">
        <f ca="1">INDEX(图鉴!AT:AT,MATCH($N197,图鉴!$S:$S,0))*34</f>
        <v>55930</v>
      </c>
      <c r="AI197" s="128">
        <f>SUM($AE$7:AE197)</f>
        <v>134470</v>
      </c>
      <c r="AJ197" s="90">
        <f>SUM(AF$7:AF197)</f>
        <v>93942</v>
      </c>
      <c r="AK197" s="90">
        <f>SUM(AG$7:AG197)</f>
        <v>37026</v>
      </c>
      <c r="AL197" s="130">
        <f ca="1">SUM(AH$7:AH197)</f>
        <v>9852996</v>
      </c>
      <c r="AM197" s="133">
        <f>IF(M197=0,0,INDEX(关卡产出!$AU$11:$AU$15,MATCH(玩家节奏2!N197,关卡产出!$AW$11:$AW$15,1))*M197)</f>
        <v>61000</v>
      </c>
      <c r="AN197" s="126">
        <f>IF(L197=0,0,$L197*关卡产出!AU$21)</f>
        <v>16000</v>
      </c>
      <c r="AO197" s="90">
        <f>IF(M197=0,0,$L197*关卡产出!AV$21)</f>
        <v>800</v>
      </c>
      <c r="AP197" s="129">
        <f>IF(N197=0,0,$L197*关卡产出!AW$21)</f>
        <v>16</v>
      </c>
      <c r="AQ197" s="138">
        <f>SUM(AN$7:AN197)</f>
        <v>3008000</v>
      </c>
      <c r="AR197" s="126">
        <f>SUM(AO$7:AO197)</f>
        <v>150400</v>
      </c>
      <c r="AS197" s="129">
        <f>SUM(AP$7:AP197)</f>
        <v>3008</v>
      </c>
      <c r="AT197" s="128">
        <v>3000</v>
      </c>
      <c r="AU197" s="129">
        <v>600</v>
      </c>
      <c r="AV197" s="128">
        <f>SUM(AT$7:AT197)</f>
        <v>573000</v>
      </c>
      <c r="AW197" s="90">
        <f>SUM(AU$7:AU197)</f>
        <v>114600</v>
      </c>
      <c r="AY197" s="128">
        <f t="shared" si="155"/>
        <v>38500</v>
      </c>
      <c r="AZ197" s="90">
        <f t="shared" si="156"/>
        <v>150400</v>
      </c>
      <c r="BA197" s="90">
        <f t="shared" si="157"/>
        <v>114600</v>
      </c>
      <c r="BB197" s="90">
        <f t="shared" ca="1" si="185"/>
        <v>40800</v>
      </c>
      <c r="BC197" s="90">
        <f t="shared" ca="1" si="187"/>
        <v>174325</v>
      </c>
      <c r="BD197" s="90">
        <f t="shared" ca="1" si="188"/>
        <v>169975</v>
      </c>
      <c r="BE197" s="90">
        <f t="shared" ca="1" si="158"/>
        <v>344300</v>
      </c>
      <c r="BF197" s="142">
        <f t="shared" ca="1" si="192"/>
        <v>0.22085185716334432</v>
      </c>
      <c r="BG197" s="142">
        <f t="shared" ca="1" si="193"/>
        <v>0.86275634590563599</v>
      </c>
      <c r="BH197" s="142">
        <f t="shared" ca="1" si="194"/>
        <v>0.6573928008030977</v>
      </c>
      <c r="BI197" s="142">
        <f t="shared" ca="1" si="197"/>
        <v>0.23404560447440126</v>
      </c>
      <c r="BJ197" s="143"/>
      <c r="BK197" s="128">
        <f ca="1">INDEX(商城宝箱!$L:$L,MATCH(BC197,商城宝箱!$N:$N,1))</f>
        <v>14</v>
      </c>
      <c r="BL197" s="90">
        <f ca="1">_xlfn.IFNA(INDEX(商城宝箱!T:T,MATCH(玩家节奏2!$BK197,商城宝箱!$L:$L,0)),0)+($BC197-INDEX(商城宝箱!$N:$N,MATCH(玩家节奏2!$BK197,商城宝箱!$L:$L,0)))/$BK$5*INDEX(商城宝箱!E$23:E$42,MATCH(玩家节奏2!$BK197+1,商城宝箱!$C$23:$C$42,0))</f>
        <v>435812.5</v>
      </c>
      <c r="BM197" s="90">
        <f ca="1">_xlfn.IFNA(INDEX(商城宝箱!U:U,MATCH(玩家节奏2!$BK197,商城宝箱!$L:$L,0)),0)+($BC197-INDEX(商城宝箱!$N:$N,MATCH(玩家节奏2!$BK197,商城宝箱!$L:$L,0)))/$BK$5*INDEX(商城宝箱!F$23:F$42,MATCH(玩家节奏2!$BK197+1,商城宝箱!$C$23:$C$42,0))</f>
        <v>574732.5</v>
      </c>
      <c r="BN197" s="90">
        <f ca="1">_xlfn.IFNA(INDEX(商城宝箱!V:V,MATCH(玩家节奏2!$BK197,商城宝箱!$L:$L,0)),0)+($BC197-INDEX(商城宝箱!$N:$N,MATCH(玩家节奏2!$BK197,商城宝箱!$L:$L,0)))/$BK$5*INDEX(商城宝箱!G$23:G$42,MATCH(玩家节奏2!$BK197+1,商城宝箱!$C$23:$C$42,0))</f>
        <v>284949.5</v>
      </c>
      <c r="BO197" s="90">
        <f ca="1">_xlfn.IFNA(INDEX(商城宝箱!W:W,MATCH(玩家节奏2!$BK197,商城宝箱!$L:$L,0)),0)+($BC197-INDEX(商城宝箱!$N:$N,MATCH(玩家节奏2!$BK197,商城宝箱!$L:$L,0)))/$BK$5*INDEX(商城宝箱!H$23:H$42,MATCH(玩家节奏2!$BK197+1,商城宝箱!$C$23:$C$42,0))</f>
        <v>47332.75</v>
      </c>
      <c r="BQ197" s="128">
        <f t="shared" si="143"/>
        <v>11610000</v>
      </c>
      <c r="BR197" s="90">
        <f t="shared" si="144"/>
        <v>5538330</v>
      </c>
      <c r="BS197" s="90">
        <f t="shared" ca="1" si="195"/>
        <v>9852996</v>
      </c>
      <c r="BT197" s="90">
        <f t="shared" si="196"/>
        <v>61000</v>
      </c>
      <c r="BU197" s="90">
        <f t="shared" si="147"/>
        <v>3008000</v>
      </c>
      <c r="BV197" s="90">
        <f t="shared" si="148"/>
        <v>573000</v>
      </c>
      <c r="BW197" s="90">
        <f t="shared" ca="1" si="160"/>
        <v>435812.5</v>
      </c>
      <c r="BX197" s="90">
        <f t="shared" ca="1" si="161"/>
        <v>31079138.5</v>
      </c>
      <c r="BY197" s="142">
        <f t="shared" ca="1" si="191"/>
        <v>0.37356247825209182</v>
      </c>
      <c r="BZ197" s="142">
        <f t="shared" ca="1" si="191"/>
        <v>0.17820088545890678</v>
      </c>
      <c r="CA197" s="142">
        <f t="shared" ca="1" si="191"/>
        <v>0.31702925098776469</v>
      </c>
      <c r="CB197" s="142">
        <f t="shared" ca="1" si="190"/>
        <v>1.9627313672159865E-3</v>
      </c>
      <c r="CC197" s="142">
        <f t="shared" ca="1" si="190"/>
        <v>9.6785179550585035E-2</v>
      </c>
      <c r="CD197" s="142">
        <f t="shared" ca="1" si="190"/>
        <v>1.8436804482209183E-2</v>
      </c>
      <c r="CE197" s="142">
        <f t="shared" ca="1" si="190"/>
        <v>1.402266990122651E-2</v>
      </c>
      <c r="CG197" s="128">
        <f t="shared" si="162"/>
        <v>200</v>
      </c>
      <c r="CH197" s="90">
        <f ca="1">INDEX(角色升级!$A:$A,MATCH(玩家节奏2!$BX197,角色升级!$J:$J,1))</f>
        <v>1047</v>
      </c>
      <c r="CI197" s="90">
        <f ca="1">INDEX(角色升级!$O:$O,MATCH(玩家节奏2!$BX197,角色升级!$J:$J,1))</f>
        <v>99294.156750000009</v>
      </c>
      <c r="CJ197" s="90">
        <f>INDEX(关卡对比!$J:$J,MATCH(玩家节奏2!N197,关卡对比!$A:$A,0))</f>
        <v>86200</v>
      </c>
      <c r="CK197" s="147">
        <f t="shared" ca="1" si="163"/>
        <v>0.8681276202086281</v>
      </c>
      <c r="CL197" s="128">
        <f ca="1">INDEX(角色升级!$P:$P,MATCH(玩家节奏2!$CH197,角色升级!$A:$A,0))</f>
        <v>40800</v>
      </c>
      <c r="CM197" s="90">
        <f ca="1">INDEX(角色升级!Q:Q,MATCH(玩家节奏2!$CH197,角色升级!$A:$A,0))</f>
        <v>2.2000000000000002</v>
      </c>
      <c r="CO197" s="128">
        <f t="shared" si="164"/>
        <v>78866</v>
      </c>
      <c r="CP197" s="90">
        <f t="shared" si="165"/>
        <v>424718</v>
      </c>
      <c r="CQ197" s="90">
        <f t="shared" si="166"/>
        <v>134470</v>
      </c>
      <c r="CR197" s="90">
        <f t="shared" ca="1" si="167"/>
        <v>574732.5</v>
      </c>
      <c r="CS197" s="90">
        <f t="shared" ca="1" si="168"/>
        <v>1212786.5</v>
      </c>
      <c r="CT197" s="142">
        <f t="shared" ca="1" si="169"/>
        <v>6.5028758153228131E-2</v>
      </c>
      <c r="CU197" s="142">
        <f t="shared" ca="1" si="169"/>
        <v>0.35020013827660518</v>
      </c>
      <c r="CV197" s="142">
        <f t="shared" ca="1" si="169"/>
        <v>0.11087689383085976</v>
      </c>
      <c r="CW197" s="142">
        <f t="shared" ca="1" si="149"/>
        <v>0.47389420973930696</v>
      </c>
      <c r="CY197" s="128">
        <f t="shared" si="170"/>
        <v>39434</v>
      </c>
      <c r="CZ197" s="90">
        <f t="shared" si="171"/>
        <v>212195</v>
      </c>
      <c r="DA197" s="90">
        <f t="shared" si="172"/>
        <v>93942</v>
      </c>
      <c r="DB197" s="90">
        <f t="shared" ca="1" si="186"/>
        <v>284949.5</v>
      </c>
      <c r="DC197" s="90">
        <f t="shared" ca="1" si="173"/>
        <v>630520.5</v>
      </c>
      <c r="DD197" s="142">
        <f t="shared" ca="1" si="174"/>
        <v>6.2541979206068632E-2</v>
      </c>
      <c r="DE197" s="142">
        <f t="shared" ca="1" si="174"/>
        <v>0.33653941465820697</v>
      </c>
      <c r="DF197" s="142">
        <f t="shared" ca="1" si="174"/>
        <v>0.14899119061156615</v>
      </c>
      <c r="DG197" s="142">
        <f t="shared" ca="1" si="150"/>
        <v>0.45192741552415822</v>
      </c>
      <c r="DI197" s="128">
        <f t="shared" si="175"/>
        <v>19113</v>
      </c>
      <c r="DJ197" s="90">
        <f t="shared" si="176"/>
        <v>104531</v>
      </c>
      <c r="DK197" s="90">
        <f t="shared" si="177"/>
        <v>37026</v>
      </c>
      <c r="DL197" s="90">
        <f t="shared" ca="1" si="178"/>
        <v>47332.75</v>
      </c>
      <c r="DM197" s="90">
        <f t="shared" ca="1" si="179"/>
        <v>208002.75</v>
      </c>
      <c r="DN197" s="142">
        <f t="shared" ca="1" si="180"/>
        <v>9.1888208208785696E-2</v>
      </c>
      <c r="DO197" s="142">
        <f t="shared" ca="1" si="180"/>
        <v>0.50254624037422579</v>
      </c>
      <c r="DP197" s="142">
        <f t="shared" ca="1" si="180"/>
        <v>0.17800726192321978</v>
      </c>
      <c r="DQ197" s="142">
        <f t="shared" ca="1" si="151"/>
        <v>0.22755828949376872</v>
      </c>
      <c r="DS197" s="128">
        <f t="shared" ca="1" si="181"/>
        <v>1212786.5</v>
      </c>
      <c r="DT197" s="90">
        <f t="shared" ca="1" si="182"/>
        <v>630520.5</v>
      </c>
      <c r="DU197" s="90">
        <f t="shared" ca="1" si="183"/>
        <v>208002.75</v>
      </c>
      <c r="DV197" s="90">
        <f t="shared" si="184"/>
        <v>3008</v>
      </c>
      <c r="DW197" s="90">
        <f ca="1">_xlfn.IFNA(INDEX(武器升级消耗!$H:$H,MATCH(玩家节奏2!DS197/玩家节奏2!DS$5,武器升级消耗!M:M,1)),0)</f>
        <v>95</v>
      </c>
      <c r="DX197" s="90">
        <f ca="1">_xlfn.IFNA(INDEX(武器升级消耗!$H:$H,MATCH(玩家节奏2!DT197/玩家节奏2!DT$5,武器升级消耗!N:N,1)),0)</f>
        <v>83</v>
      </c>
      <c r="DY197" s="90">
        <f ca="1">_xlfn.IFNA(INDEX(武器升级消耗!$H:$H,MATCH(玩家节奏2!DU197/玩家节奏2!DU$5,武器升级消耗!O:O,1)),0)</f>
        <v>63</v>
      </c>
      <c r="DZ197" s="90">
        <f>_xlfn.IFNA(INDEX(武器升级消耗!$H:$H,MATCH(玩家节奏2!DV197/玩家节奏2!DV$5,武器升级消耗!P:P,1)),0)</f>
        <v>39</v>
      </c>
      <c r="EA197" s="90">
        <f ca="1">_xlfn.IFNA(INDEX(武器升级消耗!$Q:$Q,MATCH(玩家节奏2!DW197,武器升级消耗!$H:$H,0))*2*EA$4,0)</f>
        <v>11.879999999999987</v>
      </c>
      <c r="EB197" s="90">
        <f ca="1">_xlfn.IFNA(INDEX(武器升级消耗!$Q:$Q,MATCH(玩家节奏2!DX197,武器升级消耗!$H:$H,0))*2*EB$4,0)</f>
        <v>13.049999999999986</v>
      </c>
      <c r="EC197" s="90">
        <f ca="1">_xlfn.IFNA(INDEX(武器升级消耗!$Q:$Q,MATCH(玩家节奏2!DY197,武器升级消耗!$H:$H,0))*2*EC$4,0)</f>
        <v>14.740000000000002</v>
      </c>
      <c r="ED197" s="90">
        <f>_xlfn.IFNA(INDEX(武器升级消耗!$Q:$Q,MATCH(玩家节奏2!DZ197,武器升级消耗!$H:$H,0))*2*ED$4,0)</f>
        <v>12.899999999999999</v>
      </c>
    </row>
    <row r="198" spans="1:134" x14ac:dyDescent="0.25">
      <c r="A198" s="123">
        <v>192</v>
      </c>
      <c r="B198" s="123">
        <f>INDEX(关卡对比!$Y:$Y,MATCH(关卡对比!Z198,关卡对比!$AA:$AA,1))</f>
        <v>109</v>
      </c>
      <c r="C198" s="124">
        <f>INDEX(关卡对比!$Y:$Y,MATCH(关卡对比!Z198,关卡对比!$AB:$AB,1))</f>
        <v>82</v>
      </c>
      <c r="D198" s="125">
        <f t="shared" si="189"/>
        <v>735.5</v>
      </c>
      <c r="E198" s="125">
        <v>2</v>
      </c>
      <c r="F198" s="128">
        <v>16</v>
      </c>
      <c r="G198" s="90">
        <v>16</v>
      </c>
      <c r="H198" s="90">
        <v>5</v>
      </c>
      <c r="J198" s="128">
        <v>192</v>
      </c>
      <c r="K198" s="90">
        <f t="shared" si="152"/>
        <v>16</v>
      </c>
      <c r="L198" s="90">
        <f t="shared" si="153"/>
        <v>16</v>
      </c>
      <c r="M198" s="90">
        <f t="shared" si="154"/>
        <v>5</v>
      </c>
      <c r="N198" s="140">
        <f>INDEX($A:$A,MATCH(SUM($K$7:K198),$D:$D,1))</f>
        <v>200</v>
      </c>
      <c r="O198" s="140">
        <v>0</v>
      </c>
      <c r="P198" s="141">
        <v>0</v>
      </c>
      <c r="Q198" s="126">
        <f>_xlfn.MAXIFS(关卡产出!X:X,关卡产出!$A:$A,玩家节奏2!$N$6,关卡产出!$B:$B,玩家节奏2!$N198)+_xlfn.MAXIFS(关卡产出!X:X,关卡产出!$A:$A,玩家节奏2!$O$6,关卡产出!$B:$B,玩家节奏2!$O198)+_xlfn.MAXIFS(关卡产出!X:X,关卡产出!$A:$A,玩家节奏2!$P$6,关卡产出!$B:$B,玩家节奏2!$P198)</f>
        <v>38500</v>
      </c>
      <c r="R198" s="90">
        <f>_xlfn.MAXIFS(关卡产出!Y:Y,关卡产出!$A:$A,玩家节奏2!$N$6,关卡产出!$B:$B,玩家节奏2!$N198)+_xlfn.MAXIFS(关卡产出!Y:Y,关卡产出!$A:$A,玩家节奏2!$O$6,关卡产出!$B:$B,玩家节奏2!$O198)+_xlfn.MAXIFS(关卡产出!Y:Y,关卡产出!$A:$A,玩家节奏2!$P$6,关卡产出!$B:$B,玩家节奏2!$P198)</f>
        <v>11610000</v>
      </c>
      <c r="S198" s="90">
        <f>_xlfn.MAXIFS(关卡产出!Z:Z,关卡产出!$A:$A,玩家节奏2!$N$6,关卡产出!$B:$B,玩家节奏2!$N198)+_xlfn.MAXIFS(关卡产出!Z:Z,关卡产出!$A:$A,玩家节奏2!$O$6,关卡产出!$B:$B,玩家节奏2!$O198)+_xlfn.MAXIFS(关卡产出!Z:Z,关卡产出!$A:$A,玩家节奏2!$P$6,关卡产出!$B:$B,玩家节奏2!$P198)</f>
        <v>78866</v>
      </c>
      <c r="T198" s="90">
        <f>_xlfn.MAXIFS(关卡产出!AA:AA,关卡产出!$A:$A,玩家节奏2!$N$6,关卡产出!$B:$B,玩家节奏2!$N198)+_xlfn.MAXIFS(关卡产出!AA:AA,关卡产出!$A:$A,玩家节奏2!$O$6,关卡产出!$B:$B,玩家节奏2!$O198)+_xlfn.MAXIFS(关卡产出!AA:AA,关卡产出!$A:$A,玩家节奏2!$P$6,关卡产出!$B:$B,玩家节奏2!$P198)</f>
        <v>39434</v>
      </c>
      <c r="U198" s="90">
        <f>_xlfn.MAXIFS(关卡产出!AB:AB,关卡产出!$A:$A,玩家节奏2!$N$6,关卡产出!$B:$B,玩家节奏2!$N198)+_xlfn.MAXIFS(关卡产出!AB:AB,关卡产出!$A:$A,玩家节奏2!$O$6,关卡产出!$B:$B,玩家节奏2!$O198)+_xlfn.MAXIFS(关卡产出!AB:AB,关卡产出!$A:$A,玩家节奏2!$P$6,关卡产出!$B:$B,玩家节奏2!$P198)</f>
        <v>19113</v>
      </c>
      <c r="V198" s="130">
        <f>_xlfn.MAXIFS(关卡产出!AC:AC,关卡产出!$A:$A,玩家节奏2!$N$6,关卡产出!$B:$B,玩家节奏2!$N198)+_xlfn.MAXIFS(关卡产出!AC:AC,关卡产出!$A:$A,玩家节奏2!$O$6,关卡产出!$B:$B,玩家节奏2!$O198)+_xlfn.MAXIFS(关卡产出!AC:AC,关卡产出!$A:$A,玩家节奏2!$P$6,关卡产出!$B:$B,玩家节奏2!$P198)</f>
        <v>1200</v>
      </c>
      <c r="W198" s="126">
        <f>INDEX(关卡产出!C$8:C$207,MATCH(玩家节奏2!$N198,关卡产出!$B$8:$B$207,0))*$K198</f>
        <v>2528</v>
      </c>
      <c r="X198" s="126">
        <f>INDEX(关卡产出!D$8:D$207,MATCH(玩家节奏2!$N198,关卡产出!$B$8:$B$207,0))*$K198</f>
        <v>1264</v>
      </c>
      <c r="Y198" s="126">
        <f>INDEX(关卡产出!E$8:E$207,MATCH(玩家节奏2!$N198,关卡产出!$B$8:$B$207,0))*$K198</f>
        <v>624</v>
      </c>
      <c r="Z198" s="144">
        <f>INDEX(关卡产出!F$8:F$207,MATCH(玩家节奏2!$N198,关卡产出!$B$8:$B$207,0))*$K198</f>
        <v>32800</v>
      </c>
      <c r="AA198" s="126">
        <f>SUM(W$7:W198)</f>
        <v>427246</v>
      </c>
      <c r="AB198" s="126">
        <f>SUM(X$7:X198)</f>
        <v>213459</v>
      </c>
      <c r="AC198" s="126">
        <f>SUM(Y$7:Y198)</f>
        <v>105155</v>
      </c>
      <c r="AD198" s="177">
        <f>SUM(Z$7:Z198)</f>
        <v>5571130</v>
      </c>
      <c r="AE198" s="128">
        <f>INDEX(图鉴!AQ:AQ,MATCH($N198,图鉴!$S:$S,0))*34</f>
        <v>714</v>
      </c>
      <c r="AF198" s="90">
        <f>INDEX(图鉴!AR:AR,MATCH($N198,图鉴!$S:$S,0))*34</f>
        <v>510</v>
      </c>
      <c r="AG198" s="90">
        <f>INDEX(图鉴!AS:AS,MATCH($N198,图鉴!$S:$S,0))*34</f>
        <v>204</v>
      </c>
      <c r="AH198" s="129">
        <f ca="1">INDEX(图鉴!AT:AT,MATCH($N198,图鉴!$S:$S,0))*34</f>
        <v>55930</v>
      </c>
      <c r="AI198" s="128">
        <f>SUM($AE$7:AE198)</f>
        <v>135184</v>
      </c>
      <c r="AJ198" s="90">
        <f>SUM(AF$7:AF198)</f>
        <v>94452</v>
      </c>
      <c r="AK198" s="90">
        <f>SUM(AG$7:AG198)</f>
        <v>37230</v>
      </c>
      <c r="AL198" s="130">
        <f ca="1">SUM(AH$7:AH198)</f>
        <v>9908926</v>
      </c>
      <c r="AM198" s="133">
        <f>IF(M198=0,0,INDEX(关卡产出!$AU$11:$AU$15,MATCH(玩家节奏2!N198,关卡产出!$AW$11:$AW$15,1))*M198)</f>
        <v>61000</v>
      </c>
      <c r="AN198" s="126">
        <f>IF(L198=0,0,$L198*关卡产出!AU$21)</f>
        <v>16000</v>
      </c>
      <c r="AO198" s="90">
        <f>IF(M198=0,0,$L198*关卡产出!AV$21)</f>
        <v>800</v>
      </c>
      <c r="AP198" s="129">
        <f>IF(N198=0,0,$L198*关卡产出!AW$21)</f>
        <v>16</v>
      </c>
      <c r="AQ198" s="138">
        <f>SUM(AN$7:AN198)</f>
        <v>3024000</v>
      </c>
      <c r="AR198" s="126">
        <f>SUM(AO$7:AO198)</f>
        <v>151200</v>
      </c>
      <c r="AS198" s="129">
        <f>SUM(AP$7:AP198)</f>
        <v>3024</v>
      </c>
      <c r="AT198" s="128">
        <v>3000</v>
      </c>
      <c r="AU198" s="129">
        <v>600</v>
      </c>
      <c r="AV198" s="128">
        <f>SUM(AT$7:AT198)</f>
        <v>576000</v>
      </c>
      <c r="AW198" s="90">
        <f>SUM(AU$7:AU198)</f>
        <v>115200</v>
      </c>
      <c r="AY198" s="128">
        <f t="shared" si="155"/>
        <v>38500</v>
      </c>
      <c r="AZ198" s="90">
        <f t="shared" si="156"/>
        <v>151200</v>
      </c>
      <c r="BA198" s="90">
        <f t="shared" si="157"/>
        <v>115200</v>
      </c>
      <c r="BB198" s="90">
        <f t="shared" ca="1" si="185"/>
        <v>40800</v>
      </c>
      <c r="BC198" s="90">
        <f t="shared" ca="1" si="187"/>
        <v>175025</v>
      </c>
      <c r="BD198" s="90">
        <f t="shared" ca="1" si="188"/>
        <v>170675</v>
      </c>
      <c r="BE198" s="90">
        <f t="shared" ca="1" si="158"/>
        <v>345700</v>
      </c>
      <c r="BF198" s="142">
        <f t="shared" ca="1" si="192"/>
        <v>0.21996857591772603</v>
      </c>
      <c r="BG198" s="142">
        <f t="shared" ca="1" si="193"/>
        <v>0.8638765890587059</v>
      </c>
      <c r="BH198" s="142">
        <f t="shared" ca="1" si="194"/>
        <v>0.65819168690187113</v>
      </c>
      <c r="BI198" s="142">
        <f t="shared" ca="1" si="197"/>
        <v>0.23310955577774603</v>
      </c>
      <c r="BJ198" s="143"/>
      <c r="BK198" s="128">
        <f ca="1">INDEX(商城宝箱!$L:$L,MATCH(BC198,商城宝箱!$N:$N,1))</f>
        <v>14</v>
      </c>
      <c r="BL198" s="90">
        <f ca="1">_xlfn.IFNA(INDEX(商城宝箱!T:T,MATCH(玩家节奏2!$BK198,商城宝箱!$L:$L,0)),0)+($BC198-INDEX(商城宝箱!$N:$N,MATCH(玩家节奏2!$BK198,商城宝箱!$L:$L,0)))/$BK$5*INDEX(商城宝箱!E$23:E$42,MATCH(玩家节奏2!$BK198+1,商城宝箱!$C$23:$C$42,0))</f>
        <v>437562.5</v>
      </c>
      <c r="BM198" s="90">
        <f ca="1">_xlfn.IFNA(INDEX(商城宝箱!U:U,MATCH(玩家节奏2!$BK198,商城宝箱!$L:$L,0)),0)+($BC198-INDEX(商城宝箱!$N:$N,MATCH(玩家节奏2!$BK198,商城宝箱!$L:$L,0)))/$BK$5*INDEX(商城宝箱!F$23:F$42,MATCH(玩家节奏2!$BK198+1,商城宝箱!$C$23:$C$42,0))</f>
        <v>578372.5</v>
      </c>
      <c r="BN198" s="90">
        <f ca="1">_xlfn.IFNA(INDEX(商城宝箱!V:V,MATCH(玩家节奏2!$BK198,商城宝箱!$L:$L,0)),0)+($BC198-INDEX(商城宝箱!$N:$N,MATCH(玩家节奏2!$BK198,商城宝箱!$L:$L,0)))/$BK$5*INDEX(商城宝箱!G$23:G$42,MATCH(玩家节奏2!$BK198+1,商城宝箱!$C$23:$C$42,0))</f>
        <v>286699.5</v>
      </c>
      <c r="BO198" s="90">
        <f ca="1">_xlfn.IFNA(INDEX(商城宝箱!W:W,MATCH(玩家节奏2!$BK198,商城宝箱!$L:$L,0)),0)+($BC198-INDEX(商城宝箱!$N:$N,MATCH(玩家节奏2!$BK198,商城宝箱!$L:$L,0)))/$BK$5*INDEX(商城宝箱!H$23:H$42,MATCH(玩家节奏2!$BK198+1,商城宝箱!$C$23:$C$42,0))</f>
        <v>47647.75</v>
      </c>
      <c r="BQ198" s="128">
        <f t="shared" si="143"/>
        <v>11610000</v>
      </c>
      <c r="BR198" s="90">
        <f t="shared" si="144"/>
        <v>5571130</v>
      </c>
      <c r="BS198" s="90">
        <f t="shared" ca="1" si="195"/>
        <v>9908926</v>
      </c>
      <c r="BT198" s="90">
        <f t="shared" si="196"/>
        <v>61000</v>
      </c>
      <c r="BU198" s="90">
        <f t="shared" si="147"/>
        <v>3024000</v>
      </c>
      <c r="BV198" s="90">
        <f t="shared" si="148"/>
        <v>576000</v>
      </c>
      <c r="BW198" s="90">
        <f t="shared" ca="1" si="160"/>
        <v>437562.5</v>
      </c>
      <c r="BX198" s="90">
        <f t="shared" ca="1" si="161"/>
        <v>31188618.5</v>
      </c>
      <c r="BY198" s="142">
        <f t="shared" ca="1" si="191"/>
        <v>0.372251178743297</v>
      </c>
      <c r="BZ198" s="142">
        <f t="shared" ca="1" si="191"/>
        <v>0.17862702062292371</v>
      </c>
      <c r="CA198" s="142">
        <f t="shared" ca="1" si="191"/>
        <v>0.31770967989492704</v>
      </c>
      <c r="CB198" s="142">
        <f t="shared" ca="1" si="190"/>
        <v>1.9558416798743424E-3</v>
      </c>
      <c r="CC198" s="142">
        <f t="shared" ca="1" si="190"/>
        <v>9.6958446556393643E-2</v>
      </c>
      <c r="CD198" s="142">
        <f t="shared" ca="1" si="190"/>
        <v>1.846827553455117E-2</v>
      </c>
      <c r="CE198" s="142">
        <f t="shared" ca="1" si="190"/>
        <v>1.4029556968033065E-2</v>
      </c>
      <c r="CG198" s="128">
        <f t="shared" si="162"/>
        <v>200</v>
      </c>
      <c r="CH198" s="90">
        <f ca="1">INDEX(角色升级!$A:$A,MATCH(玩家节奏2!$BX198,角色升级!$J:$J,1))</f>
        <v>1047</v>
      </c>
      <c r="CI198" s="90">
        <f ca="1">INDEX(角色升级!$O:$O,MATCH(玩家节奏2!$BX198,角色升级!$J:$J,1))</f>
        <v>99294.156750000009</v>
      </c>
      <c r="CJ198" s="90">
        <f>INDEX(关卡对比!$J:$J,MATCH(玩家节奏2!N198,关卡对比!$A:$A,0))</f>
        <v>86200</v>
      </c>
      <c r="CK198" s="147">
        <f t="shared" ca="1" si="163"/>
        <v>0.8681276202086281</v>
      </c>
      <c r="CL198" s="128">
        <f ca="1">INDEX(角色升级!$P:$P,MATCH(玩家节奏2!$CH198,角色升级!$A:$A,0))</f>
        <v>40800</v>
      </c>
      <c r="CM198" s="90">
        <f ca="1">INDEX(角色升级!Q:Q,MATCH(玩家节奏2!$CH198,角色升级!$A:$A,0))</f>
        <v>2.2000000000000002</v>
      </c>
      <c r="CO198" s="128">
        <f t="shared" si="164"/>
        <v>78866</v>
      </c>
      <c r="CP198" s="90">
        <f t="shared" si="165"/>
        <v>427246</v>
      </c>
      <c r="CQ198" s="90">
        <f t="shared" si="166"/>
        <v>135184</v>
      </c>
      <c r="CR198" s="90">
        <f t="shared" ca="1" si="167"/>
        <v>578372.5</v>
      </c>
      <c r="CS198" s="90">
        <f t="shared" ca="1" si="168"/>
        <v>1219668.5</v>
      </c>
      <c r="CT198" s="142">
        <f t="shared" ca="1" si="169"/>
        <v>6.466183229295501E-2</v>
      </c>
      <c r="CU198" s="142">
        <f t="shared" ca="1" si="169"/>
        <v>0.35029682245626576</v>
      </c>
      <c r="CV198" s="142">
        <f t="shared" ca="1" si="169"/>
        <v>0.11083667406348528</v>
      </c>
      <c r="CW198" s="142">
        <f t="shared" ca="1" si="149"/>
        <v>0.47420467118729392</v>
      </c>
      <c r="CY198" s="128">
        <f t="shared" si="170"/>
        <v>39434</v>
      </c>
      <c r="CZ198" s="90">
        <f t="shared" si="171"/>
        <v>213459</v>
      </c>
      <c r="DA198" s="90">
        <f t="shared" si="172"/>
        <v>94452</v>
      </c>
      <c r="DB198" s="90">
        <f t="shared" ca="1" si="186"/>
        <v>286699.5</v>
      </c>
      <c r="DC198" s="90">
        <f t="shared" ca="1" si="173"/>
        <v>634044.5</v>
      </c>
      <c r="DD198" s="142">
        <f t="shared" ca="1" si="174"/>
        <v>6.2194372792445954E-2</v>
      </c>
      <c r="DE198" s="142">
        <f t="shared" ca="1" si="174"/>
        <v>0.33666248977792568</v>
      </c>
      <c r="DF198" s="142">
        <f t="shared" ca="1" si="174"/>
        <v>0.14896746206299399</v>
      </c>
      <c r="DG198" s="142">
        <f t="shared" ca="1" si="150"/>
        <v>0.45217567536663433</v>
      </c>
      <c r="DI198" s="128">
        <f t="shared" si="175"/>
        <v>19113</v>
      </c>
      <c r="DJ198" s="90">
        <f t="shared" si="176"/>
        <v>105155</v>
      </c>
      <c r="DK198" s="90">
        <f t="shared" si="177"/>
        <v>37230</v>
      </c>
      <c r="DL198" s="90">
        <f t="shared" ca="1" si="178"/>
        <v>47647.75</v>
      </c>
      <c r="DM198" s="90">
        <f t="shared" ca="1" si="179"/>
        <v>209145.75</v>
      </c>
      <c r="DN198" s="142">
        <f t="shared" ca="1" si="180"/>
        <v>9.138603103338222E-2</v>
      </c>
      <c r="DO198" s="142">
        <f t="shared" ca="1" si="180"/>
        <v>0.50278334606369002</v>
      </c>
      <c r="DP198" s="142">
        <f t="shared" ca="1" si="180"/>
        <v>0.17800983285579555</v>
      </c>
      <c r="DQ198" s="142">
        <f t="shared" ca="1" si="151"/>
        <v>0.22782079004713221</v>
      </c>
      <c r="DS198" s="128">
        <f t="shared" ca="1" si="181"/>
        <v>1219668.5</v>
      </c>
      <c r="DT198" s="90">
        <f t="shared" ca="1" si="182"/>
        <v>634044.5</v>
      </c>
      <c r="DU198" s="90">
        <f t="shared" ca="1" si="183"/>
        <v>209145.75</v>
      </c>
      <c r="DV198" s="90">
        <f t="shared" si="184"/>
        <v>3024</v>
      </c>
      <c r="DW198" s="90">
        <f ca="1">_xlfn.IFNA(INDEX(武器升级消耗!$H:$H,MATCH(玩家节奏2!DS198/玩家节奏2!DS$5,武器升级消耗!M:M,1)),0)</f>
        <v>95</v>
      </c>
      <c r="DX198" s="90">
        <f ca="1">_xlfn.IFNA(INDEX(武器升级消耗!$H:$H,MATCH(玩家节奏2!DT198/玩家节奏2!DT$5,武器升级消耗!N:N,1)),0)</f>
        <v>83</v>
      </c>
      <c r="DY198" s="90">
        <f ca="1">_xlfn.IFNA(INDEX(武器升级消耗!$H:$H,MATCH(玩家节奏2!DU198/玩家节奏2!DU$5,武器升级消耗!O:O,1)),0)</f>
        <v>63</v>
      </c>
      <c r="DZ198" s="90">
        <f>_xlfn.IFNA(INDEX(武器升级消耗!$H:$H,MATCH(玩家节奏2!DV198/玩家节奏2!DV$5,武器升级消耗!P:P,1)),0)</f>
        <v>39</v>
      </c>
      <c r="EA198" s="90">
        <f ca="1">_xlfn.IFNA(INDEX(武器升级消耗!$Q:$Q,MATCH(玩家节奏2!DW198,武器升级消耗!$H:$H,0))*2*EA$4,0)</f>
        <v>11.879999999999987</v>
      </c>
      <c r="EB198" s="90">
        <f ca="1">_xlfn.IFNA(INDEX(武器升级消耗!$Q:$Q,MATCH(玩家节奏2!DX198,武器升级消耗!$H:$H,0))*2*EB$4,0)</f>
        <v>13.049999999999986</v>
      </c>
      <c r="EC198" s="90">
        <f ca="1">_xlfn.IFNA(INDEX(武器升级消耗!$Q:$Q,MATCH(玩家节奏2!DY198,武器升级消耗!$H:$H,0))*2*EC$4,0)</f>
        <v>14.740000000000002</v>
      </c>
      <c r="ED198" s="90">
        <f>_xlfn.IFNA(INDEX(武器升级消耗!$Q:$Q,MATCH(玩家节奏2!DZ198,武器升级消耗!$H:$H,0))*2*ED$4,0)</f>
        <v>12.899999999999999</v>
      </c>
    </row>
    <row r="199" spans="1:134" x14ac:dyDescent="0.25">
      <c r="A199" s="123">
        <v>193</v>
      </c>
      <c r="B199" s="123">
        <f>INDEX(关卡对比!$Y:$Y,MATCH(关卡对比!Z199,关卡对比!$AA:$AA,1))</f>
        <v>110</v>
      </c>
      <c r="C199" s="124">
        <f>INDEX(关卡对比!$Y:$Y,MATCH(关卡对比!Z199,关卡对比!$AB:$AB,1))</f>
        <v>82</v>
      </c>
      <c r="D199" s="125">
        <f t="shared" si="189"/>
        <v>739.5</v>
      </c>
      <c r="E199" s="125">
        <v>2</v>
      </c>
      <c r="F199" s="128">
        <v>16</v>
      </c>
      <c r="G199" s="90">
        <v>16</v>
      </c>
      <c r="H199" s="90">
        <v>5</v>
      </c>
      <c r="J199" s="128">
        <v>193</v>
      </c>
      <c r="K199" s="90">
        <f t="shared" si="152"/>
        <v>16</v>
      </c>
      <c r="L199" s="90">
        <f t="shared" si="153"/>
        <v>16</v>
      </c>
      <c r="M199" s="90">
        <f t="shared" si="154"/>
        <v>5</v>
      </c>
      <c r="N199" s="140">
        <f>INDEX($A:$A,MATCH(SUM($K$7:K199),$D:$D,1))</f>
        <v>200</v>
      </c>
      <c r="O199" s="140">
        <v>0</v>
      </c>
      <c r="P199" s="141">
        <v>0</v>
      </c>
      <c r="Q199" s="126">
        <f>_xlfn.MAXIFS(关卡产出!X:X,关卡产出!$A:$A,玩家节奏2!$N$6,关卡产出!$B:$B,玩家节奏2!$N199)+_xlfn.MAXIFS(关卡产出!X:X,关卡产出!$A:$A,玩家节奏2!$O$6,关卡产出!$B:$B,玩家节奏2!$O199)+_xlfn.MAXIFS(关卡产出!X:X,关卡产出!$A:$A,玩家节奏2!$P$6,关卡产出!$B:$B,玩家节奏2!$P199)</f>
        <v>38500</v>
      </c>
      <c r="R199" s="90">
        <f>_xlfn.MAXIFS(关卡产出!Y:Y,关卡产出!$A:$A,玩家节奏2!$N$6,关卡产出!$B:$B,玩家节奏2!$N199)+_xlfn.MAXIFS(关卡产出!Y:Y,关卡产出!$A:$A,玩家节奏2!$O$6,关卡产出!$B:$B,玩家节奏2!$O199)+_xlfn.MAXIFS(关卡产出!Y:Y,关卡产出!$A:$A,玩家节奏2!$P$6,关卡产出!$B:$B,玩家节奏2!$P199)</f>
        <v>11610000</v>
      </c>
      <c r="S199" s="90">
        <f>_xlfn.MAXIFS(关卡产出!Z:Z,关卡产出!$A:$A,玩家节奏2!$N$6,关卡产出!$B:$B,玩家节奏2!$N199)+_xlfn.MAXIFS(关卡产出!Z:Z,关卡产出!$A:$A,玩家节奏2!$O$6,关卡产出!$B:$B,玩家节奏2!$O199)+_xlfn.MAXIFS(关卡产出!Z:Z,关卡产出!$A:$A,玩家节奏2!$P$6,关卡产出!$B:$B,玩家节奏2!$P199)</f>
        <v>78866</v>
      </c>
      <c r="T199" s="90">
        <f>_xlfn.MAXIFS(关卡产出!AA:AA,关卡产出!$A:$A,玩家节奏2!$N$6,关卡产出!$B:$B,玩家节奏2!$N199)+_xlfn.MAXIFS(关卡产出!AA:AA,关卡产出!$A:$A,玩家节奏2!$O$6,关卡产出!$B:$B,玩家节奏2!$O199)+_xlfn.MAXIFS(关卡产出!AA:AA,关卡产出!$A:$A,玩家节奏2!$P$6,关卡产出!$B:$B,玩家节奏2!$P199)</f>
        <v>39434</v>
      </c>
      <c r="U199" s="90">
        <f>_xlfn.MAXIFS(关卡产出!AB:AB,关卡产出!$A:$A,玩家节奏2!$N$6,关卡产出!$B:$B,玩家节奏2!$N199)+_xlfn.MAXIFS(关卡产出!AB:AB,关卡产出!$A:$A,玩家节奏2!$O$6,关卡产出!$B:$B,玩家节奏2!$O199)+_xlfn.MAXIFS(关卡产出!AB:AB,关卡产出!$A:$A,玩家节奏2!$P$6,关卡产出!$B:$B,玩家节奏2!$P199)</f>
        <v>19113</v>
      </c>
      <c r="V199" s="130">
        <f>_xlfn.MAXIFS(关卡产出!AC:AC,关卡产出!$A:$A,玩家节奏2!$N$6,关卡产出!$B:$B,玩家节奏2!$N199)+_xlfn.MAXIFS(关卡产出!AC:AC,关卡产出!$A:$A,玩家节奏2!$O$6,关卡产出!$B:$B,玩家节奏2!$O199)+_xlfn.MAXIFS(关卡产出!AC:AC,关卡产出!$A:$A,玩家节奏2!$P$6,关卡产出!$B:$B,玩家节奏2!$P199)</f>
        <v>1200</v>
      </c>
      <c r="W199" s="126">
        <f>INDEX(关卡产出!C$8:C$207,MATCH(玩家节奏2!$N199,关卡产出!$B$8:$B$207,0))*$K199</f>
        <v>2528</v>
      </c>
      <c r="X199" s="126">
        <f>INDEX(关卡产出!D$8:D$207,MATCH(玩家节奏2!$N199,关卡产出!$B$8:$B$207,0))*$K199</f>
        <v>1264</v>
      </c>
      <c r="Y199" s="126">
        <f>INDEX(关卡产出!E$8:E$207,MATCH(玩家节奏2!$N199,关卡产出!$B$8:$B$207,0))*$K199</f>
        <v>624</v>
      </c>
      <c r="Z199" s="144">
        <f>INDEX(关卡产出!F$8:F$207,MATCH(玩家节奏2!$N199,关卡产出!$B$8:$B$207,0))*$K199</f>
        <v>32800</v>
      </c>
      <c r="AA199" s="126">
        <f>SUM(W$7:W199)</f>
        <v>429774</v>
      </c>
      <c r="AB199" s="126">
        <f>SUM(X$7:X199)</f>
        <v>214723</v>
      </c>
      <c r="AC199" s="126">
        <f>SUM(Y$7:Y199)</f>
        <v>105779</v>
      </c>
      <c r="AD199" s="177">
        <f>SUM(Z$7:Z199)</f>
        <v>5603930</v>
      </c>
      <c r="AE199" s="128">
        <f>INDEX(图鉴!AQ:AQ,MATCH($N199,图鉴!$S:$S,0))*34</f>
        <v>714</v>
      </c>
      <c r="AF199" s="90">
        <f>INDEX(图鉴!AR:AR,MATCH($N199,图鉴!$S:$S,0))*34</f>
        <v>510</v>
      </c>
      <c r="AG199" s="90">
        <f>INDEX(图鉴!AS:AS,MATCH($N199,图鉴!$S:$S,0))*34</f>
        <v>204</v>
      </c>
      <c r="AH199" s="129">
        <f ca="1">INDEX(图鉴!AT:AT,MATCH($N199,图鉴!$S:$S,0))*34</f>
        <v>55930</v>
      </c>
      <c r="AI199" s="128">
        <f>SUM($AE$7:AE199)</f>
        <v>135898</v>
      </c>
      <c r="AJ199" s="90">
        <f>SUM(AF$7:AF199)</f>
        <v>94962</v>
      </c>
      <c r="AK199" s="90">
        <f>SUM(AG$7:AG199)</f>
        <v>37434</v>
      </c>
      <c r="AL199" s="130">
        <f ca="1">SUM(AH$7:AH199)</f>
        <v>9964856</v>
      </c>
      <c r="AM199" s="133">
        <f>IF(M199=0,0,INDEX(关卡产出!$AU$11:$AU$15,MATCH(玩家节奏2!N199,关卡产出!$AW$11:$AW$15,1))*M199)</f>
        <v>61000</v>
      </c>
      <c r="AN199" s="126">
        <f>IF(L199=0,0,$L199*关卡产出!AU$21)</f>
        <v>16000</v>
      </c>
      <c r="AO199" s="90">
        <f>IF(M199=0,0,$L199*关卡产出!AV$21)</f>
        <v>800</v>
      </c>
      <c r="AP199" s="129">
        <f>IF(N199=0,0,$L199*关卡产出!AW$21)</f>
        <v>16</v>
      </c>
      <c r="AQ199" s="138">
        <f>SUM(AN$7:AN199)</f>
        <v>3040000</v>
      </c>
      <c r="AR199" s="126">
        <f>SUM(AO$7:AO199)</f>
        <v>152000</v>
      </c>
      <c r="AS199" s="129">
        <f>SUM(AP$7:AP199)</f>
        <v>3040</v>
      </c>
      <c r="AT199" s="128">
        <v>3000</v>
      </c>
      <c r="AU199" s="129">
        <v>600</v>
      </c>
      <c r="AV199" s="128">
        <f>SUM(AT$7:AT199)</f>
        <v>579000</v>
      </c>
      <c r="AW199" s="90">
        <f>SUM(AU$7:AU199)</f>
        <v>115800</v>
      </c>
      <c r="AY199" s="128">
        <f t="shared" si="155"/>
        <v>38500</v>
      </c>
      <c r="AZ199" s="90">
        <f t="shared" si="156"/>
        <v>152000</v>
      </c>
      <c r="BA199" s="90">
        <f t="shared" si="157"/>
        <v>115800</v>
      </c>
      <c r="BB199" s="90">
        <f t="shared" ca="1" si="185"/>
        <v>40800</v>
      </c>
      <c r="BC199" s="90">
        <f t="shared" ca="1" si="187"/>
        <v>175725</v>
      </c>
      <c r="BD199" s="90">
        <f t="shared" ca="1" si="188"/>
        <v>171375</v>
      </c>
      <c r="BE199" s="90">
        <f t="shared" ca="1" si="158"/>
        <v>347100</v>
      </c>
      <c r="BF199" s="142">
        <f t="shared" ref="BF199:BF206" ca="1" si="198">AY199/$BC199</f>
        <v>0.2190923317683881</v>
      </c>
      <c r="BG199" s="142">
        <f t="shared" ref="BG199:BG206" ca="1" si="199">AZ199/$BC199</f>
        <v>0.86498790724142838</v>
      </c>
      <c r="BH199" s="142">
        <f t="shared" ref="BH199:BH206" ca="1" si="200">BA199/$BC199</f>
        <v>0.65898420827998294</v>
      </c>
      <c r="BI199" s="142">
        <f t="shared" ref="BI199" ca="1" si="201">BB199/$BC199</f>
        <v>0.23218096457533077</v>
      </c>
      <c r="BJ199" s="143"/>
      <c r="BK199" s="128">
        <f ca="1">INDEX(商城宝箱!$L:$L,MATCH(BC199,商城宝箱!$N:$N,1))</f>
        <v>14</v>
      </c>
      <c r="BL199" s="90">
        <f ca="1">_xlfn.IFNA(INDEX(商城宝箱!T:T,MATCH(玩家节奏2!$BK199,商城宝箱!$L:$L,0)),0)+($BC199-INDEX(商城宝箱!$N:$N,MATCH(玩家节奏2!$BK199,商城宝箱!$L:$L,0)))/$BK$5*INDEX(商城宝箱!E$23:E$42,MATCH(玩家节奏2!$BK199+1,商城宝箱!$C$23:$C$42,0))</f>
        <v>439312.5</v>
      </c>
      <c r="BM199" s="90">
        <f ca="1">_xlfn.IFNA(INDEX(商城宝箱!U:U,MATCH(玩家节奏2!$BK199,商城宝箱!$L:$L,0)),0)+($BC199-INDEX(商城宝箱!$N:$N,MATCH(玩家节奏2!$BK199,商城宝箱!$L:$L,0)))/$BK$5*INDEX(商城宝箱!F$23:F$42,MATCH(玩家节奏2!$BK199+1,商城宝箱!$C$23:$C$42,0))</f>
        <v>582012.5</v>
      </c>
      <c r="BN199" s="90">
        <f ca="1">_xlfn.IFNA(INDEX(商城宝箱!V:V,MATCH(玩家节奏2!$BK199,商城宝箱!$L:$L,0)),0)+($BC199-INDEX(商城宝箱!$N:$N,MATCH(玩家节奏2!$BK199,商城宝箱!$L:$L,0)))/$BK$5*INDEX(商城宝箱!G$23:G$42,MATCH(玩家节奏2!$BK199+1,商城宝箱!$C$23:$C$42,0))</f>
        <v>288449.5</v>
      </c>
      <c r="BO199" s="90">
        <f ca="1">_xlfn.IFNA(INDEX(商城宝箱!W:W,MATCH(玩家节奏2!$BK199,商城宝箱!$L:$L,0)),0)+($BC199-INDEX(商城宝箱!$N:$N,MATCH(玩家节奏2!$BK199,商城宝箱!$L:$L,0)))/$BK$5*INDEX(商城宝箱!H$23:H$42,MATCH(玩家节奏2!$BK199+1,商城宝箱!$C$23:$C$42,0))</f>
        <v>47962.75</v>
      </c>
      <c r="BQ199" s="128">
        <f t="shared" ref="BQ199:BQ206" si="202">R199</f>
        <v>11610000</v>
      </c>
      <c r="BR199" s="90">
        <f t="shared" ref="BR199:BR206" si="203">AD199</f>
        <v>5603930</v>
      </c>
      <c r="BS199" s="90">
        <f t="shared" ref="BS199:BS206" ca="1" si="204">AL199</f>
        <v>9964856</v>
      </c>
      <c r="BT199" s="90">
        <f t="shared" ref="BT199:BT206" si="205">AM199</f>
        <v>61000</v>
      </c>
      <c r="BU199" s="90">
        <f t="shared" ref="BU199:BU206" si="206">AQ199</f>
        <v>3040000</v>
      </c>
      <c r="BV199" s="90">
        <f t="shared" ref="BV199:BV206" si="207">AV199</f>
        <v>579000</v>
      </c>
      <c r="BW199" s="90">
        <f t="shared" ca="1" si="160"/>
        <v>439312.5</v>
      </c>
      <c r="BX199" s="90">
        <f t="shared" ca="1" si="161"/>
        <v>31298098.5</v>
      </c>
      <c r="BY199" s="142">
        <f t="shared" ca="1" si="191"/>
        <v>0.37094905302314135</v>
      </c>
      <c r="BZ199" s="142">
        <f t="shared" ca="1" si="191"/>
        <v>0.17905017456571684</v>
      </c>
      <c r="CA199" s="142">
        <f t="shared" ca="1" si="191"/>
        <v>0.31838534855400241</v>
      </c>
      <c r="CB199" s="142">
        <f t="shared" ca="1" si="190"/>
        <v>1.9490001924557813E-3</v>
      </c>
      <c r="CC199" s="142">
        <f t="shared" ca="1" si="190"/>
        <v>9.7130501394517621E-2</v>
      </c>
      <c r="CD199" s="142">
        <f t="shared" ca="1" si="190"/>
        <v>1.8499526416916351E-2</v>
      </c>
      <c r="CE199" s="142">
        <f t="shared" ca="1" si="190"/>
        <v>1.4036395853249679E-2</v>
      </c>
      <c r="CG199" s="128">
        <f t="shared" si="162"/>
        <v>200</v>
      </c>
      <c r="CH199" s="90">
        <f ca="1">INDEX(角色升级!$A:$A,MATCH(玩家节奏2!$BX199,角色升级!$J:$J,1))</f>
        <v>1047</v>
      </c>
      <c r="CI199" s="90">
        <f ca="1">INDEX(角色升级!$O:$O,MATCH(玩家节奏2!$BX199,角色升级!$J:$J,1))</f>
        <v>99294.156750000009</v>
      </c>
      <c r="CJ199" s="90">
        <f>INDEX(关卡对比!$J:$J,MATCH(玩家节奏2!N199,关卡对比!$A:$A,0))</f>
        <v>86200</v>
      </c>
      <c r="CK199" s="147">
        <f t="shared" ca="1" si="163"/>
        <v>0.8681276202086281</v>
      </c>
      <c r="CL199" s="128">
        <f ca="1">INDEX(角色升级!$P:$P,MATCH(玩家节奏2!$CH199,角色升级!$A:$A,0))</f>
        <v>40800</v>
      </c>
      <c r="CM199" s="90">
        <f ca="1">INDEX(角色升级!Q:Q,MATCH(玩家节奏2!$CH199,角色升级!$A:$A,0))</f>
        <v>2.2000000000000002</v>
      </c>
      <c r="CO199" s="128">
        <f t="shared" si="164"/>
        <v>78866</v>
      </c>
      <c r="CP199" s="90">
        <f t="shared" si="165"/>
        <v>429774</v>
      </c>
      <c r="CQ199" s="90">
        <f t="shared" si="166"/>
        <v>135898</v>
      </c>
      <c r="CR199" s="90">
        <f t="shared" ca="1" si="167"/>
        <v>582012.5</v>
      </c>
      <c r="CS199" s="90">
        <f t="shared" ca="1" si="168"/>
        <v>1226550.5</v>
      </c>
      <c r="CT199" s="142">
        <f t="shared" ca="1" si="169"/>
        <v>6.4299023970068911E-2</v>
      </c>
      <c r="CU199" s="142">
        <f t="shared" ca="1" si="169"/>
        <v>0.35039242167362861</v>
      </c>
      <c r="CV199" s="142">
        <f t="shared" ca="1" si="169"/>
        <v>0.11079690563087292</v>
      </c>
      <c r="CW199" s="142">
        <f t="shared" ca="1" si="169"/>
        <v>0.47451164872542956</v>
      </c>
      <c r="CY199" s="128">
        <f t="shared" si="170"/>
        <v>39434</v>
      </c>
      <c r="CZ199" s="90">
        <f t="shared" si="171"/>
        <v>214723</v>
      </c>
      <c r="DA199" s="90">
        <f t="shared" si="172"/>
        <v>94962</v>
      </c>
      <c r="DB199" s="90">
        <f t="shared" ca="1" si="186"/>
        <v>288449.5</v>
      </c>
      <c r="DC199" s="90">
        <f t="shared" ca="1" si="173"/>
        <v>637568.5</v>
      </c>
      <c r="DD199" s="142">
        <f t="shared" ca="1" si="174"/>
        <v>6.185060899338659E-2</v>
      </c>
      <c r="DE199" s="142">
        <f t="shared" ca="1" si="174"/>
        <v>0.33678420436392326</v>
      </c>
      <c r="DF199" s="142">
        <f t="shared" ca="1" si="174"/>
        <v>0.14894399582162543</v>
      </c>
      <c r="DG199" s="142">
        <f t="shared" ca="1" si="174"/>
        <v>0.45242119082106469</v>
      </c>
      <c r="DI199" s="128">
        <f t="shared" si="175"/>
        <v>19113</v>
      </c>
      <c r="DJ199" s="90">
        <f t="shared" si="176"/>
        <v>105779</v>
      </c>
      <c r="DK199" s="90">
        <f t="shared" si="177"/>
        <v>37434</v>
      </c>
      <c r="DL199" s="90">
        <f t="shared" ca="1" si="178"/>
        <v>47962.75</v>
      </c>
      <c r="DM199" s="90">
        <f t="shared" ca="1" si="179"/>
        <v>210288.75</v>
      </c>
      <c r="DN199" s="142">
        <f t="shared" ca="1" si="180"/>
        <v>9.0889312909035791E-2</v>
      </c>
      <c r="DO199" s="142">
        <f t="shared" ca="1" si="180"/>
        <v>0.50301787423245414</v>
      </c>
      <c r="DP199" s="142">
        <f t="shared" ca="1" si="180"/>
        <v>0.17801237584036236</v>
      </c>
      <c r="DQ199" s="142">
        <f t="shared" ca="1" si="180"/>
        <v>0.22808043701814767</v>
      </c>
      <c r="DS199" s="128">
        <f t="shared" ca="1" si="181"/>
        <v>1226550.5</v>
      </c>
      <c r="DT199" s="90">
        <f t="shared" ca="1" si="182"/>
        <v>637568.5</v>
      </c>
      <c r="DU199" s="90">
        <f t="shared" ca="1" si="183"/>
        <v>210288.75</v>
      </c>
      <c r="DV199" s="90">
        <f t="shared" si="184"/>
        <v>3040</v>
      </c>
      <c r="DW199" s="90">
        <f ca="1">_xlfn.IFNA(INDEX(武器升级消耗!$H:$H,MATCH(玩家节奏2!DS199/玩家节奏2!DS$5,武器升级消耗!M:M,1)),0)</f>
        <v>95</v>
      </c>
      <c r="DX199" s="90">
        <f ca="1">_xlfn.IFNA(INDEX(武器升级消耗!$H:$H,MATCH(玩家节奏2!DT199/玩家节奏2!DT$5,武器升级消耗!N:N,1)),0)</f>
        <v>83</v>
      </c>
      <c r="DY199" s="90">
        <f ca="1">_xlfn.IFNA(INDEX(武器升级消耗!$H:$H,MATCH(玩家节奏2!DU199/玩家节奏2!DU$5,武器升级消耗!O:O,1)),0)</f>
        <v>63</v>
      </c>
      <c r="DZ199" s="90">
        <f>_xlfn.IFNA(INDEX(武器升级消耗!$H:$H,MATCH(玩家节奏2!DV199/玩家节奏2!DV$5,武器升级消耗!P:P,1)),0)</f>
        <v>39</v>
      </c>
      <c r="EA199" s="90">
        <f ca="1">_xlfn.IFNA(INDEX(武器升级消耗!$Q:$Q,MATCH(玩家节奏2!DW199,武器升级消耗!$H:$H,0))*2*EA$4,0)</f>
        <v>11.879999999999987</v>
      </c>
      <c r="EB199" s="90">
        <f ca="1">_xlfn.IFNA(INDEX(武器升级消耗!$Q:$Q,MATCH(玩家节奏2!DX199,武器升级消耗!$H:$H,0))*2*EB$4,0)</f>
        <v>13.049999999999986</v>
      </c>
      <c r="EC199" s="90">
        <f ca="1">_xlfn.IFNA(INDEX(武器升级消耗!$Q:$Q,MATCH(玩家节奏2!DY199,武器升级消耗!$H:$H,0))*2*EC$4,0)</f>
        <v>14.740000000000002</v>
      </c>
      <c r="ED199" s="90">
        <f>_xlfn.IFNA(INDEX(武器升级消耗!$Q:$Q,MATCH(玩家节奏2!DZ199,武器升级消耗!$H:$H,0))*2*ED$4,0)</f>
        <v>12.899999999999999</v>
      </c>
    </row>
    <row r="200" spans="1:134" x14ac:dyDescent="0.25">
      <c r="A200" s="123">
        <v>194</v>
      </c>
      <c r="B200" s="123">
        <f>INDEX(关卡对比!$Y:$Y,MATCH(关卡对比!Z200,关卡对比!$AA:$AA,1))</f>
        <v>110</v>
      </c>
      <c r="C200" s="124">
        <f>INDEX(关卡对比!$Y:$Y,MATCH(关卡对比!Z200,关卡对比!$AB:$AB,1))</f>
        <v>83</v>
      </c>
      <c r="D200" s="125">
        <f t="shared" si="189"/>
        <v>743.5</v>
      </c>
      <c r="E200" s="125">
        <v>2</v>
      </c>
      <c r="F200" s="128">
        <v>16</v>
      </c>
      <c r="G200" s="90">
        <v>16</v>
      </c>
      <c r="H200" s="90">
        <v>5</v>
      </c>
      <c r="J200" s="128">
        <v>194</v>
      </c>
      <c r="K200" s="90">
        <f t="shared" ref="K200:K206" si="208">INDEX($F:$F,MATCH(N199,$A:$A,0))</f>
        <v>16</v>
      </c>
      <c r="L200" s="90">
        <f t="shared" ref="L200:L206" si="209">INDEX($G:$G,MATCH(N199,$A:$A,0))</f>
        <v>16</v>
      </c>
      <c r="M200" s="90">
        <f t="shared" ref="M200:M206" si="210">INDEX($H:$H,MATCH(N199,$A:$A,0))</f>
        <v>5</v>
      </c>
      <c r="N200" s="140">
        <f>INDEX($A:$A,MATCH(SUM($K$7:K200),$D:$D,1))</f>
        <v>200</v>
      </c>
      <c r="O200" s="140">
        <v>0</v>
      </c>
      <c r="P200" s="141">
        <v>0</v>
      </c>
      <c r="Q200" s="126">
        <f>_xlfn.MAXIFS(关卡产出!X:X,关卡产出!$A:$A,玩家节奏2!$N$6,关卡产出!$B:$B,玩家节奏2!$N200)+_xlfn.MAXIFS(关卡产出!X:X,关卡产出!$A:$A,玩家节奏2!$O$6,关卡产出!$B:$B,玩家节奏2!$O200)+_xlfn.MAXIFS(关卡产出!X:X,关卡产出!$A:$A,玩家节奏2!$P$6,关卡产出!$B:$B,玩家节奏2!$P200)</f>
        <v>38500</v>
      </c>
      <c r="R200" s="90">
        <f>_xlfn.MAXIFS(关卡产出!Y:Y,关卡产出!$A:$A,玩家节奏2!$N$6,关卡产出!$B:$B,玩家节奏2!$N200)+_xlfn.MAXIFS(关卡产出!Y:Y,关卡产出!$A:$A,玩家节奏2!$O$6,关卡产出!$B:$B,玩家节奏2!$O200)+_xlfn.MAXIFS(关卡产出!Y:Y,关卡产出!$A:$A,玩家节奏2!$P$6,关卡产出!$B:$B,玩家节奏2!$P200)</f>
        <v>11610000</v>
      </c>
      <c r="S200" s="90">
        <f>_xlfn.MAXIFS(关卡产出!Z:Z,关卡产出!$A:$A,玩家节奏2!$N$6,关卡产出!$B:$B,玩家节奏2!$N200)+_xlfn.MAXIFS(关卡产出!Z:Z,关卡产出!$A:$A,玩家节奏2!$O$6,关卡产出!$B:$B,玩家节奏2!$O200)+_xlfn.MAXIFS(关卡产出!Z:Z,关卡产出!$A:$A,玩家节奏2!$P$6,关卡产出!$B:$B,玩家节奏2!$P200)</f>
        <v>78866</v>
      </c>
      <c r="T200" s="90">
        <f>_xlfn.MAXIFS(关卡产出!AA:AA,关卡产出!$A:$A,玩家节奏2!$N$6,关卡产出!$B:$B,玩家节奏2!$N200)+_xlfn.MAXIFS(关卡产出!AA:AA,关卡产出!$A:$A,玩家节奏2!$O$6,关卡产出!$B:$B,玩家节奏2!$O200)+_xlfn.MAXIFS(关卡产出!AA:AA,关卡产出!$A:$A,玩家节奏2!$P$6,关卡产出!$B:$B,玩家节奏2!$P200)</f>
        <v>39434</v>
      </c>
      <c r="U200" s="90">
        <f>_xlfn.MAXIFS(关卡产出!AB:AB,关卡产出!$A:$A,玩家节奏2!$N$6,关卡产出!$B:$B,玩家节奏2!$N200)+_xlfn.MAXIFS(关卡产出!AB:AB,关卡产出!$A:$A,玩家节奏2!$O$6,关卡产出!$B:$B,玩家节奏2!$O200)+_xlfn.MAXIFS(关卡产出!AB:AB,关卡产出!$A:$A,玩家节奏2!$P$6,关卡产出!$B:$B,玩家节奏2!$P200)</f>
        <v>19113</v>
      </c>
      <c r="V200" s="130">
        <f>_xlfn.MAXIFS(关卡产出!AC:AC,关卡产出!$A:$A,玩家节奏2!$N$6,关卡产出!$B:$B,玩家节奏2!$N200)+_xlfn.MAXIFS(关卡产出!AC:AC,关卡产出!$A:$A,玩家节奏2!$O$6,关卡产出!$B:$B,玩家节奏2!$O200)+_xlfn.MAXIFS(关卡产出!AC:AC,关卡产出!$A:$A,玩家节奏2!$P$6,关卡产出!$B:$B,玩家节奏2!$P200)</f>
        <v>1200</v>
      </c>
      <c r="W200" s="126">
        <f>INDEX(关卡产出!C$8:C$207,MATCH(玩家节奏2!$N200,关卡产出!$B$8:$B$207,0))*$K200</f>
        <v>2528</v>
      </c>
      <c r="X200" s="126">
        <f>INDEX(关卡产出!D$8:D$207,MATCH(玩家节奏2!$N200,关卡产出!$B$8:$B$207,0))*$K200</f>
        <v>1264</v>
      </c>
      <c r="Y200" s="126">
        <f>INDEX(关卡产出!E$8:E$207,MATCH(玩家节奏2!$N200,关卡产出!$B$8:$B$207,0))*$K200</f>
        <v>624</v>
      </c>
      <c r="Z200" s="144">
        <f>INDEX(关卡产出!F$8:F$207,MATCH(玩家节奏2!$N200,关卡产出!$B$8:$B$207,0))*$K200</f>
        <v>32800</v>
      </c>
      <c r="AA200" s="126">
        <f>SUM(W$7:W200)</f>
        <v>432302</v>
      </c>
      <c r="AB200" s="126">
        <f>SUM(X$7:X200)</f>
        <v>215987</v>
      </c>
      <c r="AC200" s="126">
        <f>SUM(Y$7:Y200)</f>
        <v>106403</v>
      </c>
      <c r="AD200" s="177">
        <f>SUM(Z$7:Z200)</f>
        <v>5636730</v>
      </c>
      <c r="AE200" s="128">
        <f>INDEX(图鉴!AQ:AQ,MATCH($N200,图鉴!$S:$S,0))*34</f>
        <v>714</v>
      </c>
      <c r="AF200" s="90">
        <f>INDEX(图鉴!AR:AR,MATCH($N200,图鉴!$S:$S,0))*34</f>
        <v>510</v>
      </c>
      <c r="AG200" s="90">
        <f>INDEX(图鉴!AS:AS,MATCH($N200,图鉴!$S:$S,0))*34</f>
        <v>204</v>
      </c>
      <c r="AH200" s="129">
        <f ca="1">INDEX(图鉴!AT:AT,MATCH($N200,图鉴!$S:$S,0))*34</f>
        <v>55930</v>
      </c>
      <c r="AI200" s="128">
        <f>SUM($AE$7:AE200)</f>
        <v>136612</v>
      </c>
      <c r="AJ200" s="90">
        <f>SUM(AF$7:AF200)</f>
        <v>95472</v>
      </c>
      <c r="AK200" s="90">
        <f>SUM(AG$7:AG200)</f>
        <v>37638</v>
      </c>
      <c r="AL200" s="130">
        <f ca="1">SUM(AH$7:AH200)</f>
        <v>10020786</v>
      </c>
      <c r="AM200" s="133">
        <f>IF(M200=0,0,INDEX(关卡产出!$AU$11:$AU$15,MATCH(玩家节奏2!N200,关卡产出!$AW$11:$AW$15,1))*M200)</f>
        <v>61000</v>
      </c>
      <c r="AN200" s="126">
        <f>IF(L200=0,0,$L200*关卡产出!AU$21)</f>
        <v>16000</v>
      </c>
      <c r="AO200" s="90">
        <f>IF(M200=0,0,$L200*关卡产出!AV$21)</f>
        <v>800</v>
      </c>
      <c r="AP200" s="129">
        <f>IF(N200=0,0,$L200*关卡产出!AW$21)</f>
        <v>16</v>
      </c>
      <c r="AQ200" s="138">
        <f>SUM(AN$7:AN200)</f>
        <v>3056000</v>
      </c>
      <c r="AR200" s="126">
        <f>SUM(AO$7:AO200)</f>
        <v>152800</v>
      </c>
      <c r="AS200" s="129">
        <f>SUM(AP$7:AP200)</f>
        <v>3056</v>
      </c>
      <c r="AT200" s="128">
        <v>3000</v>
      </c>
      <c r="AU200" s="129">
        <v>600</v>
      </c>
      <c r="AV200" s="128">
        <f>SUM(AT$7:AT200)</f>
        <v>582000</v>
      </c>
      <c r="AW200" s="90">
        <f>SUM(AU$7:AU200)</f>
        <v>116400</v>
      </c>
      <c r="AY200" s="128">
        <f t="shared" ref="AY200:AY206" si="211">Q200</f>
        <v>38500</v>
      </c>
      <c r="AZ200" s="90">
        <f t="shared" ref="AZ200:AZ206" si="212">AR200</f>
        <v>152800</v>
      </c>
      <c r="BA200" s="90">
        <f t="shared" ref="BA200:BA206" si="213">AW200</f>
        <v>116400</v>
      </c>
      <c r="BB200" s="90">
        <f t="shared" ca="1" si="185"/>
        <v>40800</v>
      </c>
      <c r="BC200" s="90">
        <f t="shared" ca="1" si="187"/>
        <v>176425</v>
      </c>
      <c r="BD200" s="90">
        <f t="shared" ca="1" si="188"/>
        <v>172075</v>
      </c>
      <c r="BE200" s="90">
        <f t="shared" ref="BE200:BE206" ca="1" si="214">SUM(AY200:BB200)</f>
        <v>348500</v>
      </c>
      <c r="BF200" s="142">
        <f t="shared" ca="1" si="198"/>
        <v>0.21822304095224598</v>
      </c>
      <c r="BG200" s="142">
        <f t="shared" ca="1" si="199"/>
        <v>0.86609040668839454</v>
      </c>
      <c r="BH200" s="142">
        <f t="shared" ca="1" si="200"/>
        <v>0.65977044069718005</v>
      </c>
      <c r="BI200" s="142">
        <f t="shared" ref="BI200:BI206" ca="1" si="215">BB200/$BC200</f>
        <v>0.23125974210004252</v>
      </c>
      <c r="BJ200" s="143"/>
      <c r="BK200" s="128">
        <f ca="1">INDEX(商城宝箱!$L:$L,MATCH(BC200,商城宝箱!$N:$N,1))</f>
        <v>14</v>
      </c>
      <c r="BL200" s="90">
        <f ca="1">_xlfn.IFNA(INDEX(商城宝箱!T:T,MATCH(玩家节奏2!$BK200,商城宝箱!$L:$L,0)),0)+($BC200-INDEX(商城宝箱!$N:$N,MATCH(玩家节奏2!$BK200,商城宝箱!$L:$L,0)))/$BK$5*INDEX(商城宝箱!E$23:E$42,MATCH(玩家节奏2!$BK200+1,商城宝箱!$C$23:$C$42,0))</f>
        <v>441062.5</v>
      </c>
      <c r="BM200" s="90">
        <f ca="1">_xlfn.IFNA(INDEX(商城宝箱!U:U,MATCH(玩家节奏2!$BK200,商城宝箱!$L:$L,0)),0)+($BC200-INDEX(商城宝箱!$N:$N,MATCH(玩家节奏2!$BK200,商城宝箱!$L:$L,0)))/$BK$5*INDEX(商城宝箱!F$23:F$42,MATCH(玩家节奏2!$BK200+1,商城宝箱!$C$23:$C$42,0))</f>
        <v>585652.5</v>
      </c>
      <c r="BN200" s="90">
        <f ca="1">_xlfn.IFNA(INDEX(商城宝箱!V:V,MATCH(玩家节奏2!$BK200,商城宝箱!$L:$L,0)),0)+($BC200-INDEX(商城宝箱!$N:$N,MATCH(玩家节奏2!$BK200,商城宝箱!$L:$L,0)))/$BK$5*INDEX(商城宝箱!G$23:G$42,MATCH(玩家节奏2!$BK200+1,商城宝箱!$C$23:$C$42,0))</f>
        <v>290199.5</v>
      </c>
      <c r="BO200" s="90">
        <f ca="1">_xlfn.IFNA(INDEX(商城宝箱!W:W,MATCH(玩家节奏2!$BK200,商城宝箱!$L:$L,0)),0)+($BC200-INDEX(商城宝箱!$N:$N,MATCH(玩家节奏2!$BK200,商城宝箱!$L:$L,0)))/$BK$5*INDEX(商城宝箱!H$23:H$42,MATCH(玩家节奏2!$BK200+1,商城宝箱!$C$23:$C$42,0))</f>
        <v>48277.75</v>
      </c>
      <c r="BQ200" s="128">
        <f t="shared" si="202"/>
        <v>11610000</v>
      </c>
      <c r="BR200" s="90">
        <f t="shared" si="203"/>
        <v>5636730</v>
      </c>
      <c r="BS200" s="90">
        <f t="shared" ca="1" si="204"/>
        <v>10020786</v>
      </c>
      <c r="BT200" s="90">
        <f t="shared" si="205"/>
        <v>61000</v>
      </c>
      <c r="BU200" s="90">
        <f t="shared" si="206"/>
        <v>3056000</v>
      </c>
      <c r="BV200" s="90">
        <f t="shared" si="207"/>
        <v>582000</v>
      </c>
      <c r="BW200" s="90">
        <f t="shared" ref="BW200:BW206" ca="1" si="216">BL200</f>
        <v>441062.5</v>
      </c>
      <c r="BX200" s="90">
        <f t="shared" ref="BX200:BX206" ca="1" si="217">SUM(BQ200:BW200)</f>
        <v>31407578.5</v>
      </c>
      <c r="BY200" s="142">
        <f t="shared" ca="1" si="191"/>
        <v>0.36965600515811814</v>
      </c>
      <c r="BZ200" s="142">
        <f t="shared" ca="1" si="191"/>
        <v>0.17947037846295599</v>
      </c>
      <c r="CA200" s="142">
        <f t="shared" ca="1" si="191"/>
        <v>0.31905630674456487</v>
      </c>
      <c r="CB200" s="142">
        <f t="shared" ca="1" si="190"/>
        <v>1.9422064009168996E-3</v>
      </c>
      <c r="CC200" s="142">
        <f t="shared" ca="1" si="190"/>
        <v>9.7301356741017142E-2</v>
      </c>
      <c r="CD200" s="142">
        <f t="shared" ca="1" si="190"/>
        <v>1.8530559431698946E-2</v>
      </c>
      <c r="CE200" s="142">
        <f t="shared" ca="1" si="190"/>
        <v>1.4043187060728034E-2</v>
      </c>
      <c r="CG200" s="128">
        <f t="shared" ref="CG200:CG206" si="218">N200</f>
        <v>200</v>
      </c>
      <c r="CH200" s="90">
        <f ca="1">INDEX(角色升级!$A:$A,MATCH(玩家节奏2!$BX200,角色升级!$J:$J,1))</f>
        <v>1047</v>
      </c>
      <c r="CI200" s="90">
        <f ca="1">INDEX(角色升级!$O:$O,MATCH(玩家节奏2!$BX200,角色升级!$J:$J,1))</f>
        <v>99294.156750000009</v>
      </c>
      <c r="CJ200" s="90">
        <f>INDEX(关卡对比!$J:$J,MATCH(玩家节奏2!N200,关卡对比!$A:$A,0))</f>
        <v>86200</v>
      </c>
      <c r="CK200" s="147">
        <f t="shared" ref="CK200:CK206" ca="1" si="219">CJ200/CI200</f>
        <v>0.8681276202086281</v>
      </c>
      <c r="CL200" s="128">
        <f ca="1">INDEX(角色升级!$P:$P,MATCH(玩家节奏2!$CH200,角色升级!$A:$A,0))</f>
        <v>40800</v>
      </c>
      <c r="CM200" s="90">
        <f ca="1">INDEX(角色升级!Q:Q,MATCH(玩家节奏2!$CH200,角色升级!$A:$A,0))</f>
        <v>2.2000000000000002</v>
      </c>
      <c r="CO200" s="128">
        <f t="shared" ref="CO200:CO206" si="220">S200</f>
        <v>78866</v>
      </c>
      <c r="CP200" s="90">
        <f t="shared" ref="CP200:CP206" si="221">AA200</f>
        <v>432302</v>
      </c>
      <c r="CQ200" s="90">
        <f t="shared" ref="CQ200:CQ206" si="222">AI200</f>
        <v>136612</v>
      </c>
      <c r="CR200" s="90">
        <f t="shared" ref="CR200:CR206" ca="1" si="223">BM200</f>
        <v>585652.5</v>
      </c>
      <c r="CS200" s="90">
        <f t="shared" ref="CS200:CS206" ca="1" si="224">SUM(CO200:CR200)</f>
        <v>1233432.5</v>
      </c>
      <c r="CT200" s="142">
        <f t="shared" ref="CT200:CW206" ca="1" si="225">CO200/$CS200</f>
        <v>6.3940264262535643E-2</v>
      </c>
      <c r="CU200" s="142">
        <f t="shared" ca="1" si="225"/>
        <v>0.35048695408950226</v>
      </c>
      <c r="CV200" s="142">
        <f t="shared" ca="1" si="225"/>
        <v>0.11075758097828621</v>
      </c>
      <c r="CW200" s="142">
        <f t="shared" ca="1" si="225"/>
        <v>0.47481520066967586</v>
      </c>
      <c r="CY200" s="128">
        <f t="shared" ref="CY200:CY206" si="226">T200</f>
        <v>39434</v>
      </c>
      <c r="CZ200" s="90">
        <f t="shared" ref="CZ200:CZ206" si="227">AB200</f>
        <v>215987</v>
      </c>
      <c r="DA200" s="90">
        <f t="shared" ref="DA200:DA206" si="228">AJ200</f>
        <v>95472</v>
      </c>
      <c r="DB200" s="90">
        <f t="shared" ca="1" si="186"/>
        <v>290199.5</v>
      </c>
      <c r="DC200" s="90">
        <f t="shared" ref="DC200:DC206" ca="1" si="229">SUM(CY200:DB200)</f>
        <v>641092.5</v>
      </c>
      <c r="DD200" s="142">
        <f t="shared" ref="DD200:DG206" ca="1" si="230">CY200/$DC200</f>
        <v>6.1510624441870713E-2</v>
      </c>
      <c r="DE200" s="142">
        <f t="shared" ca="1" si="230"/>
        <v>0.33690458085221714</v>
      </c>
      <c r="DF200" s="142">
        <f t="shared" ca="1" si="230"/>
        <v>0.14892078756185731</v>
      </c>
      <c r="DG200" s="142">
        <f t="shared" ca="1" si="230"/>
        <v>0.45266400714405486</v>
      </c>
      <c r="DI200" s="128">
        <f t="shared" ref="DI200:DI206" si="231">U200</f>
        <v>19113</v>
      </c>
      <c r="DJ200" s="90">
        <f t="shared" ref="DJ200:DJ206" si="232">AC200</f>
        <v>106403</v>
      </c>
      <c r="DK200" s="90">
        <f t="shared" ref="DK200:DK206" si="233">AK200</f>
        <v>37638</v>
      </c>
      <c r="DL200" s="90">
        <f t="shared" ref="DL200:DL206" ca="1" si="234">BO200</f>
        <v>48277.75</v>
      </c>
      <c r="DM200" s="90">
        <f t="shared" ref="DM200:DM206" ca="1" si="235">SUM(DI200:DL200)</f>
        <v>211431.75</v>
      </c>
      <c r="DN200" s="142">
        <f t="shared" ref="DN200:DQ206" ca="1" si="236">DI200/$DM200</f>
        <v>9.0397965300859501E-2</v>
      </c>
      <c r="DO200" s="142">
        <f t="shared" ca="1" si="236"/>
        <v>0.50324986668274752</v>
      </c>
      <c r="DP200" s="142">
        <f t="shared" ca="1" si="236"/>
        <v>0.178014891330181</v>
      </c>
      <c r="DQ200" s="142">
        <f t="shared" ca="1" si="236"/>
        <v>0.22833727668621198</v>
      </c>
      <c r="DS200" s="128">
        <f t="shared" ref="DS200:DS206" ca="1" si="237">CS200</f>
        <v>1233432.5</v>
      </c>
      <c r="DT200" s="90">
        <f t="shared" ref="DT200:DT206" ca="1" si="238">DC200</f>
        <v>641092.5</v>
      </c>
      <c r="DU200" s="90">
        <f t="shared" ref="DU200:DU206" ca="1" si="239">DM200</f>
        <v>211431.75</v>
      </c>
      <c r="DV200" s="90">
        <f t="shared" ref="DV200:DV206" si="240">AS200</f>
        <v>3056</v>
      </c>
      <c r="DW200" s="90">
        <f ca="1">_xlfn.IFNA(INDEX(武器升级消耗!$H:$H,MATCH(玩家节奏2!DS200/玩家节奏2!DS$5,武器升级消耗!M:M,1)),0)</f>
        <v>95</v>
      </c>
      <c r="DX200" s="90">
        <f ca="1">_xlfn.IFNA(INDEX(武器升级消耗!$H:$H,MATCH(玩家节奏2!DT200/玩家节奏2!DT$5,武器升级消耗!N:N,1)),0)</f>
        <v>83</v>
      </c>
      <c r="DY200" s="90">
        <f ca="1">_xlfn.IFNA(INDEX(武器升级消耗!$H:$H,MATCH(玩家节奏2!DU200/玩家节奏2!DU$5,武器升级消耗!O:O,1)),0)</f>
        <v>63</v>
      </c>
      <c r="DZ200" s="90">
        <f>_xlfn.IFNA(INDEX(武器升级消耗!$H:$H,MATCH(玩家节奏2!DV200/玩家节奏2!DV$5,武器升级消耗!P:P,1)),0)</f>
        <v>40</v>
      </c>
      <c r="EA200" s="90">
        <f ca="1">_xlfn.IFNA(INDEX(武器升级消耗!$Q:$Q,MATCH(玩家节奏2!DW200,武器升级消耗!$H:$H,0))*2*EA$4,0)</f>
        <v>11.879999999999987</v>
      </c>
      <c r="EB200" s="90">
        <f ca="1">_xlfn.IFNA(INDEX(武器升级消耗!$Q:$Q,MATCH(玩家节奏2!DX200,武器升级消耗!$H:$H,0))*2*EB$4,0)</f>
        <v>13.049999999999986</v>
      </c>
      <c r="EC200" s="90">
        <f ca="1">_xlfn.IFNA(INDEX(武器升级消耗!$Q:$Q,MATCH(玩家节奏2!DY200,武器升级消耗!$H:$H,0))*2*EC$4,0)</f>
        <v>14.740000000000002</v>
      </c>
      <c r="ED200" s="90">
        <f>_xlfn.IFNA(INDEX(武器升级消耗!$Q:$Q,MATCH(玩家节奏2!DZ200,武器升级消耗!$H:$H,0))*2*ED$4,0)</f>
        <v>13.200000000000001</v>
      </c>
    </row>
    <row r="201" spans="1:134" x14ac:dyDescent="0.25">
      <c r="A201" s="123">
        <v>195</v>
      </c>
      <c r="B201" s="123">
        <f>INDEX(关卡对比!$Y:$Y,MATCH(关卡对比!Z201,关卡对比!$AA:$AA,1))</f>
        <v>111</v>
      </c>
      <c r="C201" s="124">
        <f>INDEX(关卡对比!$Y:$Y,MATCH(关卡对比!Z201,关卡对比!$AB:$AB,1))</f>
        <v>83</v>
      </c>
      <c r="D201" s="125">
        <f t="shared" si="189"/>
        <v>747.5</v>
      </c>
      <c r="E201" s="125">
        <v>2</v>
      </c>
      <c r="F201" s="128">
        <v>16</v>
      </c>
      <c r="G201" s="90">
        <v>16</v>
      </c>
      <c r="H201" s="90">
        <v>5</v>
      </c>
      <c r="J201" s="128">
        <v>195</v>
      </c>
      <c r="K201" s="90">
        <f t="shared" si="208"/>
        <v>16</v>
      </c>
      <c r="L201" s="90">
        <f t="shared" si="209"/>
        <v>16</v>
      </c>
      <c r="M201" s="90">
        <f t="shared" si="210"/>
        <v>5</v>
      </c>
      <c r="N201" s="140">
        <f>INDEX($A:$A,MATCH(SUM($K$7:K201),$D:$D,1))</f>
        <v>200</v>
      </c>
      <c r="O201" s="140">
        <v>0</v>
      </c>
      <c r="P201" s="141">
        <v>0</v>
      </c>
      <c r="Q201" s="126">
        <f>_xlfn.MAXIFS(关卡产出!X:X,关卡产出!$A:$A,玩家节奏2!$N$6,关卡产出!$B:$B,玩家节奏2!$N201)+_xlfn.MAXIFS(关卡产出!X:X,关卡产出!$A:$A,玩家节奏2!$O$6,关卡产出!$B:$B,玩家节奏2!$O201)+_xlfn.MAXIFS(关卡产出!X:X,关卡产出!$A:$A,玩家节奏2!$P$6,关卡产出!$B:$B,玩家节奏2!$P201)</f>
        <v>38500</v>
      </c>
      <c r="R201" s="90">
        <f>_xlfn.MAXIFS(关卡产出!Y:Y,关卡产出!$A:$A,玩家节奏2!$N$6,关卡产出!$B:$B,玩家节奏2!$N201)+_xlfn.MAXIFS(关卡产出!Y:Y,关卡产出!$A:$A,玩家节奏2!$O$6,关卡产出!$B:$B,玩家节奏2!$O201)+_xlfn.MAXIFS(关卡产出!Y:Y,关卡产出!$A:$A,玩家节奏2!$P$6,关卡产出!$B:$B,玩家节奏2!$P201)</f>
        <v>11610000</v>
      </c>
      <c r="S201" s="90">
        <f>_xlfn.MAXIFS(关卡产出!Z:Z,关卡产出!$A:$A,玩家节奏2!$N$6,关卡产出!$B:$B,玩家节奏2!$N201)+_xlfn.MAXIFS(关卡产出!Z:Z,关卡产出!$A:$A,玩家节奏2!$O$6,关卡产出!$B:$B,玩家节奏2!$O201)+_xlfn.MAXIFS(关卡产出!Z:Z,关卡产出!$A:$A,玩家节奏2!$P$6,关卡产出!$B:$B,玩家节奏2!$P201)</f>
        <v>78866</v>
      </c>
      <c r="T201" s="90">
        <f>_xlfn.MAXIFS(关卡产出!AA:AA,关卡产出!$A:$A,玩家节奏2!$N$6,关卡产出!$B:$B,玩家节奏2!$N201)+_xlfn.MAXIFS(关卡产出!AA:AA,关卡产出!$A:$A,玩家节奏2!$O$6,关卡产出!$B:$B,玩家节奏2!$O201)+_xlfn.MAXIFS(关卡产出!AA:AA,关卡产出!$A:$A,玩家节奏2!$P$6,关卡产出!$B:$B,玩家节奏2!$P201)</f>
        <v>39434</v>
      </c>
      <c r="U201" s="90">
        <f>_xlfn.MAXIFS(关卡产出!AB:AB,关卡产出!$A:$A,玩家节奏2!$N$6,关卡产出!$B:$B,玩家节奏2!$N201)+_xlfn.MAXIFS(关卡产出!AB:AB,关卡产出!$A:$A,玩家节奏2!$O$6,关卡产出!$B:$B,玩家节奏2!$O201)+_xlfn.MAXIFS(关卡产出!AB:AB,关卡产出!$A:$A,玩家节奏2!$P$6,关卡产出!$B:$B,玩家节奏2!$P201)</f>
        <v>19113</v>
      </c>
      <c r="V201" s="130">
        <f>_xlfn.MAXIFS(关卡产出!AC:AC,关卡产出!$A:$A,玩家节奏2!$N$6,关卡产出!$B:$B,玩家节奏2!$N201)+_xlfn.MAXIFS(关卡产出!AC:AC,关卡产出!$A:$A,玩家节奏2!$O$6,关卡产出!$B:$B,玩家节奏2!$O201)+_xlfn.MAXIFS(关卡产出!AC:AC,关卡产出!$A:$A,玩家节奏2!$P$6,关卡产出!$B:$B,玩家节奏2!$P201)</f>
        <v>1200</v>
      </c>
      <c r="W201" s="126">
        <f>INDEX(关卡产出!C$8:C$207,MATCH(玩家节奏2!$N201,关卡产出!$B$8:$B$207,0))*$K201</f>
        <v>2528</v>
      </c>
      <c r="X201" s="126">
        <f>INDEX(关卡产出!D$8:D$207,MATCH(玩家节奏2!$N201,关卡产出!$B$8:$B$207,0))*$K201</f>
        <v>1264</v>
      </c>
      <c r="Y201" s="126">
        <f>INDEX(关卡产出!E$8:E$207,MATCH(玩家节奏2!$N201,关卡产出!$B$8:$B$207,0))*$K201</f>
        <v>624</v>
      </c>
      <c r="Z201" s="144">
        <f>INDEX(关卡产出!F$8:F$207,MATCH(玩家节奏2!$N201,关卡产出!$B$8:$B$207,0))*$K201</f>
        <v>32800</v>
      </c>
      <c r="AA201" s="126">
        <f>SUM(W$7:W201)</f>
        <v>434830</v>
      </c>
      <c r="AB201" s="126">
        <f>SUM(X$7:X201)</f>
        <v>217251</v>
      </c>
      <c r="AC201" s="126">
        <f>SUM(Y$7:Y201)</f>
        <v>107027</v>
      </c>
      <c r="AD201" s="177">
        <f>SUM(Z$7:Z201)</f>
        <v>5669530</v>
      </c>
      <c r="AE201" s="128">
        <f>INDEX(图鉴!AQ:AQ,MATCH($N201,图鉴!$S:$S,0))*34</f>
        <v>714</v>
      </c>
      <c r="AF201" s="90">
        <f>INDEX(图鉴!AR:AR,MATCH($N201,图鉴!$S:$S,0))*34</f>
        <v>510</v>
      </c>
      <c r="AG201" s="90">
        <f>INDEX(图鉴!AS:AS,MATCH($N201,图鉴!$S:$S,0))*34</f>
        <v>204</v>
      </c>
      <c r="AH201" s="129">
        <f ca="1">INDEX(图鉴!AT:AT,MATCH($N201,图鉴!$S:$S,0))*34</f>
        <v>55930</v>
      </c>
      <c r="AI201" s="128">
        <f>SUM($AE$7:AE201)</f>
        <v>137326</v>
      </c>
      <c r="AJ201" s="90">
        <f>SUM(AF$7:AF201)</f>
        <v>95982</v>
      </c>
      <c r="AK201" s="90">
        <f>SUM(AG$7:AG201)</f>
        <v>37842</v>
      </c>
      <c r="AL201" s="130">
        <f ca="1">SUM(AH$7:AH201)</f>
        <v>10076716</v>
      </c>
      <c r="AM201" s="133">
        <f>IF(M201=0,0,INDEX(关卡产出!$AU$11:$AU$15,MATCH(玩家节奏2!N201,关卡产出!$AW$11:$AW$15,1))*M201)</f>
        <v>61000</v>
      </c>
      <c r="AN201" s="126">
        <f>IF(L201=0,0,$L201*关卡产出!AU$21)</f>
        <v>16000</v>
      </c>
      <c r="AO201" s="90">
        <f>IF(M201=0,0,$L201*关卡产出!AV$21)</f>
        <v>800</v>
      </c>
      <c r="AP201" s="129">
        <f>IF(N201=0,0,$L201*关卡产出!AW$21)</f>
        <v>16</v>
      </c>
      <c r="AQ201" s="138">
        <f>SUM(AN$7:AN201)</f>
        <v>3072000</v>
      </c>
      <c r="AR201" s="126">
        <f>SUM(AO$7:AO201)</f>
        <v>153600</v>
      </c>
      <c r="AS201" s="129">
        <f>SUM(AP$7:AP201)</f>
        <v>3072</v>
      </c>
      <c r="AT201" s="128">
        <v>3000</v>
      </c>
      <c r="AU201" s="129">
        <v>600</v>
      </c>
      <c r="AV201" s="128">
        <f>SUM(AT$7:AT201)</f>
        <v>585000</v>
      </c>
      <c r="AW201" s="90">
        <f>SUM(AU$7:AU201)</f>
        <v>117000</v>
      </c>
      <c r="AY201" s="128">
        <f t="shared" si="211"/>
        <v>38500</v>
      </c>
      <c r="AZ201" s="90">
        <f t="shared" si="212"/>
        <v>153600</v>
      </c>
      <c r="BA201" s="90">
        <f t="shared" si="213"/>
        <v>117000</v>
      </c>
      <c r="BB201" s="90">
        <f t="shared" ref="BB201:BB206" ca="1" si="241">CL200</f>
        <v>40800</v>
      </c>
      <c r="BC201" s="90">
        <f t="shared" ca="1" si="187"/>
        <v>177125</v>
      </c>
      <c r="BD201" s="90">
        <f t="shared" ca="1" si="188"/>
        <v>172775</v>
      </c>
      <c r="BE201" s="90">
        <f t="shared" ca="1" si="214"/>
        <v>349900</v>
      </c>
      <c r="BF201" s="142">
        <f t="shared" ca="1" si="198"/>
        <v>0.21736062103034581</v>
      </c>
      <c r="BG201" s="142">
        <f t="shared" ca="1" si="199"/>
        <v>0.8671841919548342</v>
      </c>
      <c r="BH201" s="142">
        <f t="shared" ca="1" si="200"/>
        <v>0.66055045871559637</v>
      </c>
      <c r="BI201" s="142">
        <f t="shared" ca="1" si="215"/>
        <v>0.23034580098800284</v>
      </c>
      <c r="BJ201" s="143"/>
      <c r="BK201" s="128">
        <f ca="1">INDEX(商城宝箱!$L:$L,MATCH(BC201,商城宝箱!$N:$N,1))</f>
        <v>14</v>
      </c>
      <c r="BL201" s="90">
        <f ca="1">_xlfn.IFNA(INDEX(商城宝箱!T:T,MATCH(玩家节奏2!$BK201,商城宝箱!$L:$L,0)),0)+($BC201-INDEX(商城宝箱!$N:$N,MATCH(玩家节奏2!$BK201,商城宝箱!$L:$L,0)))/$BK$5*INDEX(商城宝箱!E$23:E$42,MATCH(玩家节奏2!$BK201+1,商城宝箱!$C$23:$C$42,0))</f>
        <v>442812.5</v>
      </c>
      <c r="BM201" s="90">
        <f ca="1">_xlfn.IFNA(INDEX(商城宝箱!U:U,MATCH(玩家节奏2!$BK201,商城宝箱!$L:$L,0)),0)+($BC201-INDEX(商城宝箱!$N:$N,MATCH(玩家节奏2!$BK201,商城宝箱!$L:$L,0)))/$BK$5*INDEX(商城宝箱!F$23:F$42,MATCH(玩家节奏2!$BK201+1,商城宝箱!$C$23:$C$42,0))</f>
        <v>589292.5</v>
      </c>
      <c r="BN201" s="90">
        <f ca="1">_xlfn.IFNA(INDEX(商城宝箱!V:V,MATCH(玩家节奏2!$BK201,商城宝箱!$L:$L,0)),0)+($BC201-INDEX(商城宝箱!$N:$N,MATCH(玩家节奏2!$BK201,商城宝箱!$L:$L,0)))/$BK$5*INDEX(商城宝箱!G$23:G$42,MATCH(玩家节奏2!$BK201+1,商城宝箱!$C$23:$C$42,0))</f>
        <v>291949.5</v>
      </c>
      <c r="BO201" s="90">
        <f ca="1">_xlfn.IFNA(INDEX(商城宝箱!W:W,MATCH(玩家节奏2!$BK201,商城宝箱!$L:$L,0)),0)+($BC201-INDEX(商城宝箱!$N:$N,MATCH(玩家节奏2!$BK201,商城宝箱!$L:$L,0)))/$BK$5*INDEX(商城宝箱!H$23:H$42,MATCH(玩家节奏2!$BK201+1,商城宝箱!$C$23:$C$42,0))</f>
        <v>48592.75</v>
      </c>
      <c r="BQ201" s="128">
        <f t="shared" si="202"/>
        <v>11610000</v>
      </c>
      <c r="BR201" s="90">
        <f t="shared" si="203"/>
        <v>5669530</v>
      </c>
      <c r="BS201" s="90">
        <f t="shared" ca="1" si="204"/>
        <v>10076716</v>
      </c>
      <c r="BT201" s="90">
        <f t="shared" si="205"/>
        <v>61000</v>
      </c>
      <c r="BU201" s="90">
        <f t="shared" si="206"/>
        <v>3072000</v>
      </c>
      <c r="BV201" s="90">
        <f t="shared" si="207"/>
        <v>585000</v>
      </c>
      <c r="BW201" s="90">
        <f t="shared" ca="1" si="216"/>
        <v>442812.5</v>
      </c>
      <c r="BX201" s="90">
        <f t="shared" ca="1" si="217"/>
        <v>31517058.5</v>
      </c>
      <c r="BY201" s="142">
        <f t="shared" ca="1" si="191"/>
        <v>0.36837194054768785</v>
      </c>
      <c r="BZ201" s="142">
        <f t="shared" ca="1" si="191"/>
        <v>0.17988766305713461</v>
      </c>
      <c r="CA201" s="142">
        <f t="shared" ca="1" si="191"/>
        <v>0.31972260355451637</v>
      </c>
      <c r="CB201" s="142">
        <f t="shared" ca="1" si="190"/>
        <v>1.9354598082178258E-3</v>
      </c>
      <c r="CC201" s="142">
        <f t="shared" ca="1" si="190"/>
        <v>9.7471025095822311E-2</v>
      </c>
      <c r="CD201" s="142">
        <f t="shared" ca="1" si="190"/>
        <v>1.8561376849302102E-2</v>
      </c>
      <c r="CE201" s="142">
        <f t="shared" ca="1" si="190"/>
        <v>1.4049931087318951E-2</v>
      </c>
      <c r="CG201" s="128">
        <f t="shared" si="218"/>
        <v>200</v>
      </c>
      <c r="CH201" s="90">
        <f ca="1">INDEX(角色升级!$A:$A,MATCH(玩家节奏2!$BX201,角色升级!$J:$J,1))</f>
        <v>1047</v>
      </c>
      <c r="CI201" s="90">
        <f ca="1">INDEX(角色升级!$O:$O,MATCH(玩家节奏2!$BX201,角色升级!$J:$J,1))</f>
        <v>99294.156750000009</v>
      </c>
      <c r="CJ201" s="90">
        <f>INDEX(关卡对比!$J:$J,MATCH(玩家节奏2!N201,关卡对比!$A:$A,0))</f>
        <v>86200</v>
      </c>
      <c r="CK201" s="147">
        <f t="shared" ca="1" si="219"/>
        <v>0.8681276202086281</v>
      </c>
      <c r="CL201" s="128">
        <f ca="1">INDEX(角色升级!$P:$P,MATCH(玩家节奏2!$CH201,角色升级!$A:$A,0))</f>
        <v>40800</v>
      </c>
      <c r="CM201" s="90">
        <f ca="1">INDEX(角色升级!Q:Q,MATCH(玩家节奏2!$CH201,角色升级!$A:$A,0))</f>
        <v>2.2000000000000002</v>
      </c>
      <c r="CO201" s="128">
        <f t="shared" si="220"/>
        <v>78866</v>
      </c>
      <c r="CP201" s="90">
        <f t="shared" si="221"/>
        <v>434830</v>
      </c>
      <c r="CQ201" s="90">
        <f t="shared" si="222"/>
        <v>137326</v>
      </c>
      <c r="CR201" s="90">
        <f t="shared" ca="1" si="223"/>
        <v>589292.5</v>
      </c>
      <c r="CS201" s="90">
        <f t="shared" ca="1" si="224"/>
        <v>1240314.5</v>
      </c>
      <c r="CT201" s="142">
        <f t="shared" ca="1" si="225"/>
        <v>6.3585485778002271E-2</v>
      </c>
      <c r="CU201" s="142">
        <f t="shared" ca="1" si="225"/>
        <v>0.3505804374616277</v>
      </c>
      <c r="CV201" s="142">
        <f t="shared" ca="1" si="225"/>
        <v>0.11071869271866128</v>
      </c>
      <c r="CW201" s="142">
        <f t="shared" ca="1" si="225"/>
        <v>0.47511538404170878</v>
      </c>
      <c r="CY201" s="128">
        <f t="shared" si="226"/>
        <v>39434</v>
      </c>
      <c r="CZ201" s="90">
        <f t="shared" si="227"/>
        <v>217251</v>
      </c>
      <c r="DA201" s="90">
        <f t="shared" si="228"/>
        <v>95982</v>
      </c>
      <c r="DB201" s="90">
        <f t="shared" ref="DB201:DB206" ca="1" si="242">BN201</f>
        <v>291949.5</v>
      </c>
      <c r="DC201" s="90">
        <f t="shared" ca="1" si="229"/>
        <v>644616.5</v>
      </c>
      <c r="DD201" s="142">
        <f t="shared" ca="1" si="230"/>
        <v>6.117435715654191E-2</v>
      </c>
      <c r="DE201" s="142">
        <f t="shared" ca="1" si="230"/>
        <v>0.33702364118821038</v>
      </c>
      <c r="DF201" s="142">
        <f t="shared" ca="1" si="230"/>
        <v>0.14889783305267551</v>
      </c>
      <c r="DG201" s="142">
        <f t="shared" ca="1" si="230"/>
        <v>0.45290416860257221</v>
      </c>
      <c r="DI201" s="128">
        <f t="shared" si="231"/>
        <v>19113</v>
      </c>
      <c r="DJ201" s="90">
        <f t="shared" si="232"/>
        <v>107027</v>
      </c>
      <c r="DK201" s="90">
        <f t="shared" si="233"/>
        <v>37842</v>
      </c>
      <c r="DL201" s="90">
        <f t="shared" ca="1" si="234"/>
        <v>48592.75</v>
      </c>
      <c r="DM201" s="90">
        <f t="shared" ca="1" si="235"/>
        <v>212574.75</v>
      </c>
      <c r="DN201" s="142">
        <f t="shared" ca="1" si="236"/>
        <v>8.9911901578150738E-2</v>
      </c>
      <c r="DO201" s="142">
        <f t="shared" ca="1" si="236"/>
        <v>0.50347936431772822</v>
      </c>
      <c r="DP201" s="142">
        <f t="shared" ca="1" si="236"/>
        <v>0.17801737976876369</v>
      </c>
      <c r="DQ201" s="142">
        <f t="shared" ca="1" si="236"/>
        <v>0.22859135433535732</v>
      </c>
      <c r="DS201" s="128">
        <f t="shared" ca="1" si="237"/>
        <v>1240314.5</v>
      </c>
      <c r="DT201" s="90">
        <f t="shared" ca="1" si="238"/>
        <v>644616.5</v>
      </c>
      <c r="DU201" s="90">
        <f t="shared" ca="1" si="239"/>
        <v>212574.75</v>
      </c>
      <c r="DV201" s="90">
        <f t="shared" si="240"/>
        <v>3072</v>
      </c>
      <c r="DW201" s="90">
        <f ca="1">_xlfn.IFNA(INDEX(武器升级消耗!$H:$H,MATCH(玩家节奏2!DS201/玩家节奏2!DS$5,武器升级消耗!M:M,1)),0)</f>
        <v>96</v>
      </c>
      <c r="DX201" s="90">
        <f ca="1">_xlfn.IFNA(INDEX(武器升级消耗!$H:$H,MATCH(玩家节奏2!DT201/玩家节奏2!DT$5,武器升级消耗!N:N,1)),0)</f>
        <v>84</v>
      </c>
      <c r="DY201" s="90">
        <f ca="1">_xlfn.IFNA(INDEX(武器升级消耗!$H:$H,MATCH(玩家节奏2!DU201/玩家节奏2!DU$5,武器升级消耗!O:O,1)),0)</f>
        <v>63</v>
      </c>
      <c r="DZ201" s="90">
        <f>_xlfn.IFNA(INDEX(武器升级消耗!$H:$H,MATCH(玩家节奏2!DV201/玩家节奏2!DV$5,武器升级消耗!P:P,1)),0)</f>
        <v>40</v>
      </c>
      <c r="EA201" s="90">
        <f ca="1">_xlfn.IFNA(INDEX(武器升级消耗!$Q:$Q,MATCH(玩家节奏2!DW201,武器升级消耗!$H:$H,0))*2*EA$4,0)</f>
        <v>11.999999999999988</v>
      </c>
      <c r="EB201" s="90">
        <f ca="1">_xlfn.IFNA(INDEX(武器升级消耗!$Q:$Q,MATCH(玩家节奏2!DX201,武器升级消耗!$H:$H,0))*2*EB$4,0)</f>
        <v>13.199999999999985</v>
      </c>
      <c r="EC201" s="90">
        <f ca="1">_xlfn.IFNA(INDEX(武器升级消耗!$Q:$Q,MATCH(玩家节奏2!DY201,武器升级消耗!$H:$H,0))*2*EC$4,0)</f>
        <v>14.740000000000002</v>
      </c>
      <c r="ED201" s="90">
        <f>_xlfn.IFNA(INDEX(武器升级消耗!$Q:$Q,MATCH(玩家节奏2!DZ201,武器升级消耗!$H:$H,0))*2*ED$4,0)</f>
        <v>13.200000000000001</v>
      </c>
    </row>
    <row r="202" spans="1:134" x14ac:dyDescent="0.25">
      <c r="A202" s="123">
        <v>196</v>
      </c>
      <c r="B202" s="123">
        <f>INDEX(关卡对比!$Y:$Y,MATCH(关卡对比!Z202,关卡对比!$AA:$AA,1))</f>
        <v>111</v>
      </c>
      <c r="C202" s="124">
        <f>INDEX(关卡对比!$Y:$Y,MATCH(关卡对比!Z202,关卡对比!$AB:$AB,1))</f>
        <v>83</v>
      </c>
      <c r="D202" s="125">
        <f t="shared" si="189"/>
        <v>749.5</v>
      </c>
      <c r="E202" s="125">
        <v>2</v>
      </c>
      <c r="F202" s="128">
        <v>16</v>
      </c>
      <c r="G202" s="90">
        <v>16</v>
      </c>
      <c r="H202" s="90">
        <v>5</v>
      </c>
      <c r="J202" s="128">
        <v>196</v>
      </c>
      <c r="K202" s="90">
        <f t="shared" si="208"/>
        <v>16</v>
      </c>
      <c r="L202" s="90">
        <f t="shared" si="209"/>
        <v>16</v>
      </c>
      <c r="M202" s="90">
        <f t="shared" si="210"/>
        <v>5</v>
      </c>
      <c r="N202" s="140">
        <f>INDEX($A:$A,MATCH(SUM($K$7:K202),$D:$D,1))</f>
        <v>200</v>
      </c>
      <c r="O202" s="140">
        <v>0</v>
      </c>
      <c r="P202" s="141">
        <v>0</v>
      </c>
      <c r="Q202" s="126">
        <f>_xlfn.MAXIFS(关卡产出!X:X,关卡产出!$A:$A,玩家节奏2!$N$6,关卡产出!$B:$B,玩家节奏2!$N202)+_xlfn.MAXIFS(关卡产出!X:X,关卡产出!$A:$A,玩家节奏2!$O$6,关卡产出!$B:$B,玩家节奏2!$O202)+_xlfn.MAXIFS(关卡产出!X:X,关卡产出!$A:$A,玩家节奏2!$P$6,关卡产出!$B:$B,玩家节奏2!$P202)</f>
        <v>38500</v>
      </c>
      <c r="R202" s="90">
        <f>_xlfn.MAXIFS(关卡产出!Y:Y,关卡产出!$A:$A,玩家节奏2!$N$6,关卡产出!$B:$B,玩家节奏2!$N202)+_xlfn.MAXIFS(关卡产出!Y:Y,关卡产出!$A:$A,玩家节奏2!$O$6,关卡产出!$B:$B,玩家节奏2!$O202)+_xlfn.MAXIFS(关卡产出!Y:Y,关卡产出!$A:$A,玩家节奏2!$P$6,关卡产出!$B:$B,玩家节奏2!$P202)</f>
        <v>11610000</v>
      </c>
      <c r="S202" s="90">
        <f>_xlfn.MAXIFS(关卡产出!Z:Z,关卡产出!$A:$A,玩家节奏2!$N$6,关卡产出!$B:$B,玩家节奏2!$N202)+_xlfn.MAXIFS(关卡产出!Z:Z,关卡产出!$A:$A,玩家节奏2!$O$6,关卡产出!$B:$B,玩家节奏2!$O202)+_xlfn.MAXIFS(关卡产出!Z:Z,关卡产出!$A:$A,玩家节奏2!$P$6,关卡产出!$B:$B,玩家节奏2!$P202)</f>
        <v>78866</v>
      </c>
      <c r="T202" s="90">
        <f>_xlfn.MAXIFS(关卡产出!AA:AA,关卡产出!$A:$A,玩家节奏2!$N$6,关卡产出!$B:$B,玩家节奏2!$N202)+_xlfn.MAXIFS(关卡产出!AA:AA,关卡产出!$A:$A,玩家节奏2!$O$6,关卡产出!$B:$B,玩家节奏2!$O202)+_xlfn.MAXIFS(关卡产出!AA:AA,关卡产出!$A:$A,玩家节奏2!$P$6,关卡产出!$B:$B,玩家节奏2!$P202)</f>
        <v>39434</v>
      </c>
      <c r="U202" s="90">
        <f>_xlfn.MAXIFS(关卡产出!AB:AB,关卡产出!$A:$A,玩家节奏2!$N$6,关卡产出!$B:$B,玩家节奏2!$N202)+_xlfn.MAXIFS(关卡产出!AB:AB,关卡产出!$A:$A,玩家节奏2!$O$6,关卡产出!$B:$B,玩家节奏2!$O202)+_xlfn.MAXIFS(关卡产出!AB:AB,关卡产出!$A:$A,玩家节奏2!$P$6,关卡产出!$B:$B,玩家节奏2!$P202)</f>
        <v>19113</v>
      </c>
      <c r="V202" s="130">
        <f>_xlfn.MAXIFS(关卡产出!AC:AC,关卡产出!$A:$A,玩家节奏2!$N$6,关卡产出!$B:$B,玩家节奏2!$N202)+_xlfn.MAXIFS(关卡产出!AC:AC,关卡产出!$A:$A,玩家节奏2!$O$6,关卡产出!$B:$B,玩家节奏2!$O202)+_xlfn.MAXIFS(关卡产出!AC:AC,关卡产出!$A:$A,玩家节奏2!$P$6,关卡产出!$B:$B,玩家节奏2!$P202)</f>
        <v>1200</v>
      </c>
      <c r="W202" s="126">
        <f>INDEX(关卡产出!C$8:C$207,MATCH(玩家节奏2!$N202,关卡产出!$B$8:$B$207,0))*$K202</f>
        <v>2528</v>
      </c>
      <c r="X202" s="126">
        <f>INDEX(关卡产出!D$8:D$207,MATCH(玩家节奏2!$N202,关卡产出!$B$8:$B$207,0))*$K202</f>
        <v>1264</v>
      </c>
      <c r="Y202" s="126">
        <f>INDEX(关卡产出!E$8:E$207,MATCH(玩家节奏2!$N202,关卡产出!$B$8:$B$207,0))*$K202</f>
        <v>624</v>
      </c>
      <c r="Z202" s="144">
        <f>INDEX(关卡产出!F$8:F$207,MATCH(玩家节奏2!$N202,关卡产出!$B$8:$B$207,0))*$K202</f>
        <v>32800</v>
      </c>
      <c r="AA202" s="126">
        <f>SUM(W$7:W202)</f>
        <v>437358</v>
      </c>
      <c r="AB202" s="126">
        <f>SUM(X$7:X202)</f>
        <v>218515</v>
      </c>
      <c r="AC202" s="126">
        <f>SUM(Y$7:Y202)</f>
        <v>107651</v>
      </c>
      <c r="AD202" s="177">
        <f>SUM(Z$7:Z202)</f>
        <v>5702330</v>
      </c>
      <c r="AE202" s="128">
        <f>INDEX(图鉴!AQ:AQ,MATCH($N202,图鉴!$S:$S,0))*34</f>
        <v>714</v>
      </c>
      <c r="AF202" s="90">
        <f>INDEX(图鉴!AR:AR,MATCH($N202,图鉴!$S:$S,0))*34</f>
        <v>510</v>
      </c>
      <c r="AG202" s="90">
        <f>INDEX(图鉴!AS:AS,MATCH($N202,图鉴!$S:$S,0))*34</f>
        <v>204</v>
      </c>
      <c r="AH202" s="129">
        <f ca="1">INDEX(图鉴!AT:AT,MATCH($N202,图鉴!$S:$S,0))*34</f>
        <v>55930</v>
      </c>
      <c r="AI202" s="128">
        <f>SUM($AE$7:AE202)</f>
        <v>138040</v>
      </c>
      <c r="AJ202" s="90">
        <f>SUM(AF$7:AF202)</f>
        <v>96492</v>
      </c>
      <c r="AK202" s="90">
        <f>SUM(AG$7:AG202)</f>
        <v>38046</v>
      </c>
      <c r="AL202" s="130">
        <f ca="1">SUM(AH$7:AH202)</f>
        <v>10132646</v>
      </c>
      <c r="AM202" s="133">
        <f>IF(M202=0,0,INDEX(关卡产出!$AU$11:$AU$15,MATCH(玩家节奏2!N202,关卡产出!$AW$11:$AW$15,1))*M202)</f>
        <v>61000</v>
      </c>
      <c r="AN202" s="126">
        <f>IF(L202=0,0,$L202*关卡产出!AU$21)</f>
        <v>16000</v>
      </c>
      <c r="AO202" s="90">
        <f>IF(M202=0,0,$L202*关卡产出!AV$21)</f>
        <v>800</v>
      </c>
      <c r="AP202" s="129">
        <f>IF(N202=0,0,$L202*关卡产出!AW$21)</f>
        <v>16</v>
      </c>
      <c r="AQ202" s="138">
        <f>SUM(AN$7:AN202)</f>
        <v>3088000</v>
      </c>
      <c r="AR202" s="126">
        <f>SUM(AO$7:AO202)</f>
        <v>154400</v>
      </c>
      <c r="AS202" s="129">
        <f>SUM(AP$7:AP202)</f>
        <v>3088</v>
      </c>
      <c r="AT202" s="128">
        <v>3000</v>
      </c>
      <c r="AU202" s="129">
        <v>600</v>
      </c>
      <c r="AV202" s="128">
        <f>SUM(AT$7:AT202)</f>
        <v>588000</v>
      </c>
      <c r="AW202" s="90">
        <f>SUM(AU$7:AU202)</f>
        <v>117600</v>
      </c>
      <c r="AY202" s="128">
        <f t="shared" si="211"/>
        <v>38500</v>
      </c>
      <c r="AZ202" s="90">
        <f t="shared" si="212"/>
        <v>154400</v>
      </c>
      <c r="BA202" s="90">
        <f t="shared" si="213"/>
        <v>117600</v>
      </c>
      <c r="BB202" s="90">
        <f t="shared" ca="1" si="241"/>
        <v>40800</v>
      </c>
      <c r="BC202" s="90">
        <f t="shared" ca="1" si="187"/>
        <v>177825</v>
      </c>
      <c r="BD202" s="90">
        <f t="shared" ca="1" si="188"/>
        <v>173475</v>
      </c>
      <c r="BE202" s="90">
        <f t="shared" ca="1" si="214"/>
        <v>351300</v>
      </c>
      <c r="BF202" s="142">
        <f t="shared" ca="1" si="198"/>
        <v>0.21650499086180233</v>
      </c>
      <c r="BG202" s="142">
        <f t="shared" ca="1" si="199"/>
        <v>0.86826936594966964</v>
      </c>
      <c r="BH202" s="142">
        <f t="shared" ca="1" si="200"/>
        <v>0.6613243357233235</v>
      </c>
      <c r="BI202" s="142">
        <f t="shared" ca="1" si="215"/>
        <v>0.22943905525094896</v>
      </c>
      <c r="BJ202" s="143"/>
      <c r="BK202" s="128">
        <f ca="1">INDEX(商城宝箱!$L:$L,MATCH(BC202,商城宝箱!$N:$N,1))</f>
        <v>14</v>
      </c>
      <c r="BL202" s="90">
        <f ca="1">_xlfn.IFNA(INDEX(商城宝箱!T:T,MATCH(玩家节奏2!$BK202,商城宝箱!$L:$L,0)),0)+($BC202-INDEX(商城宝箱!$N:$N,MATCH(玩家节奏2!$BK202,商城宝箱!$L:$L,0)))/$BK$5*INDEX(商城宝箱!E$23:E$42,MATCH(玩家节奏2!$BK202+1,商城宝箱!$C$23:$C$42,0))</f>
        <v>444562.5</v>
      </c>
      <c r="BM202" s="90">
        <f ca="1">_xlfn.IFNA(INDEX(商城宝箱!U:U,MATCH(玩家节奏2!$BK202,商城宝箱!$L:$L,0)),0)+($BC202-INDEX(商城宝箱!$N:$N,MATCH(玩家节奏2!$BK202,商城宝箱!$L:$L,0)))/$BK$5*INDEX(商城宝箱!F$23:F$42,MATCH(玩家节奏2!$BK202+1,商城宝箱!$C$23:$C$42,0))</f>
        <v>592932.5</v>
      </c>
      <c r="BN202" s="90">
        <f ca="1">_xlfn.IFNA(INDEX(商城宝箱!V:V,MATCH(玩家节奏2!$BK202,商城宝箱!$L:$L,0)),0)+($BC202-INDEX(商城宝箱!$N:$N,MATCH(玩家节奏2!$BK202,商城宝箱!$L:$L,0)))/$BK$5*INDEX(商城宝箱!G$23:G$42,MATCH(玩家节奏2!$BK202+1,商城宝箱!$C$23:$C$42,0))</f>
        <v>293699.5</v>
      </c>
      <c r="BO202" s="90">
        <f ca="1">_xlfn.IFNA(INDEX(商城宝箱!W:W,MATCH(玩家节奏2!$BK202,商城宝箱!$L:$L,0)),0)+($BC202-INDEX(商城宝箱!$N:$N,MATCH(玩家节奏2!$BK202,商城宝箱!$L:$L,0)))/$BK$5*INDEX(商城宝箱!H$23:H$42,MATCH(玩家节奏2!$BK202+1,商城宝箱!$C$23:$C$42,0))</f>
        <v>48907.75</v>
      </c>
      <c r="BQ202" s="128">
        <f t="shared" si="202"/>
        <v>11610000</v>
      </c>
      <c r="BR202" s="90">
        <f t="shared" si="203"/>
        <v>5702330</v>
      </c>
      <c r="BS202" s="90">
        <f t="shared" ca="1" si="204"/>
        <v>10132646</v>
      </c>
      <c r="BT202" s="90">
        <f t="shared" si="205"/>
        <v>61000</v>
      </c>
      <c r="BU202" s="90">
        <f t="shared" si="206"/>
        <v>3088000</v>
      </c>
      <c r="BV202" s="90">
        <f t="shared" si="207"/>
        <v>588000</v>
      </c>
      <c r="BW202" s="90">
        <f t="shared" ca="1" si="216"/>
        <v>444562.5</v>
      </c>
      <c r="BX202" s="90">
        <f t="shared" ca="1" si="217"/>
        <v>31626538.5</v>
      </c>
      <c r="BY202" s="142">
        <f t="shared" ca="1" si="191"/>
        <v>0.36709676590120666</v>
      </c>
      <c r="BZ202" s="142">
        <f t="shared" ca="1" si="191"/>
        <v>0.18030205866506699</v>
      </c>
      <c r="CA202" s="142">
        <f t="shared" ca="1" si="191"/>
        <v>0.32038428739205843</v>
      </c>
      <c r="CB202" s="142">
        <f t="shared" ca="1" si="190"/>
        <v>1.9287599242009997E-3</v>
      </c>
      <c r="CC202" s="142">
        <f t="shared" ca="1" si="190"/>
        <v>9.7639518785781754E-2</v>
      </c>
      <c r="CD202" s="142">
        <f t="shared" ca="1" si="190"/>
        <v>1.8591980908691606E-2</v>
      </c>
      <c r="CE202" s="142">
        <f t="shared" ca="1" si="190"/>
        <v>1.4056628422993557E-2</v>
      </c>
      <c r="CG202" s="128">
        <f t="shared" si="218"/>
        <v>200</v>
      </c>
      <c r="CH202" s="90">
        <f ca="1">INDEX(角色升级!$A:$A,MATCH(玩家节奏2!$BX202,角色升级!$J:$J,1))</f>
        <v>1047</v>
      </c>
      <c r="CI202" s="90">
        <f ca="1">INDEX(角色升级!$O:$O,MATCH(玩家节奏2!$BX202,角色升级!$J:$J,1))</f>
        <v>99294.156750000009</v>
      </c>
      <c r="CJ202" s="90">
        <f>INDEX(关卡对比!$J:$J,MATCH(玩家节奏2!N202,关卡对比!$A:$A,0))</f>
        <v>86200</v>
      </c>
      <c r="CK202" s="147">
        <f t="shared" ca="1" si="219"/>
        <v>0.8681276202086281</v>
      </c>
      <c r="CL202" s="128">
        <f ca="1">INDEX(角色升级!$P:$P,MATCH(玩家节奏2!$CH202,角色升级!$A:$A,0))</f>
        <v>40800</v>
      </c>
      <c r="CM202" s="90">
        <f ca="1">INDEX(角色升级!Q:Q,MATCH(玩家节奏2!$CH202,角色升级!$A:$A,0))</f>
        <v>2.2000000000000002</v>
      </c>
      <c r="CO202" s="128">
        <f t="shared" si="220"/>
        <v>78866</v>
      </c>
      <c r="CP202" s="90">
        <f t="shared" si="221"/>
        <v>437358</v>
      </c>
      <c r="CQ202" s="90">
        <f t="shared" si="222"/>
        <v>138040</v>
      </c>
      <c r="CR202" s="90">
        <f t="shared" ca="1" si="223"/>
        <v>592932.5</v>
      </c>
      <c r="CS202" s="90">
        <f t="shared" ca="1" si="224"/>
        <v>1247196.5</v>
      </c>
      <c r="CT202" s="142">
        <f t="shared" ca="1" si="225"/>
        <v>6.323462261159328E-2</v>
      </c>
      <c r="CU202" s="142">
        <f t="shared" ca="1" si="225"/>
        <v>0.35067288915579864</v>
      </c>
      <c r="CV202" s="142">
        <f t="shared" ca="1" si="225"/>
        <v>0.11068023362798084</v>
      </c>
      <c r="CW202" s="142">
        <f t="shared" ca="1" si="225"/>
        <v>0.47541225460462727</v>
      </c>
      <c r="CY202" s="128">
        <f t="shared" si="226"/>
        <v>39434</v>
      </c>
      <c r="CZ202" s="90">
        <f t="shared" si="227"/>
        <v>218515</v>
      </c>
      <c r="DA202" s="90">
        <f t="shared" si="228"/>
        <v>96492</v>
      </c>
      <c r="DB202" s="90">
        <f t="shared" ca="1" si="242"/>
        <v>293699.5</v>
      </c>
      <c r="DC202" s="90">
        <f t="shared" ca="1" si="229"/>
        <v>648140.5</v>
      </c>
      <c r="DD202" s="142">
        <f t="shared" ca="1" si="230"/>
        <v>6.0841746504037321E-2</v>
      </c>
      <c r="DE202" s="142">
        <f t="shared" ca="1" si="230"/>
        <v>0.3371414068400293</v>
      </c>
      <c r="DF202" s="142">
        <f t="shared" ca="1" si="230"/>
        <v>0.14887512815508366</v>
      </c>
      <c r="DG202" s="142">
        <f t="shared" ca="1" si="230"/>
        <v>0.45314171850084972</v>
      </c>
      <c r="DI202" s="128">
        <f t="shared" si="231"/>
        <v>19113</v>
      </c>
      <c r="DJ202" s="90">
        <f t="shared" si="232"/>
        <v>107651</v>
      </c>
      <c r="DK202" s="90">
        <f t="shared" si="233"/>
        <v>38046</v>
      </c>
      <c r="DL202" s="90">
        <f t="shared" ca="1" si="234"/>
        <v>48907.75</v>
      </c>
      <c r="DM202" s="90">
        <f t="shared" ca="1" si="235"/>
        <v>213717.75</v>
      </c>
      <c r="DN202" s="142">
        <f t="shared" ca="1" si="236"/>
        <v>8.9431036963471683E-2</v>
      </c>
      <c r="DO202" s="142">
        <f t="shared" ca="1" si="236"/>
        <v>0.5037064071655255</v>
      </c>
      <c r="DP202" s="142">
        <f t="shared" ca="1" si="236"/>
        <v>0.17801984159013465</v>
      </c>
      <c r="DQ202" s="142">
        <f t="shared" ca="1" si="236"/>
        <v>0.22884271428086811</v>
      </c>
      <c r="DS202" s="128">
        <f t="shared" ca="1" si="237"/>
        <v>1247196.5</v>
      </c>
      <c r="DT202" s="90">
        <f t="shared" ca="1" si="238"/>
        <v>648140.5</v>
      </c>
      <c r="DU202" s="90">
        <f t="shared" ca="1" si="239"/>
        <v>213717.75</v>
      </c>
      <c r="DV202" s="90">
        <f t="shared" si="240"/>
        <v>3088</v>
      </c>
      <c r="DW202" s="90">
        <f ca="1">_xlfn.IFNA(INDEX(武器升级消耗!$H:$H,MATCH(玩家节奏2!DS202/玩家节奏2!DS$5,武器升级消耗!M:M,1)),0)</f>
        <v>96</v>
      </c>
      <c r="DX202" s="90">
        <f ca="1">_xlfn.IFNA(INDEX(武器升级消耗!$H:$H,MATCH(玩家节奏2!DT202/玩家节奏2!DT$5,武器升级消耗!N:N,1)),0)</f>
        <v>84</v>
      </c>
      <c r="DY202" s="90">
        <f ca="1">_xlfn.IFNA(INDEX(武器升级消耗!$H:$H,MATCH(玩家节奏2!DU202/玩家节奏2!DU$5,武器升级消耗!O:O,1)),0)</f>
        <v>63</v>
      </c>
      <c r="DZ202" s="90">
        <f>_xlfn.IFNA(INDEX(武器升级消耗!$H:$H,MATCH(玩家节奏2!DV202/玩家节奏2!DV$5,武器升级消耗!P:P,1)),0)</f>
        <v>40</v>
      </c>
      <c r="EA202" s="90">
        <f ca="1">_xlfn.IFNA(INDEX(武器升级消耗!$Q:$Q,MATCH(玩家节奏2!DW202,武器升级消耗!$H:$H,0))*2*EA$4,0)</f>
        <v>11.999999999999988</v>
      </c>
      <c r="EB202" s="90">
        <f ca="1">_xlfn.IFNA(INDEX(武器升级消耗!$Q:$Q,MATCH(玩家节奏2!DX202,武器升级消耗!$H:$H,0))*2*EB$4,0)</f>
        <v>13.199999999999985</v>
      </c>
      <c r="EC202" s="90">
        <f ca="1">_xlfn.IFNA(INDEX(武器升级消耗!$Q:$Q,MATCH(玩家节奏2!DY202,武器升级消耗!$H:$H,0))*2*EC$4,0)</f>
        <v>14.740000000000002</v>
      </c>
      <c r="ED202" s="90">
        <f>_xlfn.IFNA(INDEX(武器升级消耗!$Q:$Q,MATCH(玩家节奏2!DZ202,武器升级消耗!$H:$H,0))*2*ED$4,0)</f>
        <v>13.200000000000001</v>
      </c>
    </row>
    <row r="203" spans="1:134" x14ac:dyDescent="0.25">
      <c r="A203" s="123">
        <v>197</v>
      </c>
      <c r="B203" s="123">
        <f>INDEX(关卡对比!$Y:$Y,MATCH(关卡对比!Z203,关卡对比!$AA:$AA,1))</f>
        <v>112</v>
      </c>
      <c r="C203" s="124">
        <f>INDEX(关卡对比!$Y:$Y,MATCH(关卡对比!Z203,关卡对比!$AB:$AB,1))</f>
        <v>84</v>
      </c>
      <c r="D203" s="125">
        <f t="shared" si="189"/>
        <v>755.5</v>
      </c>
      <c r="E203" s="125">
        <v>2</v>
      </c>
      <c r="F203" s="128">
        <v>16</v>
      </c>
      <c r="G203" s="90">
        <v>16</v>
      </c>
      <c r="H203" s="90">
        <v>5</v>
      </c>
      <c r="J203" s="128">
        <v>197</v>
      </c>
      <c r="K203" s="90">
        <f t="shared" si="208"/>
        <v>16</v>
      </c>
      <c r="L203" s="90">
        <f t="shared" si="209"/>
        <v>16</v>
      </c>
      <c r="M203" s="90">
        <f t="shared" si="210"/>
        <v>5</v>
      </c>
      <c r="N203" s="140">
        <f>INDEX($A:$A,MATCH(SUM($K$7:K203),$D:$D,1))</f>
        <v>200</v>
      </c>
      <c r="O203" s="140">
        <v>0</v>
      </c>
      <c r="P203" s="141">
        <v>0</v>
      </c>
      <c r="Q203" s="126">
        <f>_xlfn.MAXIFS(关卡产出!X:X,关卡产出!$A:$A,玩家节奏2!$N$6,关卡产出!$B:$B,玩家节奏2!$N203)+_xlfn.MAXIFS(关卡产出!X:X,关卡产出!$A:$A,玩家节奏2!$O$6,关卡产出!$B:$B,玩家节奏2!$O203)+_xlfn.MAXIFS(关卡产出!X:X,关卡产出!$A:$A,玩家节奏2!$P$6,关卡产出!$B:$B,玩家节奏2!$P203)</f>
        <v>38500</v>
      </c>
      <c r="R203" s="90">
        <f>_xlfn.MAXIFS(关卡产出!Y:Y,关卡产出!$A:$A,玩家节奏2!$N$6,关卡产出!$B:$B,玩家节奏2!$N203)+_xlfn.MAXIFS(关卡产出!Y:Y,关卡产出!$A:$A,玩家节奏2!$O$6,关卡产出!$B:$B,玩家节奏2!$O203)+_xlfn.MAXIFS(关卡产出!Y:Y,关卡产出!$A:$A,玩家节奏2!$P$6,关卡产出!$B:$B,玩家节奏2!$P203)</f>
        <v>11610000</v>
      </c>
      <c r="S203" s="90">
        <f>_xlfn.MAXIFS(关卡产出!Z:Z,关卡产出!$A:$A,玩家节奏2!$N$6,关卡产出!$B:$B,玩家节奏2!$N203)+_xlfn.MAXIFS(关卡产出!Z:Z,关卡产出!$A:$A,玩家节奏2!$O$6,关卡产出!$B:$B,玩家节奏2!$O203)+_xlfn.MAXIFS(关卡产出!Z:Z,关卡产出!$A:$A,玩家节奏2!$P$6,关卡产出!$B:$B,玩家节奏2!$P203)</f>
        <v>78866</v>
      </c>
      <c r="T203" s="90">
        <f>_xlfn.MAXIFS(关卡产出!AA:AA,关卡产出!$A:$A,玩家节奏2!$N$6,关卡产出!$B:$B,玩家节奏2!$N203)+_xlfn.MAXIFS(关卡产出!AA:AA,关卡产出!$A:$A,玩家节奏2!$O$6,关卡产出!$B:$B,玩家节奏2!$O203)+_xlfn.MAXIFS(关卡产出!AA:AA,关卡产出!$A:$A,玩家节奏2!$P$6,关卡产出!$B:$B,玩家节奏2!$P203)</f>
        <v>39434</v>
      </c>
      <c r="U203" s="90">
        <f>_xlfn.MAXIFS(关卡产出!AB:AB,关卡产出!$A:$A,玩家节奏2!$N$6,关卡产出!$B:$B,玩家节奏2!$N203)+_xlfn.MAXIFS(关卡产出!AB:AB,关卡产出!$A:$A,玩家节奏2!$O$6,关卡产出!$B:$B,玩家节奏2!$O203)+_xlfn.MAXIFS(关卡产出!AB:AB,关卡产出!$A:$A,玩家节奏2!$P$6,关卡产出!$B:$B,玩家节奏2!$P203)</f>
        <v>19113</v>
      </c>
      <c r="V203" s="130">
        <f>_xlfn.MAXIFS(关卡产出!AC:AC,关卡产出!$A:$A,玩家节奏2!$N$6,关卡产出!$B:$B,玩家节奏2!$N203)+_xlfn.MAXIFS(关卡产出!AC:AC,关卡产出!$A:$A,玩家节奏2!$O$6,关卡产出!$B:$B,玩家节奏2!$O203)+_xlfn.MAXIFS(关卡产出!AC:AC,关卡产出!$A:$A,玩家节奏2!$P$6,关卡产出!$B:$B,玩家节奏2!$P203)</f>
        <v>1200</v>
      </c>
      <c r="W203" s="126">
        <f>INDEX(关卡产出!C$8:C$207,MATCH(玩家节奏2!$N203,关卡产出!$B$8:$B$207,0))*$K203</f>
        <v>2528</v>
      </c>
      <c r="X203" s="126">
        <f>INDEX(关卡产出!D$8:D$207,MATCH(玩家节奏2!$N203,关卡产出!$B$8:$B$207,0))*$K203</f>
        <v>1264</v>
      </c>
      <c r="Y203" s="126">
        <f>INDEX(关卡产出!E$8:E$207,MATCH(玩家节奏2!$N203,关卡产出!$B$8:$B$207,0))*$K203</f>
        <v>624</v>
      </c>
      <c r="Z203" s="144">
        <f>INDEX(关卡产出!F$8:F$207,MATCH(玩家节奏2!$N203,关卡产出!$B$8:$B$207,0))*$K203</f>
        <v>32800</v>
      </c>
      <c r="AA203" s="126">
        <f>SUM(W$7:W203)</f>
        <v>439886</v>
      </c>
      <c r="AB203" s="126">
        <f>SUM(X$7:X203)</f>
        <v>219779</v>
      </c>
      <c r="AC203" s="126">
        <f>SUM(Y$7:Y203)</f>
        <v>108275</v>
      </c>
      <c r="AD203" s="177">
        <f>SUM(Z$7:Z203)</f>
        <v>5735130</v>
      </c>
      <c r="AE203" s="128">
        <f>INDEX(图鉴!AQ:AQ,MATCH($N203,图鉴!$S:$S,0))*34</f>
        <v>714</v>
      </c>
      <c r="AF203" s="90">
        <f>INDEX(图鉴!AR:AR,MATCH($N203,图鉴!$S:$S,0))*34</f>
        <v>510</v>
      </c>
      <c r="AG203" s="90">
        <f>INDEX(图鉴!AS:AS,MATCH($N203,图鉴!$S:$S,0))*34</f>
        <v>204</v>
      </c>
      <c r="AH203" s="129">
        <f ca="1">INDEX(图鉴!AT:AT,MATCH($N203,图鉴!$S:$S,0))*34</f>
        <v>55930</v>
      </c>
      <c r="AI203" s="128">
        <f>SUM($AE$7:AE203)</f>
        <v>138754</v>
      </c>
      <c r="AJ203" s="90">
        <f>SUM(AF$7:AF203)</f>
        <v>97002</v>
      </c>
      <c r="AK203" s="90">
        <f>SUM(AG$7:AG203)</f>
        <v>38250</v>
      </c>
      <c r="AL203" s="130">
        <f ca="1">SUM(AH$7:AH203)</f>
        <v>10188576</v>
      </c>
      <c r="AM203" s="133">
        <f>IF(M203=0,0,INDEX(关卡产出!$AU$11:$AU$15,MATCH(玩家节奏2!N203,关卡产出!$AW$11:$AW$15,1))*M203)</f>
        <v>61000</v>
      </c>
      <c r="AN203" s="126">
        <f>IF(L203=0,0,$L203*关卡产出!AU$21)</f>
        <v>16000</v>
      </c>
      <c r="AO203" s="90">
        <f>IF(M203=0,0,$L203*关卡产出!AV$21)</f>
        <v>800</v>
      </c>
      <c r="AP203" s="129">
        <f>IF(N203=0,0,$L203*关卡产出!AW$21)</f>
        <v>16</v>
      </c>
      <c r="AQ203" s="138">
        <f>SUM(AN$7:AN203)</f>
        <v>3104000</v>
      </c>
      <c r="AR203" s="126">
        <f>SUM(AO$7:AO203)</f>
        <v>155200</v>
      </c>
      <c r="AS203" s="129">
        <f>SUM(AP$7:AP203)</f>
        <v>3104</v>
      </c>
      <c r="AT203" s="128">
        <v>3000</v>
      </c>
      <c r="AU203" s="129">
        <v>600</v>
      </c>
      <c r="AV203" s="128">
        <f>SUM(AT$7:AT203)</f>
        <v>591000</v>
      </c>
      <c r="AW203" s="90">
        <f>SUM(AU$7:AU203)</f>
        <v>118200</v>
      </c>
      <c r="AY203" s="128">
        <f t="shared" si="211"/>
        <v>38500</v>
      </c>
      <c r="AZ203" s="90">
        <f t="shared" si="212"/>
        <v>155200</v>
      </c>
      <c r="BA203" s="90">
        <f t="shared" si="213"/>
        <v>118200</v>
      </c>
      <c r="BB203" s="90">
        <f t="shared" ca="1" si="241"/>
        <v>40800</v>
      </c>
      <c r="BC203" s="90">
        <f t="shared" ref="BC203:BC206" ca="1" si="243">BE203-BD203</f>
        <v>178525</v>
      </c>
      <c r="BD203" s="90">
        <f t="shared" ref="BD203:BD206" ca="1" si="244">(SUM(AY203:BB203)-SUM($AY$9:$BB$9))*$BD$5</f>
        <v>174175</v>
      </c>
      <c r="BE203" s="90">
        <f t="shared" ca="1" si="214"/>
        <v>352700</v>
      </c>
      <c r="BF203" s="142">
        <f t="shared" ca="1" si="198"/>
        <v>0.21565607057835037</v>
      </c>
      <c r="BG203" s="142">
        <f t="shared" ca="1" si="199"/>
        <v>0.86934602996779164</v>
      </c>
      <c r="BH203" s="142">
        <f t="shared" ca="1" si="200"/>
        <v>0.66209214395742888</v>
      </c>
      <c r="BI203" s="142">
        <f t="shared" ca="1" si="215"/>
        <v>0.2285394202492648</v>
      </c>
      <c r="BJ203" s="143"/>
      <c r="BK203" s="128">
        <f ca="1">INDEX(商城宝箱!$L:$L,MATCH(BC203,商城宝箱!$N:$N,1))</f>
        <v>14</v>
      </c>
      <c r="BL203" s="90">
        <f ca="1">_xlfn.IFNA(INDEX(商城宝箱!T:T,MATCH(玩家节奏2!$BK203,商城宝箱!$L:$L,0)),0)+($BC203-INDEX(商城宝箱!$N:$N,MATCH(玩家节奏2!$BK203,商城宝箱!$L:$L,0)))/$BK$5*INDEX(商城宝箱!E$23:E$42,MATCH(玩家节奏2!$BK203+1,商城宝箱!$C$23:$C$42,0))</f>
        <v>446312.5</v>
      </c>
      <c r="BM203" s="90">
        <f ca="1">_xlfn.IFNA(INDEX(商城宝箱!U:U,MATCH(玩家节奏2!$BK203,商城宝箱!$L:$L,0)),0)+($BC203-INDEX(商城宝箱!$N:$N,MATCH(玩家节奏2!$BK203,商城宝箱!$L:$L,0)))/$BK$5*INDEX(商城宝箱!F$23:F$42,MATCH(玩家节奏2!$BK203+1,商城宝箱!$C$23:$C$42,0))</f>
        <v>596572.5</v>
      </c>
      <c r="BN203" s="90">
        <f ca="1">_xlfn.IFNA(INDEX(商城宝箱!V:V,MATCH(玩家节奏2!$BK203,商城宝箱!$L:$L,0)),0)+($BC203-INDEX(商城宝箱!$N:$N,MATCH(玩家节奏2!$BK203,商城宝箱!$L:$L,0)))/$BK$5*INDEX(商城宝箱!G$23:G$42,MATCH(玩家节奏2!$BK203+1,商城宝箱!$C$23:$C$42,0))</f>
        <v>295449.5</v>
      </c>
      <c r="BO203" s="90">
        <f ca="1">_xlfn.IFNA(INDEX(商城宝箱!W:W,MATCH(玩家节奏2!$BK203,商城宝箱!$L:$L,0)),0)+($BC203-INDEX(商城宝箱!$N:$N,MATCH(玩家节奏2!$BK203,商城宝箱!$L:$L,0)))/$BK$5*INDEX(商城宝箱!H$23:H$42,MATCH(玩家节奏2!$BK203+1,商城宝箱!$C$23:$C$42,0))</f>
        <v>49222.75</v>
      </c>
      <c r="BQ203" s="128">
        <f t="shared" si="202"/>
        <v>11610000</v>
      </c>
      <c r="BR203" s="90">
        <f t="shared" si="203"/>
        <v>5735130</v>
      </c>
      <c r="BS203" s="90">
        <f t="shared" ca="1" si="204"/>
        <v>10188576</v>
      </c>
      <c r="BT203" s="90">
        <f t="shared" si="205"/>
        <v>61000</v>
      </c>
      <c r="BU203" s="90">
        <f t="shared" si="206"/>
        <v>3104000</v>
      </c>
      <c r="BV203" s="90">
        <f t="shared" si="207"/>
        <v>591000</v>
      </c>
      <c r="BW203" s="90">
        <f t="shared" ca="1" si="216"/>
        <v>446312.5</v>
      </c>
      <c r="BX203" s="90">
        <f t="shared" ca="1" si="217"/>
        <v>31736018.5</v>
      </c>
      <c r="BY203" s="142">
        <f t="shared" ca="1" si="191"/>
        <v>0.36583038921533273</v>
      </c>
      <c r="BZ203" s="142">
        <f t="shared" ca="1" si="191"/>
        <v>0.18071359518523095</v>
      </c>
      <c r="CA203" s="142">
        <f t="shared" ca="1" si="191"/>
        <v>0.32104140599741582</v>
      </c>
      <c r="CB203" s="142">
        <f t="shared" ca="1" si="190"/>
        <v>1.9221062654724631E-3</v>
      </c>
      <c r="CC203" s="142">
        <f t="shared" ca="1" si="190"/>
        <v>9.7806849967647963E-2</v>
      </c>
      <c r="CD203" s="142">
        <f t="shared" ca="1" si="190"/>
        <v>1.8622373817938125E-2</v>
      </c>
      <c r="CE203" s="142">
        <f t="shared" ca="1" si="190"/>
        <v>1.4063279550961946E-2</v>
      </c>
      <c r="CG203" s="128">
        <f t="shared" si="218"/>
        <v>200</v>
      </c>
      <c r="CH203" s="90">
        <f ca="1">INDEX(角色升级!$A:$A,MATCH(玩家节奏2!$BX203,角色升级!$J:$J,1))</f>
        <v>1047</v>
      </c>
      <c r="CI203" s="90">
        <f ca="1">INDEX(角色升级!$O:$O,MATCH(玩家节奏2!$BX203,角色升级!$J:$J,1))</f>
        <v>99294.156750000009</v>
      </c>
      <c r="CJ203" s="90">
        <f>INDEX(关卡对比!$J:$J,MATCH(玩家节奏2!N203,关卡对比!$A:$A,0))</f>
        <v>86200</v>
      </c>
      <c r="CK203" s="147">
        <f t="shared" ca="1" si="219"/>
        <v>0.8681276202086281</v>
      </c>
      <c r="CL203" s="128">
        <f ca="1">INDEX(角色升级!$P:$P,MATCH(玩家节奏2!$CH203,角色升级!$A:$A,0))</f>
        <v>40800</v>
      </c>
      <c r="CM203" s="90">
        <f ca="1">INDEX(角色升级!Q:Q,MATCH(玩家节奏2!$CH203,角色升级!$A:$A,0))</f>
        <v>2.2000000000000002</v>
      </c>
      <c r="CO203" s="128">
        <f t="shared" si="220"/>
        <v>78866</v>
      </c>
      <c r="CP203" s="90">
        <f t="shared" si="221"/>
        <v>439886</v>
      </c>
      <c r="CQ203" s="90">
        <f t="shared" si="222"/>
        <v>138754</v>
      </c>
      <c r="CR203" s="90">
        <f t="shared" ca="1" si="223"/>
        <v>596572.5</v>
      </c>
      <c r="CS203" s="90">
        <f t="shared" ca="1" si="224"/>
        <v>1254078.5</v>
      </c>
      <c r="CT203" s="142">
        <f t="shared" ca="1" si="225"/>
        <v>6.2887610305096528E-2</v>
      </c>
      <c r="CU203" s="142">
        <f t="shared" ca="1" si="225"/>
        <v>0.35076432615661618</v>
      </c>
      <c r="CV203" s="142">
        <f t="shared" ca="1" si="225"/>
        <v>0.1106421966408004</v>
      </c>
      <c r="CW203" s="142">
        <f t="shared" ca="1" si="225"/>
        <v>0.4757058668974869</v>
      </c>
      <c r="CY203" s="128">
        <f t="shared" si="226"/>
        <v>39434</v>
      </c>
      <c r="CZ203" s="90">
        <f t="shared" si="227"/>
        <v>219779</v>
      </c>
      <c r="DA203" s="90">
        <f t="shared" si="228"/>
        <v>97002</v>
      </c>
      <c r="DB203" s="90">
        <f t="shared" ca="1" si="242"/>
        <v>295449.5</v>
      </c>
      <c r="DC203" s="90">
        <f t="shared" ca="1" si="229"/>
        <v>651664.5</v>
      </c>
      <c r="DD203" s="142">
        <f t="shared" ca="1" si="230"/>
        <v>6.0512733162539925E-2</v>
      </c>
      <c r="DE203" s="142">
        <f t="shared" ca="1" si="230"/>
        <v>0.33725789881142826</v>
      </c>
      <c r="DF203" s="142">
        <f t="shared" ca="1" si="230"/>
        <v>0.14885266881961501</v>
      </c>
      <c r="DG203" s="142">
        <f t="shared" ca="1" si="230"/>
        <v>0.45337669920641682</v>
      </c>
      <c r="DI203" s="128">
        <f t="shared" si="231"/>
        <v>19113</v>
      </c>
      <c r="DJ203" s="90">
        <f t="shared" si="232"/>
        <v>108275</v>
      </c>
      <c r="DK203" s="90">
        <f t="shared" si="233"/>
        <v>38250</v>
      </c>
      <c r="DL203" s="90">
        <f t="shared" ca="1" si="234"/>
        <v>49222.75</v>
      </c>
      <c r="DM203" s="90">
        <f t="shared" ca="1" si="235"/>
        <v>214860.75</v>
      </c>
      <c r="DN203" s="142">
        <f t="shared" ca="1" si="236"/>
        <v>8.8955288483354919E-2</v>
      </c>
      <c r="DO203" s="142">
        <f t="shared" ca="1" si="236"/>
        <v>0.50393103440251419</v>
      </c>
      <c r="DP203" s="142">
        <f t="shared" ca="1" si="236"/>
        <v>0.17802227721908259</v>
      </c>
      <c r="DQ203" s="142">
        <f t="shared" ca="1" si="236"/>
        <v>0.22909139989504831</v>
      </c>
      <c r="DS203" s="128">
        <f t="shared" ca="1" si="237"/>
        <v>1254078.5</v>
      </c>
      <c r="DT203" s="90">
        <f t="shared" ca="1" si="238"/>
        <v>651664.5</v>
      </c>
      <c r="DU203" s="90">
        <f t="shared" ca="1" si="239"/>
        <v>214860.75</v>
      </c>
      <c r="DV203" s="90">
        <f t="shared" si="240"/>
        <v>3104</v>
      </c>
      <c r="DW203" s="90">
        <f ca="1">_xlfn.IFNA(INDEX(武器升级消耗!$H:$H,MATCH(玩家节奏2!DS203/玩家节奏2!DS$5,武器升级消耗!M:M,1)),0)</f>
        <v>96</v>
      </c>
      <c r="DX203" s="90">
        <f ca="1">_xlfn.IFNA(INDEX(武器升级消耗!$H:$H,MATCH(玩家节奏2!DT203/玩家节奏2!DT$5,武器升级消耗!N:N,1)),0)</f>
        <v>84</v>
      </c>
      <c r="DY203" s="90">
        <f ca="1">_xlfn.IFNA(INDEX(武器升级消耗!$H:$H,MATCH(玩家节奏2!DU203/玩家节奏2!DU$5,武器升级消耗!O:O,1)),0)</f>
        <v>64</v>
      </c>
      <c r="DZ203" s="90">
        <f>_xlfn.IFNA(INDEX(武器升级消耗!$H:$H,MATCH(玩家节奏2!DV203/玩家节奏2!DV$5,武器升级消耗!P:P,1)),0)</f>
        <v>40</v>
      </c>
      <c r="EA203" s="90">
        <f ca="1">_xlfn.IFNA(INDEX(武器升级消耗!$Q:$Q,MATCH(玩家节奏2!DW203,武器升级消耗!$H:$H,0))*2*EA$4,0)</f>
        <v>11.999999999999988</v>
      </c>
      <c r="EB203" s="90">
        <f ca="1">_xlfn.IFNA(INDEX(武器升级消耗!$Q:$Q,MATCH(玩家节奏2!DX203,武器升级消耗!$H:$H,0))*2*EB$4,0)</f>
        <v>13.199999999999985</v>
      </c>
      <c r="EC203" s="90">
        <f ca="1">_xlfn.IFNA(INDEX(武器升级消耗!$Q:$Q,MATCH(玩家节奏2!DY203,武器升级消耗!$H:$H,0))*2*EC$4,0)</f>
        <v>14.96</v>
      </c>
      <c r="ED203" s="90">
        <f>_xlfn.IFNA(INDEX(武器升级消耗!$Q:$Q,MATCH(玩家节奏2!DZ203,武器升级消耗!$H:$H,0))*2*ED$4,0)</f>
        <v>13.200000000000001</v>
      </c>
    </row>
    <row r="204" spans="1:134" x14ac:dyDescent="0.25">
      <c r="A204" s="123">
        <v>198</v>
      </c>
      <c r="B204" s="123">
        <f>INDEX(关卡对比!$Y:$Y,MATCH(关卡对比!Z204,关卡对比!$AA:$AA,1))</f>
        <v>112</v>
      </c>
      <c r="C204" s="124">
        <f>INDEX(关卡对比!$Y:$Y,MATCH(关卡对比!Z204,关卡对比!$AB:$AB,1))</f>
        <v>84</v>
      </c>
      <c r="D204" s="125">
        <f t="shared" si="189"/>
        <v>757.5</v>
      </c>
      <c r="E204" s="125">
        <v>2</v>
      </c>
      <c r="F204" s="128">
        <v>16</v>
      </c>
      <c r="G204" s="90">
        <v>16</v>
      </c>
      <c r="H204" s="90">
        <v>5</v>
      </c>
      <c r="J204" s="128">
        <v>198</v>
      </c>
      <c r="K204" s="90">
        <f t="shared" si="208"/>
        <v>16</v>
      </c>
      <c r="L204" s="90">
        <f t="shared" si="209"/>
        <v>16</v>
      </c>
      <c r="M204" s="90">
        <f t="shared" si="210"/>
        <v>5</v>
      </c>
      <c r="N204" s="140">
        <f>INDEX($A:$A,MATCH(SUM($K$7:K204),$D:$D,1))</f>
        <v>200</v>
      </c>
      <c r="O204" s="140">
        <v>0</v>
      </c>
      <c r="P204" s="141">
        <v>0</v>
      </c>
      <c r="Q204" s="126">
        <f>_xlfn.MAXIFS(关卡产出!X:X,关卡产出!$A:$A,玩家节奏2!$N$6,关卡产出!$B:$B,玩家节奏2!$N204)+_xlfn.MAXIFS(关卡产出!X:X,关卡产出!$A:$A,玩家节奏2!$O$6,关卡产出!$B:$B,玩家节奏2!$O204)+_xlfn.MAXIFS(关卡产出!X:X,关卡产出!$A:$A,玩家节奏2!$P$6,关卡产出!$B:$B,玩家节奏2!$P204)</f>
        <v>38500</v>
      </c>
      <c r="R204" s="90">
        <f>_xlfn.MAXIFS(关卡产出!Y:Y,关卡产出!$A:$A,玩家节奏2!$N$6,关卡产出!$B:$B,玩家节奏2!$N204)+_xlfn.MAXIFS(关卡产出!Y:Y,关卡产出!$A:$A,玩家节奏2!$O$6,关卡产出!$B:$B,玩家节奏2!$O204)+_xlfn.MAXIFS(关卡产出!Y:Y,关卡产出!$A:$A,玩家节奏2!$P$6,关卡产出!$B:$B,玩家节奏2!$P204)</f>
        <v>11610000</v>
      </c>
      <c r="S204" s="90">
        <f>_xlfn.MAXIFS(关卡产出!Z:Z,关卡产出!$A:$A,玩家节奏2!$N$6,关卡产出!$B:$B,玩家节奏2!$N204)+_xlfn.MAXIFS(关卡产出!Z:Z,关卡产出!$A:$A,玩家节奏2!$O$6,关卡产出!$B:$B,玩家节奏2!$O204)+_xlfn.MAXIFS(关卡产出!Z:Z,关卡产出!$A:$A,玩家节奏2!$P$6,关卡产出!$B:$B,玩家节奏2!$P204)</f>
        <v>78866</v>
      </c>
      <c r="T204" s="90">
        <f>_xlfn.MAXIFS(关卡产出!AA:AA,关卡产出!$A:$A,玩家节奏2!$N$6,关卡产出!$B:$B,玩家节奏2!$N204)+_xlfn.MAXIFS(关卡产出!AA:AA,关卡产出!$A:$A,玩家节奏2!$O$6,关卡产出!$B:$B,玩家节奏2!$O204)+_xlfn.MAXIFS(关卡产出!AA:AA,关卡产出!$A:$A,玩家节奏2!$P$6,关卡产出!$B:$B,玩家节奏2!$P204)</f>
        <v>39434</v>
      </c>
      <c r="U204" s="90">
        <f>_xlfn.MAXIFS(关卡产出!AB:AB,关卡产出!$A:$A,玩家节奏2!$N$6,关卡产出!$B:$B,玩家节奏2!$N204)+_xlfn.MAXIFS(关卡产出!AB:AB,关卡产出!$A:$A,玩家节奏2!$O$6,关卡产出!$B:$B,玩家节奏2!$O204)+_xlfn.MAXIFS(关卡产出!AB:AB,关卡产出!$A:$A,玩家节奏2!$P$6,关卡产出!$B:$B,玩家节奏2!$P204)</f>
        <v>19113</v>
      </c>
      <c r="V204" s="130">
        <f>_xlfn.MAXIFS(关卡产出!AC:AC,关卡产出!$A:$A,玩家节奏2!$N$6,关卡产出!$B:$B,玩家节奏2!$N204)+_xlfn.MAXIFS(关卡产出!AC:AC,关卡产出!$A:$A,玩家节奏2!$O$6,关卡产出!$B:$B,玩家节奏2!$O204)+_xlfn.MAXIFS(关卡产出!AC:AC,关卡产出!$A:$A,玩家节奏2!$P$6,关卡产出!$B:$B,玩家节奏2!$P204)</f>
        <v>1200</v>
      </c>
      <c r="W204" s="126">
        <f>INDEX(关卡产出!C$8:C$207,MATCH(玩家节奏2!$N204,关卡产出!$B$8:$B$207,0))*$K204</f>
        <v>2528</v>
      </c>
      <c r="X204" s="126">
        <f>INDEX(关卡产出!D$8:D$207,MATCH(玩家节奏2!$N204,关卡产出!$B$8:$B$207,0))*$K204</f>
        <v>1264</v>
      </c>
      <c r="Y204" s="126">
        <f>INDEX(关卡产出!E$8:E$207,MATCH(玩家节奏2!$N204,关卡产出!$B$8:$B$207,0))*$K204</f>
        <v>624</v>
      </c>
      <c r="Z204" s="144">
        <f>INDEX(关卡产出!F$8:F$207,MATCH(玩家节奏2!$N204,关卡产出!$B$8:$B$207,0))*$K204</f>
        <v>32800</v>
      </c>
      <c r="AA204" s="126">
        <f>SUM(W$7:W204)</f>
        <v>442414</v>
      </c>
      <c r="AB204" s="126">
        <f>SUM(X$7:X204)</f>
        <v>221043</v>
      </c>
      <c r="AC204" s="126">
        <f>SUM(Y$7:Y204)</f>
        <v>108899</v>
      </c>
      <c r="AD204" s="177">
        <f>SUM(Z$7:Z204)</f>
        <v>5767930</v>
      </c>
      <c r="AE204" s="128">
        <f>INDEX(图鉴!AQ:AQ,MATCH($N204,图鉴!$S:$S,0))*34</f>
        <v>714</v>
      </c>
      <c r="AF204" s="90">
        <f>INDEX(图鉴!AR:AR,MATCH($N204,图鉴!$S:$S,0))*34</f>
        <v>510</v>
      </c>
      <c r="AG204" s="90">
        <f>INDEX(图鉴!AS:AS,MATCH($N204,图鉴!$S:$S,0))*34</f>
        <v>204</v>
      </c>
      <c r="AH204" s="129">
        <f ca="1">INDEX(图鉴!AT:AT,MATCH($N204,图鉴!$S:$S,0))*34</f>
        <v>55930</v>
      </c>
      <c r="AI204" s="128">
        <f>SUM($AE$7:AE204)</f>
        <v>139468</v>
      </c>
      <c r="AJ204" s="90">
        <f>SUM(AF$7:AF204)</f>
        <v>97512</v>
      </c>
      <c r="AK204" s="90">
        <f>SUM(AG$7:AG204)</f>
        <v>38454</v>
      </c>
      <c r="AL204" s="130">
        <f ca="1">SUM(AH$7:AH204)</f>
        <v>10244506</v>
      </c>
      <c r="AM204" s="133">
        <f>IF(M204=0,0,INDEX(关卡产出!$AU$11:$AU$15,MATCH(玩家节奏2!N204,关卡产出!$AW$11:$AW$15,1))*M204)</f>
        <v>61000</v>
      </c>
      <c r="AN204" s="126">
        <f>IF(L204=0,0,$L204*关卡产出!AU$21)</f>
        <v>16000</v>
      </c>
      <c r="AO204" s="90">
        <f>IF(M204=0,0,$L204*关卡产出!AV$21)</f>
        <v>800</v>
      </c>
      <c r="AP204" s="129">
        <f>IF(N204=0,0,$L204*关卡产出!AW$21)</f>
        <v>16</v>
      </c>
      <c r="AQ204" s="138">
        <f>SUM(AN$7:AN204)</f>
        <v>3120000</v>
      </c>
      <c r="AR204" s="126">
        <f>SUM(AO$7:AO204)</f>
        <v>156000</v>
      </c>
      <c r="AS204" s="129">
        <f>SUM(AP$7:AP204)</f>
        <v>3120</v>
      </c>
      <c r="AT204" s="128">
        <v>3000</v>
      </c>
      <c r="AU204" s="129">
        <v>600</v>
      </c>
      <c r="AV204" s="128">
        <f>SUM(AT$7:AT204)</f>
        <v>594000</v>
      </c>
      <c r="AW204" s="90">
        <f>SUM(AU$7:AU204)</f>
        <v>118800</v>
      </c>
      <c r="AY204" s="128">
        <f t="shared" si="211"/>
        <v>38500</v>
      </c>
      <c r="AZ204" s="90">
        <f t="shared" si="212"/>
        <v>156000</v>
      </c>
      <c r="BA204" s="90">
        <f t="shared" si="213"/>
        <v>118800</v>
      </c>
      <c r="BB204" s="90">
        <f t="shared" ca="1" si="241"/>
        <v>40800</v>
      </c>
      <c r="BC204" s="90">
        <f t="shared" ca="1" si="243"/>
        <v>179225</v>
      </c>
      <c r="BD204" s="90">
        <f t="shared" ca="1" si="244"/>
        <v>174875</v>
      </c>
      <c r="BE204" s="90">
        <f t="shared" ca="1" si="214"/>
        <v>354100</v>
      </c>
      <c r="BF204" s="142">
        <f t="shared" ca="1" si="198"/>
        <v>0.21481378155949227</v>
      </c>
      <c r="BG204" s="142">
        <f t="shared" ca="1" si="199"/>
        <v>0.87041428372157903</v>
      </c>
      <c r="BH204" s="142">
        <f t="shared" ca="1" si="200"/>
        <v>0.66285395452643325</v>
      </c>
      <c r="BI204" s="142">
        <f t="shared" ca="1" si="215"/>
        <v>0.22764681266564374</v>
      </c>
      <c r="BJ204" s="143"/>
      <c r="BK204" s="128">
        <f ca="1">INDEX(商城宝箱!$L:$L,MATCH(BC204,商城宝箱!$N:$N,1))</f>
        <v>14</v>
      </c>
      <c r="BL204" s="90">
        <f ca="1">_xlfn.IFNA(INDEX(商城宝箱!T:T,MATCH(玩家节奏2!$BK204,商城宝箱!$L:$L,0)),0)+($BC204-INDEX(商城宝箱!$N:$N,MATCH(玩家节奏2!$BK204,商城宝箱!$L:$L,0)))/$BK$5*INDEX(商城宝箱!E$23:E$42,MATCH(玩家节奏2!$BK204+1,商城宝箱!$C$23:$C$42,0))</f>
        <v>448062.5</v>
      </c>
      <c r="BM204" s="90">
        <f ca="1">_xlfn.IFNA(INDEX(商城宝箱!U:U,MATCH(玩家节奏2!$BK204,商城宝箱!$L:$L,0)),0)+($BC204-INDEX(商城宝箱!$N:$N,MATCH(玩家节奏2!$BK204,商城宝箱!$L:$L,0)))/$BK$5*INDEX(商城宝箱!F$23:F$42,MATCH(玩家节奏2!$BK204+1,商城宝箱!$C$23:$C$42,0))</f>
        <v>600212.5</v>
      </c>
      <c r="BN204" s="90">
        <f ca="1">_xlfn.IFNA(INDEX(商城宝箱!V:V,MATCH(玩家节奏2!$BK204,商城宝箱!$L:$L,0)),0)+($BC204-INDEX(商城宝箱!$N:$N,MATCH(玩家节奏2!$BK204,商城宝箱!$L:$L,0)))/$BK$5*INDEX(商城宝箱!G$23:G$42,MATCH(玩家节奏2!$BK204+1,商城宝箱!$C$23:$C$42,0))</f>
        <v>297199.5</v>
      </c>
      <c r="BO204" s="90">
        <f ca="1">_xlfn.IFNA(INDEX(商城宝箱!W:W,MATCH(玩家节奏2!$BK204,商城宝箱!$L:$L,0)),0)+($BC204-INDEX(商城宝箱!$N:$N,MATCH(玩家节奏2!$BK204,商城宝箱!$L:$L,0)))/$BK$5*INDEX(商城宝箱!H$23:H$42,MATCH(玩家节奏2!$BK204+1,商城宝箱!$C$23:$C$42,0))</f>
        <v>49537.75</v>
      </c>
      <c r="BQ204" s="128">
        <f t="shared" si="202"/>
        <v>11610000</v>
      </c>
      <c r="BR204" s="90">
        <f t="shared" si="203"/>
        <v>5767930</v>
      </c>
      <c r="BS204" s="90">
        <f t="shared" ca="1" si="204"/>
        <v>10244506</v>
      </c>
      <c r="BT204" s="90">
        <f t="shared" si="205"/>
        <v>61000</v>
      </c>
      <c r="BU204" s="90">
        <f t="shared" si="206"/>
        <v>3120000</v>
      </c>
      <c r="BV204" s="90">
        <f t="shared" si="207"/>
        <v>594000</v>
      </c>
      <c r="BW204" s="90">
        <f t="shared" ca="1" si="216"/>
        <v>448062.5</v>
      </c>
      <c r="BX204" s="90">
        <f t="shared" ca="1" si="217"/>
        <v>31845498.5</v>
      </c>
      <c r="BY204" s="142">
        <f t="shared" ca="1" si="191"/>
        <v>0.36457271975189837</v>
      </c>
      <c r="BZ204" s="142">
        <f t="shared" ca="1" si="191"/>
        <v>0.18112230210495842</v>
      </c>
      <c r="CA204" s="142">
        <f t="shared" ca="1" si="191"/>
        <v>0.32169400645431884</v>
      </c>
      <c r="CB204" s="142">
        <f t="shared" ca="1" si="190"/>
        <v>1.9154983552855988E-3</v>
      </c>
      <c r="CC204" s="142">
        <f t="shared" ca="1" si="190"/>
        <v>9.7973030631001115E-2</v>
      </c>
      <c r="CD204" s="142">
        <f t="shared" ca="1" si="190"/>
        <v>1.8652557754748288E-2</v>
      </c>
      <c r="CE204" s="142">
        <f t="shared" ca="1" si="190"/>
        <v>1.4069884947789402E-2</v>
      </c>
      <c r="CG204" s="128">
        <f t="shared" si="218"/>
        <v>200</v>
      </c>
      <c r="CH204" s="90">
        <f ca="1">INDEX(角色升级!$A:$A,MATCH(玩家节奏2!$BX204,角色升级!$J:$J,1))</f>
        <v>1047</v>
      </c>
      <c r="CI204" s="90">
        <f ca="1">INDEX(角色升级!$O:$O,MATCH(玩家节奏2!$BX204,角色升级!$J:$J,1))</f>
        <v>99294.156750000009</v>
      </c>
      <c r="CJ204" s="90">
        <f>INDEX(关卡对比!$J:$J,MATCH(玩家节奏2!N204,关卡对比!$A:$A,0))</f>
        <v>86200</v>
      </c>
      <c r="CK204" s="147">
        <f t="shared" ca="1" si="219"/>
        <v>0.8681276202086281</v>
      </c>
      <c r="CL204" s="128">
        <f ca="1">INDEX(角色升级!$P:$P,MATCH(玩家节奏2!$CH204,角色升级!$A:$A,0))</f>
        <v>40800</v>
      </c>
      <c r="CM204" s="90">
        <f ca="1">INDEX(角色升级!Q:Q,MATCH(玩家节奏2!$CH204,角色升级!$A:$A,0))</f>
        <v>2.2000000000000002</v>
      </c>
      <c r="CO204" s="128">
        <f t="shared" si="220"/>
        <v>78866</v>
      </c>
      <c r="CP204" s="90">
        <f t="shared" si="221"/>
        <v>442414</v>
      </c>
      <c r="CQ204" s="90">
        <f t="shared" si="222"/>
        <v>139468</v>
      </c>
      <c r="CR204" s="90">
        <f t="shared" ca="1" si="223"/>
        <v>600212.5</v>
      </c>
      <c r="CS204" s="90">
        <f t="shared" ca="1" si="224"/>
        <v>1260960.5</v>
      </c>
      <c r="CT204" s="142">
        <f t="shared" ca="1" si="225"/>
        <v>6.2544385807485642E-2</v>
      </c>
      <c r="CU204" s="142">
        <f t="shared" ca="1" si="225"/>
        <v>0.35085476507789104</v>
      </c>
      <c r="CV204" s="142">
        <f t="shared" ca="1" si="225"/>
        <v>0.11060457484592102</v>
      </c>
      <c r="CW204" s="142">
        <f t="shared" ca="1" si="225"/>
        <v>0.47599627426870234</v>
      </c>
      <c r="CY204" s="128">
        <f t="shared" si="226"/>
        <v>39434</v>
      </c>
      <c r="CZ204" s="90">
        <f t="shared" si="227"/>
        <v>221043</v>
      </c>
      <c r="DA204" s="90">
        <f t="shared" si="228"/>
        <v>97512</v>
      </c>
      <c r="DB204" s="90">
        <f t="shared" ca="1" si="242"/>
        <v>297199.5</v>
      </c>
      <c r="DC204" s="90">
        <f t="shared" ca="1" si="229"/>
        <v>655188.5</v>
      </c>
      <c r="DD204" s="142">
        <f t="shared" ca="1" si="230"/>
        <v>6.0187259086507162E-2</v>
      </c>
      <c r="DE204" s="142">
        <f t="shared" ca="1" si="230"/>
        <v>0.33737313765427812</v>
      </c>
      <c r="DF204" s="142">
        <f t="shared" ca="1" si="230"/>
        <v>0.1488304510839247</v>
      </c>
      <c r="DG204" s="142">
        <f t="shared" ca="1" si="230"/>
        <v>0.45360915217529002</v>
      </c>
      <c r="DI204" s="128">
        <f t="shared" si="231"/>
        <v>19113</v>
      </c>
      <c r="DJ204" s="90">
        <f t="shared" si="232"/>
        <v>108899</v>
      </c>
      <c r="DK204" s="90">
        <f t="shared" si="233"/>
        <v>38454</v>
      </c>
      <c r="DL204" s="90">
        <f t="shared" ca="1" si="234"/>
        <v>49537.75</v>
      </c>
      <c r="DM204" s="90">
        <f t="shared" ca="1" si="235"/>
        <v>216003.75</v>
      </c>
      <c r="DN204" s="142">
        <f t="shared" ca="1" si="236"/>
        <v>8.8484574920574294E-2</v>
      </c>
      <c r="DO204" s="142">
        <f t="shared" ca="1" si="236"/>
        <v>0.50415328437584994</v>
      </c>
      <c r="DP204" s="142">
        <f t="shared" ca="1" si="236"/>
        <v>0.17802468707140501</v>
      </c>
      <c r="DQ204" s="142">
        <f t="shared" ca="1" si="236"/>
        <v>0.22933745363217073</v>
      </c>
      <c r="DS204" s="128">
        <f t="shared" ca="1" si="237"/>
        <v>1260960.5</v>
      </c>
      <c r="DT204" s="90">
        <f t="shared" ca="1" si="238"/>
        <v>655188.5</v>
      </c>
      <c r="DU204" s="90">
        <f t="shared" ca="1" si="239"/>
        <v>216003.75</v>
      </c>
      <c r="DV204" s="90">
        <f t="shared" si="240"/>
        <v>3120</v>
      </c>
      <c r="DW204" s="90">
        <f ca="1">_xlfn.IFNA(INDEX(武器升级消耗!$H:$H,MATCH(玩家节奏2!DS204/玩家节奏2!DS$5,武器升级消耗!M:M,1)),0)</f>
        <v>96</v>
      </c>
      <c r="DX204" s="90">
        <f ca="1">_xlfn.IFNA(INDEX(武器升级消耗!$H:$H,MATCH(玩家节奏2!DT204/玩家节奏2!DT$5,武器升级消耗!N:N,1)),0)</f>
        <v>84</v>
      </c>
      <c r="DY204" s="90">
        <f ca="1">_xlfn.IFNA(INDEX(武器升级消耗!$H:$H,MATCH(玩家节奏2!DU204/玩家节奏2!DU$5,武器升级消耗!O:O,1)),0)</f>
        <v>64</v>
      </c>
      <c r="DZ204" s="90">
        <f>_xlfn.IFNA(INDEX(武器升级消耗!$H:$H,MATCH(玩家节奏2!DV204/玩家节奏2!DV$5,武器升级消耗!P:P,1)),0)</f>
        <v>40</v>
      </c>
      <c r="EA204" s="90">
        <f ca="1">_xlfn.IFNA(INDEX(武器升级消耗!$Q:$Q,MATCH(玩家节奏2!DW204,武器升级消耗!$H:$H,0))*2*EA$4,0)</f>
        <v>11.999999999999988</v>
      </c>
      <c r="EB204" s="90">
        <f ca="1">_xlfn.IFNA(INDEX(武器升级消耗!$Q:$Q,MATCH(玩家节奏2!DX204,武器升级消耗!$H:$H,0))*2*EB$4,0)</f>
        <v>13.199999999999985</v>
      </c>
      <c r="EC204" s="90">
        <f ca="1">_xlfn.IFNA(INDEX(武器升级消耗!$Q:$Q,MATCH(玩家节奏2!DY204,武器升级消耗!$H:$H,0))*2*EC$4,0)</f>
        <v>14.96</v>
      </c>
      <c r="ED204" s="90">
        <f>_xlfn.IFNA(INDEX(武器升级消耗!$Q:$Q,MATCH(玩家节奏2!DZ204,武器升级消耗!$H:$H,0))*2*ED$4,0)</f>
        <v>13.200000000000001</v>
      </c>
    </row>
    <row r="205" spans="1:134" x14ac:dyDescent="0.25">
      <c r="A205" s="123">
        <v>199</v>
      </c>
      <c r="B205" s="123">
        <f>INDEX(关卡对比!$Y:$Y,MATCH(关卡对比!Z205,关卡对比!$AA:$AA,1))</f>
        <v>113</v>
      </c>
      <c r="C205" s="124">
        <f>INDEX(关卡对比!$Y:$Y,MATCH(关卡对比!Z205,关卡对比!$AB:$AB,1))</f>
        <v>84</v>
      </c>
      <c r="D205" s="125">
        <f t="shared" si="189"/>
        <v>761.5</v>
      </c>
      <c r="E205" s="125">
        <v>2</v>
      </c>
      <c r="F205" s="128">
        <v>16</v>
      </c>
      <c r="G205" s="90">
        <v>16</v>
      </c>
      <c r="H205" s="90">
        <v>5</v>
      </c>
      <c r="J205" s="128">
        <v>199</v>
      </c>
      <c r="K205" s="90">
        <f t="shared" si="208"/>
        <v>16</v>
      </c>
      <c r="L205" s="90">
        <f t="shared" si="209"/>
        <v>16</v>
      </c>
      <c r="M205" s="90">
        <f t="shared" si="210"/>
        <v>5</v>
      </c>
      <c r="N205" s="140">
        <f>INDEX($A:$A,MATCH(SUM($K$7:K205),$D:$D,1))</f>
        <v>200</v>
      </c>
      <c r="O205" s="140">
        <v>0</v>
      </c>
      <c r="P205" s="141">
        <v>0</v>
      </c>
      <c r="Q205" s="126">
        <f>_xlfn.MAXIFS(关卡产出!X:X,关卡产出!$A:$A,玩家节奏2!$N$6,关卡产出!$B:$B,玩家节奏2!$N205)+_xlfn.MAXIFS(关卡产出!X:X,关卡产出!$A:$A,玩家节奏2!$O$6,关卡产出!$B:$B,玩家节奏2!$O205)+_xlfn.MAXIFS(关卡产出!X:X,关卡产出!$A:$A,玩家节奏2!$P$6,关卡产出!$B:$B,玩家节奏2!$P205)</f>
        <v>38500</v>
      </c>
      <c r="R205" s="90">
        <f>_xlfn.MAXIFS(关卡产出!Y:Y,关卡产出!$A:$A,玩家节奏2!$N$6,关卡产出!$B:$B,玩家节奏2!$N205)+_xlfn.MAXIFS(关卡产出!Y:Y,关卡产出!$A:$A,玩家节奏2!$O$6,关卡产出!$B:$B,玩家节奏2!$O205)+_xlfn.MAXIFS(关卡产出!Y:Y,关卡产出!$A:$A,玩家节奏2!$P$6,关卡产出!$B:$B,玩家节奏2!$P205)</f>
        <v>11610000</v>
      </c>
      <c r="S205" s="90">
        <f>_xlfn.MAXIFS(关卡产出!Z:Z,关卡产出!$A:$A,玩家节奏2!$N$6,关卡产出!$B:$B,玩家节奏2!$N205)+_xlfn.MAXIFS(关卡产出!Z:Z,关卡产出!$A:$A,玩家节奏2!$O$6,关卡产出!$B:$B,玩家节奏2!$O205)+_xlfn.MAXIFS(关卡产出!Z:Z,关卡产出!$A:$A,玩家节奏2!$P$6,关卡产出!$B:$B,玩家节奏2!$P205)</f>
        <v>78866</v>
      </c>
      <c r="T205" s="90">
        <f>_xlfn.MAXIFS(关卡产出!AA:AA,关卡产出!$A:$A,玩家节奏2!$N$6,关卡产出!$B:$B,玩家节奏2!$N205)+_xlfn.MAXIFS(关卡产出!AA:AA,关卡产出!$A:$A,玩家节奏2!$O$6,关卡产出!$B:$B,玩家节奏2!$O205)+_xlfn.MAXIFS(关卡产出!AA:AA,关卡产出!$A:$A,玩家节奏2!$P$6,关卡产出!$B:$B,玩家节奏2!$P205)</f>
        <v>39434</v>
      </c>
      <c r="U205" s="90">
        <f>_xlfn.MAXIFS(关卡产出!AB:AB,关卡产出!$A:$A,玩家节奏2!$N$6,关卡产出!$B:$B,玩家节奏2!$N205)+_xlfn.MAXIFS(关卡产出!AB:AB,关卡产出!$A:$A,玩家节奏2!$O$6,关卡产出!$B:$B,玩家节奏2!$O205)+_xlfn.MAXIFS(关卡产出!AB:AB,关卡产出!$A:$A,玩家节奏2!$P$6,关卡产出!$B:$B,玩家节奏2!$P205)</f>
        <v>19113</v>
      </c>
      <c r="V205" s="130">
        <f>_xlfn.MAXIFS(关卡产出!AC:AC,关卡产出!$A:$A,玩家节奏2!$N$6,关卡产出!$B:$B,玩家节奏2!$N205)+_xlfn.MAXIFS(关卡产出!AC:AC,关卡产出!$A:$A,玩家节奏2!$O$6,关卡产出!$B:$B,玩家节奏2!$O205)+_xlfn.MAXIFS(关卡产出!AC:AC,关卡产出!$A:$A,玩家节奏2!$P$6,关卡产出!$B:$B,玩家节奏2!$P205)</f>
        <v>1200</v>
      </c>
      <c r="W205" s="126">
        <f>INDEX(关卡产出!C$8:C$207,MATCH(玩家节奏2!$N205,关卡产出!$B$8:$B$207,0))*$K205</f>
        <v>2528</v>
      </c>
      <c r="X205" s="126">
        <f>INDEX(关卡产出!D$8:D$207,MATCH(玩家节奏2!$N205,关卡产出!$B$8:$B$207,0))*$K205</f>
        <v>1264</v>
      </c>
      <c r="Y205" s="126">
        <f>INDEX(关卡产出!E$8:E$207,MATCH(玩家节奏2!$N205,关卡产出!$B$8:$B$207,0))*$K205</f>
        <v>624</v>
      </c>
      <c r="Z205" s="144">
        <f>INDEX(关卡产出!F$8:F$207,MATCH(玩家节奏2!$N205,关卡产出!$B$8:$B$207,0))*$K205</f>
        <v>32800</v>
      </c>
      <c r="AA205" s="126">
        <f>SUM(W$7:W205)</f>
        <v>444942</v>
      </c>
      <c r="AB205" s="126">
        <f>SUM(X$7:X205)</f>
        <v>222307</v>
      </c>
      <c r="AC205" s="126">
        <f>SUM(Y$7:Y205)</f>
        <v>109523</v>
      </c>
      <c r="AD205" s="177">
        <f>SUM(Z$7:Z205)</f>
        <v>5800730</v>
      </c>
      <c r="AE205" s="128">
        <f>INDEX(图鉴!AQ:AQ,MATCH($N205,图鉴!$S:$S,0))*34</f>
        <v>714</v>
      </c>
      <c r="AF205" s="90">
        <f>INDEX(图鉴!AR:AR,MATCH($N205,图鉴!$S:$S,0))*34</f>
        <v>510</v>
      </c>
      <c r="AG205" s="90">
        <f>INDEX(图鉴!AS:AS,MATCH($N205,图鉴!$S:$S,0))*34</f>
        <v>204</v>
      </c>
      <c r="AH205" s="129">
        <f ca="1">INDEX(图鉴!AT:AT,MATCH($N205,图鉴!$S:$S,0))*34</f>
        <v>55930</v>
      </c>
      <c r="AI205" s="128">
        <f>SUM($AE$7:AE205)</f>
        <v>140182</v>
      </c>
      <c r="AJ205" s="90">
        <f>SUM(AF$7:AF205)</f>
        <v>98022</v>
      </c>
      <c r="AK205" s="90">
        <f>SUM(AG$7:AG205)</f>
        <v>38658</v>
      </c>
      <c r="AL205" s="130">
        <f ca="1">SUM(AH$7:AH205)</f>
        <v>10300436</v>
      </c>
      <c r="AM205" s="133">
        <f>IF(M205=0,0,INDEX(关卡产出!$AU$11:$AU$15,MATCH(玩家节奏2!N205,关卡产出!$AW$11:$AW$15,1))*M205)</f>
        <v>61000</v>
      </c>
      <c r="AN205" s="126">
        <f>IF(L205=0,0,$L205*关卡产出!AU$21)</f>
        <v>16000</v>
      </c>
      <c r="AO205" s="90">
        <f>IF(M205=0,0,$L205*关卡产出!AV$21)</f>
        <v>800</v>
      </c>
      <c r="AP205" s="129">
        <f>IF(N205=0,0,$L205*关卡产出!AW$21)</f>
        <v>16</v>
      </c>
      <c r="AQ205" s="138">
        <f>SUM(AN$7:AN205)</f>
        <v>3136000</v>
      </c>
      <c r="AR205" s="126">
        <f>SUM(AO$7:AO205)</f>
        <v>156800</v>
      </c>
      <c r="AS205" s="129">
        <f>SUM(AP$7:AP205)</f>
        <v>3136</v>
      </c>
      <c r="AT205" s="128">
        <v>3000</v>
      </c>
      <c r="AU205" s="129">
        <v>600</v>
      </c>
      <c r="AV205" s="128">
        <f>SUM(AT$7:AT205)</f>
        <v>597000</v>
      </c>
      <c r="AW205" s="90">
        <f>SUM(AU$7:AU205)</f>
        <v>119400</v>
      </c>
      <c r="AY205" s="128">
        <f t="shared" si="211"/>
        <v>38500</v>
      </c>
      <c r="AZ205" s="90">
        <f t="shared" si="212"/>
        <v>156800</v>
      </c>
      <c r="BA205" s="90">
        <f t="shared" si="213"/>
        <v>119400</v>
      </c>
      <c r="BB205" s="90">
        <f t="shared" ca="1" si="241"/>
        <v>40800</v>
      </c>
      <c r="BC205" s="90">
        <f t="shared" ca="1" si="243"/>
        <v>179925</v>
      </c>
      <c r="BD205" s="90">
        <f t="shared" ca="1" si="244"/>
        <v>175575</v>
      </c>
      <c r="BE205" s="90">
        <f t="shared" ca="1" si="214"/>
        <v>355500</v>
      </c>
      <c r="BF205" s="142">
        <f t="shared" ca="1" si="198"/>
        <v>0.21397804640822565</v>
      </c>
      <c r="BG205" s="142">
        <f t="shared" ca="1" si="199"/>
        <v>0.87147422537168262</v>
      </c>
      <c r="BH205" s="142">
        <f t="shared" ca="1" si="200"/>
        <v>0.66360983743226343</v>
      </c>
      <c r="BI205" s="142">
        <f t="shared" ca="1" si="215"/>
        <v>0.2267611504793664</v>
      </c>
      <c r="BJ205" s="143"/>
      <c r="BK205" s="128">
        <f ca="1">INDEX(商城宝箱!$L:$L,MATCH(BC205,商城宝箱!$N:$N,1))</f>
        <v>14</v>
      </c>
      <c r="BL205" s="90">
        <f ca="1">_xlfn.IFNA(INDEX(商城宝箱!T:T,MATCH(玩家节奏2!$BK205,商城宝箱!$L:$L,0)),0)+($BC205-INDEX(商城宝箱!$N:$N,MATCH(玩家节奏2!$BK205,商城宝箱!$L:$L,0)))/$BK$5*INDEX(商城宝箱!E$23:E$42,MATCH(玩家节奏2!$BK205+1,商城宝箱!$C$23:$C$42,0))</f>
        <v>449812.5</v>
      </c>
      <c r="BM205" s="90">
        <f ca="1">_xlfn.IFNA(INDEX(商城宝箱!U:U,MATCH(玩家节奏2!$BK205,商城宝箱!$L:$L,0)),0)+($BC205-INDEX(商城宝箱!$N:$N,MATCH(玩家节奏2!$BK205,商城宝箱!$L:$L,0)))/$BK$5*INDEX(商城宝箱!F$23:F$42,MATCH(玩家节奏2!$BK205+1,商城宝箱!$C$23:$C$42,0))</f>
        <v>603852.5</v>
      </c>
      <c r="BN205" s="90">
        <f ca="1">_xlfn.IFNA(INDEX(商城宝箱!V:V,MATCH(玩家节奏2!$BK205,商城宝箱!$L:$L,0)),0)+($BC205-INDEX(商城宝箱!$N:$N,MATCH(玩家节奏2!$BK205,商城宝箱!$L:$L,0)))/$BK$5*INDEX(商城宝箱!G$23:G$42,MATCH(玩家节奏2!$BK205+1,商城宝箱!$C$23:$C$42,0))</f>
        <v>298949.5</v>
      </c>
      <c r="BO205" s="90">
        <f ca="1">_xlfn.IFNA(INDEX(商城宝箱!W:W,MATCH(玩家节奏2!$BK205,商城宝箱!$L:$L,0)),0)+($BC205-INDEX(商城宝箱!$N:$N,MATCH(玩家节奏2!$BK205,商城宝箱!$L:$L,0)))/$BK$5*INDEX(商城宝箱!H$23:H$42,MATCH(玩家节奏2!$BK205+1,商城宝箱!$C$23:$C$42,0))</f>
        <v>49852.75</v>
      </c>
      <c r="BQ205" s="128">
        <f t="shared" si="202"/>
        <v>11610000</v>
      </c>
      <c r="BR205" s="90">
        <f t="shared" si="203"/>
        <v>5800730</v>
      </c>
      <c r="BS205" s="90">
        <f t="shared" ca="1" si="204"/>
        <v>10300436</v>
      </c>
      <c r="BT205" s="90">
        <f t="shared" si="205"/>
        <v>61000</v>
      </c>
      <c r="BU205" s="90">
        <f t="shared" si="206"/>
        <v>3136000</v>
      </c>
      <c r="BV205" s="90">
        <f t="shared" si="207"/>
        <v>597000</v>
      </c>
      <c r="BW205" s="90">
        <f t="shared" ca="1" si="216"/>
        <v>449812.5</v>
      </c>
      <c r="BX205" s="90">
        <f t="shared" ca="1" si="217"/>
        <v>31954978.5</v>
      </c>
      <c r="BY205" s="142">
        <f t="shared" ca="1" si="191"/>
        <v>0.36332366801623728</v>
      </c>
      <c r="BZ205" s="142">
        <f t="shared" ca="1" si="191"/>
        <v>0.18152820850747872</v>
      </c>
      <c r="CA205" s="142">
        <f t="shared" ca="1" si="191"/>
        <v>0.32234213520124883</v>
      </c>
      <c r="CB205" s="142">
        <f t="shared" ca="1" si="190"/>
        <v>1.9089357234272587E-3</v>
      </c>
      <c r="CC205" s="142">
        <f t="shared" ca="1" si="190"/>
        <v>9.8138072601112847E-2</v>
      </c>
      <c r="CD205" s="142">
        <f t="shared" ca="1" si="190"/>
        <v>1.8682534866984811E-2</v>
      </c>
      <c r="CE205" s="142">
        <f t="shared" ca="1" si="190"/>
        <v>1.4076445083510226E-2</v>
      </c>
      <c r="CG205" s="128">
        <f t="shared" si="218"/>
        <v>200</v>
      </c>
      <c r="CH205" s="90">
        <f ca="1">INDEX(角色升级!$A:$A,MATCH(玩家节奏2!$BX205,角色升级!$J:$J,1))</f>
        <v>1047</v>
      </c>
      <c r="CI205" s="90">
        <f ca="1">INDEX(角色升级!$O:$O,MATCH(玩家节奏2!$BX205,角色升级!$J:$J,1))</f>
        <v>99294.156750000009</v>
      </c>
      <c r="CJ205" s="90">
        <f>INDEX(关卡对比!$J:$J,MATCH(玩家节奏2!N205,关卡对比!$A:$A,0))</f>
        <v>86200</v>
      </c>
      <c r="CK205" s="147">
        <f t="shared" ca="1" si="219"/>
        <v>0.8681276202086281</v>
      </c>
      <c r="CL205" s="128">
        <f ca="1">INDEX(角色升级!$P:$P,MATCH(玩家节奏2!$CH205,角色升级!$A:$A,0))</f>
        <v>40800</v>
      </c>
      <c r="CM205" s="90">
        <f ca="1">INDEX(角色升级!Q:Q,MATCH(玩家节奏2!$CH205,角色升级!$A:$A,0))</f>
        <v>2.2000000000000002</v>
      </c>
      <c r="CO205" s="128">
        <f t="shared" si="220"/>
        <v>78866</v>
      </c>
      <c r="CP205" s="90">
        <f t="shared" si="221"/>
        <v>444942</v>
      </c>
      <c r="CQ205" s="90">
        <f t="shared" si="222"/>
        <v>140182</v>
      </c>
      <c r="CR205" s="90">
        <f t="shared" ca="1" si="223"/>
        <v>603852.5</v>
      </c>
      <c r="CS205" s="90">
        <f t="shared" ca="1" si="224"/>
        <v>1267842.5</v>
      </c>
      <c r="CT205" s="142">
        <f t="shared" ca="1" si="225"/>
        <v>6.220488743672814E-2</v>
      </c>
      <c r="CU205" s="142">
        <f t="shared" ca="1" si="225"/>
        <v>0.35094422217270677</v>
      </c>
      <c r="CV205" s="142">
        <f t="shared" ca="1" si="225"/>
        <v>0.11056736148220303</v>
      </c>
      <c r="CW205" s="142">
        <f t="shared" ca="1" si="225"/>
        <v>0.47628352890836206</v>
      </c>
      <c r="CY205" s="128">
        <f t="shared" si="226"/>
        <v>39434</v>
      </c>
      <c r="CZ205" s="90">
        <f t="shared" si="227"/>
        <v>222307</v>
      </c>
      <c r="DA205" s="90">
        <f t="shared" si="228"/>
        <v>98022</v>
      </c>
      <c r="DB205" s="90">
        <f t="shared" ca="1" si="242"/>
        <v>298949.5</v>
      </c>
      <c r="DC205" s="90">
        <f t="shared" ca="1" si="229"/>
        <v>658712.5</v>
      </c>
      <c r="DD205" s="142">
        <f t="shared" ca="1" si="230"/>
        <v>5.9865267472531646E-2</v>
      </c>
      <c r="DE205" s="142">
        <f t="shared" ca="1" si="230"/>
        <v>0.33748714348065356</v>
      </c>
      <c r="DF205" s="142">
        <f t="shared" ca="1" si="230"/>
        <v>0.14880847107045941</v>
      </c>
      <c r="DG205" s="142">
        <f t="shared" ca="1" si="230"/>
        <v>0.4538391179763554</v>
      </c>
      <c r="DI205" s="128">
        <f t="shared" si="231"/>
        <v>19113</v>
      </c>
      <c r="DJ205" s="90">
        <f t="shared" si="232"/>
        <v>109523</v>
      </c>
      <c r="DK205" s="90">
        <f t="shared" si="233"/>
        <v>38658</v>
      </c>
      <c r="DL205" s="90">
        <f t="shared" ca="1" si="234"/>
        <v>49852.75</v>
      </c>
      <c r="DM205" s="90">
        <f t="shared" ca="1" si="235"/>
        <v>217146.75</v>
      </c>
      <c r="DN205" s="142">
        <f t="shared" ca="1" si="236"/>
        <v>8.8018816767923072E-2</v>
      </c>
      <c r="DO205" s="142">
        <f t="shared" ca="1" si="236"/>
        <v>0.50437319462529373</v>
      </c>
      <c r="DP205" s="142">
        <f t="shared" ca="1" si="236"/>
        <v>0.17802707155414482</v>
      </c>
      <c r="DQ205" s="142">
        <f t="shared" ca="1" si="236"/>
        <v>0.22958091705263836</v>
      </c>
      <c r="DS205" s="128">
        <f t="shared" ca="1" si="237"/>
        <v>1267842.5</v>
      </c>
      <c r="DT205" s="90">
        <f t="shared" ca="1" si="238"/>
        <v>658712.5</v>
      </c>
      <c r="DU205" s="90">
        <f t="shared" ca="1" si="239"/>
        <v>217146.75</v>
      </c>
      <c r="DV205" s="90">
        <f t="shared" si="240"/>
        <v>3136</v>
      </c>
      <c r="DW205" s="90">
        <f ca="1">_xlfn.IFNA(INDEX(武器升级消耗!$H:$H,MATCH(玩家节奏2!DS205/玩家节奏2!DS$5,武器升级消耗!M:M,1)),0)</f>
        <v>97</v>
      </c>
      <c r="DX205" s="90">
        <f ca="1">_xlfn.IFNA(INDEX(武器升级消耗!$H:$H,MATCH(玩家节奏2!DT205/玩家节奏2!DT$5,武器升级消耗!N:N,1)),0)</f>
        <v>85</v>
      </c>
      <c r="DY205" s="90">
        <f ca="1">_xlfn.IFNA(INDEX(武器升级消耗!$H:$H,MATCH(玩家节奏2!DU205/玩家节奏2!DU$5,武器升级消耗!O:O,1)),0)</f>
        <v>64</v>
      </c>
      <c r="DZ205" s="90">
        <f>_xlfn.IFNA(INDEX(武器升级消耗!$H:$H,MATCH(玩家节奏2!DV205/玩家节奏2!DV$5,武器升级消耗!P:P,1)),0)</f>
        <v>40</v>
      </c>
      <c r="EA205" s="90">
        <f ca="1">_xlfn.IFNA(INDEX(武器升级消耗!$Q:$Q,MATCH(玩家节奏2!DW205,武器升级消耗!$H:$H,0))*2*EA$4,0)</f>
        <v>12.12</v>
      </c>
      <c r="EB205" s="90">
        <f ca="1">_xlfn.IFNA(INDEX(武器升级消耗!$Q:$Q,MATCH(玩家节奏2!DX205,武器升级消耗!$H:$H,0))*2*EB$4,0)</f>
        <v>13.349999999999984</v>
      </c>
      <c r="EC205" s="90">
        <f ca="1">_xlfn.IFNA(INDEX(武器升级消耗!$Q:$Q,MATCH(玩家节奏2!DY205,武器升级消耗!$H:$H,0))*2*EC$4,0)</f>
        <v>14.96</v>
      </c>
      <c r="ED205" s="90">
        <f>_xlfn.IFNA(INDEX(武器升级消耗!$Q:$Q,MATCH(玩家节奏2!DZ205,武器升级消耗!$H:$H,0))*2*ED$4,0)</f>
        <v>13.200000000000001</v>
      </c>
    </row>
    <row r="206" spans="1:134" x14ac:dyDescent="0.25">
      <c r="A206" s="123">
        <v>200</v>
      </c>
      <c r="B206" s="123">
        <f>INDEX(关卡对比!$Y:$Y,MATCH(关卡对比!Z206,关卡对比!$AA:$AA,1))</f>
        <v>113</v>
      </c>
      <c r="C206" s="124">
        <f>INDEX(关卡对比!$Y:$Y,MATCH(关卡对比!Z206,关卡对比!$AB:$AB,1))</f>
        <v>85</v>
      </c>
      <c r="D206" s="125">
        <f t="shared" si="189"/>
        <v>765.5</v>
      </c>
      <c r="E206" s="125">
        <v>2</v>
      </c>
      <c r="F206" s="128">
        <v>16</v>
      </c>
      <c r="G206" s="90">
        <v>16</v>
      </c>
      <c r="H206" s="90">
        <v>5</v>
      </c>
      <c r="J206" s="128">
        <v>200</v>
      </c>
      <c r="K206" s="90">
        <f t="shared" si="208"/>
        <v>16</v>
      </c>
      <c r="L206" s="90">
        <f t="shared" si="209"/>
        <v>16</v>
      </c>
      <c r="M206" s="90">
        <f t="shared" si="210"/>
        <v>5</v>
      </c>
      <c r="N206" s="140">
        <f>INDEX($A:$A,MATCH(SUM($K$7:K206),$D:$D,1))</f>
        <v>200</v>
      </c>
      <c r="O206" s="140">
        <v>0</v>
      </c>
      <c r="P206" s="141">
        <v>0</v>
      </c>
      <c r="Q206" s="126">
        <f>_xlfn.MAXIFS(关卡产出!X:X,关卡产出!$A:$A,玩家节奏2!$N$6,关卡产出!$B:$B,玩家节奏2!$N206)+_xlfn.MAXIFS(关卡产出!X:X,关卡产出!$A:$A,玩家节奏2!$O$6,关卡产出!$B:$B,玩家节奏2!$O206)+_xlfn.MAXIFS(关卡产出!X:X,关卡产出!$A:$A,玩家节奏2!$P$6,关卡产出!$B:$B,玩家节奏2!$P206)</f>
        <v>38500</v>
      </c>
      <c r="R206" s="90">
        <f>_xlfn.MAXIFS(关卡产出!Y:Y,关卡产出!$A:$A,玩家节奏2!$N$6,关卡产出!$B:$B,玩家节奏2!$N206)+_xlfn.MAXIFS(关卡产出!Y:Y,关卡产出!$A:$A,玩家节奏2!$O$6,关卡产出!$B:$B,玩家节奏2!$O206)+_xlfn.MAXIFS(关卡产出!Y:Y,关卡产出!$A:$A,玩家节奏2!$P$6,关卡产出!$B:$B,玩家节奏2!$P206)</f>
        <v>11610000</v>
      </c>
      <c r="S206" s="90">
        <f>_xlfn.MAXIFS(关卡产出!Z:Z,关卡产出!$A:$A,玩家节奏2!$N$6,关卡产出!$B:$B,玩家节奏2!$N206)+_xlfn.MAXIFS(关卡产出!Z:Z,关卡产出!$A:$A,玩家节奏2!$O$6,关卡产出!$B:$B,玩家节奏2!$O206)+_xlfn.MAXIFS(关卡产出!Z:Z,关卡产出!$A:$A,玩家节奏2!$P$6,关卡产出!$B:$B,玩家节奏2!$P206)</f>
        <v>78866</v>
      </c>
      <c r="T206" s="90">
        <f>_xlfn.MAXIFS(关卡产出!AA:AA,关卡产出!$A:$A,玩家节奏2!$N$6,关卡产出!$B:$B,玩家节奏2!$N206)+_xlfn.MAXIFS(关卡产出!AA:AA,关卡产出!$A:$A,玩家节奏2!$O$6,关卡产出!$B:$B,玩家节奏2!$O206)+_xlfn.MAXIFS(关卡产出!AA:AA,关卡产出!$A:$A,玩家节奏2!$P$6,关卡产出!$B:$B,玩家节奏2!$P206)</f>
        <v>39434</v>
      </c>
      <c r="U206" s="90">
        <f>_xlfn.MAXIFS(关卡产出!AB:AB,关卡产出!$A:$A,玩家节奏2!$N$6,关卡产出!$B:$B,玩家节奏2!$N206)+_xlfn.MAXIFS(关卡产出!AB:AB,关卡产出!$A:$A,玩家节奏2!$O$6,关卡产出!$B:$B,玩家节奏2!$O206)+_xlfn.MAXIFS(关卡产出!AB:AB,关卡产出!$A:$A,玩家节奏2!$P$6,关卡产出!$B:$B,玩家节奏2!$P206)</f>
        <v>19113</v>
      </c>
      <c r="V206" s="130">
        <f>_xlfn.MAXIFS(关卡产出!AC:AC,关卡产出!$A:$A,玩家节奏2!$N$6,关卡产出!$B:$B,玩家节奏2!$N206)+_xlfn.MAXIFS(关卡产出!AC:AC,关卡产出!$A:$A,玩家节奏2!$O$6,关卡产出!$B:$B,玩家节奏2!$O206)+_xlfn.MAXIFS(关卡产出!AC:AC,关卡产出!$A:$A,玩家节奏2!$P$6,关卡产出!$B:$B,玩家节奏2!$P206)</f>
        <v>1200</v>
      </c>
      <c r="W206" s="126">
        <f>INDEX(关卡产出!C$8:C$207,MATCH(玩家节奏2!$N206,关卡产出!$B$8:$B$207,0))*$K206</f>
        <v>2528</v>
      </c>
      <c r="X206" s="126">
        <f>INDEX(关卡产出!D$8:D$207,MATCH(玩家节奏2!$N206,关卡产出!$B$8:$B$207,0))*$K206</f>
        <v>1264</v>
      </c>
      <c r="Y206" s="126">
        <f>INDEX(关卡产出!E$8:E$207,MATCH(玩家节奏2!$N206,关卡产出!$B$8:$B$207,0))*$K206</f>
        <v>624</v>
      </c>
      <c r="Z206" s="144">
        <f>INDEX(关卡产出!F$8:F$207,MATCH(玩家节奏2!$N206,关卡产出!$B$8:$B$207,0))*$K206</f>
        <v>32800</v>
      </c>
      <c r="AA206" s="126">
        <f>SUM(W$7:W206)</f>
        <v>447470</v>
      </c>
      <c r="AB206" s="126">
        <f>SUM(X$7:X206)</f>
        <v>223571</v>
      </c>
      <c r="AC206" s="126">
        <f>SUM(Y$7:Y206)</f>
        <v>110147</v>
      </c>
      <c r="AD206" s="177">
        <f>SUM(Z$7:Z206)</f>
        <v>5833530</v>
      </c>
      <c r="AE206" s="128">
        <f>INDEX(图鉴!AQ:AQ,MATCH($N206,图鉴!$S:$S,0))*34</f>
        <v>714</v>
      </c>
      <c r="AF206" s="90">
        <f>INDEX(图鉴!AR:AR,MATCH($N206,图鉴!$S:$S,0))*34</f>
        <v>510</v>
      </c>
      <c r="AG206" s="90">
        <f>INDEX(图鉴!AS:AS,MATCH($N206,图鉴!$S:$S,0))*34</f>
        <v>204</v>
      </c>
      <c r="AH206" s="129">
        <f ca="1">INDEX(图鉴!AT:AT,MATCH($N206,图鉴!$S:$S,0))*34</f>
        <v>55930</v>
      </c>
      <c r="AI206" s="128">
        <f>SUM($AE$7:AE206)</f>
        <v>140896</v>
      </c>
      <c r="AJ206" s="90">
        <f>SUM(AF$7:AF206)</f>
        <v>98532</v>
      </c>
      <c r="AK206" s="90">
        <f>SUM(AG$7:AG206)</f>
        <v>38862</v>
      </c>
      <c r="AL206" s="130">
        <f ca="1">SUM(AH$7:AH206)</f>
        <v>10356366</v>
      </c>
      <c r="AM206" s="133">
        <f>IF(M206=0,0,INDEX(关卡产出!$AU$11:$AU$15,MATCH(玩家节奏2!N206,关卡产出!$AW$11:$AW$15,1))*M206)</f>
        <v>61000</v>
      </c>
      <c r="AN206" s="126">
        <f>IF(L206=0,0,$L206*关卡产出!AU$21)</f>
        <v>16000</v>
      </c>
      <c r="AO206" s="90">
        <f>IF(M206=0,0,$L206*关卡产出!AV$21)</f>
        <v>800</v>
      </c>
      <c r="AP206" s="129">
        <f>IF(N206=0,0,$L206*关卡产出!AW$21)</f>
        <v>16</v>
      </c>
      <c r="AQ206" s="138">
        <f>SUM(AN$7:AN206)</f>
        <v>3152000</v>
      </c>
      <c r="AR206" s="126">
        <f>SUM(AO$7:AO206)</f>
        <v>157600</v>
      </c>
      <c r="AS206" s="129">
        <f>SUM(AP$7:AP206)</f>
        <v>3152</v>
      </c>
      <c r="AT206" s="128">
        <v>3000</v>
      </c>
      <c r="AU206" s="129">
        <v>600</v>
      </c>
      <c r="AV206" s="128">
        <f>SUM(AT$7:AT206)</f>
        <v>600000</v>
      </c>
      <c r="AW206" s="90">
        <f>SUM(AU$7:AU206)</f>
        <v>120000</v>
      </c>
      <c r="AY206" s="128">
        <f t="shared" si="211"/>
        <v>38500</v>
      </c>
      <c r="AZ206" s="90">
        <f t="shared" si="212"/>
        <v>157600</v>
      </c>
      <c r="BA206" s="90">
        <f t="shared" si="213"/>
        <v>120000</v>
      </c>
      <c r="BB206" s="90">
        <f t="shared" ca="1" si="241"/>
        <v>40800</v>
      </c>
      <c r="BC206" s="90">
        <f t="shared" ca="1" si="243"/>
        <v>180625</v>
      </c>
      <c r="BD206" s="90">
        <f t="shared" ca="1" si="244"/>
        <v>176275</v>
      </c>
      <c r="BE206" s="90">
        <f t="shared" ca="1" si="214"/>
        <v>356900</v>
      </c>
      <c r="BF206" s="142">
        <f t="shared" ca="1" si="198"/>
        <v>0.21314878892733563</v>
      </c>
      <c r="BG206" s="142">
        <f t="shared" ca="1" si="199"/>
        <v>0.87252595155709345</v>
      </c>
      <c r="BH206" s="142">
        <f t="shared" ca="1" si="200"/>
        <v>0.66435986159169547</v>
      </c>
      <c r="BI206" s="142">
        <f t="shared" ca="1" si="215"/>
        <v>0.22588235294117648</v>
      </c>
      <c r="BJ206" s="143"/>
      <c r="BK206" s="128">
        <f ca="1">INDEX(商城宝箱!$L:$L,MATCH(BC206,商城宝箱!$N:$N,1))</f>
        <v>14</v>
      </c>
      <c r="BL206" s="90">
        <f ca="1">_xlfn.IFNA(INDEX(商城宝箱!T:T,MATCH(玩家节奏2!$BK206,商城宝箱!$L:$L,0)),0)+($BC206-INDEX(商城宝箱!$N:$N,MATCH(玩家节奏2!$BK206,商城宝箱!$L:$L,0)))/$BK$5*INDEX(商城宝箱!E$23:E$42,MATCH(玩家节奏2!$BK206+1,商城宝箱!$C$23:$C$42,0))</f>
        <v>451562.5</v>
      </c>
      <c r="BM206" s="90">
        <f ca="1">_xlfn.IFNA(INDEX(商城宝箱!U:U,MATCH(玩家节奏2!$BK206,商城宝箱!$L:$L,0)),0)+($BC206-INDEX(商城宝箱!$N:$N,MATCH(玩家节奏2!$BK206,商城宝箱!$L:$L,0)))/$BK$5*INDEX(商城宝箱!F$23:F$42,MATCH(玩家节奏2!$BK206+1,商城宝箱!$C$23:$C$42,0))</f>
        <v>607492.5</v>
      </c>
      <c r="BN206" s="90">
        <f ca="1">_xlfn.IFNA(INDEX(商城宝箱!V:V,MATCH(玩家节奏2!$BK206,商城宝箱!$L:$L,0)),0)+($BC206-INDEX(商城宝箱!$N:$N,MATCH(玩家节奏2!$BK206,商城宝箱!$L:$L,0)))/$BK$5*INDEX(商城宝箱!G$23:G$42,MATCH(玩家节奏2!$BK206+1,商城宝箱!$C$23:$C$42,0))</f>
        <v>300699.5</v>
      </c>
      <c r="BO206" s="90">
        <f ca="1">_xlfn.IFNA(INDEX(商城宝箱!W:W,MATCH(玩家节奏2!$BK206,商城宝箱!$L:$L,0)),0)+($BC206-INDEX(商城宝箱!$N:$N,MATCH(玩家节奏2!$BK206,商城宝箱!$L:$L,0)))/$BK$5*INDEX(商城宝箱!H$23:H$42,MATCH(玩家节奏2!$BK206+1,商城宝箱!$C$23:$C$42,0))</f>
        <v>50167.75</v>
      </c>
      <c r="BQ206" s="128">
        <f t="shared" si="202"/>
        <v>11610000</v>
      </c>
      <c r="BR206" s="90">
        <f t="shared" si="203"/>
        <v>5833530</v>
      </c>
      <c r="BS206" s="90">
        <f t="shared" ca="1" si="204"/>
        <v>10356366</v>
      </c>
      <c r="BT206" s="90">
        <f t="shared" si="205"/>
        <v>61000</v>
      </c>
      <c r="BU206" s="90">
        <f t="shared" si="206"/>
        <v>3152000</v>
      </c>
      <c r="BV206" s="90">
        <f t="shared" si="207"/>
        <v>600000</v>
      </c>
      <c r="BW206" s="90">
        <f t="shared" ca="1" si="216"/>
        <v>451562.5</v>
      </c>
      <c r="BX206" s="90">
        <f t="shared" ca="1" si="217"/>
        <v>32064458.5</v>
      </c>
      <c r="BY206" s="142">
        <f t="shared" ca="1" si="191"/>
        <v>0.36208314573595557</v>
      </c>
      <c r="BZ206" s="142">
        <f t="shared" ca="1" si="191"/>
        <v>0.18193134307881731</v>
      </c>
      <c r="CA206" s="142">
        <f t="shared" ca="1" si="191"/>
        <v>0.3229858380424544</v>
      </c>
      <c r="CB206" s="142">
        <f t="shared" ca="1" si="190"/>
        <v>1.9024179061062267E-3</v>
      </c>
      <c r="CC206" s="142">
        <f t="shared" ca="1" si="190"/>
        <v>9.8301987541751248E-2</v>
      </c>
      <c r="CD206" s="142">
        <f t="shared" ca="1" si="190"/>
        <v>1.8712307273176E-2</v>
      </c>
      <c r="CE206" s="142">
        <f t="shared" ca="1" si="190"/>
        <v>1.4082960421739229E-2</v>
      </c>
      <c r="CG206" s="128">
        <f t="shared" si="218"/>
        <v>200</v>
      </c>
      <c r="CH206" s="90">
        <f ca="1">INDEX(角色升级!$A:$A,MATCH(玩家节奏2!$BX206,角色升级!$J:$J,1))</f>
        <v>1047</v>
      </c>
      <c r="CI206" s="90">
        <f ca="1">INDEX(角色升级!$O:$O,MATCH(玩家节奏2!$BX206,角色升级!$J:$J,1))</f>
        <v>99294.156750000009</v>
      </c>
      <c r="CJ206" s="90">
        <f>INDEX(关卡对比!$J:$J,MATCH(玩家节奏2!N206,关卡对比!$A:$A,0))</f>
        <v>86200</v>
      </c>
      <c r="CK206" s="147">
        <f t="shared" ca="1" si="219"/>
        <v>0.8681276202086281</v>
      </c>
      <c r="CL206" s="128">
        <f ca="1">INDEX(角色升级!$P:$P,MATCH(玩家节奏2!$CH206,角色升级!$A:$A,0))</f>
        <v>40800</v>
      </c>
      <c r="CM206" s="90">
        <f ca="1">INDEX(角色升级!Q:Q,MATCH(玩家节奏2!$CH206,角色升级!$A:$A,0))</f>
        <v>2.2000000000000002</v>
      </c>
      <c r="CO206" s="128">
        <f t="shared" si="220"/>
        <v>78866</v>
      </c>
      <c r="CP206" s="90">
        <f t="shared" si="221"/>
        <v>447470</v>
      </c>
      <c r="CQ206" s="90">
        <f t="shared" si="222"/>
        <v>140896</v>
      </c>
      <c r="CR206" s="90">
        <f t="shared" ca="1" si="223"/>
        <v>607492.5</v>
      </c>
      <c r="CS206" s="90">
        <f t="shared" ca="1" si="224"/>
        <v>1274724.5</v>
      </c>
      <c r="CT206" s="142">
        <f t="shared" ca="1" si="225"/>
        <v>6.1869054842830742E-2</v>
      </c>
      <c r="CU206" s="142">
        <f t="shared" ca="1" si="225"/>
        <v>0.35103271334315767</v>
      </c>
      <c r="CV206" s="142">
        <f t="shared" ca="1" si="225"/>
        <v>0.11053054993451526</v>
      </c>
      <c r="CW206" s="142">
        <f t="shared" ca="1" si="225"/>
        <v>0.47656768187949633</v>
      </c>
      <c r="CY206" s="128">
        <f t="shared" si="226"/>
        <v>39434</v>
      </c>
      <c r="CZ206" s="90">
        <f t="shared" si="227"/>
        <v>223571</v>
      </c>
      <c r="DA206" s="90">
        <f t="shared" si="228"/>
        <v>98532</v>
      </c>
      <c r="DB206" s="90">
        <f t="shared" ca="1" si="242"/>
        <v>300699.5</v>
      </c>
      <c r="DC206" s="90">
        <f t="shared" ca="1" si="229"/>
        <v>662236.5</v>
      </c>
      <c r="DD206" s="142">
        <f t="shared" ca="1" si="230"/>
        <v>5.9546702726291895E-2</v>
      </c>
      <c r="DE206" s="142">
        <f t="shared" ca="1" si="230"/>
        <v>0.3375999359745348</v>
      </c>
      <c r="DF206" s="142">
        <f t="shared" ca="1" si="230"/>
        <v>0.14878672498420126</v>
      </c>
      <c r="DG206" s="142">
        <f t="shared" ca="1" si="230"/>
        <v>0.45406663631497207</v>
      </c>
      <c r="DI206" s="128">
        <f t="shared" si="231"/>
        <v>19113</v>
      </c>
      <c r="DJ206" s="90">
        <f t="shared" si="232"/>
        <v>110147</v>
      </c>
      <c r="DK206" s="90">
        <f t="shared" si="233"/>
        <v>38862</v>
      </c>
      <c r="DL206" s="90">
        <f t="shared" ca="1" si="234"/>
        <v>50167.75</v>
      </c>
      <c r="DM206" s="90">
        <f t="shared" ca="1" si="235"/>
        <v>218289.75</v>
      </c>
      <c r="DN206" s="142">
        <f t="shared" ca="1" si="236"/>
        <v>8.7557936183444249E-2</v>
      </c>
      <c r="DO206" s="142">
        <f t="shared" ca="1" si="236"/>
        <v>0.50459080190434957</v>
      </c>
      <c r="DP206" s="142">
        <f t="shared" ca="1" si="236"/>
        <v>0.17802943106581962</v>
      </c>
      <c r="DQ206" s="142">
        <f t="shared" ca="1" si="236"/>
        <v>0.22982183084638652</v>
      </c>
      <c r="DS206" s="128">
        <f t="shared" ca="1" si="237"/>
        <v>1274724.5</v>
      </c>
      <c r="DT206" s="90">
        <f t="shared" ca="1" si="238"/>
        <v>662236.5</v>
      </c>
      <c r="DU206" s="90">
        <f t="shared" ca="1" si="239"/>
        <v>218289.75</v>
      </c>
      <c r="DV206" s="90">
        <f t="shared" si="240"/>
        <v>3152</v>
      </c>
      <c r="DW206" s="90">
        <f ca="1">_xlfn.IFNA(INDEX(武器升级消耗!$H:$H,MATCH(玩家节奏2!DS206/玩家节奏2!DS$5,武器升级消耗!M:M,1)),0)</f>
        <v>97</v>
      </c>
      <c r="DX206" s="90">
        <f ca="1">_xlfn.IFNA(INDEX(武器升级消耗!$H:$H,MATCH(玩家节奏2!DT206/玩家节奏2!DT$5,武器升级消耗!N:N,1)),0)</f>
        <v>85</v>
      </c>
      <c r="DY206" s="90">
        <f ca="1">_xlfn.IFNA(INDEX(武器升级消耗!$H:$H,MATCH(玩家节奏2!DU206/玩家节奏2!DU$5,武器升级消耗!O:O,1)),0)</f>
        <v>64</v>
      </c>
      <c r="DZ206" s="90">
        <f>_xlfn.IFNA(INDEX(武器升级消耗!$H:$H,MATCH(玩家节奏2!DV206/玩家节奏2!DV$5,武器升级消耗!P:P,1)),0)</f>
        <v>40</v>
      </c>
      <c r="EA206" s="90">
        <f ca="1">_xlfn.IFNA(INDEX(武器升级消耗!$Q:$Q,MATCH(玩家节奏2!DW206,武器升级消耗!$H:$H,0))*2*EA$4,0)</f>
        <v>12.12</v>
      </c>
      <c r="EB206" s="90">
        <f ca="1">_xlfn.IFNA(INDEX(武器升级消耗!$Q:$Q,MATCH(玩家节奏2!DX206,武器升级消耗!$H:$H,0))*2*EB$4,0)</f>
        <v>13.349999999999984</v>
      </c>
      <c r="EC206" s="90">
        <f ca="1">_xlfn.IFNA(INDEX(武器升级消耗!$Q:$Q,MATCH(玩家节奏2!DY206,武器升级消耗!$H:$H,0))*2*EC$4,0)</f>
        <v>14.96</v>
      </c>
      <c r="ED206" s="90">
        <f>_xlfn.IFNA(INDEX(武器升级消耗!$Q:$Q,MATCH(玩家节奏2!DZ206,武器升级消耗!$H:$H,0))*2*ED$4,0)</f>
        <v>13.200000000000001</v>
      </c>
    </row>
  </sheetData>
  <mergeCells count="2">
    <mergeCell ref="DW5:DZ5"/>
    <mergeCell ref="EA5:ED5"/>
  </mergeCells>
  <phoneticPr fontId="11" type="noConversion"/>
  <conditionalFormatting sqref="BY1:CE1048576">
    <cfRule type="dataBar" priority="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{2AFEDDC8-966E-485B-AAE7-27E055C0A8EC}</x14:id>
        </ext>
      </extLst>
    </cfRule>
  </conditionalFormatting>
  <conditionalFormatting sqref="BF1:BJ5 BF7:BJ1048576 BJ6 BD6:BH6">
    <cfRule type="dataBar" priority="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{7D280B27-C9D7-4857-A993-A486C708D650}</x14:id>
        </ext>
      </extLst>
    </cfRule>
  </conditionalFormatting>
  <conditionalFormatting sqref="CK1:CK1048576">
    <cfRule type="colorScale" priority="5">
      <colorScale>
        <cfvo type="min"/>
        <cfvo type="max"/>
        <color rgb="FFFCFCFF"/>
        <color rgb="FF63BE7B"/>
      </colorScale>
    </cfRule>
  </conditionalFormatting>
  <conditionalFormatting sqref="CT1:CW1048576">
    <cfRule type="dataBar" priority="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{E573583F-BCFA-4718-BA19-B28AF822F1A8}</x14:id>
        </ext>
      </extLst>
    </cfRule>
  </conditionalFormatting>
  <conditionalFormatting sqref="DD1:DG1048576">
    <cfRule type="dataBar" priority="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{2310AB71-86A8-44B5-A171-0C079FCC7F64}</x14:id>
        </ext>
      </extLst>
    </cfRule>
  </conditionalFormatting>
  <conditionalFormatting sqref="DN1:DQ1048576">
    <cfRule type="dataBar" priority="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{C23ED445-2C4D-4D42-BB3E-D7A37EC4B715}</x14:id>
        </ext>
      </extLst>
    </cfRule>
  </conditionalFormatting>
  <conditionalFormatting sqref="DR1:DR1048576 EE1:EE1048576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{1C435FDD-1E0A-4006-8877-F9900A27EC81}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AFEDDC8-966E-485B-AAE7-27E055C0A8E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BY1:CE1048576</xm:sqref>
        </x14:conditionalFormatting>
        <x14:conditionalFormatting xmlns:xm="http://schemas.microsoft.com/office/excel/2006/main">
          <x14:cfRule type="dataBar" id="{7D280B27-C9D7-4857-A993-A486C708D650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BF1:BJ5 BF7:BJ1048576 BJ6 BD6:BH6</xm:sqref>
        </x14:conditionalFormatting>
        <x14:conditionalFormatting xmlns:xm="http://schemas.microsoft.com/office/excel/2006/main">
          <x14:cfRule type="dataBar" id="{E573583F-BCFA-4718-BA19-B28AF822F1A8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CT1:CW1048576</xm:sqref>
        </x14:conditionalFormatting>
        <x14:conditionalFormatting xmlns:xm="http://schemas.microsoft.com/office/excel/2006/main">
          <x14:cfRule type="dataBar" id="{2310AB71-86A8-44B5-A171-0C079FCC7F64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DD1:DG1048576</xm:sqref>
        </x14:conditionalFormatting>
        <x14:conditionalFormatting xmlns:xm="http://schemas.microsoft.com/office/excel/2006/main">
          <x14:cfRule type="dataBar" id="{C23ED445-2C4D-4D42-BB3E-D7A37EC4B715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DN1:DQ1048576</xm:sqref>
        </x14:conditionalFormatting>
        <x14:conditionalFormatting xmlns:xm="http://schemas.microsoft.com/office/excel/2006/main">
          <x14:cfRule type="dataBar" id="{1C435FDD-1E0A-4006-8877-F9900A27EC8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DR1:DR1048576 EE1:EE1048576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0070C0"/>
  </sheetPr>
  <dimension ref="A1:AZ613"/>
  <sheetViews>
    <sheetView topLeftCell="A28" workbookViewId="0">
      <selection activeCell="A27" sqref="A27:XFD27"/>
    </sheetView>
  </sheetViews>
  <sheetFormatPr defaultColWidth="9" defaultRowHeight="13.8" x14ac:dyDescent="0.25"/>
  <cols>
    <col min="1" max="1" width="10.5546875" bestFit="1" customWidth="1"/>
    <col min="2" max="2" width="5" bestFit="1" customWidth="1"/>
    <col min="3" max="5" width="8.6640625" customWidth="1"/>
    <col min="6" max="6" width="5.109375" bestFit="1" customWidth="1"/>
    <col min="7" max="7" width="8.44140625" style="57" bestFit="1" customWidth="1"/>
    <col min="8" max="8" width="10.44140625" style="58" customWidth="1"/>
    <col min="9" max="9" width="10.5546875" bestFit="1" customWidth="1"/>
    <col min="10" max="10" width="10.44140625" style="58" customWidth="1"/>
    <col min="11" max="11" width="5.5546875" bestFit="1" customWidth="1"/>
    <col min="12" max="12" width="8.6640625" bestFit="1" customWidth="1"/>
    <col min="13" max="13" width="9" style="58"/>
    <col min="16" max="16" width="9" style="57"/>
    <col min="30" max="30" width="12.33203125" customWidth="1"/>
    <col min="33" max="33" width="12.33203125" customWidth="1"/>
  </cols>
  <sheetData>
    <row r="1" spans="1:52" ht="16.2" x14ac:dyDescent="0.25">
      <c r="A1" s="9" t="s">
        <v>58</v>
      </c>
      <c r="B1" s="38">
        <v>30</v>
      </c>
      <c r="D1" t="s">
        <v>65</v>
      </c>
      <c r="G1"/>
      <c r="H1"/>
      <c r="J1"/>
      <c r="M1"/>
      <c r="O1" s="38"/>
      <c r="P1" s="9" t="s">
        <v>248</v>
      </c>
      <c r="Q1" s="9" t="s">
        <v>249</v>
      </c>
      <c r="R1" s="9" t="s">
        <v>250</v>
      </c>
      <c r="S1" s="9" t="s">
        <v>186</v>
      </c>
      <c r="T1" s="9" t="s">
        <v>251</v>
      </c>
      <c r="U1" s="9" t="s">
        <v>252</v>
      </c>
    </row>
    <row r="2" spans="1:52" ht="16.2" x14ac:dyDescent="0.25">
      <c r="A2" s="9" t="s">
        <v>66</v>
      </c>
      <c r="B2" s="38">
        <v>20</v>
      </c>
      <c r="C2" t="s">
        <v>67</v>
      </c>
      <c r="E2" s="39"/>
      <c r="G2"/>
      <c r="H2"/>
      <c r="I2" s="39"/>
      <c r="J2"/>
      <c r="K2" s="39"/>
      <c r="M2"/>
      <c r="O2" s="9" t="s">
        <v>253</v>
      </c>
      <c r="P2" s="38">
        <v>1</v>
      </c>
      <c r="Q2" s="38">
        <v>1</v>
      </c>
      <c r="R2" s="38">
        <v>1</v>
      </c>
      <c r="S2" s="38">
        <v>1</v>
      </c>
      <c r="T2" s="38">
        <v>1</v>
      </c>
      <c r="U2" s="38">
        <v>1</v>
      </c>
    </row>
    <row r="3" spans="1:52" ht="16.2" x14ac:dyDescent="0.25">
      <c r="A3" s="9" t="s">
        <v>69</v>
      </c>
      <c r="B3" s="38">
        <f>B1*B2/60</f>
        <v>10</v>
      </c>
      <c r="C3" t="s">
        <v>70</v>
      </c>
      <c r="G3"/>
      <c r="H3"/>
      <c r="J3"/>
      <c r="M3"/>
      <c r="O3" s="9" t="s">
        <v>254</v>
      </c>
      <c r="P3" s="38">
        <v>1.5</v>
      </c>
      <c r="Q3" s="38">
        <v>1.5</v>
      </c>
      <c r="R3" s="38">
        <v>1.5</v>
      </c>
      <c r="S3" s="38">
        <v>1.5</v>
      </c>
      <c r="T3" s="38">
        <v>1</v>
      </c>
      <c r="U3" s="38">
        <v>1.5</v>
      </c>
    </row>
    <row r="4" spans="1:52" ht="16.2" x14ac:dyDescent="0.25">
      <c r="G4"/>
      <c r="H4"/>
      <c r="J4"/>
      <c r="M4"/>
      <c r="O4" s="9" t="s">
        <v>255</v>
      </c>
      <c r="P4" s="38">
        <v>2.5</v>
      </c>
      <c r="Q4" s="38">
        <v>2.5</v>
      </c>
      <c r="R4" s="38">
        <v>2.5</v>
      </c>
      <c r="S4" s="38">
        <v>2.5</v>
      </c>
      <c r="T4" s="38">
        <v>1</v>
      </c>
      <c r="U4" s="38">
        <v>2.5</v>
      </c>
    </row>
    <row r="5" spans="1:52" ht="25.2" x14ac:dyDescent="0.45">
      <c r="C5" s="87" t="s">
        <v>259</v>
      </c>
      <c r="G5"/>
      <c r="H5" t="s">
        <v>256</v>
      </c>
      <c r="J5"/>
      <c r="M5"/>
      <c r="P5"/>
      <c r="Q5" s="87" t="s">
        <v>257</v>
      </c>
      <c r="X5" s="87" t="s">
        <v>260</v>
      </c>
    </row>
    <row r="6" spans="1:52" x14ac:dyDescent="0.25">
      <c r="C6" s="44">
        <v>1</v>
      </c>
      <c r="D6">
        <v>5</v>
      </c>
      <c r="E6">
        <v>45</v>
      </c>
      <c r="F6">
        <v>0.2</v>
      </c>
      <c r="G6"/>
      <c r="H6" t="s">
        <v>71</v>
      </c>
      <c r="J6" t="s">
        <v>72</v>
      </c>
      <c r="M6" t="s">
        <v>73</v>
      </c>
      <c r="P6"/>
      <c r="Q6">
        <v>1</v>
      </c>
      <c r="R6">
        <v>0.2</v>
      </c>
      <c r="S6">
        <v>1</v>
      </c>
      <c r="T6">
        <v>5</v>
      </c>
      <c r="U6">
        <v>45</v>
      </c>
      <c r="V6">
        <v>6</v>
      </c>
      <c r="X6">
        <v>1</v>
      </c>
      <c r="Y6">
        <v>0.2</v>
      </c>
      <c r="Z6">
        <v>1</v>
      </c>
      <c r="AA6">
        <v>5</v>
      </c>
      <c r="AB6">
        <v>45</v>
      </c>
      <c r="AC6">
        <v>6</v>
      </c>
      <c r="AF6" t="s">
        <v>50</v>
      </c>
      <c r="AJ6" t="s">
        <v>74</v>
      </c>
    </row>
    <row r="7" spans="1:52" ht="16.2" x14ac:dyDescent="0.25">
      <c r="A7" s="9" t="s">
        <v>258</v>
      </c>
      <c r="B7" s="9" t="s">
        <v>51</v>
      </c>
      <c r="C7" s="9" t="s">
        <v>55</v>
      </c>
      <c r="D7" s="9" t="s">
        <v>56</v>
      </c>
      <c r="E7" s="9" t="s">
        <v>57</v>
      </c>
      <c r="F7" s="9" t="s">
        <v>54</v>
      </c>
      <c r="G7" s="73" t="s">
        <v>75</v>
      </c>
      <c r="H7" s="69" t="s">
        <v>54</v>
      </c>
      <c r="I7" s="9" t="s">
        <v>262</v>
      </c>
      <c r="J7" s="69" t="s">
        <v>54</v>
      </c>
      <c r="K7" s="9" t="s">
        <v>58</v>
      </c>
      <c r="L7" s="76" t="s">
        <v>261</v>
      </c>
      <c r="M7" s="69" t="s">
        <v>55</v>
      </c>
      <c r="N7" s="9" t="s">
        <v>56</v>
      </c>
      <c r="O7" s="9" t="s">
        <v>57</v>
      </c>
      <c r="P7" s="67" t="s">
        <v>53</v>
      </c>
      <c r="Q7" s="9" t="s">
        <v>53</v>
      </c>
      <c r="R7" s="9" t="s">
        <v>54</v>
      </c>
      <c r="S7" s="9" t="s">
        <v>55</v>
      </c>
      <c r="T7" s="9" t="s">
        <v>56</v>
      </c>
      <c r="U7" s="9" t="s">
        <v>57</v>
      </c>
      <c r="V7" s="9" t="s">
        <v>58</v>
      </c>
      <c r="W7" s="73" t="s">
        <v>247</v>
      </c>
      <c r="X7" s="9" t="s">
        <v>53</v>
      </c>
      <c r="Y7" s="9" t="s">
        <v>54</v>
      </c>
      <c r="Z7" s="9" t="s">
        <v>55</v>
      </c>
      <c r="AA7" s="9" t="s">
        <v>56</v>
      </c>
      <c r="AB7" s="9" t="s">
        <v>57</v>
      </c>
      <c r="AC7" s="9" t="s">
        <v>58</v>
      </c>
      <c r="AD7" s="73" t="s">
        <v>339</v>
      </c>
      <c r="AF7" s="9" t="s">
        <v>52</v>
      </c>
      <c r="AG7" s="9" t="s">
        <v>77</v>
      </c>
      <c r="AH7" s="9" t="s">
        <v>78</v>
      </c>
      <c r="AI7" s="40" t="s">
        <v>79</v>
      </c>
      <c r="AJ7" s="41" t="s">
        <v>80</v>
      </c>
    </row>
    <row r="8" spans="1:52" x14ac:dyDescent="0.25">
      <c r="A8" s="86" t="s">
        <v>253</v>
      </c>
      <c r="B8" s="14">
        <v>1</v>
      </c>
      <c r="C8" s="14">
        <v>5</v>
      </c>
      <c r="D8" s="38">
        <f t="shared" ref="D8:D27" si="0">INT(C8/2)</f>
        <v>2</v>
      </c>
      <c r="E8" s="38"/>
      <c r="F8" s="38">
        <v>100</v>
      </c>
      <c r="G8" s="74">
        <f t="shared" ref="G8:G39" si="1">SUMPRODUCT($C$6:$F$6,C8:F8)</f>
        <v>35</v>
      </c>
      <c r="H8" s="70">
        <v>200</v>
      </c>
      <c r="I8" s="38"/>
      <c r="J8" s="70">
        <v>400</v>
      </c>
      <c r="K8" s="38">
        <v>6</v>
      </c>
      <c r="L8" s="77"/>
      <c r="M8" s="70">
        <v>12</v>
      </c>
      <c r="N8" s="38">
        <v>8</v>
      </c>
      <c r="O8" s="38"/>
      <c r="P8" s="68">
        <v>100</v>
      </c>
      <c r="Q8" s="38">
        <f>P8</f>
        <v>100</v>
      </c>
      <c r="R8" s="38">
        <f>H8+J8</f>
        <v>600</v>
      </c>
      <c r="S8" s="38">
        <f>M8</f>
        <v>12</v>
      </c>
      <c r="T8" s="38">
        <f>N8</f>
        <v>8</v>
      </c>
      <c r="U8" s="38">
        <f>O8</f>
        <v>0</v>
      </c>
      <c r="V8" s="38">
        <f t="shared" ref="V8:V39" si="2">K8</f>
        <v>6</v>
      </c>
      <c r="W8" s="38">
        <f>SUMPRODUCT($Q$6:$V$6,Q8:V8)</f>
        <v>308</v>
      </c>
      <c r="X8" s="38">
        <f>SUM(Q$8:Q8)</f>
        <v>100</v>
      </c>
      <c r="Y8" s="38">
        <f>SUM(R$8:R8)</f>
        <v>600</v>
      </c>
      <c r="Z8" s="38">
        <f>SUM(S$8:S8)</f>
        <v>12</v>
      </c>
      <c r="AA8" s="38">
        <f>SUM(T$8:T8)</f>
        <v>8</v>
      </c>
      <c r="AB8" s="38">
        <f>SUM(U$8:U8)</f>
        <v>0</v>
      </c>
      <c r="AC8" s="38">
        <f>SUM(V$8:V8)</f>
        <v>6</v>
      </c>
      <c r="AD8" s="38">
        <f>SUMPRODUCT($X$6:$AC$6,X8:AC8)</f>
        <v>308</v>
      </c>
      <c r="AF8" s="42">
        <v>1</v>
      </c>
      <c r="AG8" s="38" t="s">
        <v>54</v>
      </c>
      <c r="AH8" s="38">
        <v>1000</v>
      </c>
      <c r="AI8" t="e">
        <f>INDEX(局外广告!$T:$T,MATCH(关卡产出!AG8,局外广告!$S:$S,0))*AH8</f>
        <v>#N/A</v>
      </c>
      <c r="AJ8" t="s">
        <v>54</v>
      </c>
      <c r="AK8">
        <v>500</v>
      </c>
      <c r="AS8" s="44"/>
      <c r="AT8" s="44" t="s">
        <v>183</v>
      </c>
    </row>
    <row r="9" spans="1:52" x14ac:dyDescent="0.25">
      <c r="A9" s="86" t="s">
        <v>253</v>
      </c>
      <c r="B9" s="14">
        <v>2</v>
      </c>
      <c r="C9" s="14">
        <v>5</v>
      </c>
      <c r="D9" s="38">
        <f t="shared" si="0"/>
        <v>2</v>
      </c>
      <c r="E9" s="38"/>
      <c r="F9" s="38">
        <v>100</v>
      </c>
      <c r="G9" s="74">
        <f t="shared" si="1"/>
        <v>35</v>
      </c>
      <c r="H9" s="70">
        <v>300</v>
      </c>
      <c r="I9" s="38"/>
      <c r="J9" s="70">
        <v>600</v>
      </c>
      <c r="K9" s="38">
        <v>6</v>
      </c>
      <c r="L9" s="77"/>
      <c r="M9" s="70">
        <v>14</v>
      </c>
      <c r="N9" s="38">
        <v>8</v>
      </c>
      <c r="O9" s="38"/>
      <c r="P9" s="68">
        <v>100</v>
      </c>
      <c r="Q9" s="38">
        <f t="shared" ref="Q9:Q39" si="3">P9</f>
        <v>100</v>
      </c>
      <c r="R9" s="38">
        <f t="shared" ref="R9:R72" si="4">H9+J9</f>
        <v>900</v>
      </c>
      <c r="S9" s="38">
        <f t="shared" ref="S9:S72" si="5">M9</f>
        <v>14</v>
      </c>
      <c r="T9" s="38">
        <f t="shared" ref="T9:T72" si="6">N9</f>
        <v>8</v>
      </c>
      <c r="U9" s="38">
        <f t="shared" ref="U9:U72" si="7">O9</f>
        <v>0</v>
      </c>
      <c r="V9" s="38">
        <f t="shared" si="2"/>
        <v>6</v>
      </c>
      <c r="W9" s="38">
        <f t="shared" ref="W9:W72" si="8">SUMPRODUCT($Q$6:$V$6,Q9:V9)</f>
        <v>370</v>
      </c>
      <c r="X9" s="38">
        <f>SUM(Q$8:Q9)</f>
        <v>200</v>
      </c>
      <c r="Y9" s="38">
        <f>SUM(R$8:R9)</f>
        <v>1500</v>
      </c>
      <c r="Z9" s="38">
        <f>SUM(S$8:S9)</f>
        <v>26</v>
      </c>
      <c r="AA9" s="38">
        <f>SUM(T$8:T9)</f>
        <v>16</v>
      </c>
      <c r="AB9" s="38">
        <f>SUM(U$8:U9)</f>
        <v>0</v>
      </c>
      <c r="AC9" s="38">
        <f>SUM(V$8:V9)</f>
        <v>12</v>
      </c>
      <c r="AD9" s="38">
        <f t="shared" ref="AD9:AD25" si="9">SUMPRODUCT($X$6:$AC$6,X9:AC9)</f>
        <v>678</v>
      </c>
      <c r="AF9" s="38">
        <v>2</v>
      </c>
      <c r="AG9" s="43" t="s">
        <v>81</v>
      </c>
      <c r="AH9" s="38">
        <v>1</v>
      </c>
      <c r="AI9" t="e">
        <f>INDEX(局外广告!$T:$T,MATCH(关卡产出!AG9,局外广告!$S:$S,0))*AH9</f>
        <v>#N/A</v>
      </c>
      <c r="AJ9" t="s">
        <v>53</v>
      </c>
      <c r="AK9">
        <v>100</v>
      </c>
      <c r="AS9" s="44"/>
      <c r="AT9" s="44" t="s">
        <v>184</v>
      </c>
      <c r="AU9" s="44" t="s">
        <v>185</v>
      </c>
      <c r="AV9" s="44" t="s">
        <v>364</v>
      </c>
    </row>
    <row r="10" spans="1:52" ht="16.2" x14ac:dyDescent="0.25">
      <c r="A10" s="86" t="s">
        <v>253</v>
      </c>
      <c r="B10" s="14">
        <v>3</v>
      </c>
      <c r="C10" s="14">
        <v>5</v>
      </c>
      <c r="D10" s="38">
        <f t="shared" si="0"/>
        <v>2</v>
      </c>
      <c r="E10" s="38"/>
      <c r="F10" s="38">
        <f>F8+10</f>
        <v>110</v>
      </c>
      <c r="G10" s="74">
        <f t="shared" si="1"/>
        <v>37</v>
      </c>
      <c r="H10" s="70">
        <v>400</v>
      </c>
      <c r="I10" s="38"/>
      <c r="J10" s="70">
        <v>800</v>
      </c>
      <c r="K10" s="38">
        <v>6</v>
      </c>
      <c r="L10" s="77"/>
      <c r="M10" s="70">
        <v>16</v>
      </c>
      <c r="N10" s="38">
        <v>8</v>
      </c>
      <c r="O10" s="38"/>
      <c r="P10" s="68">
        <v>100</v>
      </c>
      <c r="Q10" s="38">
        <f t="shared" si="3"/>
        <v>100</v>
      </c>
      <c r="R10" s="38">
        <f t="shared" si="4"/>
        <v>1200</v>
      </c>
      <c r="S10" s="38">
        <f t="shared" si="5"/>
        <v>16</v>
      </c>
      <c r="T10" s="38">
        <f t="shared" si="6"/>
        <v>8</v>
      </c>
      <c r="U10" s="38">
        <f t="shared" si="7"/>
        <v>0</v>
      </c>
      <c r="V10" s="38">
        <f t="shared" si="2"/>
        <v>6</v>
      </c>
      <c r="W10" s="38">
        <f t="shared" si="8"/>
        <v>432</v>
      </c>
      <c r="X10" s="38">
        <f>SUM(Q$8:Q10)</f>
        <v>300</v>
      </c>
      <c r="Y10" s="38">
        <f>SUM(R$8:R10)</f>
        <v>2700</v>
      </c>
      <c r="Z10" s="38">
        <f>SUM(S$8:S10)</f>
        <v>42</v>
      </c>
      <c r="AA10" s="38">
        <f>SUM(T$8:T10)</f>
        <v>24</v>
      </c>
      <c r="AB10" s="38">
        <f>SUM(U$8:U10)</f>
        <v>0</v>
      </c>
      <c r="AC10" s="38">
        <f>SUM(V$8:V10)</f>
        <v>18</v>
      </c>
      <c r="AD10" s="38">
        <f t="shared" si="9"/>
        <v>1110</v>
      </c>
      <c r="AF10" s="38">
        <v>3</v>
      </c>
      <c r="AG10" s="38" t="s">
        <v>56</v>
      </c>
      <c r="AH10" s="38">
        <v>15</v>
      </c>
      <c r="AI10" t="e">
        <f>INDEX(局外广告!$T:$T,MATCH(关卡产出!AG10,局外广告!$S:$S,0))*AH10</f>
        <v>#N/A</v>
      </c>
      <c r="AU10" s="9" t="s">
        <v>186</v>
      </c>
      <c r="AV10" s="9" t="s">
        <v>187</v>
      </c>
      <c r="AW10" s="9" t="s">
        <v>188</v>
      </c>
      <c r="AX10" s="24" t="s">
        <v>63</v>
      </c>
      <c r="AY10" s="41" t="s">
        <v>64</v>
      </c>
    </row>
    <row r="11" spans="1:52" x14ac:dyDescent="0.25">
      <c r="A11" s="86" t="s">
        <v>253</v>
      </c>
      <c r="B11" s="14">
        <v>4</v>
      </c>
      <c r="C11" s="14">
        <v>5</v>
      </c>
      <c r="D11" s="38">
        <f t="shared" si="0"/>
        <v>2</v>
      </c>
      <c r="E11" s="38">
        <v>1</v>
      </c>
      <c r="F11" s="38">
        <f t="shared" ref="F11:F15" si="10">F9+10</f>
        <v>110</v>
      </c>
      <c r="G11" s="74">
        <f t="shared" si="1"/>
        <v>82</v>
      </c>
      <c r="H11" s="70">
        <v>500</v>
      </c>
      <c r="I11" s="38"/>
      <c r="J11" s="70">
        <v>1000</v>
      </c>
      <c r="K11" s="38">
        <v>6</v>
      </c>
      <c r="L11" s="77"/>
      <c r="M11" s="70">
        <v>18</v>
      </c>
      <c r="N11" s="38">
        <v>8</v>
      </c>
      <c r="O11" s="38">
        <v>1</v>
      </c>
      <c r="P11" s="68">
        <v>100</v>
      </c>
      <c r="Q11" s="38">
        <f t="shared" si="3"/>
        <v>100</v>
      </c>
      <c r="R11" s="38">
        <f t="shared" si="4"/>
        <v>1500</v>
      </c>
      <c r="S11" s="38">
        <f t="shared" si="5"/>
        <v>18</v>
      </c>
      <c r="T11" s="38">
        <f t="shared" si="6"/>
        <v>8</v>
      </c>
      <c r="U11" s="38">
        <f t="shared" si="7"/>
        <v>1</v>
      </c>
      <c r="V11" s="38">
        <f t="shared" si="2"/>
        <v>6</v>
      </c>
      <c r="W11" s="38">
        <f t="shared" si="8"/>
        <v>539</v>
      </c>
      <c r="X11" s="38">
        <f>SUM(Q$8:Q11)</f>
        <v>400</v>
      </c>
      <c r="Y11" s="38">
        <f>SUM(R$8:R11)</f>
        <v>4200</v>
      </c>
      <c r="Z11" s="38">
        <f>SUM(S$8:S11)</f>
        <v>60</v>
      </c>
      <c r="AA11" s="38">
        <f>SUM(T$8:T11)</f>
        <v>32</v>
      </c>
      <c r="AB11" s="38">
        <f>SUM(U$8:U11)</f>
        <v>1</v>
      </c>
      <c r="AC11" s="38">
        <f>SUM(V$8:V11)</f>
        <v>24</v>
      </c>
      <c r="AD11" s="38">
        <f t="shared" si="9"/>
        <v>1649</v>
      </c>
      <c r="AF11" s="38">
        <v>4</v>
      </c>
      <c r="AG11" s="38" t="s">
        <v>54</v>
      </c>
      <c r="AH11" s="38">
        <v>10000</v>
      </c>
      <c r="AI11" t="e">
        <f>INDEX(局外广告!$T:$T,MATCH(关卡产出!AG11,局外广告!$S:$S,0))*AH11</f>
        <v>#N/A</v>
      </c>
      <c r="AS11" s="44"/>
      <c r="AT11" s="44" t="s">
        <v>189</v>
      </c>
      <c r="AU11">
        <v>2400</v>
      </c>
      <c r="AV11">
        <f>INDEX($B$8:$B$74,MATCH(AU11*2,$R$8:$R$74,1))</f>
        <v>11</v>
      </c>
      <c r="AW11">
        <v>10</v>
      </c>
      <c r="AX11">
        <f>INDEX(关卡对比!$F:$F,MATCH(关卡产出!AW11,关卡对比!$A:$A,0))</f>
        <v>5</v>
      </c>
      <c r="AY11">
        <f>INDEX(关卡对比!$E:$E,MATCH(关卡产出!AW11,关卡对比!$A:$A,0))</f>
        <v>6.69</v>
      </c>
      <c r="AZ11">
        <v>6.24</v>
      </c>
    </row>
    <row r="12" spans="1:52" s="1" customFormat="1" x14ac:dyDescent="0.25">
      <c r="A12" s="86" t="s">
        <v>253</v>
      </c>
      <c r="B12" s="14">
        <v>5</v>
      </c>
      <c r="C12" s="20">
        <v>6</v>
      </c>
      <c r="D12" s="38">
        <f t="shared" si="0"/>
        <v>3</v>
      </c>
      <c r="E12" s="38">
        <f>INT(D12/3)</f>
        <v>1</v>
      </c>
      <c r="F12" s="42">
        <f t="shared" si="10"/>
        <v>120</v>
      </c>
      <c r="G12" s="74">
        <f t="shared" si="1"/>
        <v>90</v>
      </c>
      <c r="H12" s="71">
        <v>600</v>
      </c>
      <c r="I12" s="38"/>
      <c r="J12" s="71">
        <v>1200</v>
      </c>
      <c r="K12" s="38">
        <v>6</v>
      </c>
      <c r="L12" s="78"/>
      <c r="M12" s="71">
        <v>20</v>
      </c>
      <c r="N12" s="42">
        <v>9</v>
      </c>
      <c r="O12" s="42">
        <v>1</v>
      </c>
      <c r="P12" s="72">
        <v>100</v>
      </c>
      <c r="Q12" s="42">
        <f t="shared" si="3"/>
        <v>100</v>
      </c>
      <c r="R12" s="38">
        <f t="shared" si="4"/>
        <v>1800</v>
      </c>
      <c r="S12" s="38">
        <f t="shared" si="5"/>
        <v>20</v>
      </c>
      <c r="T12" s="38">
        <f t="shared" si="6"/>
        <v>9</v>
      </c>
      <c r="U12" s="38">
        <f t="shared" si="7"/>
        <v>1</v>
      </c>
      <c r="V12" s="42">
        <f t="shared" si="2"/>
        <v>6</v>
      </c>
      <c r="W12" s="38">
        <f t="shared" si="8"/>
        <v>606</v>
      </c>
      <c r="X12" s="42">
        <f>SUM(Q$8:Q12)</f>
        <v>500</v>
      </c>
      <c r="Y12" s="42">
        <f>SUM(R$8:R12)</f>
        <v>6000</v>
      </c>
      <c r="Z12" s="42">
        <f>SUM(S$8:S12)</f>
        <v>80</v>
      </c>
      <c r="AA12" s="42">
        <f>SUM(T$8:T12)</f>
        <v>41</v>
      </c>
      <c r="AB12" s="42">
        <f>SUM(U$8:U12)</f>
        <v>2</v>
      </c>
      <c r="AC12" s="42">
        <f>SUM(V$8:V12)</f>
        <v>30</v>
      </c>
      <c r="AD12" s="38">
        <f t="shared" si="9"/>
        <v>2255</v>
      </c>
      <c r="AF12" s="38">
        <v>5</v>
      </c>
      <c r="AG12" s="38" t="s">
        <v>53</v>
      </c>
      <c r="AH12" s="38">
        <v>400</v>
      </c>
      <c r="AI12" t="e">
        <f>INDEX(局外广告!$T:$T,MATCH(关卡产出!AG12,局外广告!$S:$S,0))*AH12</f>
        <v>#N/A</v>
      </c>
      <c r="AS12" s="44"/>
      <c r="AT12" s="44" t="s">
        <v>190</v>
      </c>
      <c r="AU12" s="1">
        <v>4100</v>
      </c>
      <c r="AV12">
        <f>INDEX($B$8:$B$74,MATCH(AU12*2,$R$8:$R$74,1))</f>
        <v>17</v>
      </c>
      <c r="AW12">
        <v>20</v>
      </c>
      <c r="AX12">
        <f>INDEX(关卡对比!$F:$F,MATCH(关卡产出!AW12,关卡对比!$A:$A,0))</f>
        <v>9</v>
      </c>
      <c r="AY12">
        <f>INDEX(关卡对比!$E:$E,MATCH(关卡产出!AW12,关卡对比!$A:$A,0))</f>
        <v>24.92</v>
      </c>
      <c r="AZ12" s="1">
        <v>24</v>
      </c>
    </row>
    <row r="13" spans="1:52" x14ac:dyDescent="0.25">
      <c r="A13" s="86" t="s">
        <v>253</v>
      </c>
      <c r="B13" s="14">
        <v>6</v>
      </c>
      <c r="C13" s="14">
        <v>6</v>
      </c>
      <c r="D13" s="38">
        <f t="shared" si="0"/>
        <v>3</v>
      </c>
      <c r="E13" s="38">
        <f t="shared" ref="E13:E23" si="11">INT(D13/3)</f>
        <v>1</v>
      </c>
      <c r="F13" s="38">
        <f t="shared" si="10"/>
        <v>120</v>
      </c>
      <c r="G13" s="74">
        <f t="shared" si="1"/>
        <v>90</v>
      </c>
      <c r="H13" s="70">
        <v>700</v>
      </c>
      <c r="I13" s="38"/>
      <c r="J13" s="70">
        <v>1400</v>
      </c>
      <c r="K13" s="38">
        <v>6</v>
      </c>
      <c r="L13" s="77"/>
      <c r="M13" s="70">
        <v>20</v>
      </c>
      <c r="N13" s="38">
        <v>10</v>
      </c>
      <c r="O13" s="38">
        <v>2</v>
      </c>
      <c r="P13" s="68">
        <v>100</v>
      </c>
      <c r="Q13" s="38">
        <f t="shared" si="3"/>
        <v>100</v>
      </c>
      <c r="R13" s="38">
        <f t="shared" si="4"/>
        <v>2100</v>
      </c>
      <c r="S13" s="38">
        <f t="shared" si="5"/>
        <v>20</v>
      </c>
      <c r="T13" s="38">
        <f t="shared" si="6"/>
        <v>10</v>
      </c>
      <c r="U13" s="38">
        <f t="shared" si="7"/>
        <v>2</v>
      </c>
      <c r="V13" s="38">
        <f t="shared" si="2"/>
        <v>6</v>
      </c>
      <c r="W13" s="38">
        <f t="shared" si="8"/>
        <v>716</v>
      </c>
      <c r="X13" s="38">
        <f>SUM(Q$8:Q13)</f>
        <v>600</v>
      </c>
      <c r="Y13" s="38">
        <f>SUM(R$8:R13)</f>
        <v>8100</v>
      </c>
      <c r="Z13" s="38">
        <f>SUM(S$8:S13)</f>
        <v>100</v>
      </c>
      <c r="AA13" s="38">
        <f>SUM(T$8:T13)</f>
        <v>51</v>
      </c>
      <c r="AB13" s="38">
        <f>SUM(U$8:U13)</f>
        <v>4</v>
      </c>
      <c r="AC13" s="38">
        <f>SUM(V$8:V13)</f>
        <v>36</v>
      </c>
      <c r="AD13" s="38">
        <f t="shared" si="9"/>
        <v>2971</v>
      </c>
      <c r="AF13" s="42">
        <v>6</v>
      </c>
      <c r="AG13" s="43" t="s">
        <v>57</v>
      </c>
      <c r="AH13" s="38">
        <v>15</v>
      </c>
      <c r="AI13" t="e">
        <f>INDEX(局外广告!$T:$T,MATCH(关卡产出!AG13,局外广告!$S:$S,0))*AH13</f>
        <v>#N/A</v>
      </c>
      <c r="AS13" s="44"/>
      <c r="AT13" s="44" t="s">
        <v>191</v>
      </c>
      <c r="AU13">
        <v>5800</v>
      </c>
      <c r="AV13">
        <f>INDEX($B$8:$B$74,MATCH(AU13*2,$R$8:$R$74,1))</f>
        <v>23</v>
      </c>
      <c r="AW13">
        <v>30</v>
      </c>
      <c r="AX13">
        <f>INDEX(关卡对比!$F:$F,MATCH(关卡产出!AW13,关卡对比!$A:$A,0))</f>
        <v>10</v>
      </c>
      <c r="AY13">
        <f>INDEX(关卡对比!$E:$E,MATCH(关卡产出!AW13,关卡对比!$A:$A,0))</f>
        <v>63.32</v>
      </c>
      <c r="AZ13">
        <v>60</v>
      </c>
    </row>
    <row r="14" spans="1:52" x14ac:dyDescent="0.25">
      <c r="A14" s="86" t="s">
        <v>253</v>
      </c>
      <c r="B14" s="14">
        <v>7</v>
      </c>
      <c r="C14" s="14">
        <v>7</v>
      </c>
      <c r="D14" s="38">
        <f t="shared" si="0"/>
        <v>3</v>
      </c>
      <c r="E14" s="38">
        <f t="shared" si="11"/>
        <v>1</v>
      </c>
      <c r="F14" s="38">
        <f t="shared" si="10"/>
        <v>130</v>
      </c>
      <c r="G14" s="74">
        <f t="shared" si="1"/>
        <v>93</v>
      </c>
      <c r="H14" s="70">
        <v>800</v>
      </c>
      <c r="I14" s="38"/>
      <c r="J14" s="70">
        <v>1600</v>
      </c>
      <c r="K14" s="38">
        <v>6</v>
      </c>
      <c r="L14" s="77"/>
      <c r="M14" s="70">
        <v>22</v>
      </c>
      <c r="N14" s="38">
        <v>11</v>
      </c>
      <c r="O14" s="38">
        <v>2</v>
      </c>
      <c r="P14" s="68">
        <v>100</v>
      </c>
      <c r="Q14" s="38">
        <f t="shared" si="3"/>
        <v>100</v>
      </c>
      <c r="R14" s="38">
        <f t="shared" si="4"/>
        <v>2400</v>
      </c>
      <c r="S14" s="38">
        <f t="shared" si="5"/>
        <v>22</v>
      </c>
      <c r="T14" s="38">
        <f t="shared" si="6"/>
        <v>11</v>
      </c>
      <c r="U14" s="38">
        <f t="shared" si="7"/>
        <v>2</v>
      </c>
      <c r="V14" s="38">
        <f t="shared" si="2"/>
        <v>6</v>
      </c>
      <c r="W14" s="38">
        <f t="shared" si="8"/>
        <v>783</v>
      </c>
      <c r="X14" s="38">
        <f>SUM(Q$8:Q14)</f>
        <v>700</v>
      </c>
      <c r="Y14" s="38">
        <f>SUM(R$8:R14)</f>
        <v>10500</v>
      </c>
      <c r="Z14" s="38">
        <f>SUM(S$8:S14)</f>
        <v>122</v>
      </c>
      <c r="AA14" s="38">
        <f>SUM(T$8:T14)</f>
        <v>62</v>
      </c>
      <c r="AB14" s="38">
        <f>SUM(U$8:U14)</f>
        <v>6</v>
      </c>
      <c r="AC14" s="38">
        <f>SUM(V$8:V14)</f>
        <v>42</v>
      </c>
      <c r="AD14" s="38">
        <f t="shared" si="9"/>
        <v>3754</v>
      </c>
      <c r="AF14" s="38">
        <v>7</v>
      </c>
      <c r="AG14" s="43" t="s">
        <v>82</v>
      </c>
      <c r="AH14" s="38">
        <v>1</v>
      </c>
      <c r="AI14" t="e">
        <f>INDEX(局外广告!$T:$T,MATCH(关卡产出!AG14,局外广告!$S:$S,0))*AH14</f>
        <v>#N/A</v>
      </c>
      <c r="AS14" s="44"/>
      <c r="AT14" s="44" t="s">
        <v>192</v>
      </c>
      <c r="AU14">
        <v>8500</v>
      </c>
      <c r="AV14">
        <f>INDEX($B$8:$B$74,MATCH(AU14*2,$R$8:$R$74,1))</f>
        <v>32</v>
      </c>
      <c r="AW14">
        <v>45</v>
      </c>
      <c r="AX14">
        <f>INDEX(关卡对比!$F:$F,MATCH(关卡产出!AW14,关卡对比!$A:$A,0))</f>
        <v>10</v>
      </c>
      <c r="AY14">
        <f>INDEX(关卡对比!$E:$E,MATCH(关卡产出!AW14,关卡对比!$A:$A,0))</f>
        <v>201.66</v>
      </c>
      <c r="AZ14">
        <v>114</v>
      </c>
    </row>
    <row r="15" spans="1:52" x14ac:dyDescent="0.25">
      <c r="A15" s="86" t="s">
        <v>253</v>
      </c>
      <c r="B15" s="14">
        <v>8</v>
      </c>
      <c r="C15" s="14">
        <v>7</v>
      </c>
      <c r="D15" s="38">
        <f t="shared" si="0"/>
        <v>3</v>
      </c>
      <c r="E15" s="38">
        <f t="shared" si="11"/>
        <v>1</v>
      </c>
      <c r="F15" s="38">
        <f t="shared" si="10"/>
        <v>130</v>
      </c>
      <c r="G15" s="74">
        <f t="shared" si="1"/>
        <v>93</v>
      </c>
      <c r="H15" s="70">
        <v>900</v>
      </c>
      <c r="I15" s="38"/>
      <c r="J15" s="70">
        <v>1800</v>
      </c>
      <c r="K15" s="38">
        <v>6</v>
      </c>
      <c r="L15" s="77"/>
      <c r="M15" s="70">
        <v>24</v>
      </c>
      <c r="N15" s="38">
        <v>12</v>
      </c>
      <c r="O15" s="38">
        <v>3</v>
      </c>
      <c r="P15" s="68">
        <v>100</v>
      </c>
      <c r="Q15" s="38">
        <f t="shared" si="3"/>
        <v>100</v>
      </c>
      <c r="R15" s="38">
        <f t="shared" si="4"/>
        <v>2700</v>
      </c>
      <c r="S15" s="38">
        <f t="shared" si="5"/>
        <v>24</v>
      </c>
      <c r="T15" s="38">
        <f t="shared" si="6"/>
        <v>12</v>
      </c>
      <c r="U15" s="38">
        <f t="shared" si="7"/>
        <v>3</v>
      </c>
      <c r="V15" s="38">
        <f t="shared" si="2"/>
        <v>6</v>
      </c>
      <c r="W15" s="38">
        <f t="shared" si="8"/>
        <v>895</v>
      </c>
      <c r="X15" s="38">
        <f>SUM(Q$8:Q15)</f>
        <v>800</v>
      </c>
      <c r="Y15" s="38">
        <f>SUM(R$8:R15)</f>
        <v>13200</v>
      </c>
      <c r="Z15" s="38">
        <f>SUM(S$8:S15)</f>
        <v>146</v>
      </c>
      <c r="AA15" s="38">
        <f>SUM(T$8:T15)</f>
        <v>74</v>
      </c>
      <c r="AB15" s="38">
        <f>SUM(U$8:U15)</f>
        <v>9</v>
      </c>
      <c r="AC15" s="38">
        <f>SUM(V$8:V15)</f>
        <v>48</v>
      </c>
      <c r="AD15" s="38">
        <f t="shared" si="9"/>
        <v>4649</v>
      </c>
      <c r="AF15" s="38">
        <v>8</v>
      </c>
      <c r="AG15" s="43" t="s">
        <v>54</v>
      </c>
      <c r="AH15" s="38">
        <v>15000</v>
      </c>
      <c r="AI15" t="e">
        <f>INDEX(局外广告!$T:$T,MATCH(关卡产出!AG15,局外广告!$S:$S,0))*AH15</f>
        <v>#N/A</v>
      </c>
      <c r="AS15" s="44"/>
      <c r="AT15" s="44" t="s">
        <v>193</v>
      </c>
      <c r="AU15">
        <v>12200</v>
      </c>
      <c r="AV15">
        <f>INDEX($B$8:$B$74,MATCH(AU15*2,$R$8:$R$74,1))</f>
        <v>44</v>
      </c>
      <c r="AW15">
        <v>60</v>
      </c>
      <c r="AX15">
        <f>INDEX(关卡对比!$F:$F,MATCH(关卡产出!AW15,关卡对比!$A:$A,0))</f>
        <v>10</v>
      </c>
      <c r="AY15">
        <f>INDEX(关卡对比!$E:$E,MATCH(关卡产出!AW15,关卡对比!$A:$A,0))</f>
        <v>507.95</v>
      </c>
      <c r="AZ15">
        <v>168</v>
      </c>
    </row>
    <row r="16" spans="1:52" x14ac:dyDescent="0.25">
      <c r="A16" s="86" t="s">
        <v>253</v>
      </c>
      <c r="B16" s="14">
        <v>9</v>
      </c>
      <c r="C16" s="14">
        <v>8</v>
      </c>
      <c r="D16" s="38">
        <f>INT(C16/2)</f>
        <v>4</v>
      </c>
      <c r="E16" s="38">
        <f>INT(D16/3)</f>
        <v>1</v>
      </c>
      <c r="F16" s="38">
        <f>F14+20</f>
        <v>150</v>
      </c>
      <c r="G16" s="74">
        <f t="shared" si="1"/>
        <v>103</v>
      </c>
      <c r="H16" s="70">
        <v>1100</v>
      </c>
      <c r="I16" s="38"/>
      <c r="J16" s="70">
        <v>2000</v>
      </c>
      <c r="K16" s="38">
        <v>6</v>
      </c>
      <c r="L16" s="77"/>
      <c r="M16" s="70">
        <v>28</v>
      </c>
      <c r="N16" s="38">
        <v>14</v>
      </c>
      <c r="O16" s="38">
        <v>4</v>
      </c>
      <c r="P16" s="68">
        <v>100</v>
      </c>
      <c r="Q16" s="38">
        <f t="shared" si="3"/>
        <v>100</v>
      </c>
      <c r="R16" s="38">
        <f t="shared" si="4"/>
        <v>3100</v>
      </c>
      <c r="S16" s="38">
        <f t="shared" si="5"/>
        <v>28</v>
      </c>
      <c r="T16" s="38">
        <f t="shared" si="6"/>
        <v>14</v>
      </c>
      <c r="U16" s="38">
        <f t="shared" si="7"/>
        <v>4</v>
      </c>
      <c r="V16" s="38">
        <f t="shared" si="2"/>
        <v>6</v>
      </c>
      <c r="W16" s="38">
        <f t="shared" si="8"/>
        <v>1034</v>
      </c>
      <c r="X16" s="38">
        <f>SUM(Q$8:Q16)</f>
        <v>900</v>
      </c>
      <c r="Y16" s="38">
        <f>SUM(R$8:R16)</f>
        <v>16300</v>
      </c>
      <c r="Z16" s="38">
        <f>SUM(S$8:S16)</f>
        <v>174</v>
      </c>
      <c r="AA16" s="38">
        <f>SUM(T$8:T16)</f>
        <v>88</v>
      </c>
      <c r="AB16" s="38">
        <f>SUM(U$8:U16)</f>
        <v>13</v>
      </c>
      <c r="AC16" s="38">
        <f>SUM(V$8:V16)</f>
        <v>54</v>
      </c>
      <c r="AD16" s="38">
        <f t="shared" si="9"/>
        <v>5683</v>
      </c>
      <c r="AF16" s="38">
        <v>9</v>
      </c>
      <c r="AG16" s="38" t="s">
        <v>53</v>
      </c>
      <c r="AH16" s="38">
        <v>600</v>
      </c>
      <c r="AI16" t="e">
        <f>INDEX(局外广告!$T:$T,MATCH(关卡产出!AG16,局外广告!$S:$S,0))*AH16</f>
        <v>#N/A</v>
      </c>
    </row>
    <row r="17" spans="1:49" x14ac:dyDescent="0.25">
      <c r="A17" s="86" t="s">
        <v>253</v>
      </c>
      <c r="B17" s="14">
        <v>10</v>
      </c>
      <c r="C17" s="14">
        <v>8</v>
      </c>
      <c r="D17" s="38">
        <f t="shared" si="0"/>
        <v>4</v>
      </c>
      <c r="E17" s="38">
        <f t="shared" si="11"/>
        <v>1</v>
      </c>
      <c r="F17" s="38">
        <f t="shared" ref="F17:F80" si="12">F15+20</f>
        <v>150</v>
      </c>
      <c r="G17" s="74">
        <f t="shared" si="1"/>
        <v>103</v>
      </c>
      <c r="H17" s="70">
        <v>1300</v>
      </c>
      <c r="I17" s="38"/>
      <c r="J17" s="70">
        <v>2400</v>
      </c>
      <c r="K17" s="38">
        <v>6</v>
      </c>
      <c r="L17" s="77"/>
      <c r="M17" s="70">
        <v>32</v>
      </c>
      <c r="N17" s="38">
        <v>16</v>
      </c>
      <c r="O17" s="38">
        <v>5</v>
      </c>
      <c r="P17" s="68">
        <v>100</v>
      </c>
      <c r="Q17" s="38">
        <f t="shared" si="3"/>
        <v>100</v>
      </c>
      <c r="R17" s="38">
        <f t="shared" si="4"/>
        <v>3700</v>
      </c>
      <c r="S17" s="38">
        <f t="shared" si="5"/>
        <v>32</v>
      </c>
      <c r="T17" s="38">
        <f t="shared" si="6"/>
        <v>16</v>
      </c>
      <c r="U17" s="38">
        <f t="shared" si="7"/>
        <v>5</v>
      </c>
      <c r="V17" s="38">
        <f t="shared" si="2"/>
        <v>6</v>
      </c>
      <c r="W17" s="38">
        <f t="shared" si="8"/>
        <v>1213</v>
      </c>
      <c r="X17" s="38">
        <f>SUM(Q$8:Q17)</f>
        <v>1000</v>
      </c>
      <c r="Y17" s="38">
        <f>SUM(R$8:R17)</f>
        <v>20000</v>
      </c>
      <c r="Z17" s="38">
        <f>SUM(S$8:S17)</f>
        <v>206</v>
      </c>
      <c r="AA17" s="38">
        <f>SUM(T$8:T17)</f>
        <v>104</v>
      </c>
      <c r="AB17" s="38">
        <f>SUM(U$8:U17)</f>
        <v>18</v>
      </c>
      <c r="AC17" s="38">
        <f>SUM(V$8:V17)</f>
        <v>60</v>
      </c>
      <c r="AD17" s="38">
        <f t="shared" si="9"/>
        <v>6896</v>
      </c>
      <c r="AF17" s="38">
        <v>10</v>
      </c>
      <c r="AG17" s="43" t="s">
        <v>57</v>
      </c>
      <c r="AH17" s="38">
        <v>20</v>
      </c>
      <c r="AI17" t="e">
        <f>INDEX(局外广告!$T:$T,MATCH(关卡产出!AG17,局外广告!$S:$S,0))*AH17</f>
        <v>#N/A</v>
      </c>
    </row>
    <row r="18" spans="1:49" x14ac:dyDescent="0.25">
      <c r="A18" s="86" t="s">
        <v>253</v>
      </c>
      <c r="B18" s="14">
        <v>11</v>
      </c>
      <c r="C18" s="14">
        <v>9</v>
      </c>
      <c r="D18" s="38">
        <f t="shared" si="0"/>
        <v>4</v>
      </c>
      <c r="E18" s="38">
        <f t="shared" si="11"/>
        <v>1</v>
      </c>
      <c r="F18" s="38">
        <f t="shared" si="12"/>
        <v>170</v>
      </c>
      <c r="G18" s="74">
        <f t="shared" si="1"/>
        <v>108</v>
      </c>
      <c r="H18" s="70">
        <v>1500</v>
      </c>
      <c r="I18" s="38"/>
      <c r="J18" s="70">
        <v>2800</v>
      </c>
      <c r="K18" s="38">
        <v>6</v>
      </c>
      <c r="L18" s="77"/>
      <c r="M18" s="70">
        <v>36</v>
      </c>
      <c r="N18" s="38">
        <v>18</v>
      </c>
      <c r="O18" s="38">
        <v>6</v>
      </c>
      <c r="P18" s="68">
        <v>150</v>
      </c>
      <c r="Q18" s="38">
        <f t="shared" si="3"/>
        <v>150</v>
      </c>
      <c r="R18" s="38">
        <f t="shared" si="4"/>
        <v>4300</v>
      </c>
      <c r="S18" s="38">
        <f t="shared" si="5"/>
        <v>36</v>
      </c>
      <c r="T18" s="38">
        <f t="shared" si="6"/>
        <v>18</v>
      </c>
      <c r="U18" s="38">
        <f t="shared" si="7"/>
        <v>6</v>
      </c>
      <c r="V18" s="38">
        <f t="shared" si="2"/>
        <v>6</v>
      </c>
      <c r="W18" s="38">
        <f t="shared" si="8"/>
        <v>1442</v>
      </c>
      <c r="X18" s="38">
        <f>SUM(Q$8:Q18)</f>
        <v>1150</v>
      </c>
      <c r="Y18" s="38">
        <f>SUM(R$8:R18)</f>
        <v>24300</v>
      </c>
      <c r="Z18" s="38">
        <f>SUM(S$8:S18)</f>
        <v>242</v>
      </c>
      <c r="AA18" s="38">
        <f>SUM(T$8:T18)</f>
        <v>122</v>
      </c>
      <c r="AB18" s="38">
        <f>SUM(U$8:U18)</f>
        <v>24</v>
      </c>
      <c r="AC18" s="38">
        <f>SUM(V$8:V18)</f>
        <v>66</v>
      </c>
      <c r="AD18" s="38">
        <f t="shared" si="9"/>
        <v>8338</v>
      </c>
      <c r="AF18" s="42">
        <v>11</v>
      </c>
      <c r="AG18" s="43" t="s">
        <v>53</v>
      </c>
      <c r="AH18" s="38">
        <v>800</v>
      </c>
      <c r="AI18" t="e">
        <f>INDEX(局外广告!$T:$T,MATCH(关卡产出!AG18,局外广告!$S:$S,0))*AH18</f>
        <v>#N/A</v>
      </c>
    </row>
    <row r="19" spans="1:49" x14ac:dyDescent="0.25">
      <c r="A19" s="86" t="s">
        <v>253</v>
      </c>
      <c r="B19" s="14">
        <v>12</v>
      </c>
      <c r="C19" s="14">
        <v>9</v>
      </c>
      <c r="D19" s="38">
        <f t="shared" si="0"/>
        <v>4</v>
      </c>
      <c r="E19" s="38">
        <f t="shared" si="11"/>
        <v>1</v>
      </c>
      <c r="F19" s="38">
        <f t="shared" si="12"/>
        <v>170</v>
      </c>
      <c r="G19" s="74">
        <f t="shared" si="1"/>
        <v>108</v>
      </c>
      <c r="H19" s="70">
        <v>1700</v>
      </c>
      <c r="I19" s="38"/>
      <c r="J19" s="70">
        <v>3200</v>
      </c>
      <c r="K19" s="38">
        <v>6</v>
      </c>
      <c r="L19" s="77"/>
      <c r="M19" s="70">
        <v>40</v>
      </c>
      <c r="N19" s="38">
        <v>20</v>
      </c>
      <c r="O19" s="38">
        <v>7</v>
      </c>
      <c r="P19" s="68">
        <v>150</v>
      </c>
      <c r="Q19" s="38">
        <f t="shared" si="3"/>
        <v>150</v>
      </c>
      <c r="R19" s="38">
        <f t="shared" si="4"/>
        <v>4900</v>
      </c>
      <c r="S19" s="38">
        <f t="shared" si="5"/>
        <v>40</v>
      </c>
      <c r="T19" s="38">
        <f t="shared" si="6"/>
        <v>20</v>
      </c>
      <c r="U19" s="38">
        <f t="shared" si="7"/>
        <v>7</v>
      </c>
      <c r="V19" s="38">
        <f t="shared" si="2"/>
        <v>6</v>
      </c>
      <c r="W19" s="38">
        <f t="shared" si="8"/>
        <v>1621</v>
      </c>
      <c r="X19" s="38">
        <f>SUM(Q$8:Q19)</f>
        <v>1300</v>
      </c>
      <c r="Y19" s="38">
        <f>SUM(R$8:R19)</f>
        <v>29200</v>
      </c>
      <c r="Z19" s="38">
        <f>SUM(S$8:S19)</f>
        <v>282</v>
      </c>
      <c r="AA19" s="38">
        <f>SUM(T$8:T19)</f>
        <v>142</v>
      </c>
      <c r="AB19" s="38">
        <f>SUM(U$8:U19)</f>
        <v>31</v>
      </c>
      <c r="AC19" s="38">
        <f>SUM(V$8:V19)</f>
        <v>72</v>
      </c>
      <c r="AD19" s="38">
        <f t="shared" si="9"/>
        <v>9959</v>
      </c>
      <c r="AF19" s="38">
        <v>12</v>
      </c>
      <c r="AG19" s="43" t="s">
        <v>54</v>
      </c>
      <c r="AH19" s="38">
        <v>20000</v>
      </c>
      <c r="AI19" t="e">
        <f>INDEX(局外广告!$T:$T,MATCH(关卡产出!AG19,局外广告!$S:$S,0))*AH19</f>
        <v>#N/A</v>
      </c>
    </row>
    <row r="20" spans="1:49" ht="16.2" x14ac:dyDescent="0.25">
      <c r="A20" s="86" t="s">
        <v>253</v>
      </c>
      <c r="B20" s="14">
        <v>13</v>
      </c>
      <c r="C20" s="14">
        <v>10</v>
      </c>
      <c r="D20" s="38">
        <f t="shared" si="0"/>
        <v>5</v>
      </c>
      <c r="E20" s="38">
        <f t="shared" si="11"/>
        <v>1</v>
      </c>
      <c r="F20" s="38">
        <f t="shared" si="12"/>
        <v>190</v>
      </c>
      <c r="G20" s="74">
        <f t="shared" si="1"/>
        <v>118</v>
      </c>
      <c r="H20" s="70">
        <v>1900</v>
      </c>
      <c r="I20" s="38"/>
      <c r="J20" s="70">
        <v>3600</v>
      </c>
      <c r="K20" s="38">
        <v>6</v>
      </c>
      <c r="L20" s="77"/>
      <c r="M20" s="70">
        <v>44</v>
      </c>
      <c r="N20" s="38">
        <v>22</v>
      </c>
      <c r="O20" s="38">
        <v>8</v>
      </c>
      <c r="P20" s="68">
        <v>150</v>
      </c>
      <c r="Q20" s="38">
        <f t="shared" si="3"/>
        <v>150</v>
      </c>
      <c r="R20" s="38">
        <f t="shared" si="4"/>
        <v>5500</v>
      </c>
      <c r="S20" s="38">
        <f t="shared" si="5"/>
        <v>44</v>
      </c>
      <c r="T20" s="38">
        <f t="shared" si="6"/>
        <v>22</v>
      </c>
      <c r="U20" s="38">
        <f t="shared" si="7"/>
        <v>8</v>
      </c>
      <c r="V20" s="38">
        <f t="shared" si="2"/>
        <v>6</v>
      </c>
      <c r="W20" s="38">
        <f t="shared" si="8"/>
        <v>1800</v>
      </c>
      <c r="X20" s="38">
        <f>SUM(Q$8:Q20)</f>
        <v>1450</v>
      </c>
      <c r="Y20" s="38">
        <f>SUM(R$8:R20)</f>
        <v>34700</v>
      </c>
      <c r="Z20" s="38">
        <f>SUM(S$8:S20)</f>
        <v>326</v>
      </c>
      <c r="AA20" s="38">
        <f>SUM(T$8:T20)</f>
        <v>164</v>
      </c>
      <c r="AB20" s="38">
        <f>SUM(U$8:U20)</f>
        <v>39</v>
      </c>
      <c r="AC20" s="38">
        <f>SUM(V$8:V20)</f>
        <v>78</v>
      </c>
      <c r="AD20" s="38">
        <f t="shared" si="9"/>
        <v>11759</v>
      </c>
      <c r="AF20" s="38">
        <v>13</v>
      </c>
      <c r="AG20" s="38" t="s">
        <v>53</v>
      </c>
      <c r="AH20" s="38">
        <v>1000</v>
      </c>
      <c r="AI20" t="e">
        <f>INDEX(局外广告!$T:$T,MATCH(关卡产出!AG20,局外广告!$S:$S,0))*AH20</f>
        <v>#N/A</v>
      </c>
      <c r="AT20" s="44" t="s">
        <v>242</v>
      </c>
      <c r="AU20" s="9" t="s">
        <v>186</v>
      </c>
      <c r="AV20" s="9" t="s">
        <v>252</v>
      </c>
      <c r="AW20" s="9" t="s">
        <v>365</v>
      </c>
    </row>
    <row r="21" spans="1:49" x14ac:dyDescent="0.25">
      <c r="A21" s="86" t="s">
        <v>253</v>
      </c>
      <c r="B21" s="14">
        <v>14</v>
      </c>
      <c r="C21" s="14">
        <v>10</v>
      </c>
      <c r="D21" s="38">
        <f t="shared" si="0"/>
        <v>5</v>
      </c>
      <c r="E21" s="38">
        <f t="shared" si="11"/>
        <v>1</v>
      </c>
      <c r="F21" s="38">
        <f t="shared" si="12"/>
        <v>190</v>
      </c>
      <c r="G21" s="74">
        <f t="shared" si="1"/>
        <v>118</v>
      </c>
      <c r="H21" s="70">
        <v>2100</v>
      </c>
      <c r="I21" s="38"/>
      <c r="J21" s="70">
        <v>4000</v>
      </c>
      <c r="K21" s="38">
        <v>6</v>
      </c>
      <c r="L21" s="77"/>
      <c r="M21" s="70">
        <v>48</v>
      </c>
      <c r="N21" s="38">
        <v>24</v>
      </c>
      <c r="O21" s="38">
        <v>9</v>
      </c>
      <c r="P21" s="68">
        <v>150</v>
      </c>
      <c r="Q21" s="38">
        <f t="shared" si="3"/>
        <v>150</v>
      </c>
      <c r="R21" s="38">
        <f t="shared" si="4"/>
        <v>6100</v>
      </c>
      <c r="S21" s="38">
        <f t="shared" si="5"/>
        <v>48</v>
      </c>
      <c r="T21" s="38">
        <f t="shared" si="6"/>
        <v>24</v>
      </c>
      <c r="U21" s="38">
        <f t="shared" si="7"/>
        <v>9</v>
      </c>
      <c r="V21" s="38">
        <f t="shared" si="2"/>
        <v>6</v>
      </c>
      <c r="W21" s="38">
        <f t="shared" si="8"/>
        <v>1979</v>
      </c>
      <c r="X21" s="38">
        <f>SUM(Q$8:Q21)</f>
        <v>1600</v>
      </c>
      <c r="Y21" s="38">
        <f>SUM(R$8:R21)</f>
        <v>40800</v>
      </c>
      <c r="Z21" s="38">
        <f>SUM(S$8:S21)</f>
        <v>374</v>
      </c>
      <c r="AA21" s="38">
        <f>SUM(T$8:T21)</f>
        <v>188</v>
      </c>
      <c r="AB21" s="38">
        <f>SUM(U$8:U21)</f>
        <v>48</v>
      </c>
      <c r="AC21" s="38">
        <f>SUM(V$8:V21)</f>
        <v>84</v>
      </c>
      <c r="AD21" s="38">
        <f t="shared" si="9"/>
        <v>13738</v>
      </c>
      <c r="AF21" s="38">
        <v>14</v>
      </c>
      <c r="AG21" s="38" t="s">
        <v>81</v>
      </c>
      <c r="AH21" s="38">
        <v>1</v>
      </c>
      <c r="AI21" t="e">
        <f>INDEX(局外广告!$T:$T,MATCH(关卡产出!AG21,局外广告!$S:$S,0))*AH21</f>
        <v>#N/A</v>
      </c>
      <c r="AJ21" s="43" t="s">
        <v>57</v>
      </c>
      <c r="AK21">
        <v>20</v>
      </c>
      <c r="AL21" s="44" t="s">
        <v>56</v>
      </c>
      <c r="AM21">
        <v>40</v>
      </c>
      <c r="AU21">
        <v>1000</v>
      </c>
      <c r="AV21">
        <v>50</v>
      </c>
      <c r="AW21">
        <v>1</v>
      </c>
    </row>
    <row r="22" spans="1:49" x14ac:dyDescent="0.25">
      <c r="A22" s="86" t="s">
        <v>253</v>
      </c>
      <c r="B22" s="14">
        <v>15</v>
      </c>
      <c r="C22" s="14">
        <v>11</v>
      </c>
      <c r="D22" s="38">
        <f t="shared" si="0"/>
        <v>5</v>
      </c>
      <c r="E22" s="38">
        <f t="shared" si="11"/>
        <v>1</v>
      </c>
      <c r="F22" s="38">
        <f t="shared" si="12"/>
        <v>210</v>
      </c>
      <c r="G22" s="74">
        <f t="shared" si="1"/>
        <v>123</v>
      </c>
      <c r="H22" s="70">
        <v>2300</v>
      </c>
      <c r="I22" s="38"/>
      <c r="J22" s="70">
        <v>4400</v>
      </c>
      <c r="K22" s="38">
        <v>6</v>
      </c>
      <c r="L22" s="77"/>
      <c r="M22" s="70">
        <v>52</v>
      </c>
      <c r="N22" s="38">
        <v>26</v>
      </c>
      <c r="O22" s="38">
        <v>10</v>
      </c>
      <c r="P22" s="68">
        <v>150</v>
      </c>
      <c r="Q22" s="38">
        <f t="shared" si="3"/>
        <v>150</v>
      </c>
      <c r="R22" s="38">
        <f t="shared" si="4"/>
        <v>6700</v>
      </c>
      <c r="S22" s="38">
        <f t="shared" si="5"/>
        <v>52</v>
      </c>
      <c r="T22" s="38">
        <f t="shared" si="6"/>
        <v>26</v>
      </c>
      <c r="U22" s="38">
        <f t="shared" si="7"/>
        <v>10</v>
      </c>
      <c r="V22" s="38">
        <f t="shared" si="2"/>
        <v>6</v>
      </c>
      <c r="W22" s="38">
        <f t="shared" si="8"/>
        <v>2158</v>
      </c>
      <c r="X22" s="38">
        <f>SUM(Q$8:Q22)</f>
        <v>1750</v>
      </c>
      <c r="Y22" s="38">
        <f>SUM(R$8:R22)</f>
        <v>47500</v>
      </c>
      <c r="Z22" s="38">
        <f>SUM(S$8:S22)</f>
        <v>426</v>
      </c>
      <c r="AA22" s="38">
        <f>SUM(T$8:T22)</f>
        <v>214</v>
      </c>
      <c r="AB22" s="38">
        <f>SUM(U$8:U22)</f>
        <v>58</v>
      </c>
      <c r="AC22" s="38">
        <f>SUM(V$8:V22)</f>
        <v>90</v>
      </c>
      <c r="AD22" s="38">
        <f t="shared" si="9"/>
        <v>15896</v>
      </c>
    </row>
    <row r="23" spans="1:49" x14ac:dyDescent="0.25">
      <c r="A23" s="86" t="s">
        <v>253</v>
      </c>
      <c r="B23" s="14">
        <v>16</v>
      </c>
      <c r="C23" s="14">
        <v>11</v>
      </c>
      <c r="D23" s="38">
        <f t="shared" si="0"/>
        <v>5</v>
      </c>
      <c r="E23" s="38">
        <f t="shared" si="11"/>
        <v>1</v>
      </c>
      <c r="F23" s="38">
        <f t="shared" si="12"/>
        <v>210</v>
      </c>
      <c r="G23" s="74">
        <f t="shared" si="1"/>
        <v>123</v>
      </c>
      <c r="H23" s="70">
        <v>2500</v>
      </c>
      <c r="I23" s="38"/>
      <c r="J23" s="70">
        <v>4800</v>
      </c>
      <c r="K23" s="38">
        <v>6</v>
      </c>
      <c r="L23" s="77"/>
      <c r="M23" s="70">
        <v>56</v>
      </c>
      <c r="N23" s="38">
        <v>28</v>
      </c>
      <c r="O23" s="38">
        <v>11</v>
      </c>
      <c r="P23" s="68">
        <v>150</v>
      </c>
      <c r="Q23" s="38">
        <f t="shared" si="3"/>
        <v>150</v>
      </c>
      <c r="R23" s="38">
        <f t="shared" si="4"/>
        <v>7300</v>
      </c>
      <c r="S23" s="38">
        <f t="shared" si="5"/>
        <v>56</v>
      </c>
      <c r="T23" s="38">
        <f t="shared" si="6"/>
        <v>28</v>
      </c>
      <c r="U23" s="38">
        <f t="shared" si="7"/>
        <v>11</v>
      </c>
      <c r="V23" s="38">
        <f t="shared" si="2"/>
        <v>6</v>
      </c>
      <c r="W23" s="38">
        <f t="shared" si="8"/>
        <v>2337</v>
      </c>
      <c r="X23" s="38">
        <f>SUM(Q$8:Q23)</f>
        <v>1900</v>
      </c>
      <c r="Y23" s="38">
        <f>SUM(R$8:R23)</f>
        <v>54800</v>
      </c>
      <c r="Z23" s="38">
        <f>SUM(S$8:S23)</f>
        <v>482</v>
      </c>
      <c r="AA23" s="38">
        <f>SUM(T$8:T23)</f>
        <v>242</v>
      </c>
      <c r="AB23" s="38">
        <f>SUM(U$8:U23)</f>
        <v>69</v>
      </c>
      <c r="AC23" s="38">
        <f>SUM(V$8:V23)</f>
        <v>96</v>
      </c>
      <c r="AD23" s="38">
        <f t="shared" si="9"/>
        <v>18233</v>
      </c>
    </row>
    <row r="24" spans="1:49" x14ac:dyDescent="0.25">
      <c r="A24" s="86" t="s">
        <v>253</v>
      </c>
      <c r="B24" s="14">
        <v>17</v>
      </c>
      <c r="C24" s="14">
        <v>12</v>
      </c>
      <c r="D24" s="38">
        <f t="shared" si="0"/>
        <v>6</v>
      </c>
      <c r="E24" s="38">
        <f>ROUND(O24/5,0)</f>
        <v>2</v>
      </c>
      <c r="F24" s="38">
        <f t="shared" si="12"/>
        <v>230</v>
      </c>
      <c r="G24" s="74">
        <f t="shared" si="1"/>
        <v>178</v>
      </c>
      <c r="H24" s="70">
        <v>2700</v>
      </c>
      <c r="I24" s="38"/>
      <c r="J24" s="70">
        <v>5200</v>
      </c>
      <c r="K24" s="38">
        <v>6</v>
      </c>
      <c r="L24" s="77"/>
      <c r="M24" s="70">
        <v>60</v>
      </c>
      <c r="N24" s="38">
        <v>30</v>
      </c>
      <c r="O24" s="38">
        <v>12</v>
      </c>
      <c r="P24" s="68">
        <v>150</v>
      </c>
      <c r="Q24" s="38">
        <f t="shared" si="3"/>
        <v>150</v>
      </c>
      <c r="R24" s="38">
        <f t="shared" si="4"/>
        <v>7900</v>
      </c>
      <c r="S24" s="38">
        <f t="shared" si="5"/>
        <v>60</v>
      </c>
      <c r="T24" s="38">
        <f t="shared" si="6"/>
        <v>30</v>
      </c>
      <c r="U24" s="38">
        <f t="shared" si="7"/>
        <v>12</v>
      </c>
      <c r="V24" s="38">
        <f t="shared" si="2"/>
        <v>6</v>
      </c>
      <c r="W24" s="38">
        <f t="shared" si="8"/>
        <v>2516</v>
      </c>
      <c r="X24" s="38">
        <f>SUM(Q$8:Q24)</f>
        <v>2050</v>
      </c>
      <c r="Y24" s="38">
        <f>SUM(R$8:R24)</f>
        <v>62700</v>
      </c>
      <c r="Z24" s="38">
        <f>SUM(S$8:S24)</f>
        <v>542</v>
      </c>
      <c r="AA24" s="38">
        <f>SUM(T$8:T24)</f>
        <v>272</v>
      </c>
      <c r="AB24" s="38">
        <f>SUM(U$8:U24)</f>
        <v>81</v>
      </c>
      <c r="AC24" s="38">
        <f>SUM(V$8:V24)</f>
        <v>102</v>
      </c>
      <c r="AD24" s="38">
        <f t="shared" si="9"/>
        <v>20749</v>
      </c>
    </row>
    <row r="25" spans="1:49" x14ac:dyDescent="0.25">
      <c r="A25" s="86" t="s">
        <v>253</v>
      </c>
      <c r="B25" s="14">
        <v>18</v>
      </c>
      <c r="C25" s="14">
        <v>12</v>
      </c>
      <c r="D25" s="38">
        <f t="shared" si="0"/>
        <v>6</v>
      </c>
      <c r="E25" s="38">
        <f t="shared" ref="E25:E88" si="13">ROUND(O25/5,0)</f>
        <v>3</v>
      </c>
      <c r="F25" s="38">
        <f t="shared" si="12"/>
        <v>230</v>
      </c>
      <c r="G25" s="74">
        <f t="shared" si="1"/>
        <v>223</v>
      </c>
      <c r="H25" s="70">
        <v>2900</v>
      </c>
      <c r="I25" s="38"/>
      <c r="J25" s="70">
        <v>5600</v>
      </c>
      <c r="K25" s="38">
        <v>6</v>
      </c>
      <c r="L25" s="77"/>
      <c r="M25" s="70">
        <v>64</v>
      </c>
      <c r="N25" s="38">
        <v>32</v>
      </c>
      <c r="O25" s="38">
        <v>13</v>
      </c>
      <c r="P25" s="68">
        <v>150</v>
      </c>
      <c r="Q25" s="38">
        <f t="shared" si="3"/>
        <v>150</v>
      </c>
      <c r="R25" s="38">
        <f t="shared" si="4"/>
        <v>8500</v>
      </c>
      <c r="S25" s="38">
        <f t="shared" si="5"/>
        <v>64</v>
      </c>
      <c r="T25" s="38">
        <f t="shared" si="6"/>
        <v>32</v>
      </c>
      <c r="U25" s="38">
        <f t="shared" si="7"/>
        <v>13</v>
      </c>
      <c r="V25" s="38">
        <f t="shared" si="2"/>
        <v>6</v>
      </c>
      <c r="W25" s="38">
        <f t="shared" si="8"/>
        <v>2695</v>
      </c>
      <c r="X25" s="38">
        <f>SUM(Q$8:Q25)</f>
        <v>2200</v>
      </c>
      <c r="Y25" s="38">
        <f>SUM(R$8:R25)</f>
        <v>71200</v>
      </c>
      <c r="Z25" s="38">
        <f>SUM(S$8:S25)</f>
        <v>606</v>
      </c>
      <c r="AA25" s="38">
        <f>SUM(T$8:T25)</f>
        <v>304</v>
      </c>
      <c r="AB25" s="38">
        <f>SUM(U$8:U25)</f>
        <v>94</v>
      </c>
      <c r="AC25" s="38">
        <f>SUM(V$8:V25)</f>
        <v>108</v>
      </c>
      <c r="AD25" s="38">
        <f t="shared" si="9"/>
        <v>23444</v>
      </c>
    </row>
    <row r="26" spans="1:49" x14ac:dyDescent="0.25">
      <c r="A26" s="86" t="s">
        <v>253</v>
      </c>
      <c r="B26" s="14">
        <v>19</v>
      </c>
      <c r="C26" s="14">
        <v>13</v>
      </c>
      <c r="D26" s="38">
        <f t="shared" si="0"/>
        <v>6</v>
      </c>
      <c r="E26" s="38">
        <f t="shared" si="13"/>
        <v>3</v>
      </c>
      <c r="F26" s="38">
        <f t="shared" si="12"/>
        <v>250</v>
      </c>
      <c r="G26" s="74">
        <f t="shared" si="1"/>
        <v>228</v>
      </c>
      <c r="H26" s="70">
        <v>3100</v>
      </c>
      <c r="I26" s="38"/>
      <c r="J26" s="70">
        <v>6000</v>
      </c>
      <c r="K26" s="38">
        <v>6</v>
      </c>
      <c r="L26" s="77"/>
      <c r="M26" s="70">
        <v>68</v>
      </c>
      <c r="N26" s="38">
        <v>34</v>
      </c>
      <c r="O26" s="38">
        <v>14</v>
      </c>
      <c r="P26" s="68">
        <v>150</v>
      </c>
      <c r="Q26" s="38">
        <f t="shared" si="3"/>
        <v>150</v>
      </c>
      <c r="R26" s="38">
        <f t="shared" si="4"/>
        <v>9100</v>
      </c>
      <c r="S26" s="38">
        <f t="shared" si="5"/>
        <v>68</v>
      </c>
      <c r="T26" s="38">
        <f t="shared" si="6"/>
        <v>34</v>
      </c>
      <c r="U26" s="38">
        <f t="shared" si="7"/>
        <v>14</v>
      </c>
      <c r="V26" s="38">
        <f t="shared" si="2"/>
        <v>6</v>
      </c>
      <c r="W26" s="38">
        <f t="shared" si="8"/>
        <v>2874</v>
      </c>
      <c r="X26" s="38">
        <f>SUM(Q$8:Q26)</f>
        <v>2350</v>
      </c>
      <c r="Y26" s="38">
        <f>SUM(R$8:R26)</f>
        <v>80300</v>
      </c>
      <c r="Z26" s="38">
        <f>SUM(S$8:S26)</f>
        <v>674</v>
      </c>
      <c r="AA26" s="38">
        <f>SUM(T$8:T26)</f>
        <v>338</v>
      </c>
      <c r="AB26" s="38">
        <f>SUM(U$8:U26)</f>
        <v>108</v>
      </c>
      <c r="AC26" s="38">
        <f>SUM(V$8:V26)</f>
        <v>114</v>
      </c>
      <c r="AD26" s="38">
        <f t="shared" ref="AD26:AD27" si="14">SUMPRODUCT($X$6:$AC$6,X26:AC26)</f>
        <v>26318</v>
      </c>
    </row>
    <row r="27" spans="1:49" x14ac:dyDescent="0.25">
      <c r="A27" s="86" t="s">
        <v>253</v>
      </c>
      <c r="B27" s="14">
        <v>20</v>
      </c>
      <c r="C27" s="14">
        <v>14</v>
      </c>
      <c r="D27" s="38">
        <f t="shared" si="0"/>
        <v>7</v>
      </c>
      <c r="E27" s="38">
        <f t="shared" si="13"/>
        <v>3</v>
      </c>
      <c r="F27" s="38">
        <f t="shared" si="12"/>
        <v>250</v>
      </c>
      <c r="G27" s="74">
        <f t="shared" si="1"/>
        <v>234</v>
      </c>
      <c r="H27" s="70">
        <v>3300</v>
      </c>
      <c r="I27" s="38"/>
      <c r="J27" s="70">
        <v>6400</v>
      </c>
      <c r="K27" s="38">
        <v>6</v>
      </c>
      <c r="L27" s="77"/>
      <c r="M27" s="70">
        <v>72</v>
      </c>
      <c r="N27" s="38">
        <v>36</v>
      </c>
      <c r="O27" s="38">
        <v>15</v>
      </c>
      <c r="P27" s="68">
        <v>150</v>
      </c>
      <c r="Q27" s="38">
        <f t="shared" si="3"/>
        <v>150</v>
      </c>
      <c r="R27" s="38">
        <f t="shared" si="4"/>
        <v>9700</v>
      </c>
      <c r="S27" s="38">
        <f t="shared" si="5"/>
        <v>72</v>
      </c>
      <c r="T27" s="38">
        <f t="shared" si="6"/>
        <v>36</v>
      </c>
      <c r="U27" s="38">
        <f t="shared" si="7"/>
        <v>15</v>
      </c>
      <c r="V27" s="38">
        <f t="shared" si="2"/>
        <v>6</v>
      </c>
      <c r="W27" s="38">
        <f t="shared" si="8"/>
        <v>3053</v>
      </c>
      <c r="X27" s="38">
        <f>SUM(Q$8:Q27)</f>
        <v>2500</v>
      </c>
      <c r="Y27" s="38">
        <f>SUM(R$8:R27)</f>
        <v>90000</v>
      </c>
      <c r="Z27" s="38">
        <f>SUM(S$8:S27)</f>
        <v>746</v>
      </c>
      <c r="AA27" s="38">
        <f>SUM(T$8:T27)</f>
        <v>374</v>
      </c>
      <c r="AB27" s="38">
        <f>SUM(U$8:U27)</f>
        <v>123</v>
      </c>
      <c r="AC27" s="38">
        <f>SUM(V$8:V27)</f>
        <v>120</v>
      </c>
      <c r="AD27" s="38">
        <f t="shared" si="14"/>
        <v>29371</v>
      </c>
      <c r="AF27" s="38"/>
      <c r="AG27" s="38"/>
      <c r="AH27" s="38"/>
    </row>
    <row r="28" spans="1:49" x14ac:dyDescent="0.25">
      <c r="A28" s="86" t="s">
        <v>253</v>
      </c>
      <c r="B28" s="14">
        <v>21</v>
      </c>
      <c r="C28" s="14">
        <f>ROUND(M28/5,0)</f>
        <v>15</v>
      </c>
      <c r="D28" s="38">
        <f t="shared" ref="D28:D91" si="15">INT(C28/2)</f>
        <v>7</v>
      </c>
      <c r="E28" s="38">
        <f t="shared" si="13"/>
        <v>3</v>
      </c>
      <c r="F28" s="38">
        <f t="shared" si="12"/>
        <v>270</v>
      </c>
      <c r="G28" s="74">
        <f t="shared" si="1"/>
        <v>239</v>
      </c>
      <c r="H28" s="70">
        <v>3500</v>
      </c>
      <c r="I28" s="38"/>
      <c r="J28" s="70">
        <v>6800</v>
      </c>
      <c r="K28" s="38">
        <v>6</v>
      </c>
      <c r="L28" s="77"/>
      <c r="M28" s="70">
        <v>76</v>
      </c>
      <c r="N28" s="38">
        <v>38</v>
      </c>
      <c r="O28" s="38">
        <v>16</v>
      </c>
      <c r="P28" s="68">
        <v>200</v>
      </c>
      <c r="Q28" s="38">
        <f t="shared" si="3"/>
        <v>200</v>
      </c>
      <c r="R28" s="38">
        <f t="shared" si="4"/>
        <v>10300</v>
      </c>
      <c r="S28" s="38">
        <f t="shared" si="5"/>
        <v>76</v>
      </c>
      <c r="T28" s="38">
        <f t="shared" si="6"/>
        <v>38</v>
      </c>
      <c r="U28" s="38">
        <f t="shared" si="7"/>
        <v>16</v>
      </c>
      <c r="V28" s="38">
        <f t="shared" si="2"/>
        <v>6</v>
      </c>
      <c r="W28" s="38">
        <f t="shared" si="8"/>
        <v>3282</v>
      </c>
      <c r="X28" s="38">
        <f>SUM(Q$8:Q28)</f>
        <v>2700</v>
      </c>
      <c r="Y28" s="38">
        <f>SUM(R$8:R28)</f>
        <v>100300</v>
      </c>
      <c r="Z28" s="38">
        <f>SUM(S$8:S28)</f>
        <v>822</v>
      </c>
      <c r="AA28" s="38">
        <f>SUM(T$8:T28)</f>
        <v>412</v>
      </c>
      <c r="AB28" s="38">
        <f>SUM(U$8:U28)</f>
        <v>139</v>
      </c>
      <c r="AC28" s="38">
        <f>SUM(V$8:V28)</f>
        <v>126</v>
      </c>
      <c r="AD28" s="38">
        <f t="shared" ref="AD28:AD44" si="16">SUMPRODUCT($X$6:$AC$6,X28:AC28)</f>
        <v>32653</v>
      </c>
      <c r="AF28" s="38"/>
      <c r="AG28" s="38"/>
      <c r="AH28" s="38"/>
    </row>
    <row r="29" spans="1:49" x14ac:dyDescent="0.25">
      <c r="A29" s="86" t="s">
        <v>253</v>
      </c>
      <c r="B29" s="14">
        <v>22</v>
      </c>
      <c r="C29" s="14">
        <f t="shared" ref="C29:C92" si="17">ROUND(M29/5,0)</f>
        <v>16</v>
      </c>
      <c r="D29" s="38">
        <f t="shared" si="15"/>
        <v>8</v>
      </c>
      <c r="E29" s="38">
        <f t="shared" si="13"/>
        <v>3</v>
      </c>
      <c r="F29" s="38">
        <f t="shared" si="12"/>
        <v>270</v>
      </c>
      <c r="G29" s="74">
        <f t="shared" si="1"/>
        <v>245</v>
      </c>
      <c r="H29" s="70">
        <v>3700</v>
      </c>
      <c r="I29" s="38"/>
      <c r="J29" s="70">
        <v>7200</v>
      </c>
      <c r="K29" s="38">
        <v>6</v>
      </c>
      <c r="L29" s="77"/>
      <c r="M29" s="70">
        <v>80</v>
      </c>
      <c r="N29" s="38">
        <v>40</v>
      </c>
      <c r="O29" s="38">
        <v>17</v>
      </c>
      <c r="P29" s="68">
        <v>200</v>
      </c>
      <c r="Q29" s="38">
        <f t="shared" si="3"/>
        <v>200</v>
      </c>
      <c r="R29" s="38">
        <f t="shared" si="4"/>
        <v>10900</v>
      </c>
      <c r="S29" s="38">
        <f t="shared" si="5"/>
        <v>80</v>
      </c>
      <c r="T29" s="38">
        <f t="shared" si="6"/>
        <v>40</v>
      </c>
      <c r="U29" s="38">
        <f t="shared" si="7"/>
        <v>17</v>
      </c>
      <c r="V29" s="38">
        <f t="shared" si="2"/>
        <v>6</v>
      </c>
      <c r="W29" s="38">
        <f t="shared" si="8"/>
        <v>3461</v>
      </c>
      <c r="X29" s="38">
        <f>SUM(Q$8:Q29)</f>
        <v>2900</v>
      </c>
      <c r="Y29" s="38">
        <f>SUM(R$8:R29)</f>
        <v>111200</v>
      </c>
      <c r="Z29" s="38">
        <f>SUM(S$8:S29)</f>
        <v>902</v>
      </c>
      <c r="AA29" s="38">
        <f>SUM(T$8:T29)</f>
        <v>452</v>
      </c>
      <c r="AB29" s="38">
        <f>SUM(U$8:U29)</f>
        <v>156</v>
      </c>
      <c r="AC29" s="38">
        <f>SUM(V$8:V29)</f>
        <v>132</v>
      </c>
      <c r="AD29" s="38">
        <f t="shared" si="16"/>
        <v>36114</v>
      </c>
      <c r="AF29" s="38"/>
      <c r="AG29" s="38"/>
      <c r="AH29" s="38"/>
    </row>
    <row r="30" spans="1:49" x14ac:dyDescent="0.25">
      <c r="A30" s="86" t="s">
        <v>253</v>
      </c>
      <c r="B30" s="14">
        <v>23</v>
      </c>
      <c r="C30" s="14">
        <f t="shared" si="17"/>
        <v>17</v>
      </c>
      <c r="D30" s="38">
        <f t="shared" si="15"/>
        <v>8</v>
      </c>
      <c r="E30" s="38">
        <f t="shared" si="13"/>
        <v>4</v>
      </c>
      <c r="F30" s="38">
        <f t="shared" si="12"/>
        <v>290</v>
      </c>
      <c r="G30" s="74">
        <f t="shared" si="1"/>
        <v>295</v>
      </c>
      <c r="H30" s="70">
        <v>3900</v>
      </c>
      <c r="I30" s="38"/>
      <c r="J30" s="70">
        <v>7600</v>
      </c>
      <c r="K30" s="38">
        <v>6</v>
      </c>
      <c r="L30" s="77"/>
      <c r="M30" s="70">
        <v>84</v>
      </c>
      <c r="N30" s="38">
        <v>42</v>
      </c>
      <c r="O30" s="38">
        <v>18</v>
      </c>
      <c r="P30" s="68">
        <v>200</v>
      </c>
      <c r="Q30" s="38">
        <f t="shared" si="3"/>
        <v>200</v>
      </c>
      <c r="R30" s="38">
        <f t="shared" si="4"/>
        <v>11500</v>
      </c>
      <c r="S30" s="38">
        <f t="shared" si="5"/>
        <v>84</v>
      </c>
      <c r="T30" s="38">
        <f t="shared" si="6"/>
        <v>42</v>
      </c>
      <c r="U30" s="38">
        <f t="shared" si="7"/>
        <v>18</v>
      </c>
      <c r="V30" s="38">
        <f t="shared" si="2"/>
        <v>6</v>
      </c>
      <c r="W30" s="38">
        <f t="shared" si="8"/>
        <v>3640</v>
      </c>
      <c r="X30" s="38">
        <f>SUM(Q$8:Q30)</f>
        <v>3100</v>
      </c>
      <c r="Y30" s="38">
        <f>SUM(R$8:R30)</f>
        <v>122700</v>
      </c>
      <c r="Z30" s="38">
        <f>SUM(S$8:S30)</f>
        <v>986</v>
      </c>
      <c r="AA30" s="38">
        <f>SUM(T$8:T30)</f>
        <v>494</v>
      </c>
      <c r="AB30" s="38">
        <f>SUM(U$8:U30)</f>
        <v>174</v>
      </c>
      <c r="AC30" s="38">
        <f>SUM(V$8:V30)</f>
        <v>138</v>
      </c>
      <c r="AD30" s="38">
        <f t="shared" si="16"/>
        <v>39754</v>
      </c>
      <c r="AF30" s="38"/>
      <c r="AG30" s="38"/>
      <c r="AH30" s="38"/>
    </row>
    <row r="31" spans="1:49" x14ac:dyDescent="0.25">
      <c r="A31" s="86" t="s">
        <v>253</v>
      </c>
      <c r="B31" s="14">
        <v>24</v>
      </c>
      <c r="C31" s="14">
        <f>ROUND(M31/5,0)</f>
        <v>18</v>
      </c>
      <c r="D31" s="38">
        <f t="shared" si="15"/>
        <v>9</v>
      </c>
      <c r="E31" s="38">
        <f t="shared" si="13"/>
        <v>4</v>
      </c>
      <c r="F31" s="38">
        <f t="shared" si="12"/>
        <v>290</v>
      </c>
      <c r="G31" s="74">
        <f t="shared" si="1"/>
        <v>301</v>
      </c>
      <c r="H31" s="70">
        <v>4100</v>
      </c>
      <c r="I31" s="38"/>
      <c r="J31" s="70">
        <v>8000</v>
      </c>
      <c r="K31" s="38">
        <v>6</v>
      </c>
      <c r="L31" s="77"/>
      <c r="M31" s="70">
        <v>88</v>
      </c>
      <c r="N31" s="38">
        <v>44</v>
      </c>
      <c r="O31" s="38">
        <v>19</v>
      </c>
      <c r="P31" s="68">
        <v>200</v>
      </c>
      <c r="Q31" s="38">
        <f t="shared" si="3"/>
        <v>200</v>
      </c>
      <c r="R31" s="38">
        <f t="shared" si="4"/>
        <v>12100</v>
      </c>
      <c r="S31" s="38">
        <f t="shared" si="5"/>
        <v>88</v>
      </c>
      <c r="T31" s="38">
        <f t="shared" si="6"/>
        <v>44</v>
      </c>
      <c r="U31" s="38">
        <f t="shared" si="7"/>
        <v>19</v>
      </c>
      <c r="V31" s="38">
        <f t="shared" si="2"/>
        <v>6</v>
      </c>
      <c r="W31" s="38">
        <f t="shared" si="8"/>
        <v>3819</v>
      </c>
      <c r="X31" s="38">
        <f>SUM(Q$8:Q31)</f>
        <v>3300</v>
      </c>
      <c r="Y31" s="38">
        <f>SUM(R$8:R31)</f>
        <v>134800</v>
      </c>
      <c r="Z31" s="38">
        <f>SUM(S$8:S31)</f>
        <v>1074</v>
      </c>
      <c r="AA31" s="38">
        <f>SUM(T$8:T31)</f>
        <v>538</v>
      </c>
      <c r="AB31" s="38">
        <f>SUM(U$8:U31)</f>
        <v>193</v>
      </c>
      <c r="AC31" s="38">
        <f>SUM(V$8:V31)</f>
        <v>144</v>
      </c>
      <c r="AD31" s="38">
        <f t="shared" si="16"/>
        <v>43573</v>
      </c>
      <c r="AF31" s="38"/>
      <c r="AG31" s="38"/>
      <c r="AH31" s="38"/>
    </row>
    <row r="32" spans="1:49" x14ac:dyDescent="0.25">
      <c r="A32" s="86" t="s">
        <v>253</v>
      </c>
      <c r="B32" s="14">
        <v>25</v>
      </c>
      <c r="C32" s="14">
        <f t="shared" si="17"/>
        <v>18</v>
      </c>
      <c r="D32" s="38">
        <f t="shared" si="15"/>
        <v>9</v>
      </c>
      <c r="E32" s="38">
        <f t="shared" si="13"/>
        <v>4</v>
      </c>
      <c r="F32" s="38">
        <f t="shared" si="12"/>
        <v>310</v>
      </c>
      <c r="G32" s="74">
        <f t="shared" si="1"/>
        <v>305</v>
      </c>
      <c r="H32" s="70">
        <v>4300</v>
      </c>
      <c r="I32" s="38"/>
      <c r="J32" s="70">
        <v>8400</v>
      </c>
      <c r="K32" s="38">
        <v>6</v>
      </c>
      <c r="L32" s="77"/>
      <c r="M32" s="70">
        <v>92</v>
      </c>
      <c r="N32" s="38">
        <v>46</v>
      </c>
      <c r="O32" s="38">
        <v>20</v>
      </c>
      <c r="P32" s="68">
        <v>200</v>
      </c>
      <c r="Q32" s="38">
        <f t="shared" si="3"/>
        <v>200</v>
      </c>
      <c r="R32" s="38">
        <f t="shared" si="4"/>
        <v>12700</v>
      </c>
      <c r="S32" s="38">
        <f t="shared" si="5"/>
        <v>92</v>
      </c>
      <c r="T32" s="38">
        <f t="shared" si="6"/>
        <v>46</v>
      </c>
      <c r="U32" s="38">
        <f t="shared" si="7"/>
        <v>20</v>
      </c>
      <c r="V32" s="38">
        <f t="shared" si="2"/>
        <v>6</v>
      </c>
      <c r="W32" s="38">
        <f t="shared" si="8"/>
        <v>3998</v>
      </c>
      <c r="X32" s="38">
        <f>SUM(Q$8:Q32)</f>
        <v>3500</v>
      </c>
      <c r="Y32" s="38">
        <f>SUM(R$8:R32)</f>
        <v>147500</v>
      </c>
      <c r="Z32" s="38">
        <f>SUM(S$8:S32)</f>
        <v>1166</v>
      </c>
      <c r="AA32" s="38">
        <f>SUM(T$8:T32)</f>
        <v>584</v>
      </c>
      <c r="AB32" s="38">
        <f>SUM(U$8:U32)</f>
        <v>213</v>
      </c>
      <c r="AC32" s="38">
        <f>SUM(V$8:V32)</f>
        <v>150</v>
      </c>
      <c r="AD32" s="38">
        <f t="shared" si="16"/>
        <v>47571</v>
      </c>
      <c r="AF32" s="38"/>
      <c r="AG32" s="38"/>
      <c r="AH32" s="38"/>
    </row>
    <row r="33" spans="1:34" x14ac:dyDescent="0.25">
      <c r="A33" s="86" t="s">
        <v>253</v>
      </c>
      <c r="B33" s="14">
        <v>26</v>
      </c>
      <c r="C33" s="14">
        <f>ROUND(M33/5,0)</f>
        <v>19</v>
      </c>
      <c r="D33" s="38">
        <f t="shared" si="15"/>
        <v>9</v>
      </c>
      <c r="E33" s="38">
        <f t="shared" si="13"/>
        <v>4</v>
      </c>
      <c r="F33" s="38">
        <f t="shared" si="12"/>
        <v>310</v>
      </c>
      <c r="G33" s="74">
        <f t="shared" si="1"/>
        <v>306</v>
      </c>
      <c r="H33" s="70">
        <v>4500</v>
      </c>
      <c r="I33" s="38"/>
      <c r="J33" s="70">
        <v>8800</v>
      </c>
      <c r="K33" s="38">
        <v>6</v>
      </c>
      <c r="L33" s="77"/>
      <c r="M33" s="70">
        <v>96</v>
      </c>
      <c r="N33" s="38">
        <v>48</v>
      </c>
      <c r="O33" s="38">
        <v>21</v>
      </c>
      <c r="P33" s="68">
        <v>200</v>
      </c>
      <c r="Q33" s="38">
        <f t="shared" si="3"/>
        <v>200</v>
      </c>
      <c r="R33" s="38">
        <f t="shared" si="4"/>
        <v>13300</v>
      </c>
      <c r="S33" s="38">
        <f t="shared" si="5"/>
        <v>96</v>
      </c>
      <c r="T33" s="38">
        <f t="shared" si="6"/>
        <v>48</v>
      </c>
      <c r="U33" s="38">
        <f t="shared" si="7"/>
        <v>21</v>
      </c>
      <c r="V33" s="38">
        <f t="shared" si="2"/>
        <v>6</v>
      </c>
      <c r="W33" s="38">
        <f t="shared" si="8"/>
        <v>4177</v>
      </c>
      <c r="X33" s="38">
        <f>SUM(Q$8:Q33)</f>
        <v>3700</v>
      </c>
      <c r="Y33" s="38">
        <f>SUM(R$8:R33)</f>
        <v>160800</v>
      </c>
      <c r="Z33" s="38">
        <f>SUM(S$8:S33)</f>
        <v>1262</v>
      </c>
      <c r="AA33" s="38">
        <f>SUM(T$8:T33)</f>
        <v>632</v>
      </c>
      <c r="AB33" s="38">
        <f>SUM(U$8:U33)</f>
        <v>234</v>
      </c>
      <c r="AC33" s="38">
        <f>SUM(V$8:V33)</f>
        <v>156</v>
      </c>
      <c r="AD33" s="38">
        <f t="shared" si="16"/>
        <v>51748</v>
      </c>
      <c r="AF33" s="38"/>
      <c r="AG33" s="38"/>
      <c r="AH33" s="38"/>
    </row>
    <row r="34" spans="1:34" x14ac:dyDescent="0.25">
      <c r="A34" s="86" t="s">
        <v>253</v>
      </c>
      <c r="B34" s="14">
        <v>27</v>
      </c>
      <c r="C34" s="14">
        <f t="shared" si="17"/>
        <v>20</v>
      </c>
      <c r="D34" s="38">
        <f t="shared" si="15"/>
        <v>10</v>
      </c>
      <c r="E34" s="38">
        <f t="shared" si="13"/>
        <v>4</v>
      </c>
      <c r="F34" s="38">
        <f t="shared" si="12"/>
        <v>330</v>
      </c>
      <c r="G34" s="74">
        <f t="shared" si="1"/>
        <v>316</v>
      </c>
      <c r="H34" s="70">
        <v>4700</v>
      </c>
      <c r="I34" s="38"/>
      <c r="J34" s="70">
        <v>9200</v>
      </c>
      <c r="K34" s="38">
        <v>6</v>
      </c>
      <c r="L34" s="77"/>
      <c r="M34" s="70">
        <v>100</v>
      </c>
      <c r="N34" s="38">
        <v>50</v>
      </c>
      <c r="O34" s="38">
        <v>22</v>
      </c>
      <c r="P34" s="68">
        <v>200</v>
      </c>
      <c r="Q34" s="38">
        <f t="shared" si="3"/>
        <v>200</v>
      </c>
      <c r="R34" s="38">
        <f t="shared" si="4"/>
        <v>13900</v>
      </c>
      <c r="S34" s="38">
        <f t="shared" si="5"/>
        <v>100</v>
      </c>
      <c r="T34" s="38">
        <f t="shared" si="6"/>
        <v>50</v>
      </c>
      <c r="U34" s="38">
        <f t="shared" si="7"/>
        <v>22</v>
      </c>
      <c r="V34" s="38">
        <f t="shared" si="2"/>
        <v>6</v>
      </c>
      <c r="W34" s="38">
        <f t="shared" si="8"/>
        <v>4356</v>
      </c>
      <c r="X34" s="38">
        <f>SUM(Q$8:Q34)</f>
        <v>3900</v>
      </c>
      <c r="Y34" s="38">
        <f>SUM(R$8:R34)</f>
        <v>174700</v>
      </c>
      <c r="Z34" s="38">
        <f>SUM(S$8:S34)</f>
        <v>1362</v>
      </c>
      <c r="AA34" s="38">
        <f>SUM(T$8:T34)</f>
        <v>682</v>
      </c>
      <c r="AB34" s="38">
        <f>SUM(U$8:U34)</f>
        <v>256</v>
      </c>
      <c r="AC34" s="38">
        <f>SUM(V$8:V34)</f>
        <v>162</v>
      </c>
      <c r="AD34" s="38">
        <f t="shared" si="16"/>
        <v>56104</v>
      </c>
    </row>
    <row r="35" spans="1:34" x14ac:dyDescent="0.25">
      <c r="A35" s="86" t="s">
        <v>253</v>
      </c>
      <c r="B35" s="14">
        <v>28</v>
      </c>
      <c r="C35" s="14">
        <f t="shared" si="17"/>
        <v>21</v>
      </c>
      <c r="D35" s="38">
        <f t="shared" si="15"/>
        <v>10</v>
      </c>
      <c r="E35" s="38">
        <f t="shared" si="13"/>
        <v>5</v>
      </c>
      <c r="F35" s="38">
        <f t="shared" si="12"/>
        <v>330</v>
      </c>
      <c r="G35" s="74">
        <f t="shared" si="1"/>
        <v>362</v>
      </c>
      <c r="H35" s="70">
        <v>4900</v>
      </c>
      <c r="I35" s="38"/>
      <c r="J35" s="70">
        <v>9600</v>
      </c>
      <c r="K35" s="38">
        <v>6</v>
      </c>
      <c r="L35" s="77"/>
      <c r="M35" s="70">
        <v>104</v>
      </c>
      <c r="N35" s="38">
        <v>52</v>
      </c>
      <c r="O35" s="38">
        <v>23</v>
      </c>
      <c r="P35" s="68">
        <v>200</v>
      </c>
      <c r="Q35" s="38">
        <f t="shared" si="3"/>
        <v>200</v>
      </c>
      <c r="R35" s="38">
        <f t="shared" si="4"/>
        <v>14500</v>
      </c>
      <c r="S35" s="38">
        <f t="shared" si="5"/>
        <v>104</v>
      </c>
      <c r="T35" s="38">
        <f t="shared" si="6"/>
        <v>52</v>
      </c>
      <c r="U35" s="38">
        <f t="shared" si="7"/>
        <v>23</v>
      </c>
      <c r="V35" s="38">
        <f t="shared" si="2"/>
        <v>6</v>
      </c>
      <c r="W35" s="38">
        <f t="shared" si="8"/>
        <v>4535</v>
      </c>
      <c r="X35" s="38">
        <f>SUM(Q$8:Q35)</f>
        <v>4100</v>
      </c>
      <c r="Y35" s="38">
        <f>SUM(R$8:R35)</f>
        <v>189200</v>
      </c>
      <c r="Z35" s="38">
        <f>SUM(S$8:S35)</f>
        <v>1466</v>
      </c>
      <c r="AA35" s="38">
        <f>SUM(T$8:T35)</f>
        <v>734</v>
      </c>
      <c r="AB35" s="38">
        <f>SUM(U$8:U35)</f>
        <v>279</v>
      </c>
      <c r="AC35" s="38">
        <f>SUM(V$8:V35)</f>
        <v>168</v>
      </c>
      <c r="AD35" s="38">
        <f t="shared" si="16"/>
        <v>60639</v>
      </c>
    </row>
    <row r="36" spans="1:34" s="1" customFormat="1" x14ac:dyDescent="0.25">
      <c r="A36" s="86" t="s">
        <v>253</v>
      </c>
      <c r="B36" s="20">
        <v>29</v>
      </c>
      <c r="C36" s="14">
        <f t="shared" si="17"/>
        <v>22</v>
      </c>
      <c r="D36" s="38">
        <f t="shared" si="15"/>
        <v>11</v>
      </c>
      <c r="E36" s="38">
        <f t="shared" si="13"/>
        <v>5</v>
      </c>
      <c r="F36" s="38">
        <f t="shared" si="12"/>
        <v>350</v>
      </c>
      <c r="G36" s="74">
        <f t="shared" si="1"/>
        <v>372</v>
      </c>
      <c r="H36" s="70">
        <v>5100</v>
      </c>
      <c r="I36" s="38"/>
      <c r="J36" s="70">
        <v>10000</v>
      </c>
      <c r="K36" s="38">
        <v>6</v>
      </c>
      <c r="L36" s="78"/>
      <c r="M36" s="70">
        <v>108</v>
      </c>
      <c r="N36" s="38">
        <v>54</v>
      </c>
      <c r="O36" s="38">
        <v>24</v>
      </c>
      <c r="P36" s="68">
        <v>200</v>
      </c>
      <c r="Q36" s="42">
        <f t="shared" si="3"/>
        <v>200</v>
      </c>
      <c r="R36" s="38">
        <f t="shared" si="4"/>
        <v>15100</v>
      </c>
      <c r="S36" s="38">
        <f t="shared" si="5"/>
        <v>108</v>
      </c>
      <c r="T36" s="38">
        <f t="shared" si="6"/>
        <v>54</v>
      </c>
      <c r="U36" s="38">
        <f t="shared" si="7"/>
        <v>24</v>
      </c>
      <c r="V36" s="42">
        <f t="shared" si="2"/>
        <v>6</v>
      </c>
      <c r="W36" s="38">
        <f t="shared" si="8"/>
        <v>4714</v>
      </c>
      <c r="X36" s="42">
        <f>SUM(Q$8:Q36)</f>
        <v>4300</v>
      </c>
      <c r="Y36" s="42">
        <f>SUM(R$8:R36)</f>
        <v>204300</v>
      </c>
      <c r="Z36" s="42">
        <f>SUM(S$8:S36)</f>
        <v>1574</v>
      </c>
      <c r="AA36" s="42">
        <f>SUM(T$8:T36)</f>
        <v>788</v>
      </c>
      <c r="AB36" s="42">
        <f>SUM(U$8:U36)</f>
        <v>303</v>
      </c>
      <c r="AC36" s="42">
        <f>SUM(V$8:V36)</f>
        <v>174</v>
      </c>
      <c r="AD36" s="42">
        <f t="shared" si="16"/>
        <v>65353</v>
      </c>
    </row>
    <row r="37" spans="1:34" x14ac:dyDescent="0.25">
      <c r="A37" s="86" t="s">
        <v>253</v>
      </c>
      <c r="B37" s="14">
        <v>30</v>
      </c>
      <c r="C37" s="14">
        <f t="shared" si="17"/>
        <v>22</v>
      </c>
      <c r="D37" s="38">
        <f t="shared" si="15"/>
        <v>11</v>
      </c>
      <c r="E37" s="38">
        <f t="shared" si="13"/>
        <v>5</v>
      </c>
      <c r="F37" s="38">
        <f t="shared" si="12"/>
        <v>350</v>
      </c>
      <c r="G37" s="74">
        <f t="shared" si="1"/>
        <v>372</v>
      </c>
      <c r="H37" s="70">
        <v>5300</v>
      </c>
      <c r="I37" s="38"/>
      <c r="J37" s="70">
        <v>10400</v>
      </c>
      <c r="K37" s="38">
        <v>6</v>
      </c>
      <c r="L37" s="77"/>
      <c r="M37" s="70">
        <v>112</v>
      </c>
      <c r="N37" s="38">
        <v>56</v>
      </c>
      <c r="O37" s="38">
        <v>25</v>
      </c>
      <c r="P37" s="68">
        <v>200</v>
      </c>
      <c r="Q37" s="38">
        <f t="shared" si="3"/>
        <v>200</v>
      </c>
      <c r="R37" s="38">
        <f t="shared" si="4"/>
        <v>15700</v>
      </c>
      <c r="S37" s="38">
        <f t="shared" si="5"/>
        <v>112</v>
      </c>
      <c r="T37" s="38">
        <f t="shared" si="6"/>
        <v>56</v>
      </c>
      <c r="U37" s="38">
        <f t="shared" si="7"/>
        <v>25</v>
      </c>
      <c r="V37" s="38">
        <f t="shared" si="2"/>
        <v>6</v>
      </c>
      <c r="W37" s="38">
        <f t="shared" si="8"/>
        <v>4893</v>
      </c>
      <c r="X37" s="38">
        <f>SUM(Q$8:Q37)</f>
        <v>4500</v>
      </c>
      <c r="Y37" s="38">
        <f>SUM(R$8:R37)</f>
        <v>220000</v>
      </c>
      <c r="Z37" s="38">
        <f>SUM(S$8:S37)</f>
        <v>1686</v>
      </c>
      <c r="AA37" s="38">
        <f>SUM(T$8:T37)</f>
        <v>844</v>
      </c>
      <c r="AB37" s="38">
        <f>SUM(U$8:U37)</f>
        <v>328</v>
      </c>
      <c r="AC37" s="38">
        <f>SUM(V$8:V37)</f>
        <v>180</v>
      </c>
      <c r="AD37" s="38">
        <f t="shared" si="16"/>
        <v>70246</v>
      </c>
    </row>
    <row r="38" spans="1:34" x14ac:dyDescent="0.25">
      <c r="A38" s="86" t="s">
        <v>253</v>
      </c>
      <c r="B38" s="14">
        <v>31</v>
      </c>
      <c r="C38" s="14">
        <f t="shared" si="17"/>
        <v>23</v>
      </c>
      <c r="D38" s="38">
        <f t="shared" si="15"/>
        <v>11</v>
      </c>
      <c r="E38" s="38">
        <f t="shared" si="13"/>
        <v>5</v>
      </c>
      <c r="F38" s="38">
        <f t="shared" si="12"/>
        <v>370</v>
      </c>
      <c r="G38" s="74">
        <f t="shared" si="1"/>
        <v>377</v>
      </c>
      <c r="H38" s="70">
        <v>5500</v>
      </c>
      <c r="I38" s="38"/>
      <c r="J38" s="70">
        <v>10800</v>
      </c>
      <c r="K38" s="38">
        <v>6</v>
      </c>
      <c r="L38" s="77"/>
      <c r="M38" s="70">
        <v>116</v>
      </c>
      <c r="N38" s="38">
        <v>58</v>
      </c>
      <c r="O38" s="38">
        <v>26</v>
      </c>
      <c r="P38" s="68">
        <v>200</v>
      </c>
      <c r="Q38" s="38">
        <f t="shared" si="3"/>
        <v>200</v>
      </c>
      <c r="R38" s="38">
        <f t="shared" si="4"/>
        <v>16300</v>
      </c>
      <c r="S38" s="38">
        <f t="shared" si="5"/>
        <v>116</v>
      </c>
      <c r="T38" s="38">
        <f t="shared" si="6"/>
        <v>58</v>
      </c>
      <c r="U38" s="38">
        <f t="shared" si="7"/>
        <v>26</v>
      </c>
      <c r="V38" s="38">
        <f t="shared" si="2"/>
        <v>6</v>
      </c>
      <c r="W38" s="38">
        <f t="shared" si="8"/>
        <v>5072</v>
      </c>
      <c r="X38" s="38">
        <f>SUM(Q$8:Q38)</f>
        <v>4700</v>
      </c>
      <c r="Y38" s="38">
        <f>SUM(R$8:R38)</f>
        <v>236300</v>
      </c>
      <c r="Z38" s="38">
        <f>SUM(S$8:S38)</f>
        <v>1802</v>
      </c>
      <c r="AA38" s="38">
        <f>SUM(T$8:T38)</f>
        <v>902</v>
      </c>
      <c r="AB38" s="38">
        <f>SUM(U$8:U38)</f>
        <v>354</v>
      </c>
      <c r="AC38" s="38">
        <f>SUM(V$8:V38)</f>
        <v>186</v>
      </c>
      <c r="AD38" s="38">
        <f t="shared" si="16"/>
        <v>75318</v>
      </c>
    </row>
    <row r="39" spans="1:34" x14ac:dyDescent="0.25">
      <c r="A39" s="86" t="s">
        <v>253</v>
      </c>
      <c r="B39" s="14">
        <v>32</v>
      </c>
      <c r="C39" s="14">
        <f t="shared" si="17"/>
        <v>24</v>
      </c>
      <c r="D39" s="38">
        <f t="shared" si="15"/>
        <v>12</v>
      </c>
      <c r="E39" s="38">
        <f t="shared" si="13"/>
        <v>5</v>
      </c>
      <c r="F39" s="38">
        <f t="shared" si="12"/>
        <v>370</v>
      </c>
      <c r="G39" s="74">
        <f t="shared" si="1"/>
        <v>383</v>
      </c>
      <c r="H39" s="70">
        <v>5700</v>
      </c>
      <c r="I39" s="38"/>
      <c r="J39" s="70">
        <v>11200</v>
      </c>
      <c r="K39" s="38">
        <v>6</v>
      </c>
      <c r="L39" s="77"/>
      <c r="M39" s="70">
        <v>120</v>
      </c>
      <c r="N39" s="38">
        <v>60</v>
      </c>
      <c r="O39" s="38">
        <v>27</v>
      </c>
      <c r="P39" s="68">
        <v>200</v>
      </c>
      <c r="Q39" s="38">
        <f t="shared" si="3"/>
        <v>200</v>
      </c>
      <c r="R39" s="38">
        <f t="shared" si="4"/>
        <v>16900</v>
      </c>
      <c r="S39" s="38">
        <f t="shared" si="5"/>
        <v>120</v>
      </c>
      <c r="T39" s="38">
        <f t="shared" si="6"/>
        <v>60</v>
      </c>
      <c r="U39" s="38">
        <f t="shared" si="7"/>
        <v>27</v>
      </c>
      <c r="V39" s="38">
        <f t="shared" si="2"/>
        <v>6</v>
      </c>
      <c r="W39" s="38">
        <f t="shared" si="8"/>
        <v>5251</v>
      </c>
      <c r="X39" s="38">
        <f>SUM(Q$8:Q39)</f>
        <v>4900</v>
      </c>
      <c r="Y39" s="38">
        <f>SUM(R$8:R39)</f>
        <v>253200</v>
      </c>
      <c r="Z39" s="38">
        <f>SUM(S$8:S39)</f>
        <v>1922</v>
      </c>
      <c r="AA39" s="38">
        <f>SUM(T$8:T39)</f>
        <v>962</v>
      </c>
      <c r="AB39" s="38">
        <f>SUM(U$8:U39)</f>
        <v>381</v>
      </c>
      <c r="AC39" s="38">
        <f>SUM(V$8:V39)</f>
        <v>192</v>
      </c>
      <c r="AD39" s="38">
        <f t="shared" si="16"/>
        <v>80569</v>
      </c>
    </row>
    <row r="40" spans="1:34" x14ac:dyDescent="0.25">
      <c r="A40" s="86" t="s">
        <v>253</v>
      </c>
      <c r="B40" s="14">
        <v>33</v>
      </c>
      <c r="C40" s="14">
        <f t="shared" si="17"/>
        <v>25</v>
      </c>
      <c r="D40" s="38">
        <f t="shared" si="15"/>
        <v>12</v>
      </c>
      <c r="E40" s="38">
        <f t="shared" si="13"/>
        <v>6</v>
      </c>
      <c r="F40" s="38">
        <f t="shared" si="12"/>
        <v>390</v>
      </c>
      <c r="G40" s="74">
        <f t="shared" ref="G40:G71" si="18">SUMPRODUCT($C$6:$F$6,C40:F40)</f>
        <v>433</v>
      </c>
      <c r="H40" s="70">
        <v>5900</v>
      </c>
      <c r="I40" s="38"/>
      <c r="J40" s="70">
        <v>11600</v>
      </c>
      <c r="K40" s="38">
        <v>6</v>
      </c>
      <c r="L40" s="77"/>
      <c r="M40" s="70">
        <v>124</v>
      </c>
      <c r="N40" s="38">
        <v>62</v>
      </c>
      <c r="O40" s="38">
        <v>28</v>
      </c>
      <c r="P40" s="68">
        <v>200</v>
      </c>
      <c r="Q40" s="38">
        <f t="shared" ref="Q40:Q71" si="19">P40</f>
        <v>200</v>
      </c>
      <c r="R40" s="38">
        <f t="shared" si="4"/>
        <v>17500</v>
      </c>
      <c r="S40" s="38">
        <f t="shared" si="5"/>
        <v>124</v>
      </c>
      <c r="T40" s="38">
        <f t="shared" si="6"/>
        <v>62</v>
      </c>
      <c r="U40" s="38">
        <f t="shared" si="7"/>
        <v>28</v>
      </c>
      <c r="V40" s="38">
        <f t="shared" ref="V40:V71" si="20">K40</f>
        <v>6</v>
      </c>
      <c r="W40" s="38">
        <f t="shared" si="8"/>
        <v>5430</v>
      </c>
      <c r="X40" s="38">
        <f>SUM(Q$8:Q40)</f>
        <v>5100</v>
      </c>
      <c r="Y40" s="38">
        <f>SUM(R$8:R40)</f>
        <v>270700</v>
      </c>
      <c r="Z40" s="38">
        <f>SUM(S$8:S40)</f>
        <v>2046</v>
      </c>
      <c r="AA40" s="38">
        <f>SUM(T$8:T40)</f>
        <v>1024</v>
      </c>
      <c r="AB40" s="38">
        <f>SUM(U$8:U40)</f>
        <v>409</v>
      </c>
      <c r="AC40" s="38">
        <f>SUM(V$8:V40)</f>
        <v>198</v>
      </c>
      <c r="AD40" s="38">
        <f t="shared" si="16"/>
        <v>85999</v>
      </c>
    </row>
    <row r="41" spans="1:34" x14ac:dyDescent="0.25">
      <c r="A41" s="86" t="s">
        <v>253</v>
      </c>
      <c r="B41" s="14">
        <v>34</v>
      </c>
      <c r="C41" s="14">
        <f t="shared" si="17"/>
        <v>26</v>
      </c>
      <c r="D41" s="38">
        <f t="shared" si="15"/>
        <v>13</v>
      </c>
      <c r="E41" s="38">
        <f t="shared" si="13"/>
        <v>6</v>
      </c>
      <c r="F41" s="38">
        <f t="shared" si="12"/>
        <v>390</v>
      </c>
      <c r="G41" s="74">
        <f t="shared" si="18"/>
        <v>439</v>
      </c>
      <c r="H41" s="70">
        <v>6100</v>
      </c>
      <c r="I41" s="38"/>
      <c r="J41" s="70">
        <v>12000</v>
      </c>
      <c r="K41" s="38">
        <v>6</v>
      </c>
      <c r="L41" s="77"/>
      <c r="M41" s="70">
        <v>128</v>
      </c>
      <c r="N41" s="38">
        <v>64</v>
      </c>
      <c r="O41" s="38">
        <v>29</v>
      </c>
      <c r="P41" s="68">
        <v>200</v>
      </c>
      <c r="Q41" s="38">
        <f t="shared" si="19"/>
        <v>200</v>
      </c>
      <c r="R41" s="38">
        <f t="shared" si="4"/>
        <v>18100</v>
      </c>
      <c r="S41" s="38">
        <f t="shared" si="5"/>
        <v>128</v>
      </c>
      <c r="T41" s="38">
        <f t="shared" si="6"/>
        <v>64</v>
      </c>
      <c r="U41" s="38">
        <f t="shared" si="7"/>
        <v>29</v>
      </c>
      <c r="V41" s="38">
        <f t="shared" si="20"/>
        <v>6</v>
      </c>
      <c r="W41" s="38">
        <f t="shared" si="8"/>
        <v>5609</v>
      </c>
      <c r="X41" s="38">
        <f>SUM(Q$8:Q41)</f>
        <v>5300</v>
      </c>
      <c r="Y41" s="38">
        <f>SUM(R$8:R41)</f>
        <v>288800</v>
      </c>
      <c r="Z41" s="38">
        <f>SUM(S$8:S41)</f>
        <v>2174</v>
      </c>
      <c r="AA41" s="38">
        <f>SUM(T$8:T41)</f>
        <v>1088</v>
      </c>
      <c r="AB41" s="38">
        <f>SUM(U$8:U41)</f>
        <v>438</v>
      </c>
      <c r="AC41" s="38">
        <f>SUM(V$8:V41)</f>
        <v>204</v>
      </c>
      <c r="AD41" s="38">
        <f t="shared" si="16"/>
        <v>91608</v>
      </c>
    </row>
    <row r="42" spans="1:34" x14ac:dyDescent="0.25">
      <c r="A42" s="86" t="s">
        <v>253</v>
      </c>
      <c r="B42" s="14">
        <v>35</v>
      </c>
      <c r="C42" s="14">
        <f t="shared" si="17"/>
        <v>26</v>
      </c>
      <c r="D42" s="38">
        <f t="shared" si="15"/>
        <v>13</v>
      </c>
      <c r="E42" s="38">
        <f t="shared" si="13"/>
        <v>6</v>
      </c>
      <c r="F42" s="38">
        <f t="shared" si="12"/>
        <v>410</v>
      </c>
      <c r="G42" s="74">
        <f t="shared" si="18"/>
        <v>443</v>
      </c>
      <c r="H42" s="70">
        <v>6300</v>
      </c>
      <c r="I42" s="38"/>
      <c r="J42" s="70">
        <v>12400</v>
      </c>
      <c r="K42" s="38">
        <v>6</v>
      </c>
      <c r="L42" s="77"/>
      <c r="M42" s="70">
        <v>132</v>
      </c>
      <c r="N42" s="38">
        <v>66</v>
      </c>
      <c r="O42" s="38">
        <v>30</v>
      </c>
      <c r="P42" s="68">
        <v>200</v>
      </c>
      <c r="Q42" s="38">
        <f t="shared" si="19"/>
        <v>200</v>
      </c>
      <c r="R42" s="38">
        <f t="shared" si="4"/>
        <v>18700</v>
      </c>
      <c r="S42" s="38">
        <f t="shared" si="5"/>
        <v>132</v>
      </c>
      <c r="T42" s="38">
        <f t="shared" si="6"/>
        <v>66</v>
      </c>
      <c r="U42" s="38">
        <f t="shared" si="7"/>
        <v>30</v>
      </c>
      <c r="V42" s="38">
        <f t="shared" si="20"/>
        <v>6</v>
      </c>
      <c r="W42" s="38">
        <f t="shared" si="8"/>
        <v>5788</v>
      </c>
      <c r="X42" s="38">
        <f>SUM(Q$8:Q42)</f>
        <v>5500</v>
      </c>
      <c r="Y42" s="38">
        <f>SUM(R$8:R42)</f>
        <v>307500</v>
      </c>
      <c r="Z42" s="38">
        <f>SUM(S$8:S42)</f>
        <v>2306</v>
      </c>
      <c r="AA42" s="38">
        <f>SUM(T$8:T42)</f>
        <v>1154</v>
      </c>
      <c r="AB42" s="38">
        <f>SUM(U$8:U42)</f>
        <v>468</v>
      </c>
      <c r="AC42" s="38">
        <f>SUM(V$8:V42)</f>
        <v>210</v>
      </c>
      <c r="AD42" s="38">
        <f t="shared" si="16"/>
        <v>97396</v>
      </c>
    </row>
    <row r="43" spans="1:34" x14ac:dyDescent="0.25">
      <c r="A43" s="86" t="s">
        <v>253</v>
      </c>
      <c r="B43" s="14">
        <v>36</v>
      </c>
      <c r="C43" s="14">
        <f t="shared" si="17"/>
        <v>27</v>
      </c>
      <c r="D43" s="38">
        <f t="shared" si="15"/>
        <v>13</v>
      </c>
      <c r="E43" s="38">
        <f t="shared" si="13"/>
        <v>6</v>
      </c>
      <c r="F43" s="38">
        <f t="shared" si="12"/>
        <v>410</v>
      </c>
      <c r="G43" s="74">
        <f t="shared" si="18"/>
        <v>444</v>
      </c>
      <c r="H43" s="70">
        <v>6500</v>
      </c>
      <c r="I43" s="38"/>
      <c r="J43" s="70">
        <v>12800</v>
      </c>
      <c r="K43" s="38">
        <v>6</v>
      </c>
      <c r="L43" s="77"/>
      <c r="M43" s="70">
        <v>136</v>
      </c>
      <c r="N43" s="38">
        <v>68</v>
      </c>
      <c r="O43" s="38">
        <v>31</v>
      </c>
      <c r="P43" s="68">
        <v>200</v>
      </c>
      <c r="Q43" s="38">
        <f t="shared" si="19"/>
        <v>200</v>
      </c>
      <c r="R43" s="38">
        <f t="shared" si="4"/>
        <v>19300</v>
      </c>
      <c r="S43" s="38">
        <f t="shared" si="5"/>
        <v>136</v>
      </c>
      <c r="T43" s="38">
        <f t="shared" si="6"/>
        <v>68</v>
      </c>
      <c r="U43" s="38">
        <f t="shared" si="7"/>
        <v>31</v>
      </c>
      <c r="V43" s="38">
        <f t="shared" si="20"/>
        <v>6</v>
      </c>
      <c r="W43" s="38">
        <f t="shared" si="8"/>
        <v>5967</v>
      </c>
      <c r="X43" s="38">
        <f>SUM(Q$8:Q43)</f>
        <v>5700</v>
      </c>
      <c r="Y43" s="38">
        <f>SUM(R$8:R43)</f>
        <v>326800</v>
      </c>
      <c r="Z43" s="38">
        <f>SUM(S$8:S43)</f>
        <v>2442</v>
      </c>
      <c r="AA43" s="38">
        <f>SUM(T$8:T43)</f>
        <v>1222</v>
      </c>
      <c r="AB43" s="38">
        <f>SUM(U$8:U43)</f>
        <v>499</v>
      </c>
      <c r="AC43" s="38">
        <f>SUM(V$8:V43)</f>
        <v>216</v>
      </c>
      <c r="AD43" s="38">
        <f t="shared" si="16"/>
        <v>103363</v>
      </c>
    </row>
    <row r="44" spans="1:34" x14ac:dyDescent="0.25">
      <c r="A44" s="86" t="s">
        <v>253</v>
      </c>
      <c r="B44" s="14">
        <v>37</v>
      </c>
      <c r="C44" s="14">
        <f t="shared" si="17"/>
        <v>28</v>
      </c>
      <c r="D44" s="38">
        <f t="shared" si="15"/>
        <v>14</v>
      </c>
      <c r="E44" s="38">
        <f t="shared" si="13"/>
        <v>6</v>
      </c>
      <c r="F44" s="38">
        <f t="shared" si="12"/>
        <v>430</v>
      </c>
      <c r="G44" s="74">
        <f t="shared" si="18"/>
        <v>454</v>
      </c>
      <c r="H44" s="70">
        <v>6700</v>
      </c>
      <c r="I44" s="38"/>
      <c r="J44" s="70">
        <v>13200</v>
      </c>
      <c r="K44" s="38">
        <v>6</v>
      </c>
      <c r="L44" s="77"/>
      <c r="M44" s="70">
        <v>140</v>
      </c>
      <c r="N44" s="38">
        <v>70</v>
      </c>
      <c r="O44" s="38">
        <v>32</v>
      </c>
      <c r="P44" s="68">
        <v>200</v>
      </c>
      <c r="Q44" s="38">
        <f t="shared" si="19"/>
        <v>200</v>
      </c>
      <c r="R44" s="38">
        <f t="shared" si="4"/>
        <v>19900</v>
      </c>
      <c r="S44" s="38">
        <f t="shared" si="5"/>
        <v>140</v>
      </c>
      <c r="T44" s="38">
        <f t="shared" si="6"/>
        <v>70</v>
      </c>
      <c r="U44" s="38">
        <f t="shared" si="7"/>
        <v>32</v>
      </c>
      <c r="V44" s="38">
        <f t="shared" si="20"/>
        <v>6</v>
      </c>
      <c r="W44" s="38">
        <f t="shared" si="8"/>
        <v>6146</v>
      </c>
      <c r="X44" s="38">
        <f>SUM(Q$8:Q44)</f>
        <v>5900</v>
      </c>
      <c r="Y44" s="38">
        <f>SUM(R$8:R44)</f>
        <v>346700</v>
      </c>
      <c r="Z44" s="38">
        <f>SUM(S$8:S44)</f>
        <v>2582</v>
      </c>
      <c r="AA44" s="38">
        <f>SUM(T$8:T44)</f>
        <v>1292</v>
      </c>
      <c r="AB44" s="38">
        <f>SUM(U$8:U44)</f>
        <v>531</v>
      </c>
      <c r="AC44" s="38">
        <f>SUM(V$8:V44)</f>
        <v>222</v>
      </c>
      <c r="AD44" s="38">
        <f t="shared" si="16"/>
        <v>109509</v>
      </c>
    </row>
    <row r="45" spans="1:34" x14ac:dyDescent="0.25">
      <c r="A45" s="86" t="s">
        <v>253</v>
      </c>
      <c r="B45" s="14">
        <v>38</v>
      </c>
      <c r="C45" s="14">
        <f t="shared" si="17"/>
        <v>29</v>
      </c>
      <c r="D45" s="38">
        <f t="shared" si="15"/>
        <v>14</v>
      </c>
      <c r="E45" s="38">
        <f t="shared" si="13"/>
        <v>7</v>
      </c>
      <c r="F45" s="38">
        <f t="shared" si="12"/>
        <v>430</v>
      </c>
      <c r="G45" s="74">
        <f t="shared" si="18"/>
        <v>500</v>
      </c>
      <c r="H45" s="70">
        <v>6900</v>
      </c>
      <c r="I45" s="38"/>
      <c r="J45" s="70">
        <v>13600</v>
      </c>
      <c r="K45" s="38">
        <v>6</v>
      </c>
      <c r="L45" s="77"/>
      <c r="M45" s="70">
        <v>144</v>
      </c>
      <c r="N45" s="38">
        <v>72</v>
      </c>
      <c r="O45" s="38">
        <v>33</v>
      </c>
      <c r="P45" s="68">
        <v>200</v>
      </c>
      <c r="Q45" s="38">
        <f t="shared" si="19"/>
        <v>200</v>
      </c>
      <c r="R45" s="38">
        <f t="shared" si="4"/>
        <v>20500</v>
      </c>
      <c r="S45" s="38">
        <f t="shared" si="5"/>
        <v>144</v>
      </c>
      <c r="T45" s="38">
        <f t="shared" si="6"/>
        <v>72</v>
      </c>
      <c r="U45" s="38">
        <f t="shared" si="7"/>
        <v>33</v>
      </c>
      <c r="V45" s="38">
        <f t="shared" si="20"/>
        <v>6</v>
      </c>
      <c r="W45" s="38">
        <f t="shared" si="8"/>
        <v>6325</v>
      </c>
      <c r="X45" s="38">
        <f>SUM(Q$8:Q45)</f>
        <v>6100</v>
      </c>
      <c r="Y45" s="38">
        <f>SUM(R$8:R45)</f>
        <v>367200</v>
      </c>
      <c r="Z45" s="38">
        <f>SUM(S$8:S45)</f>
        <v>2726</v>
      </c>
      <c r="AA45" s="38">
        <f>SUM(T$8:T45)</f>
        <v>1364</v>
      </c>
      <c r="AB45" s="38">
        <f>SUM(U$8:U45)</f>
        <v>564</v>
      </c>
      <c r="AC45" s="38">
        <f>SUM(V$8:V45)</f>
        <v>228</v>
      </c>
      <c r="AD45" s="38">
        <f t="shared" ref="AD45" si="21">SUMPRODUCT($X$6:$AC$6,X45:AC45)</f>
        <v>115834</v>
      </c>
    </row>
    <row r="46" spans="1:34" x14ac:dyDescent="0.25">
      <c r="A46" s="86" t="s">
        <v>253</v>
      </c>
      <c r="B46" s="14">
        <v>39</v>
      </c>
      <c r="C46" s="14">
        <f t="shared" si="17"/>
        <v>30</v>
      </c>
      <c r="D46" s="38">
        <f t="shared" si="15"/>
        <v>15</v>
      </c>
      <c r="E46" s="38">
        <f t="shared" si="13"/>
        <v>7</v>
      </c>
      <c r="F46" s="38">
        <f t="shared" si="12"/>
        <v>450</v>
      </c>
      <c r="G46" s="74">
        <f t="shared" si="18"/>
        <v>510</v>
      </c>
      <c r="H46" s="70">
        <v>7100</v>
      </c>
      <c r="I46" s="38"/>
      <c r="J46" s="70">
        <v>14000</v>
      </c>
      <c r="K46" s="38">
        <v>6</v>
      </c>
      <c r="L46" s="77"/>
      <c r="M46" s="70">
        <v>148</v>
      </c>
      <c r="N46" s="38">
        <v>74</v>
      </c>
      <c r="O46" s="38">
        <v>34</v>
      </c>
      <c r="P46" s="68">
        <v>200</v>
      </c>
      <c r="Q46" s="38">
        <f t="shared" si="19"/>
        <v>200</v>
      </c>
      <c r="R46" s="38">
        <f t="shared" si="4"/>
        <v>21100</v>
      </c>
      <c r="S46" s="38">
        <f t="shared" si="5"/>
        <v>148</v>
      </c>
      <c r="T46" s="38">
        <f t="shared" si="6"/>
        <v>74</v>
      </c>
      <c r="U46" s="38">
        <f t="shared" si="7"/>
        <v>34</v>
      </c>
      <c r="V46" s="38">
        <f t="shared" si="20"/>
        <v>6</v>
      </c>
      <c r="W46" s="38">
        <f t="shared" si="8"/>
        <v>6504</v>
      </c>
      <c r="X46" s="38">
        <f>SUM(Q$8:Q46)</f>
        <v>6300</v>
      </c>
      <c r="Y46" s="38">
        <f>SUM(R$8:R46)</f>
        <v>388300</v>
      </c>
      <c r="Z46" s="38">
        <f>SUM(S$8:S46)</f>
        <v>2874</v>
      </c>
      <c r="AA46" s="38">
        <f>SUM(T$8:T46)</f>
        <v>1438</v>
      </c>
      <c r="AB46" s="38">
        <f>SUM(U$8:U46)</f>
        <v>598</v>
      </c>
      <c r="AC46" s="38">
        <f>SUM(V$8:V46)</f>
        <v>234</v>
      </c>
      <c r="AD46" s="38">
        <f t="shared" ref="AD46:AD54" si="22">SUMPRODUCT($X$6:$AC$6,X46:AC46)</f>
        <v>122338</v>
      </c>
    </row>
    <row r="47" spans="1:34" x14ac:dyDescent="0.25">
      <c r="A47" s="86" t="s">
        <v>253</v>
      </c>
      <c r="B47" s="14">
        <v>40</v>
      </c>
      <c r="C47" s="14">
        <f t="shared" si="17"/>
        <v>30</v>
      </c>
      <c r="D47" s="38">
        <f t="shared" si="15"/>
        <v>15</v>
      </c>
      <c r="E47" s="38">
        <f t="shared" si="13"/>
        <v>7</v>
      </c>
      <c r="F47" s="38">
        <f t="shared" si="12"/>
        <v>450</v>
      </c>
      <c r="G47" s="74">
        <f t="shared" si="18"/>
        <v>510</v>
      </c>
      <c r="H47" s="70">
        <v>7300</v>
      </c>
      <c r="I47" s="38"/>
      <c r="J47" s="70">
        <v>14400</v>
      </c>
      <c r="K47" s="38">
        <v>6</v>
      </c>
      <c r="L47" s="77"/>
      <c r="M47" s="70">
        <v>152</v>
      </c>
      <c r="N47" s="38">
        <v>76</v>
      </c>
      <c r="O47" s="38">
        <v>35</v>
      </c>
      <c r="P47" s="68">
        <v>200</v>
      </c>
      <c r="Q47" s="38">
        <f t="shared" si="19"/>
        <v>200</v>
      </c>
      <c r="R47" s="38">
        <f t="shared" si="4"/>
        <v>21700</v>
      </c>
      <c r="S47" s="38">
        <f t="shared" si="5"/>
        <v>152</v>
      </c>
      <c r="T47" s="38">
        <f t="shared" si="6"/>
        <v>76</v>
      </c>
      <c r="U47" s="38">
        <f t="shared" si="7"/>
        <v>35</v>
      </c>
      <c r="V47" s="38">
        <f t="shared" si="20"/>
        <v>6</v>
      </c>
      <c r="W47" s="38">
        <f t="shared" si="8"/>
        <v>6683</v>
      </c>
      <c r="X47" s="38">
        <f>SUM(Q$8:Q47)</f>
        <v>6500</v>
      </c>
      <c r="Y47" s="38">
        <f>SUM(R$8:R47)</f>
        <v>410000</v>
      </c>
      <c r="Z47" s="38">
        <f>SUM(S$8:S47)</f>
        <v>3026</v>
      </c>
      <c r="AA47" s="38">
        <f>SUM(T$8:T47)</f>
        <v>1514</v>
      </c>
      <c r="AB47" s="38">
        <f>SUM(U$8:U47)</f>
        <v>633</v>
      </c>
      <c r="AC47" s="38">
        <f>SUM(V$8:V47)</f>
        <v>240</v>
      </c>
      <c r="AD47" s="38">
        <f t="shared" si="22"/>
        <v>129021</v>
      </c>
    </row>
    <row r="48" spans="1:34" x14ac:dyDescent="0.25">
      <c r="A48" s="86" t="s">
        <v>253</v>
      </c>
      <c r="B48" s="14">
        <v>41</v>
      </c>
      <c r="C48" s="14">
        <f t="shared" si="17"/>
        <v>31</v>
      </c>
      <c r="D48" s="38">
        <f t="shared" si="15"/>
        <v>15</v>
      </c>
      <c r="E48" s="38">
        <f t="shared" si="13"/>
        <v>7</v>
      </c>
      <c r="F48" s="38">
        <f t="shared" si="12"/>
        <v>470</v>
      </c>
      <c r="G48" s="74">
        <f t="shared" si="18"/>
        <v>515</v>
      </c>
      <c r="H48" s="70">
        <v>7500</v>
      </c>
      <c r="I48" s="38"/>
      <c r="J48" s="70">
        <v>14800</v>
      </c>
      <c r="K48" s="38">
        <v>6</v>
      </c>
      <c r="L48" s="77"/>
      <c r="M48" s="70">
        <v>156</v>
      </c>
      <c r="N48" s="38">
        <v>78</v>
      </c>
      <c r="O48" s="38">
        <v>36</v>
      </c>
      <c r="P48" s="68">
        <v>200</v>
      </c>
      <c r="Q48" s="38">
        <f t="shared" si="19"/>
        <v>200</v>
      </c>
      <c r="R48" s="38">
        <f t="shared" si="4"/>
        <v>22300</v>
      </c>
      <c r="S48" s="38">
        <f t="shared" si="5"/>
        <v>156</v>
      </c>
      <c r="T48" s="38">
        <f t="shared" si="6"/>
        <v>78</v>
      </c>
      <c r="U48" s="38">
        <f t="shared" si="7"/>
        <v>36</v>
      </c>
      <c r="V48" s="38">
        <f t="shared" si="20"/>
        <v>6</v>
      </c>
      <c r="W48" s="38">
        <f t="shared" si="8"/>
        <v>6862</v>
      </c>
      <c r="X48" s="38">
        <f>SUM(Q$8:Q48)</f>
        <v>6700</v>
      </c>
      <c r="Y48" s="38">
        <f>SUM(R$8:R48)</f>
        <v>432300</v>
      </c>
      <c r="Z48" s="38">
        <f>SUM(S$8:S48)</f>
        <v>3182</v>
      </c>
      <c r="AA48" s="38">
        <f>SUM(T$8:T48)</f>
        <v>1592</v>
      </c>
      <c r="AB48" s="38">
        <f>SUM(U$8:U48)</f>
        <v>669</v>
      </c>
      <c r="AC48" s="38">
        <f>SUM(V$8:V48)</f>
        <v>246</v>
      </c>
      <c r="AD48" s="38">
        <f t="shared" si="22"/>
        <v>135883</v>
      </c>
    </row>
    <row r="49" spans="1:34" x14ac:dyDescent="0.25">
      <c r="A49" s="86" t="s">
        <v>253</v>
      </c>
      <c r="B49" s="14">
        <v>42</v>
      </c>
      <c r="C49" s="14">
        <f t="shared" si="17"/>
        <v>32</v>
      </c>
      <c r="D49" s="38">
        <f t="shared" si="15"/>
        <v>16</v>
      </c>
      <c r="E49" s="38">
        <f t="shared" si="13"/>
        <v>7</v>
      </c>
      <c r="F49" s="38">
        <f t="shared" si="12"/>
        <v>470</v>
      </c>
      <c r="G49" s="74">
        <f t="shared" si="18"/>
        <v>521</v>
      </c>
      <c r="H49" s="70">
        <v>7700</v>
      </c>
      <c r="I49" s="38"/>
      <c r="J49" s="70">
        <v>15200</v>
      </c>
      <c r="K49" s="38">
        <v>6</v>
      </c>
      <c r="L49" s="77"/>
      <c r="M49" s="70">
        <v>160</v>
      </c>
      <c r="N49" s="38">
        <v>80</v>
      </c>
      <c r="O49" s="38">
        <v>37</v>
      </c>
      <c r="P49" s="68">
        <v>200</v>
      </c>
      <c r="Q49" s="38">
        <f t="shared" si="19"/>
        <v>200</v>
      </c>
      <c r="R49" s="38">
        <f t="shared" si="4"/>
        <v>22900</v>
      </c>
      <c r="S49" s="38">
        <f t="shared" si="5"/>
        <v>160</v>
      </c>
      <c r="T49" s="38">
        <f t="shared" si="6"/>
        <v>80</v>
      </c>
      <c r="U49" s="38">
        <f t="shared" si="7"/>
        <v>37</v>
      </c>
      <c r="V49" s="38">
        <f t="shared" si="20"/>
        <v>6</v>
      </c>
      <c r="W49" s="38">
        <f t="shared" si="8"/>
        <v>7041</v>
      </c>
      <c r="X49" s="38">
        <f>SUM(Q$8:Q49)</f>
        <v>6900</v>
      </c>
      <c r="Y49" s="38">
        <f>SUM(R$8:R49)</f>
        <v>455200</v>
      </c>
      <c r="Z49" s="38">
        <f>SUM(S$8:S49)</f>
        <v>3342</v>
      </c>
      <c r="AA49" s="38">
        <f>SUM(T$8:T49)</f>
        <v>1672</v>
      </c>
      <c r="AB49" s="38">
        <f>SUM(U$8:U49)</f>
        <v>706</v>
      </c>
      <c r="AC49" s="38">
        <f>SUM(V$8:V49)</f>
        <v>252</v>
      </c>
      <c r="AD49" s="38">
        <f t="shared" si="22"/>
        <v>142924</v>
      </c>
    </row>
    <row r="50" spans="1:34" x14ac:dyDescent="0.25">
      <c r="A50" s="86" t="s">
        <v>253</v>
      </c>
      <c r="B50" s="14">
        <v>43</v>
      </c>
      <c r="C50" s="14">
        <f t="shared" si="17"/>
        <v>33</v>
      </c>
      <c r="D50" s="38">
        <f t="shared" si="15"/>
        <v>16</v>
      </c>
      <c r="E50" s="38">
        <f t="shared" si="13"/>
        <v>8</v>
      </c>
      <c r="F50" s="38">
        <f t="shared" si="12"/>
        <v>490</v>
      </c>
      <c r="G50" s="74">
        <f t="shared" si="18"/>
        <v>571</v>
      </c>
      <c r="H50" s="70">
        <v>7900</v>
      </c>
      <c r="I50" s="38"/>
      <c r="J50" s="70">
        <v>15600</v>
      </c>
      <c r="K50" s="38">
        <v>6</v>
      </c>
      <c r="L50" s="77"/>
      <c r="M50" s="70">
        <v>164</v>
      </c>
      <c r="N50" s="38">
        <v>82</v>
      </c>
      <c r="O50" s="38">
        <v>38</v>
      </c>
      <c r="P50" s="68">
        <v>200</v>
      </c>
      <c r="Q50" s="38">
        <f t="shared" si="19"/>
        <v>200</v>
      </c>
      <c r="R50" s="38">
        <f t="shared" si="4"/>
        <v>23500</v>
      </c>
      <c r="S50" s="38">
        <f t="shared" si="5"/>
        <v>164</v>
      </c>
      <c r="T50" s="38">
        <f t="shared" si="6"/>
        <v>82</v>
      </c>
      <c r="U50" s="38">
        <f t="shared" si="7"/>
        <v>38</v>
      </c>
      <c r="V50" s="38">
        <f t="shared" si="20"/>
        <v>6</v>
      </c>
      <c r="W50" s="38">
        <f t="shared" si="8"/>
        <v>7220</v>
      </c>
      <c r="X50" s="38">
        <f>SUM(Q$8:Q50)</f>
        <v>7100</v>
      </c>
      <c r="Y50" s="38">
        <f>SUM(R$8:R50)</f>
        <v>478700</v>
      </c>
      <c r="Z50" s="38">
        <f>SUM(S$8:S50)</f>
        <v>3506</v>
      </c>
      <c r="AA50" s="38">
        <f>SUM(T$8:T50)</f>
        <v>1754</v>
      </c>
      <c r="AB50" s="38">
        <f>SUM(U$8:U50)</f>
        <v>744</v>
      </c>
      <c r="AC50" s="38">
        <f>SUM(V$8:V50)</f>
        <v>258</v>
      </c>
      <c r="AD50" s="38">
        <f t="shared" si="22"/>
        <v>150144</v>
      </c>
    </row>
    <row r="51" spans="1:34" x14ac:dyDescent="0.25">
      <c r="A51" s="86" t="s">
        <v>253</v>
      </c>
      <c r="B51" s="14">
        <v>44</v>
      </c>
      <c r="C51" s="14">
        <f t="shared" si="17"/>
        <v>34</v>
      </c>
      <c r="D51" s="38">
        <f t="shared" si="15"/>
        <v>17</v>
      </c>
      <c r="E51" s="38">
        <f t="shared" si="13"/>
        <v>8</v>
      </c>
      <c r="F51" s="38">
        <f t="shared" si="12"/>
        <v>490</v>
      </c>
      <c r="G51" s="74">
        <f t="shared" si="18"/>
        <v>577</v>
      </c>
      <c r="H51" s="70">
        <v>8100</v>
      </c>
      <c r="I51" s="38"/>
      <c r="J51" s="70">
        <v>16000</v>
      </c>
      <c r="K51" s="38">
        <v>6</v>
      </c>
      <c r="L51" s="77"/>
      <c r="M51" s="70">
        <v>168</v>
      </c>
      <c r="N51" s="38">
        <v>84</v>
      </c>
      <c r="O51" s="38">
        <v>39</v>
      </c>
      <c r="P51" s="68">
        <v>200</v>
      </c>
      <c r="Q51" s="38">
        <f t="shared" si="19"/>
        <v>200</v>
      </c>
      <c r="R51" s="38">
        <f t="shared" si="4"/>
        <v>24100</v>
      </c>
      <c r="S51" s="38">
        <f t="shared" si="5"/>
        <v>168</v>
      </c>
      <c r="T51" s="38">
        <f t="shared" si="6"/>
        <v>84</v>
      </c>
      <c r="U51" s="38">
        <f t="shared" si="7"/>
        <v>39</v>
      </c>
      <c r="V51" s="38">
        <f t="shared" si="20"/>
        <v>6</v>
      </c>
      <c r="W51" s="38">
        <f t="shared" si="8"/>
        <v>7399</v>
      </c>
      <c r="X51" s="38">
        <f>SUM(Q$8:Q51)</f>
        <v>7300</v>
      </c>
      <c r="Y51" s="38">
        <f>SUM(R$8:R51)</f>
        <v>502800</v>
      </c>
      <c r="Z51" s="38">
        <f>SUM(S$8:S51)</f>
        <v>3674</v>
      </c>
      <c r="AA51" s="38">
        <f>SUM(T$8:T51)</f>
        <v>1838</v>
      </c>
      <c r="AB51" s="38">
        <f>SUM(U$8:U51)</f>
        <v>783</v>
      </c>
      <c r="AC51" s="38">
        <f>SUM(V$8:V51)</f>
        <v>264</v>
      </c>
      <c r="AD51" s="38">
        <f t="shared" si="22"/>
        <v>157543</v>
      </c>
    </row>
    <row r="52" spans="1:34" x14ac:dyDescent="0.25">
      <c r="A52" s="86" t="s">
        <v>253</v>
      </c>
      <c r="B52" s="14">
        <v>45</v>
      </c>
      <c r="C52" s="14">
        <f t="shared" si="17"/>
        <v>34</v>
      </c>
      <c r="D52" s="38">
        <f t="shared" si="15"/>
        <v>17</v>
      </c>
      <c r="E52" s="38">
        <f t="shared" si="13"/>
        <v>8</v>
      </c>
      <c r="F52" s="38">
        <f t="shared" si="12"/>
        <v>510</v>
      </c>
      <c r="G52" s="74">
        <f t="shared" si="18"/>
        <v>581</v>
      </c>
      <c r="H52" s="70">
        <v>8300</v>
      </c>
      <c r="I52" s="38"/>
      <c r="J52" s="70">
        <v>16400</v>
      </c>
      <c r="K52" s="38">
        <v>6</v>
      </c>
      <c r="L52" s="77"/>
      <c r="M52" s="70">
        <v>172</v>
      </c>
      <c r="N52" s="38">
        <v>86</v>
      </c>
      <c r="O52" s="38">
        <v>40</v>
      </c>
      <c r="P52" s="68">
        <v>200</v>
      </c>
      <c r="Q52" s="38">
        <f t="shared" si="19"/>
        <v>200</v>
      </c>
      <c r="R52" s="38">
        <f t="shared" si="4"/>
        <v>24700</v>
      </c>
      <c r="S52" s="38">
        <f t="shared" si="5"/>
        <v>172</v>
      </c>
      <c r="T52" s="38">
        <f t="shared" si="6"/>
        <v>86</v>
      </c>
      <c r="U52" s="38">
        <f t="shared" si="7"/>
        <v>40</v>
      </c>
      <c r="V52" s="38">
        <f t="shared" si="20"/>
        <v>6</v>
      </c>
      <c r="W52" s="38">
        <f t="shared" si="8"/>
        <v>7578</v>
      </c>
      <c r="X52" s="38">
        <f>SUM(Q$8:Q52)</f>
        <v>7500</v>
      </c>
      <c r="Y52" s="38">
        <f>SUM(R$8:R52)</f>
        <v>527500</v>
      </c>
      <c r="Z52" s="38">
        <f>SUM(S$8:S52)</f>
        <v>3846</v>
      </c>
      <c r="AA52" s="38">
        <f>SUM(T$8:T52)</f>
        <v>1924</v>
      </c>
      <c r="AB52" s="38">
        <f>SUM(U$8:U52)</f>
        <v>823</v>
      </c>
      <c r="AC52" s="38">
        <f>SUM(V$8:V52)</f>
        <v>270</v>
      </c>
      <c r="AD52" s="38">
        <f t="shared" si="22"/>
        <v>165121</v>
      </c>
    </row>
    <row r="53" spans="1:34" x14ac:dyDescent="0.25">
      <c r="A53" s="86" t="s">
        <v>253</v>
      </c>
      <c r="B53" s="14">
        <v>46</v>
      </c>
      <c r="C53" s="14">
        <f t="shared" si="17"/>
        <v>35</v>
      </c>
      <c r="D53" s="38">
        <f t="shared" si="15"/>
        <v>17</v>
      </c>
      <c r="E53" s="38">
        <f t="shared" si="13"/>
        <v>8</v>
      </c>
      <c r="F53" s="38">
        <f t="shared" si="12"/>
        <v>510</v>
      </c>
      <c r="G53" s="74">
        <f t="shared" si="18"/>
        <v>582</v>
      </c>
      <c r="H53" s="70">
        <v>8500</v>
      </c>
      <c r="I53" s="38"/>
      <c r="J53" s="70">
        <v>16800</v>
      </c>
      <c r="K53" s="38">
        <v>6</v>
      </c>
      <c r="L53" s="77"/>
      <c r="M53" s="70">
        <v>176</v>
      </c>
      <c r="N53" s="38">
        <v>88</v>
      </c>
      <c r="O53" s="38">
        <v>41</v>
      </c>
      <c r="P53" s="68">
        <v>200</v>
      </c>
      <c r="Q53" s="38">
        <f t="shared" si="19"/>
        <v>200</v>
      </c>
      <c r="R53" s="38">
        <f t="shared" si="4"/>
        <v>25300</v>
      </c>
      <c r="S53" s="38">
        <f t="shared" si="5"/>
        <v>176</v>
      </c>
      <c r="T53" s="38">
        <f t="shared" si="6"/>
        <v>88</v>
      </c>
      <c r="U53" s="38">
        <f t="shared" si="7"/>
        <v>41</v>
      </c>
      <c r="V53" s="38">
        <f t="shared" si="20"/>
        <v>6</v>
      </c>
      <c r="W53" s="38">
        <f t="shared" si="8"/>
        <v>7757</v>
      </c>
      <c r="X53" s="38">
        <f>SUM(Q$8:Q53)</f>
        <v>7700</v>
      </c>
      <c r="Y53" s="38">
        <f>SUM(R$8:R53)</f>
        <v>552800</v>
      </c>
      <c r="Z53" s="38">
        <f>SUM(S$8:S53)</f>
        <v>4022</v>
      </c>
      <c r="AA53" s="38">
        <f>SUM(T$8:T53)</f>
        <v>2012</v>
      </c>
      <c r="AB53" s="38">
        <f>SUM(U$8:U53)</f>
        <v>864</v>
      </c>
      <c r="AC53" s="38">
        <f>SUM(V$8:V53)</f>
        <v>276</v>
      </c>
      <c r="AD53" s="38">
        <f t="shared" si="22"/>
        <v>172878</v>
      </c>
    </row>
    <row r="54" spans="1:34" x14ac:dyDescent="0.25">
      <c r="A54" s="86" t="s">
        <v>253</v>
      </c>
      <c r="B54" s="14">
        <v>47</v>
      </c>
      <c r="C54" s="14">
        <f t="shared" si="17"/>
        <v>36</v>
      </c>
      <c r="D54" s="38">
        <f t="shared" si="15"/>
        <v>18</v>
      </c>
      <c r="E54" s="38">
        <f t="shared" si="13"/>
        <v>8</v>
      </c>
      <c r="F54" s="38">
        <f t="shared" si="12"/>
        <v>530</v>
      </c>
      <c r="G54" s="74">
        <f t="shared" si="18"/>
        <v>592</v>
      </c>
      <c r="H54" s="70">
        <v>8700</v>
      </c>
      <c r="I54" s="38"/>
      <c r="J54" s="70">
        <v>17200</v>
      </c>
      <c r="K54" s="38">
        <v>6</v>
      </c>
      <c r="L54" s="77"/>
      <c r="M54" s="70">
        <v>180</v>
      </c>
      <c r="N54" s="38">
        <v>90</v>
      </c>
      <c r="O54" s="38">
        <v>42</v>
      </c>
      <c r="P54" s="68">
        <v>200</v>
      </c>
      <c r="Q54" s="38">
        <f t="shared" si="19"/>
        <v>200</v>
      </c>
      <c r="R54" s="38">
        <f t="shared" si="4"/>
        <v>25900</v>
      </c>
      <c r="S54" s="38">
        <f t="shared" si="5"/>
        <v>180</v>
      </c>
      <c r="T54" s="38">
        <f t="shared" si="6"/>
        <v>90</v>
      </c>
      <c r="U54" s="38">
        <f t="shared" si="7"/>
        <v>42</v>
      </c>
      <c r="V54" s="38">
        <f t="shared" si="20"/>
        <v>6</v>
      </c>
      <c r="W54" s="38">
        <f t="shared" si="8"/>
        <v>7936</v>
      </c>
      <c r="X54" s="38">
        <f>SUM(Q$8:Q54)</f>
        <v>7900</v>
      </c>
      <c r="Y54" s="38">
        <f>SUM(R$8:R54)</f>
        <v>578700</v>
      </c>
      <c r="Z54" s="38">
        <f>SUM(S$8:S54)</f>
        <v>4202</v>
      </c>
      <c r="AA54" s="38">
        <f>SUM(T$8:T54)</f>
        <v>2102</v>
      </c>
      <c r="AB54" s="38">
        <f>SUM(U$8:U54)</f>
        <v>906</v>
      </c>
      <c r="AC54" s="38">
        <f>SUM(V$8:V54)</f>
        <v>282</v>
      </c>
      <c r="AD54" s="38">
        <f t="shared" si="22"/>
        <v>180814</v>
      </c>
    </row>
    <row r="55" spans="1:34" x14ac:dyDescent="0.25">
      <c r="A55" s="86" t="s">
        <v>253</v>
      </c>
      <c r="B55" s="14">
        <v>48</v>
      </c>
      <c r="C55" s="14">
        <f t="shared" si="17"/>
        <v>37</v>
      </c>
      <c r="D55" s="38">
        <f t="shared" si="15"/>
        <v>18</v>
      </c>
      <c r="E55" s="38">
        <f t="shared" si="13"/>
        <v>9</v>
      </c>
      <c r="F55" s="38">
        <f t="shared" si="12"/>
        <v>530</v>
      </c>
      <c r="G55" s="74">
        <f t="shared" si="18"/>
        <v>638</v>
      </c>
      <c r="H55" s="70">
        <v>8900</v>
      </c>
      <c r="I55" s="38"/>
      <c r="J55" s="70">
        <v>17600</v>
      </c>
      <c r="K55" s="38">
        <v>6</v>
      </c>
      <c r="L55" s="77"/>
      <c r="M55" s="70">
        <v>184</v>
      </c>
      <c r="N55" s="38">
        <v>92</v>
      </c>
      <c r="O55" s="38">
        <v>43</v>
      </c>
      <c r="P55" s="68">
        <v>200</v>
      </c>
      <c r="Q55" s="38">
        <f t="shared" si="19"/>
        <v>200</v>
      </c>
      <c r="R55" s="38">
        <f t="shared" si="4"/>
        <v>26500</v>
      </c>
      <c r="S55" s="38">
        <f t="shared" si="5"/>
        <v>184</v>
      </c>
      <c r="T55" s="38">
        <f t="shared" si="6"/>
        <v>92</v>
      </c>
      <c r="U55" s="38">
        <f t="shared" si="7"/>
        <v>43</v>
      </c>
      <c r="V55" s="38">
        <f t="shared" si="20"/>
        <v>6</v>
      </c>
      <c r="W55" s="38">
        <f t="shared" si="8"/>
        <v>8115</v>
      </c>
      <c r="X55" s="38">
        <f>SUM(Q$8:Q55)</f>
        <v>8100</v>
      </c>
      <c r="Y55" s="38">
        <f>SUM(R$8:R55)</f>
        <v>605200</v>
      </c>
      <c r="Z55" s="38">
        <f>SUM(S$8:S55)</f>
        <v>4386</v>
      </c>
      <c r="AA55" s="38">
        <f>SUM(T$8:T55)</f>
        <v>2194</v>
      </c>
      <c r="AB55" s="38">
        <f>SUM(U$8:U55)</f>
        <v>949</v>
      </c>
      <c r="AC55" s="38">
        <f>SUM(V$8:V55)</f>
        <v>288</v>
      </c>
      <c r="AD55" s="38">
        <f t="shared" ref="AD55:AD56" si="23">SUMPRODUCT($X$6:$AC$6,X55:AC55)</f>
        <v>188929</v>
      </c>
    </row>
    <row r="56" spans="1:34" x14ac:dyDescent="0.25">
      <c r="A56" s="86" t="s">
        <v>253</v>
      </c>
      <c r="B56" s="14">
        <v>49</v>
      </c>
      <c r="C56" s="14">
        <f t="shared" si="17"/>
        <v>38</v>
      </c>
      <c r="D56" s="38">
        <f t="shared" si="15"/>
        <v>19</v>
      </c>
      <c r="E56" s="38">
        <f t="shared" si="13"/>
        <v>9</v>
      </c>
      <c r="F56" s="38">
        <f t="shared" si="12"/>
        <v>550</v>
      </c>
      <c r="G56" s="74">
        <f t="shared" si="18"/>
        <v>648</v>
      </c>
      <c r="H56" s="70">
        <v>9100</v>
      </c>
      <c r="I56" s="38"/>
      <c r="J56" s="70">
        <v>18000</v>
      </c>
      <c r="K56" s="38">
        <v>6</v>
      </c>
      <c r="L56" s="77"/>
      <c r="M56" s="70">
        <v>188</v>
      </c>
      <c r="N56" s="38">
        <v>94</v>
      </c>
      <c r="O56" s="38">
        <v>44</v>
      </c>
      <c r="P56" s="68">
        <v>200</v>
      </c>
      <c r="Q56" s="38">
        <f t="shared" si="19"/>
        <v>200</v>
      </c>
      <c r="R56" s="38">
        <f t="shared" si="4"/>
        <v>27100</v>
      </c>
      <c r="S56" s="38">
        <f t="shared" si="5"/>
        <v>188</v>
      </c>
      <c r="T56" s="38">
        <f t="shared" si="6"/>
        <v>94</v>
      </c>
      <c r="U56" s="38">
        <f t="shared" si="7"/>
        <v>44</v>
      </c>
      <c r="V56" s="38">
        <f t="shared" si="20"/>
        <v>6</v>
      </c>
      <c r="W56" s="38">
        <f t="shared" si="8"/>
        <v>8294</v>
      </c>
      <c r="X56" s="38">
        <f>SUM(Q$8:Q56)</f>
        <v>8300</v>
      </c>
      <c r="Y56" s="38">
        <f>SUM(R$8:R56)</f>
        <v>632300</v>
      </c>
      <c r="Z56" s="38">
        <f>SUM(S$8:S56)</f>
        <v>4574</v>
      </c>
      <c r="AA56" s="38">
        <f>SUM(T$8:T56)</f>
        <v>2288</v>
      </c>
      <c r="AB56" s="38">
        <f>SUM(U$8:U56)</f>
        <v>993</v>
      </c>
      <c r="AC56" s="38">
        <f>SUM(V$8:V56)</f>
        <v>294</v>
      </c>
      <c r="AD56" s="38">
        <f t="shared" si="23"/>
        <v>197223</v>
      </c>
    </row>
    <row r="57" spans="1:34" x14ac:dyDescent="0.25">
      <c r="A57" s="86" t="s">
        <v>253</v>
      </c>
      <c r="B57" s="14">
        <v>50</v>
      </c>
      <c r="C57" s="14">
        <f t="shared" si="17"/>
        <v>38</v>
      </c>
      <c r="D57" s="38">
        <f t="shared" si="15"/>
        <v>19</v>
      </c>
      <c r="E57" s="38">
        <f t="shared" si="13"/>
        <v>9</v>
      </c>
      <c r="F57" s="38">
        <f t="shared" si="12"/>
        <v>550</v>
      </c>
      <c r="G57" s="74">
        <f t="shared" si="18"/>
        <v>648</v>
      </c>
      <c r="H57" s="70">
        <v>9300</v>
      </c>
      <c r="I57" s="38"/>
      <c r="J57" s="70">
        <v>18400</v>
      </c>
      <c r="K57" s="38">
        <v>6</v>
      </c>
      <c r="L57" s="77"/>
      <c r="M57" s="70">
        <v>192</v>
      </c>
      <c r="N57" s="38">
        <v>96</v>
      </c>
      <c r="O57" s="38">
        <v>45</v>
      </c>
      <c r="P57" s="68">
        <v>200</v>
      </c>
      <c r="Q57" s="38">
        <f t="shared" si="19"/>
        <v>200</v>
      </c>
      <c r="R57" s="38">
        <f t="shared" si="4"/>
        <v>27700</v>
      </c>
      <c r="S57" s="38">
        <f t="shared" si="5"/>
        <v>192</v>
      </c>
      <c r="T57" s="38">
        <f t="shared" si="6"/>
        <v>96</v>
      </c>
      <c r="U57" s="38">
        <f t="shared" si="7"/>
        <v>45</v>
      </c>
      <c r="V57" s="38">
        <f t="shared" si="20"/>
        <v>6</v>
      </c>
      <c r="W57" s="38">
        <f t="shared" si="8"/>
        <v>8473</v>
      </c>
      <c r="X57" s="38">
        <f>SUM(Q$8:Q57)</f>
        <v>8500</v>
      </c>
      <c r="Y57" s="38">
        <f>SUM(R$8:R57)</f>
        <v>660000</v>
      </c>
      <c r="Z57" s="38">
        <f>SUM(S$8:S57)</f>
        <v>4766</v>
      </c>
      <c r="AA57" s="38">
        <f>SUM(T$8:T57)</f>
        <v>2384</v>
      </c>
      <c r="AB57" s="38">
        <f>SUM(U$8:U57)</f>
        <v>1038</v>
      </c>
      <c r="AC57" s="38">
        <f>SUM(V$8:V57)</f>
        <v>300</v>
      </c>
      <c r="AD57" s="38">
        <f t="shared" ref="AD57:AD58" si="24">SUMPRODUCT($X$6:$AC$6,X57:AC57)</f>
        <v>205696</v>
      </c>
    </row>
    <row r="58" spans="1:34" x14ac:dyDescent="0.25">
      <c r="A58" s="86" t="s">
        <v>253</v>
      </c>
      <c r="B58" s="14">
        <v>51</v>
      </c>
      <c r="C58" s="14">
        <f t="shared" si="17"/>
        <v>39</v>
      </c>
      <c r="D58" s="38">
        <f t="shared" si="15"/>
        <v>19</v>
      </c>
      <c r="E58" s="38">
        <f t="shared" si="13"/>
        <v>9</v>
      </c>
      <c r="F58" s="38">
        <f t="shared" si="12"/>
        <v>570</v>
      </c>
      <c r="G58" s="74">
        <f t="shared" si="18"/>
        <v>653</v>
      </c>
      <c r="H58" s="70">
        <v>9500</v>
      </c>
      <c r="I58" s="38"/>
      <c r="J58" s="70">
        <v>18800</v>
      </c>
      <c r="K58" s="38">
        <v>6</v>
      </c>
      <c r="L58" s="77"/>
      <c r="M58" s="70">
        <v>196</v>
      </c>
      <c r="N58" s="38">
        <v>98</v>
      </c>
      <c r="O58" s="38">
        <v>46</v>
      </c>
      <c r="P58" s="68">
        <v>200</v>
      </c>
      <c r="Q58" s="38">
        <f t="shared" si="19"/>
        <v>200</v>
      </c>
      <c r="R58" s="38">
        <f t="shared" si="4"/>
        <v>28300</v>
      </c>
      <c r="S58" s="38">
        <f t="shared" si="5"/>
        <v>196</v>
      </c>
      <c r="T58" s="38">
        <f t="shared" si="6"/>
        <v>98</v>
      </c>
      <c r="U58" s="38">
        <f t="shared" si="7"/>
        <v>46</v>
      </c>
      <c r="V58" s="38">
        <f t="shared" si="20"/>
        <v>6</v>
      </c>
      <c r="W58" s="38">
        <f t="shared" si="8"/>
        <v>8652</v>
      </c>
      <c r="X58" s="38">
        <f>SUM(Q$8:Q58)</f>
        <v>8700</v>
      </c>
      <c r="Y58" s="38">
        <f>SUM(R$8:R58)</f>
        <v>688300</v>
      </c>
      <c r="Z58" s="38">
        <f>SUM(S$8:S58)</f>
        <v>4962</v>
      </c>
      <c r="AA58" s="38">
        <f>SUM(T$8:T58)</f>
        <v>2482</v>
      </c>
      <c r="AB58" s="38">
        <f>SUM(U$8:U58)</f>
        <v>1084</v>
      </c>
      <c r="AC58" s="38">
        <f>SUM(V$8:V58)</f>
        <v>306</v>
      </c>
      <c r="AD58" s="38">
        <f t="shared" si="24"/>
        <v>214348</v>
      </c>
      <c r="AF58" s="38"/>
      <c r="AG58" s="38"/>
      <c r="AH58" s="38"/>
    </row>
    <row r="59" spans="1:34" x14ac:dyDescent="0.25">
      <c r="A59" s="86" t="s">
        <v>253</v>
      </c>
      <c r="B59" s="14">
        <v>52</v>
      </c>
      <c r="C59" s="14">
        <f t="shared" si="17"/>
        <v>40</v>
      </c>
      <c r="D59" s="38">
        <f t="shared" si="15"/>
        <v>20</v>
      </c>
      <c r="E59" s="38">
        <f t="shared" si="13"/>
        <v>9</v>
      </c>
      <c r="F59" s="38">
        <f t="shared" si="12"/>
        <v>570</v>
      </c>
      <c r="G59" s="74">
        <f t="shared" si="18"/>
        <v>659</v>
      </c>
      <c r="H59" s="70">
        <v>9700</v>
      </c>
      <c r="I59" s="38"/>
      <c r="J59" s="70">
        <v>19200</v>
      </c>
      <c r="K59" s="38">
        <v>6</v>
      </c>
      <c r="L59" s="77"/>
      <c r="M59" s="70">
        <v>200</v>
      </c>
      <c r="N59" s="38">
        <v>100</v>
      </c>
      <c r="O59" s="38">
        <v>47</v>
      </c>
      <c r="P59" s="68">
        <v>200</v>
      </c>
      <c r="Q59" s="38">
        <f t="shared" si="19"/>
        <v>200</v>
      </c>
      <c r="R59" s="38">
        <f t="shared" si="4"/>
        <v>28900</v>
      </c>
      <c r="S59" s="38">
        <f t="shared" si="5"/>
        <v>200</v>
      </c>
      <c r="T59" s="38">
        <f t="shared" si="6"/>
        <v>100</v>
      </c>
      <c r="U59" s="38">
        <f t="shared" si="7"/>
        <v>47</v>
      </c>
      <c r="V59" s="38">
        <f t="shared" si="20"/>
        <v>6</v>
      </c>
      <c r="W59" s="38">
        <f t="shared" si="8"/>
        <v>8831</v>
      </c>
      <c r="X59" s="38">
        <f>SUM(Q$8:Q59)</f>
        <v>8900</v>
      </c>
      <c r="Y59" s="38">
        <f>SUM(R$8:R59)</f>
        <v>717200</v>
      </c>
      <c r="Z59" s="38">
        <f>SUM(S$8:S59)</f>
        <v>5162</v>
      </c>
      <c r="AA59" s="38">
        <f>SUM(T$8:T59)</f>
        <v>2582</v>
      </c>
      <c r="AB59" s="38">
        <f>SUM(U$8:U59)</f>
        <v>1131</v>
      </c>
      <c r="AC59" s="38">
        <f>SUM(V$8:V59)</f>
        <v>312</v>
      </c>
      <c r="AD59" s="38">
        <f t="shared" ref="AD59:AD75" si="25">SUMPRODUCT($X$6:$AC$6,X59:AC59)</f>
        <v>223179</v>
      </c>
      <c r="AF59" s="38"/>
      <c r="AG59" s="38"/>
      <c r="AH59" s="38"/>
    </row>
    <row r="60" spans="1:34" x14ac:dyDescent="0.25">
      <c r="A60" s="86" t="s">
        <v>253</v>
      </c>
      <c r="B60" s="14">
        <v>53</v>
      </c>
      <c r="C60" s="14">
        <f t="shared" si="17"/>
        <v>41</v>
      </c>
      <c r="D60" s="38">
        <f t="shared" si="15"/>
        <v>20</v>
      </c>
      <c r="E60" s="38">
        <f t="shared" si="13"/>
        <v>10</v>
      </c>
      <c r="F60" s="38">
        <f t="shared" si="12"/>
        <v>590</v>
      </c>
      <c r="G60" s="74">
        <f t="shared" si="18"/>
        <v>709</v>
      </c>
      <c r="H60" s="70">
        <v>9900</v>
      </c>
      <c r="I60" s="38"/>
      <c r="J60" s="70">
        <v>19600</v>
      </c>
      <c r="K60" s="38">
        <v>6</v>
      </c>
      <c r="L60" s="77"/>
      <c r="M60" s="70">
        <v>204</v>
      </c>
      <c r="N60" s="38">
        <v>102</v>
      </c>
      <c r="O60" s="38">
        <v>48</v>
      </c>
      <c r="P60" s="68">
        <v>200</v>
      </c>
      <c r="Q60" s="38">
        <f t="shared" si="19"/>
        <v>200</v>
      </c>
      <c r="R60" s="38">
        <f t="shared" si="4"/>
        <v>29500</v>
      </c>
      <c r="S60" s="38">
        <f t="shared" si="5"/>
        <v>204</v>
      </c>
      <c r="T60" s="38">
        <f t="shared" si="6"/>
        <v>102</v>
      </c>
      <c r="U60" s="38">
        <f t="shared" si="7"/>
        <v>48</v>
      </c>
      <c r="V60" s="38">
        <f t="shared" si="20"/>
        <v>6</v>
      </c>
      <c r="W60" s="38">
        <f t="shared" si="8"/>
        <v>9010</v>
      </c>
      <c r="X60" s="38">
        <f>SUM(Q$8:Q60)</f>
        <v>9100</v>
      </c>
      <c r="Y60" s="38">
        <f>SUM(R$8:R60)</f>
        <v>746700</v>
      </c>
      <c r="Z60" s="38">
        <f>SUM(S$8:S60)</f>
        <v>5366</v>
      </c>
      <c r="AA60" s="38">
        <f>SUM(T$8:T60)</f>
        <v>2684</v>
      </c>
      <c r="AB60" s="38">
        <f>SUM(U$8:U60)</f>
        <v>1179</v>
      </c>
      <c r="AC60" s="38">
        <f>SUM(V$8:V60)</f>
        <v>318</v>
      </c>
      <c r="AD60" s="38">
        <f t="shared" si="25"/>
        <v>232189</v>
      </c>
      <c r="AF60" s="38"/>
      <c r="AG60" s="38"/>
      <c r="AH60" s="38"/>
    </row>
    <row r="61" spans="1:34" x14ac:dyDescent="0.25">
      <c r="A61" s="86" t="s">
        <v>253</v>
      </c>
      <c r="B61" s="14">
        <v>54</v>
      </c>
      <c r="C61" s="14">
        <f t="shared" si="17"/>
        <v>42</v>
      </c>
      <c r="D61" s="38">
        <f t="shared" si="15"/>
        <v>21</v>
      </c>
      <c r="E61" s="38">
        <f t="shared" si="13"/>
        <v>10</v>
      </c>
      <c r="F61" s="38">
        <f t="shared" si="12"/>
        <v>590</v>
      </c>
      <c r="G61" s="74">
        <f t="shared" si="18"/>
        <v>715</v>
      </c>
      <c r="H61" s="70">
        <v>10100</v>
      </c>
      <c r="I61" s="38"/>
      <c r="J61" s="70">
        <v>20000</v>
      </c>
      <c r="K61" s="38">
        <v>6</v>
      </c>
      <c r="L61" s="77"/>
      <c r="M61" s="70">
        <v>208</v>
      </c>
      <c r="N61" s="38">
        <v>104</v>
      </c>
      <c r="O61" s="38">
        <v>49</v>
      </c>
      <c r="P61" s="68">
        <v>200</v>
      </c>
      <c r="Q61" s="38">
        <f t="shared" si="19"/>
        <v>200</v>
      </c>
      <c r="R61" s="38">
        <f t="shared" si="4"/>
        <v>30100</v>
      </c>
      <c r="S61" s="38">
        <f t="shared" si="5"/>
        <v>208</v>
      </c>
      <c r="T61" s="38">
        <f t="shared" si="6"/>
        <v>104</v>
      </c>
      <c r="U61" s="38">
        <f t="shared" si="7"/>
        <v>49</v>
      </c>
      <c r="V61" s="38">
        <f t="shared" si="20"/>
        <v>6</v>
      </c>
      <c r="W61" s="38">
        <f t="shared" si="8"/>
        <v>9189</v>
      </c>
      <c r="X61" s="38">
        <f>SUM(Q$8:Q61)</f>
        <v>9300</v>
      </c>
      <c r="Y61" s="38">
        <f>SUM(R$8:R61)</f>
        <v>776800</v>
      </c>
      <c r="Z61" s="38">
        <f>SUM(S$8:S61)</f>
        <v>5574</v>
      </c>
      <c r="AA61" s="38">
        <f>SUM(T$8:T61)</f>
        <v>2788</v>
      </c>
      <c r="AB61" s="38">
        <f>SUM(U$8:U61)</f>
        <v>1228</v>
      </c>
      <c r="AC61" s="38">
        <f>SUM(V$8:V61)</f>
        <v>324</v>
      </c>
      <c r="AD61" s="38">
        <f t="shared" si="25"/>
        <v>241378</v>
      </c>
      <c r="AF61" s="38"/>
      <c r="AG61" s="38"/>
      <c r="AH61" s="38"/>
    </row>
    <row r="62" spans="1:34" s="1" customFormat="1" x14ac:dyDescent="0.25">
      <c r="A62" s="86" t="s">
        <v>253</v>
      </c>
      <c r="B62" s="14">
        <v>55</v>
      </c>
      <c r="C62" s="14">
        <f t="shared" si="17"/>
        <v>42</v>
      </c>
      <c r="D62" s="38">
        <f t="shared" si="15"/>
        <v>21</v>
      </c>
      <c r="E62" s="38">
        <f t="shared" si="13"/>
        <v>10</v>
      </c>
      <c r="F62" s="38">
        <f t="shared" si="12"/>
        <v>610</v>
      </c>
      <c r="G62" s="74">
        <f t="shared" si="18"/>
        <v>719</v>
      </c>
      <c r="H62" s="70">
        <v>10300</v>
      </c>
      <c r="I62" s="38"/>
      <c r="J62" s="70">
        <v>20400</v>
      </c>
      <c r="K62" s="38">
        <v>6</v>
      </c>
      <c r="L62" s="78"/>
      <c r="M62" s="70">
        <v>212</v>
      </c>
      <c r="N62" s="38">
        <v>106</v>
      </c>
      <c r="O62" s="38">
        <v>50</v>
      </c>
      <c r="P62" s="68">
        <v>200</v>
      </c>
      <c r="Q62" s="42">
        <f t="shared" si="19"/>
        <v>200</v>
      </c>
      <c r="R62" s="38">
        <f t="shared" si="4"/>
        <v>30700</v>
      </c>
      <c r="S62" s="38">
        <f t="shared" si="5"/>
        <v>212</v>
      </c>
      <c r="T62" s="38">
        <f t="shared" si="6"/>
        <v>106</v>
      </c>
      <c r="U62" s="38">
        <f t="shared" si="7"/>
        <v>50</v>
      </c>
      <c r="V62" s="42">
        <f t="shared" si="20"/>
        <v>6</v>
      </c>
      <c r="W62" s="38">
        <f t="shared" si="8"/>
        <v>9368</v>
      </c>
      <c r="X62" s="42">
        <f>SUM(Q$8:Q62)</f>
        <v>9500</v>
      </c>
      <c r="Y62" s="42">
        <f>SUM(R$8:R62)</f>
        <v>807500</v>
      </c>
      <c r="Z62" s="42">
        <f>SUM(S$8:S62)</f>
        <v>5786</v>
      </c>
      <c r="AA62" s="42">
        <f>SUM(T$8:T62)</f>
        <v>2894</v>
      </c>
      <c r="AB62" s="42">
        <f>SUM(U$8:U62)</f>
        <v>1278</v>
      </c>
      <c r="AC62" s="42">
        <f>SUM(V$8:V62)</f>
        <v>330</v>
      </c>
      <c r="AD62" s="38">
        <f t="shared" si="25"/>
        <v>250746</v>
      </c>
      <c r="AF62" s="38"/>
      <c r="AG62" s="38"/>
      <c r="AH62" s="38"/>
    </row>
    <row r="63" spans="1:34" x14ac:dyDescent="0.25">
      <c r="A63" s="86" t="s">
        <v>253</v>
      </c>
      <c r="B63" s="14">
        <v>56</v>
      </c>
      <c r="C63" s="14">
        <f t="shared" si="17"/>
        <v>43</v>
      </c>
      <c r="D63" s="38">
        <f t="shared" si="15"/>
        <v>21</v>
      </c>
      <c r="E63" s="38">
        <f t="shared" si="13"/>
        <v>10</v>
      </c>
      <c r="F63" s="38">
        <f t="shared" si="12"/>
        <v>610</v>
      </c>
      <c r="G63" s="74">
        <f t="shared" si="18"/>
        <v>720</v>
      </c>
      <c r="H63" s="70">
        <v>10500</v>
      </c>
      <c r="I63" s="38"/>
      <c r="J63" s="70">
        <v>20800</v>
      </c>
      <c r="K63" s="38">
        <v>6</v>
      </c>
      <c r="L63" s="77"/>
      <c r="M63" s="70">
        <v>216</v>
      </c>
      <c r="N63" s="38">
        <v>108</v>
      </c>
      <c r="O63" s="38">
        <v>51</v>
      </c>
      <c r="P63" s="68">
        <v>200</v>
      </c>
      <c r="Q63" s="38">
        <f t="shared" si="19"/>
        <v>200</v>
      </c>
      <c r="R63" s="38">
        <f t="shared" si="4"/>
        <v>31300</v>
      </c>
      <c r="S63" s="38">
        <f t="shared" si="5"/>
        <v>216</v>
      </c>
      <c r="T63" s="38">
        <f t="shared" si="6"/>
        <v>108</v>
      </c>
      <c r="U63" s="38">
        <f t="shared" si="7"/>
        <v>51</v>
      </c>
      <c r="V63" s="38">
        <f t="shared" si="20"/>
        <v>6</v>
      </c>
      <c r="W63" s="38">
        <f t="shared" si="8"/>
        <v>9547</v>
      </c>
      <c r="X63" s="38">
        <f>SUM(Q$8:Q63)</f>
        <v>9700</v>
      </c>
      <c r="Y63" s="38">
        <f>SUM(R$8:R63)</f>
        <v>838800</v>
      </c>
      <c r="Z63" s="38">
        <f>SUM(S$8:S63)</f>
        <v>6002</v>
      </c>
      <c r="AA63" s="38">
        <f>SUM(T$8:T63)</f>
        <v>3002</v>
      </c>
      <c r="AB63" s="38">
        <f>SUM(U$8:U63)</f>
        <v>1329</v>
      </c>
      <c r="AC63" s="38">
        <f>SUM(V$8:V63)</f>
        <v>336</v>
      </c>
      <c r="AD63" s="38">
        <f t="shared" si="25"/>
        <v>260293</v>
      </c>
      <c r="AF63" s="38"/>
      <c r="AG63" s="38"/>
      <c r="AH63" s="38"/>
    </row>
    <row r="64" spans="1:34" x14ac:dyDescent="0.25">
      <c r="A64" s="86" t="s">
        <v>253</v>
      </c>
      <c r="B64" s="14">
        <v>57</v>
      </c>
      <c r="C64" s="14">
        <f t="shared" si="17"/>
        <v>44</v>
      </c>
      <c r="D64" s="38">
        <f t="shared" si="15"/>
        <v>22</v>
      </c>
      <c r="E64" s="38">
        <f t="shared" si="13"/>
        <v>10</v>
      </c>
      <c r="F64" s="38">
        <f t="shared" si="12"/>
        <v>630</v>
      </c>
      <c r="G64" s="74">
        <f t="shared" si="18"/>
        <v>730</v>
      </c>
      <c r="H64" s="70">
        <v>10700</v>
      </c>
      <c r="I64" s="38"/>
      <c r="J64" s="70">
        <v>21200</v>
      </c>
      <c r="K64" s="38">
        <v>6</v>
      </c>
      <c r="L64" s="77"/>
      <c r="M64" s="70">
        <v>220</v>
      </c>
      <c r="N64" s="38">
        <v>110</v>
      </c>
      <c r="O64" s="38">
        <v>52</v>
      </c>
      <c r="P64" s="68">
        <v>200</v>
      </c>
      <c r="Q64" s="38">
        <f t="shared" si="19"/>
        <v>200</v>
      </c>
      <c r="R64" s="38">
        <f t="shared" si="4"/>
        <v>31900</v>
      </c>
      <c r="S64" s="38">
        <f t="shared" si="5"/>
        <v>220</v>
      </c>
      <c r="T64" s="38">
        <f t="shared" si="6"/>
        <v>110</v>
      </c>
      <c r="U64" s="38">
        <f t="shared" si="7"/>
        <v>52</v>
      </c>
      <c r="V64" s="38">
        <f t="shared" si="20"/>
        <v>6</v>
      </c>
      <c r="W64" s="38">
        <f t="shared" si="8"/>
        <v>9726</v>
      </c>
      <c r="X64" s="38">
        <f>SUM(Q$8:Q64)</f>
        <v>9900</v>
      </c>
      <c r="Y64" s="38">
        <f>SUM(R$8:R64)</f>
        <v>870700</v>
      </c>
      <c r="Z64" s="38">
        <f>SUM(S$8:S64)</f>
        <v>6222</v>
      </c>
      <c r="AA64" s="38">
        <f>SUM(T$8:T64)</f>
        <v>3112</v>
      </c>
      <c r="AB64" s="38">
        <f>SUM(U$8:U64)</f>
        <v>1381</v>
      </c>
      <c r="AC64" s="38">
        <f>SUM(V$8:V64)</f>
        <v>342</v>
      </c>
      <c r="AD64" s="38">
        <f t="shared" si="25"/>
        <v>270019</v>
      </c>
      <c r="AF64" s="38"/>
      <c r="AG64" s="38"/>
      <c r="AH64" s="38"/>
    </row>
    <row r="65" spans="1:34" x14ac:dyDescent="0.25">
      <c r="A65" s="86" t="s">
        <v>253</v>
      </c>
      <c r="B65" s="14">
        <v>58</v>
      </c>
      <c r="C65" s="14">
        <f t="shared" si="17"/>
        <v>45</v>
      </c>
      <c r="D65" s="38">
        <f t="shared" si="15"/>
        <v>22</v>
      </c>
      <c r="E65" s="38">
        <f t="shared" si="13"/>
        <v>11</v>
      </c>
      <c r="F65" s="38">
        <f t="shared" si="12"/>
        <v>630</v>
      </c>
      <c r="G65" s="74">
        <f t="shared" si="18"/>
        <v>776</v>
      </c>
      <c r="H65" s="70">
        <v>10900</v>
      </c>
      <c r="I65" s="38"/>
      <c r="J65" s="70">
        <v>21600</v>
      </c>
      <c r="K65" s="38">
        <v>6</v>
      </c>
      <c r="L65" s="77"/>
      <c r="M65" s="70">
        <v>224</v>
      </c>
      <c r="N65" s="38">
        <v>112</v>
      </c>
      <c r="O65" s="38">
        <v>53</v>
      </c>
      <c r="P65" s="68">
        <v>200</v>
      </c>
      <c r="Q65" s="38">
        <f t="shared" si="19"/>
        <v>200</v>
      </c>
      <c r="R65" s="38">
        <f t="shared" si="4"/>
        <v>32500</v>
      </c>
      <c r="S65" s="38">
        <f t="shared" si="5"/>
        <v>224</v>
      </c>
      <c r="T65" s="38">
        <f t="shared" si="6"/>
        <v>112</v>
      </c>
      <c r="U65" s="38">
        <f t="shared" si="7"/>
        <v>53</v>
      </c>
      <c r="V65" s="38">
        <f t="shared" si="20"/>
        <v>6</v>
      </c>
      <c r="W65" s="38">
        <f t="shared" si="8"/>
        <v>9905</v>
      </c>
      <c r="X65" s="38">
        <f>SUM(Q$8:Q65)</f>
        <v>10100</v>
      </c>
      <c r="Y65" s="38">
        <f>SUM(R$8:R65)</f>
        <v>903200</v>
      </c>
      <c r="Z65" s="38">
        <f>SUM(S$8:S65)</f>
        <v>6446</v>
      </c>
      <c r="AA65" s="38">
        <f>SUM(T$8:T65)</f>
        <v>3224</v>
      </c>
      <c r="AB65" s="38">
        <f>SUM(U$8:U65)</f>
        <v>1434</v>
      </c>
      <c r="AC65" s="38">
        <f>SUM(V$8:V65)</f>
        <v>348</v>
      </c>
      <c r="AD65" s="38">
        <f t="shared" si="25"/>
        <v>279924</v>
      </c>
    </row>
    <row r="66" spans="1:34" x14ac:dyDescent="0.25">
      <c r="A66" s="86" t="s">
        <v>253</v>
      </c>
      <c r="B66" s="14">
        <v>59</v>
      </c>
      <c r="C66" s="14">
        <f t="shared" si="17"/>
        <v>46</v>
      </c>
      <c r="D66" s="38">
        <f t="shared" si="15"/>
        <v>23</v>
      </c>
      <c r="E66" s="38">
        <f t="shared" si="13"/>
        <v>11</v>
      </c>
      <c r="F66" s="38">
        <f t="shared" si="12"/>
        <v>650</v>
      </c>
      <c r="G66" s="74">
        <f t="shared" si="18"/>
        <v>786</v>
      </c>
      <c r="H66" s="70">
        <v>11100</v>
      </c>
      <c r="I66" s="38"/>
      <c r="J66" s="70">
        <v>22000</v>
      </c>
      <c r="K66" s="38">
        <v>6</v>
      </c>
      <c r="L66" s="77"/>
      <c r="M66" s="70">
        <v>228</v>
      </c>
      <c r="N66" s="38">
        <v>114</v>
      </c>
      <c r="O66" s="38">
        <v>54</v>
      </c>
      <c r="P66" s="68">
        <v>200</v>
      </c>
      <c r="Q66" s="38">
        <f t="shared" si="19"/>
        <v>200</v>
      </c>
      <c r="R66" s="38">
        <f t="shared" si="4"/>
        <v>33100</v>
      </c>
      <c r="S66" s="38">
        <f t="shared" si="5"/>
        <v>228</v>
      </c>
      <c r="T66" s="38">
        <f t="shared" si="6"/>
        <v>114</v>
      </c>
      <c r="U66" s="38">
        <f t="shared" si="7"/>
        <v>54</v>
      </c>
      <c r="V66" s="38">
        <f t="shared" si="20"/>
        <v>6</v>
      </c>
      <c r="W66" s="38">
        <f t="shared" si="8"/>
        <v>10084</v>
      </c>
      <c r="X66" s="38">
        <f>SUM(Q$8:Q66)</f>
        <v>10300</v>
      </c>
      <c r="Y66" s="38">
        <f>SUM(R$8:R66)</f>
        <v>936300</v>
      </c>
      <c r="Z66" s="38">
        <f>SUM(S$8:S66)</f>
        <v>6674</v>
      </c>
      <c r="AA66" s="38">
        <f>SUM(T$8:T66)</f>
        <v>3338</v>
      </c>
      <c r="AB66" s="38">
        <f>SUM(U$8:U66)</f>
        <v>1488</v>
      </c>
      <c r="AC66" s="38">
        <f>SUM(V$8:V66)</f>
        <v>354</v>
      </c>
      <c r="AD66" s="38">
        <f t="shared" si="25"/>
        <v>290008</v>
      </c>
    </row>
    <row r="67" spans="1:34" x14ac:dyDescent="0.25">
      <c r="A67" s="86" t="s">
        <v>253</v>
      </c>
      <c r="B67" s="14">
        <v>60</v>
      </c>
      <c r="C67" s="14">
        <f t="shared" si="17"/>
        <v>46</v>
      </c>
      <c r="D67" s="38">
        <f t="shared" si="15"/>
        <v>23</v>
      </c>
      <c r="E67" s="38">
        <f t="shared" si="13"/>
        <v>11</v>
      </c>
      <c r="F67" s="38">
        <f t="shared" si="12"/>
        <v>650</v>
      </c>
      <c r="G67" s="74">
        <f t="shared" si="18"/>
        <v>786</v>
      </c>
      <c r="H67" s="70">
        <v>11300</v>
      </c>
      <c r="I67" s="38"/>
      <c r="J67" s="70">
        <v>22400</v>
      </c>
      <c r="K67" s="38">
        <v>6</v>
      </c>
      <c r="L67" s="77"/>
      <c r="M67" s="70">
        <v>232</v>
      </c>
      <c r="N67" s="38">
        <v>116</v>
      </c>
      <c r="O67" s="38">
        <v>55</v>
      </c>
      <c r="P67" s="68">
        <v>200</v>
      </c>
      <c r="Q67" s="38">
        <f t="shared" si="19"/>
        <v>200</v>
      </c>
      <c r="R67" s="38">
        <f t="shared" si="4"/>
        <v>33700</v>
      </c>
      <c r="S67" s="38">
        <f t="shared" si="5"/>
        <v>232</v>
      </c>
      <c r="T67" s="38">
        <f t="shared" si="6"/>
        <v>116</v>
      </c>
      <c r="U67" s="38">
        <f t="shared" si="7"/>
        <v>55</v>
      </c>
      <c r="V67" s="38">
        <f t="shared" si="20"/>
        <v>6</v>
      </c>
      <c r="W67" s="38">
        <f t="shared" si="8"/>
        <v>10263</v>
      </c>
      <c r="X67" s="38">
        <f>SUM(Q$8:Q67)</f>
        <v>10500</v>
      </c>
      <c r="Y67" s="38">
        <f>SUM(R$8:R67)</f>
        <v>970000</v>
      </c>
      <c r="Z67" s="38">
        <f>SUM(S$8:S67)</f>
        <v>6906</v>
      </c>
      <c r="AA67" s="38">
        <f>SUM(T$8:T67)</f>
        <v>3454</v>
      </c>
      <c r="AB67" s="38">
        <f>SUM(U$8:U67)</f>
        <v>1543</v>
      </c>
      <c r="AC67" s="38">
        <f>SUM(V$8:V67)</f>
        <v>360</v>
      </c>
      <c r="AD67" s="38">
        <f t="shared" si="25"/>
        <v>300271</v>
      </c>
    </row>
    <row r="68" spans="1:34" x14ac:dyDescent="0.25">
      <c r="A68" s="86" t="s">
        <v>253</v>
      </c>
      <c r="B68" s="14">
        <v>61</v>
      </c>
      <c r="C68" s="14">
        <f t="shared" si="17"/>
        <v>47</v>
      </c>
      <c r="D68" s="38">
        <f t="shared" si="15"/>
        <v>23</v>
      </c>
      <c r="E68" s="38">
        <f t="shared" si="13"/>
        <v>11</v>
      </c>
      <c r="F68" s="38">
        <f t="shared" si="12"/>
        <v>670</v>
      </c>
      <c r="G68" s="74">
        <f t="shared" si="18"/>
        <v>791</v>
      </c>
      <c r="H68" s="70">
        <v>11500</v>
      </c>
      <c r="I68" s="38"/>
      <c r="J68" s="70">
        <v>22800</v>
      </c>
      <c r="K68" s="38">
        <v>6</v>
      </c>
      <c r="L68" s="77"/>
      <c r="M68" s="70">
        <v>236</v>
      </c>
      <c r="N68" s="38">
        <v>118</v>
      </c>
      <c r="O68" s="38">
        <v>56</v>
      </c>
      <c r="P68" s="68">
        <v>200</v>
      </c>
      <c r="Q68" s="38">
        <f t="shared" si="19"/>
        <v>200</v>
      </c>
      <c r="R68" s="38">
        <f t="shared" si="4"/>
        <v>34300</v>
      </c>
      <c r="S68" s="38">
        <f t="shared" si="5"/>
        <v>236</v>
      </c>
      <c r="T68" s="38">
        <f t="shared" si="6"/>
        <v>118</v>
      </c>
      <c r="U68" s="38">
        <f t="shared" si="7"/>
        <v>56</v>
      </c>
      <c r="V68" s="38">
        <f t="shared" si="20"/>
        <v>6</v>
      </c>
      <c r="W68" s="38">
        <f t="shared" si="8"/>
        <v>10442</v>
      </c>
      <c r="X68" s="38">
        <f>SUM(Q$8:Q68)</f>
        <v>10700</v>
      </c>
      <c r="Y68" s="38">
        <f>SUM(R$8:R68)</f>
        <v>1004300</v>
      </c>
      <c r="Z68" s="38">
        <f>SUM(S$8:S68)</f>
        <v>7142</v>
      </c>
      <c r="AA68" s="38">
        <f>SUM(T$8:T68)</f>
        <v>3572</v>
      </c>
      <c r="AB68" s="38">
        <f>SUM(U$8:U68)</f>
        <v>1599</v>
      </c>
      <c r="AC68" s="38">
        <f>SUM(V$8:V68)</f>
        <v>366</v>
      </c>
      <c r="AD68" s="38">
        <f t="shared" si="25"/>
        <v>310713</v>
      </c>
    </row>
    <row r="69" spans="1:34" x14ac:dyDescent="0.25">
      <c r="A69" s="86" t="s">
        <v>253</v>
      </c>
      <c r="B69" s="14">
        <v>62</v>
      </c>
      <c r="C69" s="14">
        <f t="shared" si="17"/>
        <v>48</v>
      </c>
      <c r="D69" s="38">
        <f t="shared" si="15"/>
        <v>24</v>
      </c>
      <c r="E69" s="38">
        <f t="shared" si="13"/>
        <v>11</v>
      </c>
      <c r="F69" s="38">
        <f t="shared" si="12"/>
        <v>670</v>
      </c>
      <c r="G69" s="74">
        <f t="shared" si="18"/>
        <v>797</v>
      </c>
      <c r="H69" s="70">
        <v>11700</v>
      </c>
      <c r="I69" s="38"/>
      <c r="J69" s="70">
        <v>23200</v>
      </c>
      <c r="K69" s="38">
        <v>6</v>
      </c>
      <c r="L69" s="77"/>
      <c r="M69" s="70">
        <v>240</v>
      </c>
      <c r="N69" s="38">
        <v>120</v>
      </c>
      <c r="O69" s="38">
        <v>57</v>
      </c>
      <c r="P69" s="68">
        <v>200</v>
      </c>
      <c r="Q69" s="38">
        <f t="shared" si="19"/>
        <v>200</v>
      </c>
      <c r="R69" s="38">
        <f t="shared" si="4"/>
        <v>34900</v>
      </c>
      <c r="S69" s="38">
        <f t="shared" si="5"/>
        <v>240</v>
      </c>
      <c r="T69" s="38">
        <f t="shared" si="6"/>
        <v>120</v>
      </c>
      <c r="U69" s="38">
        <f t="shared" si="7"/>
        <v>57</v>
      </c>
      <c r="V69" s="38">
        <f t="shared" si="20"/>
        <v>6</v>
      </c>
      <c r="W69" s="38">
        <f t="shared" si="8"/>
        <v>10621</v>
      </c>
      <c r="X69" s="38">
        <f>SUM(Q$8:Q69)</f>
        <v>10900</v>
      </c>
      <c r="Y69" s="38">
        <f>SUM(R$8:R69)</f>
        <v>1039200</v>
      </c>
      <c r="Z69" s="38">
        <f>SUM(S$8:S69)</f>
        <v>7382</v>
      </c>
      <c r="AA69" s="38">
        <f>SUM(T$8:T69)</f>
        <v>3692</v>
      </c>
      <c r="AB69" s="38">
        <f>SUM(U$8:U69)</f>
        <v>1656</v>
      </c>
      <c r="AC69" s="38">
        <f>SUM(V$8:V69)</f>
        <v>372</v>
      </c>
      <c r="AD69" s="38">
        <f t="shared" si="25"/>
        <v>321334</v>
      </c>
    </row>
    <row r="70" spans="1:34" x14ac:dyDescent="0.25">
      <c r="A70" s="86" t="s">
        <v>253</v>
      </c>
      <c r="B70" s="14">
        <v>63</v>
      </c>
      <c r="C70" s="14">
        <f t="shared" si="17"/>
        <v>49</v>
      </c>
      <c r="D70" s="38">
        <f t="shared" si="15"/>
        <v>24</v>
      </c>
      <c r="E70" s="38">
        <f t="shared" si="13"/>
        <v>12</v>
      </c>
      <c r="F70" s="38">
        <f t="shared" si="12"/>
        <v>690</v>
      </c>
      <c r="G70" s="74">
        <f t="shared" si="18"/>
        <v>847</v>
      </c>
      <c r="H70" s="70">
        <v>11900</v>
      </c>
      <c r="I70" s="38"/>
      <c r="J70" s="70">
        <v>23600</v>
      </c>
      <c r="K70" s="38">
        <v>6</v>
      </c>
      <c r="L70" s="77"/>
      <c r="M70" s="70">
        <v>244</v>
      </c>
      <c r="N70" s="38">
        <v>122</v>
      </c>
      <c r="O70" s="38">
        <v>58</v>
      </c>
      <c r="P70" s="68">
        <v>200</v>
      </c>
      <c r="Q70" s="38">
        <f t="shared" si="19"/>
        <v>200</v>
      </c>
      <c r="R70" s="38">
        <f t="shared" si="4"/>
        <v>35500</v>
      </c>
      <c r="S70" s="38">
        <f t="shared" si="5"/>
        <v>244</v>
      </c>
      <c r="T70" s="38">
        <f t="shared" si="6"/>
        <v>122</v>
      </c>
      <c r="U70" s="38">
        <f t="shared" si="7"/>
        <v>58</v>
      </c>
      <c r="V70" s="38">
        <f t="shared" si="20"/>
        <v>6</v>
      </c>
      <c r="W70" s="38">
        <f t="shared" si="8"/>
        <v>10800</v>
      </c>
      <c r="X70" s="38">
        <f>SUM(Q$8:Q70)</f>
        <v>11100</v>
      </c>
      <c r="Y70" s="38">
        <f>SUM(R$8:R70)</f>
        <v>1074700</v>
      </c>
      <c r="Z70" s="38">
        <f>SUM(S$8:S70)</f>
        <v>7626</v>
      </c>
      <c r="AA70" s="38">
        <f>SUM(T$8:T70)</f>
        <v>3814</v>
      </c>
      <c r="AB70" s="38">
        <f>SUM(U$8:U70)</f>
        <v>1714</v>
      </c>
      <c r="AC70" s="38">
        <f>SUM(V$8:V70)</f>
        <v>378</v>
      </c>
      <c r="AD70" s="38">
        <f t="shared" si="25"/>
        <v>332134</v>
      </c>
    </row>
    <row r="71" spans="1:34" x14ac:dyDescent="0.25">
      <c r="A71" s="86" t="s">
        <v>253</v>
      </c>
      <c r="B71" s="14">
        <v>64</v>
      </c>
      <c r="C71" s="14">
        <f t="shared" si="17"/>
        <v>50</v>
      </c>
      <c r="D71" s="38">
        <f t="shared" si="15"/>
        <v>25</v>
      </c>
      <c r="E71" s="38">
        <f t="shared" si="13"/>
        <v>12</v>
      </c>
      <c r="F71" s="38">
        <f t="shared" si="12"/>
        <v>690</v>
      </c>
      <c r="G71" s="74">
        <f t="shared" si="18"/>
        <v>853</v>
      </c>
      <c r="H71" s="70">
        <v>12100</v>
      </c>
      <c r="I71" s="38"/>
      <c r="J71" s="70">
        <v>24000</v>
      </c>
      <c r="K71" s="38">
        <v>6</v>
      </c>
      <c r="L71" s="77"/>
      <c r="M71" s="70">
        <v>248</v>
      </c>
      <c r="N71" s="38">
        <v>124</v>
      </c>
      <c r="O71" s="38">
        <v>59</v>
      </c>
      <c r="P71" s="68">
        <v>200</v>
      </c>
      <c r="Q71" s="38">
        <f t="shared" si="19"/>
        <v>200</v>
      </c>
      <c r="R71" s="38">
        <f t="shared" si="4"/>
        <v>36100</v>
      </c>
      <c r="S71" s="38">
        <f t="shared" si="5"/>
        <v>248</v>
      </c>
      <c r="T71" s="38">
        <f t="shared" si="6"/>
        <v>124</v>
      </c>
      <c r="U71" s="38">
        <f t="shared" si="7"/>
        <v>59</v>
      </c>
      <c r="V71" s="38">
        <f t="shared" si="20"/>
        <v>6</v>
      </c>
      <c r="W71" s="38">
        <f t="shared" si="8"/>
        <v>10979</v>
      </c>
      <c r="X71" s="38">
        <f>SUM(Q$8:Q71)</f>
        <v>11300</v>
      </c>
      <c r="Y71" s="38">
        <f>SUM(R$8:R71)</f>
        <v>1110800</v>
      </c>
      <c r="Z71" s="38">
        <f>SUM(S$8:S71)</f>
        <v>7874</v>
      </c>
      <c r="AA71" s="38">
        <f>SUM(T$8:T71)</f>
        <v>3938</v>
      </c>
      <c r="AB71" s="38">
        <f>SUM(U$8:U71)</f>
        <v>1773</v>
      </c>
      <c r="AC71" s="38">
        <f>SUM(V$8:V71)</f>
        <v>384</v>
      </c>
      <c r="AD71" s="38">
        <f t="shared" si="25"/>
        <v>343113</v>
      </c>
    </row>
    <row r="72" spans="1:34" x14ac:dyDescent="0.25">
      <c r="A72" s="86" t="s">
        <v>253</v>
      </c>
      <c r="B72" s="14">
        <v>65</v>
      </c>
      <c r="C72" s="14">
        <f t="shared" si="17"/>
        <v>50</v>
      </c>
      <c r="D72" s="38">
        <f t="shared" si="15"/>
        <v>25</v>
      </c>
      <c r="E72" s="38">
        <f t="shared" si="13"/>
        <v>12</v>
      </c>
      <c r="F72" s="38">
        <f t="shared" si="12"/>
        <v>710</v>
      </c>
      <c r="G72" s="74">
        <f t="shared" ref="G72:G103" si="26">SUMPRODUCT($C$6:$F$6,C72:F72)</f>
        <v>857</v>
      </c>
      <c r="H72" s="70">
        <v>12300</v>
      </c>
      <c r="I72" s="38"/>
      <c r="J72" s="70">
        <v>24400</v>
      </c>
      <c r="K72" s="38">
        <v>6</v>
      </c>
      <c r="L72" s="77"/>
      <c r="M72" s="70">
        <v>252</v>
      </c>
      <c r="N72" s="38">
        <v>126</v>
      </c>
      <c r="O72" s="38">
        <v>60</v>
      </c>
      <c r="P72" s="68">
        <v>200</v>
      </c>
      <c r="Q72" s="38">
        <f t="shared" ref="Q72:Q103" si="27">P72</f>
        <v>200</v>
      </c>
      <c r="R72" s="38">
        <f t="shared" si="4"/>
        <v>36700</v>
      </c>
      <c r="S72" s="38">
        <f t="shared" si="5"/>
        <v>252</v>
      </c>
      <c r="T72" s="38">
        <f t="shared" si="6"/>
        <v>126</v>
      </c>
      <c r="U72" s="38">
        <f t="shared" si="7"/>
        <v>60</v>
      </c>
      <c r="V72" s="38">
        <f t="shared" ref="V72:V103" si="28">K72</f>
        <v>6</v>
      </c>
      <c r="W72" s="38">
        <f t="shared" si="8"/>
        <v>11158</v>
      </c>
      <c r="X72" s="38">
        <f>SUM(Q$8:Q72)</f>
        <v>11500</v>
      </c>
      <c r="Y72" s="38">
        <f>SUM(R$8:R72)</f>
        <v>1147500</v>
      </c>
      <c r="Z72" s="38">
        <f>SUM(S$8:S72)</f>
        <v>8126</v>
      </c>
      <c r="AA72" s="38">
        <f>SUM(T$8:T72)</f>
        <v>4064</v>
      </c>
      <c r="AB72" s="38">
        <f>SUM(U$8:U72)</f>
        <v>1833</v>
      </c>
      <c r="AC72" s="38">
        <f>SUM(V$8:V72)</f>
        <v>390</v>
      </c>
      <c r="AD72" s="38">
        <f t="shared" si="25"/>
        <v>354271</v>
      </c>
    </row>
    <row r="73" spans="1:34" x14ac:dyDescent="0.25">
      <c r="A73" s="86" t="s">
        <v>253</v>
      </c>
      <c r="B73" s="14">
        <v>66</v>
      </c>
      <c r="C73" s="14">
        <f t="shared" si="17"/>
        <v>51</v>
      </c>
      <c r="D73" s="38">
        <f t="shared" si="15"/>
        <v>25</v>
      </c>
      <c r="E73" s="38">
        <f t="shared" si="13"/>
        <v>12</v>
      </c>
      <c r="F73" s="38">
        <f t="shared" si="12"/>
        <v>710</v>
      </c>
      <c r="G73" s="74">
        <f t="shared" si="26"/>
        <v>858</v>
      </c>
      <c r="H73" s="70">
        <v>12500</v>
      </c>
      <c r="I73" s="38"/>
      <c r="J73" s="70">
        <v>24800</v>
      </c>
      <c r="K73" s="38">
        <v>6</v>
      </c>
      <c r="L73" s="77"/>
      <c r="M73" s="70">
        <v>256</v>
      </c>
      <c r="N73" s="38">
        <v>128</v>
      </c>
      <c r="O73" s="38">
        <v>61</v>
      </c>
      <c r="P73" s="68">
        <v>200</v>
      </c>
      <c r="Q73" s="38">
        <f t="shared" si="27"/>
        <v>200</v>
      </c>
      <c r="R73" s="38">
        <f t="shared" ref="R73:R136" si="29">H73+J73</f>
        <v>37300</v>
      </c>
      <c r="S73" s="38">
        <f t="shared" ref="S73:S136" si="30">M73</f>
        <v>256</v>
      </c>
      <c r="T73" s="38">
        <f t="shared" ref="T73:T136" si="31">N73</f>
        <v>128</v>
      </c>
      <c r="U73" s="38">
        <f t="shared" ref="U73:U136" si="32">O73</f>
        <v>61</v>
      </c>
      <c r="V73" s="38">
        <f t="shared" si="28"/>
        <v>6</v>
      </c>
      <c r="W73" s="38">
        <f t="shared" ref="W73:W136" si="33">SUMPRODUCT($Q$6:$V$6,Q73:V73)</f>
        <v>11337</v>
      </c>
      <c r="X73" s="38">
        <f>SUM(Q$8:Q73)</f>
        <v>11700</v>
      </c>
      <c r="Y73" s="38">
        <f>SUM(R$8:R73)</f>
        <v>1184800</v>
      </c>
      <c r="Z73" s="38">
        <f>SUM(S$8:S73)</f>
        <v>8382</v>
      </c>
      <c r="AA73" s="38">
        <f>SUM(T$8:T73)</f>
        <v>4192</v>
      </c>
      <c r="AB73" s="38">
        <f>SUM(U$8:U73)</f>
        <v>1894</v>
      </c>
      <c r="AC73" s="38">
        <f>SUM(V$8:V73)</f>
        <v>396</v>
      </c>
      <c r="AD73" s="38">
        <f t="shared" si="25"/>
        <v>365608</v>
      </c>
    </row>
    <row r="74" spans="1:34" x14ac:dyDescent="0.25">
      <c r="A74" s="86" t="s">
        <v>253</v>
      </c>
      <c r="B74" s="14">
        <v>67</v>
      </c>
      <c r="C74" s="14">
        <f t="shared" si="17"/>
        <v>52</v>
      </c>
      <c r="D74" s="38">
        <f t="shared" si="15"/>
        <v>26</v>
      </c>
      <c r="E74" s="38">
        <f t="shared" si="13"/>
        <v>12</v>
      </c>
      <c r="F74" s="38">
        <f t="shared" si="12"/>
        <v>730</v>
      </c>
      <c r="G74" s="74">
        <f t="shared" si="26"/>
        <v>868</v>
      </c>
      <c r="H74" s="70">
        <v>12700</v>
      </c>
      <c r="I74" s="38"/>
      <c r="J74" s="70">
        <v>25200</v>
      </c>
      <c r="K74" s="38">
        <v>6</v>
      </c>
      <c r="L74" s="77"/>
      <c r="M74" s="70">
        <v>260</v>
      </c>
      <c r="N74" s="38">
        <v>130</v>
      </c>
      <c r="O74" s="38">
        <v>62</v>
      </c>
      <c r="P74" s="68">
        <v>200</v>
      </c>
      <c r="Q74" s="38">
        <f t="shared" si="27"/>
        <v>200</v>
      </c>
      <c r="R74" s="38">
        <f t="shared" si="29"/>
        <v>37900</v>
      </c>
      <c r="S74" s="38">
        <f t="shared" si="30"/>
        <v>260</v>
      </c>
      <c r="T74" s="38">
        <f t="shared" si="31"/>
        <v>130</v>
      </c>
      <c r="U74" s="38">
        <f t="shared" si="32"/>
        <v>62</v>
      </c>
      <c r="V74" s="38">
        <f t="shared" si="28"/>
        <v>6</v>
      </c>
      <c r="W74" s="38">
        <f t="shared" si="33"/>
        <v>11516</v>
      </c>
      <c r="X74" s="38">
        <f>SUM(Q$8:Q74)</f>
        <v>11900</v>
      </c>
      <c r="Y74" s="38">
        <f>SUM(R$8:R74)</f>
        <v>1222700</v>
      </c>
      <c r="Z74" s="38">
        <f>SUM(S$8:S74)</f>
        <v>8642</v>
      </c>
      <c r="AA74" s="38">
        <f>SUM(T$8:T74)</f>
        <v>4322</v>
      </c>
      <c r="AB74" s="38">
        <f>SUM(U$8:U74)</f>
        <v>1956</v>
      </c>
      <c r="AC74" s="38">
        <f>SUM(V$8:V74)</f>
        <v>402</v>
      </c>
      <c r="AD74" s="38">
        <f t="shared" si="25"/>
        <v>377124</v>
      </c>
    </row>
    <row r="75" spans="1:34" x14ac:dyDescent="0.25">
      <c r="A75" s="86" t="s">
        <v>253</v>
      </c>
      <c r="B75" s="14">
        <v>68</v>
      </c>
      <c r="C75" s="14">
        <f t="shared" si="17"/>
        <v>53</v>
      </c>
      <c r="D75" s="38">
        <f t="shared" si="15"/>
        <v>26</v>
      </c>
      <c r="E75" s="38">
        <f t="shared" si="13"/>
        <v>13</v>
      </c>
      <c r="F75" s="38">
        <f t="shared" si="12"/>
        <v>730</v>
      </c>
      <c r="G75" s="74">
        <f t="shared" si="26"/>
        <v>914</v>
      </c>
      <c r="H75" s="70">
        <v>12900</v>
      </c>
      <c r="I75" s="38"/>
      <c r="J75" s="70">
        <v>25600</v>
      </c>
      <c r="K75" s="38">
        <v>6</v>
      </c>
      <c r="L75" s="77"/>
      <c r="M75" s="70">
        <v>264</v>
      </c>
      <c r="N75" s="38">
        <v>132</v>
      </c>
      <c r="O75" s="38">
        <v>63</v>
      </c>
      <c r="P75" s="68">
        <v>200</v>
      </c>
      <c r="Q75" s="38">
        <f t="shared" si="27"/>
        <v>200</v>
      </c>
      <c r="R75" s="38">
        <f t="shared" si="29"/>
        <v>38500</v>
      </c>
      <c r="S75" s="38">
        <f t="shared" si="30"/>
        <v>264</v>
      </c>
      <c r="T75" s="38">
        <f t="shared" si="31"/>
        <v>132</v>
      </c>
      <c r="U75" s="38">
        <f t="shared" si="32"/>
        <v>63</v>
      </c>
      <c r="V75" s="38">
        <f t="shared" si="28"/>
        <v>6</v>
      </c>
      <c r="W75" s="38">
        <f t="shared" si="33"/>
        <v>11695</v>
      </c>
      <c r="X75" s="38">
        <f>SUM(Q$8:Q75)</f>
        <v>12100</v>
      </c>
      <c r="Y75" s="38">
        <f>SUM(R$8:R75)</f>
        <v>1261200</v>
      </c>
      <c r="Z75" s="38">
        <f>SUM(S$8:S75)</f>
        <v>8906</v>
      </c>
      <c r="AA75" s="38">
        <f>SUM(T$8:T75)</f>
        <v>4454</v>
      </c>
      <c r="AB75" s="38">
        <f>SUM(U$8:U75)</f>
        <v>2019</v>
      </c>
      <c r="AC75" s="38">
        <f>SUM(V$8:V75)</f>
        <v>408</v>
      </c>
      <c r="AD75" s="38">
        <f t="shared" si="25"/>
        <v>388819</v>
      </c>
    </row>
    <row r="76" spans="1:34" x14ac:dyDescent="0.25">
      <c r="A76" s="86" t="s">
        <v>253</v>
      </c>
      <c r="B76" s="14">
        <v>69</v>
      </c>
      <c r="C76" s="14">
        <f t="shared" si="17"/>
        <v>54</v>
      </c>
      <c r="D76" s="38">
        <f t="shared" si="15"/>
        <v>27</v>
      </c>
      <c r="E76" s="38">
        <f t="shared" si="13"/>
        <v>13</v>
      </c>
      <c r="F76" s="38">
        <f t="shared" si="12"/>
        <v>750</v>
      </c>
      <c r="G76" s="74">
        <f t="shared" si="26"/>
        <v>924</v>
      </c>
      <c r="H76" s="70">
        <v>13100</v>
      </c>
      <c r="I76" s="38"/>
      <c r="J76" s="70">
        <v>26000</v>
      </c>
      <c r="K76" s="38">
        <v>6</v>
      </c>
      <c r="L76" s="77"/>
      <c r="M76" s="70">
        <v>268</v>
      </c>
      <c r="N76" s="38">
        <v>134</v>
      </c>
      <c r="O76" s="38">
        <v>64</v>
      </c>
      <c r="P76" s="68">
        <v>200</v>
      </c>
      <c r="Q76" s="38">
        <f t="shared" si="27"/>
        <v>200</v>
      </c>
      <c r="R76" s="38">
        <f t="shared" si="29"/>
        <v>39100</v>
      </c>
      <c r="S76" s="38">
        <f t="shared" si="30"/>
        <v>268</v>
      </c>
      <c r="T76" s="38">
        <f t="shared" si="31"/>
        <v>134</v>
      </c>
      <c r="U76" s="38">
        <f t="shared" si="32"/>
        <v>64</v>
      </c>
      <c r="V76" s="38">
        <f t="shared" si="28"/>
        <v>6</v>
      </c>
      <c r="W76" s="38">
        <f t="shared" si="33"/>
        <v>11874</v>
      </c>
      <c r="X76" s="38">
        <f>SUM(Q$8:Q76)</f>
        <v>12300</v>
      </c>
      <c r="Y76" s="38">
        <f>SUM(R$8:R76)</f>
        <v>1300300</v>
      </c>
      <c r="Z76" s="38">
        <f>SUM(S$8:S76)</f>
        <v>9174</v>
      </c>
      <c r="AA76" s="38">
        <f>SUM(T$8:T76)</f>
        <v>4588</v>
      </c>
      <c r="AB76" s="38">
        <f>SUM(U$8:U76)</f>
        <v>2083</v>
      </c>
      <c r="AC76" s="38">
        <f>SUM(V$8:V76)</f>
        <v>414</v>
      </c>
      <c r="AD76" s="38">
        <f t="shared" ref="AD76:AD77" si="34">SUMPRODUCT($X$6:$AC$6,X76:AC76)</f>
        <v>400693</v>
      </c>
    </row>
    <row r="77" spans="1:34" x14ac:dyDescent="0.25">
      <c r="A77" s="86" t="s">
        <v>253</v>
      </c>
      <c r="B77" s="14">
        <v>70</v>
      </c>
      <c r="C77" s="14">
        <f t="shared" si="17"/>
        <v>54</v>
      </c>
      <c r="D77" s="38">
        <f t="shared" si="15"/>
        <v>27</v>
      </c>
      <c r="E77" s="38">
        <f t="shared" si="13"/>
        <v>13</v>
      </c>
      <c r="F77" s="38">
        <f t="shared" si="12"/>
        <v>750</v>
      </c>
      <c r="G77" s="74">
        <f t="shared" si="26"/>
        <v>924</v>
      </c>
      <c r="H77" s="70">
        <v>13300</v>
      </c>
      <c r="I77" s="38"/>
      <c r="J77" s="70">
        <v>26400</v>
      </c>
      <c r="K77" s="38">
        <v>6</v>
      </c>
      <c r="L77" s="77"/>
      <c r="M77" s="70">
        <v>272</v>
      </c>
      <c r="N77" s="38">
        <v>136</v>
      </c>
      <c r="O77" s="38">
        <v>65</v>
      </c>
      <c r="P77" s="68">
        <v>200</v>
      </c>
      <c r="Q77" s="38">
        <f t="shared" si="27"/>
        <v>200</v>
      </c>
      <c r="R77" s="38">
        <f t="shared" si="29"/>
        <v>39700</v>
      </c>
      <c r="S77" s="38">
        <f t="shared" si="30"/>
        <v>272</v>
      </c>
      <c r="T77" s="38">
        <f t="shared" si="31"/>
        <v>136</v>
      </c>
      <c r="U77" s="38">
        <f t="shared" si="32"/>
        <v>65</v>
      </c>
      <c r="V77" s="38">
        <f t="shared" si="28"/>
        <v>6</v>
      </c>
      <c r="W77" s="38">
        <f t="shared" si="33"/>
        <v>12053</v>
      </c>
      <c r="X77" s="38">
        <f>SUM(Q$8:Q77)</f>
        <v>12500</v>
      </c>
      <c r="Y77" s="38">
        <f>SUM(R$8:R77)</f>
        <v>1340000</v>
      </c>
      <c r="Z77" s="38">
        <f>SUM(S$8:S77)</f>
        <v>9446</v>
      </c>
      <c r="AA77" s="38">
        <f>SUM(T$8:T77)</f>
        <v>4724</v>
      </c>
      <c r="AB77" s="38">
        <f>SUM(U$8:U77)</f>
        <v>2148</v>
      </c>
      <c r="AC77" s="38">
        <f>SUM(V$8:V77)</f>
        <v>420</v>
      </c>
      <c r="AD77" s="38">
        <f t="shared" si="34"/>
        <v>412746</v>
      </c>
      <c r="AF77" s="38"/>
      <c r="AG77" s="38"/>
      <c r="AH77" s="38"/>
    </row>
    <row r="78" spans="1:34" x14ac:dyDescent="0.25">
      <c r="A78" s="86" t="s">
        <v>253</v>
      </c>
      <c r="B78" s="14">
        <v>71</v>
      </c>
      <c r="C78" s="14">
        <f t="shared" si="17"/>
        <v>55</v>
      </c>
      <c r="D78" s="38">
        <f t="shared" si="15"/>
        <v>27</v>
      </c>
      <c r="E78" s="38">
        <f t="shared" si="13"/>
        <v>13</v>
      </c>
      <c r="F78" s="38">
        <f t="shared" si="12"/>
        <v>770</v>
      </c>
      <c r="G78" s="74">
        <f t="shared" si="26"/>
        <v>929</v>
      </c>
      <c r="H78" s="70">
        <v>13500</v>
      </c>
      <c r="I78" s="38"/>
      <c r="J78" s="70">
        <v>26800</v>
      </c>
      <c r="K78" s="38">
        <v>6</v>
      </c>
      <c r="L78" s="77"/>
      <c r="M78" s="70">
        <v>276</v>
      </c>
      <c r="N78" s="38">
        <v>138</v>
      </c>
      <c r="O78" s="38">
        <v>66</v>
      </c>
      <c r="P78" s="68">
        <v>200</v>
      </c>
      <c r="Q78" s="38">
        <f t="shared" si="27"/>
        <v>200</v>
      </c>
      <c r="R78" s="38">
        <f t="shared" si="29"/>
        <v>40300</v>
      </c>
      <c r="S78" s="38">
        <f t="shared" si="30"/>
        <v>276</v>
      </c>
      <c r="T78" s="38">
        <f t="shared" si="31"/>
        <v>138</v>
      </c>
      <c r="U78" s="38">
        <f t="shared" si="32"/>
        <v>66</v>
      </c>
      <c r="V78" s="38">
        <f t="shared" si="28"/>
        <v>6</v>
      </c>
      <c r="W78" s="38">
        <f t="shared" si="33"/>
        <v>12232</v>
      </c>
      <c r="X78" s="38">
        <f>SUM(Q$8:Q78)</f>
        <v>12700</v>
      </c>
      <c r="Y78" s="38">
        <f>SUM(R$8:R78)</f>
        <v>1380300</v>
      </c>
      <c r="Z78" s="38">
        <f>SUM(S$8:S78)</f>
        <v>9722</v>
      </c>
      <c r="AA78" s="38">
        <f>SUM(T$8:T78)</f>
        <v>4862</v>
      </c>
      <c r="AB78" s="38">
        <f>SUM(U$8:U78)</f>
        <v>2214</v>
      </c>
      <c r="AC78" s="38">
        <f>SUM(V$8:V78)</f>
        <v>426</v>
      </c>
      <c r="AD78" s="38">
        <f t="shared" ref="AD78:AD94" si="35">SUMPRODUCT($X$6:$AC$6,X78:AC78)</f>
        <v>424978</v>
      </c>
      <c r="AF78" s="38"/>
      <c r="AG78" s="38"/>
      <c r="AH78" s="38"/>
    </row>
    <row r="79" spans="1:34" x14ac:dyDescent="0.25">
      <c r="A79" s="86" t="s">
        <v>253</v>
      </c>
      <c r="B79" s="14">
        <v>72</v>
      </c>
      <c r="C79" s="14">
        <f t="shared" si="17"/>
        <v>56</v>
      </c>
      <c r="D79" s="38">
        <f t="shared" si="15"/>
        <v>28</v>
      </c>
      <c r="E79" s="38">
        <f t="shared" si="13"/>
        <v>13</v>
      </c>
      <c r="F79" s="38">
        <f t="shared" si="12"/>
        <v>770</v>
      </c>
      <c r="G79" s="74">
        <f t="shared" si="26"/>
        <v>935</v>
      </c>
      <c r="H79" s="70">
        <v>13700</v>
      </c>
      <c r="I79" s="38"/>
      <c r="J79" s="70">
        <v>27200</v>
      </c>
      <c r="K79" s="38">
        <v>6</v>
      </c>
      <c r="L79" s="77"/>
      <c r="M79" s="70">
        <v>280</v>
      </c>
      <c r="N79" s="38">
        <v>140</v>
      </c>
      <c r="O79" s="38">
        <v>67</v>
      </c>
      <c r="P79" s="68">
        <v>200</v>
      </c>
      <c r="Q79" s="38">
        <f t="shared" si="27"/>
        <v>200</v>
      </c>
      <c r="R79" s="38">
        <f t="shared" si="29"/>
        <v>40900</v>
      </c>
      <c r="S79" s="38">
        <f t="shared" si="30"/>
        <v>280</v>
      </c>
      <c r="T79" s="38">
        <f t="shared" si="31"/>
        <v>140</v>
      </c>
      <c r="U79" s="38">
        <f t="shared" si="32"/>
        <v>67</v>
      </c>
      <c r="V79" s="38">
        <f t="shared" si="28"/>
        <v>6</v>
      </c>
      <c r="W79" s="38">
        <f t="shared" si="33"/>
        <v>12411</v>
      </c>
      <c r="X79" s="38">
        <f>SUM(Q$8:Q79)</f>
        <v>12900</v>
      </c>
      <c r="Y79" s="38">
        <f>SUM(R$8:R79)</f>
        <v>1421200</v>
      </c>
      <c r="Z79" s="38">
        <f>SUM(S$8:S79)</f>
        <v>10002</v>
      </c>
      <c r="AA79" s="38">
        <f>SUM(T$8:T79)</f>
        <v>5002</v>
      </c>
      <c r="AB79" s="38">
        <f>SUM(U$8:U79)</f>
        <v>2281</v>
      </c>
      <c r="AC79" s="38">
        <f>SUM(V$8:V79)</f>
        <v>432</v>
      </c>
      <c r="AD79" s="38">
        <f t="shared" si="35"/>
        <v>437389</v>
      </c>
      <c r="AF79" s="38"/>
      <c r="AG79" s="38"/>
      <c r="AH79" s="38"/>
    </row>
    <row r="80" spans="1:34" x14ac:dyDescent="0.25">
      <c r="A80" s="86" t="s">
        <v>253</v>
      </c>
      <c r="B80" s="14">
        <v>73</v>
      </c>
      <c r="C80" s="14">
        <f t="shared" si="17"/>
        <v>57</v>
      </c>
      <c r="D80" s="38">
        <f t="shared" si="15"/>
        <v>28</v>
      </c>
      <c r="E80" s="38">
        <f t="shared" si="13"/>
        <v>14</v>
      </c>
      <c r="F80" s="38">
        <f t="shared" si="12"/>
        <v>790</v>
      </c>
      <c r="G80" s="74">
        <f t="shared" si="26"/>
        <v>985</v>
      </c>
      <c r="H80" s="70">
        <v>13900</v>
      </c>
      <c r="I80" s="38"/>
      <c r="J80" s="70">
        <v>27600</v>
      </c>
      <c r="K80" s="38">
        <v>6</v>
      </c>
      <c r="L80" s="77"/>
      <c r="M80" s="70">
        <v>284</v>
      </c>
      <c r="N80" s="38">
        <v>142</v>
      </c>
      <c r="O80" s="38">
        <v>68</v>
      </c>
      <c r="P80" s="68">
        <v>200</v>
      </c>
      <c r="Q80" s="38">
        <f t="shared" si="27"/>
        <v>200</v>
      </c>
      <c r="R80" s="38">
        <f t="shared" si="29"/>
        <v>41500</v>
      </c>
      <c r="S80" s="38">
        <f t="shared" si="30"/>
        <v>284</v>
      </c>
      <c r="T80" s="38">
        <f t="shared" si="31"/>
        <v>142</v>
      </c>
      <c r="U80" s="38">
        <f t="shared" si="32"/>
        <v>68</v>
      </c>
      <c r="V80" s="38">
        <f t="shared" si="28"/>
        <v>6</v>
      </c>
      <c r="W80" s="38">
        <f t="shared" si="33"/>
        <v>12590</v>
      </c>
      <c r="X80" s="38">
        <f>SUM(Q$8:Q80)</f>
        <v>13100</v>
      </c>
      <c r="Y80" s="38">
        <f>SUM(R$8:R80)</f>
        <v>1462700</v>
      </c>
      <c r="Z80" s="38">
        <f>SUM(S$8:S80)</f>
        <v>10286</v>
      </c>
      <c r="AA80" s="38">
        <f>SUM(T$8:T80)</f>
        <v>5144</v>
      </c>
      <c r="AB80" s="38">
        <f>SUM(U$8:U80)</f>
        <v>2349</v>
      </c>
      <c r="AC80" s="38">
        <f>SUM(V$8:V80)</f>
        <v>438</v>
      </c>
      <c r="AD80" s="38">
        <f t="shared" si="35"/>
        <v>449979</v>
      </c>
      <c r="AF80" s="38"/>
      <c r="AG80" s="38"/>
      <c r="AH80" s="38"/>
    </row>
    <row r="81" spans="1:34" x14ac:dyDescent="0.25">
      <c r="A81" s="86" t="s">
        <v>253</v>
      </c>
      <c r="B81" s="14">
        <v>74</v>
      </c>
      <c r="C81" s="14">
        <f t="shared" si="17"/>
        <v>58</v>
      </c>
      <c r="D81" s="38">
        <f t="shared" si="15"/>
        <v>29</v>
      </c>
      <c r="E81" s="38">
        <f t="shared" si="13"/>
        <v>14</v>
      </c>
      <c r="F81" s="38">
        <f t="shared" ref="F81:F144" si="36">F79+20</f>
        <v>790</v>
      </c>
      <c r="G81" s="74">
        <f t="shared" si="26"/>
        <v>991</v>
      </c>
      <c r="H81" s="70">
        <v>14100</v>
      </c>
      <c r="I81" s="38"/>
      <c r="J81" s="70">
        <v>28000</v>
      </c>
      <c r="K81" s="38">
        <v>6</v>
      </c>
      <c r="L81" s="77"/>
      <c r="M81" s="70">
        <v>288</v>
      </c>
      <c r="N81" s="38">
        <v>144</v>
      </c>
      <c r="O81" s="38">
        <v>69</v>
      </c>
      <c r="P81" s="68">
        <v>200</v>
      </c>
      <c r="Q81" s="38">
        <f t="shared" si="27"/>
        <v>200</v>
      </c>
      <c r="R81" s="38">
        <f t="shared" si="29"/>
        <v>42100</v>
      </c>
      <c r="S81" s="38">
        <f t="shared" si="30"/>
        <v>288</v>
      </c>
      <c r="T81" s="38">
        <f t="shared" si="31"/>
        <v>144</v>
      </c>
      <c r="U81" s="38">
        <f t="shared" si="32"/>
        <v>69</v>
      </c>
      <c r="V81" s="38">
        <f t="shared" si="28"/>
        <v>6</v>
      </c>
      <c r="W81" s="38">
        <f t="shared" si="33"/>
        <v>12769</v>
      </c>
      <c r="X81" s="38">
        <f>SUM(Q$8:Q81)</f>
        <v>13300</v>
      </c>
      <c r="Y81" s="38">
        <f>SUM(R$8:R81)</f>
        <v>1504800</v>
      </c>
      <c r="Z81" s="38">
        <f>SUM(S$8:S81)</f>
        <v>10574</v>
      </c>
      <c r="AA81" s="38">
        <f>SUM(T$8:T81)</f>
        <v>5288</v>
      </c>
      <c r="AB81" s="38">
        <f>SUM(U$8:U81)</f>
        <v>2418</v>
      </c>
      <c r="AC81" s="38">
        <f>SUM(V$8:V81)</f>
        <v>444</v>
      </c>
      <c r="AD81" s="38">
        <f t="shared" si="35"/>
        <v>462748</v>
      </c>
      <c r="AF81" s="38"/>
      <c r="AG81" s="38"/>
      <c r="AH81" s="38"/>
    </row>
    <row r="82" spans="1:34" x14ac:dyDescent="0.25">
      <c r="A82" s="86" t="s">
        <v>253</v>
      </c>
      <c r="B82" s="14">
        <v>75</v>
      </c>
      <c r="C82" s="14">
        <f t="shared" si="17"/>
        <v>58</v>
      </c>
      <c r="D82" s="38">
        <f t="shared" si="15"/>
        <v>29</v>
      </c>
      <c r="E82" s="38">
        <f t="shared" si="13"/>
        <v>14</v>
      </c>
      <c r="F82" s="38">
        <f t="shared" si="36"/>
        <v>810</v>
      </c>
      <c r="G82" s="74">
        <f t="shared" si="26"/>
        <v>995</v>
      </c>
      <c r="H82" s="70">
        <v>14300</v>
      </c>
      <c r="I82" s="38"/>
      <c r="J82" s="70">
        <v>28400</v>
      </c>
      <c r="K82" s="38">
        <v>6</v>
      </c>
      <c r="L82" s="77"/>
      <c r="M82" s="70">
        <v>292</v>
      </c>
      <c r="N82" s="38">
        <v>146</v>
      </c>
      <c r="O82" s="38">
        <v>70</v>
      </c>
      <c r="P82" s="68">
        <v>200</v>
      </c>
      <c r="Q82" s="38">
        <f t="shared" si="27"/>
        <v>200</v>
      </c>
      <c r="R82" s="38">
        <f t="shared" si="29"/>
        <v>42700</v>
      </c>
      <c r="S82" s="38">
        <f t="shared" si="30"/>
        <v>292</v>
      </c>
      <c r="T82" s="38">
        <f t="shared" si="31"/>
        <v>146</v>
      </c>
      <c r="U82" s="38">
        <f t="shared" si="32"/>
        <v>70</v>
      </c>
      <c r="V82" s="38">
        <f t="shared" si="28"/>
        <v>6</v>
      </c>
      <c r="W82" s="38">
        <f t="shared" si="33"/>
        <v>12948</v>
      </c>
      <c r="X82" s="38">
        <f>SUM(Q$8:Q82)</f>
        <v>13500</v>
      </c>
      <c r="Y82" s="38">
        <f>SUM(R$8:R82)</f>
        <v>1547500</v>
      </c>
      <c r="Z82" s="38">
        <f>SUM(S$8:S82)</f>
        <v>10866</v>
      </c>
      <c r="AA82" s="38">
        <f>SUM(T$8:T82)</f>
        <v>5434</v>
      </c>
      <c r="AB82" s="38">
        <f>SUM(U$8:U82)</f>
        <v>2488</v>
      </c>
      <c r="AC82" s="38">
        <f>SUM(V$8:V82)</f>
        <v>450</v>
      </c>
      <c r="AD82" s="38">
        <f t="shared" si="35"/>
        <v>475696</v>
      </c>
      <c r="AF82" s="38"/>
      <c r="AG82" s="38"/>
      <c r="AH82" s="38"/>
    </row>
    <row r="83" spans="1:34" x14ac:dyDescent="0.25">
      <c r="A83" s="86" t="s">
        <v>253</v>
      </c>
      <c r="B83" s="14">
        <v>76</v>
      </c>
      <c r="C83" s="14">
        <f t="shared" si="17"/>
        <v>59</v>
      </c>
      <c r="D83" s="38">
        <f t="shared" si="15"/>
        <v>29</v>
      </c>
      <c r="E83" s="38">
        <f t="shared" si="13"/>
        <v>14</v>
      </c>
      <c r="F83" s="38">
        <f t="shared" si="36"/>
        <v>810</v>
      </c>
      <c r="G83" s="74">
        <f t="shared" si="26"/>
        <v>996</v>
      </c>
      <c r="H83" s="70">
        <v>14500</v>
      </c>
      <c r="I83" s="38"/>
      <c r="J83" s="70">
        <v>28800</v>
      </c>
      <c r="K83" s="38">
        <v>6</v>
      </c>
      <c r="L83" s="77"/>
      <c r="M83" s="70">
        <v>296</v>
      </c>
      <c r="N83" s="38">
        <v>148</v>
      </c>
      <c r="O83" s="38">
        <v>71</v>
      </c>
      <c r="P83" s="68">
        <v>200</v>
      </c>
      <c r="Q83" s="38">
        <f t="shared" si="27"/>
        <v>200</v>
      </c>
      <c r="R83" s="38">
        <f t="shared" si="29"/>
        <v>43300</v>
      </c>
      <c r="S83" s="38">
        <f t="shared" si="30"/>
        <v>296</v>
      </c>
      <c r="T83" s="38">
        <f t="shared" si="31"/>
        <v>148</v>
      </c>
      <c r="U83" s="38">
        <f t="shared" si="32"/>
        <v>71</v>
      </c>
      <c r="V83" s="38">
        <f t="shared" si="28"/>
        <v>6</v>
      </c>
      <c r="W83" s="38">
        <f t="shared" si="33"/>
        <v>13127</v>
      </c>
      <c r="X83" s="38">
        <f>SUM(Q$8:Q83)</f>
        <v>13700</v>
      </c>
      <c r="Y83" s="38">
        <f>SUM(R$8:R83)</f>
        <v>1590800</v>
      </c>
      <c r="Z83" s="38">
        <f>SUM(S$8:S83)</f>
        <v>11162</v>
      </c>
      <c r="AA83" s="38">
        <f>SUM(T$8:T83)</f>
        <v>5582</v>
      </c>
      <c r="AB83" s="38">
        <f>SUM(U$8:U83)</f>
        <v>2559</v>
      </c>
      <c r="AC83" s="38">
        <f>SUM(V$8:V83)</f>
        <v>456</v>
      </c>
      <c r="AD83" s="38">
        <f t="shared" si="35"/>
        <v>488823</v>
      </c>
      <c r="AF83" s="38"/>
      <c r="AG83" s="38"/>
      <c r="AH83" s="38"/>
    </row>
    <row r="84" spans="1:34" x14ac:dyDescent="0.25">
      <c r="A84" s="86" t="s">
        <v>253</v>
      </c>
      <c r="B84" s="14">
        <v>77</v>
      </c>
      <c r="C84" s="14">
        <f t="shared" si="17"/>
        <v>60</v>
      </c>
      <c r="D84" s="38">
        <f t="shared" si="15"/>
        <v>30</v>
      </c>
      <c r="E84" s="38">
        <f t="shared" si="13"/>
        <v>14</v>
      </c>
      <c r="F84" s="38">
        <f t="shared" si="36"/>
        <v>830</v>
      </c>
      <c r="G84" s="74">
        <f t="shared" si="26"/>
        <v>1006</v>
      </c>
      <c r="H84" s="70">
        <v>14700</v>
      </c>
      <c r="I84" s="38"/>
      <c r="J84" s="70">
        <v>29200</v>
      </c>
      <c r="K84" s="38">
        <v>6</v>
      </c>
      <c r="L84" s="77"/>
      <c r="M84" s="70">
        <v>300</v>
      </c>
      <c r="N84" s="38">
        <v>150</v>
      </c>
      <c r="O84" s="38">
        <v>72</v>
      </c>
      <c r="P84" s="68">
        <v>200</v>
      </c>
      <c r="Q84" s="38">
        <f t="shared" si="27"/>
        <v>200</v>
      </c>
      <c r="R84" s="38">
        <f t="shared" si="29"/>
        <v>43900</v>
      </c>
      <c r="S84" s="38">
        <f t="shared" si="30"/>
        <v>300</v>
      </c>
      <c r="T84" s="38">
        <f t="shared" si="31"/>
        <v>150</v>
      </c>
      <c r="U84" s="38">
        <f t="shared" si="32"/>
        <v>72</v>
      </c>
      <c r="V84" s="38">
        <f t="shared" si="28"/>
        <v>6</v>
      </c>
      <c r="W84" s="38">
        <f t="shared" si="33"/>
        <v>13306</v>
      </c>
      <c r="X84" s="38">
        <f>SUM(Q$8:Q84)</f>
        <v>13900</v>
      </c>
      <c r="Y84" s="38">
        <f>SUM(R$8:R84)</f>
        <v>1634700</v>
      </c>
      <c r="Z84" s="38">
        <f>SUM(S$8:S84)</f>
        <v>11462</v>
      </c>
      <c r="AA84" s="38">
        <f>SUM(T$8:T84)</f>
        <v>5732</v>
      </c>
      <c r="AB84" s="38">
        <f>SUM(U$8:U84)</f>
        <v>2631</v>
      </c>
      <c r="AC84" s="38">
        <f>SUM(V$8:V84)</f>
        <v>462</v>
      </c>
      <c r="AD84" s="38">
        <f t="shared" si="35"/>
        <v>502129</v>
      </c>
    </row>
    <row r="85" spans="1:34" x14ac:dyDescent="0.25">
      <c r="A85" s="86" t="s">
        <v>253</v>
      </c>
      <c r="B85" s="14">
        <v>78</v>
      </c>
      <c r="C85" s="14">
        <f t="shared" si="17"/>
        <v>61</v>
      </c>
      <c r="D85" s="38">
        <f t="shared" si="15"/>
        <v>30</v>
      </c>
      <c r="E85" s="38">
        <f t="shared" si="13"/>
        <v>15</v>
      </c>
      <c r="F85" s="38">
        <f t="shared" si="36"/>
        <v>830</v>
      </c>
      <c r="G85" s="74">
        <f t="shared" si="26"/>
        <v>1052</v>
      </c>
      <c r="H85" s="70">
        <v>14900</v>
      </c>
      <c r="I85" s="38"/>
      <c r="J85" s="70">
        <v>29600</v>
      </c>
      <c r="K85" s="38">
        <v>6</v>
      </c>
      <c r="L85" s="77"/>
      <c r="M85" s="70">
        <v>304</v>
      </c>
      <c r="N85" s="38">
        <v>152</v>
      </c>
      <c r="O85" s="38">
        <v>73</v>
      </c>
      <c r="P85" s="68">
        <v>200</v>
      </c>
      <c r="Q85" s="38">
        <f t="shared" si="27"/>
        <v>200</v>
      </c>
      <c r="R85" s="38">
        <f t="shared" si="29"/>
        <v>44500</v>
      </c>
      <c r="S85" s="38">
        <f t="shared" si="30"/>
        <v>304</v>
      </c>
      <c r="T85" s="38">
        <f t="shared" si="31"/>
        <v>152</v>
      </c>
      <c r="U85" s="38">
        <f t="shared" si="32"/>
        <v>73</v>
      </c>
      <c r="V85" s="38">
        <f t="shared" si="28"/>
        <v>6</v>
      </c>
      <c r="W85" s="38">
        <f t="shared" si="33"/>
        <v>13485</v>
      </c>
      <c r="X85" s="38">
        <f>SUM(Q$8:Q85)</f>
        <v>14100</v>
      </c>
      <c r="Y85" s="38">
        <f>SUM(R$8:R85)</f>
        <v>1679200</v>
      </c>
      <c r="Z85" s="38">
        <f>SUM(S$8:S85)</f>
        <v>11766</v>
      </c>
      <c r="AA85" s="38">
        <f>SUM(T$8:T85)</f>
        <v>5884</v>
      </c>
      <c r="AB85" s="38">
        <f>SUM(U$8:U85)</f>
        <v>2704</v>
      </c>
      <c r="AC85" s="38">
        <f>SUM(V$8:V85)</f>
        <v>468</v>
      </c>
      <c r="AD85" s="38">
        <f t="shared" si="35"/>
        <v>515614</v>
      </c>
    </row>
    <row r="86" spans="1:34" s="1" customFormat="1" x14ac:dyDescent="0.25">
      <c r="A86" s="86" t="s">
        <v>253</v>
      </c>
      <c r="B86" s="14">
        <v>79</v>
      </c>
      <c r="C86" s="14">
        <f t="shared" si="17"/>
        <v>62</v>
      </c>
      <c r="D86" s="38">
        <f t="shared" si="15"/>
        <v>31</v>
      </c>
      <c r="E86" s="38">
        <f t="shared" si="13"/>
        <v>15</v>
      </c>
      <c r="F86" s="38">
        <f t="shared" si="36"/>
        <v>850</v>
      </c>
      <c r="G86" s="74">
        <f t="shared" si="26"/>
        <v>1062</v>
      </c>
      <c r="H86" s="70">
        <v>15100</v>
      </c>
      <c r="I86" s="38"/>
      <c r="J86" s="70">
        <v>30000</v>
      </c>
      <c r="K86" s="38">
        <v>6</v>
      </c>
      <c r="L86" s="78"/>
      <c r="M86" s="70">
        <v>308</v>
      </c>
      <c r="N86" s="38">
        <v>154</v>
      </c>
      <c r="O86" s="38">
        <v>74</v>
      </c>
      <c r="P86" s="68">
        <v>200</v>
      </c>
      <c r="Q86" s="42">
        <f t="shared" si="27"/>
        <v>200</v>
      </c>
      <c r="R86" s="38">
        <f t="shared" si="29"/>
        <v>45100</v>
      </c>
      <c r="S86" s="38">
        <f t="shared" si="30"/>
        <v>308</v>
      </c>
      <c r="T86" s="38">
        <f t="shared" si="31"/>
        <v>154</v>
      </c>
      <c r="U86" s="38">
        <f t="shared" si="32"/>
        <v>74</v>
      </c>
      <c r="V86" s="42">
        <f t="shared" si="28"/>
        <v>6</v>
      </c>
      <c r="W86" s="38">
        <f t="shared" si="33"/>
        <v>13664</v>
      </c>
      <c r="X86" s="42">
        <f>SUM(Q$8:Q86)</f>
        <v>14300</v>
      </c>
      <c r="Y86" s="42">
        <f>SUM(R$8:R86)</f>
        <v>1724300</v>
      </c>
      <c r="Z86" s="42">
        <f>SUM(S$8:S86)</f>
        <v>12074</v>
      </c>
      <c r="AA86" s="42">
        <f>SUM(T$8:T86)</f>
        <v>6038</v>
      </c>
      <c r="AB86" s="42">
        <f>SUM(U$8:U86)</f>
        <v>2778</v>
      </c>
      <c r="AC86" s="42">
        <f>SUM(V$8:V86)</f>
        <v>474</v>
      </c>
      <c r="AD86" s="42">
        <f t="shared" si="35"/>
        <v>529278</v>
      </c>
    </row>
    <row r="87" spans="1:34" x14ac:dyDescent="0.25">
      <c r="A87" s="86" t="s">
        <v>253</v>
      </c>
      <c r="B87" s="14">
        <v>80</v>
      </c>
      <c r="C87" s="14">
        <f t="shared" si="17"/>
        <v>62</v>
      </c>
      <c r="D87" s="38">
        <f t="shared" si="15"/>
        <v>31</v>
      </c>
      <c r="E87" s="38">
        <f t="shared" si="13"/>
        <v>15</v>
      </c>
      <c r="F87" s="38">
        <f t="shared" si="36"/>
        <v>850</v>
      </c>
      <c r="G87" s="74">
        <f t="shared" si="26"/>
        <v>1062</v>
      </c>
      <c r="H87" s="70">
        <v>15300</v>
      </c>
      <c r="I87" s="38"/>
      <c r="J87" s="70">
        <v>30400</v>
      </c>
      <c r="K87" s="38">
        <v>6</v>
      </c>
      <c r="L87" s="77"/>
      <c r="M87" s="70">
        <v>312</v>
      </c>
      <c r="N87" s="38">
        <v>156</v>
      </c>
      <c r="O87" s="38">
        <v>75</v>
      </c>
      <c r="P87" s="68">
        <v>200</v>
      </c>
      <c r="Q87" s="38">
        <f t="shared" si="27"/>
        <v>200</v>
      </c>
      <c r="R87" s="38">
        <f t="shared" si="29"/>
        <v>45700</v>
      </c>
      <c r="S87" s="38">
        <f t="shared" si="30"/>
        <v>312</v>
      </c>
      <c r="T87" s="38">
        <f t="shared" si="31"/>
        <v>156</v>
      </c>
      <c r="U87" s="38">
        <f t="shared" si="32"/>
        <v>75</v>
      </c>
      <c r="V87" s="38">
        <f t="shared" si="28"/>
        <v>6</v>
      </c>
      <c r="W87" s="38">
        <f t="shared" si="33"/>
        <v>13843</v>
      </c>
      <c r="X87" s="38">
        <f>SUM(Q$8:Q87)</f>
        <v>14500</v>
      </c>
      <c r="Y87" s="38">
        <f>SUM(R$8:R87)</f>
        <v>1770000</v>
      </c>
      <c r="Z87" s="38">
        <f>SUM(S$8:S87)</f>
        <v>12386</v>
      </c>
      <c r="AA87" s="38">
        <f>SUM(T$8:T87)</f>
        <v>6194</v>
      </c>
      <c r="AB87" s="38">
        <f>SUM(U$8:U87)</f>
        <v>2853</v>
      </c>
      <c r="AC87" s="38">
        <f>SUM(V$8:V87)</f>
        <v>480</v>
      </c>
      <c r="AD87" s="38">
        <f t="shared" si="35"/>
        <v>543121</v>
      </c>
    </row>
    <row r="88" spans="1:34" x14ac:dyDescent="0.25">
      <c r="A88" s="86" t="s">
        <v>253</v>
      </c>
      <c r="B88" s="14">
        <v>81</v>
      </c>
      <c r="C88" s="14">
        <f t="shared" si="17"/>
        <v>63</v>
      </c>
      <c r="D88" s="38">
        <f t="shared" si="15"/>
        <v>31</v>
      </c>
      <c r="E88" s="38">
        <f t="shared" si="13"/>
        <v>15</v>
      </c>
      <c r="F88" s="38">
        <f t="shared" si="36"/>
        <v>870</v>
      </c>
      <c r="G88" s="74">
        <f t="shared" si="26"/>
        <v>1067</v>
      </c>
      <c r="H88" s="70">
        <v>15500</v>
      </c>
      <c r="I88" s="38"/>
      <c r="J88" s="70">
        <v>30800</v>
      </c>
      <c r="K88" s="38">
        <v>6</v>
      </c>
      <c r="L88" s="77"/>
      <c r="M88" s="70">
        <v>316</v>
      </c>
      <c r="N88" s="38">
        <v>158</v>
      </c>
      <c r="O88" s="38">
        <v>76</v>
      </c>
      <c r="P88" s="68">
        <v>200</v>
      </c>
      <c r="Q88" s="38">
        <f t="shared" si="27"/>
        <v>200</v>
      </c>
      <c r="R88" s="38">
        <f t="shared" si="29"/>
        <v>46300</v>
      </c>
      <c r="S88" s="38">
        <f t="shared" si="30"/>
        <v>316</v>
      </c>
      <c r="T88" s="38">
        <f t="shared" si="31"/>
        <v>158</v>
      </c>
      <c r="U88" s="38">
        <f t="shared" si="32"/>
        <v>76</v>
      </c>
      <c r="V88" s="38">
        <f t="shared" si="28"/>
        <v>6</v>
      </c>
      <c r="W88" s="38">
        <f t="shared" si="33"/>
        <v>14022</v>
      </c>
      <c r="X88" s="38">
        <f>SUM(Q$8:Q88)</f>
        <v>14700</v>
      </c>
      <c r="Y88" s="38">
        <f>SUM(R$8:R88)</f>
        <v>1816300</v>
      </c>
      <c r="Z88" s="38">
        <f>SUM(S$8:S88)</f>
        <v>12702</v>
      </c>
      <c r="AA88" s="38">
        <f>SUM(T$8:T88)</f>
        <v>6352</v>
      </c>
      <c r="AB88" s="38">
        <f>SUM(U$8:U88)</f>
        <v>2929</v>
      </c>
      <c r="AC88" s="38">
        <f>SUM(V$8:V88)</f>
        <v>486</v>
      </c>
      <c r="AD88" s="38">
        <f t="shared" si="35"/>
        <v>557143</v>
      </c>
    </row>
    <row r="89" spans="1:34" x14ac:dyDescent="0.25">
      <c r="A89" s="86" t="s">
        <v>253</v>
      </c>
      <c r="B89" s="14">
        <v>82</v>
      </c>
      <c r="C89" s="14">
        <f t="shared" si="17"/>
        <v>64</v>
      </c>
      <c r="D89" s="38">
        <f t="shared" si="15"/>
        <v>32</v>
      </c>
      <c r="E89" s="38">
        <f t="shared" ref="E89:E152" si="37">ROUND(O89/5,0)</f>
        <v>15</v>
      </c>
      <c r="F89" s="38">
        <f t="shared" si="36"/>
        <v>870</v>
      </c>
      <c r="G89" s="74">
        <f t="shared" si="26"/>
        <v>1073</v>
      </c>
      <c r="H89" s="70">
        <v>15700</v>
      </c>
      <c r="I89" s="38"/>
      <c r="J89" s="70">
        <v>31200</v>
      </c>
      <c r="K89" s="38">
        <v>6</v>
      </c>
      <c r="L89" s="77"/>
      <c r="M89" s="70">
        <v>320</v>
      </c>
      <c r="N89" s="38">
        <v>160</v>
      </c>
      <c r="O89" s="38">
        <v>77</v>
      </c>
      <c r="P89" s="68">
        <v>200</v>
      </c>
      <c r="Q89" s="38">
        <f t="shared" si="27"/>
        <v>200</v>
      </c>
      <c r="R89" s="38">
        <f t="shared" si="29"/>
        <v>46900</v>
      </c>
      <c r="S89" s="38">
        <f t="shared" si="30"/>
        <v>320</v>
      </c>
      <c r="T89" s="38">
        <f t="shared" si="31"/>
        <v>160</v>
      </c>
      <c r="U89" s="38">
        <f t="shared" si="32"/>
        <v>77</v>
      </c>
      <c r="V89" s="38">
        <f t="shared" si="28"/>
        <v>6</v>
      </c>
      <c r="W89" s="38">
        <f t="shared" si="33"/>
        <v>14201</v>
      </c>
      <c r="X89" s="38">
        <f>SUM(Q$8:Q89)</f>
        <v>14900</v>
      </c>
      <c r="Y89" s="38">
        <f>SUM(R$8:R89)</f>
        <v>1863200</v>
      </c>
      <c r="Z89" s="38">
        <f>SUM(S$8:S89)</f>
        <v>13022</v>
      </c>
      <c r="AA89" s="38">
        <f>SUM(T$8:T89)</f>
        <v>6512</v>
      </c>
      <c r="AB89" s="38">
        <f>SUM(U$8:U89)</f>
        <v>3006</v>
      </c>
      <c r="AC89" s="38">
        <f>SUM(V$8:V89)</f>
        <v>492</v>
      </c>
      <c r="AD89" s="38">
        <f t="shared" si="35"/>
        <v>571344</v>
      </c>
    </row>
    <row r="90" spans="1:34" x14ac:dyDescent="0.25">
      <c r="A90" s="86" t="s">
        <v>253</v>
      </c>
      <c r="B90" s="14">
        <v>83</v>
      </c>
      <c r="C90" s="14">
        <f t="shared" si="17"/>
        <v>65</v>
      </c>
      <c r="D90" s="38">
        <f t="shared" si="15"/>
        <v>32</v>
      </c>
      <c r="E90" s="38">
        <f t="shared" si="37"/>
        <v>16</v>
      </c>
      <c r="F90" s="38">
        <f t="shared" si="36"/>
        <v>890</v>
      </c>
      <c r="G90" s="74">
        <f t="shared" si="26"/>
        <v>1123</v>
      </c>
      <c r="H90" s="70">
        <v>15900</v>
      </c>
      <c r="I90" s="38"/>
      <c r="J90" s="70">
        <v>31600</v>
      </c>
      <c r="K90" s="38">
        <v>6</v>
      </c>
      <c r="L90" s="77"/>
      <c r="M90" s="70">
        <v>324</v>
      </c>
      <c r="N90" s="38">
        <v>162</v>
      </c>
      <c r="O90" s="38">
        <v>78</v>
      </c>
      <c r="P90" s="68">
        <v>200</v>
      </c>
      <c r="Q90" s="38">
        <f t="shared" si="27"/>
        <v>200</v>
      </c>
      <c r="R90" s="38">
        <f t="shared" si="29"/>
        <v>47500</v>
      </c>
      <c r="S90" s="38">
        <f t="shared" si="30"/>
        <v>324</v>
      </c>
      <c r="T90" s="38">
        <f t="shared" si="31"/>
        <v>162</v>
      </c>
      <c r="U90" s="38">
        <f t="shared" si="32"/>
        <v>78</v>
      </c>
      <c r="V90" s="38">
        <f t="shared" si="28"/>
        <v>6</v>
      </c>
      <c r="W90" s="38">
        <f t="shared" si="33"/>
        <v>14380</v>
      </c>
      <c r="X90" s="38">
        <f>SUM(Q$8:Q90)</f>
        <v>15100</v>
      </c>
      <c r="Y90" s="38">
        <f>SUM(R$8:R90)</f>
        <v>1910700</v>
      </c>
      <c r="Z90" s="38">
        <f>SUM(S$8:S90)</f>
        <v>13346</v>
      </c>
      <c r="AA90" s="38">
        <f>SUM(T$8:T90)</f>
        <v>6674</v>
      </c>
      <c r="AB90" s="38">
        <f>SUM(U$8:U90)</f>
        <v>3084</v>
      </c>
      <c r="AC90" s="38">
        <f>SUM(V$8:V90)</f>
        <v>498</v>
      </c>
      <c r="AD90" s="38">
        <f t="shared" si="35"/>
        <v>585724</v>
      </c>
    </row>
    <row r="91" spans="1:34" x14ac:dyDescent="0.25">
      <c r="A91" s="86" t="s">
        <v>253</v>
      </c>
      <c r="B91" s="14">
        <v>84</v>
      </c>
      <c r="C91" s="14">
        <f t="shared" si="17"/>
        <v>66</v>
      </c>
      <c r="D91" s="38">
        <f t="shared" si="15"/>
        <v>33</v>
      </c>
      <c r="E91" s="38">
        <f t="shared" si="37"/>
        <v>16</v>
      </c>
      <c r="F91" s="38">
        <f t="shared" si="36"/>
        <v>890</v>
      </c>
      <c r="G91" s="74">
        <f t="shared" si="26"/>
        <v>1129</v>
      </c>
      <c r="H91" s="70">
        <v>16100</v>
      </c>
      <c r="I91" s="38"/>
      <c r="J91" s="70">
        <v>32000</v>
      </c>
      <c r="K91" s="38">
        <v>6</v>
      </c>
      <c r="L91" s="77"/>
      <c r="M91" s="70">
        <v>328</v>
      </c>
      <c r="N91" s="38">
        <v>164</v>
      </c>
      <c r="O91" s="38">
        <v>79</v>
      </c>
      <c r="P91" s="68">
        <v>200</v>
      </c>
      <c r="Q91" s="38">
        <f t="shared" si="27"/>
        <v>200</v>
      </c>
      <c r="R91" s="38">
        <f t="shared" si="29"/>
        <v>48100</v>
      </c>
      <c r="S91" s="38">
        <f t="shared" si="30"/>
        <v>328</v>
      </c>
      <c r="T91" s="38">
        <f t="shared" si="31"/>
        <v>164</v>
      </c>
      <c r="U91" s="38">
        <f t="shared" si="32"/>
        <v>79</v>
      </c>
      <c r="V91" s="38">
        <f t="shared" si="28"/>
        <v>6</v>
      </c>
      <c r="W91" s="38">
        <f t="shared" si="33"/>
        <v>14559</v>
      </c>
      <c r="X91" s="38">
        <f>SUM(Q$8:Q91)</f>
        <v>15300</v>
      </c>
      <c r="Y91" s="38">
        <f>SUM(R$8:R91)</f>
        <v>1958800</v>
      </c>
      <c r="Z91" s="38">
        <f>SUM(S$8:S91)</f>
        <v>13674</v>
      </c>
      <c r="AA91" s="38">
        <f>SUM(T$8:T91)</f>
        <v>6838</v>
      </c>
      <c r="AB91" s="38">
        <f>SUM(U$8:U91)</f>
        <v>3163</v>
      </c>
      <c r="AC91" s="38">
        <f>SUM(V$8:V91)</f>
        <v>504</v>
      </c>
      <c r="AD91" s="38">
        <f t="shared" si="35"/>
        <v>600283</v>
      </c>
    </row>
    <row r="92" spans="1:34" x14ac:dyDescent="0.25">
      <c r="A92" s="86" t="s">
        <v>253</v>
      </c>
      <c r="B92" s="14">
        <v>85</v>
      </c>
      <c r="C92" s="14">
        <f t="shared" si="17"/>
        <v>66</v>
      </c>
      <c r="D92" s="38">
        <f t="shared" ref="D92:D155" si="38">INT(C92/2)</f>
        <v>33</v>
      </c>
      <c r="E92" s="38">
        <f t="shared" si="37"/>
        <v>16</v>
      </c>
      <c r="F92" s="38">
        <f t="shared" si="36"/>
        <v>910</v>
      </c>
      <c r="G92" s="74">
        <f t="shared" si="26"/>
        <v>1133</v>
      </c>
      <c r="H92" s="70">
        <v>16300</v>
      </c>
      <c r="I92" s="38"/>
      <c r="J92" s="70">
        <v>32400</v>
      </c>
      <c r="K92" s="38">
        <v>6</v>
      </c>
      <c r="L92" s="77"/>
      <c r="M92" s="70">
        <v>332</v>
      </c>
      <c r="N92" s="38">
        <v>166</v>
      </c>
      <c r="O92" s="38">
        <v>80</v>
      </c>
      <c r="P92" s="68">
        <v>200</v>
      </c>
      <c r="Q92" s="38">
        <f t="shared" si="27"/>
        <v>200</v>
      </c>
      <c r="R92" s="38">
        <f t="shared" si="29"/>
        <v>48700</v>
      </c>
      <c r="S92" s="38">
        <f t="shared" si="30"/>
        <v>332</v>
      </c>
      <c r="T92" s="38">
        <f t="shared" si="31"/>
        <v>166</v>
      </c>
      <c r="U92" s="38">
        <f t="shared" si="32"/>
        <v>80</v>
      </c>
      <c r="V92" s="38">
        <f t="shared" si="28"/>
        <v>6</v>
      </c>
      <c r="W92" s="38">
        <f t="shared" si="33"/>
        <v>14738</v>
      </c>
      <c r="X92" s="38">
        <f>SUM(Q$8:Q92)</f>
        <v>15500</v>
      </c>
      <c r="Y92" s="38">
        <f>SUM(R$8:R92)</f>
        <v>2007500</v>
      </c>
      <c r="Z92" s="38">
        <f>SUM(S$8:S92)</f>
        <v>14006</v>
      </c>
      <c r="AA92" s="38">
        <f>SUM(T$8:T92)</f>
        <v>7004</v>
      </c>
      <c r="AB92" s="38">
        <f>SUM(U$8:U92)</f>
        <v>3243</v>
      </c>
      <c r="AC92" s="38">
        <f>SUM(V$8:V92)</f>
        <v>510</v>
      </c>
      <c r="AD92" s="38">
        <f t="shared" si="35"/>
        <v>615021</v>
      </c>
    </row>
    <row r="93" spans="1:34" x14ac:dyDescent="0.25">
      <c r="A93" s="86" t="s">
        <v>253</v>
      </c>
      <c r="B93" s="14">
        <v>86</v>
      </c>
      <c r="C93" s="14">
        <f t="shared" ref="C93:C156" si="39">ROUND(M93/5,0)</f>
        <v>67</v>
      </c>
      <c r="D93" s="38">
        <f t="shared" si="38"/>
        <v>33</v>
      </c>
      <c r="E93" s="38">
        <f t="shared" si="37"/>
        <v>16</v>
      </c>
      <c r="F93" s="38">
        <f t="shared" si="36"/>
        <v>910</v>
      </c>
      <c r="G93" s="74">
        <f t="shared" si="26"/>
        <v>1134</v>
      </c>
      <c r="H93" s="70">
        <v>16500</v>
      </c>
      <c r="I93" s="38"/>
      <c r="J93" s="70">
        <v>32800</v>
      </c>
      <c r="K93" s="38">
        <v>6</v>
      </c>
      <c r="L93" s="77"/>
      <c r="M93" s="70">
        <v>336</v>
      </c>
      <c r="N93" s="38">
        <v>168</v>
      </c>
      <c r="O93" s="38">
        <v>81</v>
      </c>
      <c r="P93" s="68">
        <v>200</v>
      </c>
      <c r="Q93" s="38">
        <f t="shared" si="27"/>
        <v>200</v>
      </c>
      <c r="R93" s="38">
        <f t="shared" si="29"/>
        <v>49300</v>
      </c>
      <c r="S93" s="38">
        <f t="shared" si="30"/>
        <v>336</v>
      </c>
      <c r="T93" s="38">
        <f t="shared" si="31"/>
        <v>168</v>
      </c>
      <c r="U93" s="38">
        <f t="shared" si="32"/>
        <v>81</v>
      </c>
      <c r="V93" s="38">
        <f t="shared" si="28"/>
        <v>6</v>
      </c>
      <c r="W93" s="38">
        <f t="shared" si="33"/>
        <v>14917</v>
      </c>
      <c r="X93" s="38">
        <f>SUM(Q$8:Q93)</f>
        <v>15700</v>
      </c>
      <c r="Y93" s="38">
        <f>SUM(R$8:R93)</f>
        <v>2056800</v>
      </c>
      <c r="Z93" s="38">
        <f>SUM(S$8:S93)</f>
        <v>14342</v>
      </c>
      <c r="AA93" s="38">
        <f>SUM(T$8:T93)</f>
        <v>7172</v>
      </c>
      <c r="AB93" s="38">
        <f>SUM(U$8:U93)</f>
        <v>3324</v>
      </c>
      <c r="AC93" s="38">
        <f>SUM(V$8:V93)</f>
        <v>516</v>
      </c>
      <c r="AD93" s="38">
        <f t="shared" si="35"/>
        <v>629938</v>
      </c>
    </row>
    <row r="94" spans="1:34" x14ac:dyDescent="0.25">
      <c r="A94" s="86" t="s">
        <v>253</v>
      </c>
      <c r="B94" s="14">
        <v>87</v>
      </c>
      <c r="C94" s="14">
        <f t="shared" si="39"/>
        <v>68</v>
      </c>
      <c r="D94" s="38">
        <f t="shared" si="38"/>
        <v>34</v>
      </c>
      <c r="E94" s="38">
        <f t="shared" si="37"/>
        <v>16</v>
      </c>
      <c r="F94" s="38">
        <f t="shared" si="36"/>
        <v>930</v>
      </c>
      <c r="G94" s="74">
        <f t="shared" si="26"/>
        <v>1144</v>
      </c>
      <c r="H94" s="70">
        <v>16700</v>
      </c>
      <c r="I94" s="38"/>
      <c r="J94" s="70">
        <v>33200</v>
      </c>
      <c r="K94" s="38">
        <v>6</v>
      </c>
      <c r="L94" s="77"/>
      <c r="M94" s="70">
        <v>340</v>
      </c>
      <c r="N94" s="38">
        <v>170</v>
      </c>
      <c r="O94" s="38">
        <v>82</v>
      </c>
      <c r="P94" s="68">
        <v>200</v>
      </c>
      <c r="Q94" s="38">
        <f t="shared" si="27"/>
        <v>200</v>
      </c>
      <c r="R94" s="38">
        <f t="shared" si="29"/>
        <v>49900</v>
      </c>
      <c r="S94" s="38">
        <f t="shared" si="30"/>
        <v>340</v>
      </c>
      <c r="T94" s="38">
        <f t="shared" si="31"/>
        <v>170</v>
      </c>
      <c r="U94" s="38">
        <f t="shared" si="32"/>
        <v>82</v>
      </c>
      <c r="V94" s="38">
        <f t="shared" si="28"/>
        <v>6</v>
      </c>
      <c r="W94" s="38">
        <f t="shared" si="33"/>
        <v>15096</v>
      </c>
      <c r="X94" s="38">
        <f>SUM(Q$8:Q94)</f>
        <v>15900</v>
      </c>
      <c r="Y94" s="38">
        <f>SUM(R$8:R94)</f>
        <v>2106700</v>
      </c>
      <c r="Z94" s="38">
        <f>SUM(S$8:S94)</f>
        <v>14682</v>
      </c>
      <c r="AA94" s="38">
        <f>SUM(T$8:T94)</f>
        <v>7342</v>
      </c>
      <c r="AB94" s="38">
        <f>SUM(U$8:U94)</f>
        <v>3406</v>
      </c>
      <c r="AC94" s="38">
        <f>SUM(V$8:V94)</f>
        <v>522</v>
      </c>
      <c r="AD94" s="38">
        <f t="shared" si="35"/>
        <v>645034</v>
      </c>
    </row>
    <row r="95" spans="1:34" x14ac:dyDescent="0.25">
      <c r="A95" s="86" t="s">
        <v>253</v>
      </c>
      <c r="B95" s="14">
        <v>88</v>
      </c>
      <c r="C95" s="14">
        <f t="shared" si="39"/>
        <v>69</v>
      </c>
      <c r="D95" s="38">
        <f t="shared" si="38"/>
        <v>34</v>
      </c>
      <c r="E95" s="38">
        <f t="shared" si="37"/>
        <v>17</v>
      </c>
      <c r="F95" s="38">
        <f t="shared" si="36"/>
        <v>930</v>
      </c>
      <c r="G95" s="74">
        <f t="shared" si="26"/>
        <v>1190</v>
      </c>
      <c r="H95" s="70">
        <v>16900</v>
      </c>
      <c r="I95" s="38"/>
      <c r="J95" s="70">
        <v>33600</v>
      </c>
      <c r="K95" s="38">
        <v>6</v>
      </c>
      <c r="L95" s="77"/>
      <c r="M95" s="70">
        <v>344</v>
      </c>
      <c r="N95" s="38">
        <v>172</v>
      </c>
      <c r="O95" s="38">
        <v>83</v>
      </c>
      <c r="P95" s="68">
        <v>200</v>
      </c>
      <c r="Q95" s="38">
        <f t="shared" si="27"/>
        <v>200</v>
      </c>
      <c r="R95" s="38">
        <f t="shared" si="29"/>
        <v>50500</v>
      </c>
      <c r="S95" s="38">
        <f t="shared" si="30"/>
        <v>344</v>
      </c>
      <c r="T95" s="38">
        <f t="shared" si="31"/>
        <v>172</v>
      </c>
      <c r="U95" s="38">
        <f t="shared" si="32"/>
        <v>83</v>
      </c>
      <c r="V95" s="38">
        <f t="shared" si="28"/>
        <v>6</v>
      </c>
      <c r="W95" s="38">
        <f t="shared" si="33"/>
        <v>15275</v>
      </c>
      <c r="X95" s="38">
        <f>SUM(Q$8:Q95)</f>
        <v>16100</v>
      </c>
      <c r="Y95" s="38">
        <f>SUM(R$8:R95)</f>
        <v>2157200</v>
      </c>
      <c r="Z95" s="38">
        <f>SUM(S$8:S95)</f>
        <v>15026</v>
      </c>
      <c r="AA95" s="38">
        <f>SUM(T$8:T95)</f>
        <v>7514</v>
      </c>
      <c r="AB95" s="38">
        <f>SUM(U$8:U95)</f>
        <v>3489</v>
      </c>
      <c r="AC95" s="38">
        <f>SUM(V$8:V95)</f>
        <v>528</v>
      </c>
      <c r="AD95" s="38">
        <f t="shared" ref="AD95:AD104" si="40">SUMPRODUCT($X$6:$AC$6,X95:AC95)</f>
        <v>660309</v>
      </c>
    </row>
    <row r="96" spans="1:34" x14ac:dyDescent="0.25">
      <c r="A96" s="86" t="s">
        <v>253</v>
      </c>
      <c r="B96" s="14">
        <v>89</v>
      </c>
      <c r="C96" s="14">
        <f t="shared" si="39"/>
        <v>70</v>
      </c>
      <c r="D96" s="38">
        <f t="shared" si="38"/>
        <v>35</v>
      </c>
      <c r="E96" s="38">
        <f t="shared" si="37"/>
        <v>17</v>
      </c>
      <c r="F96" s="38">
        <f t="shared" si="36"/>
        <v>950</v>
      </c>
      <c r="G96" s="74">
        <f t="shared" si="26"/>
        <v>1200</v>
      </c>
      <c r="H96" s="70">
        <v>17100</v>
      </c>
      <c r="I96" s="38"/>
      <c r="J96" s="70">
        <v>34000</v>
      </c>
      <c r="K96" s="38">
        <v>6</v>
      </c>
      <c r="L96" s="77"/>
      <c r="M96" s="70">
        <v>348</v>
      </c>
      <c r="N96" s="38">
        <v>174</v>
      </c>
      <c r="O96" s="38">
        <v>84</v>
      </c>
      <c r="P96" s="68">
        <v>200</v>
      </c>
      <c r="Q96" s="38">
        <f t="shared" si="27"/>
        <v>200</v>
      </c>
      <c r="R96" s="38">
        <f t="shared" si="29"/>
        <v>51100</v>
      </c>
      <c r="S96" s="38">
        <f t="shared" si="30"/>
        <v>348</v>
      </c>
      <c r="T96" s="38">
        <f t="shared" si="31"/>
        <v>174</v>
      </c>
      <c r="U96" s="38">
        <f t="shared" si="32"/>
        <v>84</v>
      </c>
      <c r="V96" s="38">
        <f t="shared" si="28"/>
        <v>6</v>
      </c>
      <c r="W96" s="38">
        <f t="shared" si="33"/>
        <v>15454</v>
      </c>
      <c r="X96" s="38">
        <f>SUM(Q$8:Q96)</f>
        <v>16300</v>
      </c>
      <c r="Y96" s="38">
        <f>SUM(R$8:R96)</f>
        <v>2208300</v>
      </c>
      <c r="Z96" s="38">
        <f>SUM(S$8:S96)</f>
        <v>15374</v>
      </c>
      <c r="AA96" s="38">
        <f>SUM(T$8:T96)</f>
        <v>7688</v>
      </c>
      <c r="AB96" s="38">
        <f>SUM(U$8:U96)</f>
        <v>3573</v>
      </c>
      <c r="AC96" s="38">
        <f>SUM(V$8:V96)</f>
        <v>534</v>
      </c>
      <c r="AD96" s="38">
        <f t="shared" si="40"/>
        <v>675763</v>
      </c>
    </row>
    <row r="97" spans="1:51" x14ac:dyDescent="0.25">
      <c r="A97" s="86" t="s">
        <v>253</v>
      </c>
      <c r="B97" s="14">
        <v>90</v>
      </c>
      <c r="C97" s="14">
        <f t="shared" si="39"/>
        <v>70</v>
      </c>
      <c r="D97" s="38">
        <f t="shared" si="38"/>
        <v>35</v>
      </c>
      <c r="E97" s="38">
        <f t="shared" si="37"/>
        <v>17</v>
      </c>
      <c r="F97" s="38">
        <f t="shared" si="36"/>
        <v>950</v>
      </c>
      <c r="G97" s="74">
        <f t="shared" si="26"/>
        <v>1200</v>
      </c>
      <c r="H97" s="70">
        <v>17300</v>
      </c>
      <c r="I97" s="38"/>
      <c r="J97" s="70">
        <v>34400</v>
      </c>
      <c r="K97" s="38">
        <v>6</v>
      </c>
      <c r="L97" s="77"/>
      <c r="M97" s="70">
        <v>352</v>
      </c>
      <c r="N97" s="38">
        <v>176</v>
      </c>
      <c r="O97" s="38">
        <v>85</v>
      </c>
      <c r="P97" s="68">
        <v>200</v>
      </c>
      <c r="Q97" s="38">
        <f t="shared" si="27"/>
        <v>200</v>
      </c>
      <c r="R97" s="38">
        <f t="shared" si="29"/>
        <v>51700</v>
      </c>
      <c r="S97" s="38">
        <f t="shared" si="30"/>
        <v>352</v>
      </c>
      <c r="T97" s="38">
        <f t="shared" si="31"/>
        <v>176</v>
      </c>
      <c r="U97" s="38">
        <f t="shared" si="32"/>
        <v>85</v>
      </c>
      <c r="V97" s="38">
        <f t="shared" si="28"/>
        <v>6</v>
      </c>
      <c r="W97" s="38">
        <f t="shared" si="33"/>
        <v>15633</v>
      </c>
      <c r="X97" s="38">
        <f>SUM(Q$8:Q97)</f>
        <v>16500</v>
      </c>
      <c r="Y97" s="38">
        <f>SUM(R$8:R97)</f>
        <v>2260000</v>
      </c>
      <c r="Z97" s="38">
        <f>SUM(S$8:S97)</f>
        <v>15726</v>
      </c>
      <c r="AA97" s="38">
        <f>SUM(T$8:T97)</f>
        <v>7864</v>
      </c>
      <c r="AB97" s="38">
        <f>SUM(U$8:U97)</f>
        <v>3658</v>
      </c>
      <c r="AC97" s="38">
        <f>SUM(V$8:V97)</f>
        <v>540</v>
      </c>
      <c r="AD97" s="38">
        <f t="shared" si="40"/>
        <v>691396</v>
      </c>
    </row>
    <row r="98" spans="1:51" x14ac:dyDescent="0.25">
      <c r="A98" s="86" t="s">
        <v>253</v>
      </c>
      <c r="B98" s="14">
        <v>91</v>
      </c>
      <c r="C98" s="14">
        <f t="shared" si="39"/>
        <v>71</v>
      </c>
      <c r="D98" s="38">
        <f t="shared" si="38"/>
        <v>35</v>
      </c>
      <c r="E98" s="38">
        <f t="shared" si="37"/>
        <v>17</v>
      </c>
      <c r="F98" s="38">
        <f t="shared" si="36"/>
        <v>970</v>
      </c>
      <c r="G98" s="74">
        <f t="shared" si="26"/>
        <v>1205</v>
      </c>
      <c r="H98" s="70">
        <v>17500</v>
      </c>
      <c r="I98" s="38"/>
      <c r="J98" s="70">
        <v>34800</v>
      </c>
      <c r="K98" s="38">
        <v>6</v>
      </c>
      <c r="L98" s="77"/>
      <c r="M98" s="70">
        <v>356</v>
      </c>
      <c r="N98" s="38">
        <v>178</v>
      </c>
      <c r="O98" s="38">
        <v>86</v>
      </c>
      <c r="P98" s="68">
        <v>200</v>
      </c>
      <c r="Q98" s="38">
        <f t="shared" si="27"/>
        <v>200</v>
      </c>
      <c r="R98" s="38">
        <f t="shared" si="29"/>
        <v>52300</v>
      </c>
      <c r="S98" s="38">
        <f t="shared" si="30"/>
        <v>356</v>
      </c>
      <c r="T98" s="38">
        <f t="shared" si="31"/>
        <v>178</v>
      </c>
      <c r="U98" s="38">
        <f t="shared" si="32"/>
        <v>86</v>
      </c>
      <c r="V98" s="38">
        <f t="shared" si="28"/>
        <v>6</v>
      </c>
      <c r="W98" s="38">
        <f t="shared" si="33"/>
        <v>15812</v>
      </c>
      <c r="X98" s="38">
        <f>SUM(Q$8:Q98)</f>
        <v>16700</v>
      </c>
      <c r="Y98" s="38">
        <f>SUM(R$8:R98)</f>
        <v>2312300</v>
      </c>
      <c r="Z98" s="38">
        <f>SUM(S$8:S98)</f>
        <v>16082</v>
      </c>
      <c r="AA98" s="38">
        <f>SUM(T$8:T98)</f>
        <v>8042</v>
      </c>
      <c r="AB98" s="38">
        <f>SUM(U$8:U98)</f>
        <v>3744</v>
      </c>
      <c r="AC98" s="38">
        <f>SUM(V$8:V98)</f>
        <v>546</v>
      </c>
      <c r="AD98" s="38">
        <f t="shared" si="40"/>
        <v>707208</v>
      </c>
    </row>
    <row r="99" spans="1:51" x14ac:dyDescent="0.25">
      <c r="A99" s="86" t="s">
        <v>253</v>
      </c>
      <c r="B99" s="14">
        <v>92</v>
      </c>
      <c r="C99" s="14">
        <f t="shared" si="39"/>
        <v>72</v>
      </c>
      <c r="D99" s="38">
        <f t="shared" si="38"/>
        <v>36</v>
      </c>
      <c r="E99" s="38">
        <f t="shared" si="37"/>
        <v>17</v>
      </c>
      <c r="F99" s="38">
        <f t="shared" si="36"/>
        <v>970</v>
      </c>
      <c r="G99" s="74">
        <f t="shared" si="26"/>
        <v>1211</v>
      </c>
      <c r="H99" s="70">
        <v>17700</v>
      </c>
      <c r="I99" s="38"/>
      <c r="J99" s="70">
        <v>35200</v>
      </c>
      <c r="K99" s="38">
        <v>6</v>
      </c>
      <c r="L99" s="77"/>
      <c r="M99" s="70">
        <v>360</v>
      </c>
      <c r="N99" s="38">
        <v>180</v>
      </c>
      <c r="O99" s="38">
        <v>87</v>
      </c>
      <c r="P99" s="68">
        <v>200</v>
      </c>
      <c r="Q99" s="38">
        <f t="shared" si="27"/>
        <v>200</v>
      </c>
      <c r="R99" s="38">
        <f t="shared" si="29"/>
        <v>52900</v>
      </c>
      <c r="S99" s="38">
        <f t="shared" si="30"/>
        <v>360</v>
      </c>
      <c r="T99" s="38">
        <f t="shared" si="31"/>
        <v>180</v>
      </c>
      <c r="U99" s="38">
        <f t="shared" si="32"/>
        <v>87</v>
      </c>
      <c r="V99" s="38">
        <f t="shared" si="28"/>
        <v>6</v>
      </c>
      <c r="W99" s="38">
        <f t="shared" si="33"/>
        <v>15991</v>
      </c>
      <c r="X99" s="38">
        <f>SUM(Q$8:Q99)</f>
        <v>16900</v>
      </c>
      <c r="Y99" s="38">
        <f>SUM(R$8:R99)</f>
        <v>2365200</v>
      </c>
      <c r="Z99" s="38">
        <f>SUM(S$8:S99)</f>
        <v>16442</v>
      </c>
      <c r="AA99" s="38">
        <f>SUM(T$8:T99)</f>
        <v>8222</v>
      </c>
      <c r="AB99" s="38">
        <f>SUM(U$8:U99)</f>
        <v>3831</v>
      </c>
      <c r="AC99" s="38">
        <f>SUM(V$8:V99)</f>
        <v>552</v>
      </c>
      <c r="AD99" s="38">
        <f t="shared" si="40"/>
        <v>723199</v>
      </c>
    </row>
    <row r="100" spans="1:51" x14ac:dyDescent="0.25">
      <c r="A100" s="86" t="s">
        <v>253</v>
      </c>
      <c r="B100" s="14">
        <v>93</v>
      </c>
      <c r="C100" s="14">
        <f t="shared" si="39"/>
        <v>73</v>
      </c>
      <c r="D100" s="38">
        <f t="shared" si="38"/>
        <v>36</v>
      </c>
      <c r="E100" s="38">
        <f t="shared" si="37"/>
        <v>18</v>
      </c>
      <c r="F100" s="38">
        <f t="shared" si="36"/>
        <v>990</v>
      </c>
      <c r="G100" s="74">
        <f t="shared" si="26"/>
        <v>1261</v>
      </c>
      <c r="H100" s="70">
        <v>17900</v>
      </c>
      <c r="I100" s="38"/>
      <c r="J100" s="70">
        <v>35600</v>
      </c>
      <c r="K100" s="38">
        <v>6</v>
      </c>
      <c r="L100" s="77"/>
      <c r="M100" s="70">
        <v>364</v>
      </c>
      <c r="N100" s="38">
        <v>182</v>
      </c>
      <c r="O100" s="38">
        <v>88</v>
      </c>
      <c r="P100" s="68">
        <v>200</v>
      </c>
      <c r="Q100" s="38">
        <f t="shared" si="27"/>
        <v>200</v>
      </c>
      <c r="R100" s="38">
        <f t="shared" si="29"/>
        <v>53500</v>
      </c>
      <c r="S100" s="38">
        <f t="shared" si="30"/>
        <v>364</v>
      </c>
      <c r="T100" s="38">
        <f t="shared" si="31"/>
        <v>182</v>
      </c>
      <c r="U100" s="38">
        <f t="shared" si="32"/>
        <v>88</v>
      </c>
      <c r="V100" s="38">
        <f t="shared" si="28"/>
        <v>6</v>
      </c>
      <c r="W100" s="38">
        <f t="shared" si="33"/>
        <v>16170</v>
      </c>
      <c r="X100" s="38">
        <f>SUM(Q$8:Q100)</f>
        <v>17100</v>
      </c>
      <c r="Y100" s="38">
        <f>SUM(R$8:R100)</f>
        <v>2418700</v>
      </c>
      <c r="Z100" s="38">
        <f>SUM(S$8:S100)</f>
        <v>16806</v>
      </c>
      <c r="AA100" s="38">
        <f>SUM(T$8:T100)</f>
        <v>8404</v>
      </c>
      <c r="AB100" s="38">
        <f>SUM(U$8:U100)</f>
        <v>3919</v>
      </c>
      <c r="AC100" s="38">
        <f>SUM(V$8:V100)</f>
        <v>558</v>
      </c>
      <c r="AD100" s="38">
        <f t="shared" si="40"/>
        <v>739369</v>
      </c>
    </row>
    <row r="101" spans="1:51" x14ac:dyDescent="0.25">
      <c r="A101" s="86" t="s">
        <v>253</v>
      </c>
      <c r="B101" s="14">
        <v>94</v>
      </c>
      <c r="C101" s="14">
        <f t="shared" si="39"/>
        <v>74</v>
      </c>
      <c r="D101" s="38">
        <f t="shared" si="38"/>
        <v>37</v>
      </c>
      <c r="E101" s="38">
        <f t="shared" si="37"/>
        <v>18</v>
      </c>
      <c r="F101" s="38">
        <f t="shared" si="36"/>
        <v>990</v>
      </c>
      <c r="G101" s="74">
        <f t="shared" si="26"/>
        <v>1267</v>
      </c>
      <c r="H101" s="70">
        <v>18100</v>
      </c>
      <c r="I101" s="38"/>
      <c r="J101" s="70">
        <v>36000</v>
      </c>
      <c r="K101" s="38">
        <v>6</v>
      </c>
      <c r="L101" s="77"/>
      <c r="M101" s="70">
        <v>368</v>
      </c>
      <c r="N101" s="38">
        <v>184</v>
      </c>
      <c r="O101" s="38">
        <v>89</v>
      </c>
      <c r="P101" s="68">
        <v>200</v>
      </c>
      <c r="Q101" s="38">
        <f t="shared" si="27"/>
        <v>200</v>
      </c>
      <c r="R101" s="38">
        <f t="shared" si="29"/>
        <v>54100</v>
      </c>
      <c r="S101" s="38">
        <f t="shared" si="30"/>
        <v>368</v>
      </c>
      <c r="T101" s="38">
        <f t="shared" si="31"/>
        <v>184</v>
      </c>
      <c r="U101" s="38">
        <f t="shared" si="32"/>
        <v>89</v>
      </c>
      <c r="V101" s="38">
        <f t="shared" si="28"/>
        <v>6</v>
      </c>
      <c r="W101" s="38">
        <f t="shared" si="33"/>
        <v>16349</v>
      </c>
      <c r="X101" s="38">
        <f>SUM(Q$8:Q101)</f>
        <v>17300</v>
      </c>
      <c r="Y101" s="38">
        <f>SUM(R$8:R101)</f>
        <v>2472800</v>
      </c>
      <c r="Z101" s="38">
        <f>SUM(S$8:S101)</f>
        <v>17174</v>
      </c>
      <c r="AA101" s="38">
        <f>SUM(T$8:T101)</f>
        <v>8588</v>
      </c>
      <c r="AB101" s="38">
        <f>SUM(U$8:U101)</f>
        <v>4008</v>
      </c>
      <c r="AC101" s="38">
        <f>SUM(V$8:V101)</f>
        <v>564</v>
      </c>
      <c r="AD101" s="38">
        <f t="shared" si="40"/>
        <v>755718</v>
      </c>
    </row>
    <row r="102" spans="1:51" x14ac:dyDescent="0.25">
      <c r="A102" s="86" t="s">
        <v>253</v>
      </c>
      <c r="B102" s="14">
        <v>95</v>
      </c>
      <c r="C102" s="14">
        <f t="shared" si="39"/>
        <v>74</v>
      </c>
      <c r="D102" s="38">
        <f t="shared" si="38"/>
        <v>37</v>
      </c>
      <c r="E102" s="38">
        <f t="shared" si="37"/>
        <v>18</v>
      </c>
      <c r="F102" s="38">
        <f t="shared" si="36"/>
        <v>1010</v>
      </c>
      <c r="G102" s="74">
        <f t="shared" si="26"/>
        <v>1271</v>
      </c>
      <c r="H102" s="70">
        <v>18300</v>
      </c>
      <c r="I102" s="38"/>
      <c r="J102" s="70">
        <v>36400</v>
      </c>
      <c r="K102" s="38">
        <v>6</v>
      </c>
      <c r="L102" s="77"/>
      <c r="M102" s="70">
        <v>372</v>
      </c>
      <c r="N102" s="38">
        <v>186</v>
      </c>
      <c r="O102" s="38">
        <v>90</v>
      </c>
      <c r="P102" s="68">
        <v>200</v>
      </c>
      <c r="Q102" s="38">
        <f t="shared" si="27"/>
        <v>200</v>
      </c>
      <c r="R102" s="38">
        <f t="shared" si="29"/>
        <v>54700</v>
      </c>
      <c r="S102" s="38">
        <f t="shared" si="30"/>
        <v>372</v>
      </c>
      <c r="T102" s="38">
        <f t="shared" si="31"/>
        <v>186</v>
      </c>
      <c r="U102" s="38">
        <f t="shared" si="32"/>
        <v>90</v>
      </c>
      <c r="V102" s="38">
        <f t="shared" si="28"/>
        <v>6</v>
      </c>
      <c r="W102" s="38">
        <f t="shared" si="33"/>
        <v>16528</v>
      </c>
      <c r="X102" s="38">
        <f>SUM(Q$8:Q102)</f>
        <v>17500</v>
      </c>
      <c r="Y102" s="38">
        <f>SUM(R$8:R102)</f>
        <v>2527500</v>
      </c>
      <c r="Z102" s="38">
        <f>SUM(S$8:S102)</f>
        <v>17546</v>
      </c>
      <c r="AA102" s="38">
        <f>SUM(T$8:T102)</f>
        <v>8774</v>
      </c>
      <c r="AB102" s="38">
        <f>SUM(U$8:U102)</f>
        <v>4098</v>
      </c>
      <c r="AC102" s="38">
        <f>SUM(V$8:V102)</f>
        <v>570</v>
      </c>
      <c r="AD102" s="38">
        <f t="shared" si="40"/>
        <v>772246</v>
      </c>
    </row>
    <row r="103" spans="1:51" x14ac:dyDescent="0.25">
      <c r="A103" s="86" t="s">
        <v>253</v>
      </c>
      <c r="B103" s="14">
        <v>96</v>
      </c>
      <c r="C103" s="14">
        <f t="shared" si="39"/>
        <v>75</v>
      </c>
      <c r="D103" s="38">
        <f t="shared" si="38"/>
        <v>37</v>
      </c>
      <c r="E103" s="38">
        <f t="shared" si="37"/>
        <v>18</v>
      </c>
      <c r="F103" s="38">
        <f t="shared" si="36"/>
        <v>1010</v>
      </c>
      <c r="G103" s="74">
        <f t="shared" si="26"/>
        <v>1272</v>
      </c>
      <c r="H103" s="70">
        <v>18500</v>
      </c>
      <c r="I103" s="38"/>
      <c r="J103" s="70">
        <v>36800</v>
      </c>
      <c r="K103" s="38">
        <v>6</v>
      </c>
      <c r="L103" s="77"/>
      <c r="M103" s="70">
        <v>376</v>
      </c>
      <c r="N103" s="38">
        <v>188</v>
      </c>
      <c r="O103" s="38">
        <v>91</v>
      </c>
      <c r="P103" s="68">
        <v>200</v>
      </c>
      <c r="Q103" s="38">
        <f t="shared" si="27"/>
        <v>200</v>
      </c>
      <c r="R103" s="38">
        <f t="shared" si="29"/>
        <v>55300</v>
      </c>
      <c r="S103" s="38">
        <f t="shared" si="30"/>
        <v>376</v>
      </c>
      <c r="T103" s="38">
        <f t="shared" si="31"/>
        <v>188</v>
      </c>
      <c r="U103" s="38">
        <f t="shared" si="32"/>
        <v>91</v>
      </c>
      <c r="V103" s="38">
        <f t="shared" si="28"/>
        <v>6</v>
      </c>
      <c r="W103" s="38">
        <f t="shared" si="33"/>
        <v>16707</v>
      </c>
      <c r="X103" s="38">
        <f>SUM(Q$8:Q103)</f>
        <v>17700</v>
      </c>
      <c r="Y103" s="38">
        <f>SUM(R$8:R103)</f>
        <v>2582800</v>
      </c>
      <c r="Z103" s="38">
        <f>SUM(S$8:S103)</f>
        <v>17922</v>
      </c>
      <c r="AA103" s="38">
        <f>SUM(T$8:T103)</f>
        <v>8962</v>
      </c>
      <c r="AB103" s="38">
        <f>SUM(U$8:U103)</f>
        <v>4189</v>
      </c>
      <c r="AC103" s="38">
        <f>SUM(V$8:V103)</f>
        <v>576</v>
      </c>
      <c r="AD103" s="38">
        <f t="shared" si="40"/>
        <v>788953</v>
      </c>
    </row>
    <row r="104" spans="1:51" x14ac:dyDescent="0.25">
      <c r="A104" s="86" t="s">
        <v>253</v>
      </c>
      <c r="B104" s="14">
        <v>97</v>
      </c>
      <c r="C104" s="14">
        <f t="shared" si="39"/>
        <v>76</v>
      </c>
      <c r="D104" s="38">
        <f t="shared" si="38"/>
        <v>38</v>
      </c>
      <c r="E104" s="38">
        <f t="shared" si="37"/>
        <v>18</v>
      </c>
      <c r="F104" s="38">
        <f t="shared" si="36"/>
        <v>1030</v>
      </c>
      <c r="G104" s="74">
        <f t="shared" ref="G104:G106" si="41">SUMPRODUCT($C$6:$F$6,C104:F104)</f>
        <v>1282</v>
      </c>
      <c r="H104" s="70">
        <v>18700</v>
      </c>
      <c r="I104" s="38"/>
      <c r="J104" s="70">
        <v>37200</v>
      </c>
      <c r="K104" s="38">
        <v>6</v>
      </c>
      <c r="L104" s="77"/>
      <c r="M104" s="70">
        <v>380</v>
      </c>
      <c r="N104" s="38">
        <v>190</v>
      </c>
      <c r="O104" s="38">
        <v>92</v>
      </c>
      <c r="P104" s="68">
        <v>200</v>
      </c>
      <c r="Q104" s="38">
        <f t="shared" ref="Q104:Q135" si="42">P104</f>
        <v>200</v>
      </c>
      <c r="R104" s="38">
        <f t="shared" si="29"/>
        <v>55900</v>
      </c>
      <c r="S104" s="38">
        <f t="shared" si="30"/>
        <v>380</v>
      </c>
      <c r="T104" s="38">
        <f t="shared" si="31"/>
        <v>190</v>
      </c>
      <c r="U104" s="38">
        <f t="shared" si="32"/>
        <v>92</v>
      </c>
      <c r="V104" s="38">
        <f t="shared" ref="V104:V135" si="43">K104</f>
        <v>6</v>
      </c>
      <c r="W104" s="38">
        <f t="shared" si="33"/>
        <v>16886</v>
      </c>
      <c r="X104" s="38">
        <f>SUM(Q$8:Q104)</f>
        <v>17900</v>
      </c>
      <c r="Y104" s="38">
        <f>SUM(R$8:R104)</f>
        <v>2638700</v>
      </c>
      <c r="Z104" s="38">
        <f>SUM(S$8:S104)</f>
        <v>18302</v>
      </c>
      <c r="AA104" s="38">
        <f>SUM(T$8:T104)</f>
        <v>9152</v>
      </c>
      <c r="AB104" s="38">
        <f>SUM(U$8:U104)</f>
        <v>4281</v>
      </c>
      <c r="AC104" s="38">
        <f>SUM(V$8:V104)</f>
        <v>582</v>
      </c>
      <c r="AD104" s="38">
        <f t="shared" si="40"/>
        <v>805839</v>
      </c>
    </row>
    <row r="105" spans="1:51" x14ac:dyDescent="0.25">
      <c r="A105" s="86" t="s">
        <v>253</v>
      </c>
      <c r="B105" s="14">
        <v>98</v>
      </c>
      <c r="C105" s="14">
        <f t="shared" si="39"/>
        <v>77</v>
      </c>
      <c r="D105" s="38">
        <f t="shared" si="38"/>
        <v>38</v>
      </c>
      <c r="E105" s="38">
        <f t="shared" si="37"/>
        <v>19</v>
      </c>
      <c r="F105" s="38">
        <f t="shared" si="36"/>
        <v>1030</v>
      </c>
      <c r="G105" s="74">
        <f t="shared" si="41"/>
        <v>1328</v>
      </c>
      <c r="H105" s="70">
        <v>18900</v>
      </c>
      <c r="I105" s="38"/>
      <c r="J105" s="70">
        <v>37600</v>
      </c>
      <c r="K105" s="38">
        <v>6</v>
      </c>
      <c r="L105" s="77"/>
      <c r="M105" s="70">
        <v>384</v>
      </c>
      <c r="N105" s="38">
        <v>192</v>
      </c>
      <c r="O105" s="38">
        <v>93</v>
      </c>
      <c r="P105" s="68">
        <v>200</v>
      </c>
      <c r="Q105" s="38">
        <f t="shared" si="42"/>
        <v>200</v>
      </c>
      <c r="R105" s="38">
        <f t="shared" si="29"/>
        <v>56500</v>
      </c>
      <c r="S105" s="38">
        <f t="shared" si="30"/>
        <v>384</v>
      </c>
      <c r="T105" s="38">
        <f t="shared" si="31"/>
        <v>192</v>
      </c>
      <c r="U105" s="38">
        <f t="shared" si="32"/>
        <v>93</v>
      </c>
      <c r="V105" s="38">
        <f t="shared" si="43"/>
        <v>6</v>
      </c>
      <c r="W105" s="38">
        <f t="shared" si="33"/>
        <v>17065</v>
      </c>
      <c r="X105" s="38">
        <f>SUM(Q$8:Q105)</f>
        <v>18100</v>
      </c>
      <c r="Y105" s="38">
        <f>SUM(R$8:R105)</f>
        <v>2695200</v>
      </c>
      <c r="Z105" s="38">
        <f>SUM(S$8:S105)</f>
        <v>18686</v>
      </c>
      <c r="AA105" s="38">
        <f>SUM(T$8:T105)</f>
        <v>9344</v>
      </c>
      <c r="AB105" s="38">
        <f>SUM(U$8:U105)</f>
        <v>4374</v>
      </c>
      <c r="AC105" s="38">
        <f>SUM(V$8:V105)</f>
        <v>588</v>
      </c>
      <c r="AD105" s="38">
        <f>SUMPRODUCT($X$6:$AC$6,X105:AC105)</f>
        <v>822904</v>
      </c>
    </row>
    <row r="106" spans="1:51" x14ac:dyDescent="0.25">
      <c r="A106" s="86" t="s">
        <v>253</v>
      </c>
      <c r="B106" s="14">
        <v>99</v>
      </c>
      <c r="C106" s="14">
        <f t="shared" si="39"/>
        <v>78</v>
      </c>
      <c r="D106" s="38">
        <f t="shared" si="38"/>
        <v>39</v>
      </c>
      <c r="E106" s="38">
        <f t="shared" si="37"/>
        <v>19</v>
      </c>
      <c r="F106" s="38">
        <f t="shared" si="36"/>
        <v>1050</v>
      </c>
      <c r="G106" s="74">
        <f t="shared" si="41"/>
        <v>1338</v>
      </c>
      <c r="H106" s="70">
        <v>19100</v>
      </c>
      <c r="I106" s="38"/>
      <c r="J106" s="70">
        <v>38000</v>
      </c>
      <c r="K106" s="38">
        <v>6</v>
      </c>
      <c r="L106" s="77"/>
      <c r="M106" s="70">
        <v>388</v>
      </c>
      <c r="N106" s="38">
        <v>194</v>
      </c>
      <c r="O106" s="38">
        <v>94</v>
      </c>
      <c r="P106" s="68">
        <v>200</v>
      </c>
      <c r="Q106" s="38">
        <f t="shared" si="42"/>
        <v>200</v>
      </c>
      <c r="R106" s="38">
        <f t="shared" si="29"/>
        <v>57100</v>
      </c>
      <c r="S106" s="38">
        <f t="shared" si="30"/>
        <v>388</v>
      </c>
      <c r="T106" s="38">
        <f t="shared" si="31"/>
        <v>194</v>
      </c>
      <c r="U106" s="38">
        <f t="shared" si="32"/>
        <v>94</v>
      </c>
      <c r="V106" s="38">
        <f t="shared" si="43"/>
        <v>6</v>
      </c>
      <c r="W106" s="38">
        <f t="shared" si="33"/>
        <v>17244</v>
      </c>
      <c r="X106" s="38">
        <f>SUM(Q$8:Q106)</f>
        <v>18300</v>
      </c>
      <c r="Y106" s="38">
        <f>SUM(R$8:R106)</f>
        <v>2752300</v>
      </c>
      <c r="Z106" s="38">
        <f>SUM(S$8:S106)</f>
        <v>19074</v>
      </c>
      <c r="AA106" s="38">
        <f>SUM(T$8:T106)</f>
        <v>9538</v>
      </c>
      <c r="AB106" s="38">
        <f>SUM(U$8:U106)</f>
        <v>4468</v>
      </c>
      <c r="AC106" s="38">
        <f>SUM(V$8:V106)</f>
        <v>594</v>
      </c>
      <c r="AD106" s="38">
        <f>SUMPRODUCT($X$6:$AC$6,X106:AC106)</f>
        <v>840148</v>
      </c>
    </row>
    <row r="107" spans="1:51" ht="14.4" thickBot="1" x14ac:dyDescent="0.3">
      <c r="A107" s="86" t="s">
        <v>253</v>
      </c>
      <c r="B107" s="79">
        <v>100</v>
      </c>
      <c r="C107" s="79">
        <f t="shared" si="39"/>
        <v>78</v>
      </c>
      <c r="D107" s="80">
        <f t="shared" si="38"/>
        <v>39</v>
      </c>
      <c r="E107" s="80">
        <f t="shared" si="37"/>
        <v>19</v>
      </c>
      <c r="F107" s="38">
        <f t="shared" si="36"/>
        <v>1050</v>
      </c>
      <c r="G107" s="81">
        <f t="shared" ref="G107:G170" si="44">SUMPRODUCT($C$6:$F$6,C107:F107)</f>
        <v>1338</v>
      </c>
      <c r="H107" s="70">
        <v>19300</v>
      </c>
      <c r="I107" s="80"/>
      <c r="J107" s="70">
        <v>38400</v>
      </c>
      <c r="K107" s="80">
        <v>6</v>
      </c>
      <c r="L107" s="45"/>
      <c r="M107" s="70">
        <v>392</v>
      </c>
      <c r="N107" s="38">
        <v>196</v>
      </c>
      <c r="O107" s="38">
        <v>95</v>
      </c>
      <c r="P107" s="68">
        <v>200</v>
      </c>
      <c r="Q107" s="80">
        <f t="shared" si="42"/>
        <v>200</v>
      </c>
      <c r="R107" s="38">
        <f t="shared" si="29"/>
        <v>57700</v>
      </c>
      <c r="S107" s="38">
        <f t="shared" si="30"/>
        <v>392</v>
      </c>
      <c r="T107" s="38">
        <f t="shared" si="31"/>
        <v>196</v>
      </c>
      <c r="U107" s="38">
        <f t="shared" si="32"/>
        <v>95</v>
      </c>
      <c r="V107" s="80">
        <f t="shared" si="43"/>
        <v>6</v>
      </c>
      <c r="W107" s="38">
        <f t="shared" si="33"/>
        <v>17423</v>
      </c>
      <c r="X107" s="80">
        <f>SUM(Q$8:Q107)</f>
        <v>18500</v>
      </c>
      <c r="Y107" s="80">
        <f>SUM(R$8:R107)</f>
        <v>2810000</v>
      </c>
      <c r="Z107" s="80">
        <f>SUM(S$8:S107)</f>
        <v>19466</v>
      </c>
      <c r="AA107" s="80">
        <f>SUM(T$8:T107)</f>
        <v>9734</v>
      </c>
      <c r="AB107" s="80">
        <f>SUM(U$8:U107)</f>
        <v>4563</v>
      </c>
      <c r="AC107" s="80">
        <f>SUM(V$8:V107)</f>
        <v>600</v>
      </c>
      <c r="AD107" s="80">
        <f>SUMPRODUCT($X$6:$AC$6,X107:AC107)</f>
        <v>857571</v>
      </c>
    </row>
    <row r="108" spans="1:51" s="85" customFormat="1" ht="14.4" thickTop="1" x14ac:dyDescent="0.25">
      <c r="A108" s="86" t="s">
        <v>253</v>
      </c>
      <c r="B108" s="82">
        <v>101</v>
      </c>
      <c r="C108" s="82">
        <f t="shared" si="39"/>
        <v>79</v>
      </c>
      <c r="D108" s="83">
        <f t="shared" si="38"/>
        <v>39</v>
      </c>
      <c r="E108" s="83">
        <f t="shared" si="37"/>
        <v>19</v>
      </c>
      <c r="F108" s="38">
        <f t="shared" si="36"/>
        <v>1070</v>
      </c>
      <c r="G108" s="84">
        <f t="shared" si="44"/>
        <v>1343</v>
      </c>
      <c r="H108" s="70">
        <v>19500</v>
      </c>
      <c r="I108" s="83"/>
      <c r="J108" s="70">
        <v>38800</v>
      </c>
      <c r="K108" s="83">
        <v>6</v>
      </c>
      <c r="L108" s="88"/>
      <c r="M108" s="70">
        <v>396</v>
      </c>
      <c r="N108" s="38">
        <v>198</v>
      </c>
      <c r="O108" s="38">
        <v>96</v>
      </c>
      <c r="P108" s="68">
        <v>200</v>
      </c>
      <c r="Q108" s="83">
        <f t="shared" si="42"/>
        <v>200</v>
      </c>
      <c r="R108" s="38">
        <f t="shared" si="29"/>
        <v>58300</v>
      </c>
      <c r="S108" s="38">
        <f t="shared" si="30"/>
        <v>396</v>
      </c>
      <c r="T108" s="38">
        <f t="shared" si="31"/>
        <v>198</v>
      </c>
      <c r="U108" s="38">
        <f t="shared" si="32"/>
        <v>96</v>
      </c>
      <c r="V108" s="83">
        <f t="shared" si="43"/>
        <v>6</v>
      </c>
      <c r="W108" s="38">
        <f t="shared" si="33"/>
        <v>17602</v>
      </c>
      <c r="X108" s="83">
        <f>SUM(Q$8:Q108)</f>
        <v>18700</v>
      </c>
      <c r="Y108" s="83">
        <f>SUM(R$8:R108)</f>
        <v>2868300</v>
      </c>
      <c r="Z108" s="83">
        <f>SUM(S$8:S108)</f>
        <v>19862</v>
      </c>
      <c r="AA108" s="83">
        <f>SUM(T$8:T108)</f>
        <v>9932</v>
      </c>
      <c r="AB108" s="83">
        <f>SUM(U$8:U108)</f>
        <v>4659</v>
      </c>
      <c r="AC108" s="83">
        <f>SUM(V$8:V108)</f>
        <v>606</v>
      </c>
      <c r="AD108" s="83">
        <f>SUMPRODUCT($X$6:$AC$6,X108:AC108)</f>
        <v>875173</v>
      </c>
    </row>
    <row r="109" spans="1:51" x14ac:dyDescent="0.25">
      <c r="A109" s="86" t="s">
        <v>253</v>
      </c>
      <c r="B109" s="14">
        <v>102</v>
      </c>
      <c r="C109" s="14">
        <f t="shared" si="39"/>
        <v>80</v>
      </c>
      <c r="D109" s="38">
        <f t="shared" si="38"/>
        <v>40</v>
      </c>
      <c r="E109" s="38">
        <f t="shared" si="37"/>
        <v>19</v>
      </c>
      <c r="F109" s="38">
        <f t="shared" si="36"/>
        <v>1070</v>
      </c>
      <c r="G109" s="74">
        <f t="shared" si="44"/>
        <v>1349</v>
      </c>
      <c r="H109" s="70">
        <v>19700</v>
      </c>
      <c r="I109" s="38"/>
      <c r="J109" s="70">
        <v>39200</v>
      </c>
      <c r="K109" s="38">
        <v>6</v>
      </c>
      <c r="L109" s="77"/>
      <c r="M109" s="70">
        <v>400</v>
      </c>
      <c r="N109" s="38">
        <v>200</v>
      </c>
      <c r="O109" s="38">
        <v>97</v>
      </c>
      <c r="P109" s="68">
        <v>200</v>
      </c>
      <c r="Q109" s="38">
        <f t="shared" si="42"/>
        <v>200</v>
      </c>
      <c r="R109" s="38">
        <f t="shared" si="29"/>
        <v>58900</v>
      </c>
      <c r="S109" s="38">
        <f t="shared" si="30"/>
        <v>400</v>
      </c>
      <c r="T109" s="38">
        <f t="shared" si="31"/>
        <v>200</v>
      </c>
      <c r="U109" s="38">
        <f t="shared" si="32"/>
        <v>97</v>
      </c>
      <c r="V109" s="38">
        <f t="shared" si="43"/>
        <v>6</v>
      </c>
      <c r="W109" s="38">
        <f t="shared" si="33"/>
        <v>17781</v>
      </c>
      <c r="X109" s="38">
        <f>SUM(Q$8:Q109)</f>
        <v>18900</v>
      </c>
      <c r="Y109" s="38">
        <f>SUM(R$8:R109)</f>
        <v>2927200</v>
      </c>
      <c r="Z109" s="38">
        <f>SUM(S$8:S109)</f>
        <v>20262</v>
      </c>
      <c r="AA109" s="38">
        <f>SUM(T$8:T109)</f>
        <v>10132</v>
      </c>
      <c r="AB109" s="38">
        <f>SUM(U$8:U109)</f>
        <v>4756</v>
      </c>
      <c r="AC109" s="38">
        <f>SUM(V$8:V109)</f>
        <v>612</v>
      </c>
      <c r="AD109" s="38">
        <f t="shared" ref="AD109:AD172" si="45">SUMPRODUCT($X$6:$AC$6,X109:AC109)</f>
        <v>892954</v>
      </c>
    </row>
    <row r="110" spans="1:51" ht="16.2" x14ac:dyDescent="0.25">
      <c r="A110" s="86" t="s">
        <v>253</v>
      </c>
      <c r="B110" s="14">
        <v>103</v>
      </c>
      <c r="C110" s="14">
        <f t="shared" si="39"/>
        <v>81</v>
      </c>
      <c r="D110" s="38">
        <f t="shared" si="38"/>
        <v>40</v>
      </c>
      <c r="E110" s="38">
        <f t="shared" si="37"/>
        <v>20</v>
      </c>
      <c r="F110" s="38">
        <f t="shared" si="36"/>
        <v>1090</v>
      </c>
      <c r="G110" s="74">
        <f t="shared" si="44"/>
        <v>1399</v>
      </c>
      <c r="H110" s="70">
        <v>19900</v>
      </c>
      <c r="I110" s="38"/>
      <c r="J110" s="70">
        <v>39600</v>
      </c>
      <c r="K110" s="38">
        <v>6</v>
      </c>
      <c r="L110" s="77"/>
      <c r="M110" s="70">
        <v>404</v>
      </c>
      <c r="N110" s="38">
        <v>202</v>
      </c>
      <c r="O110" s="38">
        <v>98</v>
      </c>
      <c r="P110" s="68">
        <v>200</v>
      </c>
      <c r="Q110" s="38">
        <f t="shared" si="42"/>
        <v>200</v>
      </c>
      <c r="R110" s="38">
        <f t="shared" si="29"/>
        <v>59500</v>
      </c>
      <c r="S110" s="38">
        <f t="shared" si="30"/>
        <v>404</v>
      </c>
      <c r="T110" s="38">
        <f t="shared" si="31"/>
        <v>202</v>
      </c>
      <c r="U110" s="38">
        <f t="shared" si="32"/>
        <v>98</v>
      </c>
      <c r="V110" s="38">
        <f t="shared" si="43"/>
        <v>6</v>
      </c>
      <c r="W110" s="38">
        <f t="shared" si="33"/>
        <v>17960</v>
      </c>
      <c r="X110" s="38">
        <f>SUM(Q$8:Q110)</f>
        <v>19100</v>
      </c>
      <c r="Y110" s="38">
        <f>SUM(R$8:R110)</f>
        <v>2986700</v>
      </c>
      <c r="Z110" s="38">
        <f>SUM(S$8:S110)</f>
        <v>20666</v>
      </c>
      <c r="AA110" s="38">
        <f>SUM(T$8:T110)</f>
        <v>10334</v>
      </c>
      <c r="AB110" s="38">
        <f>SUM(U$8:U110)</f>
        <v>4854</v>
      </c>
      <c r="AC110" s="38">
        <f>SUM(V$8:V110)</f>
        <v>618</v>
      </c>
      <c r="AD110" s="38">
        <f t="shared" si="45"/>
        <v>910914</v>
      </c>
      <c r="AY110" s="41"/>
    </row>
    <row r="111" spans="1:51" x14ac:dyDescent="0.25">
      <c r="A111" s="86" t="s">
        <v>253</v>
      </c>
      <c r="B111" s="14">
        <v>104</v>
      </c>
      <c r="C111" s="14">
        <f t="shared" si="39"/>
        <v>82</v>
      </c>
      <c r="D111" s="38">
        <f t="shared" si="38"/>
        <v>41</v>
      </c>
      <c r="E111" s="38">
        <f t="shared" si="37"/>
        <v>20</v>
      </c>
      <c r="F111" s="38">
        <f t="shared" si="36"/>
        <v>1090</v>
      </c>
      <c r="G111" s="74">
        <f t="shared" si="44"/>
        <v>1405</v>
      </c>
      <c r="H111" s="70">
        <v>20100</v>
      </c>
      <c r="I111" s="38"/>
      <c r="J111" s="70">
        <v>40000</v>
      </c>
      <c r="K111" s="38">
        <v>6</v>
      </c>
      <c r="L111" s="77"/>
      <c r="M111" s="70">
        <v>408</v>
      </c>
      <c r="N111" s="38">
        <v>204</v>
      </c>
      <c r="O111" s="38">
        <v>99</v>
      </c>
      <c r="P111" s="68">
        <v>200</v>
      </c>
      <c r="Q111" s="38">
        <f t="shared" si="42"/>
        <v>200</v>
      </c>
      <c r="R111" s="38">
        <f t="shared" si="29"/>
        <v>60100</v>
      </c>
      <c r="S111" s="38">
        <f t="shared" si="30"/>
        <v>408</v>
      </c>
      <c r="T111" s="38">
        <f t="shared" si="31"/>
        <v>204</v>
      </c>
      <c r="U111" s="38">
        <f t="shared" si="32"/>
        <v>99</v>
      </c>
      <c r="V111" s="38">
        <f t="shared" si="43"/>
        <v>6</v>
      </c>
      <c r="W111" s="38">
        <f t="shared" si="33"/>
        <v>18139</v>
      </c>
      <c r="X111" s="38">
        <f>SUM(Q$8:Q111)</f>
        <v>19300</v>
      </c>
      <c r="Y111" s="38">
        <f>SUM(R$8:R111)</f>
        <v>3046800</v>
      </c>
      <c r="Z111" s="38">
        <f>SUM(S$8:S111)</f>
        <v>21074</v>
      </c>
      <c r="AA111" s="38">
        <f>SUM(T$8:T111)</f>
        <v>10538</v>
      </c>
      <c r="AB111" s="38">
        <f>SUM(U$8:U111)</f>
        <v>4953</v>
      </c>
      <c r="AC111" s="38">
        <f>SUM(V$8:V111)</f>
        <v>624</v>
      </c>
      <c r="AD111" s="38">
        <f t="shared" si="45"/>
        <v>929053</v>
      </c>
    </row>
    <row r="112" spans="1:51" s="1" customFormat="1" x14ac:dyDescent="0.25">
      <c r="A112" s="86" t="s">
        <v>253</v>
      </c>
      <c r="B112" s="14">
        <v>105</v>
      </c>
      <c r="C112" s="14">
        <f t="shared" si="39"/>
        <v>82</v>
      </c>
      <c r="D112" s="38">
        <f t="shared" si="38"/>
        <v>41</v>
      </c>
      <c r="E112" s="38">
        <f t="shared" si="37"/>
        <v>20</v>
      </c>
      <c r="F112" s="38">
        <f t="shared" si="36"/>
        <v>1110</v>
      </c>
      <c r="G112" s="74">
        <f t="shared" si="44"/>
        <v>1409</v>
      </c>
      <c r="H112" s="70">
        <v>20300</v>
      </c>
      <c r="I112" s="38"/>
      <c r="J112" s="70">
        <v>40400</v>
      </c>
      <c r="K112" s="38">
        <v>6</v>
      </c>
      <c r="L112" s="78"/>
      <c r="M112" s="70">
        <v>412</v>
      </c>
      <c r="N112" s="38">
        <v>206</v>
      </c>
      <c r="O112" s="38">
        <v>100</v>
      </c>
      <c r="P112" s="68">
        <v>200</v>
      </c>
      <c r="Q112" s="42">
        <f t="shared" si="42"/>
        <v>200</v>
      </c>
      <c r="R112" s="38">
        <f t="shared" si="29"/>
        <v>60700</v>
      </c>
      <c r="S112" s="38">
        <f t="shared" si="30"/>
        <v>412</v>
      </c>
      <c r="T112" s="38">
        <f t="shared" si="31"/>
        <v>206</v>
      </c>
      <c r="U112" s="38">
        <f t="shared" si="32"/>
        <v>100</v>
      </c>
      <c r="V112" s="42">
        <f t="shared" si="43"/>
        <v>6</v>
      </c>
      <c r="W112" s="38">
        <f t="shared" si="33"/>
        <v>18318</v>
      </c>
      <c r="X112" s="42">
        <f>SUM(Q$8:Q112)</f>
        <v>19500</v>
      </c>
      <c r="Y112" s="42">
        <f>SUM(R$8:R112)</f>
        <v>3107500</v>
      </c>
      <c r="Z112" s="42">
        <f>SUM(S$8:S112)</f>
        <v>21486</v>
      </c>
      <c r="AA112" s="42">
        <f>SUM(T$8:T112)</f>
        <v>10744</v>
      </c>
      <c r="AB112" s="42">
        <f>SUM(U$8:U112)</f>
        <v>5053</v>
      </c>
      <c r="AC112" s="42">
        <f>SUM(V$8:V112)</f>
        <v>630</v>
      </c>
      <c r="AD112" s="38">
        <f t="shared" si="45"/>
        <v>947371</v>
      </c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</row>
    <row r="113" spans="1:30" x14ac:dyDescent="0.25">
      <c r="A113" s="86" t="s">
        <v>253</v>
      </c>
      <c r="B113" s="14">
        <v>106</v>
      </c>
      <c r="C113" s="14">
        <f t="shared" si="39"/>
        <v>83</v>
      </c>
      <c r="D113" s="38">
        <f t="shared" si="38"/>
        <v>41</v>
      </c>
      <c r="E113" s="38">
        <f t="shared" si="37"/>
        <v>20</v>
      </c>
      <c r="F113" s="38">
        <f t="shared" si="36"/>
        <v>1110</v>
      </c>
      <c r="G113" s="74">
        <f t="shared" si="44"/>
        <v>1410</v>
      </c>
      <c r="H113" s="70">
        <v>20500</v>
      </c>
      <c r="I113" s="38"/>
      <c r="J113" s="70">
        <v>40800</v>
      </c>
      <c r="K113" s="38">
        <v>6</v>
      </c>
      <c r="L113" s="77"/>
      <c r="M113" s="70">
        <v>416</v>
      </c>
      <c r="N113" s="38">
        <v>208</v>
      </c>
      <c r="O113" s="38">
        <v>101</v>
      </c>
      <c r="P113" s="68">
        <v>200</v>
      </c>
      <c r="Q113" s="38">
        <f t="shared" si="42"/>
        <v>200</v>
      </c>
      <c r="R113" s="38">
        <f t="shared" si="29"/>
        <v>61300</v>
      </c>
      <c r="S113" s="38">
        <f t="shared" si="30"/>
        <v>416</v>
      </c>
      <c r="T113" s="38">
        <f t="shared" si="31"/>
        <v>208</v>
      </c>
      <c r="U113" s="38">
        <f t="shared" si="32"/>
        <v>101</v>
      </c>
      <c r="V113" s="38">
        <f t="shared" si="43"/>
        <v>6</v>
      </c>
      <c r="W113" s="38">
        <f t="shared" si="33"/>
        <v>18497</v>
      </c>
      <c r="X113" s="38">
        <f>SUM(Q$8:Q113)</f>
        <v>19700</v>
      </c>
      <c r="Y113" s="38">
        <f>SUM(R$8:R113)</f>
        <v>3168800</v>
      </c>
      <c r="Z113" s="38">
        <f>SUM(S$8:S113)</f>
        <v>21902</v>
      </c>
      <c r="AA113" s="38">
        <f>SUM(T$8:T113)</f>
        <v>10952</v>
      </c>
      <c r="AB113" s="38">
        <f>SUM(U$8:U113)</f>
        <v>5154</v>
      </c>
      <c r="AC113" s="38">
        <f>SUM(V$8:V113)</f>
        <v>636</v>
      </c>
      <c r="AD113" s="38">
        <f t="shared" si="45"/>
        <v>965868</v>
      </c>
    </row>
    <row r="114" spans="1:30" x14ac:dyDescent="0.25">
      <c r="A114" s="86" t="s">
        <v>253</v>
      </c>
      <c r="B114" s="14">
        <v>107</v>
      </c>
      <c r="C114" s="14">
        <f t="shared" si="39"/>
        <v>84</v>
      </c>
      <c r="D114" s="38">
        <f t="shared" si="38"/>
        <v>42</v>
      </c>
      <c r="E114" s="38">
        <f t="shared" si="37"/>
        <v>20</v>
      </c>
      <c r="F114" s="38">
        <f t="shared" si="36"/>
        <v>1130</v>
      </c>
      <c r="G114" s="74">
        <f t="shared" si="44"/>
        <v>1420</v>
      </c>
      <c r="H114" s="70">
        <v>20700</v>
      </c>
      <c r="I114" s="38"/>
      <c r="J114" s="70">
        <v>41200</v>
      </c>
      <c r="K114" s="38">
        <v>6</v>
      </c>
      <c r="L114" s="77"/>
      <c r="M114" s="70">
        <v>420</v>
      </c>
      <c r="N114" s="38">
        <v>210</v>
      </c>
      <c r="O114" s="38">
        <v>102</v>
      </c>
      <c r="P114" s="68">
        <v>200</v>
      </c>
      <c r="Q114" s="38">
        <f t="shared" si="42"/>
        <v>200</v>
      </c>
      <c r="R114" s="38">
        <f t="shared" si="29"/>
        <v>61900</v>
      </c>
      <c r="S114" s="38">
        <f t="shared" si="30"/>
        <v>420</v>
      </c>
      <c r="T114" s="38">
        <f t="shared" si="31"/>
        <v>210</v>
      </c>
      <c r="U114" s="38">
        <f t="shared" si="32"/>
        <v>102</v>
      </c>
      <c r="V114" s="38">
        <f t="shared" si="43"/>
        <v>6</v>
      </c>
      <c r="W114" s="38">
        <f t="shared" si="33"/>
        <v>18676</v>
      </c>
      <c r="X114" s="38">
        <f>SUM(Q$8:Q114)</f>
        <v>19900</v>
      </c>
      <c r="Y114" s="38">
        <f>SUM(R$8:R114)</f>
        <v>3230700</v>
      </c>
      <c r="Z114" s="38">
        <f>SUM(S$8:S114)</f>
        <v>22322</v>
      </c>
      <c r="AA114" s="38">
        <f>SUM(T$8:T114)</f>
        <v>11162</v>
      </c>
      <c r="AB114" s="38">
        <f>SUM(U$8:U114)</f>
        <v>5256</v>
      </c>
      <c r="AC114" s="38">
        <f>SUM(V$8:V114)</f>
        <v>642</v>
      </c>
      <c r="AD114" s="38">
        <f t="shared" si="45"/>
        <v>984544</v>
      </c>
    </row>
    <row r="115" spans="1:30" x14ac:dyDescent="0.25">
      <c r="A115" s="86" t="s">
        <v>253</v>
      </c>
      <c r="B115" s="14">
        <v>108</v>
      </c>
      <c r="C115" s="14">
        <f t="shared" si="39"/>
        <v>85</v>
      </c>
      <c r="D115" s="38">
        <f t="shared" si="38"/>
        <v>42</v>
      </c>
      <c r="E115" s="38">
        <f t="shared" si="37"/>
        <v>21</v>
      </c>
      <c r="F115" s="38">
        <f t="shared" si="36"/>
        <v>1130</v>
      </c>
      <c r="G115" s="74">
        <f t="shared" si="44"/>
        <v>1466</v>
      </c>
      <c r="H115" s="70">
        <v>20900</v>
      </c>
      <c r="I115" s="38"/>
      <c r="J115" s="70">
        <v>41600</v>
      </c>
      <c r="K115" s="38">
        <v>6</v>
      </c>
      <c r="L115" s="77"/>
      <c r="M115" s="70">
        <v>424</v>
      </c>
      <c r="N115" s="38">
        <v>212</v>
      </c>
      <c r="O115" s="38">
        <v>103</v>
      </c>
      <c r="P115" s="68">
        <v>200</v>
      </c>
      <c r="Q115" s="38">
        <f t="shared" si="42"/>
        <v>200</v>
      </c>
      <c r="R115" s="38">
        <f t="shared" si="29"/>
        <v>62500</v>
      </c>
      <c r="S115" s="38">
        <f t="shared" si="30"/>
        <v>424</v>
      </c>
      <c r="T115" s="38">
        <f t="shared" si="31"/>
        <v>212</v>
      </c>
      <c r="U115" s="38">
        <f t="shared" si="32"/>
        <v>103</v>
      </c>
      <c r="V115" s="38">
        <f t="shared" si="43"/>
        <v>6</v>
      </c>
      <c r="W115" s="38">
        <f t="shared" si="33"/>
        <v>18855</v>
      </c>
      <c r="X115" s="38">
        <f>SUM(Q$8:Q115)</f>
        <v>20100</v>
      </c>
      <c r="Y115" s="38">
        <f>SUM(R$8:R115)</f>
        <v>3293200</v>
      </c>
      <c r="Z115" s="38">
        <f>SUM(S$8:S115)</f>
        <v>22746</v>
      </c>
      <c r="AA115" s="38">
        <f>SUM(T$8:T115)</f>
        <v>11374</v>
      </c>
      <c r="AB115" s="38">
        <f>SUM(U$8:U115)</f>
        <v>5359</v>
      </c>
      <c r="AC115" s="38">
        <f>SUM(V$8:V115)</f>
        <v>648</v>
      </c>
      <c r="AD115" s="38">
        <f t="shared" si="45"/>
        <v>1003399</v>
      </c>
    </row>
    <row r="116" spans="1:30" x14ac:dyDescent="0.25">
      <c r="A116" s="86" t="s">
        <v>253</v>
      </c>
      <c r="B116" s="14">
        <v>109</v>
      </c>
      <c r="C116" s="14">
        <f t="shared" si="39"/>
        <v>86</v>
      </c>
      <c r="D116" s="38">
        <f t="shared" si="38"/>
        <v>43</v>
      </c>
      <c r="E116" s="38">
        <f t="shared" si="37"/>
        <v>21</v>
      </c>
      <c r="F116" s="38">
        <f t="shared" si="36"/>
        <v>1150</v>
      </c>
      <c r="G116" s="74">
        <f t="shared" si="44"/>
        <v>1476</v>
      </c>
      <c r="H116" s="70">
        <v>21100</v>
      </c>
      <c r="I116" s="38"/>
      <c r="J116" s="70">
        <v>42000</v>
      </c>
      <c r="K116" s="38">
        <v>6</v>
      </c>
      <c r="L116" s="77"/>
      <c r="M116" s="70">
        <v>428</v>
      </c>
      <c r="N116" s="38">
        <v>214</v>
      </c>
      <c r="O116" s="38">
        <v>104</v>
      </c>
      <c r="P116" s="68">
        <v>200</v>
      </c>
      <c r="Q116" s="38">
        <f t="shared" si="42"/>
        <v>200</v>
      </c>
      <c r="R116" s="38">
        <f t="shared" si="29"/>
        <v>63100</v>
      </c>
      <c r="S116" s="38">
        <f t="shared" si="30"/>
        <v>428</v>
      </c>
      <c r="T116" s="38">
        <f t="shared" si="31"/>
        <v>214</v>
      </c>
      <c r="U116" s="38">
        <f t="shared" si="32"/>
        <v>104</v>
      </c>
      <c r="V116" s="38">
        <f t="shared" si="43"/>
        <v>6</v>
      </c>
      <c r="W116" s="38">
        <f t="shared" si="33"/>
        <v>19034</v>
      </c>
      <c r="X116" s="38">
        <f>SUM(Q$8:Q116)</f>
        <v>20300</v>
      </c>
      <c r="Y116" s="38">
        <f>SUM(R$8:R116)</f>
        <v>3356300</v>
      </c>
      <c r="Z116" s="38">
        <f>SUM(S$8:S116)</f>
        <v>23174</v>
      </c>
      <c r="AA116" s="38">
        <f>SUM(T$8:T116)</f>
        <v>11588</v>
      </c>
      <c r="AB116" s="38">
        <f>SUM(U$8:U116)</f>
        <v>5463</v>
      </c>
      <c r="AC116" s="38">
        <f>SUM(V$8:V116)</f>
        <v>654</v>
      </c>
      <c r="AD116" s="38">
        <f t="shared" si="45"/>
        <v>1022433</v>
      </c>
    </row>
    <row r="117" spans="1:30" x14ac:dyDescent="0.25">
      <c r="A117" s="86" t="s">
        <v>253</v>
      </c>
      <c r="B117" s="14">
        <v>110</v>
      </c>
      <c r="C117" s="14">
        <f t="shared" si="39"/>
        <v>86</v>
      </c>
      <c r="D117" s="38">
        <f t="shared" si="38"/>
        <v>43</v>
      </c>
      <c r="E117" s="38">
        <f t="shared" si="37"/>
        <v>21</v>
      </c>
      <c r="F117" s="38">
        <f t="shared" si="36"/>
        <v>1150</v>
      </c>
      <c r="G117" s="74">
        <f t="shared" si="44"/>
        <v>1476</v>
      </c>
      <c r="H117" s="70">
        <v>21300</v>
      </c>
      <c r="I117" s="38"/>
      <c r="J117" s="70">
        <v>42400</v>
      </c>
      <c r="K117" s="38">
        <v>6</v>
      </c>
      <c r="L117" s="77"/>
      <c r="M117" s="70">
        <v>432</v>
      </c>
      <c r="N117" s="38">
        <v>216</v>
      </c>
      <c r="O117" s="38">
        <v>105</v>
      </c>
      <c r="P117" s="68">
        <v>200</v>
      </c>
      <c r="Q117" s="38">
        <f t="shared" si="42"/>
        <v>200</v>
      </c>
      <c r="R117" s="38">
        <f t="shared" si="29"/>
        <v>63700</v>
      </c>
      <c r="S117" s="38">
        <f t="shared" si="30"/>
        <v>432</v>
      </c>
      <c r="T117" s="38">
        <f t="shared" si="31"/>
        <v>216</v>
      </c>
      <c r="U117" s="38">
        <f t="shared" si="32"/>
        <v>105</v>
      </c>
      <c r="V117" s="38">
        <f t="shared" si="43"/>
        <v>6</v>
      </c>
      <c r="W117" s="38">
        <f t="shared" si="33"/>
        <v>19213</v>
      </c>
      <c r="X117" s="38">
        <f>SUM(Q$8:Q117)</f>
        <v>20500</v>
      </c>
      <c r="Y117" s="38">
        <f>SUM(R$8:R117)</f>
        <v>3420000</v>
      </c>
      <c r="Z117" s="38">
        <f>SUM(S$8:S117)</f>
        <v>23606</v>
      </c>
      <c r="AA117" s="38">
        <f>SUM(T$8:T117)</f>
        <v>11804</v>
      </c>
      <c r="AB117" s="38">
        <f>SUM(U$8:U117)</f>
        <v>5568</v>
      </c>
      <c r="AC117" s="38">
        <f>SUM(V$8:V117)</f>
        <v>660</v>
      </c>
      <c r="AD117" s="38">
        <f t="shared" si="45"/>
        <v>1041646</v>
      </c>
    </row>
    <row r="118" spans="1:30" x14ac:dyDescent="0.25">
      <c r="A118" s="86" t="s">
        <v>253</v>
      </c>
      <c r="B118" s="14">
        <v>111</v>
      </c>
      <c r="C118" s="14">
        <f t="shared" si="39"/>
        <v>87</v>
      </c>
      <c r="D118" s="38">
        <f t="shared" si="38"/>
        <v>43</v>
      </c>
      <c r="E118" s="38">
        <f t="shared" si="37"/>
        <v>21</v>
      </c>
      <c r="F118" s="38">
        <f t="shared" si="36"/>
        <v>1170</v>
      </c>
      <c r="G118" s="74">
        <f t="shared" si="44"/>
        <v>1481</v>
      </c>
      <c r="H118" s="70">
        <v>21500</v>
      </c>
      <c r="I118" s="38"/>
      <c r="J118" s="70">
        <v>42800</v>
      </c>
      <c r="K118" s="38">
        <v>6</v>
      </c>
      <c r="L118" s="77"/>
      <c r="M118" s="70">
        <v>436</v>
      </c>
      <c r="N118" s="38">
        <v>218</v>
      </c>
      <c r="O118" s="38">
        <v>106</v>
      </c>
      <c r="P118" s="68">
        <v>200</v>
      </c>
      <c r="Q118" s="38">
        <f t="shared" si="42"/>
        <v>200</v>
      </c>
      <c r="R118" s="38">
        <f t="shared" si="29"/>
        <v>64300</v>
      </c>
      <c r="S118" s="38">
        <f t="shared" si="30"/>
        <v>436</v>
      </c>
      <c r="T118" s="38">
        <f t="shared" si="31"/>
        <v>218</v>
      </c>
      <c r="U118" s="38">
        <f t="shared" si="32"/>
        <v>106</v>
      </c>
      <c r="V118" s="38">
        <f t="shared" si="43"/>
        <v>6</v>
      </c>
      <c r="W118" s="38">
        <f t="shared" si="33"/>
        <v>19392</v>
      </c>
      <c r="X118" s="38">
        <f>SUM(Q$8:Q118)</f>
        <v>20700</v>
      </c>
      <c r="Y118" s="38">
        <f>SUM(R$8:R118)</f>
        <v>3484300</v>
      </c>
      <c r="Z118" s="38">
        <f>SUM(S$8:S118)</f>
        <v>24042</v>
      </c>
      <c r="AA118" s="38">
        <f>SUM(T$8:T118)</f>
        <v>12022</v>
      </c>
      <c r="AB118" s="38">
        <f>SUM(U$8:U118)</f>
        <v>5674</v>
      </c>
      <c r="AC118" s="38">
        <f>SUM(V$8:V118)</f>
        <v>666</v>
      </c>
      <c r="AD118" s="38">
        <f t="shared" si="45"/>
        <v>1061038</v>
      </c>
    </row>
    <row r="119" spans="1:30" x14ac:dyDescent="0.25">
      <c r="A119" s="86" t="s">
        <v>253</v>
      </c>
      <c r="B119" s="14">
        <v>112</v>
      </c>
      <c r="C119" s="14">
        <f t="shared" si="39"/>
        <v>88</v>
      </c>
      <c r="D119" s="38">
        <f t="shared" si="38"/>
        <v>44</v>
      </c>
      <c r="E119" s="38">
        <f t="shared" si="37"/>
        <v>21</v>
      </c>
      <c r="F119" s="38">
        <f t="shared" si="36"/>
        <v>1170</v>
      </c>
      <c r="G119" s="74">
        <f t="shared" si="44"/>
        <v>1487</v>
      </c>
      <c r="H119" s="70">
        <v>21700</v>
      </c>
      <c r="I119" s="38"/>
      <c r="J119" s="70">
        <v>43200</v>
      </c>
      <c r="K119" s="38">
        <v>6</v>
      </c>
      <c r="L119" s="77"/>
      <c r="M119" s="70">
        <v>440</v>
      </c>
      <c r="N119" s="38">
        <v>220</v>
      </c>
      <c r="O119" s="38">
        <v>107</v>
      </c>
      <c r="P119" s="68">
        <v>200</v>
      </c>
      <c r="Q119" s="38">
        <f t="shared" si="42"/>
        <v>200</v>
      </c>
      <c r="R119" s="38">
        <f t="shared" si="29"/>
        <v>64900</v>
      </c>
      <c r="S119" s="38">
        <f t="shared" si="30"/>
        <v>440</v>
      </c>
      <c r="T119" s="38">
        <f t="shared" si="31"/>
        <v>220</v>
      </c>
      <c r="U119" s="38">
        <f t="shared" si="32"/>
        <v>107</v>
      </c>
      <c r="V119" s="38">
        <f t="shared" si="43"/>
        <v>6</v>
      </c>
      <c r="W119" s="38">
        <f t="shared" si="33"/>
        <v>19571</v>
      </c>
      <c r="X119" s="38">
        <f>SUM(Q$8:Q119)</f>
        <v>20900</v>
      </c>
      <c r="Y119" s="38">
        <f>SUM(R$8:R119)</f>
        <v>3549200</v>
      </c>
      <c r="Z119" s="38">
        <f>SUM(S$8:S119)</f>
        <v>24482</v>
      </c>
      <c r="AA119" s="38">
        <f>SUM(T$8:T119)</f>
        <v>12242</v>
      </c>
      <c r="AB119" s="38">
        <f>SUM(U$8:U119)</f>
        <v>5781</v>
      </c>
      <c r="AC119" s="38">
        <f>SUM(V$8:V119)</f>
        <v>672</v>
      </c>
      <c r="AD119" s="38">
        <f t="shared" si="45"/>
        <v>1080609</v>
      </c>
    </row>
    <row r="120" spans="1:30" x14ac:dyDescent="0.25">
      <c r="A120" s="86" t="s">
        <v>253</v>
      </c>
      <c r="B120" s="14">
        <v>113</v>
      </c>
      <c r="C120" s="14">
        <f t="shared" si="39"/>
        <v>89</v>
      </c>
      <c r="D120" s="38">
        <f t="shared" si="38"/>
        <v>44</v>
      </c>
      <c r="E120" s="38">
        <f t="shared" si="37"/>
        <v>22</v>
      </c>
      <c r="F120" s="38">
        <f t="shared" si="36"/>
        <v>1190</v>
      </c>
      <c r="G120" s="74">
        <f t="shared" si="44"/>
        <v>1537</v>
      </c>
      <c r="H120" s="70">
        <v>21900</v>
      </c>
      <c r="I120" s="38"/>
      <c r="J120" s="70">
        <v>43600</v>
      </c>
      <c r="K120" s="38">
        <v>6</v>
      </c>
      <c r="L120" s="77"/>
      <c r="M120" s="70">
        <v>444</v>
      </c>
      <c r="N120" s="38">
        <v>222</v>
      </c>
      <c r="O120" s="38">
        <v>108</v>
      </c>
      <c r="P120" s="68">
        <v>200</v>
      </c>
      <c r="Q120" s="38">
        <f t="shared" si="42"/>
        <v>200</v>
      </c>
      <c r="R120" s="38">
        <f t="shared" si="29"/>
        <v>65500</v>
      </c>
      <c r="S120" s="38">
        <f t="shared" si="30"/>
        <v>444</v>
      </c>
      <c r="T120" s="38">
        <f t="shared" si="31"/>
        <v>222</v>
      </c>
      <c r="U120" s="38">
        <f t="shared" si="32"/>
        <v>108</v>
      </c>
      <c r="V120" s="38">
        <f t="shared" si="43"/>
        <v>6</v>
      </c>
      <c r="W120" s="38">
        <f t="shared" si="33"/>
        <v>19750</v>
      </c>
      <c r="X120" s="38">
        <f>SUM(Q$8:Q120)</f>
        <v>21100</v>
      </c>
      <c r="Y120" s="38">
        <f>SUM(R$8:R120)</f>
        <v>3614700</v>
      </c>
      <c r="Z120" s="38">
        <f>SUM(S$8:S120)</f>
        <v>24926</v>
      </c>
      <c r="AA120" s="38">
        <f>SUM(T$8:T120)</f>
        <v>12464</v>
      </c>
      <c r="AB120" s="38">
        <f>SUM(U$8:U120)</f>
        <v>5889</v>
      </c>
      <c r="AC120" s="38">
        <f>SUM(V$8:V120)</f>
        <v>678</v>
      </c>
      <c r="AD120" s="38">
        <f t="shared" si="45"/>
        <v>1100359</v>
      </c>
    </row>
    <row r="121" spans="1:30" x14ac:dyDescent="0.25">
      <c r="A121" s="86" t="s">
        <v>253</v>
      </c>
      <c r="B121" s="14">
        <v>114</v>
      </c>
      <c r="C121" s="14">
        <f t="shared" si="39"/>
        <v>90</v>
      </c>
      <c r="D121" s="38">
        <f t="shared" si="38"/>
        <v>45</v>
      </c>
      <c r="E121" s="38">
        <f t="shared" si="37"/>
        <v>22</v>
      </c>
      <c r="F121" s="38">
        <f t="shared" si="36"/>
        <v>1190</v>
      </c>
      <c r="G121" s="74">
        <f t="shared" si="44"/>
        <v>1543</v>
      </c>
      <c r="H121" s="70">
        <v>22100</v>
      </c>
      <c r="I121" s="38"/>
      <c r="J121" s="70">
        <v>44000</v>
      </c>
      <c r="K121" s="38">
        <v>6</v>
      </c>
      <c r="L121" s="77"/>
      <c r="M121" s="70">
        <v>448</v>
      </c>
      <c r="N121" s="38">
        <v>224</v>
      </c>
      <c r="O121" s="38">
        <v>109</v>
      </c>
      <c r="P121" s="68">
        <v>200</v>
      </c>
      <c r="Q121" s="38">
        <f t="shared" si="42"/>
        <v>200</v>
      </c>
      <c r="R121" s="38">
        <f t="shared" si="29"/>
        <v>66100</v>
      </c>
      <c r="S121" s="38">
        <f t="shared" si="30"/>
        <v>448</v>
      </c>
      <c r="T121" s="38">
        <f t="shared" si="31"/>
        <v>224</v>
      </c>
      <c r="U121" s="38">
        <f t="shared" si="32"/>
        <v>109</v>
      </c>
      <c r="V121" s="38">
        <f t="shared" si="43"/>
        <v>6</v>
      </c>
      <c r="W121" s="38">
        <f t="shared" si="33"/>
        <v>19929</v>
      </c>
      <c r="X121" s="38">
        <f>SUM(Q$8:Q121)</f>
        <v>21300</v>
      </c>
      <c r="Y121" s="38">
        <f>SUM(R$8:R121)</f>
        <v>3680800</v>
      </c>
      <c r="Z121" s="38">
        <f>SUM(S$8:S121)</f>
        <v>25374</v>
      </c>
      <c r="AA121" s="38">
        <f>SUM(T$8:T121)</f>
        <v>12688</v>
      </c>
      <c r="AB121" s="38">
        <f>SUM(U$8:U121)</f>
        <v>5998</v>
      </c>
      <c r="AC121" s="38">
        <f>SUM(V$8:V121)</f>
        <v>684</v>
      </c>
      <c r="AD121" s="38">
        <f t="shared" si="45"/>
        <v>1120288</v>
      </c>
    </row>
    <row r="122" spans="1:30" x14ac:dyDescent="0.25">
      <c r="A122" s="86" t="s">
        <v>253</v>
      </c>
      <c r="B122" s="14">
        <v>115</v>
      </c>
      <c r="C122" s="14">
        <f t="shared" si="39"/>
        <v>90</v>
      </c>
      <c r="D122" s="38">
        <f t="shared" si="38"/>
        <v>45</v>
      </c>
      <c r="E122" s="38">
        <f t="shared" si="37"/>
        <v>22</v>
      </c>
      <c r="F122" s="38">
        <f t="shared" si="36"/>
        <v>1210</v>
      </c>
      <c r="G122" s="74">
        <f t="shared" si="44"/>
        <v>1547</v>
      </c>
      <c r="H122" s="70">
        <v>22300</v>
      </c>
      <c r="I122" s="38"/>
      <c r="J122" s="70">
        <v>44400</v>
      </c>
      <c r="K122" s="38">
        <v>6</v>
      </c>
      <c r="L122" s="77"/>
      <c r="M122" s="70">
        <v>452</v>
      </c>
      <c r="N122" s="38">
        <v>226</v>
      </c>
      <c r="O122" s="38">
        <v>110</v>
      </c>
      <c r="P122" s="68">
        <v>200</v>
      </c>
      <c r="Q122" s="38">
        <f t="shared" si="42"/>
        <v>200</v>
      </c>
      <c r="R122" s="38">
        <f t="shared" si="29"/>
        <v>66700</v>
      </c>
      <c r="S122" s="38">
        <f t="shared" si="30"/>
        <v>452</v>
      </c>
      <c r="T122" s="38">
        <f t="shared" si="31"/>
        <v>226</v>
      </c>
      <c r="U122" s="38">
        <f t="shared" si="32"/>
        <v>110</v>
      </c>
      <c r="V122" s="38">
        <f t="shared" si="43"/>
        <v>6</v>
      </c>
      <c r="W122" s="38">
        <f t="shared" si="33"/>
        <v>20108</v>
      </c>
      <c r="X122" s="38">
        <f>SUM(Q$8:Q122)</f>
        <v>21500</v>
      </c>
      <c r="Y122" s="38">
        <f>SUM(R$8:R122)</f>
        <v>3747500</v>
      </c>
      <c r="Z122" s="38">
        <f>SUM(S$8:S122)</f>
        <v>25826</v>
      </c>
      <c r="AA122" s="38">
        <f>SUM(T$8:T122)</f>
        <v>12914</v>
      </c>
      <c r="AB122" s="38">
        <f>SUM(U$8:U122)</f>
        <v>6108</v>
      </c>
      <c r="AC122" s="38">
        <f>SUM(V$8:V122)</f>
        <v>690</v>
      </c>
      <c r="AD122" s="38">
        <f t="shared" si="45"/>
        <v>1140396</v>
      </c>
    </row>
    <row r="123" spans="1:30" x14ac:dyDescent="0.25">
      <c r="A123" s="86" t="s">
        <v>253</v>
      </c>
      <c r="B123" s="14">
        <v>116</v>
      </c>
      <c r="C123" s="14">
        <f t="shared" si="39"/>
        <v>91</v>
      </c>
      <c r="D123" s="38">
        <f t="shared" si="38"/>
        <v>45</v>
      </c>
      <c r="E123" s="38">
        <f t="shared" si="37"/>
        <v>22</v>
      </c>
      <c r="F123" s="38">
        <f t="shared" si="36"/>
        <v>1210</v>
      </c>
      <c r="G123" s="74">
        <f t="shared" si="44"/>
        <v>1548</v>
      </c>
      <c r="H123" s="70">
        <v>22500</v>
      </c>
      <c r="I123" s="38"/>
      <c r="J123" s="70">
        <v>44800</v>
      </c>
      <c r="K123" s="38">
        <v>6</v>
      </c>
      <c r="L123" s="77"/>
      <c r="M123" s="70">
        <v>456</v>
      </c>
      <c r="N123" s="38">
        <v>228</v>
      </c>
      <c r="O123" s="38">
        <v>111</v>
      </c>
      <c r="P123" s="68">
        <v>200</v>
      </c>
      <c r="Q123" s="38">
        <f t="shared" si="42"/>
        <v>200</v>
      </c>
      <c r="R123" s="38">
        <f t="shared" si="29"/>
        <v>67300</v>
      </c>
      <c r="S123" s="38">
        <f t="shared" si="30"/>
        <v>456</v>
      </c>
      <c r="T123" s="38">
        <f t="shared" si="31"/>
        <v>228</v>
      </c>
      <c r="U123" s="38">
        <f t="shared" si="32"/>
        <v>111</v>
      </c>
      <c r="V123" s="38">
        <f t="shared" si="43"/>
        <v>6</v>
      </c>
      <c r="W123" s="38">
        <f t="shared" si="33"/>
        <v>20287</v>
      </c>
      <c r="X123" s="38">
        <f>SUM(Q$8:Q123)</f>
        <v>21700</v>
      </c>
      <c r="Y123" s="38">
        <f>SUM(R$8:R123)</f>
        <v>3814800</v>
      </c>
      <c r="Z123" s="38">
        <f>SUM(S$8:S123)</f>
        <v>26282</v>
      </c>
      <c r="AA123" s="38">
        <f>SUM(T$8:T123)</f>
        <v>13142</v>
      </c>
      <c r="AB123" s="38">
        <f>SUM(U$8:U123)</f>
        <v>6219</v>
      </c>
      <c r="AC123" s="38">
        <f>SUM(V$8:V123)</f>
        <v>696</v>
      </c>
      <c r="AD123" s="38">
        <f t="shared" si="45"/>
        <v>1160683</v>
      </c>
    </row>
    <row r="124" spans="1:30" x14ac:dyDescent="0.25">
      <c r="A124" s="86" t="s">
        <v>253</v>
      </c>
      <c r="B124" s="14">
        <v>117</v>
      </c>
      <c r="C124" s="14">
        <f t="shared" si="39"/>
        <v>92</v>
      </c>
      <c r="D124" s="38">
        <f t="shared" si="38"/>
        <v>46</v>
      </c>
      <c r="E124" s="38">
        <f t="shared" si="37"/>
        <v>22</v>
      </c>
      <c r="F124" s="38">
        <f t="shared" si="36"/>
        <v>1230</v>
      </c>
      <c r="G124" s="74">
        <f t="shared" si="44"/>
        <v>1558</v>
      </c>
      <c r="H124" s="70">
        <v>22700</v>
      </c>
      <c r="I124" s="38"/>
      <c r="J124" s="70">
        <v>45200</v>
      </c>
      <c r="K124" s="38">
        <v>6</v>
      </c>
      <c r="L124" s="77"/>
      <c r="M124" s="70">
        <v>460</v>
      </c>
      <c r="N124" s="38">
        <v>230</v>
      </c>
      <c r="O124" s="38">
        <v>112</v>
      </c>
      <c r="P124" s="68">
        <v>200</v>
      </c>
      <c r="Q124" s="38">
        <f t="shared" si="42"/>
        <v>200</v>
      </c>
      <c r="R124" s="38">
        <f t="shared" si="29"/>
        <v>67900</v>
      </c>
      <c r="S124" s="38">
        <f t="shared" si="30"/>
        <v>460</v>
      </c>
      <c r="T124" s="38">
        <f t="shared" si="31"/>
        <v>230</v>
      </c>
      <c r="U124" s="38">
        <f t="shared" si="32"/>
        <v>112</v>
      </c>
      <c r="V124" s="38">
        <f t="shared" si="43"/>
        <v>6</v>
      </c>
      <c r="W124" s="38">
        <f t="shared" si="33"/>
        <v>20466</v>
      </c>
      <c r="X124" s="38">
        <f>SUM(Q$8:Q124)</f>
        <v>21900</v>
      </c>
      <c r="Y124" s="38">
        <f>SUM(R$8:R124)</f>
        <v>3882700</v>
      </c>
      <c r="Z124" s="38">
        <f>SUM(S$8:S124)</f>
        <v>26742</v>
      </c>
      <c r="AA124" s="38">
        <f>SUM(T$8:T124)</f>
        <v>13372</v>
      </c>
      <c r="AB124" s="38">
        <f>SUM(U$8:U124)</f>
        <v>6331</v>
      </c>
      <c r="AC124" s="38">
        <f>SUM(V$8:V124)</f>
        <v>702</v>
      </c>
      <c r="AD124" s="38">
        <f t="shared" si="45"/>
        <v>1181149</v>
      </c>
    </row>
    <row r="125" spans="1:30" x14ac:dyDescent="0.25">
      <c r="A125" s="86" t="s">
        <v>253</v>
      </c>
      <c r="B125" s="14">
        <v>118</v>
      </c>
      <c r="C125" s="14">
        <f t="shared" si="39"/>
        <v>93</v>
      </c>
      <c r="D125" s="38">
        <f t="shared" si="38"/>
        <v>46</v>
      </c>
      <c r="E125" s="38">
        <f t="shared" si="37"/>
        <v>23</v>
      </c>
      <c r="F125" s="38">
        <f t="shared" si="36"/>
        <v>1230</v>
      </c>
      <c r="G125" s="74">
        <f t="shared" si="44"/>
        <v>1604</v>
      </c>
      <c r="H125" s="70">
        <v>22900</v>
      </c>
      <c r="I125" s="38"/>
      <c r="J125" s="70">
        <v>45600</v>
      </c>
      <c r="K125" s="38">
        <v>6</v>
      </c>
      <c r="L125" s="77"/>
      <c r="M125" s="70">
        <v>464</v>
      </c>
      <c r="N125" s="38">
        <v>232</v>
      </c>
      <c r="O125" s="38">
        <v>113</v>
      </c>
      <c r="P125" s="68">
        <v>200</v>
      </c>
      <c r="Q125" s="38">
        <f t="shared" si="42"/>
        <v>200</v>
      </c>
      <c r="R125" s="38">
        <f t="shared" si="29"/>
        <v>68500</v>
      </c>
      <c r="S125" s="38">
        <f t="shared" si="30"/>
        <v>464</v>
      </c>
      <c r="T125" s="38">
        <f t="shared" si="31"/>
        <v>232</v>
      </c>
      <c r="U125" s="38">
        <f t="shared" si="32"/>
        <v>113</v>
      </c>
      <c r="V125" s="38">
        <f t="shared" si="43"/>
        <v>6</v>
      </c>
      <c r="W125" s="38">
        <f t="shared" si="33"/>
        <v>20645</v>
      </c>
      <c r="X125" s="38">
        <f>SUM(Q$8:Q125)</f>
        <v>22100</v>
      </c>
      <c r="Y125" s="38">
        <f>SUM(R$8:R125)</f>
        <v>3951200</v>
      </c>
      <c r="Z125" s="38">
        <f>SUM(S$8:S125)</f>
        <v>27206</v>
      </c>
      <c r="AA125" s="38">
        <f>SUM(T$8:T125)</f>
        <v>13604</v>
      </c>
      <c r="AB125" s="38">
        <f>SUM(U$8:U125)</f>
        <v>6444</v>
      </c>
      <c r="AC125" s="38">
        <f>SUM(V$8:V125)</f>
        <v>708</v>
      </c>
      <c r="AD125" s="38">
        <f t="shared" si="45"/>
        <v>1201794</v>
      </c>
    </row>
    <row r="126" spans="1:30" x14ac:dyDescent="0.25">
      <c r="A126" s="86" t="s">
        <v>253</v>
      </c>
      <c r="B126" s="14">
        <v>119</v>
      </c>
      <c r="C126" s="14">
        <f t="shared" si="39"/>
        <v>94</v>
      </c>
      <c r="D126" s="38">
        <f t="shared" si="38"/>
        <v>47</v>
      </c>
      <c r="E126" s="38">
        <f t="shared" si="37"/>
        <v>23</v>
      </c>
      <c r="F126" s="38">
        <f t="shared" si="36"/>
        <v>1250</v>
      </c>
      <c r="G126" s="74">
        <f t="shared" si="44"/>
        <v>1614</v>
      </c>
      <c r="H126" s="70">
        <v>23100</v>
      </c>
      <c r="I126" s="38"/>
      <c r="J126" s="70">
        <v>46000</v>
      </c>
      <c r="K126" s="38">
        <v>6</v>
      </c>
      <c r="L126" s="77"/>
      <c r="M126" s="70">
        <v>468</v>
      </c>
      <c r="N126" s="38">
        <v>234</v>
      </c>
      <c r="O126" s="38">
        <v>114</v>
      </c>
      <c r="P126" s="68">
        <v>200</v>
      </c>
      <c r="Q126" s="38">
        <f t="shared" si="42"/>
        <v>200</v>
      </c>
      <c r="R126" s="38">
        <f t="shared" si="29"/>
        <v>69100</v>
      </c>
      <c r="S126" s="38">
        <f t="shared" si="30"/>
        <v>468</v>
      </c>
      <c r="T126" s="38">
        <f t="shared" si="31"/>
        <v>234</v>
      </c>
      <c r="U126" s="38">
        <f t="shared" si="32"/>
        <v>114</v>
      </c>
      <c r="V126" s="38">
        <f t="shared" si="43"/>
        <v>6</v>
      </c>
      <c r="W126" s="38">
        <f t="shared" si="33"/>
        <v>20824</v>
      </c>
      <c r="X126" s="38">
        <f>SUM(Q$8:Q126)</f>
        <v>22300</v>
      </c>
      <c r="Y126" s="38">
        <f>SUM(R$8:R126)</f>
        <v>4020300</v>
      </c>
      <c r="Z126" s="38">
        <f>SUM(S$8:S126)</f>
        <v>27674</v>
      </c>
      <c r="AA126" s="38">
        <f>SUM(T$8:T126)</f>
        <v>13838</v>
      </c>
      <c r="AB126" s="38">
        <f>SUM(U$8:U126)</f>
        <v>6558</v>
      </c>
      <c r="AC126" s="38">
        <f>SUM(V$8:V126)</f>
        <v>714</v>
      </c>
      <c r="AD126" s="38">
        <f t="shared" si="45"/>
        <v>1222618</v>
      </c>
    </row>
    <row r="127" spans="1:30" x14ac:dyDescent="0.25">
      <c r="A127" s="86" t="s">
        <v>253</v>
      </c>
      <c r="B127" s="14">
        <v>120</v>
      </c>
      <c r="C127" s="14">
        <f t="shared" si="39"/>
        <v>94</v>
      </c>
      <c r="D127" s="38">
        <f t="shared" si="38"/>
        <v>47</v>
      </c>
      <c r="E127" s="38">
        <f t="shared" si="37"/>
        <v>23</v>
      </c>
      <c r="F127" s="38">
        <f t="shared" si="36"/>
        <v>1250</v>
      </c>
      <c r="G127" s="74">
        <f t="shared" si="44"/>
        <v>1614</v>
      </c>
      <c r="H127" s="70">
        <v>23300</v>
      </c>
      <c r="I127" s="38"/>
      <c r="J127" s="70">
        <v>46400</v>
      </c>
      <c r="K127" s="38">
        <v>6</v>
      </c>
      <c r="L127" s="77"/>
      <c r="M127" s="70">
        <v>472</v>
      </c>
      <c r="N127" s="38">
        <v>236</v>
      </c>
      <c r="O127" s="38">
        <v>115</v>
      </c>
      <c r="P127" s="68">
        <v>200</v>
      </c>
      <c r="Q127" s="38">
        <f t="shared" si="42"/>
        <v>200</v>
      </c>
      <c r="R127" s="38">
        <f t="shared" si="29"/>
        <v>69700</v>
      </c>
      <c r="S127" s="38">
        <f t="shared" si="30"/>
        <v>472</v>
      </c>
      <c r="T127" s="38">
        <f t="shared" si="31"/>
        <v>236</v>
      </c>
      <c r="U127" s="38">
        <f t="shared" si="32"/>
        <v>115</v>
      </c>
      <c r="V127" s="38">
        <f t="shared" si="43"/>
        <v>6</v>
      </c>
      <c r="W127" s="38">
        <f t="shared" si="33"/>
        <v>21003</v>
      </c>
      <c r="X127" s="38">
        <f>SUM(Q$8:Q127)</f>
        <v>22500</v>
      </c>
      <c r="Y127" s="38">
        <f>SUM(R$8:R127)</f>
        <v>4090000</v>
      </c>
      <c r="Z127" s="38">
        <f>SUM(S$8:S127)</f>
        <v>28146</v>
      </c>
      <c r="AA127" s="38">
        <f>SUM(T$8:T127)</f>
        <v>14074</v>
      </c>
      <c r="AB127" s="38">
        <f>SUM(U$8:U127)</f>
        <v>6673</v>
      </c>
      <c r="AC127" s="38">
        <f>SUM(V$8:V127)</f>
        <v>720</v>
      </c>
      <c r="AD127" s="38">
        <f t="shared" si="45"/>
        <v>1243621</v>
      </c>
    </row>
    <row r="128" spans="1:30" x14ac:dyDescent="0.25">
      <c r="A128" s="86" t="s">
        <v>253</v>
      </c>
      <c r="B128" s="14">
        <v>121</v>
      </c>
      <c r="C128" s="14">
        <f t="shared" si="39"/>
        <v>95</v>
      </c>
      <c r="D128" s="38">
        <f t="shared" si="38"/>
        <v>47</v>
      </c>
      <c r="E128" s="38">
        <f t="shared" si="37"/>
        <v>23</v>
      </c>
      <c r="F128" s="38">
        <f t="shared" si="36"/>
        <v>1270</v>
      </c>
      <c r="G128" s="74">
        <f t="shared" si="44"/>
        <v>1619</v>
      </c>
      <c r="H128" s="70">
        <v>23500</v>
      </c>
      <c r="I128" s="38"/>
      <c r="J128" s="70">
        <v>46800</v>
      </c>
      <c r="K128" s="38">
        <v>6</v>
      </c>
      <c r="L128" s="77"/>
      <c r="M128" s="70">
        <v>476</v>
      </c>
      <c r="N128" s="38">
        <v>238</v>
      </c>
      <c r="O128" s="38">
        <v>116</v>
      </c>
      <c r="P128" s="68">
        <v>200</v>
      </c>
      <c r="Q128" s="38">
        <f t="shared" si="42"/>
        <v>200</v>
      </c>
      <c r="R128" s="38">
        <f t="shared" si="29"/>
        <v>70300</v>
      </c>
      <c r="S128" s="38">
        <f t="shared" si="30"/>
        <v>476</v>
      </c>
      <c r="T128" s="38">
        <f t="shared" si="31"/>
        <v>238</v>
      </c>
      <c r="U128" s="38">
        <f t="shared" si="32"/>
        <v>116</v>
      </c>
      <c r="V128" s="38">
        <f t="shared" si="43"/>
        <v>6</v>
      </c>
      <c r="W128" s="38">
        <f t="shared" si="33"/>
        <v>21182</v>
      </c>
      <c r="X128" s="38">
        <f>SUM(Q$8:Q128)</f>
        <v>22700</v>
      </c>
      <c r="Y128" s="38">
        <f>SUM(R$8:R128)</f>
        <v>4160300</v>
      </c>
      <c r="Z128" s="38">
        <f>SUM(S$8:S128)</f>
        <v>28622</v>
      </c>
      <c r="AA128" s="38">
        <f>SUM(T$8:T128)</f>
        <v>14312</v>
      </c>
      <c r="AB128" s="38">
        <f>SUM(U$8:U128)</f>
        <v>6789</v>
      </c>
      <c r="AC128" s="38">
        <f>SUM(V$8:V128)</f>
        <v>726</v>
      </c>
      <c r="AD128" s="38">
        <f t="shared" si="45"/>
        <v>1264803</v>
      </c>
    </row>
    <row r="129" spans="1:50" x14ac:dyDescent="0.25">
      <c r="A129" s="86" t="s">
        <v>253</v>
      </c>
      <c r="B129" s="14">
        <v>122</v>
      </c>
      <c r="C129" s="14">
        <f t="shared" si="39"/>
        <v>96</v>
      </c>
      <c r="D129" s="38">
        <f t="shared" si="38"/>
        <v>48</v>
      </c>
      <c r="E129" s="38">
        <f t="shared" si="37"/>
        <v>23</v>
      </c>
      <c r="F129" s="38">
        <f t="shared" si="36"/>
        <v>1270</v>
      </c>
      <c r="G129" s="74">
        <f t="shared" si="44"/>
        <v>1625</v>
      </c>
      <c r="H129" s="70">
        <v>23700</v>
      </c>
      <c r="I129" s="38"/>
      <c r="J129" s="70">
        <v>47200</v>
      </c>
      <c r="K129" s="38">
        <v>6</v>
      </c>
      <c r="L129" s="77"/>
      <c r="M129" s="70">
        <v>480</v>
      </c>
      <c r="N129" s="38">
        <v>240</v>
      </c>
      <c r="O129" s="38">
        <v>117</v>
      </c>
      <c r="P129" s="68">
        <v>200</v>
      </c>
      <c r="Q129" s="38">
        <f t="shared" si="42"/>
        <v>200</v>
      </c>
      <c r="R129" s="38">
        <f t="shared" si="29"/>
        <v>70900</v>
      </c>
      <c r="S129" s="38">
        <f t="shared" si="30"/>
        <v>480</v>
      </c>
      <c r="T129" s="38">
        <f t="shared" si="31"/>
        <v>240</v>
      </c>
      <c r="U129" s="38">
        <f t="shared" si="32"/>
        <v>117</v>
      </c>
      <c r="V129" s="38">
        <f t="shared" si="43"/>
        <v>6</v>
      </c>
      <c r="W129" s="38">
        <f t="shared" si="33"/>
        <v>21361</v>
      </c>
      <c r="X129" s="38">
        <f>SUM(Q$8:Q129)</f>
        <v>22900</v>
      </c>
      <c r="Y129" s="38">
        <f>SUM(R$8:R129)</f>
        <v>4231200</v>
      </c>
      <c r="Z129" s="38">
        <f>SUM(S$8:S129)</f>
        <v>29102</v>
      </c>
      <c r="AA129" s="38">
        <f>SUM(T$8:T129)</f>
        <v>14552</v>
      </c>
      <c r="AB129" s="38">
        <f>SUM(U$8:U129)</f>
        <v>6906</v>
      </c>
      <c r="AC129" s="38">
        <f>SUM(V$8:V129)</f>
        <v>732</v>
      </c>
      <c r="AD129" s="38">
        <f t="shared" si="45"/>
        <v>1286164</v>
      </c>
    </row>
    <row r="130" spans="1:50" x14ac:dyDescent="0.25">
      <c r="A130" s="86" t="s">
        <v>253</v>
      </c>
      <c r="B130" s="14">
        <v>123</v>
      </c>
      <c r="C130" s="14">
        <f t="shared" si="39"/>
        <v>97</v>
      </c>
      <c r="D130" s="38">
        <f t="shared" si="38"/>
        <v>48</v>
      </c>
      <c r="E130" s="38">
        <f t="shared" si="37"/>
        <v>24</v>
      </c>
      <c r="F130" s="38">
        <f t="shared" si="36"/>
        <v>1290</v>
      </c>
      <c r="G130" s="74">
        <f t="shared" si="44"/>
        <v>1675</v>
      </c>
      <c r="H130" s="70">
        <v>23900</v>
      </c>
      <c r="I130" s="38"/>
      <c r="J130" s="70">
        <v>47600</v>
      </c>
      <c r="K130" s="38">
        <v>6</v>
      </c>
      <c r="L130" s="77"/>
      <c r="M130" s="70">
        <v>484</v>
      </c>
      <c r="N130" s="38">
        <v>242</v>
      </c>
      <c r="O130" s="38">
        <v>118</v>
      </c>
      <c r="P130" s="68">
        <v>200</v>
      </c>
      <c r="Q130" s="38">
        <f t="shared" si="42"/>
        <v>200</v>
      </c>
      <c r="R130" s="38">
        <f t="shared" si="29"/>
        <v>71500</v>
      </c>
      <c r="S130" s="38">
        <f t="shared" si="30"/>
        <v>484</v>
      </c>
      <c r="T130" s="38">
        <f t="shared" si="31"/>
        <v>242</v>
      </c>
      <c r="U130" s="38">
        <f t="shared" si="32"/>
        <v>118</v>
      </c>
      <c r="V130" s="38">
        <f t="shared" si="43"/>
        <v>6</v>
      </c>
      <c r="W130" s="38">
        <f t="shared" si="33"/>
        <v>21540</v>
      </c>
      <c r="X130" s="38">
        <f>SUM(Q$8:Q130)</f>
        <v>23100</v>
      </c>
      <c r="Y130" s="38">
        <f>SUM(R$8:R130)</f>
        <v>4302700</v>
      </c>
      <c r="Z130" s="38">
        <f>SUM(S$8:S130)</f>
        <v>29586</v>
      </c>
      <c r="AA130" s="38">
        <f>SUM(T$8:T130)</f>
        <v>14794</v>
      </c>
      <c r="AB130" s="38">
        <f>SUM(U$8:U130)</f>
        <v>7024</v>
      </c>
      <c r="AC130" s="38">
        <f>SUM(V$8:V130)</f>
        <v>738</v>
      </c>
      <c r="AD130" s="38">
        <f t="shared" si="45"/>
        <v>1307704</v>
      </c>
    </row>
    <row r="131" spans="1:50" x14ac:dyDescent="0.25">
      <c r="A131" s="86" t="s">
        <v>253</v>
      </c>
      <c r="B131" s="14">
        <v>124</v>
      </c>
      <c r="C131" s="14">
        <f t="shared" si="39"/>
        <v>98</v>
      </c>
      <c r="D131" s="38">
        <f t="shared" si="38"/>
        <v>49</v>
      </c>
      <c r="E131" s="38">
        <f t="shared" si="37"/>
        <v>24</v>
      </c>
      <c r="F131" s="38">
        <f t="shared" si="36"/>
        <v>1290</v>
      </c>
      <c r="G131" s="74">
        <f t="shared" si="44"/>
        <v>1681</v>
      </c>
      <c r="H131" s="70">
        <v>24100</v>
      </c>
      <c r="I131" s="38"/>
      <c r="J131" s="70">
        <v>48000</v>
      </c>
      <c r="K131" s="38">
        <v>6</v>
      </c>
      <c r="L131" s="77"/>
      <c r="M131" s="70">
        <v>488</v>
      </c>
      <c r="N131" s="38">
        <v>244</v>
      </c>
      <c r="O131" s="38">
        <v>119</v>
      </c>
      <c r="P131" s="68">
        <v>200</v>
      </c>
      <c r="Q131" s="38">
        <f t="shared" si="42"/>
        <v>200</v>
      </c>
      <c r="R131" s="38">
        <f t="shared" si="29"/>
        <v>72100</v>
      </c>
      <c r="S131" s="38">
        <f t="shared" si="30"/>
        <v>488</v>
      </c>
      <c r="T131" s="38">
        <f t="shared" si="31"/>
        <v>244</v>
      </c>
      <c r="U131" s="38">
        <f t="shared" si="32"/>
        <v>119</v>
      </c>
      <c r="V131" s="38">
        <f t="shared" si="43"/>
        <v>6</v>
      </c>
      <c r="W131" s="38">
        <f t="shared" si="33"/>
        <v>21719</v>
      </c>
      <c r="X131" s="38">
        <f>SUM(Q$8:Q131)</f>
        <v>23300</v>
      </c>
      <c r="Y131" s="38">
        <f>SUM(R$8:R131)</f>
        <v>4374800</v>
      </c>
      <c r="Z131" s="38">
        <f>SUM(S$8:S131)</f>
        <v>30074</v>
      </c>
      <c r="AA131" s="38">
        <f>SUM(T$8:T131)</f>
        <v>15038</v>
      </c>
      <c r="AB131" s="38">
        <f>SUM(U$8:U131)</f>
        <v>7143</v>
      </c>
      <c r="AC131" s="38">
        <f>SUM(V$8:V131)</f>
        <v>744</v>
      </c>
      <c r="AD131" s="38">
        <f t="shared" si="45"/>
        <v>1329423</v>
      </c>
    </row>
    <row r="132" spans="1:50" x14ac:dyDescent="0.25">
      <c r="A132" s="86" t="s">
        <v>253</v>
      </c>
      <c r="B132" s="14">
        <v>125</v>
      </c>
      <c r="C132" s="14">
        <f t="shared" si="39"/>
        <v>98</v>
      </c>
      <c r="D132" s="38">
        <f t="shared" si="38"/>
        <v>49</v>
      </c>
      <c r="E132" s="38">
        <f t="shared" si="37"/>
        <v>24</v>
      </c>
      <c r="F132" s="38">
        <f t="shared" si="36"/>
        <v>1310</v>
      </c>
      <c r="G132" s="74">
        <f t="shared" si="44"/>
        <v>1685</v>
      </c>
      <c r="H132" s="70">
        <v>24300</v>
      </c>
      <c r="I132" s="38"/>
      <c r="J132" s="70">
        <v>48400</v>
      </c>
      <c r="K132" s="38">
        <v>6</v>
      </c>
      <c r="L132" s="77"/>
      <c r="M132" s="70">
        <v>492</v>
      </c>
      <c r="N132" s="38">
        <v>246</v>
      </c>
      <c r="O132" s="38">
        <v>120</v>
      </c>
      <c r="P132" s="68">
        <v>200</v>
      </c>
      <c r="Q132" s="38">
        <f t="shared" si="42"/>
        <v>200</v>
      </c>
      <c r="R132" s="38">
        <f t="shared" si="29"/>
        <v>72700</v>
      </c>
      <c r="S132" s="38">
        <f t="shared" si="30"/>
        <v>492</v>
      </c>
      <c r="T132" s="38">
        <f t="shared" si="31"/>
        <v>246</v>
      </c>
      <c r="U132" s="38">
        <f t="shared" si="32"/>
        <v>120</v>
      </c>
      <c r="V132" s="38">
        <f t="shared" si="43"/>
        <v>6</v>
      </c>
      <c r="W132" s="38">
        <f t="shared" si="33"/>
        <v>21898</v>
      </c>
      <c r="X132" s="38">
        <f>SUM(Q$8:Q132)</f>
        <v>23500</v>
      </c>
      <c r="Y132" s="38">
        <f>SUM(R$8:R132)</f>
        <v>4447500</v>
      </c>
      <c r="Z132" s="38">
        <f>SUM(S$8:S132)</f>
        <v>30566</v>
      </c>
      <c r="AA132" s="38">
        <f>SUM(T$8:T132)</f>
        <v>15284</v>
      </c>
      <c r="AB132" s="38">
        <f>SUM(U$8:U132)</f>
        <v>7263</v>
      </c>
      <c r="AC132" s="38">
        <f>SUM(V$8:V132)</f>
        <v>750</v>
      </c>
      <c r="AD132" s="38">
        <f t="shared" si="45"/>
        <v>1351321</v>
      </c>
    </row>
    <row r="133" spans="1:50" x14ac:dyDescent="0.25">
      <c r="A133" s="86" t="s">
        <v>253</v>
      </c>
      <c r="B133" s="14">
        <v>126</v>
      </c>
      <c r="C133" s="14">
        <f t="shared" si="39"/>
        <v>99</v>
      </c>
      <c r="D133" s="38">
        <f t="shared" si="38"/>
        <v>49</v>
      </c>
      <c r="E133" s="38">
        <f t="shared" si="37"/>
        <v>24</v>
      </c>
      <c r="F133" s="38">
        <f t="shared" si="36"/>
        <v>1310</v>
      </c>
      <c r="G133" s="74">
        <f t="shared" si="44"/>
        <v>1686</v>
      </c>
      <c r="H133" s="70">
        <v>24500</v>
      </c>
      <c r="I133" s="38"/>
      <c r="J133" s="70">
        <v>48800</v>
      </c>
      <c r="K133" s="38">
        <v>6</v>
      </c>
      <c r="L133" s="77"/>
      <c r="M133" s="70">
        <v>496</v>
      </c>
      <c r="N133" s="38">
        <v>248</v>
      </c>
      <c r="O133" s="38">
        <v>121</v>
      </c>
      <c r="P133" s="68">
        <v>200</v>
      </c>
      <c r="Q133" s="38">
        <f t="shared" si="42"/>
        <v>200</v>
      </c>
      <c r="R133" s="38">
        <f t="shared" si="29"/>
        <v>73300</v>
      </c>
      <c r="S133" s="38">
        <f t="shared" si="30"/>
        <v>496</v>
      </c>
      <c r="T133" s="38">
        <f t="shared" si="31"/>
        <v>248</v>
      </c>
      <c r="U133" s="38">
        <f t="shared" si="32"/>
        <v>121</v>
      </c>
      <c r="V133" s="38">
        <f t="shared" si="43"/>
        <v>6</v>
      </c>
      <c r="W133" s="38">
        <f t="shared" si="33"/>
        <v>22077</v>
      </c>
      <c r="X133" s="38">
        <f>SUM(Q$8:Q133)</f>
        <v>23700</v>
      </c>
      <c r="Y133" s="38">
        <f>SUM(R$8:R133)</f>
        <v>4520800</v>
      </c>
      <c r="Z133" s="38">
        <f>SUM(S$8:S133)</f>
        <v>31062</v>
      </c>
      <c r="AA133" s="38">
        <f>SUM(T$8:T133)</f>
        <v>15532</v>
      </c>
      <c r="AB133" s="38">
        <f>SUM(U$8:U133)</f>
        <v>7384</v>
      </c>
      <c r="AC133" s="38">
        <f>SUM(V$8:V133)</f>
        <v>756</v>
      </c>
      <c r="AD133" s="38">
        <f t="shared" si="45"/>
        <v>1373398</v>
      </c>
    </row>
    <row r="134" spans="1:50" x14ac:dyDescent="0.25">
      <c r="A134" s="86" t="s">
        <v>253</v>
      </c>
      <c r="B134" s="14">
        <v>127</v>
      </c>
      <c r="C134" s="14">
        <f t="shared" si="39"/>
        <v>100</v>
      </c>
      <c r="D134" s="38">
        <f t="shared" si="38"/>
        <v>50</v>
      </c>
      <c r="E134" s="38">
        <f t="shared" si="37"/>
        <v>24</v>
      </c>
      <c r="F134" s="38">
        <f t="shared" si="36"/>
        <v>1330</v>
      </c>
      <c r="G134" s="74">
        <f t="shared" si="44"/>
        <v>1696</v>
      </c>
      <c r="H134" s="70">
        <v>24700</v>
      </c>
      <c r="I134" s="38"/>
      <c r="J134" s="70">
        <v>49200</v>
      </c>
      <c r="K134" s="38">
        <v>6</v>
      </c>
      <c r="L134" s="77"/>
      <c r="M134" s="70">
        <v>500</v>
      </c>
      <c r="N134" s="38">
        <v>250</v>
      </c>
      <c r="O134" s="38">
        <v>122</v>
      </c>
      <c r="P134" s="68">
        <v>200</v>
      </c>
      <c r="Q134" s="38">
        <f t="shared" si="42"/>
        <v>200</v>
      </c>
      <c r="R134" s="38">
        <f t="shared" si="29"/>
        <v>73900</v>
      </c>
      <c r="S134" s="38">
        <f t="shared" si="30"/>
        <v>500</v>
      </c>
      <c r="T134" s="38">
        <f t="shared" si="31"/>
        <v>250</v>
      </c>
      <c r="U134" s="38">
        <f t="shared" si="32"/>
        <v>122</v>
      </c>
      <c r="V134" s="38">
        <f t="shared" si="43"/>
        <v>6</v>
      </c>
      <c r="W134" s="38">
        <f t="shared" si="33"/>
        <v>22256</v>
      </c>
      <c r="X134" s="38">
        <f>SUM(Q$8:Q134)</f>
        <v>23900</v>
      </c>
      <c r="Y134" s="38">
        <f>SUM(R$8:R134)</f>
        <v>4594700</v>
      </c>
      <c r="Z134" s="38">
        <f>SUM(S$8:S134)</f>
        <v>31562</v>
      </c>
      <c r="AA134" s="38">
        <f>SUM(T$8:T134)</f>
        <v>15782</v>
      </c>
      <c r="AB134" s="38">
        <f>SUM(U$8:U134)</f>
        <v>7506</v>
      </c>
      <c r="AC134" s="38">
        <f>SUM(V$8:V134)</f>
        <v>762</v>
      </c>
      <c r="AD134" s="38">
        <f t="shared" si="45"/>
        <v>1395654</v>
      </c>
    </row>
    <row r="135" spans="1:50" x14ac:dyDescent="0.25">
      <c r="A135" s="86" t="s">
        <v>253</v>
      </c>
      <c r="B135" s="14">
        <v>128</v>
      </c>
      <c r="C135" s="14">
        <f t="shared" si="39"/>
        <v>101</v>
      </c>
      <c r="D135" s="38">
        <f t="shared" si="38"/>
        <v>50</v>
      </c>
      <c r="E135" s="38">
        <f t="shared" si="37"/>
        <v>25</v>
      </c>
      <c r="F135" s="38">
        <f t="shared" si="36"/>
        <v>1330</v>
      </c>
      <c r="G135" s="74">
        <f t="shared" si="44"/>
        <v>1742</v>
      </c>
      <c r="H135" s="70">
        <v>24900</v>
      </c>
      <c r="I135" s="38"/>
      <c r="J135" s="70">
        <v>49600</v>
      </c>
      <c r="K135" s="38">
        <v>6</v>
      </c>
      <c r="L135" s="77"/>
      <c r="M135" s="70">
        <v>504</v>
      </c>
      <c r="N135" s="38">
        <v>252</v>
      </c>
      <c r="O135" s="38">
        <v>123</v>
      </c>
      <c r="P135" s="68">
        <v>200</v>
      </c>
      <c r="Q135" s="38">
        <f t="shared" si="42"/>
        <v>200</v>
      </c>
      <c r="R135" s="38">
        <f t="shared" si="29"/>
        <v>74500</v>
      </c>
      <c r="S135" s="38">
        <f t="shared" si="30"/>
        <v>504</v>
      </c>
      <c r="T135" s="38">
        <f t="shared" si="31"/>
        <v>252</v>
      </c>
      <c r="U135" s="38">
        <f t="shared" si="32"/>
        <v>123</v>
      </c>
      <c r="V135" s="38">
        <f t="shared" si="43"/>
        <v>6</v>
      </c>
      <c r="W135" s="38">
        <f t="shared" si="33"/>
        <v>22435</v>
      </c>
      <c r="X135" s="38">
        <f>SUM(Q$8:Q135)</f>
        <v>24100</v>
      </c>
      <c r="Y135" s="38">
        <f>SUM(R$8:R135)</f>
        <v>4669200</v>
      </c>
      <c r="Z135" s="38">
        <f>SUM(S$8:S135)</f>
        <v>32066</v>
      </c>
      <c r="AA135" s="38">
        <f>SUM(T$8:T135)</f>
        <v>16034</v>
      </c>
      <c r="AB135" s="38">
        <f>SUM(U$8:U135)</f>
        <v>7629</v>
      </c>
      <c r="AC135" s="38">
        <f>SUM(V$8:V135)</f>
        <v>768</v>
      </c>
      <c r="AD135" s="38">
        <f t="shared" si="45"/>
        <v>1418089</v>
      </c>
    </row>
    <row r="136" spans="1:50" s="1" customFormat="1" x14ac:dyDescent="0.25">
      <c r="A136" s="86" t="s">
        <v>253</v>
      </c>
      <c r="B136" s="14">
        <v>129</v>
      </c>
      <c r="C136" s="14">
        <f t="shared" si="39"/>
        <v>102</v>
      </c>
      <c r="D136" s="38">
        <f t="shared" si="38"/>
        <v>51</v>
      </c>
      <c r="E136" s="38">
        <f t="shared" si="37"/>
        <v>25</v>
      </c>
      <c r="F136" s="38">
        <f t="shared" si="36"/>
        <v>1350</v>
      </c>
      <c r="G136" s="74">
        <f t="shared" si="44"/>
        <v>1752</v>
      </c>
      <c r="H136" s="70">
        <v>25100</v>
      </c>
      <c r="I136" s="38"/>
      <c r="J136" s="70">
        <v>50000</v>
      </c>
      <c r="K136" s="38">
        <v>6</v>
      </c>
      <c r="L136" s="78"/>
      <c r="M136" s="70">
        <v>508</v>
      </c>
      <c r="N136" s="38">
        <v>254</v>
      </c>
      <c r="O136" s="38">
        <v>124</v>
      </c>
      <c r="P136" s="68">
        <v>200</v>
      </c>
      <c r="Q136" s="42">
        <f t="shared" ref="Q136:Q167" si="46">P136</f>
        <v>200</v>
      </c>
      <c r="R136" s="38">
        <f t="shared" si="29"/>
        <v>75100</v>
      </c>
      <c r="S136" s="38">
        <f t="shared" si="30"/>
        <v>508</v>
      </c>
      <c r="T136" s="38">
        <f t="shared" si="31"/>
        <v>254</v>
      </c>
      <c r="U136" s="38">
        <f t="shared" si="32"/>
        <v>124</v>
      </c>
      <c r="V136" s="42">
        <f t="shared" ref="V136:V167" si="47">K136</f>
        <v>6</v>
      </c>
      <c r="W136" s="38">
        <f t="shared" si="33"/>
        <v>22614</v>
      </c>
      <c r="X136" s="42">
        <f>SUM(Q$8:Q136)</f>
        <v>24300</v>
      </c>
      <c r="Y136" s="42">
        <f>SUM(R$8:R136)</f>
        <v>4744300</v>
      </c>
      <c r="Z136" s="42">
        <f>SUM(S$8:S136)</f>
        <v>32574</v>
      </c>
      <c r="AA136" s="42">
        <f>SUM(T$8:T136)</f>
        <v>16288</v>
      </c>
      <c r="AB136" s="42">
        <f>SUM(U$8:U136)</f>
        <v>7753</v>
      </c>
      <c r="AC136" s="42">
        <f>SUM(V$8:V136)</f>
        <v>774</v>
      </c>
      <c r="AD136" s="42">
        <f t="shared" si="45"/>
        <v>1440703</v>
      </c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</row>
    <row r="137" spans="1:50" x14ac:dyDescent="0.25">
      <c r="A137" s="86" t="s">
        <v>253</v>
      </c>
      <c r="B137" s="14">
        <v>130</v>
      </c>
      <c r="C137" s="14">
        <f t="shared" si="39"/>
        <v>102</v>
      </c>
      <c r="D137" s="38">
        <f t="shared" si="38"/>
        <v>51</v>
      </c>
      <c r="E137" s="38">
        <f t="shared" si="37"/>
        <v>25</v>
      </c>
      <c r="F137" s="38">
        <f t="shared" si="36"/>
        <v>1350</v>
      </c>
      <c r="G137" s="74">
        <f t="shared" si="44"/>
        <v>1752</v>
      </c>
      <c r="H137" s="70">
        <v>25300</v>
      </c>
      <c r="I137" s="38"/>
      <c r="J137" s="70">
        <v>50400</v>
      </c>
      <c r="K137" s="38">
        <v>6</v>
      </c>
      <c r="L137" s="77"/>
      <c r="M137" s="70">
        <v>512</v>
      </c>
      <c r="N137" s="38">
        <v>256</v>
      </c>
      <c r="O137" s="38">
        <v>125</v>
      </c>
      <c r="P137" s="68">
        <v>200</v>
      </c>
      <c r="Q137" s="38">
        <f t="shared" si="46"/>
        <v>200</v>
      </c>
      <c r="R137" s="38">
        <f t="shared" ref="R137:R200" si="48">H137+J137</f>
        <v>75700</v>
      </c>
      <c r="S137" s="38">
        <f t="shared" ref="S137:S200" si="49">M137</f>
        <v>512</v>
      </c>
      <c r="T137" s="38">
        <f t="shared" ref="T137:T200" si="50">N137</f>
        <v>256</v>
      </c>
      <c r="U137" s="38">
        <f t="shared" ref="U137:U200" si="51">O137</f>
        <v>125</v>
      </c>
      <c r="V137" s="38">
        <f t="shared" si="47"/>
        <v>6</v>
      </c>
      <c r="W137" s="38">
        <f t="shared" ref="W137:W200" si="52">SUMPRODUCT($Q$6:$V$6,Q137:V137)</f>
        <v>22793</v>
      </c>
      <c r="X137" s="38">
        <f>SUM(Q$8:Q137)</f>
        <v>24500</v>
      </c>
      <c r="Y137" s="38">
        <f>SUM(R$8:R137)</f>
        <v>4820000</v>
      </c>
      <c r="Z137" s="38">
        <f>SUM(S$8:S137)</f>
        <v>33086</v>
      </c>
      <c r="AA137" s="38">
        <f>SUM(T$8:T137)</f>
        <v>16544</v>
      </c>
      <c r="AB137" s="38">
        <f>SUM(U$8:U137)</f>
        <v>7878</v>
      </c>
      <c r="AC137" s="38">
        <f>SUM(V$8:V137)</f>
        <v>780</v>
      </c>
      <c r="AD137" s="38">
        <f t="shared" si="45"/>
        <v>1463496</v>
      </c>
    </row>
    <row r="138" spans="1:50" x14ac:dyDescent="0.25">
      <c r="A138" s="86" t="s">
        <v>253</v>
      </c>
      <c r="B138" s="14">
        <v>131</v>
      </c>
      <c r="C138" s="14">
        <f t="shared" si="39"/>
        <v>103</v>
      </c>
      <c r="D138" s="38">
        <f t="shared" si="38"/>
        <v>51</v>
      </c>
      <c r="E138" s="38">
        <f t="shared" si="37"/>
        <v>25</v>
      </c>
      <c r="F138" s="38">
        <f t="shared" si="36"/>
        <v>1370</v>
      </c>
      <c r="G138" s="74">
        <f t="shared" si="44"/>
        <v>1757</v>
      </c>
      <c r="H138" s="70">
        <v>25500</v>
      </c>
      <c r="I138" s="38"/>
      <c r="J138" s="70">
        <v>50800</v>
      </c>
      <c r="K138" s="38">
        <v>6</v>
      </c>
      <c r="L138" s="77"/>
      <c r="M138" s="70">
        <v>516</v>
      </c>
      <c r="N138" s="38">
        <v>258</v>
      </c>
      <c r="O138" s="38">
        <v>126</v>
      </c>
      <c r="P138" s="68">
        <v>200</v>
      </c>
      <c r="Q138" s="38">
        <f t="shared" si="46"/>
        <v>200</v>
      </c>
      <c r="R138" s="38">
        <f t="shared" si="48"/>
        <v>76300</v>
      </c>
      <c r="S138" s="38">
        <f t="shared" si="49"/>
        <v>516</v>
      </c>
      <c r="T138" s="38">
        <f t="shared" si="50"/>
        <v>258</v>
      </c>
      <c r="U138" s="38">
        <f t="shared" si="51"/>
        <v>126</v>
      </c>
      <c r="V138" s="38">
        <f t="shared" si="47"/>
        <v>6</v>
      </c>
      <c r="W138" s="38">
        <f t="shared" si="52"/>
        <v>22972</v>
      </c>
      <c r="X138" s="38">
        <f>SUM(Q$8:Q138)</f>
        <v>24700</v>
      </c>
      <c r="Y138" s="38">
        <f>SUM(R$8:R138)</f>
        <v>4896300</v>
      </c>
      <c r="Z138" s="38">
        <f>SUM(S$8:S138)</f>
        <v>33602</v>
      </c>
      <c r="AA138" s="38">
        <f>SUM(T$8:T138)</f>
        <v>16802</v>
      </c>
      <c r="AB138" s="38">
        <f>SUM(U$8:U138)</f>
        <v>8004</v>
      </c>
      <c r="AC138" s="38">
        <f>SUM(V$8:V138)</f>
        <v>786</v>
      </c>
      <c r="AD138" s="38">
        <f t="shared" si="45"/>
        <v>1486468</v>
      </c>
    </row>
    <row r="139" spans="1:50" x14ac:dyDescent="0.25">
      <c r="A139" s="86" t="s">
        <v>253</v>
      </c>
      <c r="B139" s="14">
        <v>132</v>
      </c>
      <c r="C139" s="14">
        <f t="shared" si="39"/>
        <v>104</v>
      </c>
      <c r="D139" s="38">
        <f t="shared" si="38"/>
        <v>52</v>
      </c>
      <c r="E139" s="38">
        <f t="shared" si="37"/>
        <v>25</v>
      </c>
      <c r="F139" s="38">
        <f t="shared" si="36"/>
        <v>1370</v>
      </c>
      <c r="G139" s="74">
        <f t="shared" si="44"/>
        <v>1763</v>
      </c>
      <c r="H139" s="70">
        <v>25700</v>
      </c>
      <c r="I139" s="38"/>
      <c r="J139" s="70">
        <v>51200</v>
      </c>
      <c r="K139" s="38">
        <v>6</v>
      </c>
      <c r="L139" s="77"/>
      <c r="M139" s="70">
        <v>520</v>
      </c>
      <c r="N139" s="38">
        <v>260</v>
      </c>
      <c r="O139" s="38">
        <v>127</v>
      </c>
      <c r="P139" s="68">
        <v>200</v>
      </c>
      <c r="Q139" s="38">
        <f t="shared" si="46"/>
        <v>200</v>
      </c>
      <c r="R139" s="38">
        <f t="shared" si="48"/>
        <v>76900</v>
      </c>
      <c r="S139" s="38">
        <f t="shared" si="49"/>
        <v>520</v>
      </c>
      <c r="T139" s="38">
        <f t="shared" si="50"/>
        <v>260</v>
      </c>
      <c r="U139" s="38">
        <f t="shared" si="51"/>
        <v>127</v>
      </c>
      <c r="V139" s="38">
        <f t="shared" si="47"/>
        <v>6</v>
      </c>
      <c r="W139" s="38">
        <f t="shared" si="52"/>
        <v>23151</v>
      </c>
      <c r="X139" s="38">
        <f>SUM(Q$8:Q139)</f>
        <v>24900</v>
      </c>
      <c r="Y139" s="38">
        <f>SUM(R$8:R139)</f>
        <v>4973200</v>
      </c>
      <c r="Z139" s="38">
        <f>SUM(S$8:S139)</f>
        <v>34122</v>
      </c>
      <c r="AA139" s="38">
        <f>SUM(T$8:T139)</f>
        <v>17062</v>
      </c>
      <c r="AB139" s="38">
        <f>SUM(U$8:U139)</f>
        <v>8131</v>
      </c>
      <c r="AC139" s="38">
        <f>SUM(V$8:V139)</f>
        <v>792</v>
      </c>
      <c r="AD139" s="38">
        <f t="shared" si="45"/>
        <v>1509619</v>
      </c>
    </row>
    <row r="140" spans="1:50" x14ac:dyDescent="0.25">
      <c r="A140" s="86" t="s">
        <v>253</v>
      </c>
      <c r="B140" s="14">
        <v>133</v>
      </c>
      <c r="C140" s="14">
        <f t="shared" si="39"/>
        <v>105</v>
      </c>
      <c r="D140" s="38">
        <f t="shared" si="38"/>
        <v>52</v>
      </c>
      <c r="E140" s="38">
        <f t="shared" si="37"/>
        <v>26</v>
      </c>
      <c r="F140" s="38">
        <f t="shared" si="36"/>
        <v>1390</v>
      </c>
      <c r="G140" s="74">
        <f t="shared" si="44"/>
        <v>1813</v>
      </c>
      <c r="H140" s="70">
        <v>25900</v>
      </c>
      <c r="I140" s="38"/>
      <c r="J140" s="70">
        <v>51600</v>
      </c>
      <c r="K140" s="38">
        <v>6</v>
      </c>
      <c r="L140" s="77"/>
      <c r="M140" s="70">
        <v>524</v>
      </c>
      <c r="N140" s="38">
        <v>262</v>
      </c>
      <c r="O140" s="38">
        <v>128</v>
      </c>
      <c r="P140" s="68">
        <v>200</v>
      </c>
      <c r="Q140" s="38">
        <f t="shared" si="46"/>
        <v>200</v>
      </c>
      <c r="R140" s="38">
        <f t="shared" si="48"/>
        <v>77500</v>
      </c>
      <c r="S140" s="38">
        <f t="shared" si="49"/>
        <v>524</v>
      </c>
      <c r="T140" s="38">
        <f t="shared" si="50"/>
        <v>262</v>
      </c>
      <c r="U140" s="38">
        <f t="shared" si="51"/>
        <v>128</v>
      </c>
      <c r="V140" s="38">
        <f t="shared" si="47"/>
        <v>6</v>
      </c>
      <c r="W140" s="38">
        <f t="shared" si="52"/>
        <v>23330</v>
      </c>
      <c r="X140" s="38">
        <f>SUM(Q$8:Q140)</f>
        <v>25100</v>
      </c>
      <c r="Y140" s="38">
        <f>SUM(R$8:R140)</f>
        <v>5050700</v>
      </c>
      <c r="Z140" s="38">
        <f>SUM(S$8:S140)</f>
        <v>34646</v>
      </c>
      <c r="AA140" s="38">
        <f>SUM(T$8:T140)</f>
        <v>17324</v>
      </c>
      <c r="AB140" s="38">
        <f>SUM(U$8:U140)</f>
        <v>8259</v>
      </c>
      <c r="AC140" s="38">
        <f>SUM(V$8:V140)</f>
        <v>798</v>
      </c>
      <c r="AD140" s="38">
        <f t="shared" si="45"/>
        <v>1532949</v>
      </c>
    </row>
    <row r="141" spans="1:50" x14ac:dyDescent="0.25">
      <c r="A141" s="86" t="s">
        <v>253</v>
      </c>
      <c r="B141" s="14">
        <v>134</v>
      </c>
      <c r="C141" s="14">
        <f t="shared" si="39"/>
        <v>106</v>
      </c>
      <c r="D141" s="38">
        <f t="shared" si="38"/>
        <v>53</v>
      </c>
      <c r="E141" s="38">
        <f t="shared" si="37"/>
        <v>26</v>
      </c>
      <c r="F141" s="38">
        <f t="shared" si="36"/>
        <v>1390</v>
      </c>
      <c r="G141" s="74">
        <f t="shared" si="44"/>
        <v>1819</v>
      </c>
      <c r="H141" s="70">
        <v>26100</v>
      </c>
      <c r="I141" s="38"/>
      <c r="J141" s="70">
        <v>52000</v>
      </c>
      <c r="K141" s="38">
        <v>6</v>
      </c>
      <c r="L141" s="77"/>
      <c r="M141" s="70">
        <v>528</v>
      </c>
      <c r="N141" s="38">
        <v>264</v>
      </c>
      <c r="O141" s="38">
        <v>129</v>
      </c>
      <c r="P141" s="68">
        <v>200</v>
      </c>
      <c r="Q141" s="38">
        <f t="shared" si="46"/>
        <v>200</v>
      </c>
      <c r="R141" s="38">
        <f t="shared" si="48"/>
        <v>78100</v>
      </c>
      <c r="S141" s="38">
        <f t="shared" si="49"/>
        <v>528</v>
      </c>
      <c r="T141" s="38">
        <f t="shared" si="50"/>
        <v>264</v>
      </c>
      <c r="U141" s="38">
        <f t="shared" si="51"/>
        <v>129</v>
      </c>
      <c r="V141" s="38">
        <f t="shared" si="47"/>
        <v>6</v>
      </c>
      <c r="W141" s="38">
        <f t="shared" si="52"/>
        <v>23509</v>
      </c>
      <c r="X141" s="38">
        <f>SUM(Q$8:Q141)</f>
        <v>25300</v>
      </c>
      <c r="Y141" s="38">
        <f>SUM(R$8:R141)</f>
        <v>5128800</v>
      </c>
      <c r="Z141" s="38">
        <f>SUM(S$8:S141)</f>
        <v>35174</v>
      </c>
      <c r="AA141" s="38">
        <f>SUM(T$8:T141)</f>
        <v>17588</v>
      </c>
      <c r="AB141" s="38">
        <f>SUM(U$8:U141)</f>
        <v>8388</v>
      </c>
      <c r="AC141" s="38">
        <f>SUM(V$8:V141)</f>
        <v>804</v>
      </c>
      <c r="AD141" s="38">
        <f t="shared" si="45"/>
        <v>1556458</v>
      </c>
    </row>
    <row r="142" spans="1:50" x14ac:dyDescent="0.25">
      <c r="A142" s="86" t="s">
        <v>253</v>
      </c>
      <c r="B142" s="14">
        <v>135</v>
      </c>
      <c r="C142" s="14">
        <f t="shared" si="39"/>
        <v>106</v>
      </c>
      <c r="D142" s="38">
        <f t="shared" si="38"/>
        <v>53</v>
      </c>
      <c r="E142" s="38">
        <f t="shared" si="37"/>
        <v>26</v>
      </c>
      <c r="F142" s="38">
        <f t="shared" si="36"/>
        <v>1410</v>
      </c>
      <c r="G142" s="74">
        <f t="shared" si="44"/>
        <v>1823</v>
      </c>
      <c r="H142" s="70">
        <v>26300</v>
      </c>
      <c r="I142" s="38"/>
      <c r="J142" s="70">
        <v>52400</v>
      </c>
      <c r="K142" s="38">
        <v>6</v>
      </c>
      <c r="L142" s="77"/>
      <c r="M142" s="70">
        <v>532</v>
      </c>
      <c r="N142" s="38">
        <v>266</v>
      </c>
      <c r="O142" s="38">
        <v>130</v>
      </c>
      <c r="P142" s="68">
        <v>200</v>
      </c>
      <c r="Q142" s="38">
        <f t="shared" si="46"/>
        <v>200</v>
      </c>
      <c r="R142" s="38">
        <f t="shared" si="48"/>
        <v>78700</v>
      </c>
      <c r="S142" s="38">
        <f t="shared" si="49"/>
        <v>532</v>
      </c>
      <c r="T142" s="38">
        <f t="shared" si="50"/>
        <v>266</v>
      </c>
      <c r="U142" s="38">
        <f t="shared" si="51"/>
        <v>130</v>
      </c>
      <c r="V142" s="38">
        <f t="shared" si="47"/>
        <v>6</v>
      </c>
      <c r="W142" s="38">
        <f t="shared" si="52"/>
        <v>23688</v>
      </c>
      <c r="X142" s="38">
        <f>SUM(Q$8:Q142)</f>
        <v>25500</v>
      </c>
      <c r="Y142" s="38">
        <f>SUM(R$8:R142)</f>
        <v>5207500</v>
      </c>
      <c r="Z142" s="38">
        <f>SUM(S$8:S142)</f>
        <v>35706</v>
      </c>
      <c r="AA142" s="38">
        <f>SUM(T$8:T142)</f>
        <v>17854</v>
      </c>
      <c r="AB142" s="38">
        <f>SUM(U$8:U142)</f>
        <v>8518</v>
      </c>
      <c r="AC142" s="38">
        <f>SUM(V$8:V142)</f>
        <v>810</v>
      </c>
      <c r="AD142" s="38">
        <f t="shared" si="45"/>
        <v>1580146</v>
      </c>
    </row>
    <row r="143" spans="1:50" x14ac:dyDescent="0.25">
      <c r="A143" s="86" t="s">
        <v>253</v>
      </c>
      <c r="B143" s="14">
        <v>136</v>
      </c>
      <c r="C143" s="14">
        <f t="shared" si="39"/>
        <v>107</v>
      </c>
      <c r="D143" s="38">
        <f t="shared" si="38"/>
        <v>53</v>
      </c>
      <c r="E143" s="38">
        <f t="shared" si="37"/>
        <v>26</v>
      </c>
      <c r="F143" s="38">
        <f t="shared" si="36"/>
        <v>1410</v>
      </c>
      <c r="G143" s="74">
        <f t="shared" si="44"/>
        <v>1824</v>
      </c>
      <c r="H143" s="70">
        <v>26500</v>
      </c>
      <c r="I143" s="38"/>
      <c r="J143" s="70">
        <v>52800</v>
      </c>
      <c r="K143" s="38">
        <v>6</v>
      </c>
      <c r="L143" s="77"/>
      <c r="M143" s="70">
        <v>536</v>
      </c>
      <c r="N143" s="38">
        <v>268</v>
      </c>
      <c r="O143" s="38">
        <v>131</v>
      </c>
      <c r="P143" s="68">
        <v>200</v>
      </c>
      <c r="Q143" s="38">
        <f t="shared" si="46"/>
        <v>200</v>
      </c>
      <c r="R143" s="38">
        <f t="shared" si="48"/>
        <v>79300</v>
      </c>
      <c r="S143" s="38">
        <f t="shared" si="49"/>
        <v>536</v>
      </c>
      <c r="T143" s="38">
        <f t="shared" si="50"/>
        <v>268</v>
      </c>
      <c r="U143" s="38">
        <f t="shared" si="51"/>
        <v>131</v>
      </c>
      <c r="V143" s="38">
        <f t="shared" si="47"/>
        <v>6</v>
      </c>
      <c r="W143" s="38">
        <f t="shared" si="52"/>
        <v>23867</v>
      </c>
      <c r="X143" s="38">
        <f>SUM(Q$8:Q143)</f>
        <v>25700</v>
      </c>
      <c r="Y143" s="38">
        <f>SUM(R$8:R143)</f>
        <v>5286800</v>
      </c>
      <c r="Z143" s="38">
        <f>SUM(S$8:S143)</f>
        <v>36242</v>
      </c>
      <c r="AA143" s="38">
        <f>SUM(T$8:T143)</f>
        <v>18122</v>
      </c>
      <c r="AB143" s="38">
        <f>SUM(U$8:U143)</f>
        <v>8649</v>
      </c>
      <c r="AC143" s="38">
        <f>SUM(V$8:V143)</f>
        <v>816</v>
      </c>
      <c r="AD143" s="38">
        <f t="shared" si="45"/>
        <v>1604013</v>
      </c>
    </row>
    <row r="144" spans="1:50" x14ac:dyDescent="0.25">
      <c r="A144" s="86" t="s">
        <v>253</v>
      </c>
      <c r="B144" s="14">
        <v>137</v>
      </c>
      <c r="C144" s="14">
        <f t="shared" si="39"/>
        <v>108</v>
      </c>
      <c r="D144" s="38">
        <f t="shared" si="38"/>
        <v>54</v>
      </c>
      <c r="E144" s="38">
        <f t="shared" si="37"/>
        <v>26</v>
      </c>
      <c r="F144" s="38">
        <f t="shared" si="36"/>
        <v>1430</v>
      </c>
      <c r="G144" s="74">
        <f t="shared" si="44"/>
        <v>1834</v>
      </c>
      <c r="H144" s="70">
        <v>26700</v>
      </c>
      <c r="I144" s="38"/>
      <c r="J144" s="70">
        <v>53200</v>
      </c>
      <c r="K144" s="38">
        <v>6</v>
      </c>
      <c r="L144" s="77"/>
      <c r="M144" s="70">
        <v>540</v>
      </c>
      <c r="N144" s="38">
        <v>270</v>
      </c>
      <c r="O144" s="38">
        <v>132</v>
      </c>
      <c r="P144" s="68">
        <v>200</v>
      </c>
      <c r="Q144" s="38">
        <f t="shared" si="46"/>
        <v>200</v>
      </c>
      <c r="R144" s="38">
        <f t="shared" si="48"/>
        <v>79900</v>
      </c>
      <c r="S144" s="38">
        <f t="shared" si="49"/>
        <v>540</v>
      </c>
      <c r="T144" s="38">
        <f t="shared" si="50"/>
        <v>270</v>
      </c>
      <c r="U144" s="38">
        <f t="shared" si="51"/>
        <v>132</v>
      </c>
      <c r="V144" s="38">
        <f t="shared" si="47"/>
        <v>6</v>
      </c>
      <c r="W144" s="38">
        <f t="shared" si="52"/>
        <v>24046</v>
      </c>
      <c r="X144" s="38">
        <f>SUM(Q$8:Q144)</f>
        <v>25900</v>
      </c>
      <c r="Y144" s="38">
        <f>SUM(R$8:R144)</f>
        <v>5366700</v>
      </c>
      <c r="Z144" s="38">
        <f>SUM(S$8:S144)</f>
        <v>36782</v>
      </c>
      <c r="AA144" s="38">
        <f>SUM(T$8:T144)</f>
        <v>18392</v>
      </c>
      <c r="AB144" s="38">
        <f>SUM(U$8:U144)</f>
        <v>8781</v>
      </c>
      <c r="AC144" s="38">
        <f>SUM(V$8:V144)</f>
        <v>822</v>
      </c>
      <c r="AD144" s="38">
        <f t="shared" si="45"/>
        <v>1628059</v>
      </c>
    </row>
    <row r="145" spans="1:30" x14ac:dyDescent="0.25">
      <c r="A145" s="86" t="s">
        <v>253</v>
      </c>
      <c r="B145" s="14">
        <v>138</v>
      </c>
      <c r="C145" s="14">
        <f t="shared" si="39"/>
        <v>109</v>
      </c>
      <c r="D145" s="38">
        <f t="shared" si="38"/>
        <v>54</v>
      </c>
      <c r="E145" s="38">
        <f t="shared" si="37"/>
        <v>27</v>
      </c>
      <c r="F145" s="38">
        <f t="shared" ref="F145:F207" si="53">F143+20</f>
        <v>1430</v>
      </c>
      <c r="G145" s="74">
        <f t="shared" si="44"/>
        <v>1880</v>
      </c>
      <c r="H145" s="70">
        <v>26900</v>
      </c>
      <c r="I145" s="38"/>
      <c r="J145" s="70">
        <v>53600</v>
      </c>
      <c r="K145" s="38">
        <v>6</v>
      </c>
      <c r="L145" s="77"/>
      <c r="M145" s="70">
        <v>544</v>
      </c>
      <c r="N145" s="38">
        <v>272</v>
      </c>
      <c r="O145" s="38">
        <v>133</v>
      </c>
      <c r="P145" s="68">
        <v>200</v>
      </c>
      <c r="Q145" s="38">
        <f t="shared" si="46"/>
        <v>200</v>
      </c>
      <c r="R145" s="38">
        <f t="shared" si="48"/>
        <v>80500</v>
      </c>
      <c r="S145" s="38">
        <f t="shared" si="49"/>
        <v>544</v>
      </c>
      <c r="T145" s="38">
        <f t="shared" si="50"/>
        <v>272</v>
      </c>
      <c r="U145" s="38">
        <f t="shared" si="51"/>
        <v>133</v>
      </c>
      <c r="V145" s="38">
        <f t="shared" si="47"/>
        <v>6</v>
      </c>
      <c r="W145" s="38">
        <f t="shared" si="52"/>
        <v>24225</v>
      </c>
      <c r="X145" s="38">
        <f>SUM(Q$8:Q145)</f>
        <v>26100</v>
      </c>
      <c r="Y145" s="38">
        <f>SUM(R$8:R145)</f>
        <v>5447200</v>
      </c>
      <c r="Z145" s="38">
        <f>SUM(S$8:S145)</f>
        <v>37326</v>
      </c>
      <c r="AA145" s="38">
        <f>SUM(T$8:T145)</f>
        <v>18664</v>
      </c>
      <c r="AB145" s="38">
        <f>SUM(U$8:U145)</f>
        <v>8914</v>
      </c>
      <c r="AC145" s="38">
        <f>SUM(V$8:V145)</f>
        <v>828</v>
      </c>
      <c r="AD145" s="38">
        <f t="shared" si="45"/>
        <v>1652284</v>
      </c>
    </row>
    <row r="146" spans="1:30" x14ac:dyDescent="0.25">
      <c r="A146" s="86" t="s">
        <v>253</v>
      </c>
      <c r="B146" s="14">
        <v>139</v>
      </c>
      <c r="C146" s="14">
        <f t="shared" si="39"/>
        <v>110</v>
      </c>
      <c r="D146" s="38">
        <f t="shared" si="38"/>
        <v>55</v>
      </c>
      <c r="E146" s="38">
        <f t="shared" si="37"/>
        <v>27</v>
      </c>
      <c r="F146" s="38">
        <f t="shared" si="53"/>
        <v>1450</v>
      </c>
      <c r="G146" s="74">
        <f t="shared" si="44"/>
        <v>1890</v>
      </c>
      <c r="H146" s="70">
        <v>27100</v>
      </c>
      <c r="I146" s="38"/>
      <c r="J146" s="70">
        <v>54000</v>
      </c>
      <c r="K146" s="38">
        <v>6</v>
      </c>
      <c r="L146" s="77"/>
      <c r="M146" s="70">
        <v>548</v>
      </c>
      <c r="N146" s="38">
        <v>274</v>
      </c>
      <c r="O146" s="38">
        <v>134</v>
      </c>
      <c r="P146" s="68">
        <v>200</v>
      </c>
      <c r="Q146" s="38">
        <f t="shared" si="46"/>
        <v>200</v>
      </c>
      <c r="R146" s="38">
        <f t="shared" si="48"/>
        <v>81100</v>
      </c>
      <c r="S146" s="38">
        <f t="shared" si="49"/>
        <v>548</v>
      </c>
      <c r="T146" s="38">
        <f t="shared" si="50"/>
        <v>274</v>
      </c>
      <c r="U146" s="38">
        <f t="shared" si="51"/>
        <v>134</v>
      </c>
      <c r="V146" s="38">
        <f t="shared" si="47"/>
        <v>6</v>
      </c>
      <c r="W146" s="38">
        <f t="shared" si="52"/>
        <v>24404</v>
      </c>
      <c r="X146" s="38">
        <f>SUM(Q$8:Q146)</f>
        <v>26300</v>
      </c>
      <c r="Y146" s="38">
        <f>SUM(R$8:R146)</f>
        <v>5528300</v>
      </c>
      <c r="Z146" s="38">
        <f>SUM(S$8:S146)</f>
        <v>37874</v>
      </c>
      <c r="AA146" s="38">
        <f>SUM(T$8:T146)</f>
        <v>18938</v>
      </c>
      <c r="AB146" s="38">
        <f>SUM(U$8:U146)</f>
        <v>9048</v>
      </c>
      <c r="AC146" s="38">
        <f>SUM(V$8:V146)</f>
        <v>834</v>
      </c>
      <c r="AD146" s="38">
        <f t="shared" si="45"/>
        <v>1676688</v>
      </c>
    </row>
    <row r="147" spans="1:30" x14ac:dyDescent="0.25">
      <c r="A147" s="86" t="s">
        <v>253</v>
      </c>
      <c r="B147" s="14">
        <v>140</v>
      </c>
      <c r="C147" s="14">
        <f t="shared" si="39"/>
        <v>110</v>
      </c>
      <c r="D147" s="38">
        <f t="shared" si="38"/>
        <v>55</v>
      </c>
      <c r="E147" s="38">
        <f t="shared" si="37"/>
        <v>27</v>
      </c>
      <c r="F147" s="38">
        <f t="shared" si="53"/>
        <v>1450</v>
      </c>
      <c r="G147" s="74">
        <f t="shared" si="44"/>
        <v>1890</v>
      </c>
      <c r="H147" s="70">
        <v>27300</v>
      </c>
      <c r="I147" s="38"/>
      <c r="J147" s="70">
        <v>54400</v>
      </c>
      <c r="K147" s="38">
        <v>6</v>
      </c>
      <c r="L147" s="77"/>
      <c r="M147" s="70">
        <v>552</v>
      </c>
      <c r="N147" s="38">
        <v>276</v>
      </c>
      <c r="O147" s="38">
        <v>135</v>
      </c>
      <c r="P147" s="68">
        <v>200</v>
      </c>
      <c r="Q147" s="38">
        <f t="shared" si="46"/>
        <v>200</v>
      </c>
      <c r="R147" s="38">
        <f t="shared" si="48"/>
        <v>81700</v>
      </c>
      <c r="S147" s="38">
        <f t="shared" si="49"/>
        <v>552</v>
      </c>
      <c r="T147" s="38">
        <f t="shared" si="50"/>
        <v>276</v>
      </c>
      <c r="U147" s="38">
        <f t="shared" si="51"/>
        <v>135</v>
      </c>
      <c r="V147" s="38">
        <f t="shared" si="47"/>
        <v>6</v>
      </c>
      <c r="W147" s="38">
        <f t="shared" si="52"/>
        <v>24583</v>
      </c>
      <c r="X147" s="38">
        <f>SUM(Q$8:Q147)</f>
        <v>26500</v>
      </c>
      <c r="Y147" s="38">
        <f>SUM(R$8:R147)</f>
        <v>5610000</v>
      </c>
      <c r="Z147" s="38">
        <f>SUM(S$8:S147)</f>
        <v>38426</v>
      </c>
      <c r="AA147" s="38">
        <f>SUM(T$8:T147)</f>
        <v>19214</v>
      </c>
      <c r="AB147" s="38">
        <f>SUM(U$8:U147)</f>
        <v>9183</v>
      </c>
      <c r="AC147" s="38">
        <f>SUM(V$8:V147)</f>
        <v>840</v>
      </c>
      <c r="AD147" s="38">
        <f t="shared" si="45"/>
        <v>1701271</v>
      </c>
    </row>
    <row r="148" spans="1:30" x14ac:dyDescent="0.25">
      <c r="A148" s="86" t="s">
        <v>253</v>
      </c>
      <c r="B148" s="14">
        <v>141</v>
      </c>
      <c r="C148" s="14">
        <f t="shared" si="39"/>
        <v>111</v>
      </c>
      <c r="D148" s="38">
        <f t="shared" si="38"/>
        <v>55</v>
      </c>
      <c r="E148" s="38">
        <f t="shared" si="37"/>
        <v>27</v>
      </c>
      <c r="F148" s="38">
        <f t="shared" si="53"/>
        <v>1470</v>
      </c>
      <c r="G148" s="74">
        <f t="shared" si="44"/>
        <v>1895</v>
      </c>
      <c r="H148" s="70">
        <v>27500</v>
      </c>
      <c r="I148" s="38"/>
      <c r="J148" s="70">
        <v>54800</v>
      </c>
      <c r="K148" s="38">
        <v>6</v>
      </c>
      <c r="L148" s="77"/>
      <c r="M148" s="70">
        <v>556</v>
      </c>
      <c r="N148" s="38">
        <v>278</v>
      </c>
      <c r="O148" s="38">
        <v>136</v>
      </c>
      <c r="P148" s="68">
        <v>200</v>
      </c>
      <c r="Q148" s="38">
        <f t="shared" si="46"/>
        <v>200</v>
      </c>
      <c r="R148" s="38">
        <f t="shared" si="48"/>
        <v>82300</v>
      </c>
      <c r="S148" s="38">
        <f t="shared" si="49"/>
        <v>556</v>
      </c>
      <c r="T148" s="38">
        <f t="shared" si="50"/>
        <v>278</v>
      </c>
      <c r="U148" s="38">
        <f t="shared" si="51"/>
        <v>136</v>
      </c>
      <c r="V148" s="38">
        <f t="shared" si="47"/>
        <v>6</v>
      </c>
      <c r="W148" s="38">
        <f t="shared" si="52"/>
        <v>24762</v>
      </c>
      <c r="X148" s="38">
        <f>SUM(Q$8:Q148)</f>
        <v>26700</v>
      </c>
      <c r="Y148" s="38">
        <f>SUM(R$8:R148)</f>
        <v>5692300</v>
      </c>
      <c r="Z148" s="38">
        <f>SUM(S$8:S148)</f>
        <v>38982</v>
      </c>
      <c r="AA148" s="38">
        <f>SUM(T$8:T148)</f>
        <v>19492</v>
      </c>
      <c r="AB148" s="38">
        <f>SUM(U$8:U148)</f>
        <v>9319</v>
      </c>
      <c r="AC148" s="38">
        <f>SUM(V$8:V148)</f>
        <v>846</v>
      </c>
      <c r="AD148" s="38">
        <f t="shared" si="45"/>
        <v>1726033</v>
      </c>
    </row>
    <row r="149" spans="1:30" x14ac:dyDescent="0.25">
      <c r="A149" s="86" t="s">
        <v>253</v>
      </c>
      <c r="B149" s="14">
        <v>142</v>
      </c>
      <c r="C149" s="14">
        <f t="shared" si="39"/>
        <v>112</v>
      </c>
      <c r="D149" s="38">
        <f t="shared" si="38"/>
        <v>56</v>
      </c>
      <c r="E149" s="38">
        <f t="shared" si="37"/>
        <v>27</v>
      </c>
      <c r="F149" s="38">
        <f t="shared" si="53"/>
        <v>1470</v>
      </c>
      <c r="G149" s="74">
        <f t="shared" si="44"/>
        <v>1901</v>
      </c>
      <c r="H149" s="70">
        <v>27700</v>
      </c>
      <c r="I149" s="38"/>
      <c r="J149" s="70">
        <v>55200</v>
      </c>
      <c r="K149" s="38">
        <v>6</v>
      </c>
      <c r="L149" s="77"/>
      <c r="M149" s="70">
        <v>560</v>
      </c>
      <c r="N149" s="38">
        <v>280</v>
      </c>
      <c r="O149" s="38">
        <v>137</v>
      </c>
      <c r="P149" s="68">
        <v>200</v>
      </c>
      <c r="Q149" s="38">
        <f t="shared" si="46"/>
        <v>200</v>
      </c>
      <c r="R149" s="38">
        <f t="shared" si="48"/>
        <v>82900</v>
      </c>
      <c r="S149" s="38">
        <f t="shared" si="49"/>
        <v>560</v>
      </c>
      <c r="T149" s="38">
        <f t="shared" si="50"/>
        <v>280</v>
      </c>
      <c r="U149" s="38">
        <f t="shared" si="51"/>
        <v>137</v>
      </c>
      <c r="V149" s="38">
        <f t="shared" si="47"/>
        <v>6</v>
      </c>
      <c r="W149" s="38">
        <f t="shared" si="52"/>
        <v>24941</v>
      </c>
      <c r="X149" s="38">
        <f>SUM(Q$8:Q149)</f>
        <v>26900</v>
      </c>
      <c r="Y149" s="38">
        <f>SUM(R$8:R149)</f>
        <v>5775200</v>
      </c>
      <c r="Z149" s="38">
        <f>SUM(S$8:S149)</f>
        <v>39542</v>
      </c>
      <c r="AA149" s="38">
        <f>SUM(T$8:T149)</f>
        <v>19772</v>
      </c>
      <c r="AB149" s="38">
        <f>SUM(U$8:U149)</f>
        <v>9456</v>
      </c>
      <c r="AC149" s="38">
        <f>SUM(V$8:V149)</f>
        <v>852</v>
      </c>
      <c r="AD149" s="38">
        <f t="shared" si="45"/>
        <v>1750974</v>
      </c>
    </row>
    <row r="150" spans="1:30" x14ac:dyDescent="0.25">
      <c r="A150" s="86" t="s">
        <v>253</v>
      </c>
      <c r="B150" s="14">
        <v>143</v>
      </c>
      <c r="C150" s="14">
        <f t="shared" si="39"/>
        <v>113</v>
      </c>
      <c r="D150" s="38">
        <f t="shared" si="38"/>
        <v>56</v>
      </c>
      <c r="E150" s="38">
        <f t="shared" si="37"/>
        <v>28</v>
      </c>
      <c r="F150" s="38">
        <f t="shared" si="53"/>
        <v>1490</v>
      </c>
      <c r="G150" s="74">
        <f t="shared" si="44"/>
        <v>1951</v>
      </c>
      <c r="H150" s="70">
        <v>27900</v>
      </c>
      <c r="I150" s="38"/>
      <c r="J150" s="70">
        <v>55600</v>
      </c>
      <c r="K150" s="38">
        <v>6</v>
      </c>
      <c r="L150" s="77"/>
      <c r="M150" s="70">
        <v>564</v>
      </c>
      <c r="N150" s="38">
        <v>282</v>
      </c>
      <c r="O150" s="38">
        <v>138</v>
      </c>
      <c r="P150" s="68">
        <v>200</v>
      </c>
      <c r="Q150" s="38">
        <f t="shared" si="46"/>
        <v>200</v>
      </c>
      <c r="R150" s="38">
        <f t="shared" si="48"/>
        <v>83500</v>
      </c>
      <c r="S150" s="38">
        <f t="shared" si="49"/>
        <v>564</v>
      </c>
      <c r="T150" s="38">
        <f t="shared" si="50"/>
        <v>282</v>
      </c>
      <c r="U150" s="38">
        <f t="shared" si="51"/>
        <v>138</v>
      </c>
      <c r="V150" s="38">
        <f t="shared" si="47"/>
        <v>6</v>
      </c>
      <c r="W150" s="38">
        <f t="shared" si="52"/>
        <v>25120</v>
      </c>
      <c r="X150" s="38">
        <f>SUM(Q$8:Q150)</f>
        <v>27100</v>
      </c>
      <c r="Y150" s="38">
        <f>SUM(R$8:R150)</f>
        <v>5858700</v>
      </c>
      <c r="Z150" s="38">
        <f>SUM(S$8:S150)</f>
        <v>40106</v>
      </c>
      <c r="AA150" s="38">
        <f>SUM(T$8:T150)</f>
        <v>20054</v>
      </c>
      <c r="AB150" s="38">
        <f>SUM(U$8:U150)</f>
        <v>9594</v>
      </c>
      <c r="AC150" s="38">
        <f>SUM(V$8:V150)</f>
        <v>858</v>
      </c>
      <c r="AD150" s="38">
        <f t="shared" si="45"/>
        <v>1776094</v>
      </c>
    </row>
    <row r="151" spans="1:30" x14ac:dyDescent="0.25">
      <c r="A151" s="86" t="s">
        <v>253</v>
      </c>
      <c r="B151" s="14">
        <v>144</v>
      </c>
      <c r="C151" s="14">
        <f t="shared" si="39"/>
        <v>114</v>
      </c>
      <c r="D151" s="38">
        <f t="shared" si="38"/>
        <v>57</v>
      </c>
      <c r="E151" s="38">
        <f t="shared" si="37"/>
        <v>28</v>
      </c>
      <c r="F151" s="38">
        <f t="shared" si="53"/>
        <v>1490</v>
      </c>
      <c r="G151" s="74">
        <f t="shared" si="44"/>
        <v>1957</v>
      </c>
      <c r="H151" s="70">
        <v>28100</v>
      </c>
      <c r="I151" s="38"/>
      <c r="J151" s="70">
        <v>56000</v>
      </c>
      <c r="K151" s="38">
        <v>6</v>
      </c>
      <c r="L151" s="77"/>
      <c r="M151" s="70">
        <v>568</v>
      </c>
      <c r="N151" s="38">
        <v>284</v>
      </c>
      <c r="O151" s="38">
        <v>139</v>
      </c>
      <c r="P151" s="68">
        <v>200</v>
      </c>
      <c r="Q151" s="38">
        <f t="shared" si="46"/>
        <v>200</v>
      </c>
      <c r="R151" s="38">
        <f t="shared" si="48"/>
        <v>84100</v>
      </c>
      <c r="S151" s="38">
        <f t="shared" si="49"/>
        <v>568</v>
      </c>
      <c r="T151" s="38">
        <f t="shared" si="50"/>
        <v>284</v>
      </c>
      <c r="U151" s="38">
        <f t="shared" si="51"/>
        <v>139</v>
      </c>
      <c r="V151" s="38">
        <f t="shared" si="47"/>
        <v>6</v>
      </c>
      <c r="W151" s="38">
        <f t="shared" si="52"/>
        <v>25299</v>
      </c>
      <c r="X151" s="38">
        <f>SUM(Q$8:Q151)</f>
        <v>27300</v>
      </c>
      <c r="Y151" s="38">
        <f>SUM(R$8:R151)</f>
        <v>5942800</v>
      </c>
      <c r="Z151" s="38">
        <f>SUM(S$8:S151)</f>
        <v>40674</v>
      </c>
      <c r="AA151" s="38">
        <f>SUM(T$8:T151)</f>
        <v>20338</v>
      </c>
      <c r="AB151" s="38">
        <f>SUM(U$8:U151)</f>
        <v>9733</v>
      </c>
      <c r="AC151" s="38">
        <f>SUM(V$8:V151)</f>
        <v>864</v>
      </c>
      <c r="AD151" s="38">
        <f t="shared" si="45"/>
        <v>1801393</v>
      </c>
    </row>
    <row r="152" spans="1:30" x14ac:dyDescent="0.25">
      <c r="A152" s="86" t="s">
        <v>253</v>
      </c>
      <c r="B152" s="14">
        <v>145</v>
      </c>
      <c r="C152" s="14">
        <f t="shared" si="39"/>
        <v>114</v>
      </c>
      <c r="D152" s="38">
        <f t="shared" si="38"/>
        <v>57</v>
      </c>
      <c r="E152" s="38">
        <f t="shared" si="37"/>
        <v>28</v>
      </c>
      <c r="F152" s="38">
        <f t="shared" si="53"/>
        <v>1510</v>
      </c>
      <c r="G152" s="74">
        <f t="shared" si="44"/>
        <v>1961</v>
      </c>
      <c r="H152" s="70">
        <v>28300</v>
      </c>
      <c r="I152" s="38"/>
      <c r="J152" s="70">
        <v>56400</v>
      </c>
      <c r="K152" s="38">
        <v>6</v>
      </c>
      <c r="L152" s="77"/>
      <c r="M152" s="70">
        <v>572</v>
      </c>
      <c r="N152" s="38">
        <v>286</v>
      </c>
      <c r="O152" s="38">
        <v>140</v>
      </c>
      <c r="P152" s="68">
        <v>200</v>
      </c>
      <c r="Q152" s="38">
        <f t="shared" si="46"/>
        <v>200</v>
      </c>
      <c r="R152" s="38">
        <f t="shared" si="48"/>
        <v>84700</v>
      </c>
      <c r="S152" s="38">
        <f t="shared" si="49"/>
        <v>572</v>
      </c>
      <c r="T152" s="38">
        <f t="shared" si="50"/>
        <v>286</v>
      </c>
      <c r="U152" s="38">
        <f t="shared" si="51"/>
        <v>140</v>
      </c>
      <c r="V152" s="38">
        <f t="shared" si="47"/>
        <v>6</v>
      </c>
      <c r="W152" s="38">
        <f t="shared" si="52"/>
        <v>25478</v>
      </c>
      <c r="X152" s="38">
        <f>SUM(Q$8:Q152)</f>
        <v>27500</v>
      </c>
      <c r="Y152" s="38">
        <f>SUM(R$8:R152)</f>
        <v>6027500</v>
      </c>
      <c r="Z152" s="38">
        <f>SUM(S$8:S152)</f>
        <v>41246</v>
      </c>
      <c r="AA152" s="38">
        <f>SUM(T$8:T152)</f>
        <v>20624</v>
      </c>
      <c r="AB152" s="38">
        <f>SUM(U$8:U152)</f>
        <v>9873</v>
      </c>
      <c r="AC152" s="38">
        <f>SUM(V$8:V152)</f>
        <v>870</v>
      </c>
      <c r="AD152" s="38">
        <f t="shared" si="45"/>
        <v>1826871</v>
      </c>
    </row>
    <row r="153" spans="1:30" x14ac:dyDescent="0.25">
      <c r="A153" s="86" t="s">
        <v>253</v>
      </c>
      <c r="B153" s="14">
        <v>146</v>
      </c>
      <c r="C153" s="14">
        <f t="shared" si="39"/>
        <v>115</v>
      </c>
      <c r="D153" s="38">
        <f t="shared" si="38"/>
        <v>57</v>
      </c>
      <c r="E153" s="38">
        <f t="shared" ref="E153:E207" si="54">ROUND(O153/5,0)</f>
        <v>28</v>
      </c>
      <c r="F153" s="38">
        <f t="shared" si="53"/>
        <v>1510</v>
      </c>
      <c r="G153" s="74">
        <f t="shared" si="44"/>
        <v>1962</v>
      </c>
      <c r="H153" s="70">
        <v>28500</v>
      </c>
      <c r="I153" s="38"/>
      <c r="J153" s="70">
        <v>56800</v>
      </c>
      <c r="K153" s="38">
        <v>6</v>
      </c>
      <c r="L153" s="77"/>
      <c r="M153" s="70">
        <v>576</v>
      </c>
      <c r="N153" s="38">
        <v>288</v>
      </c>
      <c r="O153" s="38">
        <v>141</v>
      </c>
      <c r="P153" s="68">
        <v>200</v>
      </c>
      <c r="Q153" s="38">
        <f t="shared" si="46"/>
        <v>200</v>
      </c>
      <c r="R153" s="38">
        <f t="shared" si="48"/>
        <v>85300</v>
      </c>
      <c r="S153" s="38">
        <f t="shared" si="49"/>
        <v>576</v>
      </c>
      <c r="T153" s="38">
        <f t="shared" si="50"/>
        <v>288</v>
      </c>
      <c r="U153" s="38">
        <f t="shared" si="51"/>
        <v>141</v>
      </c>
      <c r="V153" s="38">
        <f t="shared" si="47"/>
        <v>6</v>
      </c>
      <c r="W153" s="38">
        <f t="shared" si="52"/>
        <v>25657</v>
      </c>
      <c r="X153" s="38">
        <f>SUM(Q$8:Q153)</f>
        <v>27700</v>
      </c>
      <c r="Y153" s="38">
        <f>SUM(R$8:R153)</f>
        <v>6112800</v>
      </c>
      <c r="Z153" s="38">
        <f>SUM(S$8:S153)</f>
        <v>41822</v>
      </c>
      <c r="AA153" s="38">
        <f>SUM(T$8:T153)</f>
        <v>20912</v>
      </c>
      <c r="AB153" s="38">
        <f>SUM(U$8:U153)</f>
        <v>10014</v>
      </c>
      <c r="AC153" s="38">
        <f>SUM(V$8:V153)</f>
        <v>876</v>
      </c>
      <c r="AD153" s="38">
        <f t="shared" si="45"/>
        <v>1852528</v>
      </c>
    </row>
    <row r="154" spans="1:30" x14ac:dyDescent="0.25">
      <c r="A154" s="86" t="s">
        <v>253</v>
      </c>
      <c r="B154" s="14">
        <v>147</v>
      </c>
      <c r="C154" s="14">
        <f t="shared" si="39"/>
        <v>116</v>
      </c>
      <c r="D154" s="38">
        <f t="shared" si="38"/>
        <v>58</v>
      </c>
      <c r="E154" s="38">
        <f t="shared" si="54"/>
        <v>28</v>
      </c>
      <c r="F154" s="38">
        <f t="shared" si="53"/>
        <v>1530</v>
      </c>
      <c r="G154" s="74">
        <f t="shared" si="44"/>
        <v>1972</v>
      </c>
      <c r="H154" s="70">
        <v>28700</v>
      </c>
      <c r="I154" s="38"/>
      <c r="J154" s="70">
        <v>57200</v>
      </c>
      <c r="K154" s="38">
        <v>6</v>
      </c>
      <c r="L154" s="77"/>
      <c r="M154" s="70">
        <v>580</v>
      </c>
      <c r="N154" s="38">
        <v>290</v>
      </c>
      <c r="O154" s="38">
        <v>142</v>
      </c>
      <c r="P154" s="68">
        <v>200</v>
      </c>
      <c r="Q154" s="38">
        <f t="shared" si="46"/>
        <v>200</v>
      </c>
      <c r="R154" s="38">
        <f t="shared" si="48"/>
        <v>85900</v>
      </c>
      <c r="S154" s="38">
        <f t="shared" si="49"/>
        <v>580</v>
      </c>
      <c r="T154" s="38">
        <f t="shared" si="50"/>
        <v>290</v>
      </c>
      <c r="U154" s="38">
        <f t="shared" si="51"/>
        <v>142</v>
      </c>
      <c r="V154" s="38">
        <f t="shared" si="47"/>
        <v>6</v>
      </c>
      <c r="W154" s="38">
        <f t="shared" si="52"/>
        <v>25836</v>
      </c>
      <c r="X154" s="38">
        <f>SUM(Q$8:Q154)</f>
        <v>27900</v>
      </c>
      <c r="Y154" s="38">
        <f>SUM(R$8:R154)</f>
        <v>6198700</v>
      </c>
      <c r="Z154" s="38">
        <f>SUM(S$8:S154)</f>
        <v>42402</v>
      </c>
      <c r="AA154" s="38">
        <f>SUM(T$8:T154)</f>
        <v>21202</v>
      </c>
      <c r="AB154" s="38">
        <f>SUM(U$8:U154)</f>
        <v>10156</v>
      </c>
      <c r="AC154" s="38">
        <f>SUM(V$8:V154)</f>
        <v>882</v>
      </c>
      <c r="AD154" s="38">
        <f t="shared" si="45"/>
        <v>1878364</v>
      </c>
    </row>
    <row r="155" spans="1:30" x14ac:dyDescent="0.25">
      <c r="A155" s="86" t="s">
        <v>253</v>
      </c>
      <c r="B155" s="14">
        <v>148</v>
      </c>
      <c r="C155" s="14">
        <f t="shared" si="39"/>
        <v>117</v>
      </c>
      <c r="D155" s="38">
        <f t="shared" si="38"/>
        <v>58</v>
      </c>
      <c r="E155" s="38">
        <f t="shared" si="54"/>
        <v>29</v>
      </c>
      <c r="F155" s="38">
        <f t="shared" si="53"/>
        <v>1530</v>
      </c>
      <c r="G155" s="74">
        <f t="shared" si="44"/>
        <v>2018</v>
      </c>
      <c r="H155" s="70">
        <v>28900</v>
      </c>
      <c r="I155" s="38"/>
      <c r="J155" s="70">
        <v>57600</v>
      </c>
      <c r="K155" s="38">
        <v>6</v>
      </c>
      <c r="L155" s="77"/>
      <c r="M155" s="70">
        <v>584</v>
      </c>
      <c r="N155" s="38">
        <v>292</v>
      </c>
      <c r="O155" s="38">
        <v>143</v>
      </c>
      <c r="P155" s="68">
        <v>200</v>
      </c>
      <c r="Q155" s="38">
        <f t="shared" si="46"/>
        <v>200</v>
      </c>
      <c r="R155" s="38">
        <f t="shared" si="48"/>
        <v>86500</v>
      </c>
      <c r="S155" s="38">
        <f t="shared" si="49"/>
        <v>584</v>
      </c>
      <c r="T155" s="38">
        <f t="shared" si="50"/>
        <v>292</v>
      </c>
      <c r="U155" s="38">
        <f t="shared" si="51"/>
        <v>143</v>
      </c>
      <c r="V155" s="38">
        <f t="shared" si="47"/>
        <v>6</v>
      </c>
      <c r="W155" s="38">
        <f t="shared" si="52"/>
        <v>26015</v>
      </c>
      <c r="X155" s="38">
        <f>SUM(Q$8:Q155)</f>
        <v>28100</v>
      </c>
      <c r="Y155" s="38">
        <f>SUM(R$8:R155)</f>
        <v>6285200</v>
      </c>
      <c r="Z155" s="38">
        <f>SUM(S$8:S155)</f>
        <v>42986</v>
      </c>
      <c r="AA155" s="38">
        <f>SUM(T$8:T155)</f>
        <v>21494</v>
      </c>
      <c r="AB155" s="38">
        <f>SUM(U$8:U155)</f>
        <v>10299</v>
      </c>
      <c r="AC155" s="38">
        <f>SUM(V$8:V155)</f>
        <v>888</v>
      </c>
      <c r="AD155" s="38">
        <f t="shared" si="45"/>
        <v>1904379</v>
      </c>
    </row>
    <row r="156" spans="1:30" x14ac:dyDescent="0.25">
      <c r="A156" s="86" t="s">
        <v>253</v>
      </c>
      <c r="B156" s="14">
        <v>149</v>
      </c>
      <c r="C156" s="14">
        <f t="shared" si="39"/>
        <v>118</v>
      </c>
      <c r="D156" s="38">
        <f t="shared" ref="D156:D207" si="55">INT(C156/2)</f>
        <v>59</v>
      </c>
      <c r="E156" s="38">
        <f t="shared" si="54"/>
        <v>29</v>
      </c>
      <c r="F156" s="38">
        <f t="shared" si="53"/>
        <v>1550</v>
      </c>
      <c r="G156" s="74">
        <f t="shared" si="44"/>
        <v>2028</v>
      </c>
      <c r="H156" s="70">
        <v>29100</v>
      </c>
      <c r="I156" s="38"/>
      <c r="J156" s="70">
        <v>58000</v>
      </c>
      <c r="K156" s="38">
        <v>6</v>
      </c>
      <c r="L156" s="77"/>
      <c r="M156" s="70">
        <v>588</v>
      </c>
      <c r="N156" s="38">
        <v>294</v>
      </c>
      <c r="O156" s="38">
        <v>144</v>
      </c>
      <c r="P156" s="68">
        <v>200</v>
      </c>
      <c r="Q156" s="38">
        <f t="shared" si="46"/>
        <v>200</v>
      </c>
      <c r="R156" s="38">
        <f t="shared" si="48"/>
        <v>87100</v>
      </c>
      <c r="S156" s="38">
        <f t="shared" si="49"/>
        <v>588</v>
      </c>
      <c r="T156" s="38">
        <f t="shared" si="50"/>
        <v>294</v>
      </c>
      <c r="U156" s="38">
        <f t="shared" si="51"/>
        <v>144</v>
      </c>
      <c r="V156" s="38">
        <f t="shared" si="47"/>
        <v>6</v>
      </c>
      <c r="W156" s="38">
        <f t="shared" si="52"/>
        <v>26194</v>
      </c>
      <c r="X156" s="38">
        <f>SUM(Q$8:Q156)</f>
        <v>28300</v>
      </c>
      <c r="Y156" s="38">
        <f>SUM(R$8:R156)</f>
        <v>6372300</v>
      </c>
      <c r="Z156" s="38">
        <f>SUM(S$8:S156)</f>
        <v>43574</v>
      </c>
      <c r="AA156" s="38">
        <f>SUM(T$8:T156)</f>
        <v>21788</v>
      </c>
      <c r="AB156" s="38">
        <f>SUM(U$8:U156)</f>
        <v>10443</v>
      </c>
      <c r="AC156" s="38">
        <f>SUM(V$8:V156)</f>
        <v>894</v>
      </c>
      <c r="AD156" s="38">
        <f t="shared" si="45"/>
        <v>1930573</v>
      </c>
    </row>
    <row r="157" spans="1:30" x14ac:dyDescent="0.25">
      <c r="A157" s="86" t="s">
        <v>253</v>
      </c>
      <c r="B157" s="14">
        <v>150</v>
      </c>
      <c r="C157" s="14">
        <f t="shared" ref="C157:C207" si="56">ROUND(M157/5,0)</f>
        <v>118</v>
      </c>
      <c r="D157" s="38">
        <f t="shared" si="55"/>
        <v>59</v>
      </c>
      <c r="E157" s="38">
        <f t="shared" si="54"/>
        <v>29</v>
      </c>
      <c r="F157" s="38">
        <f t="shared" si="53"/>
        <v>1550</v>
      </c>
      <c r="G157" s="74">
        <f t="shared" si="44"/>
        <v>2028</v>
      </c>
      <c r="H157" s="70">
        <v>29300</v>
      </c>
      <c r="I157" s="38"/>
      <c r="J157" s="70">
        <v>58400</v>
      </c>
      <c r="K157" s="38">
        <v>6</v>
      </c>
      <c r="L157" s="77"/>
      <c r="M157" s="70">
        <v>592</v>
      </c>
      <c r="N157" s="38">
        <v>296</v>
      </c>
      <c r="O157" s="38">
        <v>145</v>
      </c>
      <c r="P157" s="68">
        <v>200</v>
      </c>
      <c r="Q157" s="38">
        <f t="shared" si="46"/>
        <v>200</v>
      </c>
      <c r="R157" s="38">
        <f t="shared" si="48"/>
        <v>87700</v>
      </c>
      <c r="S157" s="38">
        <f t="shared" si="49"/>
        <v>592</v>
      </c>
      <c r="T157" s="38">
        <f t="shared" si="50"/>
        <v>296</v>
      </c>
      <c r="U157" s="38">
        <f t="shared" si="51"/>
        <v>145</v>
      </c>
      <c r="V157" s="38">
        <f t="shared" si="47"/>
        <v>6</v>
      </c>
      <c r="W157" s="38">
        <f t="shared" si="52"/>
        <v>26373</v>
      </c>
      <c r="X157" s="38">
        <f>SUM(Q$8:Q157)</f>
        <v>28500</v>
      </c>
      <c r="Y157" s="38">
        <f>SUM(R$8:R157)</f>
        <v>6460000</v>
      </c>
      <c r="Z157" s="38">
        <f>SUM(S$8:S157)</f>
        <v>44166</v>
      </c>
      <c r="AA157" s="38">
        <f>SUM(T$8:T157)</f>
        <v>22084</v>
      </c>
      <c r="AB157" s="38">
        <f>SUM(U$8:U157)</f>
        <v>10588</v>
      </c>
      <c r="AC157" s="38">
        <f>SUM(V$8:V157)</f>
        <v>900</v>
      </c>
      <c r="AD157" s="38">
        <f t="shared" si="45"/>
        <v>1956946</v>
      </c>
    </row>
    <row r="158" spans="1:30" x14ac:dyDescent="0.25">
      <c r="A158" s="86" t="s">
        <v>253</v>
      </c>
      <c r="B158" s="14">
        <v>151</v>
      </c>
      <c r="C158" s="14">
        <f t="shared" si="56"/>
        <v>119</v>
      </c>
      <c r="D158" s="38">
        <f t="shared" si="55"/>
        <v>59</v>
      </c>
      <c r="E158" s="38">
        <f t="shared" si="54"/>
        <v>29</v>
      </c>
      <c r="F158" s="38">
        <f t="shared" si="53"/>
        <v>1570</v>
      </c>
      <c r="G158" s="74">
        <f t="shared" si="44"/>
        <v>2033</v>
      </c>
      <c r="H158" s="70">
        <v>29500</v>
      </c>
      <c r="I158" s="38"/>
      <c r="J158" s="70">
        <v>58800</v>
      </c>
      <c r="K158" s="38">
        <v>6</v>
      </c>
      <c r="L158" s="77"/>
      <c r="M158" s="70">
        <v>596</v>
      </c>
      <c r="N158" s="38">
        <v>298</v>
      </c>
      <c r="O158" s="38">
        <v>146</v>
      </c>
      <c r="P158" s="68">
        <v>200</v>
      </c>
      <c r="Q158" s="38">
        <f t="shared" si="46"/>
        <v>200</v>
      </c>
      <c r="R158" s="38">
        <f t="shared" si="48"/>
        <v>88300</v>
      </c>
      <c r="S158" s="38">
        <f t="shared" si="49"/>
        <v>596</v>
      </c>
      <c r="T158" s="38">
        <f t="shared" si="50"/>
        <v>298</v>
      </c>
      <c r="U158" s="38">
        <f t="shared" si="51"/>
        <v>146</v>
      </c>
      <c r="V158" s="38">
        <f t="shared" si="47"/>
        <v>6</v>
      </c>
      <c r="W158" s="38">
        <f t="shared" si="52"/>
        <v>26552</v>
      </c>
      <c r="X158" s="38">
        <f>SUM(Q$8:Q158)</f>
        <v>28700</v>
      </c>
      <c r="Y158" s="38">
        <f>SUM(R$8:R158)</f>
        <v>6548300</v>
      </c>
      <c r="Z158" s="38">
        <f>SUM(S$8:S158)</f>
        <v>44762</v>
      </c>
      <c r="AA158" s="38">
        <f>SUM(T$8:T158)</f>
        <v>22382</v>
      </c>
      <c r="AB158" s="38">
        <f>SUM(U$8:U158)</f>
        <v>10734</v>
      </c>
      <c r="AC158" s="38">
        <f>SUM(V$8:V158)</f>
        <v>906</v>
      </c>
      <c r="AD158" s="38">
        <f t="shared" si="45"/>
        <v>1983498</v>
      </c>
    </row>
    <row r="159" spans="1:30" x14ac:dyDescent="0.25">
      <c r="A159" s="86" t="s">
        <v>253</v>
      </c>
      <c r="B159" s="14">
        <v>152</v>
      </c>
      <c r="C159" s="14">
        <f t="shared" si="56"/>
        <v>120</v>
      </c>
      <c r="D159" s="38">
        <f t="shared" si="55"/>
        <v>60</v>
      </c>
      <c r="E159" s="38">
        <f t="shared" si="54"/>
        <v>29</v>
      </c>
      <c r="F159" s="38">
        <f t="shared" si="53"/>
        <v>1570</v>
      </c>
      <c r="G159" s="74">
        <f t="shared" si="44"/>
        <v>2039</v>
      </c>
      <c r="H159" s="70">
        <v>29700</v>
      </c>
      <c r="I159" s="38"/>
      <c r="J159" s="70">
        <v>59200</v>
      </c>
      <c r="K159" s="38">
        <v>6</v>
      </c>
      <c r="L159" s="77"/>
      <c r="M159" s="70">
        <v>600</v>
      </c>
      <c r="N159" s="38">
        <v>300</v>
      </c>
      <c r="O159" s="38">
        <v>147</v>
      </c>
      <c r="P159" s="68">
        <v>200</v>
      </c>
      <c r="Q159" s="38">
        <f t="shared" si="46"/>
        <v>200</v>
      </c>
      <c r="R159" s="38">
        <f t="shared" si="48"/>
        <v>88900</v>
      </c>
      <c r="S159" s="38">
        <f t="shared" si="49"/>
        <v>600</v>
      </c>
      <c r="T159" s="38">
        <f t="shared" si="50"/>
        <v>300</v>
      </c>
      <c r="U159" s="38">
        <f t="shared" si="51"/>
        <v>147</v>
      </c>
      <c r="V159" s="38">
        <f t="shared" si="47"/>
        <v>6</v>
      </c>
      <c r="W159" s="38">
        <f t="shared" si="52"/>
        <v>26731</v>
      </c>
      <c r="X159" s="38">
        <f>SUM(Q$8:Q159)</f>
        <v>28900</v>
      </c>
      <c r="Y159" s="38">
        <f>SUM(R$8:R159)</f>
        <v>6637200</v>
      </c>
      <c r="Z159" s="38">
        <f>SUM(S$8:S159)</f>
        <v>45362</v>
      </c>
      <c r="AA159" s="38">
        <f>SUM(T$8:T159)</f>
        <v>22682</v>
      </c>
      <c r="AB159" s="38">
        <f>SUM(U$8:U159)</f>
        <v>10881</v>
      </c>
      <c r="AC159" s="38">
        <f>SUM(V$8:V159)</f>
        <v>912</v>
      </c>
      <c r="AD159" s="38">
        <f t="shared" si="45"/>
        <v>2010229</v>
      </c>
    </row>
    <row r="160" spans="1:30" x14ac:dyDescent="0.25">
      <c r="A160" s="86" t="s">
        <v>253</v>
      </c>
      <c r="B160" s="14">
        <v>153</v>
      </c>
      <c r="C160" s="14">
        <f t="shared" si="56"/>
        <v>121</v>
      </c>
      <c r="D160" s="38">
        <f t="shared" si="55"/>
        <v>60</v>
      </c>
      <c r="E160" s="38">
        <f t="shared" si="54"/>
        <v>30</v>
      </c>
      <c r="F160" s="38">
        <f t="shared" si="53"/>
        <v>1590</v>
      </c>
      <c r="G160" s="74">
        <f t="shared" si="44"/>
        <v>2089</v>
      </c>
      <c r="H160" s="70">
        <v>29900</v>
      </c>
      <c r="I160" s="38"/>
      <c r="J160" s="70">
        <v>59600</v>
      </c>
      <c r="K160" s="38">
        <v>6</v>
      </c>
      <c r="L160" s="77"/>
      <c r="M160" s="70">
        <v>604</v>
      </c>
      <c r="N160" s="38">
        <v>302</v>
      </c>
      <c r="O160" s="38">
        <v>148</v>
      </c>
      <c r="P160" s="68">
        <v>200</v>
      </c>
      <c r="Q160" s="38">
        <f t="shared" si="46"/>
        <v>200</v>
      </c>
      <c r="R160" s="38">
        <f t="shared" si="48"/>
        <v>89500</v>
      </c>
      <c r="S160" s="38">
        <f t="shared" si="49"/>
        <v>604</v>
      </c>
      <c r="T160" s="38">
        <f t="shared" si="50"/>
        <v>302</v>
      </c>
      <c r="U160" s="38">
        <f t="shared" si="51"/>
        <v>148</v>
      </c>
      <c r="V160" s="38">
        <f t="shared" si="47"/>
        <v>6</v>
      </c>
      <c r="W160" s="38">
        <f t="shared" si="52"/>
        <v>26910</v>
      </c>
      <c r="X160" s="38">
        <f>SUM(Q$8:Q160)</f>
        <v>29100</v>
      </c>
      <c r="Y160" s="38">
        <f>SUM(R$8:R160)</f>
        <v>6726700</v>
      </c>
      <c r="Z160" s="38">
        <f>SUM(S$8:S160)</f>
        <v>45966</v>
      </c>
      <c r="AA160" s="38">
        <f>SUM(T$8:T160)</f>
        <v>22984</v>
      </c>
      <c r="AB160" s="38">
        <f>SUM(U$8:U160)</f>
        <v>11029</v>
      </c>
      <c r="AC160" s="38">
        <f>SUM(V$8:V160)</f>
        <v>918</v>
      </c>
      <c r="AD160" s="38">
        <f t="shared" si="45"/>
        <v>2037139</v>
      </c>
    </row>
    <row r="161" spans="1:50" x14ac:dyDescent="0.25">
      <c r="A161" s="86" t="s">
        <v>253</v>
      </c>
      <c r="B161" s="14">
        <v>154</v>
      </c>
      <c r="C161" s="14">
        <f t="shared" si="56"/>
        <v>122</v>
      </c>
      <c r="D161" s="38">
        <f t="shared" si="55"/>
        <v>61</v>
      </c>
      <c r="E161" s="38">
        <f t="shared" si="54"/>
        <v>30</v>
      </c>
      <c r="F161" s="38">
        <f t="shared" si="53"/>
        <v>1590</v>
      </c>
      <c r="G161" s="74">
        <f t="shared" si="44"/>
        <v>2095</v>
      </c>
      <c r="H161" s="70">
        <v>30100</v>
      </c>
      <c r="I161" s="38"/>
      <c r="J161" s="70">
        <v>60000</v>
      </c>
      <c r="K161" s="38">
        <v>6</v>
      </c>
      <c r="L161" s="77"/>
      <c r="M161" s="70">
        <v>608</v>
      </c>
      <c r="N161" s="38">
        <v>304</v>
      </c>
      <c r="O161" s="38">
        <v>149</v>
      </c>
      <c r="P161" s="68">
        <v>200</v>
      </c>
      <c r="Q161" s="38">
        <f t="shared" si="46"/>
        <v>200</v>
      </c>
      <c r="R161" s="38">
        <f t="shared" si="48"/>
        <v>90100</v>
      </c>
      <c r="S161" s="38">
        <f t="shared" si="49"/>
        <v>608</v>
      </c>
      <c r="T161" s="38">
        <f t="shared" si="50"/>
        <v>304</v>
      </c>
      <c r="U161" s="38">
        <f t="shared" si="51"/>
        <v>149</v>
      </c>
      <c r="V161" s="38">
        <f t="shared" si="47"/>
        <v>6</v>
      </c>
      <c r="W161" s="38">
        <f t="shared" si="52"/>
        <v>27089</v>
      </c>
      <c r="X161" s="38">
        <f>SUM(Q$8:Q161)</f>
        <v>29300</v>
      </c>
      <c r="Y161" s="38">
        <f>SUM(R$8:R161)</f>
        <v>6816800</v>
      </c>
      <c r="Z161" s="38">
        <f>SUM(S$8:S161)</f>
        <v>46574</v>
      </c>
      <c r="AA161" s="38">
        <f>SUM(T$8:T161)</f>
        <v>23288</v>
      </c>
      <c r="AB161" s="38">
        <f>SUM(U$8:U161)</f>
        <v>11178</v>
      </c>
      <c r="AC161" s="38">
        <f>SUM(V$8:V161)</f>
        <v>924</v>
      </c>
      <c r="AD161" s="38">
        <f t="shared" si="45"/>
        <v>2064228</v>
      </c>
    </row>
    <row r="162" spans="1:50" s="1" customFormat="1" x14ac:dyDescent="0.25">
      <c r="A162" s="86" t="s">
        <v>253</v>
      </c>
      <c r="B162" s="14">
        <v>155</v>
      </c>
      <c r="C162" s="14">
        <f t="shared" si="56"/>
        <v>122</v>
      </c>
      <c r="D162" s="38">
        <f t="shared" si="55"/>
        <v>61</v>
      </c>
      <c r="E162" s="38">
        <f t="shared" si="54"/>
        <v>30</v>
      </c>
      <c r="F162" s="38">
        <f t="shared" si="53"/>
        <v>1610</v>
      </c>
      <c r="G162" s="74">
        <f t="shared" si="44"/>
        <v>2099</v>
      </c>
      <c r="H162" s="70">
        <v>30300</v>
      </c>
      <c r="I162" s="38"/>
      <c r="J162" s="70">
        <v>60400</v>
      </c>
      <c r="K162" s="38">
        <v>6</v>
      </c>
      <c r="L162" s="78"/>
      <c r="M162" s="70">
        <v>612</v>
      </c>
      <c r="N162" s="38">
        <v>306</v>
      </c>
      <c r="O162" s="38">
        <v>150</v>
      </c>
      <c r="P162" s="68">
        <v>200</v>
      </c>
      <c r="Q162" s="42">
        <f t="shared" si="46"/>
        <v>200</v>
      </c>
      <c r="R162" s="38">
        <f t="shared" si="48"/>
        <v>90700</v>
      </c>
      <c r="S162" s="38">
        <f t="shared" si="49"/>
        <v>612</v>
      </c>
      <c r="T162" s="38">
        <f t="shared" si="50"/>
        <v>306</v>
      </c>
      <c r="U162" s="38">
        <f t="shared" si="51"/>
        <v>150</v>
      </c>
      <c r="V162" s="42">
        <f t="shared" si="47"/>
        <v>6</v>
      </c>
      <c r="W162" s="38">
        <f t="shared" si="52"/>
        <v>27268</v>
      </c>
      <c r="X162" s="42">
        <f>SUM(Q$8:Q162)</f>
        <v>29500</v>
      </c>
      <c r="Y162" s="42">
        <f>SUM(R$8:R162)</f>
        <v>6907500</v>
      </c>
      <c r="Z162" s="42">
        <f>SUM(S$8:S162)</f>
        <v>47186</v>
      </c>
      <c r="AA162" s="42">
        <f>SUM(T$8:T162)</f>
        <v>23594</v>
      </c>
      <c r="AB162" s="42">
        <f>SUM(U$8:U162)</f>
        <v>11328</v>
      </c>
      <c r="AC162" s="42">
        <f>SUM(V$8:V162)</f>
        <v>930</v>
      </c>
      <c r="AD162" s="38">
        <f t="shared" si="45"/>
        <v>2091496</v>
      </c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</row>
    <row r="163" spans="1:50" x14ac:dyDescent="0.25">
      <c r="A163" s="86" t="s">
        <v>253</v>
      </c>
      <c r="B163" s="14">
        <v>156</v>
      </c>
      <c r="C163" s="14">
        <f t="shared" si="56"/>
        <v>123</v>
      </c>
      <c r="D163" s="38">
        <f t="shared" si="55"/>
        <v>61</v>
      </c>
      <c r="E163" s="38">
        <f t="shared" si="54"/>
        <v>30</v>
      </c>
      <c r="F163" s="38">
        <f t="shared" si="53"/>
        <v>1610</v>
      </c>
      <c r="G163" s="74">
        <f t="shared" si="44"/>
        <v>2100</v>
      </c>
      <c r="H163" s="70">
        <v>30500</v>
      </c>
      <c r="I163" s="38"/>
      <c r="J163" s="70">
        <v>60800</v>
      </c>
      <c r="K163" s="38">
        <v>6</v>
      </c>
      <c r="L163" s="77"/>
      <c r="M163" s="70">
        <v>616</v>
      </c>
      <c r="N163" s="38">
        <v>308</v>
      </c>
      <c r="O163" s="38">
        <v>151</v>
      </c>
      <c r="P163" s="68">
        <v>200</v>
      </c>
      <c r="Q163" s="38">
        <f t="shared" si="46"/>
        <v>200</v>
      </c>
      <c r="R163" s="38">
        <f t="shared" si="48"/>
        <v>91300</v>
      </c>
      <c r="S163" s="38">
        <f t="shared" si="49"/>
        <v>616</v>
      </c>
      <c r="T163" s="38">
        <f t="shared" si="50"/>
        <v>308</v>
      </c>
      <c r="U163" s="38">
        <f t="shared" si="51"/>
        <v>151</v>
      </c>
      <c r="V163" s="38">
        <f t="shared" si="47"/>
        <v>6</v>
      </c>
      <c r="W163" s="38">
        <f t="shared" si="52"/>
        <v>27447</v>
      </c>
      <c r="X163" s="38">
        <f>SUM(Q$8:Q163)</f>
        <v>29700</v>
      </c>
      <c r="Y163" s="38">
        <f>SUM(R$8:R163)</f>
        <v>6998800</v>
      </c>
      <c r="Z163" s="38">
        <f>SUM(S$8:S163)</f>
        <v>47802</v>
      </c>
      <c r="AA163" s="38">
        <f>SUM(T$8:T163)</f>
        <v>23902</v>
      </c>
      <c r="AB163" s="38">
        <f>SUM(U$8:U163)</f>
        <v>11479</v>
      </c>
      <c r="AC163" s="38">
        <f>SUM(V$8:V163)</f>
        <v>936</v>
      </c>
      <c r="AD163" s="38">
        <f t="shared" si="45"/>
        <v>2118943</v>
      </c>
    </row>
    <row r="164" spans="1:50" x14ac:dyDescent="0.25">
      <c r="A164" s="86" t="s">
        <v>253</v>
      </c>
      <c r="B164" s="14">
        <v>157</v>
      </c>
      <c r="C164" s="14">
        <f t="shared" si="56"/>
        <v>124</v>
      </c>
      <c r="D164" s="38">
        <f t="shared" si="55"/>
        <v>62</v>
      </c>
      <c r="E164" s="38">
        <f t="shared" si="54"/>
        <v>30</v>
      </c>
      <c r="F164" s="38">
        <f t="shared" si="53"/>
        <v>1630</v>
      </c>
      <c r="G164" s="74">
        <f t="shared" si="44"/>
        <v>2110</v>
      </c>
      <c r="H164" s="70">
        <v>30700</v>
      </c>
      <c r="I164" s="38"/>
      <c r="J164" s="70">
        <v>61200</v>
      </c>
      <c r="K164" s="38">
        <v>6</v>
      </c>
      <c r="L164" s="77"/>
      <c r="M164" s="70">
        <v>620</v>
      </c>
      <c r="N164" s="38">
        <v>310</v>
      </c>
      <c r="O164" s="38">
        <v>152</v>
      </c>
      <c r="P164" s="68">
        <v>200</v>
      </c>
      <c r="Q164" s="38">
        <f t="shared" si="46"/>
        <v>200</v>
      </c>
      <c r="R164" s="38">
        <f t="shared" si="48"/>
        <v>91900</v>
      </c>
      <c r="S164" s="38">
        <f t="shared" si="49"/>
        <v>620</v>
      </c>
      <c r="T164" s="38">
        <f t="shared" si="50"/>
        <v>310</v>
      </c>
      <c r="U164" s="38">
        <f t="shared" si="51"/>
        <v>152</v>
      </c>
      <c r="V164" s="38">
        <f t="shared" si="47"/>
        <v>6</v>
      </c>
      <c r="W164" s="38">
        <f t="shared" si="52"/>
        <v>27626</v>
      </c>
      <c r="X164" s="38">
        <f>SUM(Q$8:Q164)</f>
        <v>29900</v>
      </c>
      <c r="Y164" s="38">
        <f>SUM(R$8:R164)</f>
        <v>7090700</v>
      </c>
      <c r="Z164" s="38">
        <f>SUM(S$8:S164)</f>
        <v>48422</v>
      </c>
      <c r="AA164" s="38">
        <f>SUM(T$8:T164)</f>
        <v>24212</v>
      </c>
      <c r="AB164" s="38">
        <f>SUM(U$8:U164)</f>
        <v>11631</v>
      </c>
      <c r="AC164" s="38">
        <f>SUM(V$8:V164)</f>
        <v>942</v>
      </c>
      <c r="AD164" s="38">
        <f t="shared" si="45"/>
        <v>2146569</v>
      </c>
    </row>
    <row r="165" spans="1:50" x14ac:dyDescent="0.25">
      <c r="A165" s="86" t="s">
        <v>253</v>
      </c>
      <c r="B165" s="14">
        <v>158</v>
      </c>
      <c r="C165" s="14">
        <f t="shared" si="56"/>
        <v>125</v>
      </c>
      <c r="D165" s="38">
        <f t="shared" si="55"/>
        <v>62</v>
      </c>
      <c r="E165" s="38">
        <f t="shared" si="54"/>
        <v>31</v>
      </c>
      <c r="F165" s="38">
        <f t="shared" si="53"/>
        <v>1630</v>
      </c>
      <c r="G165" s="74">
        <f t="shared" si="44"/>
        <v>2156</v>
      </c>
      <c r="H165" s="70">
        <v>30900</v>
      </c>
      <c r="I165" s="38"/>
      <c r="J165" s="70">
        <v>61600</v>
      </c>
      <c r="K165" s="38">
        <v>6</v>
      </c>
      <c r="L165" s="77"/>
      <c r="M165" s="70">
        <v>624</v>
      </c>
      <c r="N165" s="38">
        <v>312</v>
      </c>
      <c r="O165" s="38">
        <v>153</v>
      </c>
      <c r="P165" s="68">
        <v>200</v>
      </c>
      <c r="Q165" s="38">
        <f t="shared" si="46"/>
        <v>200</v>
      </c>
      <c r="R165" s="38">
        <f t="shared" si="48"/>
        <v>92500</v>
      </c>
      <c r="S165" s="38">
        <f t="shared" si="49"/>
        <v>624</v>
      </c>
      <c r="T165" s="38">
        <f t="shared" si="50"/>
        <v>312</v>
      </c>
      <c r="U165" s="38">
        <f t="shared" si="51"/>
        <v>153</v>
      </c>
      <c r="V165" s="38">
        <f t="shared" si="47"/>
        <v>6</v>
      </c>
      <c r="W165" s="38">
        <f t="shared" si="52"/>
        <v>27805</v>
      </c>
      <c r="X165" s="38">
        <f>SUM(Q$8:Q165)</f>
        <v>30100</v>
      </c>
      <c r="Y165" s="38">
        <f>SUM(R$8:R165)</f>
        <v>7183200</v>
      </c>
      <c r="Z165" s="38">
        <f>SUM(S$8:S165)</f>
        <v>49046</v>
      </c>
      <c r="AA165" s="38">
        <f>SUM(T$8:T165)</f>
        <v>24524</v>
      </c>
      <c r="AB165" s="38">
        <f>SUM(U$8:U165)</f>
        <v>11784</v>
      </c>
      <c r="AC165" s="38">
        <f>SUM(V$8:V165)</f>
        <v>948</v>
      </c>
      <c r="AD165" s="38">
        <f t="shared" si="45"/>
        <v>2174374</v>
      </c>
    </row>
    <row r="166" spans="1:50" x14ac:dyDescent="0.25">
      <c r="A166" s="86" t="s">
        <v>253</v>
      </c>
      <c r="B166" s="14">
        <v>159</v>
      </c>
      <c r="C166" s="14">
        <f t="shared" si="56"/>
        <v>126</v>
      </c>
      <c r="D166" s="38">
        <f t="shared" si="55"/>
        <v>63</v>
      </c>
      <c r="E166" s="38">
        <f t="shared" si="54"/>
        <v>31</v>
      </c>
      <c r="F166" s="38">
        <f t="shared" si="53"/>
        <v>1650</v>
      </c>
      <c r="G166" s="74">
        <f t="shared" si="44"/>
        <v>2166</v>
      </c>
      <c r="H166" s="70">
        <v>31100</v>
      </c>
      <c r="I166" s="38"/>
      <c r="J166" s="70">
        <v>62000</v>
      </c>
      <c r="K166" s="38">
        <v>6</v>
      </c>
      <c r="L166" s="77"/>
      <c r="M166" s="70">
        <v>628</v>
      </c>
      <c r="N166" s="38">
        <v>314</v>
      </c>
      <c r="O166" s="38">
        <v>154</v>
      </c>
      <c r="P166" s="68">
        <v>200</v>
      </c>
      <c r="Q166" s="38">
        <f t="shared" si="46"/>
        <v>200</v>
      </c>
      <c r="R166" s="38">
        <f t="shared" si="48"/>
        <v>93100</v>
      </c>
      <c r="S166" s="38">
        <f t="shared" si="49"/>
        <v>628</v>
      </c>
      <c r="T166" s="38">
        <f t="shared" si="50"/>
        <v>314</v>
      </c>
      <c r="U166" s="38">
        <f t="shared" si="51"/>
        <v>154</v>
      </c>
      <c r="V166" s="38">
        <f t="shared" si="47"/>
        <v>6</v>
      </c>
      <c r="W166" s="38">
        <f t="shared" si="52"/>
        <v>27984</v>
      </c>
      <c r="X166" s="38">
        <f>SUM(Q$8:Q166)</f>
        <v>30300</v>
      </c>
      <c r="Y166" s="38">
        <f>SUM(R$8:R166)</f>
        <v>7276300</v>
      </c>
      <c r="Z166" s="38">
        <f>SUM(S$8:S166)</f>
        <v>49674</v>
      </c>
      <c r="AA166" s="38">
        <f>SUM(T$8:T166)</f>
        <v>24838</v>
      </c>
      <c r="AB166" s="38">
        <f>SUM(U$8:U166)</f>
        <v>11938</v>
      </c>
      <c r="AC166" s="38">
        <f>SUM(V$8:V166)</f>
        <v>954</v>
      </c>
      <c r="AD166" s="38">
        <f t="shared" si="45"/>
        <v>2202358</v>
      </c>
    </row>
    <row r="167" spans="1:50" x14ac:dyDescent="0.25">
      <c r="A167" s="86" t="s">
        <v>253</v>
      </c>
      <c r="B167" s="14">
        <v>160</v>
      </c>
      <c r="C167" s="14">
        <f t="shared" si="56"/>
        <v>126</v>
      </c>
      <c r="D167" s="38">
        <f t="shared" si="55"/>
        <v>63</v>
      </c>
      <c r="E167" s="38">
        <f t="shared" si="54"/>
        <v>31</v>
      </c>
      <c r="F167" s="38">
        <f t="shared" si="53"/>
        <v>1650</v>
      </c>
      <c r="G167" s="74">
        <f t="shared" si="44"/>
        <v>2166</v>
      </c>
      <c r="H167" s="70">
        <v>31300</v>
      </c>
      <c r="I167" s="38"/>
      <c r="J167" s="70">
        <v>62400</v>
      </c>
      <c r="K167" s="38">
        <v>6</v>
      </c>
      <c r="L167" s="77"/>
      <c r="M167" s="70">
        <v>632</v>
      </c>
      <c r="N167" s="38">
        <v>316</v>
      </c>
      <c r="O167" s="38">
        <v>155</v>
      </c>
      <c r="P167" s="68">
        <v>200</v>
      </c>
      <c r="Q167" s="38">
        <f t="shared" si="46"/>
        <v>200</v>
      </c>
      <c r="R167" s="38">
        <f t="shared" si="48"/>
        <v>93700</v>
      </c>
      <c r="S167" s="38">
        <f t="shared" si="49"/>
        <v>632</v>
      </c>
      <c r="T167" s="38">
        <f t="shared" si="50"/>
        <v>316</v>
      </c>
      <c r="U167" s="38">
        <f t="shared" si="51"/>
        <v>155</v>
      </c>
      <c r="V167" s="38">
        <f t="shared" si="47"/>
        <v>6</v>
      </c>
      <c r="W167" s="38">
        <f t="shared" si="52"/>
        <v>28163</v>
      </c>
      <c r="X167" s="38">
        <f>SUM(Q$8:Q167)</f>
        <v>30500</v>
      </c>
      <c r="Y167" s="38">
        <f>SUM(R$8:R167)</f>
        <v>7370000</v>
      </c>
      <c r="Z167" s="38">
        <f>SUM(S$8:S167)</f>
        <v>50306</v>
      </c>
      <c r="AA167" s="38">
        <f>SUM(T$8:T167)</f>
        <v>25154</v>
      </c>
      <c r="AB167" s="38">
        <f>SUM(U$8:U167)</f>
        <v>12093</v>
      </c>
      <c r="AC167" s="38">
        <f>SUM(V$8:V167)</f>
        <v>960</v>
      </c>
      <c r="AD167" s="38">
        <f t="shared" si="45"/>
        <v>2230521</v>
      </c>
    </row>
    <row r="168" spans="1:50" x14ac:dyDescent="0.25">
      <c r="A168" s="86" t="s">
        <v>253</v>
      </c>
      <c r="B168" s="14">
        <v>161</v>
      </c>
      <c r="C168" s="14">
        <f t="shared" si="56"/>
        <v>127</v>
      </c>
      <c r="D168" s="38">
        <f t="shared" si="55"/>
        <v>63</v>
      </c>
      <c r="E168" s="38">
        <f t="shared" si="54"/>
        <v>31</v>
      </c>
      <c r="F168" s="38">
        <f t="shared" si="53"/>
        <v>1670</v>
      </c>
      <c r="G168" s="74">
        <f t="shared" si="44"/>
        <v>2171</v>
      </c>
      <c r="H168" s="70">
        <v>31500</v>
      </c>
      <c r="I168" s="38"/>
      <c r="J168" s="70">
        <v>62800</v>
      </c>
      <c r="K168" s="38">
        <v>6</v>
      </c>
      <c r="L168" s="77"/>
      <c r="M168" s="70">
        <v>636</v>
      </c>
      <c r="N168" s="38">
        <v>318</v>
      </c>
      <c r="O168" s="38">
        <v>156</v>
      </c>
      <c r="P168" s="68">
        <v>200</v>
      </c>
      <c r="Q168" s="38">
        <f t="shared" ref="Q168:Q199" si="57">P168</f>
        <v>200</v>
      </c>
      <c r="R168" s="38">
        <f t="shared" si="48"/>
        <v>94300</v>
      </c>
      <c r="S168" s="38">
        <f t="shared" si="49"/>
        <v>636</v>
      </c>
      <c r="T168" s="38">
        <f t="shared" si="50"/>
        <v>318</v>
      </c>
      <c r="U168" s="38">
        <f t="shared" si="51"/>
        <v>156</v>
      </c>
      <c r="V168" s="38">
        <f t="shared" ref="V168:V199" si="58">K168</f>
        <v>6</v>
      </c>
      <c r="W168" s="38">
        <f t="shared" si="52"/>
        <v>28342</v>
      </c>
      <c r="X168" s="38">
        <f>SUM(Q$8:Q168)</f>
        <v>30700</v>
      </c>
      <c r="Y168" s="38">
        <f>SUM(R$8:R168)</f>
        <v>7464300</v>
      </c>
      <c r="Z168" s="38">
        <f>SUM(S$8:S168)</f>
        <v>50942</v>
      </c>
      <c r="AA168" s="38">
        <f>SUM(T$8:T168)</f>
        <v>25472</v>
      </c>
      <c r="AB168" s="38">
        <f>SUM(U$8:U168)</f>
        <v>12249</v>
      </c>
      <c r="AC168" s="38">
        <f>SUM(V$8:V168)</f>
        <v>966</v>
      </c>
      <c r="AD168" s="38">
        <f t="shared" si="45"/>
        <v>2258863</v>
      </c>
    </row>
    <row r="169" spans="1:50" x14ac:dyDescent="0.25">
      <c r="A169" s="86" t="s">
        <v>253</v>
      </c>
      <c r="B169" s="14">
        <v>162</v>
      </c>
      <c r="C169" s="14">
        <f t="shared" si="56"/>
        <v>128</v>
      </c>
      <c r="D169" s="38">
        <f t="shared" si="55"/>
        <v>64</v>
      </c>
      <c r="E169" s="38">
        <f t="shared" si="54"/>
        <v>31</v>
      </c>
      <c r="F169" s="38">
        <f t="shared" si="53"/>
        <v>1670</v>
      </c>
      <c r="G169" s="74">
        <f t="shared" si="44"/>
        <v>2177</v>
      </c>
      <c r="H169" s="70">
        <v>31700</v>
      </c>
      <c r="I169" s="38"/>
      <c r="J169" s="70">
        <v>63200</v>
      </c>
      <c r="K169" s="38">
        <v>6</v>
      </c>
      <c r="L169" s="77"/>
      <c r="M169" s="70">
        <v>640</v>
      </c>
      <c r="N169" s="38">
        <v>320</v>
      </c>
      <c r="O169" s="38">
        <v>157</v>
      </c>
      <c r="P169" s="68">
        <v>200</v>
      </c>
      <c r="Q169" s="38">
        <f t="shared" si="57"/>
        <v>200</v>
      </c>
      <c r="R169" s="38">
        <f t="shared" si="48"/>
        <v>94900</v>
      </c>
      <c r="S169" s="38">
        <f t="shared" si="49"/>
        <v>640</v>
      </c>
      <c r="T169" s="38">
        <f t="shared" si="50"/>
        <v>320</v>
      </c>
      <c r="U169" s="38">
        <f t="shared" si="51"/>
        <v>157</v>
      </c>
      <c r="V169" s="38">
        <f t="shared" si="58"/>
        <v>6</v>
      </c>
      <c r="W169" s="38">
        <f t="shared" si="52"/>
        <v>28521</v>
      </c>
      <c r="X169" s="38">
        <f>SUM(Q$8:Q169)</f>
        <v>30900</v>
      </c>
      <c r="Y169" s="38">
        <f>SUM(R$8:R169)</f>
        <v>7559200</v>
      </c>
      <c r="Z169" s="38">
        <f>SUM(S$8:S169)</f>
        <v>51582</v>
      </c>
      <c r="AA169" s="38">
        <f>SUM(T$8:T169)</f>
        <v>25792</v>
      </c>
      <c r="AB169" s="38">
        <f>SUM(U$8:U169)</f>
        <v>12406</v>
      </c>
      <c r="AC169" s="38">
        <f>SUM(V$8:V169)</f>
        <v>972</v>
      </c>
      <c r="AD169" s="38">
        <f t="shared" si="45"/>
        <v>2287384</v>
      </c>
    </row>
    <row r="170" spans="1:50" x14ac:dyDescent="0.25">
      <c r="A170" s="86" t="s">
        <v>253</v>
      </c>
      <c r="B170" s="14">
        <v>163</v>
      </c>
      <c r="C170" s="14">
        <f t="shared" si="56"/>
        <v>129</v>
      </c>
      <c r="D170" s="38">
        <f t="shared" si="55"/>
        <v>64</v>
      </c>
      <c r="E170" s="38">
        <f t="shared" si="54"/>
        <v>32</v>
      </c>
      <c r="F170" s="38">
        <f t="shared" si="53"/>
        <v>1690</v>
      </c>
      <c r="G170" s="74">
        <f t="shared" si="44"/>
        <v>2227</v>
      </c>
      <c r="H170" s="70">
        <v>31900</v>
      </c>
      <c r="I170" s="38"/>
      <c r="J170" s="70">
        <v>63600</v>
      </c>
      <c r="K170" s="38">
        <v>6</v>
      </c>
      <c r="L170" s="77"/>
      <c r="M170" s="70">
        <v>644</v>
      </c>
      <c r="N170" s="38">
        <v>322</v>
      </c>
      <c r="O170" s="38">
        <v>158</v>
      </c>
      <c r="P170" s="68">
        <v>200</v>
      </c>
      <c r="Q170" s="38">
        <f t="shared" si="57"/>
        <v>200</v>
      </c>
      <c r="R170" s="38">
        <f t="shared" si="48"/>
        <v>95500</v>
      </c>
      <c r="S170" s="38">
        <f t="shared" si="49"/>
        <v>644</v>
      </c>
      <c r="T170" s="38">
        <f t="shared" si="50"/>
        <v>322</v>
      </c>
      <c r="U170" s="38">
        <f t="shared" si="51"/>
        <v>158</v>
      </c>
      <c r="V170" s="38">
        <f t="shared" si="58"/>
        <v>6</v>
      </c>
      <c r="W170" s="38">
        <f t="shared" si="52"/>
        <v>28700</v>
      </c>
      <c r="X170" s="38">
        <f>SUM(Q$8:Q170)</f>
        <v>31100</v>
      </c>
      <c r="Y170" s="38">
        <f>SUM(R$8:R170)</f>
        <v>7654700</v>
      </c>
      <c r="Z170" s="38">
        <f>SUM(S$8:S170)</f>
        <v>52226</v>
      </c>
      <c r="AA170" s="38">
        <f>SUM(T$8:T170)</f>
        <v>26114</v>
      </c>
      <c r="AB170" s="38">
        <f>SUM(U$8:U170)</f>
        <v>12564</v>
      </c>
      <c r="AC170" s="38">
        <f>SUM(V$8:V170)</f>
        <v>978</v>
      </c>
      <c r="AD170" s="38">
        <f t="shared" si="45"/>
        <v>2316084</v>
      </c>
    </row>
    <row r="171" spans="1:50" x14ac:dyDescent="0.25">
      <c r="A171" s="86" t="s">
        <v>253</v>
      </c>
      <c r="B171" s="14">
        <v>164</v>
      </c>
      <c r="C171" s="14">
        <f t="shared" si="56"/>
        <v>130</v>
      </c>
      <c r="D171" s="38">
        <f t="shared" si="55"/>
        <v>65</v>
      </c>
      <c r="E171" s="38">
        <f t="shared" si="54"/>
        <v>32</v>
      </c>
      <c r="F171" s="38">
        <f t="shared" si="53"/>
        <v>1690</v>
      </c>
      <c r="G171" s="74">
        <f t="shared" ref="G171:G207" si="59">SUMPRODUCT($C$6:$F$6,C171:F171)</f>
        <v>2233</v>
      </c>
      <c r="H171" s="70">
        <v>32100</v>
      </c>
      <c r="I171" s="38"/>
      <c r="J171" s="70">
        <v>64000</v>
      </c>
      <c r="K171" s="38">
        <v>6</v>
      </c>
      <c r="L171" s="77"/>
      <c r="M171" s="70">
        <v>648</v>
      </c>
      <c r="N171" s="38">
        <v>324</v>
      </c>
      <c r="O171" s="38">
        <v>159</v>
      </c>
      <c r="P171" s="68">
        <v>200</v>
      </c>
      <c r="Q171" s="38">
        <f t="shared" si="57"/>
        <v>200</v>
      </c>
      <c r="R171" s="38">
        <f t="shared" si="48"/>
        <v>96100</v>
      </c>
      <c r="S171" s="38">
        <f t="shared" si="49"/>
        <v>648</v>
      </c>
      <c r="T171" s="38">
        <f t="shared" si="50"/>
        <v>324</v>
      </c>
      <c r="U171" s="38">
        <f t="shared" si="51"/>
        <v>159</v>
      </c>
      <c r="V171" s="38">
        <f t="shared" si="58"/>
        <v>6</v>
      </c>
      <c r="W171" s="38">
        <f t="shared" si="52"/>
        <v>28879</v>
      </c>
      <c r="X171" s="38">
        <f>SUM(Q$8:Q171)</f>
        <v>31300</v>
      </c>
      <c r="Y171" s="38">
        <f>SUM(R$8:R171)</f>
        <v>7750800</v>
      </c>
      <c r="Z171" s="38">
        <f>SUM(S$8:S171)</f>
        <v>52874</v>
      </c>
      <c r="AA171" s="38">
        <f>SUM(T$8:T171)</f>
        <v>26438</v>
      </c>
      <c r="AB171" s="38">
        <f>SUM(U$8:U171)</f>
        <v>12723</v>
      </c>
      <c r="AC171" s="38">
        <f>SUM(V$8:V171)</f>
        <v>984</v>
      </c>
      <c r="AD171" s="38">
        <f t="shared" si="45"/>
        <v>2344963</v>
      </c>
    </row>
    <row r="172" spans="1:50" x14ac:dyDescent="0.25">
      <c r="A172" s="86" t="s">
        <v>253</v>
      </c>
      <c r="B172" s="14">
        <v>165</v>
      </c>
      <c r="C172" s="14">
        <f t="shared" si="56"/>
        <v>130</v>
      </c>
      <c r="D172" s="38">
        <f t="shared" si="55"/>
        <v>65</v>
      </c>
      <c r="E172" s="38">
        <f t="shared" si="54"/>
        <v>32</v>
      </c>
      <c r="F172" s="38">
        <f t="shared" si="53"/>
        <v>1710</v>
      </c>
      <c r="G172" s="74">
        <f t="shared" si="59"/>
        <v>2237</v>
      </c>
      <c r="H172" s="70">
        <v>32300</v>
      </c>
      <c r="I172" s="38"/>
      <c r="J172" s="70">
        <v>64400</v>
      </c>
      <c r="K172" s="38">
        <v>6</v>
      </c>
      <c r="L172" s="77"/>
      <c r="M172" s="70">
        <v>652</v>
      </c>
      <c r="N172" s="38">
        <v>326</v>
      </c>
      <c r="O172" s="38">
        <v>160</v>
      </c>
      <c r="P172" s="68">
        <v>200</v>
      </c>
      <c r="Q172" s="38">
        <f t="shared" si="57"/>
        <v>200</v>
      </c>
      <c r="R172" s="38">
        <f t="shared" si="48"/>
        <v>96700</v>
      </c>
      <c r="S172" s="38">
        <f t="shared" si="49"/>
        <v>652</v>
      </c>
      <c r="T172" s="38">
        <f t="shared" si="50"/>
        <v>326</v>
      </c>
      <c r="U172" s="38">
        <f t="shared" si="51"/>
        <v>160</v>
      </c>
      <c r="V172" s="38">
        <f t="shared" si="58"/>
        <v>6</v>
      </c>
      <c r="W172" s="38">
        <f t="shared" si="52"/>
        <v>29058</v>
      </c>
      <c r="X172" s="38">
        <f>SUM(Q$8:Q172)</f>
        <v>31500</v>
      </c>
      <c r="Y172" s="38">
        <f>SUM(R$8:R172)</f>
        <v>7847500</v>
      </c>
      <c r="Z172" s="38">
        <f>SUM(S$8:S172)</f>
        <v>53526</v>
      </c>
      <c r="AA172" s="38">
        <f>SUM(T$8:T172)</f>
        <v>26764</v>
      </c>
      <c r="AB172" s="38">
        <f>SUM(U$8:U172)</f>
        <v>12883</v>
      </c>
      <c r="AC172" s="38">
        <f>SUM(V$8:V172)</f>
        <v>990</v>
      </c>
      <c r="AD172" s="38">
        <f t="shared" si="45"/>
        <v>2374021</v>
      </c>
    </row>
    <row r="173" spans="1:50" x14ac:dyDescent="0.25">
      <c r="A173" s="86" t="s">
        <v>253</v>
      </c>
      <c r="B173" s="14">
        <v>166</v>
      </c>
      <c r="C173" s="14">
        <f t="shared" si="56"/>
        <v>131</v>
      </c>
      <c r="D173" s="38">
        <f t="shared" si="55"/>
        <v>65</v>
      </c>
      <c r="E173" s="38">
        <f t="shared" si="54"/>
        <v>32</v>
      </c>
      <c r="F173" s="38">
        <f t="shared" si="53"/>
        <v>1710</v>
      </c>
      <c r="G173" s="74">
        <f t="shared" si="59"/>
        <v>2238</v>
      </c>
      <c r="H173" s="70">
        <v>32500</v>
      </c>
      <c r="I173" s="38"/>
      <c r="J173" s="70">
        <v>64800</v>
      </c>
      <c r="K173" s="38">
        <v>6</v>
      </c>
      <c r="L173" s="77"/>
      <c r="M173" s="70">
        <v>656</v>
      </c>
      <c r="N173" s="38">
        <v>328</v>
      </c>
      <c r="O173" s="38">
        <v>161</v>
      </c>
      <c r="P173" s="68">
        <v>200</v>
      </c>
      <c r="Q173" s="38">
        <f t="shared" si="57"/>
        <v>200</v>
      </c>
      <c r="R173" s="38">
        <f t="shared" si="48"/>
        <v>97300</v>
      </c>
      <c r="S173" s="38">
        <f t="shared" si="49"/>
        <v>656</v>
      </c>
      <c r="T173" s="38">
        <f t="shared" si="50"/>
        <v>328</v>
      </c>
      <c r="U173" s="38">
        <f t="shared" si="51"/>
        <v>161</v>
      </c>
      <c r="V173" s="38">
        <f t="shared" si="58"/>
        <v>6</v>
      </c>
      <c r="W173" s="38">
        <f t="shared" si="52"/>
        <v>29237</v>
      </c>
      <c r="X173" s="38">
        <f>SUM(Q$8:Q173)</f>
        <v>31700</v>
      </c>
      <c r="Y173" s="38">
        <f>SUM(R$8:R173)</f>
        <v>7944800</v>
      </c>
      <c r="Z173" s="38">
        <f>SUM(S$8:S173)</f>
        <v>54182</v>
      </c>
      <c r="AA173" s="38">
        <f>SUM(T$8:T173)</f>
        <v>27092</v>
      </c>
      <c r="AB173" s="38">
        <f>SUM(U$8:U173)</f>
        <v>13044</v>
      </c>
      <c r="AC173" s="38">
        <f>SUM(V$8:V173)</f>
        <v>996</v>
      </c>
      <c r="AD173" s="38">
        <f t="shared" ref="AD173:AD207" si="60">SUMPRODUCT($X$6:$AC$6,X173:AC173)</f>
        <v>2403258</v>
      </c>
    </row>
    <row r="174" spans="1:50" x14ac:dyDescent="0.25">
      <c r="A174" s="86" t="s">
        <v>253</v>
      </c>
      <c r="B174" s="14">
        <v>167</v>
      </c>
      <c r="C174" s="14">
        <f t="shared" si="56"/>
        <v>132</v>
      </c>
      <c r="D174" s="38">
        <f t="shared" si="55"/>
        <v>66</v>
      </c>
      <c r="E174" s="38">
        <f t="shared" si="54"/>
        <v>32</v>
      </c>
      <c r="F174" s="38">
        <f t="shared" si="53"/>
        <v>1730</v>
      </c>
      <c r="G174" s="74">
        <f t="shared" si="59"/>
        <v>2248</v>
      </c>
      <c r="H174" s="70">
        <v>32700</v>
      </c>
      <c r="I174" s="38"/>
      <c r="J174" s="70">
        <v>65200</v>
      </c>
      <c r="K174" s="38">
        <v>6</v>
      </c>
      <c r="L174" s="77"/>
      <c r="M174" s="70">
        <v>660</v>
      </c>
      <c r="N174" s="38">
        <v>330</v>
      </c>
      <c r="O174" s="38">
        <v>162</v>
      </c>
      <c r="P174" s="68">
        <v>200</v>
      </c>
      <c r="Q174" s="38">
        <f t="shared" si="57"/>
        <v>200</v>
      </c>
      <c r="R174" s="38">
        <f t="shared" si="48"/>
        <v>97900</v>
      </c>
      <c r="S174" s="38">
        <f t="shared" si="49"/>
        <v>660</v>
      </c>
      <c r="T174" s="38">
        <f t="shared" si="50"/>
        <v>330</v>
      </c>
      <c r="U174" s="38">
        <f t="shared" si="51"/>
        <v>162</v>
      </c>
      <c r="V174" s="38">
        <f t="shared" si="58"/>
        <v>6</v>
      </c>
      <c r="W174" s="38">
        <f t="shared" si="52"/>
        <v>29416</v>
      </c>
      <c r="X174" s="38">
        <f>SUM(Q$8:Q174)</f>
        <v>31900</v>
      </c>
      <c r="Y174" s="38">
        <f>SUM(R$8:R174)</f>
        <v>8042700</v>
      </c>
      <c r="Z174" s="38">
        <f>SUM(S$8:S174)</f>
        <v>54842</v>
      </c>
      <c r="AA174" s="38">
        <f>SUM(T$8:T174)</f>
        <v>27422</v>
      </c>
      <c r="AB174" s="38">
        <f>SUM(U$8:U174)</f>
        <v>13206</v>
      </c>
      <c r="AC174" s="38">
        <f>SUM(V$8:V174)</f>
        <v>1002</v>
      </c>
      <c r="AD174" s="38">
        <f t="shared" si="60"/>
        <v>2432674</v>
      </c>
    </row>
    <row r="175" spans="1:50" x14ac:dyDescent="0.25">
      <c r="A175" s="86" t="s">
        <v>253</v>
      </c>
      <c r="B175" s="14">
        <v>168</v>
      </c>
      <c r="C175" s="14">
        <f t="shared" si="56"/>
        <v>133</v>
      </c>
      <c r="D175" s="38">
        <f t="shared" si="55"/>
        <v>66</v>
      </c>
      <c r="E175" s="38">
        <f t="shared" si="54"/>
        <v>33</v>
      </c>
      <c r="F175" s="38">
        <f t="shared" si="53"/>
        <v>1730</v>
      </c>
      <c r="G175" s="74">
        <f t="shared" si="59"/>
        <v>2294</v>
      </c>
      <c r="H175" s="70">
        <v>32900</v>
      </c>
      <c r="I175" s="38"/>
      <c r="J175" s="70">
        <v>65600</v>
      </c>
      <c r="K175" s="38">
        <v>6</v>
      </c>
      <c r="L175" s="77"/>
      <c r="M175" s="70">
        <v>664</v>
      </c>
      <c r="N175" s="38">
        <v>332</v>
      </c>
      <c r="O175" s="38">
        <v>163</v>
      </c>
      <c r="P175" s="68">
        <v>200</v>
      </c>
      <c r="Q175" s="38">
        <f t="shared" si="57"/>
        <v>200</v>
      </c>
      <c r="R175" s="38">
        <f t="shared" si="48"/>
        <v>98500</v>
      </c>
      <c r="S175" s="38">
        <f t="shared" si="49"/>
        <v>664</v>
      </c>
      <c r="T175" s="38">
        <f t="shared" si="50"/>
        <v>332</v>
      </c>
      <c r="U175" s="38">
        <f t="shared" si="51"/>
        <v>163</v>
      </c>
      <c r="V175" s="38">
        <f t="shared" si="58"/>
        <v>6</v>
      </c>
      <c r="W175" s="38">
        <f t="shared" si="52"/>
        <v>29595</v>
      </c>
      <c r="X175" s="38">
        <f>SUM(Q$8:Q175)</f>
        <v>32100</v>
      </c>
      <c r="Y175" s="38">
        <f>SUM(R$8:R175)</f>
        <v>8141200</v>
      </c>
      <c r="Z175" s="38">
        <f>SUM(S$8:S175)</f>
        <v>55506</v>
      </c>
      <c r="AA175" s="38">
        <f>SUM(T$8:T175)</f>
        <v>27754</v>
      </c>
      <c r="AB175" s="38">
        <f>SUM(U$8:U175)</f>
        <v>13369</v>
      </c>
      <c r="AC175" s="38">
        <f>SUM(V$8:V175)</f>
        <v>1008</v>
      </c>
      <c r="AD175" s="38">
        <f t="shared" si="60"/>
        <v>2462269</v>
      </c>
    </row>
    <row r="176" spans="1:50" x14ac:dyDescent="0.25">
      <c r="A176" s="86" t="s">
        <v>253</v>
      </c>
      <c r="B176" s="14">
        <v>169</v>
      </c>
      <c r="C176" s="14">
        <f t="shared" si="56"/>
        <v>134</v>
      </c>
      <c r="D176" s="38">
        <f t="shared" si="55"/>
        <v>67</v>
      </c>
      <c r="E176" s="38">
        <f t="shared" si="54"/>
        <v>33</v>
      </c>
      <c r="F176" s="38">
        <f t="shared" si="53"/>
        <v>1750</v>
      </c>
      <c r="G176" s="74">
        <f t="shared" si="59"/>
        <v>2304</v>
      </c>
      <c r="H176" s="70">
        <v>33100</v>
      </c>
      <c r="I176" s="38"/>
      <c r="J176" s="70">
        <v>66000</v>
      </c>
      <c r="K176" s="38">
        <v>6</v>
      </c>
      <c r="L176" s="77"/>
      <c r="M176" s="70">
        <v>668</v>
      </c>
      <c r="N176" s="38">
        <v>334</v>
      </c>
      <c r="O176" s="38">
        <v>164</v>
      </c>
      <c r="P176" s="68">
        <v>200</v>
      </c>
      <c r="Q176" s="38">
        <f t="shared" si="57"/>
        <v>200</v>
      </c>
      <c r="R176" s="38">
        <f t="shared" si="48"/>
        <v>99100</v>
      </c>
      <c r="S176" s="38">
        <f t="shared" si="49"/>
        <v>668</v>
      </c>
      <c r="T176" s="38">
        <f t="shared" si="50"/>
        <v>334</v>
      </c>
      <c r="U176" s="38">
        <f t="shared" si="51"/>
        <v>164</v>
      </c>
      <c r="V176" s="38">
        <f t="shared" si="58"/>
        <v>6</v>
      </c>
      <c r="W176" s="38">
        <f t="shared" si="52"/>
        <v>29774</v>
      </c>
      <c r="X176" s="38">
        <f>SUM(Q$8:Q176)</f>
        <v>32300</v>
      </c>
      <c r="Y176" s="38">
        <f>SUM(R$8:R176)</f>
        <v>8240300</v>
      </c>
      <c r="Z176" s="38">
        <f>SUM(S$8:S176)</f>
        <v>56174</v>
      </c>
      <c r="AA176" s="38">
        <f>SUM(T$8:T176)</f>
        <v>28088</v>
      </c>
      <c r="AB176" s="38">
        <f>SUM(U$8:U176)</f>
        <v>13533</v>
      </c>
      <c r="AC176" s="38">
        <f>SUM(V$8:V176)</f>
        <v>1014</v>
      </c>
      <c r="AD176" s="38">
        <f t="shared" si="60"/>
        <v>2492043</v>
      </c>
    </row>
    <row r="177" spans="1:50" x14ac:dyDescent="0.25">
      <c r="A177" s="86" t="s">
        <v>253</v>
      </c>
      <c r="B177" s="14">
        <v>170</v>
      </c>
      <c r="C177" s="14">
        <f t="shared" si="56"/>
        <v>134</v>
      </c>
      <c r="D177" s="38">
        <f t="shared" si="55"/>
        <v>67</v>
      </c>
      <c r="E177" s="38">
        <f t="shared" si="54"/>
        <v>33</v>
      </c>
      <c r="F177" s="38">
        <f t="shared" si="53"/>
        <v>1750</v>
      </c>
      <c r="G177" s="74">
        <f t="shared" si="59"/>
        <v>2304</v>
      </c>
      <c r="H177" s="70">
        <v>33300</v>
      </c>
      <c r="I177" s="38"/>
      <c r="J177" s="70">
        <v>66400</v>
      </c>
      <c r="K177" s="38">
        <v>6</v>
      </c>
      <c r="L177" s="77"/>
      <c r="M177" s="70">
        <v>672</v>
      </c>
      <c r="N177" s="38">
        <v>336</v>
      </c>
      <c r="O177" s="38">
        <v>165</v>
      </c>
      <c r="P177" s="68">
        <v>200</v>
      </c>
      <c r="Q177" s="38">
        <f t="shared" si="57"/>
        <v>200</v>
      </c>
      <c r="R177" s="38">
        <f t="shared" si="48"/>
        <v>99700</v>
      </c>
      <c r="S177" s="38">
        <f t="shared" si="49"/>
        <v>672</v>
      </c>
      <c r="T177" s="38">
        <f t="shared" si="50"/>
        <v>336</v>
      </c>
      <c r="U177" s="38">
        <f t="shared" si="51"/>
        <v>165</v>
      </c>
      <c r="V177" s="38">
        <f t="shared" si="58"/>
        <v>6</v>
      </c>
      <c r="W177" s="38">
        <f t="shared" si="52"/>
        <v>29953</v>
      </c>
      <c r="X177" s="38">
        <f>SUM(Q$8:Q177)</f>
        <v>32500</v>
      </c>
      <c r="Y177" s="38">
        <f>SUM(R$8:R177)</f>
        <v>8340000</v>
      </c>
      <c r="Z177" s="38">
        <f>SUM(S$8:S177)</f>
        <v>56846</v>
      </c>
      <c r="AA177" s="38">
        <f>SUM(T$8:T177)</f>
        <v>28424</v>
      </c>
      <c r="AB177" s="38">
        <f>SUM(U$8:U177)</f>
        <v>13698</v>
      </c>
      <c r="AC177" s="38">
        <f>SUM(V$8:V177)</f>
        <v>1020</v>
      </c>
      <c r="AD177" s="38">
        <f t="shared" si="60"/>
        <v>2521996</v>
      </c>
    </row>
    <row r="178" spans="1:50" x14ac:dyDescent="0.25">
      <c r="A178" s="86" t="s">
        <v>253</v>
      </c>
      <c r="B178" s="14">
        <v>171</v>
      </c>
      <c r="C178" s="14">
        <f t="shared" si="56"/>
        <v>135</v>
      </c>
      <c r="D178" s="38">
        <f t="shared" si="55"/>
        <v>67</v>
      </c>
      <c r="E178" s="38">
        <f t="shared" si="54"/>
        <v>33</v>
      </c>
      <c r="F178" s="38">
        <f t="shared" si="53"/>
        <v>1770</v>
      </c>
      <c r="G178" s="74">
        <f t="shared" si="59"/>
        <v>2309</v>
      </c>
      <c r="H178" s="70">
        <v>33500</v>
      </c>
      <c r="I178" s="38"/>
      <c r="J178" s="70">
        <v>66800</v>
      </c>
      <c r="K178" s="38">
        <v>6</v>
      </c>
      <c r="L178" s="77"/>
      <c r="M178" s="70">
        <v>676</v>
      </c>
      <c r="N178" s="38">
        <v>338</v>
      </c>
      <c r="O178" s="38">
        <v>166</v>
      </c>
      <c r="P178" s="68">
        <v>200</v>
      </c>
      <c r="Q178" s="38">
        <f t="shared" si="57"/>
        <v>200</v>
      </c>
      <c r="R178" s="38">
        <f t="shared" si="48"/>
        <v>100300</v>
      </c>
      <c r="S178" s="38">
        <f t="shared" si="49"/>
        <v>676</v>
      </c>
      <c r="T178" s="38">
        <f t="shared" si="50"/>
        <v>338</v>
      </c>
      <c r="U178" s="38">
        <f t="shared" si="51"/>
        <v>166</v>
      </c>
      <c r="V178" s="38">
        <f t="shared" si="58"/>
        <v>6</v>
      </c>
      <c r="W178" s="38">
        <f t="shared" si="52"/>
        <v>30132</v>
      </c>
      <c r="X178" s="38">
        <f>SUM(Q$8:Q178)</f>
        <v>32700</v>
      </c>
      <c r="Y178" s="38">
        <f>SUM(R$8:R178)</f>
        <v>8440300</v>
      </c>
      <c r="Z178" s="38">
        <f>SUM(S$8:S178)</f>
        <v>57522</v>
      </c>
      <c r="AA178" s="38">
        <f>SUM(T$8:T178)</f>
        <v>28762</v>
      </c>
      <c r="AB178" s="38">
        <f>SUM(U$8:U178)</f>
        <v>13864</v>
      </c>
      <c r="AC178" s="38">
        <f>SUM(V$8:V178)</f>
        <v>1026</v>
      </c>
      <c r="AD178" s="38">
        <f t="shared" si="60"/>
        <v>2552128</v>
      </c>
    </row>
    <row r="179" spans="1:50" x14ac:dyDescent="0.25">
      <c r="A179" s="86" t="s">
        <v>253</v>
      </c>
      <c r="B179" s="14">
        <v>172</v>
      </c>
      <c r="C179" s="14">
        <f t="shared" si="56"/>
        <v>136</v>
      </c>
      <c r="D179" s="38">
        <f t="shared" si="55"/>
        <v>68</v>
      </c>
      <c r="E179" s="38">
        <f t="shared" si="54"/>
        <v>33</v>
      </c>
      <c r="F179" s="38">
        <f t="shared" si="53"/>
        <v>1770</v>
      </c>
      <c r="G179" s="74">
        <f t="shared" si="59"/>
        <v>2315</v>
      </c>
      <c r="H179" s="70">
        <v>33700</v>
      </c>
      <c r="I179" s="38"/>
      <c r="J179" s="70">
        <v>67200</v>
      </c>
      <c r="K179" s="38">
        <v>6</v>
      </c>
      <c r="L179" s="77"/>
      <c r="M179" s="70">
        <v>680</v>
      </c>
      <c r="N179" s="38">
        <v>340</v>
      </c>
      <c r="O179" s="38">
        <v>167</v>
      </c>
      <c r="P179" s="68">
        <v>200</v>
      </c>
      <c r="Q179" s="38">
        <f t="shared" si="57"/>
        <v>200</v>
      </c>
      <c r="R179" s="38">
        <f t="shared" si="48"/>
        <v>100900</v>
      </c>
      <c r="S179" s="38">
        <f t="shared" si="49"/>
        <v>680</v>
      </c>
      <c r="T179" s="38">
        <f t="shared" si="50"/>
        <v>340</v>
      </c>
      <c r="U179" s="38">
        <f t="shared" si="51"/>
        <v>167</v>
      </c>
      <c r="V179" s="38">
        <f t="shared" si="58"/>
        <v>6</v>
      </c>
      <c r="W179" s="38">
        <f t="shared" si="52"/>
        <v>30311</v>
      </c>
      <c r="X179" s="38">
        <f>SUM(Q$8:Q179)</f>
        <v>32900</v>
      </c>
      <c r="Y179" s="38">
        <f>SUM(R$8:R179)</f>
        <v>8541200</v>
      </c>
      <c r="Z179" s="38">
        <f>SUM(S$8:S179)</f>
        <v>58202</v>
      </c>
      <c r="AA179" s="38">
        <f>SUM(T$8:T179)</f>
        <v>29102</v>
      </c>
      <c r="AB179" s="38">
        <f>SUM(U$8:U179)</f>
        <v>14031</v>
      </c>
      <c r="AC179" s="38">
        <f>SUM(V$8:V179)</f>
        <v>1032</v>
      </c>
      <c r="AD179" s="38">
        <f t="shared" si="60"/>
        <v>2582439</v>
      </c>
    </row>
    <row r="180" spans="1:50" x14ac:dyDescent="0.25">
      <c r="A180" s="86" t="s">
        <v>253</v>
      </c>
      <c r="B180" s="14">
        <v>173</v>
      </c>
      <c r="C180" s="14">
        <f t="shared" si="56"/>
        <v>137</v>
      </c>
      <c r="D180" s="38">
        <f t="shared" si="55"/>
        <v>68</v>
      </c>
      <c r="E180" s="38">
        <f t="shared" si="54"/>
        <v>34</v>
      </c>
      <c r="F180" s="38">
        <f t="shared" si="53"/>
        <v>1790</v>
      </c>
      <c r="G180" s="74">
        <f t="shared" si="59"/>
        <v>2365</v>
      </c>
      <c r="H180" s="70">
        <v>33900</v>
      </c>
      <c r="I180" s="38"/>
      <c r="J180" s="70">
        <v>67600</v>
      </c>
      <c r="K180" s="38">
        <v>6</v>
      </c>
      <c r="L180" s="77"/>
      <c r="M180" s="70">
        <v>684</v>
      </c>
      <c r="N180" s="38">
        <v>342</v>
      </c>
      <c r="O180" s="38">
        <v>168</v>
      </c>
      <c r="P180" s="68">
        <v>200</v>
      </c>
      <c r="Q180" s="38">
        <f t="shared" si="57"/>
        <v>200</v>
      </c>
      <c r="R180" s="38">
        <f t="shared" si="48"/>
        <v>101500</v>
      </c>
      <c r="S180" s="38">
        <f t="shared" si="49"/>
        <v>684</v>
      </c>
      <c r="T180" s="38">
        <f t="shared" si="50"/>
        <v>342</v>
      </c>
      <c r="U180" s="38">
        <f t="shared" si="51"/>
        <v>168</v>
      </c>
      <c r="V180" s="38">
        <f t="shared" si="58"/>
        <v>6</v>
      </c>
      <c r="W180" s="38">
        <f t="shared" si="52"/>
        <v>30490</v>
      </c>
      <c r="X180" s="38">
        <f>SUM(Q$8:Q180)</f>
        <v>33100</v>
      </c>
      <c r="Y180" s="38">
        <f>SUM(R$8:R180)</f>
        <v>8642700</v>
      </c>
      <c r="Z180" s="38">
        <f>SUM(S$8:S180)</f>
        <v>58886</v>
      </c>
      <c r="AA180" s="38">
        <f>SUM(T$8:T180)</f>
        <v>29444</v>
      </c>
      <c r="AB180" s="38">
        <f>SUM(U$8:U180)</f>
        <v>14199</v>
      </c>
      <c r="AC180" s="38">
        <f>SUM(V$8:V180)</f>
        <v>1038</v>
      </c>
      <c r="AD180" s="38">
        <f t="shared" si="60"/>
        <v>2612929</v>
      </c>
    </row>
    <row r="181" spans="1:50" x14ac:dyDescent="0.25">
      <c r="A181" s="86" t="s">
        <v>253</v>
      </c>
      <c r="B181" s="14">
        <v>174</v>
      </c>
      <c r="C181" s="14">
        <f t="shared" si="56"/>
        <v>138</v>
      </c>
      <c r="D181" s="38">
        <f t="shared" si="55"/>
        <v>69</v>
      </c>
      <c r="E181" s="38">
        <f t="shared" si="54"/>
        <v>34</v>
      </c>
      <c r="F181" s="38">
        <f t="shared" si="53"/>
        <v>1790</v>
      </c>
      <c r="G181" s="74">
        <f t="shared" si="59"/>
        <v>2371</v>
      </c>
      <c r="H181" s="70">
        <v>34100</v>
      </c>
      <c r="I181" s="38"/>
      <c r="J181" s="70">
        <v>68000</v>
      </c>
      <c r="K181" s="38">
        <v>6</v>
      </c>
      <c r="L181" s="77"/>
      <c r="M181" s="70">
        <v>688</v>
      </c>
      <c r="N181" s="38">
        <v>344</v>
      </c>
      <c r="O181" s="38">
        <v>169</v>
      </c>
      <c r="P181" s="68">
        <v>200</v>
      </c>
      <c r="Q181" s="38">
        <f t="shared" si="57"/>
        <v>200</v>
      </c>
      <c r="R181" s="38">
        <f t="shared" si="48"/>
        <v>102100</v>
      </c>
      <c r="S181" s="38">
        <f t="shared" si="49"/>
        <v>688</v>
      </c>
      <c r="T181" s="38">
        <f t="shared" si="50"/>
        <v>344</v>
      </c>
      <c r="U181" s="38">
        <f t="shared" si="51"/>
        <v>169</v>
      </c>
      <c r="V181" s="38">
        <f t="shared" si="58"/>
        <v>6</v>
      </c>
      <c r="W181" s="38">
        <f t="shared" si="52"/>
        <v>30669</v>
      </c>
      <c r="X181" s="38">
        <f>SUM(Q$8:Q181)</f>
        <v>33300</v>
      </c>
      <c r="Y181" s="38">
        <f>SUM(R$8:R181)</f>
        <v>8744800</v>
      </c>
      <c r="Z181" s="38">
        <f>SUM(S$8:S181)</f>
        <v>59574</v>
      </c>
      <c r="AA181" s="38">
        <f>SUM(T$8:T181)</f>
        <v>29788</v>
      </c>
      <c r="AB181" s="38">
        <f>SUM(U$8:U181)</f>
        <v>14368</v>
      </c>
      <c r="AC181" s="38">
        <f>SUM(V$8:V181)</f>
        <v>1044</v>
      </c>
      <c r="AD181" s="38">
        <f t="shared" si="60"/>
        <v>2643598</v>
      </c>
    </row>
    <row r="182" spans="1:50" x14ac:dyDescent="0.25">
      <c r="A182" s="86" t="s">
        <v>253</v>
      </c>
      <c r="B182" s="14">
        <v>175</v>
      </c>
      <c r="C182" s="14">
        <f t="shared" si="56"/>
        <v>138</v>
      </c>
      <c r="D182" s="38">
        <f t="shared" si="55"/>
        <v>69</v>
      </c>
      <c r="E182" s="38">
        <f t="shared" si="54"/>
        <v>34</v>
      </c>
      <c r="F182" s="38">
        <f t="shared" si="53"/>
        <v>1810</v>
      </c>
      <c r="G182" s="74">
        <f t="shared" si="59"/>
        <v>2375</v>
      </c>
      <c r="H182" s="70">
        <v>34300</v>
      </c>
      <c r="I182" s="38"/>
      <c r="J182" s="70">
        <v>68400</v>
      </c>
      <c r="K182" s="38">
        <v>6</v>
      </c>
      <c r="L182" s="77"/>
      <c r="M182" s="70">
        <v>692</v>
      </c>
      <c r="N182" s="38">
        <v>346</v>
      </c>
      <c r="O182" s="38">
        <v>170</v>
      </c>
      <c r="P182" s="68">
        <v>200</v>
      </c>
      <c r="Q182" s="38">
        <f t="shared" si="57"/>
        <v>200</v>
      </c>
      <c r="R182" s="38">
        <f t="shared" si="48"/>
        <v>102700</v>
      </c>
      <c r="S182" s="38">
        <f t="shared" si="49"/>
        <v>692</v>
      </c>
      <c r="T182" s="38">
        <f t="shared" si="50"/>
        <v>346</v>
      </c>
      <c r="U182" s="38">
        <f t="shared" si="51"/>
        <v>170</v>
      </c>
      <c r="V182" s="38">
        <f t="shared" si="58"/>
        <v>6</v>
      </c>
      <c r="W182" s="38">
        <f t="shared" si="52"/>
        <v>30848</v>
      </c>
      <c r="X182" s="38">
        <f>SUM(Q$8:Q182)</f>
        <v>33500</v>
      </c>
      <c r="Y182" s="38">
        <f>SUM(R$8:R182)</f>
        <v>8847500</v>
      </c>
      <c r="Z182" s="38">
        <f>SUM(S$8:S182)</f>
        <v>60266</v>
      </c>
      <c r="AA182" s="38">
        <f>SUM(T$8:T182)</f>
        <v>30134</v>
      </c>
      <c r="AB182" s="38">
        <f>SUM(U$8:U182)</f>
        <v>14538</v>
      </c>
      <c r="AC182" s="38">
        <f>SUM(V$8:V182)</f>
        <v>1050</v>
      </c>
      <c r="AD182" s="38">
        <f t="shared" si="60"/>
        <v>2674446</v>
      </c>
    </row>
    <row r="183" spans="1:50" x14ac:dyDescent="0.25">
      <c r="A183" s="86" t="s">
        <v>253</v>
      </c>
      <c r="B183" s="14">
        <v>176</v>
      </c>
      <c r="C183" s="14">
        <f t="shared" si="56"/>
        <v>139</v>
      </c>
      <c r="D183" s="38">
        <f t="shared" si="55"/>
        <v>69</v>
      </c>
      <c r="E183" s="38">
        <f t="shared" si="54"/>
        <v>34</v>
      </c>
      <c r="F183" s="38">
        <f t="shared" si="53"/>
        <v>1810</v>
      </c>
      <c r="G183" s="74">
        <f t="shared" si="59"/>
        <v>2376</v>
      </c>
      <c r="H183" s="70">
        <v>34500</v>
      </c>
      <c r="I183" s="38"/>
      <c r="J183" s="70">
        <v>68800</v>
      </c>
      <c r="K183" s="38">
        <v>6</v>
      </c>
      <c r="L183" s="77"/>
      <c r="M183" s="70">
        <v>696</v>
      </c>
      <c r="N183" s="38">
        <v>348</v>
      </c>
      <c r="O183" s="38">
        <v>171</v>
      </c>
      <c r="P183" s="68">
        <v>200</v>
      </c>
      <c r="Q183" s="38">
        <f t="shared" si="57"/>
        <v>200</v>
      </c>
      <c r="R183" s="38">
        <f t="shared" si="48"/>
        <v>103300</v>
      </c>
      <c r="S183" s="38">
        <f t="shared" si="49"/>
        <v>696</v>
      </c>
      <c r="T183" s="38">
        <f t="shared" si="50"/>
        <v>348</v>
      </c>
      <c r="U183" s="38">
        <f t="shared" si="51"/>
        <v>171</v>
      </c>
      <c r="V183" s="38">
        <f t="shared" si="58"/>
        <v>6</v>
      </c>
      <c r="W183" s="38">
        <f t="shared" si="52"/>
        <v>31027</v>
      </c>
      <c r="X183" s="38">
        <f>SUM(Q$8:Q183)</f>
        <v>33700</v>
      </c>
      <c r="Y183" s="38">
        <f>SUM(R$8:R183)</f>
        <v>8950800</v>
      </c>
      <c r="Z183" s="38">
        <f>SUM(S$8:S183)</f>
        <v>60962</v>
      </c>
      <c r="AA183" s="38">
        <f>SUM(T$8:T183)</f>
        <v>30482</v>
      </c>
      <c r="AB183" s="38">
        <f>SUM(U$8:U183)</f>
        <v>14709</v>
      </c>
      <c r="AC183" s="38">
        <f>SUM(V$8:V183)</f>
        <v>1056</v>
      </c>
      <c r="AD183" s="38">
        <f t="shared" si="60"/>
        <v>2705473</v>
      </c>
    </row>
    <row r="184" spans="1:50" x14ac:dyDescent="0.25">
      <c r="A184" s="86" t="s">
        <v>253</v>
      </c>
      <c r="B184" s="14">
        <v>177</v>
      </c>
      <c r="C184" s="14">
        <f t="shared" si="56"/>
        <v>140</v>
      </c>
      <c r="D184" s="38">
        <f t="shared" si="55"/>
        <v>70</v>
      </c>
      <c r="E184" s="38">
        <f t="shared" si="54"/>
        <v>34</v>
      </c>
      <c r="F184" s="38">
        <f t="shared" si="53"/>
        <v>1830</v>
      </c>
      <c r="G184" s="74">
        <f t="shared" si="59"/>
        <v>2386</v>
      </c>
      <c r="H184" s="70">
        <v>34700</v>
      </c>
      <c r="I184" s="38"/>
      <c r="J184" s="70">
        <v>69200</v>
      </c>
      <c r="K184" s="38">
        <v>6</v>
      </c>
      <c r="L184" s="77"/>
      <c r="M184" s="70">
        <v>700</v>
      </c>
      <c r="N184" s="38">
        <v>350</v>
      </c>
      <c r="O184" s="38">
        <v>172</v>
      </c>
      <c r="P184" s="68">
        <v>200</v>
      </c>
      <c r="Q184" s="38">
        <f t="shared" si="57"/>
        <v>200</v>
      </c>
      <c r="R184" s="38">
        <f t="shared" si="48"/>
        <v>103900</v>
      </c>
      <c r="S184" s="38">
        <f t="shared" si="49"/>
        <v>700</v>
      </c>
      <c r="T184" s="38">
        <f t="shared" si="50"/>
        <v>350</v>
      </c>
      <c r="U184" s="38">
        <f t="shared" si="51"/>
        <v>172</v>
      </c>
      <c r="V184" s="38">
        <f t="shared" si="58"/>
        <v>6</v>
      </c>
      <c r="W184" s="38">
        <f t="shared" si="52"/>
        <v>31206</v>
      </c>
      <c r="X184" s="38">
        <f>SUM(Q$8:Q184)</f>
        <v>33900</v>
      </c>
      <c r="Y184" s="38">
        <f>SUM(R$8:R184)</f>
        <v>9054700</v>
      </c>
      <c r="Z184" s="38">
        <f>SUM(S$8:S184)</f>
        <v>61662</v>
      </c>
      <c r="AA184" s="38">
        <f>SUM(T$8:T184)</f>
        <v>30832</v>
      </c>
      <c r="AB184" s="38">
        <f>SUM(U$8:U184)</f>
        <v>14881</v>
      </c>
      <c r="AC184" s="38">
        <f>SUM(V$8:V184)</f>
        <v>1062</v>
      </c>
      <c r="AD184" s="38">
        <f t="shared" si="60"/>
        <v>2736679</v>
      </c>
    </row>
    <row r="185" spans="1:50" x14ac:dyDescent="0.25">
      <c r="A185" s="86" t="s">
        <v>253</v>
      </c>
      <c r="B185" s="14">
        <v>178</v>
      </c>
      <c r="C185" s="14">
        <f t="shared" si="56"/>
        <v>141</v>
      </c>
      <c r="D185" s="38">
        <f t="shared" si="55"/>
        <v>70</v>
      </c>
      <c r="E185" s="38">
        <f t="shared" si="54"/>
        <v>35</v>
      </c>
      <c r="F185" s="38">
        <f t="shared" si="53"/>
        <v>1830</v>
      </c>
      <c r="G185" s="74">
        <f t="shared" si="59"/>
        <v>2432</v>
      </c>
      <c r="H185" s="70">
        <v>34900</v>
      </c>
      <c r="I185" s="38"/>
      <c r="J185" s="70">
        <v>69600</v>
      </c>
      <c r="K185" s="38">
        <v>6</v>
      </c>
      <c r="L185" s="77"/>
      <c r="M185" s="70">
        <v>704</v>
      </c>
      <c r="N185" s="38">
        <v>352</v>
      </c>
      <c r="O185" s="38">
        <v>173</v>
      </c>
      <c r="P185" s="68">
        <v>200</v>
      </c>
      <c r="Q185" s="38">
        <f t="shared" si="57"/>
        <v>200</v>
      </c>
      <c r="R185" s="38">
        <f t="shared" si="48"/>
        <v>104500</v>
      </c>
      <c r="S185" s="38">
        <f t="shared" si="49"/>
        <v>704</v>
      </c>
      <c r="T185" s="38">
        <f t="shared" si="50"/>
        <v>352</v>
      </c>
      <c r="U185" s="38">
        <f t="shared" si="51"/>
        <v>173</v>
      </c>
      <c r="V185" s="38">
        <f t="shared" si="58"/>
        <v>6</v>
      </c>
      <c r="W185" s="38">
        <f t="shared" si="52"/>
        <v>31385</v>
      </c>
      <c r="X185" s="38">
        <f>SUM(Q$8:Q185)</f>
        <v>34100</v>
      </c>
      <c r="Y185" s="38">
        <f>SUM(R$8:R185)</f>
        <v>9159200</v>
      </c>
      <c r="Z185" s="38">
        <f>SUM(S$8:S185)</f>
        <v>62366</v>
      </c>
      <c r="AA185" s="38">
        <f>SUM(T$8:T185)</f>
        <v>31184</v>
      </c>
      <c r="AB185" s="38">
        <f>SUM(U$8:U185)</f>
        <v>15054</v>
      </c>
      <c r="AC185" s="38">
        <f>SUM(V$8:V185)</f>
        <v>1068</v>
      </c>
      <c r="AD185" s="38">
        <f t="shared" si="60"/>
        <v>2768064</v>
      </c>
    </row>
    <row r="186" spans="1:50" s="1" customFormat="1" x14ac:dyDescent="0.25">
      <c r="A186" s="86" t="s">
        <v>253</v>
      </c>
      <c r="B186" s="14">
        <v>179</v>
      </c>
      <c r="C186" s="14">
        <f t="shared" si="56"/>
        <v>142</v>
      </c>
      <c r="D186" s="38">
        <f t="shared" si="55"/>
        <v>71</v>
      </c>
      <c r="E186" s="38">
        <f t="shared" si="54"/>
        <v>35</v>
      </c>
      <c r="F186" s="38">
        <f t="shared" si="53"/>
        <v>1850</v>
      </c>
      <c r="G186" s="74">
        <f t="shared" si="59"/>
        <v>2442</v>
      </c>
      <c r="H186" s="70">
        <v>35100</v>
      </c>
      <c r="I186" s="38"/>
      <c r="J186" s="70">
        <v>70000</v>
      </c>
      <c r="K186" s="38">
        <v>6</v>
      </c>
      <c r="L186" s="78"/>
      <c r="M186" s="70">
        <v>708</v>
      </c>
      <c r="N186" s="38">
        <v>354</v>
      </c>
      <c r="O186" s="38">
        <v>174</v>
      </c>
      <c r="P186" s="68">
        <v>200</v>
      </c>
      <c r="Q186" s="42">
        <f t="shared" si="57"/>
        <v>200</v>
      </c>
      <c r="R186" s="38">
        <f t="shared" si="48"/>
        <v>105100</v>
      </c>
      <c r="S186" s="38">
        <f t="shared" si="49"/>
        <v>708</v>
      </c>
      <c r="T186" s="38">
        <f t="shared" si="50"/>
        <v>354</v>
      </c>
      <c r="U186" s="38">
        <f t="shared" si="51"/>
        <v>174</v>
      </c>
      <c r="V186" s="42">
        <f t="shared" si="58"/>
        <v>6</v>
      </c>
      <c r="W186" s="38">
        <f t="shared" si="52"/>
        <v>31564</v>
      </c>
      <c r="X186" s="42">
        <f>SUM(Q$8:Q186)</f>
        <v>34300</v>
      </c>
      <c r="Y186" s="42">
        <f>SUM(R$8:R186)</f>
        <v>9264300</v>
      </c>
      <c r="Z186" s="42">
        <f>SUM(S$8:S186)</f>
        <v>63074</v>
      </c>
      <c r="AA186" s="42">
        <f>SUM(T$8:T186)</f>
        <v>31538</v>
      </c>
      <c r="AB186" s="42">
        <f>SUM(U$8:U186)</f>
        <v>15228</v>
      </c>
      <c r="AC186" s="42">
        <f>SUM(V$8:V186)</f>
        <v>1074</v>
      </c>
      <c r="AD186" s="42">
        <f t="shared" si="60"/>
        <v>2799628</v>
      </c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</row>
    <row r="187" spans="1:50" x14ac:dyDescent="0.25">
      <c r="A187" s="86" t="s">
        <v>253</v>
      </c>
      <c r="B187" s="14">
        <v>180</v>
      </c>
      <c r="C187" s="14">
        <f t="shared" si="56"/>
        <v>142</v>
      </c>
      <c r="D187" s="38">
        <f t="shared" si="55"/>
        <v>71</v>
      </c>
      <c r="E187" s="38">
        <f t="shared" si="54"/>
        <v>35</v>
      </c>
      <c r="F187" s="38">
        <f t="shared" si="53"/>
        <v>1850</v>
      </c>
      <c r="G187" s="74">
        <f t="shared" si="59"/>
        <v>2442</v>
      </c>
      <c r="H187" s="70">
        <v>35300</v>
      </c>
      <c r="I187" s="38"/>
      <c r="J187" s="70">
        <v>70400</v>
      </c>
      <c r="K187" s="38">
        <v>6</v>
      </c>
      <c r="L187" s="77"/>
      <c r="M187" s="70">
        <v>712</v>
      </c>
      <c r="N187" s="38">
        <v>356</v>
      </c>
      <c r="O187" s="38">
        <v>175</v>
      </c>
      <c r="P187" s="68">
        <v>200</v>
      </c>
      <c r="Q187" s="38">
        <f t="shared" si="57"/>
        <v>200</v>
      </c>
      <c r="R187" s="38">
        <f t="shared" si="48"/>
        <v>105700</v>
      </c>
      <c r="S187" s="38">
        <f t="shared" si="49"/>
        <v>712</v>
      </c>
      <c r="T187" s="38">
        <f t="shared" si="50"/>
        <v>356</v>
      </c>
      <c r="U187" s="38">
        <f t="shared" si="51"/>
        <v>175</v>
      </c>
      <c r="V187" s="38">
        <f t="shared" si="58"/>
        <v>6</v>
      </c>
      <c r="W187" s="38">
        <f t="shared" si="52"/>
        <v>31743</v>
      </c>
      <c r="X187" s="38">
        <f>SUM(Q$8:Q187)</f>
        <v>34500</v>
      </c>
      <c r="Y187" s="38">
        <f>SUM(R$8:R187)</f>
        <v>9370000</v>
      </c>
      <c r="Z187" s="38">
        <f>SUM(S$8:S187)</f>
        <v>63786</v>
      </c>
      <c r="AA187" s="38">
        <f>SUM(T$8:T187)</f>
        <v>31894</v>
      </c>
      <c r="AB187" s="38">
        <f>SUM(U$8:U187)</f>
        <v>15403</v>
      </c>
      <c r="AC187" s="38">
        <f>SUM(V$8:V187)</f>
        <v>1080</v>
      </c>
      <c r="AD187" s="38">
        <f t="shared" si="60"/>
        <v>2831371</v>
      </c>
    </row>
    <row r="188" spans="1:50" x14ac:dyDescent="0.25">
      <c r="A188" s="86" t="s">
        <v>253</v>
      </c>
      <c r="B188" s="14">
        <v>181</v>
      </c>
      <c r="C188" s="14">
        <f t="shared" si="56"/>
        <v>143</v>
      </c>
      <c r="D188" s="38">
        <f t="shared" si="55"/>
        <v>71</v>
      </c>
      <c r="E188" s="38">
        <f t="shared" si="54"/>
        <v>35</v>
      </c>
      <c r="F188" s="38">
        <f t="shared" si="53"/>
        <v>1870</v>
      </c>
      <c r="G188" s="74">
        <f t="shared" si="59"/>
        <v>2447</v>
      </c>
      <c r="H188" s="70">
        <v>35500</v>
      </c>
      <c r="I188" s="38"/>
      <c r="J188" s="70">
        <v>70800</v>
      </c>
      <c r="K188" s="38">
        <v>6</v>
      </c>
      <c r="L188" s="77"/>
      <c r="M188" s="70">
        <v>716</v>
      </c>
      <c r="N188" s="38">
        <v>358</v>
      </c>
      <c r="O188" s="38">
        <v>176</v>
      </c>
      <c r="P188" s="68">
        <v>200</v>
      </c>
      <c r="Q188" s="38">
        <f t="shared" si="57"/>
        <v>200</v>
      </c>
      <c r="R188" s="38">
        <f t="shared" si="48"/>
        <v>106300</v>
      </c>
      <c r="S188" s="38">
        <f t="shared" si="49"/>
        <v>716</v>
      </c>
      <c r="T188" s="38">
        <f t="shared" si="50"/>
        <v>358</v>
      </c>
      <c r="U188" s="38">
        <f t="shared" si="51"/>
        <v>176</v>
      </c>
      <c r="V188" s="38">
        <f t="shared" si="58"/>
        <v>6</v>
      </c>
      <c r="W188" s="38">
        <f t="shared" si="52"/>
        <v>31922</v>
      </c>
      <c r="X188" s="38">
        <f>SUM(Q$8:Q188)</f>
        <v>34700</v>
      </c>
      <c r="Y188" s="38">
        <f>SUM(R$8:R188)</f>
        <v>9476300</v>
      </c>
      <c r="Z188" s="38">
        <f>SUM(S$8:S188)</f>
        <v>64502</v>
      </c>
      <c r="AA188" s="38">
        <f>SUM(T$8:T188)</f>
        <v>32252</v>
      </c>
      <c r="AB188" s="38">
        <f>SUM(U$8:U188)</f>
        <v>15579</v>
      </c>
      <c r="AC188" s="38">
        <f>SUM(V$8:V188)</f>
        <v>1086</v>
      </c>
      <c r="AD188" s="38">
        <f t="shared" si="60"/>
        <v>2863293</v>
      </c>
    </row>
    <row r="189" spans="1:50" x14ac:dyDescent="0.25">
      <c r="A189" s="86" t="s">
        <v>253</v>
      </c>
      <c r="B189" s="14">
        <v>182</v>
      </c>
      <c r="C189" s="14">
        <f t="shared" si="56"/>
        <v>144</v>
      </c>
      <c r="D189" s="38">
        <f t="shared" si="55"/>
        <v>72</v>
      </c>
      <c r="E189" s="38">
        <f t="shared" si="54"/>
        <v>35</v>
      </c>
      <c r="F189" s="38">
        <f t="shared" si="53"/>
        <v>1870</v>
      </c>
      <c r="G189" s="74">
        <f t="shared" si="59"/>
        <v>2453</v>
      </c>
      <c r="H189" s="70">
        <v>35700</v>
      </c>
      <c r="I189" s="38"/>
      <c r="J189" s="70">
        <v>71200</v>
      </c>
      <c r="K189" s="38">
        <v>6</v>
      </c>
      <c r="L189" s="77"/>
      <c r="M189" s="70">
        <v>720</v>
      </c>
      <c r="N189" s="38">
        <v>360</v>
      </c>
      <c r="O189" s="38">
        <v>177</v>
      </c>
      <c r="P189" s="68">
        <v>200</v>
      </c>
      <c r="Q189" s="38">
        <f t="shared" si="57"/>
        <v>200</v>
      </c>
      <c r="R189" s="38">
        <f t="shared" si="48"/>
        <v>106900</v>
      </c>
      <c r="S189" s="38">
        <f t="shared" si="49"/>
        <v>720</v>
      </c>
      <c r="T189" s="38">
        <f t="shared" si="50"/>
        <v>360</v>
      </c>
      <c r="U189" s="38">
        <f t="shared" si="51"/>
        <v>177</v>
      </c>
      <c r="V189" s="38">
        <f t="shared" si="58"/>
        <v>6</v>
      </c>
      <c r="W189" s="38">
        <f t="shared" si="52"/>
        <v>32101</v>
      </c>
      <c r="X189" s="38">
        <f>SUM(Q$8:Q189)</f>
        <v>34900</v>
      </c>
      <c r="Y189" s="38">
        <f>SUM(R$8:R189)</f>
        <v>9583200</v>
      </c>
      <c r="Z189" s="38">
        <f>SUM(S$8:S189)</f>
        <v>65222</v>
      </c>
      <c r="AA189" s="38">
        <f>SUM(T$8:T189)</f>
        <v>32612</v>
      </c>
      <c r="AB189" s="38">
        <f>SUM(U$8:U189)</f>
        <v>15756</v>
      </c>
      <c r="AC189" s="38">
        <f>SUM(V$8:V189)</f>
        <v>1092</v>
      </c>
      <c r="AD189" s="38">
        <f t="shared" si="60"/>
        <v>2895394</v>
      </c>
    </row>
    <row r="190" spans="1:50" x14ac:dyDescent="0.25">
      <c r="A190" s="86" t="s">
        <v>253</v>
      </c>
      <c r="B190" s="14">
        <v>183</v>
      </c>
      <c r="C190" s="14">
        <f t="shared" si="56"/>
        <v>145</v>
      </c>
      <c r="D190" s="38">
        <f t="shared" si="55"/>
        <v>72</v>
      </c>
      <c r="E190" s="38">
        <f t="shared" si="54"/>
        <v>36</v>
      </c>
      <c r="F190" s="38">
        <f t="shared" si="53"/>
        <v>1890</v>
      </c>
      <c r="G190" s="74">
        <f t="shared" si="59"/>
        <v>2503</v>
      </c>
      <c r="H190" s="70">
        <v>35900</v>
      </c>
      <c r="I190" s="38"/>
      <c r="J190" s="70">
        <v>71600</v>
      </c>
      <c r="K190" s="38">
        <v>6</v>
      </c>
      <c r="L190" s="77"/>
      <c r="M190" s="70">
        <v>724</v>
      </c>
      <c r="N190" s="38">
        <v>362</v>
      </c>
      <c r="O190" s="38">
        <v>178</v>
      </c>
      <c r="P190" s="68">
        <v>200</v>
      </c>
      <c r="Q190" s="38">
        <f t="shared" si="57"/>
        <v>200</v>
      </c>
      <c r="R190" s="38">
        <f t="shared" si="48"/>
        <v>107500</v>
      </c>
      <c r="S190" s="38">
        <f t="shared" si="49"/>
        <v>724</v>
      </c>
      <c r="T190" s="38">
        <f t="shared" si="50"/>
        <v>362</v>
      </c>
      <c r="U190" s="38">
        <f t="shared" si="51"/>
        <v>178</v>
      </c>
      <c r="V190" s="38">
        <f t="shared" si="58"/>
        <v>6</v>
      </c>
      <c r="W190" s="38">
        <f t="shared" si="52"/>
        <v>32280</v>
      </c>
      <c r="X190" s="38">
        <f>SUM(Q$8:Q190)</f>
        <v>35100</v>
      </c>
      <c r="Y190" s="38">
        <f>SUM(R$8:R190)</f>
        <v>9690700</v>
      </c>
      <c r="Z190" s="38">
        <f>SUM(S$8:S190)</f>
        <v>65946</v>
      </c>
      <c r="AA190" s="38">
        <f>SUM(T$8:T190)</f>
        <v>32974</v>
      </c>
      <c r="AB190" s="38">
        <f>SUM(U$8:U190)</f>
        <v>15934</v>
      </c>
      <c r="AC190" s="38">
        <f>SUM(V$8:V190)</f>
        <v>1098</v>
      </c>
      <c r="AD190" s="38">
        <f t="shared" si="60"/>
        <v>2927674</v>
      </c>
    </row>
    <row r="191" spans="1:50" x14ac:dyDescent="0.25">
      <c r="A191" s="86" t="s">
        <v>253</v>
      </c>
      <c r="B191" s="14">
        <v>184</v>
      </c>
      <c r="C191" s="14">
        <f t="shared" si="56"/>
        <v>146</v>
      </c>
      <c r="D191" s="38">
        <f t="shared" si="55"/>
        <v>73</v>
      </c>
      <c r="E191" s="38">
        <f t="shared" si="54"/>
        <v>36</v>
      </c>
      <c r="F191" s="38">
        <f t="shared" si="53"/>
        <v>1890</v>
      </c>
      <c r="G191" s="74">
        <f t="shared" si="59"/>
        <v>2509</v>
      </c>
      <c r="H191" s="70">
        <v>36100</v>
      </c>
      <c r="I191" s="38"/>
      <c r="J191" s="70">
        <v>72000</v>
      </c>
      <c r="K191" s="38">
        <v>6</v>
      </c>
      <c r="L191" s="77"/>
      <c r="M191" s="70">
        <v>728</v>
      </c>
      <c r="N191" s="38">
        <v>364</v>
      </c>
      <c r="O191" s="38">
        <v>179</v>
      </c>
      <c r="P191" s="68">
        <v>200</v>
      </c>
      <c r="Q191" s="38">
        <f t="shared" si="57"/>
        <v>200</v>
      </c>
      <c r="R191" s="38">
        <f t="shared" si="48"/>
        <v>108100</v>
      </c>
      <c r="S191" s="38">
        <f t="shared" si="49"/>
        <v>728</v>
      </c>
      <c r="T191" s="38">
        <f t="shared" si="50"/>
        <v>364</v>
      </c>
      <c r="U191" s="38">
        <f t="shared" si="51"/>
        <v>179</v>
      </c>
      <c r="V191" s="38">
        <f t="shared" si="58"/>
        <v>6</v>
      </c>
      <c r="W191" s="38">
        <f t="shared" si="52"/>
        <v>32459</v>
      </c>
      <c r="X191" s="38">
        <f>SUM(Q$8:Q191)</f>
        <v>35300</v>
      </c>
      <c r="Y191" s="38">
        <f>SUM(R$8:R191)</f>
        <v>9798800</v>
      </c>
      <c r="Z191" s="38">
        <f>SUM(S$8:S191)</f>
        <v>66674</v>
      </c>
      <c r="AA191" s="38">
        <f>SUM(T$8:T191)</f>
        <v>33338</v>
      </c>
      <c r="AB191" s="38">
        <f>SUM(U$8:U191)</f>
        <v>16113</v>
      </c>
      <c r="AC191" s="38">
        <f>SUM(V$8:V191)</f>
        <v>1104</v>
      </c>
      <c r="AD191" s="38">
        <f t="shared" si="60"/>
        <v>2960133</v>
      </c>
    </row>
    <row r="192" spans="1:50" x14ac:dyDescent="0.25">
      <c r="A192" s="86" t="s">
        <v>253</v>
      </c>
      <c r="B192" s="14">
        <v>185</v>
      </c>
      <c r="C192" s="14">
        <f t="shared" si="56"/>
        <v>146</v>
      </c>
      <c r="D192" s="38">
        <f t="shared" si="55"/>
        <v>73</v>
      </c>
      <c r="E192" s="38">
        <f t="shared" si="54"/>
        <v>36</v>
      </c>
      <c r="F192" s="38">
        <f t="shared" si="53"/>
        <v>1910</v>
      </c>
      <c r="G192" s="74">
        <f t="shared" si="59"/>
        <v>2513</v>
      </c>
      <c r="H192" s="70">
        <v>36300</v>
      </c>
      <c r="I192" s="38"/>
      <c r="J192" s="70">
        <v>72400</v>
      </c>
      <c r="K192" s="38">
        <v>6</v>
      </c>
      <c r="L192" s="77"/>
      <c r="M192" s="70">
        <v>732</v>
      </c>
      <c r="N192" s="38">
        <v>366</v>
      </c>
      <c r="O192" s="38">
        <v>180</v>
      </c>
      <c r="P192" s="68">
        <v>200</v>
      </c>
      <c r="Q192" s="38">
        <f t="shared" si="57"/>
        <v>200</v>
      </c>
      <c r="R192" s="38">
        <f t="shared" si="48"/>
        <v>108700</v>
      </c>
      <c r="S192" s="38">
        <f t="shared" si="49"/>
        <v>732</v>
      </c>
      <c r="T192" s="38">
        <f t="shared" si="50"/>
        <v>366</v>
      </c>
      <c r="U192" s="38">
        <f t="shared" si="51"/>
        <v>180</v>
      </c>
      <c r="V192" s="38">
        <f t="shared" si="58"/>
        <v>6</v>
      </c>
      <c r="W192" s="38">
        <f t="shared" si="52"/>
        <v>32638</v>
      </c>
      <c r="X192" s="38">
        <f>SUM(Q$8:Q192)</f>
        <v>35500</v>
      </c>
      <c r="Y192" s="38">
        <f>SUM(R$8:R192)</f>
        <v>9907500</v>
      </c>
      <c r="Z192" s="38">
        <f>SUM(S$8:S192)</f>
        <v>67406</v>
      </c>
      <c r="AA192" s="38">
        <f>SUM(T$8:T192)</f>
        <v>33704</v>
      </c>
      <c r="AB192" s="38">
        <f>SUM(U$8:U192)</f>
        <v>16293</v>
      </c>
      <c r="AC192" s="38">
        <f>SUM(V$8:V192)</f>
        <v>1110</v>
      </c>
      <c r="AD192" s="38">
        <f t="shared" si="60"/>
        <v>2992771</v>
      </c>
    </row>
    <row r="193" spans="1:30" x14ac:dyDescent="0.25">
      <c r="A193" s="86" t="s">
        <v>253</v>
      </c>
      <c r="B193" s="14">
        <v>186</v>
      </c>
      <c r="C193" s="14">
        <f t="shared" si="56"/>
        <v>147</v>
      </c>
      <c r="D193" s="38">
        <f t="shared" si="55"/>
        <v>73</v>
      </c>
      <c r="E193" s="38">
        <f t="shared" si="54"/>
        <v>36</v>
      </c>
      <c r="F193" s="38">
        <f t="shared" si="53"/>
        <v>1910</v>
      </c>
      <c r="G193" s="74">
        <f t="shared" si="59"/>
        <v>2514</v>
      </c>
      <c r="H193" s="70">
        <v>36500</v>
      </c>
      <c r="I193" s="38"/>
      <c r="J193" s="70">
        <v>72800</v>
      </c>
      <c r="K193" s="38">
        <v>6</v>
      </c>
      <c r="L193" s="77"/>
      <c r="M193" s="70">
        <v>736</v>
      </c>
      <c r="N193" s="38">
        <v>368</v>
      </c>
      <c r="O193" s="38">
        <v>181</v>
      </c>
      <c r="P193" s="68">
        <v>200</v>
      </c>
      <c r="Q193" s="38">
        <f t="shared" si="57"/>
        <v>200</v>
      </c>
      <c r="R193" s="38">
        <f t="shared" si="48"/>
        <v>109300</v>
      </c>
      <c r="S193" s="38">
        <f t="shared" si="49"/>
        <v>736</v>
      </c>
      <c r="T193" s="38">
        <f t="shared" si="50"/>
        <v>368</v>
      </c>
      <c r="U193" s="38">
        <f t="shared" si="51"/>
        <v>181</v>
      </c>
      <c r="V193" s="38">
        <f t="shared" si="58"/>
        <v>6</v>
      </c>
      <c r="W193" s="38">
        <f t="shared" si="52"/>
        <v>32817</v>
      </c>
      <c r="X193" s="38">
        <f>SUM(Q$8:Q193)</f>
        <v>35700</v>
      </c>
      <c r="Y193" s="38">
        <f>SUM(R$8:R193)</f>
        <v>10016800</v>
      </c>
      <c r="Z193" s="38">
        <f>SUM(S$8:S193)</f>
        <v>68142</v>
      </c>
      <c r="AA193" s="38">
        <f>SUM(T$8:T193)</f>
        <v>34072</v>
      </c>
      <c r="AB193" s="38">
        <f>SUM(U$8:U193)</f>
        <v>16474</v>
      </c>
      <c r="AC193" s="38">
        <f>SUM(V$8:V193)</f>
        <v>1116</v>
      </c>
      <c r="AD193" s="38">
        <f t="shared" si="60"/>
        <v>3025588</v>
      </c>
    </row>
    <row r="194" spans="1:30" x14ac:dyDescent="0.25">
      <c r="A194" s="86" t="s">
        <v>253</v>
      </c>
      <c r="B194" s="14">
        <v>187</v>
      </c>
      <c r="C194" s="14">
        <f t="shared" si="56"/>
        <v>148</v>
      </c>
      <c r="D194" s="38">
        <f t="shared" si="55"/>
        <v>74</v>
      </c>
      <c r="E194" s="38">
        <f t="shared" si="54"/>
        <v>36</v>
      </c>
      <c r="F194" s="38">
        <f t="shared" si="53"/>
        <v>1930</v>
      </c>
      <c r="G194" s="74">
        <f t="shared" si="59"/>
        <v>2524</v>
      </c>
      <c r="H194" s="70">
        <v>36700</v>
      </c>
      <c r="I194" s="38"/>
      <c r="J194" s="70">
        <v>73200</v>
      </c>
      <c r="K194" s="38">
        <v>6</v>
      </c>
      <c r="L194" s="77"/>
      <c r="M194" s="70">
        <v>740</v>
      </c>
      <c r="N194" s="38">
        <v>370</v>
      </c>
      <c r="O194" s="38">
        <v>182</v>
      </c>
      <c r="P194" s="68">
        <v>200</v>
      </c>
      <c r="Q194" s="38">
        <f t="shared" si="57"/>
        <v>200</v>
      </c>
      <c r="R194" s="38">
        <f t="shared" si="48"/>
        <v>109900</v>
      </c>
      <c r="S194" s="38">
        <f t="shared" si="49"/>
        <v>740</v>
      </c>
      <c r="T194" s="38">
        <f t="shared" si="50"/>
        <v>370</v>
      </c>
      <c r="U194" s="38">
        <f t="shared" si="51"/>
        <v>182</v>
      </c>
      <c r="V194" s="38">
        <f t="shared" si="58"/>
        <v>6</v>
      </c>
      <c r="W194" s="38">
        <f t="shared" si="52"/>
        <v>32996</v>
      </c>
      <c r="X194" s="38">
        <f>SUM(Q$8:Q194)</f>
        <v>35900</v>
      </c>
      <c r="Y194" s="38">
        <f>SUM(R$8:R194)</f>
        <v>10126700</v>
      </c>
      <c r="Z194" s="38">
        <f>SUM(S$8:S194)</f>
        <v>68882</v>
      </c>
      <c r="AA194" s="38">
        <f>SUM(T$8:T194)</f>
        <v>34442</v>
      </c>
      <c r="AB194" s="38">
        <f>SUM(U$8:U194)</f>
        <v>16656</v>
      </c>
      <c r="AC194" s="38">
        <f>SUM(V$8:V194)</f>
        <v>1122</v>
      </c>
      <c r="AD194" s="38">
        <f t="shared" si="60"/>
        <v>3058584</v>
      </c>
    </row>
    <row r="195" spans="1:30" x14ac:dyDescent="0.25">
      <c r="A195" s="86" t="s">
        <v>253</v>
      </c>
      <c r="B195" s="14">
        <v>188</v>
      </c>
      <c r="C195" s="14">
        <f t="shared" si="56"/>
        <v>149</v>
      </c>
      <c r="D195" s="38">
        <f t="shared" si="55"/>
        <v>74</v>
      </c>
      <c r="E195" s="38">
        <f t="shared" si="54"/>
        <v>37</v>
      </c>
      <c r="F195" s="38">
        <f t="shared" si="53"/>
        <v>1930</v>
      </c>
      <c r="G195" s="74">
        <f t="shared" si="59"/>
        <v>2570</v>
      </c>
      <c r="H195" s="70">
        <v>36900</v>
      </c>
      <c r="I195" s="38"/>
      <c r="J195" s="70">
        <v>73600</v>
      </c>
      <c r="K195" s="38">
        <v>6</v>
      </c>
      <c r="L195" s="77"/>
      <c r="M195" s="70">
        <v>744</v>
      </c>
      <c r="N195" s="38">
        <v>372</v>
      </c>
      <c r="O195" s="38">
        <v>183</v>
      </c>
      <c r="P195" s="68">
        <v>200</v>
      </c>
      <c r="Q195" s="38">
        <f t="shared" si="57"/>
        <v>200</v>
      </c>
      <c r="R195" s="38">
        <f t="shared" si="48"/>
        <v>110500</v>
      </c>
      <c r="S195" s="38">
        <f t="shared" si="49"/>
        <v>744</v>
      </c>
      <c r="T195" s="38">
        <f t="shared" si="50"/>
        <v>372</v>
      </c>
      <c r="U195" s="38">
        <f t="shared" si="51"/>
        <v>183</v>
      </c>
      <c r="V195" s="38">
        <f t="shared" si="58"/>
        <v>6</v>
      </c>
      <c r="W195" s="38">
        <f t="shared" si="52"/>
        <v>33175</v>
      </c>
      <c r="X195" s="38">
        <f>SUM(Q$8:Q195)</f>
        <v>36100</v>
      </c>
      <c r="Y195" s="38">
        <f>SUM(R$8:R195)</f>
        <v>10237200</v>
      </c>
      <c r="Z195" s="38">
        <f>SUM(S$8:S195)</f>
        <v>69626</v>
      </c>
      <c r="AA195" s="38">
        <f>SUM(T$8:T195)</f>
        <v>34814</v>
      </c>
      <c r="AB195" s="38">
        <f>SUM(U$8:U195)</f>
        <v>16839</v>
      </c>
      <c r="AC195" s="38">
        <f>SUM(V$8:V195)</f>
        <v>1128</v>
      </c>
      <c r="AD195" s="38">
        <f t="shared" si="60"/>
        <v>3091759</v>
      </c>
    </row>
    <row r="196" spans="1:30" x14ac:dyDescent="0.25">
      <c r="A196" s="86" t="s">
        <v>253</v>
      </c>
      <c r="B196" s="14">
        <v>189</v>
      </c>
      <c r="C196" s="14">
        <f t="shared" si="56"/>
        <v>150</v>
      </c>
      <c r="D196" s="38">
        <f t="shared" si="55"/>
        <v>75</v>
      </c>
      <c r="E196" s="38">
        <f t="shared" si="54"/>
        <v>37</v>
      </c>
      <c r="F196" s="38">
        <f t="shared" si="53"/>
        <v>1950</v>
      </c>
      <c r="G196" s="74">
        <f t="shared" si="59"/>
        <v>2580</v>
      </c>
      <c r="H196" s="70">
        <v>37100</v>
      </c>
      <c r="I196" s="38"/>
      <c r="J196" s="70">
        <v>74000</v>
      </c>
      <c r="K196" s="38">
        <v>6</v>
      </c>
      <c r="L196" s="77"/>
      <c r="M196" s="70">
        <v>748</v>
      </c>
      <c r="N196" s="38">
        <v>374</v>
      </c>
      <c r="O196" s="38">
        <v>184</v>
      </c>
      <c r="P196" s="68">
        <v>200</v>
      </c>
      <c r="Q196" s="38">
        <f t="shared" si="57"/>
        <v>200</v>
      </c>
      <c r="R196" s="38">
        <f t="shared" si="48"/>
        <v>111100</v>
      </c>
      <c r="S196" s="38">
        <f t="shared" si="49"/>
        <v>748</v>
      </c>
      <c r="T196" s="38">
        <f t="shared" si="50"/>
        <v>374</v>
      </c>
      <c r="U196" s="38">
        <f t="shared" si="51"/>
        <v>184</v>
      </c>
      <c r="V196" s="38">
        <f t="shared" si="58"/>
        <v>6</v>
      </c>
      <c r="W196" s="38">
        <f t="shared" si="52"/>
        <v>33354</v>
      </c>
      <c r="X196" s="38">
        <f>SUM(Q$8:Q196)</f>
        <v>36300</v>
      </c>
      <c r="Y196" s="38">
        <f>SUM(R$8:R196)</f>
        <v>10348300</v>
      </c>
      <c r="Z196" s="38">
        <f>SUM(S$8:S196)</f>
        <v>70374</v>
      </c>
      <c r="AA196" s="38">
        <f>SUM(T$8:T196)</f>
        <v>35188</v>
      </c>
      <c r="AB196" s="38">
        <f>SUM(U$8:U196)</f>
        <v>17023</v>
      </c>
      <c r="AC196" s="38">
        <f>SUM(V$8:V196)</f>
        <v>1134</v>
      </c>
      <c r="AD196" s="38">
        <f t="shared" si="60"/>
        <v>3125113</v>
      </c>
    </row>
    <row r="197" spans="1:30" x14ac:dyDescent="0.25">
      <c r="A197" s="86" t="s">
        <v>253</v>
      </c>
      <c r="B197" s="14">
        <v>190</v>
      </c>
      <c r="C197" s="14">
        <f t="shared" si="56"/>
        <v>150</v>
      </c>
      <c r="D197" s="38">
        <f t="shared" si="55"/>
        <v>75</v>
      </c>
      <c r="E197" s="38">
        <f t="shared" si="54"/>
        <v>37</v>
      </c>
      <c r="F197" s="38">
        <f t="shared" si="53"/>
        <v>1950</v>
      </c>
      <c r="G197" s="74">
        <f t="shared" si="59"/>
        <v>2580</v>
      </c>
      <c r="H197" s="70">
        <v>37300</v>
      </c>
      <c r="I197" s="38"/>
      <c r="J197" s="70">
        <v>74400</v>
      </c>
      <c r="K197" s="38">
        <v>6</v>
      </c>
      <c r="L197" s="77"/>
      <c r="M197" s="70">
        <v>752</v>
      </c>
      <c r="N197" s="38">
        <v>376</v>
      </c>
      <c r="O197" s="38">
        <v>185</v>
      </c>
      <c r="P197" s="68">
        <v>200</v>
      </c>
      <c r="Q197" s="38">
        <f t="shared" si="57"/>
        <v>200</v>
      </c>
      <c r="R197" s="38">
        <f t="shared" si="48"/>
        <v>111700</v>
      </c>
      <c r="S197" s="38">
        <f t="shared" si="49"/>
        <v>752</v>
      </c>
      <c r="T197" s="38">
        <f t="shared" si="50"/>
        <v>376</v>
      </c>
      <c r="U197" s="38">
        <f t="shared" si="51"/>
        <v>185</v>
      </c>
      <c r="V197" s="38">
        <f t="shared" si="58"/>
        <v>6</v>
      </c>
      <c r="W197" s="38">
        <f t="shared" si="52"/>
        <v>33533</v>
      </c>
      <c r="X197" s="38">
        <f>SUM(Q$8:Q197)</f>
        <v>36500</v>
      </c>
      <c r="Y197" s="38">
        <f>SUM(R$8:R197)</f>
        <v>10460000</v>
      </c>
      <c r="Z197" s="38">
        <f>SUM(S$8:S197)</f>
        <v>71126</v>
      </c>
      <c r="AA197" s="38">
        <f>SUM(T$8:T197)</f>
        <v>35564</v>
      </c>
      <c r="AB197" s="38">
        <f>SUM(U$8:U197)</f>
        <v>17208</v>
      </c>
      <c r="AC197" s="38">
        <f>SUM(V$8:V197)</f>
        <v>1140</v>
      </c>
      <c r="AD197" s="38">
        <f t="shared" si="60"/>
        <v>3158646</v>
      </c>
    </row>
    <row r="198" spans="1:30" x14ac:dyDescent="0.25">
      <c r="A198" s="86" t="s">
        <v>253</v>
      </c>
      <c r="B198" s="14">
        <v>191</v>
      </c>
      <c r="C198" s="14">
        <f t="shared" si="56"/>
        <v>151</v>
      </c>
      <c r="D198" s="38">
        <f t="shared" si="55"/>
        <v>75</v>
      </c>
      <c r="E198" s="38">
        <f t="shared" si="54"/>
        <v>37</v>
      </c>
      <c r="F198" s="38">
        <f t="shared" si="53"/>
        <v>1970</v>
      </c>
      <c r="G198" s="74">
        <f t="shared" si="59"/>
        <v>2585</v>
      </c>
      <c r="H198" s="70">
        <v>37500</v>
      </c>
      <c r="I198" s="38"/>
      <c r="J198" s="70">
        <v>74800</v>
      </c>
      <c r="K198" s="38">
        <v>6</v>
      </c>
      <c r="L198" s="77"/>
      <c r="M198" s="70">
        <v>756</v>
      </c>
      <c r="N198" s="38">
        <v>378</v>
      </c>
      <c r="O198" s="38">
        <v>186</v>
      </c>
      <c r="P198" s="68">
        <v>200</v>
      </c>
      <c r="Q198" s="38">
        <f t="shared" si="57"/>
        <v>200</v>
      </c>
      <c r="R198" s="38">
        <f t="shared" si="48"/>
        <v>112300</v>
      </c>
      <c r="S198" s="38">
        <f t="shared" si="49"/>
        <v>756</v>
      </c>
      <c r="T198" s="38">
        <f t="shared" si="50"/>
        <v>378</v>
      </c>
      <c r="U198" s="38">
        <f t="shared" si="51"/>
        <v>186</v>
      </c>
      <c r="V198" s="38">
        <f t="shared" si="58"/>
        <v>6</v>
      </c>
      <c r="W198" s="38">
        <f t="shared" si="52"/>
        <v>33712</v>
      </c>
      <c r="X198" s="38">
        <f>SUM(Q$8:Q198)</f>
        <v>36700</v>
      </c>
      <c r="Y198" s="38">
        <f>SUM(R$8:R198)</f>
        <v>10572300</v>
      </c>
      <c r="Z198" s="38">
        <f>SUM(S$8:S198)</f>
        <v>71882</v>
      </c>
      <c r="AA198" s="38">
        <f>SUM(T$8:T198)</f>
        <v>35942</v>
      </c>
      <c r="AB198" s="38">
        <f>SUM(U$8:U198)</f>
        <v>17394</v>
      </c>
      <c r="AC198" s="38">
        <f>SUM(V$8:V198)</f>
        <v>1146</v>
      </c>
      <c r="AD198" s="38">
        <f t="shared" si="60"/>
        <v>3192358</v>
      </c>
    </row>
    <row r="199" spans="1:30" x14ac:dyDescent="0.25">
      <c r="A199" s="86" t="s">
        <v>253</v>
      </c>
      <c r="B199" s="14">
        <v>192</v>
      </c>
      <c r="C199" s="14">
        <f t="shared" si="56"/>
        <v>152</v>
      </c>
      <c r="D199" s="38">
        <f t="shared" si="55"/>
        <v>76</v>
      </c>
      <c r="E199" s="38">
        <f t="shared" si="54"/>
        <v>37</v>
      </c>
      <c r="F199" s="38">
        <f t="shared" si="53"/>
        <v>1970</v>
      </c>
      <c r="G199" s="74">
        <f t="shared" si="59"/>
        <v>2591</v>
      </c>
      <c r="H199" s="70">
        <v>37700</v>
      </c>
      <c r="I199" s="38"/>
      <c r="J199" s="70">
        <v>75200</v>
      </c>
      <c r="K199" s="38">
        <v>6</v>
      </c>
      <c r="L199" s="77"/>
      <c r="M199" s="70">
        <v>760</v>
      </c>
      <c r="N199" s="38">
        <v>380</v>
      </c>
      <c r="O199" s="38">
        <v>187</v>
      </c>
      <c r="P199" s="68">
        <v>200</v>
      </c>
      <c r="Q199" s="38">
        <f t="shared" si="57"/>
        <v>200</v>
      </c>
      <c r="R199" s="38">
        <f t="shared" si="48"/>
        <v>112900</v>
      </c>
      <c r="S199" s="38">
        <f t="shared" si="49"/>
        <v>760</v>
      </c>
      <c r="T199" s="38">
        <f t="shared" si="50"/>
        <v>380</v>
      </c>
      <c r="U199" s="38">
        <f t="shared" si="51"/>
        <v>187</v>
      </c>
      <c r="V199" s="38">
        <f t="shared" si="58"/>
        <v>6</v>
      </c>
      <c r="W199" s="38">
        <f t="shared" si="52"/>
        <v>33891</v>
      </c>
      <c r="X199" s="38">
        <f>SUM(Q$8:Q199)</f>
        <v>36900</v>
      </c>
      <c r="Y199" s="38">
        <f>SUM(R$8:R199)</f>
        <v>10685200</v>
      </c>
      <c r="Z199" s="38">
        <f>SUM(S$8:S199)</f>
        <v>72642</v>
      </c>
      <c r="AA199" s="38">
        <f>SUM(T$8:T199)</f>
        <v>36322</v>
      </c>
      <c r="AB199" s="38">
        <f>SUM(U$8:U199)</f>
        <v>17581</v>
      </c>
      <c r="AC199" s="38">
        <f>SUM(V$8:V199)</f>
        <v>1152</v>
      </c>
      <c r="AD199" s="38">
        <f t="shared" si="60"/>
        <v>3226249</v>
      </c>
    </row>
    <row r="200" spans="1:30" x14ac:dyDescent="0.25">
      <c r="A200" s="86" t="s">
        <v>253</v>
      </c>
      <c r="B200" s="14">
        <v>193</v>
      </c>
      <c r="C200" s="14">
        <f t="shared" si="56"/>
        <v>153</v>
      </c>
      <c r="D200" s="38">
        <f t="shared" si="55"/>
        <v>76</v>
      </c>
      <c r="E200" s="38">
        <f t="shared" si="54"/>
        <v>38</v>
      </c>
      <c r="F200" s="38">
        <f t="shared" si="53"/>
        <v>1990</v>
      </c>
      <c r="G200" s="74">
        <f t="shared" si="59"/>
        <v>2641</v>
      </c>
      <c r="H200" s="70">
        <v>37900</v>
      </c>
      <c r="I200" s="38"/>
      <c r="J200" s="70">
        <v>75600</v>
      </c>
      <c r="K200" s="38">
        <v>6</v>
      </c>
      <c r="L200" s="77"/>
      <c r="M200" s="70">
        <v>764</v>
      </c>
      <c r="N200" s="38">
        <v>382</v>
      </c>
      <c r="O200" s="38">
        <v>188</v>
      </c>
      <c r="P200" s="68">
        <v>200</v>
      </c>
      <c r="Q200" s="38">
        <f t="shared" ref="Q200:Q207" si="61">P200</f>
        <v>200</v>
      </c>
      <c r="R200" s="38">
        <f t="shared" si="48"/>
        <v>113500</v>
      </c>
      <c r="S200" s="38">
        <f t="shared" si="49"/>
        <v>764</v>
      </c>
      <c r="T200" s="38">
        <f t="shared" si="50"/>
        <v>382</v>
      </c>
      <c r="U200" s="38">
        <f t="shared" si="51"/>
        <v>188</v>
      </c>
      <c r="V200" s="38">
        <f t="shared" ref="V200:V207" si="62">K200</f>
        <v>6</v>
      </c>
      <c r="W200" s="38">
        <f t="shared" si="52"/>
        <v>34070</v>
      </c>
      <c r="X200" s="38">
        <f>SUM(Q$8:Q200)</f>
        <v>37100</v>
      </c>
      <c r="Y200" s="38">
        <f>SUM(R$8:R200)</f>
        <v>10798700</v>
      </c>
      <c r="Z200" s="38">
        <f>SUM(S$8:S200)</f>
        <v>73406</v>
      </c>
      <c r="AA200" s="38">
        <f>SUM(T$8:T200)</f>
        <v>36704</v>
      </c>
      <c r="AB200" s="38">
        <f>SUM(U$8:U200)</f>
        <v>17769</v>
      </c>
      <c r="AC200" s="38">
        <f>SUM(V$8:V200)</f>
        <v>1158</v>
      </c>
      <c r="AD200" s="38">
        <f t="shared" si="60"/>
        <v>3260319</v>
      </c>
    </row>
    <row r="201" spans="1:30" x14ac:dyDescent="0.25">
      <c r="A201" s="86" t="s">
        <v>253</v>
      </c>
      <c r="B201" s="14">
        <v>194</v>
      </c>
      <c r="C201" s="14">
        <f t="shared" si="56"/>
        <v>154</v>
      </c>
      <c r="D201" s="38">
        <f t="shared" si="55"/>
        <v>77</v>
      </c>
      <c r="E201" s="38">
        <f t="shared" si="54"/>
        <v>38</v>
      </c>
      <c r="F201" s="38">
        <f t="shared" si="53"/>
        <v>1990</v>
      </c>
      <c r="G201" s="74">
        <f t="shared" si="59"/>
        <v>2647</v>
      </c>
      <c r="H201" s="70">
        <v>38100</v>
      </c>
      <c r="I201" s="38"/>
      <c r="J201" s="70">
        <v>76000</v>
      </c>
      <c r="K201" s="38">
        <v>6</v>
      </c>
      <c r="L201" s="77"/>
      <c r="M201" s="70">
        <v>768</v>
      </c>
      <c r="N201" s="38">
        <v>384</v>
      </c>
      <c r="O201" s="38">
        <v>189</v>
      </c>
      <c r="P201" s="68">
        <v>200</v>
      </c>
      <c r="Q201" s="38">
        <f t="shared" si="61"/>
        <v>200</v>
      </c>
      <c r="R201" s="38">
        <f t="shared" ref="R201:R207" si="63">H201+J201</f>
        <v>114100</v>
      </c>
      <c r="S201" s="38">
        <f t="shared" ref="S201:S207" si="64">M201</f>
        <v>768</v>
      </c>
      <c r="T201" s="38">
        <f t="shared" ref="T201:T207" si="65">N201</f>
        <v>384</v>
      </c>
      <c r="U201" s="38">
        <f t="shared" ref="U201:U207" si="66">O201</f>
        <v>189</v>
      </c>
      <c r="V201" s="38">
        <f t="shared" si="62"/>
        <v>6</v>
      </c>
      <c r="W201" s="38">
        <f t="shared" ref="W201:W207" si="67">SUMPRODUCT($Q$6:$V$6,Q201:V201)</f>
        <v>34249</v>
      </c>
      <c r="X201" s="38">
        <f>SUM(Q$8:Q201)</f>
        <v>37300</v>
      </c>
      <c r="Y201" s="38">
        <f>SUM(R$8:R201)</f>
        <v>10912800</v>
      </c>
      <c r="Z201" s="38">
        <f>SUM(S$8:S201)</f>
        <v>74174</v>
      </c>
      <c r="AA201" s="38">
        <f>SUM(T$8:T201)</f>
        <v>37088</v>
      </c>
      <c r="AB201" s="38">
        <f>SUM(U$8:U201)</f>
        <v>17958</v>
      </c>
      <c r="AC201" s="38">
        <f>SUM(V$8:V201)</f>
        <v>1164</v>
      </c>
      <c r="AD201" s="38">
        <f t="shared" si="60"/>
        <v>3294568</v>
      </c>
    </row>
    <row r="202" spans="1:30" x14ac:dyDescent="0.25">
      <c r="A202" s="86" t="s">
        <v>253</v>
      </c>
      <c r="B202" s="14">
        <v>195</v>
      </c>
      <c r="C202" s="14">
        <f t="shared" si="56"/>
        <v>154</v>
      </c>
      <c r="D202" s="38">
        <f t="shared" si="55"/>
        <v>77</v>
      </c>
      <c r="E202" s="38">
        <f t="shared" si="54"/>
        <v>38</v>
      </c>
      <c r="F202" s="38">
        <f t="shared" si="53"/>
        <v>2010</v>
      </c>
      <c r="G202" s="74">
        <f t="shared" si="59"/>
        <v>2651</v>
      </c>
      <c r="H202" s="70">
        <v>38300</v>
      </c>
      <c r="I202" s="38"/>
      <c r="J202" s="70">
        <v>76400</v>
      </c>
      <c r="K202" s="38">
        <v>6</v>
      </c>
      <c r="L202" s="77"/>
      <c r="M202" s="70">
        <v>772</v>
      </c>
      <c r="N202" s="38">
        <v>386</v>
      </c>
      <c r="O202" s="38">
        <v>190</v>
      </c>
      <c r="P202" s="68">
        <v>200</v>
      </c>
      <c r="Q202" s="38">
        <f t="shared" si="61"/>
        <v>200</v>
      </c>
      <c r="R202" s="38">
        <f t="shared" si="63"/>
        <v>114700</v>
      </c>
      <c r="S202" s="38">
        <f t="shared" si="64"/>
        <v>772</v>
      </c>
      <c r="T202" s="38">
        <f t="shared" si="65"/>
        <v>386</v>
      </c>
      <c r="U202" s="38">
        <f t="shared" si="66"/>
        <v>190</v>
      </c>
      <c r="V202" s="38">
        <f t="shared" si="62"/>
        <v>6</v>
      </c>
      <c r="W202" s="38">
        <f t="shared" si="67"/>
        <v>34428</v>
      </c>
      <c r="X202" s="38">
        <f>SUM(Q$8:Q202)</f>
        <v>37500</v>
      </c>
      <c r="Y202" s="38">
        <f>SUM(R$8:R202)</f>
        <v>11027500</v>
      </c>
      <c r="Z202" s="38">
        <f>SUM(S$8:S202)</f>
        <v>74946</v>
      </c>
      <c r="AA202" s="38">
        <f>SUM(T$8:T202)</f>
        <v>37474</v>
      </c>
      <c r="AB202" s="38">
        <f>SUM(U$8:U202)</f>
        <v>18148</v>
      </c>
      <c r="AC202" s="38">
        <f>SUM(V$8:V202)</f>
        <v>1170</v>
      </c>
      <c r="AD202" s="38">
        <f t="shared" si="60"/>
        <v>3328996</v>
      </c>
    </row>
    <row r="203" spans="1:30" x14ac:dyDescent="0.25">
      <c r="A203" s="86" t="s">
        <v>253</v>
      </c>
      <c r="B203" s="14">
        <v>196</v>
      </c>
      <c r="C203" s="14">
        <f t="shared" si="56"/>
        <v>155</v>
      </c>
      <c r="D203" s="38">
        <f t="shared" si="55"/>
        <v>77</v>
      </c>
      <c r="E203" s="38">
        <f t="shared" si="54"/>
        <v>38</v>
      </c>
      <c r="F203" s="38">
        <f t="shared" si="53"/>
        <v>2010</v>
      </c>
      <c r="G203" s="74">
        <f t="shared" si="59"/>
        <v>2652</v>
      </c>
      <c r="H203" s="70">
        <v>38500</v>
      </c>
      <c r="I203" s="38"/>
      <c r="J203" s="70">
        <v>76800</v>
      </c>
      <c r="K203" s="38">
        <v>6</v>
      </c>
      <c r="L203" s="77"/>
      <c r="M203" s="70">
        <v>776</v>
      </c>
      <c r="N203" s="38">
        <v>388</v>
      </c>
      <c r="O203" s="38">
        <v>191</v>
      </c>
      <c r="P203" s="68">
        <v>200</v>
      </c>
      <c r="Q203" s="38">
        <f t="shared" si="61"/>
        <v>200</v>
      </c>
      <c r="R203" s="38">
        <f t="shared" si="63"/>
        <v>115300</v>
      </c>
      <c r="S203" s="38">
        <f t="shared" si="64"/>
        <v>776</v>
      </c>
      <c r="T203" s="38">
        <f t="shared" si="65"/>
        <v>388</v>
      </c>
      <c r="U203" s="38">
        <f t="shared" si="66"/>
        <v>191</v>
      </c>
      <c r="V203" s="38">
        <f t="shared" si="62"/>
        <v>6</v>
      </c>
      <c r="W203" s="38">
        <f t="shared" si="67"/>
        <v>34607</v>
      </c>
      <c r="X203" s="38">
        <f>SUM(Q$8:Q203)</f>
        <v>37700</v>
      </c>
      <c r="Y203" s="38">
        <f>SUM(R$8:R203)</f>
        <v>11142800</v>
      </c>
      <c r="Z203" s="38">
        <f>SUM(S$8:S203)</f>
        <v>75722</v>
      </c>
      <c r="AA203" s="38">
        <f>SUM(T$8:T203)</f>
        <v>37862</v>
      </c>
      <c r="AB203" s="38">
        <f>SUM(U$8:U203)</f>
        <v>18339</v>
      </c>
      <c r="AC203" s="38">
        <f>SUM(V$8:V203)</f>
        <v>1176</v>
      </c>
      <c r="AD203" s="38">
        <f t="shared" si="60"/>
        <v>3363603</v>
      </c>
    </row>
    <row r="204" spans="1:30" x14ac:dyDescent="0.25">
      <c r="A204" s="86" t="s">
        <v>253</v>
      </c>
      <c r="B204" s="14">
        <v>197</v>
      </c>
      <c r="C204" s="14">
        <f t="shared" si="56"/>
        <v>156</v>
      </c>
      <c r="D204" s="38">
        <f t="shared" si="55"/>
        <v>78</v>
      </c>
      <c r="E204" s="38">
        <f t="shared" si="54"/>
        <v>38</v>
      </c>
      <c r="F204" s="38">
        <f t="shared" si="53"/>
        <v>2030</v>
      </c>
      <c r="G204" s="74">
        <f t="shared" si="59"/>
        <v>2662</v>
      </c>
      <c r="H204" s="70">
        <v>38700</v>
      </c>
      <c r="I204" s="38"/>
      <c r="J204" s="70">
        <v>77200</v>
      </c>
      <c r="K204" s="38">
        <v>6</v>
      </c>
      <c r="L204" s="77"/>
      <c r="M204" s="70">
        <v>780</v>
      </c>
      <c r="N204" s="38">
        <v>390</v>
      </c>
      <c r="O204" s="38">
        <v>192</v>
      </c>
      <c r="P204" s="68">
        <v>200</v>
      </c>
      <c r="Q204" s="38">
        <f t="shared" si="61"/>
        <v>200</v>
      </c>
      <c r="R204" s="38">
        <f t="shared" si="63"/>
        <v>115900</v>
      </c>
      <c r="S204" s="38">
        <f t="shared" si="64"/>
        <v>780</v>
      </c>
      <c r="T204" s="38">
        <f t="shared" si="65"/>
        <v>390</v>
      </c>
      <c r="U204" s="38">
        <f t="shared" si="66"/>
        <v>192</v>
      </c>
      <c r="V204" s="38">
        <f t="shared" si="62"/>
        <v>6</v>
      </c>
      <c r="W204" s="38">
        <f t="shared" si="67"/>
        <v>34786</v>
      </c>
      <c r="X204" s="38">
        <f>SUM(Q$8:Q204)</f>
        <v>37900</v>
      </c>
      <c r="Y204" s="38">
        <f>SUM(R$8:R204)</f>
        <v>11258700</v>
      </c>
      <c r="Z204" s="38">
        <f>SUM(S$8:S204)</f>
        <v>76502</v>
      </c>
      <c r="AA204" s="38">
        <f>SUM(T$8:T204)</f>
        <v>38252</v>
      </c>
      <c r="AB204" s="38">
        <f>SUM(U$8:U204)</f>
        <v>18531</v>
      </c>
      <c r="AC204" s="38">
        <f>SUM(V$8:V204)</f>
        <v>1182</v>
      </c>
      <c r="AD204" s="38">
        <f t="shared" si="60"/>
        <v>3398389</v>
      </c>
    </row>
    <row r="205" spans="1:30" x14ac:dyDescent="0.25">
      <c r="A205" s="86" t="s">
        <v>253</v>
      </c>
      <c r="B205" s="14">
        <v>198</v>
      </c>
      <c r="C205" s="14">
        <f t="shared" si="56"/>
        <v>157</v>
      </c>
      <c r="D205" s="38">
        <f t="shared" si="55"/>
        <v>78</v>
      </c>
      <c r="E205" s="38">
        <f t="shared" si="54"/>
        <v>39</v>
      </c>
      <c r="F205" s="38">
        <f t="shared" si="53"/>
        <v>2030</v>
      </c>
      <c r="G205" s="74">
        <f t="shared" si="59"/>
        <v>2708</v>
      </c>
      <c r="H205" s="70">
        <v>38900</v>
      </c>
      <c r="I205" s="38"/>
      <c r="J205" s="70">
        <v>77600</v>
      </c>
      <c r="K205" s="38">
        <v>6</v>
      </c>
      <c r="L205" s="77"/>
      <c r="M205" s="70">
        <v>784</v>
      </c>
      <c r="N205" s="38">
        <v>392</v>
      </c>
      <c r="O205" s="38">
        <v>193</v>
      </c>
      <c r="P205" s="68">
        <v>200</v>
      </c>
      <c r="Q205" s="38">
        <f t="shared" si="61"/>
        <v>200</v>
      </c>
      <c r="R205" s="38">
        <f t="shared" si="63"/>
        <v>116500</v>
      </c>
      <c r="S205" s="38">
        <f t="shared" si="64"/>
        <v>784</v>
      </c>
      <c r="T205" s="38">
        <f t="shared" si="65"/>
        <v>392</v>
      </c>
      <c r="U205" s="38">
        <f t="shared" si="66"/>
        <v>193</v>
      </c>
      <c r="V205" s="38">
        <f t="shared" si="62"/>
        <v>6</v>
      </c>
      <c r="W205" s="38">
        <f t="shared" si="67"/>
        <v>34965</v>
      </c>
      <c r="X205" s="38">
        <f>SUM(Q$8:Q205)</f>
        <v>38100</v>
      </c>
      <c r="Y205" s="38">
        <f>SUM(R$8:R205)</f>
        <v>11375200</v>
      </c>
      <c r="Z205" s="38">
        <f>SUM(S$8:S205)</f>
        <v>77286</v>
      </c>
      <c r="AA205" s="38">
        <f>SUM(T$8:T205)</f>
        <v>38644</v>
      </c>
      <c r="AB205" s="38">
        <f>SUM(U$8:U205)</f>
        <v>18724</v>
      </c>
      <c r="AC205" s="38">
        <f>SUM(V$8:V205)</f>
        <v>1188</v>
      </c>
      <c r="AD205" s="38">
        <f t="shared" si="60"/>
        <v>3433354</v>
      </c>
    </row>
    <row r="206" spans="1:30" x14ac:dyDescent="0.25">
      <c r="A206" s="86" t="s">
        <v>253</v>
      </c>
      <c r="B206" s="14">
        <v>199</v>
      </c>
      <c r="C206" s="14">
        <f t="shared" si="56"/>
        <v>158</v>
      </c>
      <c r="D206" s="38">
        <f t="shared" si="55"/>
        <v>79</v>
      </c>
      <c r="E206" s="38">
        <f t="shared" si="54"/>
        <v>39</v>
      </c>
      <c r="F206" s="38">
        <f t="shared" si="53"/>
        <v>2050</v>
      </c>
      <c r="G206" s="74">
        <f t="shared" si="59"/>
        <v>2718</v>
      </c>
      <c r="H206" s="70">
        <v>39100</v>
      </c>
      <c r="I206" s="38"/>
      <c r="J206" s="70">
        <v>78000</v>
      </c>
      <c r="K206" s="38">
        <v>6</v>
      </c>
      <c r="L206" s="77"/>
      <c r="M206" s="70">
        <v>788</v>
      </c>
      <c r="N206" s="38">
        <v>394</v>
      </c>
      <c r="O206" s="38">
        <v>194</v>
      </c>
      <c r="P206" s="68">
        <v>200</v>
      </c>
      <c r="Q206" s="38">
        <f t="shared" si="61"/>
        <v>200</v>
      </c>
      <c r="R206" s="38">
        <f t="shared" si="63"/>
        <v>117100</v>
      </c>
      <c r="S206" s="38">
        <f t="shared" si="64"/>
        <v>788</v>
      </c>
      <c r="T206" s="38">
        <f t="shared" si="65"/>
        <v>394</v>
      </c>
      <c r="U206" s="38">
        <f t="shared" si="66"/>
        <v>194</v>
      </c>
      <c r="V206" s="38">
        <f t="shared" si="62"/>
        <v>6</v>
      </c>
      <c r="W206" s="38">
        <f t="shared" si="67"/>
        <v>35144</v>
      </c>
      <c r="X206" s="38">
        <f>SUM(Q$8:Q206)</f>
        <v>38300</v>
      </c>
      <c r="Y206" s="38">
        <f>SUM(R$8:R206)</f>
        <v>11492300</v>
      </c>
      <c r="Z206" s="38">
        <f>SUM(S$8:S206)</f>
        <v>78074</v>
      </c>
      <c r="AA206" s="38">
        <f>SUM(T$8:T206)</f>
        <v>39038</v>
      </c>
      <c r="AB206" s="38">
        <f>SUM(U$8:U206)</f>
        <v>18918</v>
      </c>
      <c r="AC206" s="38">
        <f>SUM(V$8:V206)</f>
        <v>1194</v>
      </c>
      <c r="AD206" s="38">
        <f t="shared" si="60"/>
        <v>3468498</v>
      </c>
    </row>
    <row r="207" spans="1:30" x14ac:dyDescent="0.25">
      <c r="A207" s="86" t="s">
        <v>253</v>
      </c>
      <c r="B207" s="14">
        <v>200</v>
      </c>
      <c r="C207" s="14">
        <f t="shared" si="56"/>
        <v>158</v>
      </c>
      <c r="D207" s="38">
        <f t="shared" si="55"/>
        <v>79</v>
      </c>
      <c r="E207" s="38">
        <f t="shared" si="54"/>
        <v>39</v>
      </c>
      <c r="F207" s="38">
        <f t="shared" si="53"/>
        <v>2050</v>
      </c>
      <c r="G207" s="74">
        <f t="shared" si="59"/>
        <v>2718</v>
      </c>
      <c r="H207" s="70">
        <v>39300</v>
      </c>
      <c r="I207" s="38"/>
      <c r="J207" s="70">
        <v>78400</v>
      </c>
      <c r="K207" s="38">
        <v>6</v>
      </c>
      <c r="L207" s="77"/>
      <c r="M207" s="70">
        <v>792</v>
      </c>
      <c r="N207" s="38">
        <v>396</v>
      </c>
      <c r="O207" s="38">
        <v>195</v>
      </c>
      <c r="P207" s="68">
        <v>200</v>
      </c>
      <c r="Q207" s="38">
        <f t="shared" si="61"/>
        <v>200</v>
      </c>
      <c r="R207" s="38">
        <f t="shared" si="63"/>
        <v>117700</v>
      </c>
      <c r="S207" s="38">
        <f t="shared" si="64"/>
        <v>792</v>
      </c>
      <c r="T207" s="38">
        <f t="shared" si="65"/>
        <v>396</v>
      </c>
      <c r="U207" s="38">
        <f t="shared" si="66"/>
        <v>195</v>
      </c>
      <c r="V207" s="38">
        <f t="shared" si="62"/>
        <v>6</v>
      </c>
      <c r="W207" s="38">
        <f t="shared" si="67"/>
        <v>35323</v>
      </c>
      <c r="X207" s="38">
        <f>SUM(Q$8:Q207)</f>
        <v>38500</v>
      </c>
      <c r="Y207" s="38">
        <f>SUM(R$8:R207)</f>
        <v>11610000</v>
      </c>
      <c r="Z207" s="38">
        <f>SUM(S$8:S207)</f>
        <v>78866</v>
      </c>
      <c r="AA207" s="38">
        <f>SUM(T$8:T207)</f>
        <v>39434</v>
      </c>
      <c r="AB207" s="38">
        <f>SUM(U$8:U207)</f>
        <v>19113</v>
      </c>
      <c r="AC207" s="38">
        <f>SUM(V$8:V207)</f>
        <v>1200</v>
      </c>
      <c r="AD207" s="38">
        <f t="shared" si="60"/>
        <v>3503821</v>
      </c>
    </row>
    <row r="208" spans="1:30" x14ac:dyDescent="0.25">
      <c r="F208" s="75"/>
    </row>
    <row r="209" spans="1:30" x14ac:dyDescent="0.25">
      <c r="A209" t="s">
        <v>83</v>
      </c>
      <c r="W209" s="44"/>
    </row>
    <row r="210" spans="1:30" ht="16.2" x14ac:dyDescent="0.25">
      <c r="A210" s="9" t="s">
        <v>258</v>
      </c>
      <c r="B210" s="9" t="s">
        <v>51</v>
      </c>
      <c r="C210" s="9" t="s">
        <v>55</v>
      </c>
      <c r="D210" s="9" t="s">
        <v>56</v>
      </c>
      <c r="E210" s="9" t="s">
        <v>57</v>
      </c>
      <c r="F210" s="9" t="s">
        <v>54</v>
      </c>
      <c r="G210" s="73" t="s">
        <v>75</v>
      </c>
      <c r="H210" s="69" t="s">
        <v>54</v>
      </c>
      <c r="I210" s="9"/>
      <c r="J210" s="69" t="s">
        <v>54</v>
      </c>
      <c r="K210" s="9" t="s">
        <v>58</v>
      </c>
      <c r="L210" s="73" t="s">
        <v>261</v>
      </c>
      <c r="M210" s="69" t="s">
        <v>55</v>
      </c>
      <c r="N210" s="9" t="s">
        <v>56</v>
      </c>
      <c r="O210" s="9" t="s">
        <v>57</v>
      </c>
      <c r="P210" s="67" t="s">
        <v>53</v>
      </c>
      <c r="Q210" s="9" t="s">
        <v>53</v>
      </c>
      <c r="R210" s="9" t="s">
        <v>54</v>
      </c>
      <c r="S210" s="9" t="s">
        <v>55</v>
      </c>
      <c r="T210" s="9" t="s">
        <v>56</v>
      </c>
      <c r="U210" s="9" t="s">
        <v>57</v>
      </c>
      <c r="V210" s="9" t="s">
        <v>58</v>
      </c>
      <c r="W210" s="73" t="s">
        <v>247</v>
      </c>
      <c r="X210" s="9" t="s">
        <v>53</v>
      </c>
      <c r="Y210" s="9" t="s">
        <v>54</v>
      </c>
      <c r="Z210" s="9" t="s">
        <v>55</v>
      </c>
      <c r="AA210" s="9" t="s">
        <v>56</v>
      </c>
      <c r="AB210" s="9" t="s">
        <v>57</v>
      </c>
      <c r="AC210" s="9" t="s">
        <v>58</v>
      </c>
      <c r="AD210" s="9" t="s">
        <v>76</v>
      </c>
    </row>
    <row r="211" spans="1:30" x14ac:dyDescent="0.25">
      <c r="A211" s="86" t="s">
        <v>254</v>
      </c>
      <c r="B211" s="14">
        <f>B8</f>
        <v>1</v>
      </c>
      <c r="C211" s="14">
        <f t="shared" ref="C211:F230" si="68">MAX(1,ROUND(C8*INDEX($O$1:$U$4,MATCH($A211,$O$1:$O$4,0),MATCH(C$210,$O$1:$U$1,0)),0))</f>
        <v>8</v>
      </c>
      <c r="D211" s="14">
        <f t="shared" si="68"/>
        <v>3</v>
      </c>
      <c r="E211" s="14">
        <f t="shared" si="68"/>
        <v>1</v>
      </c>
      <c r="F211" s="14">
        <f t="shared" si="68"/>
        <v>150</v>
      </c>
      <c r="G211" s="74">
        <f>SUMPRODUCT($C$6:$F$6,C211:F211)</f>
        <v>98</v>
      </c>
      <c r="H211" s="14">
        <f t="shared" ref="H211:H242" si="69">MAX(1,ROUND(H8*INDEX($O$1:$U$4,MATCH($A211,$O$1:$O$4,0),MATCH(H$210,$O$1:$U$1,0)),0))</f>
        <v>300</v>
      </c>
      <c r="I211" s="14"/>
      <c r="J211" s="14">
        <f t="shared" ref="J211:K230" si="70">MAX(1,ROUND(J8*INDEX($O$1:$U$4,MATCH($A211,$O$1:$O$4,0),MATCH(J$210,$O$1:$U$1,0)),0))</f>
        <v>600</v>
      </c>
      <c r="K211" s="14">
        <f t="shared" si="70"/>
        <v>6</v>
      </c>
      <c r="L211" s="14">
        <v>1</v>
      </c>
      <c r="M211" s="14">
        <f t="shared" ref="M211:P226" si="71">MAX(1,ROUND(M8*INDEX($O$1:$U$4,MATCH($A211,$O$1:$O$4,0),MATCH(M$210,$O$1:$U$1,0)),0))</f>
        <v>18</v>
      </c>
      <c r="N211" s="14">
        <f t="shared" si="71"/>
        <v>12</v>
      </c>
      <c r="O211" s="14">
        <f t="shared" si="71"/>
        <v>1</v>
      </c>
      <c r="P211" s="14">
        <f t="shared" si="71"/>
        <v>150</v>
      </c>
      <c r="Q211" s="38">
        <f>P211</f>
        <v>150</v>
      </c>
      <c r="R211" s="38">
        <f>H211+J211</f>
        <v>900</v>
      </c>
      <c r="S211" s="38">
        <f>M211</f>
        <v>18</v>
      </c>
      <c r="T211" s="38">
        <f>N211</f>
        <v>12</v>
      </c>
      <c r="U211" s="38">
        <f>O211</f>
        <v>1</v>
      </c>
      <c r="V211" s="38">
        <f>K211</f>
        <v>6</v>
      </c>
      <c r="W211" s="38">
        <f>SUMPRODUCT($Q$6:$V$6,Q211:V211)</f>
        <v>489</v>
      </c>
      <c r="X211" s="38">
        <f>SUM(Q$211:Q211)</f>
        <v>150</v>
      </c>
      <c r="Y211" s="38">
        <f>SUM(R$211:R211)</f>
        <v>900</v>
      </c>
      <c r="Z211" s="38">
        <f>SUM(S$211:S211)</f>
        <v>18</v>
      </c>
      <c r="AA211" s="38">
        <f>SUM(T$211:T211)</f>
        <v>12</v>
      </c>
      <c r="AB211" s="38">
        <f>SUM(U$211:U211)</f>
        <v>1</v>
      </c>
      <c r="AC211" s="38">
        <f>SUM(V$211:V211)</f>
        <v>6</v>
      </c>
      <c r="AD211" s="38">
        <f>SUMPRODUCT($X$6:$AC$6,X211:AC211)</f>
        <v>489</v>
      </c>
    </row>
    <row r="212" spans="1:30" x14ac:dyDescent="0.25">
      <c r="A212" s="86" t="s">
        <v>254</v>
      </c>
      <c r="B212" s="14">
        <f t="shared" ref="B212:B275" si="72">B9</f>
        <v>2</v>
      </c>
      <c r="C212" s="14">
        <f t="shared" si="68"/>
        <v>8</v>
      </c>
      <c r="D212" s="14">
        <f t="shared" si="68"/>
        <v>3</v>
      </c>
      <c r="E212" s="14">
        <f t="shared" si="68"/>
        <v>1</v>
      </c>
      <c r="F212" s="14">
        <f t="shared" si="68"/>
        <v>150</v>
      </c>
      <c r="G212" s="74">
        <f t="shared" ref="G212:G275" si="73">SUMPRODUCT($C$6:$F$6,C212:F212)</f>
        <v>98</v>
      </c>
      <c r="H212" s="14">
        <f t="shared" si="69"/>
        <v>450</v>
      </c>
      <c r="I212" s="14"/>
      <c r="J212" s="14">
        <f t="shared" si="70"/>
        <v>900</v>
      </c>
      <c r="K212" s="14">
        <f t="shared" si="70"/>
        <v>6</v>
      </c>
      <c r="L212" s="14">
        <v>1</v>
      </c>
      <c r="M212" s="14">
        <f t="shared" si="71"/>
        <v>21</v>
      </c>
      <c r="N212" s="14">
        <f t="shared" si="71"/>
        <v>12</v>
      </c>
      <c r="O212" s="14">
        <f t="shared" si="71"/>
        <v>1</v>
      </c>
      <c r="P212" s="14">
        <f t="shared" si="71"/>
        <v>150</v>
      </c>
      <c r="Q212" s="38">
        <f t="shared" ref="Q212:Q229" si="74">P212</f>
        <v>150</v>
      </c>
      <c r="R212" s="38">
        <f t="shared" ref="R212:R275" si="75">H212+J212</f>
        <v>1350</v>
      </c>
      <c r="S212" s="38">
        <f t="shared" ref="S212:S275" si="76">M212</f>
        <v>21</v>
      </c>
      <c r="T212" s="38">
        <f t="shared" ref="T212:T275" si="77">N212</f>
        <v>12</v>
      </c>
      <c r="U212" s="38">
        <f t="shared" ref="U212:U260" si="78">O212</f>
        <v>1</v>
      </c>
      <c r="V212" s="38">
        <f t="shared" ref="V212:V229" si="79">K212</f>
        <v>6</v>
      </c>
      <c r="W212" s="38">
        <f t="shared" ref="W212:W275" si="80">SUMPRODUCT($Q$6:$V$6,Q212:V212)</f>
        <v>582</v>
      </c>
      <c r="X212" s="38">
        <f>SUM(Q$211:Q212)</f>
        <v>300</v>
      </c>
      <c r="Y212" s="38">
        <f>SUM(R$211:R212)</f>
        <v>2250</v>
      </c>
      <c r="Z212" s="38">
        <f>SUM(S$211:S212)</f>
        <v>39</v>
      </c>
      <c r="AA212" s="38">
        <f>SUM(T$211:T212)</f>
        <v>24</v>
      </c>
      <c r="AB212" s="38">
        <f>SUM(U$211:U212)</f>
        <v>2</v>
      </c>
      <c r="AC212" s="38">
        <f>SUM(V$211:V212)</f>
        <v>12</v>
      </c>
      <c r="AD212" s="38">
        <f t="shared" ref="AD212:AD275" si="81">SUMPRODUCT($X$6:$AC$6,X212:AC212)</f>
        <v>1071</v>
      </c>
    </row>
    <row r="213" spans="1:30" x14ac:dyDescent="0.25">
      <c r="A213" s="86" t="s">
        <v>254</v>
      </c>
      <c r="B213" s="14">
        <f t="shared" si="72"/>
        <v>3</v>
      </c>
      <c r="C213" s="14">
        <f t="shared" si="68"/>
        <v>8</v>
      </c>
      <c r="D213" s="14">
        <f t="shared" si="68"/>
        <v>3</v>
      </c>
      <c r="E213" s="14">
        <f t="shared" si="68"/>
        <v>1</v>
      </c>
      <c r="F213" s="14">
        <f t="shared" si="68"/>
        <v>165</v>
      </c>
      <c r="G213" s="74">
        <f t="shared" si="73"/>
        <v>101</v>
      </c>
      <c r="H213" s="14">
        <f t="shared" si="69"/>
        <v>600</v>
      </c>
      <c r="I213" s="14"/>
      <c r="J213" s="14">
        <f t="shared" si="70"/>
        <v>1200</v>
      </c>
      <c r="K213" s="14">
        <f t="shared" si="70"/>
        <v>6</v>
      </c>
      <c r="L213" s="14">
        <v>1</v>
      </c>
      <c r="M213" s="14">
        <f t="shared" si="71"/>
        <v>24</v>
      </c>
      <c r="N213" s="14">
        <f t="shared" si="71"/>
        <v>12</v>
      </c>
      <c r="O213" s="14">
        <f t="shared" si="71"/>
        <v>1</v>
      </c>
      <c r="P213" s="14">
        <f t="shared" si="71"/>
        <v>150</v>
      </c>
      <c r="Q213" s="38">
        <f t="shared" si="74"/>
        <v>150</v>
      </c>
      <c r="R213" s="38">
        <f t="shared" si="75"/>
        <v>1800</v>
      </c>
      <c r="S213" s="38">
        <f t="shared" si="76"/>
        <v>24</v>
      </c>
      <c r="T213" s="38">
        <f t="shared" si="77"/>
        <v>12</v>
      </c>
      <c r="U213" s="38">
        <f t="shared" si="78"/>
        <v>1</v>
      </c>
      <c r="V213" s="38">
        <f t="shared" si="79"/>
        <v>6</v>
      </c>
      <c r="W213" s="38">
        <f t="shared" si="80"/>
        <v>675</v>
      </c>
      <c r="X213" s="38">
        <f>SUM(Q$211:Q213)</f>
        <v>450</v>
      </c>
      <c r="Y213" s="38">
        <f>SUM(R$211:R213)</f>
        <v>4050</v>
      </c>
      <c r="Z213" s="38">
        <f>SUM(S$211:S213)</f>
        <v>63</v>
      </c>
      <c r="AA213" s="38">
        <f>SUM(T$211:T213)</f>
        <v>36</v>
      </c>
      <c r="AB213" s="38">
        <f>SUM(U$211:U213)</f>
        <v>3</v>
      </c>
      <c r="AC213" s="38">
        <f>SUM(V$211:V213)</f>
        <v>18</v>
      </c>
      <c r="AD213" s="38">
        <f t="shared" si="81"/>
        <v>1746</v>
      </c>
    </row>
    <row r="214" spans="1:30" x14ac:dyDescent="0.25">
      <c r="A214" s="86" t="s">
        <v>254</v>
      </c>
      <c r="B214" s="14">
        <f t="shared" si="72"/>
        <v>4</v>
      </c>
      <c r="C214" s="14">
        <f t="shared" si="68"/>
        <v>8</v>
      </c>
      <c r="D214" s="14">
        <f t="shared" si="68"/>
        <v>3</v>
      </c>
      <c r="E214" s="14">
        <f t="shared" si="68"/>
        <v>2</v>
      </c>
      <c r="F214" s="14">
        <f t="shared" si="68"/>
        <v>165</v>
      </c>
      <c r="G214" s="74">
        <f t="shared" si="73"/>
        <v>146</v>
      </c>
      <c r="H214" s="14">
        <f t="shared" si="69"/>
        <v>750</v>
      </c>
      <c r="I214" s="14"/>
      <c r="J214" s="14">
        <f t="shared" si="70"/>
        <v>1500</v>
      </c>
      <c r="K214" s="14">
        <f t="shared" si="70"/>
        <v>6</v>
      </c>
      <c r="L214" s="14">
        <v>1</v>
      </c>
      <c r="M214" s="14">
        <f t="shared" si="71"/>
        <v>27</v>
      </c>
      <c r="N214" s="14">
        <f t="shared" si="71"/>
        <v>12</v>
      </c>
      <c r="O214" s="14">
        <f t="shared" si="71"/>
        <v>2</v>
      </c>
      <c r="P214" s="14">
        <f t="shared" si="71"/>
        <v>150</v>
      </c>
      <c r="Q214" s="38">
        <f t="shared" si="74"/>
        <v>150</v>
      </c>
      <c r="R214" s="38">
        <f t="shared" si="75"/>
        <v>2250</v>
      </c>
      <c r="S214" s="38">
        <f t="shared" si="76"/>
        <v>27</v>
      </c>
      <c r="T214" s="38">
        <f t="shared" si="77"/>
        <v>12</v>
      </c>
      <c r="U214" s="38">
        <f t="shared" si="78"/>
        <v>2</v>
      </c>
      <c r="V214" s="38">
        <f t="shared" si="79"/>
        <v>6</v>
      </c>
      <c r="W214" s="38">
        <f t="shared" si="80"/>
        <v>813</v>
      </c>
      <c r="X214" s="38">
        <f>SUM(Q$211:Q214)</f>
        <v>600</v>
      </c>
      <c r="Y214" s="38">
        <f>SUM(R$211:R214)</f>
        <v>6300</v>
      </c>
      <c r="Z214" s="38">
        <f>SUM(S$211:S214)</f>
        <v>90</v>
      </c>
      <c r="AA214" s="38">
        <f>SUM(T$211:T214)</f>
        <v>48</v>
      </c>
      <c r="AB214" s="38">
        <f>SUM(U$211:U214)</f>
        <v>5</v>
      </c>
      <c r="AC214" s="38">
        <f>SUM(V$211:V214)</f>
        <v>24</v>
      </c>
      <c r="AD214" s="38">
        <f t="shared" si="81"/>
        <v>2559</v>
      </c>
    </row>
    <row r="215" spans="1:30" x14ac:dyDescent="0.25">
      <c r="A215" s="86" t="s">
        <v>254</v>
      </c>
      <c r="B215" s="14">
        <f t="shared" si="72"/>
        <v>5</v>
      </c>
      <c r="C215" s="14">
        <f t="shared" si="68"/>
        <v>9</v>
      </c>
      <c r="D215" s="14">
        <f t="shared" si="68"/>
        <v>5</v>
      </c>
      <c r="E215" s="14">
        <f t="shared" si="68"/>
        <v>2</v>
      </c>
      <c r="F215" s="14">
        <f t="shared" si="68"/>
        <v>180</v>
      </c>
      <c r="G215" s="74">
        <f t="shared" si="73"/>
        <v>160</v>
      </c>
      <c r="H215" s="14">
        <f t="shared" si="69"/>
        <v>900</v>
      </c>
      <c r="I215" s="14"/>
      <c r="J215" s="14">
        <f t="shared" si="70"/>
        <v>1800</v>
      </c>
      <c r="K215" s="14">
        <f t="shared" si="70"/>
        <v>6</v>
      </c>
      <c r="L215" s="14">
        <v>1</v>
      </c>
      <c r="M215" s="14">
        <f t="shared" si="71"/>
        <v>30</v>
      </c>
      <c r="N215" s="14">
        <f t="shared" si="71"/>
        <v>14</v>
      </c>
      <c r="O215" s="14">
        <f t="shared" si="71"/>
        <v>2</v>
      </c>
      <c r="P215" s="14">
        <f t="shared" si="71"/>
        <v>150</v>
      </c>
      <c r="Q215" s="38">
        <f t="shared" si="74"/>
        <v>150</v>
      </c>
      <c r="R215" s="38">
        <f t="shared" si="75"/>
        <v>2700</v>
      </c>
      <c r="S215" s="38">
        <f t="shared" si="76"/>
        <v>30</v>
      </c>
      <c r="T215" s="38">
        <f t="shared" si="77"/>
        <v>14</v>
      </c>
      <c r="U215" s="38">
        <f t="shared" si="78"/>
        <v>2</v>
      </c>
      <c r="V215" s="38">
        <f t="shared" si="79"/>
        <v>6</v>
      </c>
      <c r="W215" s="38">
        <f t="shared" si="80"/>
        <v>916</v>
      </c>
      <c r="X215" s="38">
        <f>SUM(Q$211:Q215)</f>
        <v>750</v>
      </c>
      <c r="Y215" s="38">
        <f>SUM(R$211:R215)</f>
        <v>9000</v>
      </c>
      <c r="Z215" s="38">
        <f>SUM(S$211:S215)</f>
        <v>120</v>
      </c>
      <c r="AA215" s="38">
        <f>SUM(T$211:T215)</f>
        <v>62</v>
      </c>
      <c r="AB215" s="38">
        <f>SUM(U$211:U215)</f>
        <v>7</v>
      </c>
      <c r="AC215" s="38">
        <f>SUM(V$211:V215)</f>
        <v>30</v>
      </c>
      <c r="AD215" s="38">
        <f t="shared" si="81"/>
        <v>3475</v>
      </c>
    </row>
    <row r="216" spans="1:30" x14ac:dyDescent="0.25">
      <c r="A216" s="86" t="s">
        <v>254</v>
      </c>
      <c r="B216" s="14">
        <f t="shared" si="72"/>
        <v>6</v>
      </c>
      <c r="C216" s="14">
        <f t="shared" si="68"/>
        <v>9</v>
      </c>
      <c r="D216" s="14">
        <f t="shared" si="68"/>
        <v>5</v>
      </c>
      <c r="E216" s="14">
        <f t="shared" si="68"/>
        <v>2</v>
      </c>
      <c r="F216" s="14">
        <f t="shared" si="68"/>
        <v>180</v>
      </c>
      <c r="G216" s="74">
        <f t="shared" si="73"/>
        <v>160</v>
      </c>
      <c r="H216" s="14">
        <f t="shared" si="69"/>
        <v>1050</v>
      </c>
      <c r="I216" s="14"/>
      <c r="J216" s="14">
        <f t="shared" si="70"/>
        <v>2100</v>
      </c>
      <c r="K216" s="14">
        <f t="shared" si="70"/>
        <v>6</v>
      </c>
      <c r="L216" s="14">
        <v>1</v>
      </c>
      <c r="M216" s="14">
        <f t="shared" si="71"/>
        <v>30</v>
      </c>
      <c r="N216" s="14">
        <f t="shared" si="71"/>
        <v>15</v>
      </c>
      <c r="O216" s="14">
        <f t="shared" si="71"/>
        <v>3</v>
      </c>
      <c r="P216" s="14">
        <f t="shared" si="71"/>
        <v>150</v>
      </c>
      <c r="Q216" s="38">
        <f t="shared" si="74"/>
        <v>150</v>
      </c>
      <c r="R216" s="38">
        <f t="shared" si="75"/>
        <v>3150</v>
      </c>
      <c r="S216" s="38">
        <f t="shared" si="76"/>
        <v>30</v>
      </c>
      <c r="T216" s="38">
        <f t="shared" si="77"/>
        <v>15</v>
      </c>
      <c r="U216" s="38">
        <f t="shared" si="78"/>
        <v>3</v>
      </c>
      <c r="V216" s="38">
        <f t="shared" si="79"/>
        <v>6</v>
      </c>
      <c r="W216" s="38">
        <f t="shared" si="80"/>
        <v>1056</v>
      </c>
      <c r="X216" s="38">
        <f>SUM(Q$211:Q216)</f>
        <v>900</v>
      </c>
      <c r="Y216" s="38">
        <f>SUM(R$211:R216)</f>
        <v>12150</v>
      </c>
      <c r="Z216" s="38">
        <f>SUM(S$211:S216)</f>
        <v>150</v>
      </c>
      <c r="AA216" s="38">
        <f>SUM(T$211:T216)</f>
        <v>77</v>
      </c>
      <c r="AB216" s="38">
        <f>SUM(U$211:U216)</f>
        <v>10</v>
      </c>
      <c r="AC216" s="38">
        <f>SUM(V$211:V216)</f>
        <v>36</v>
      </c>
      <c r="AD216" s="38">
        <f t="shared" si="81"/>
        <v>4531</v>
      </c>
    </row>
    <row r="217" spans="1:30" x14ac:dyDescent="0.25">
      <c r="A217" s="86" t="s">
        <v>254</v>
      </c>
      <c r="B217" s="14">
        <f t="shared" si="72"/>
        <v>7</v>
      </c>
      <c r="C217" s="14">
        <f t="shared" si="68"/>
        <v>11</v>
      </c>
      <c r="D217" s="14">
        <f t="shared" si="68"/>
        <v>5</v>
      </c>
      <c r="E217" s="14">
        <f t="shared" si="68"/>
        <v>2</v>
      </c>
      <c r="F217" s="14">
        <f t="shared" si="68"/>
        <v>195</v>
      </c>
      <c r="G217" s="74">
        <f t="shared" si="73"/>
        <v>165</v>
      </c>
      <c r="H217" s="14">
        <f t="shared" si="69"/>
        <v>1200</v>
      </c>
      <c r="I217" s="14"/>
      <c r="J217" s="14">
        <f t="shared" si="70"/>
        <v>2400</v>
      </c>
      <c r="K217" s="14">
        <f t="shared" si="70"/>
        <v>6</v>
      </c>
      <c r="L217" s="14">
        <v>1</v>
      </c>
      <c r="M217" s="14">
        <f t="shared" si="71"/>
        <v>33</v>
      </c>
      <c r="N217" s="14">
        <f t="shared" si="71"/>
        <v>17</v>
      </c>
      <c r="O217" s="14">
        <f t="shared" si="71"/>
        <v>3</v>
      </c>
      <c r="P217" s="14">
        <f t="shared" si="71"/>
        <v>150</v>
      </c>
      <c r="Q217" s="38">
        <f t="shared" si="74"/>
        <v>150</v>
      </c>
      <c r="R217" s="38">
        <f t="shared" si="75"/>
        <v>3600</v>
      </c>
      <c r="S217" s="38">
        <f t="shared" si="76"/>
        <v>33</v>
      </c>
      <c r="T217" s="38">
        <f t="shared" si="77"/>
        <v>17</v>
      </c>
      <c r="U217" s="38">
        <f t="shared" si="78"/>
        <v>3</v>
      </c>
      <c r="V217" s="38">
        <f t="shared" si="79"/>
        <v>6</v>
      </c>
      <c r="W217" s="38">
        <f t="shared" si="80"/>
        <v>1159</v>
      </c>
      <c r="X217" s="38">
        <f>SUM(Q$211:Q217)</f>
        <v>1050</v>
      </c>
      <c r="Y217" s="38">
        <f>SUM(R$211:R217)</f>
        <v>15750</v>
      </c>
      <c r="Z217" s="38">
        <f>SUM(S$211:S217)</f>
        <v>183</v>
      </c>
      <c r="AA217" s="38">
        <f>SUM(T$211:T217)</f>
        <v>94</v>
      </c>
      <c r="AB217" s="38">
        <f>SUM(U$211:U217)</f>
        <v>13</v>
      </c>
      <c r="AC217" s="38">
        <f>SUM(V$211:V217)</f>
        <v>42</v>
      </c>
      <c r="AD217" s="38">
        <f t="shared" si="81"/>
        <v>5690</v>
      </c>
    </row>
    <row r="218" spans="1:30" x14ac:dyDescent="0.25">
      <c r="A218" s="86" t="s">
        <v>254</v>
      </c>
      <c r="B218" s="14">
        <f t="shared" si="72"/>
        <v>8</v>
      </c>
      <c r="C218" s="14">
        <f t="shared" si="68"/>
        <v>11</v>
      </c>
      <c r="D218" s="14">
        <f t="shared" si="68"/>
        <v>5</v>
      </c>
      <c r="E218" s="14">
        <f t="shared" si="68"/>
        <v>2</v>
      </c>
      <c r="F218" s="14">
        <f t="shared" si="68"/>
        <v>195</v>
      </c>
      <c r="G218" s="74">
        <f t="shared" si="73"/>
        <v>165</v>
      </c>
      <c r="H218" s="14">
        <f t="shared" si="69"/>
        <v>1350</v>
      </c>
      <c r="I218" s="14"/>
      <c r="J218" s="14">
        <f t="shared" si="70"/>
        <v>2700</v>
      </c>
      <c r="K218" s="14">
        <f t="shared" si="70"/>
        <v>6</v>
      </c>
      <c r="L218" s="14">
        <v>1</v>
      </c>
      <c r="M218" s="14">
        <f t="shared" si="71"/>
        <v>36</v>
      </c>
      <c r="N218" s="14">
        <f t="shared" si="71"/>
        <v>18</v>
      </c>
      <c r="O218" s="14">
        <f t="shared" si="71"/>
        <v>5</v>
      </c>
      <c r="P218" s="14">
        <f t="shared" si="71"/>
        <v>150</v>
      </c>
      <c r="Q218" s="38">
        <f t="shared" si="74"/>
        <v>150</v>
      </c>
      <c r="R218" s="38">
        <f t="shared" si="75"/>
        <v>4050</v>
      </c>
      <c r="S218" s="38">
        <f t="shared" si="76"/>
        <v>36</v>
      </c>
      <c r="T218" s="38">
        <f t="shared" si="77"/>
        <v>18</v>
      </c>
      <c r="U218" s="38">
        <f t="shared" si="78"/>
        <v>5</v>
      </c>
      <c r="V218" s="38">
        <f t="shared" si="79"/>
        <v>6</v>
      </c>
      <c r="W218" s="38">
        <f t="shared" si="80"/>
        <v>1347</v>
      </c>
      <c r="X218" s="38">
        <f>SUM(Q$211:Q218)</f>
        <v>1200</v>
      </c>
      <c r="Y218" s="38">
        <f>SUM(R$211:R218)</f>
        <v>19800</v>
      </c>
      <c r="Z218" s="38">
        <f>SUM(S$211:S218)</f>
        <v>219</v>
      </c>
      <c r="AA218" s="38">
        <f>SUM(T$211:T218)</f>
        <v>112</v>
      </c>
      <c r="AB218" s="38">
        <f>SUM(U$211:U218)</f>
        <v>18</v>
      </c>
      <c r="AC218" s="38">
        <f>SUM(V$211:V218)</f>
        <v>48</v>
      </c>
      <c r="AD218" s="38">
        <f t="shared" si="81"/>
        <v>7037</v>
      </c>
    </row>
    <row r="219" spans="1:30" x14ac:dyDescent="0.25">
      <c r="A219" s="86" t="s">
        <v>254</v>
      </c>
      <c r="B219" s="14">
        <f t="shared" si="72"/>
        <v>9</v>
      </c>
      <c r="C219" s="14">
        <f t="shared" si="68"/>
        <v>12</v>
      </c>
      <c r="D219" s="14">
        <f t="shared" si="68"/>
        <v>6</v>
      </c>
      <c r="E219" s="14">
        <f t="shared" si="68"/>
        <v>2</v>
      </c>
      <c r="F219" s="14">
        <f t="shared" si="68"/>
        <v>225</v>
      </c>
      <c r="G219" s="74">
        <f t="shared" si="73"/>
        <v>177</v>
      </c>
      <c r="H219" s="14">
        <f t="shared" si="69"/>
        <v>1650</v>
      </c>
      <c r="I219" s="14"/>
      <c r="J219" s="14">
        <f t="shared" si="70"/>
        <v>3000</v>
      </c>
      <c r="K219" s="14">
        <f t="shared" si="70"/>
        <v>6</v>
      </c>
      <c r="L219" s="14">
        <v>1</v>
      </c>
      <c r="M219" s="14">
        <f t="shared" si="71"/>
        <v>42</v>
      </c>
      <c r="N219" s="14">
        <f t="shared" si="71"/>
        <v>21</v>
      </c>
      <c r="O219" s="14">
        <f t="shared" si="71"/>
        <v>6</v>
      </c>
      <c r="P219" s="14">
        <f t="shared" si="71"/>
        <v>150</v>
      </c>
      <c r="Q219" s="38">
        <f t="shared" si="74"/>
        <v>150</v>
      </c>
      <c r="R219" s="38">
        <f t="shared" si="75"/>
        <v>4650</v>
      </c>
      <c r="S219" s="38">
        <f t="shared" si="76"/>
        <v>42</v>
      </c>
      <c r="T219" s="38">
        <f t="shared" si="77"/>
        <v>21</v>
      </c>
      <c r="U219" s="38">
        <f t="shared" si="78"/>
        <v>6</v>
      </c>
      <c r="V219" s="38">
        <f t="shared" si="79"/>
        <v>6</v>
      </c>
      <c r="W219" s="38">
        <f t="shared" si="80"/>
        <v>1533</v>
      </c>
      <c r="X219" s="38">
        <f>SUM(Q$211:Q219)</f>
        <v>1350</v>
      </c>
      <c r="Y219" s="38">
        <f>SUM(R$211:R219)</f>
        <v>24450</v>
      </c>
      <c r="Z219" s="38">
        <f>SUM(S$211:S219)</f>
        <v>261</v>
      </c>
      <c r="AA219" s="38">
        <f>SUM(T$211:T219)</f>
        <v>133</v>
      </c>
      <c r="AB219" s="38">
        <f>SUM(U$211:U219)</f>
        <v>24</v>
      </c>
      <c r="AC219" s="38">
        <f>SUM(V$211:V219)</f>
        <v>54</v>
      </c>
      <c r="AD219" s="38">
        <f t="shared" si="81"/>
        <v>8570</v>
      </c>
    </row>
    <row r="220" spans="1:30" x14ac:dyDescent="0.25">
      <c r="A220" s="86" t="s">
        <v>254</v>
      </c>
      <c r="B220" s="14">
        <f t="shared" si="72"/>
        <v>10</v>
      </c>
      <c r="C220" s="14">
        <f t="shared" si="68"/>
        <v>12</v>
      </c>
      <c r="D220" s="14">
        <f t="shared" si="68"/>
        <v>6</v>
      </c>
      <c r="E220" s="14">
        <f t="shared" si="68"/>
        <v>2</v>
      </c>
      <c r="F220" s="14">
        <f t="shared" si="68"/>
        <v>225</v>
      </c>
      <c r="G220" s="74">
        <f t="shared" si="73"/>
        <v>177</v>
      </c>
      <c r="H220" s="14">
        <f t="shared" si="69"/>
        <v>1950</v>
      </c>
      <c r="I220" s="14"/>
      <c r="J220" s="14">
        <f t="shared" si="70"/>
        <v>3600</v>
      </c>
      <c r="K220" s="14">
        <f t="shared" si="70"/>
        <v>6</v>
      </c>
      <c r="L220" s="14">
        <v>1</v>
      </c>
      <c r="M220" s="14">
        <f t="shared" si="71"/>
        <v>48</v>
      </c>
      <c r="N220" s="14">
        <f t="shared" si="71"/>
        <v>24</v>
      </c>
      <c r="O220" s="14">
        <f t="shared" si="71"/>
        <v>8</v>
      </c>
      <c r="P220" s="14">
        <f t="shared" si="71"/>
        <v>150</v>
      </c>
      <c r="Q220" s="38">
        <f t="shared" si="74"/>
        <v>150</v>
      </c>
      <c r="R220" s="38">
        <f t="shared" si="75"/>
        <v>5550</v>
      </c>
      <c r="S220" s="38">
        <f t="shared" si="76"/>
        <v>48</v>
      </c>
      <c r="T220" s="38">
        <f t="shared" si="77"/>
        <v>24</v>
      </c>
      <c r="U220" s="38">
        <f t="shared" si="78"/>
        <v>8</v>
      </c>
      <c r="V220" s="38">
        <f t="shared" si="79"/>
        <v>6</v>
      </c>
      <c r="W220" s="38">
        <f t="shared" si="80"/>
        <v>1824</v>
      </c>
      <c r="X220" s="38">
        <f>SUM(Q$211:Q220)</f>
        <v>1500</v>
      </c>
      <c r="Y220" s="38">
        <f>SUM(R$211:R220)</f>
        <v>30000</v>
      </c>
      <c r="Z220" s="38">
        <f>SUM(S$211:S220)</f>
        <v>309</v>
      </c>
      <c r="AA220" s="38">
        <f>SUM(T$211:T220)</f>
        <v>157</v>
      </c>
      <c r="AB220" s="38">
        <f>SUM(U$211:U220)</f>
        <v>32</v>
      </c>
      <c r="AC220" s="38">
        <f>SUM(V$211:V220)</f>
        <v>60</v>
      </c>
      <c r="AD220" s="38">
        <f t="shared" si="81"/>
        <v>10394</v>
      </c>
    </row>
    <row r="221" spans="1:30" x14ac:dyDescent="0.25">
      <c r="A221" s="86" t="s">
        <v>254</v>
      </c>
      <c r="B221" s="14">
        <f t="shared" si="72"/>
        <v>11</v>
      </c>
      <c r="C221" s="14">
        <f t="shared" si="68"/>
        <v>14</v>
      </c>
      <c r="D221" s="14">
        <f t="shared" si="68"/>
        <v>6</v>
      </c>
      <c r="E221" s="14">
        <f t="shared" si="68"/>
        <v>2</v>
      </c>
      <c r="F221" s="14">
        <f t="shared" si="68"/>
        <v>255</v>
      </c>
      <c r="G221" s="74">
        <f t="shared" si="73"/>
        <v>185</v>
      </c>
      <c r="H221" s="14">
        <f t="shared" si="69"/>
        <v>2250</v>
      </c>
      <c r="I221" s="14"/>
      <c r="J221" s="14">
        <f t="shared" si="70"/>
        <v>4200</v>
      </c>
      <c r="K221" s="14">
        <f t="shared" si="70"/>
        <v>6</v>
      </c>
      <c r="L221" s="14">
        <v>1</v>
      </c>
      <c r="M221" s="14">
        <f t="shared" si="71"/>
        <v>54</v>
      </c>
      <c r="N221" s="14">
        <f t="shared" si="71"/>
        <v>27</v>
      </c>
      <c r="O221" s="14">
        <f t="shared" si="71"/>
        <v>9</v>
      </c>
      <c r="P221" s="14">
        <f t="shared" si="71"/>
        <v>225</v>
      </c>
      <c r="Q221" s="38">
        <f t="shared" si="74"/>
        <v>225</v>
      </c>
      <c r="R221" s="38">
        <f t="shared" si="75"/>
        <v>6450</v>
      </c>
      <c r="S221" s="38">
        <f t="shared" si="76"/>
        <v>54</v>
      </c>
      <c r="T221" s="38">
        <f t="shared" si="77"/>
        <v>27</v>
      </c>
      <c r="U221" s="38">
        <f t="shared" si="78"/>
        <v>9</v>
      </c>
      <c r="V221" s="38">
        <f t="shared" si="79"/>
        <v>6</v>
      </c>
      <c r="W221" s="38">
        <f t="shared" si="80"/>
        <v>2145</v>
      </c>
      <c r="X221" s="38">
        <f>SUM(Q$211:Q221)</f>
        <v>1725</v>
      </c>
      <c r="Y221" s="38">
        <f>SUM(R$211:R221)</f>
        <v>36450</v>
      </c>
      <c r="Z221" s="38">
        <f>SUM(S$211:S221)</f>
        <v>363</v>
      </c>
      <c r="AA221" s="38">
        <f>SUM(T$211:T221)</f>
        <v>184</v>
      </c>
      <c r="AB221" s="38">
        <f>SUM(U$211:U221)</f>
        <v>41</v>
      </c>
      <c r="AC221" s="38">
        <f>SUM(V$211:V221)</f>
        <v>66</v>
      </c>
      <c r="AD221" s="38">
        <f t="shared" si="81"/>
        <v>12539</v>
      </c>
    </row>
    <row r="222" spans="1:30" x14ac:dyDescent="0.25">
      <c r="A222" s="86" t="s">
        <v>254</v>
      </c>
      <c r="B222" s="14">
        <f t="shared" si="72"/>
        <v>12</v>
      </c>
      <c r="C222" s="14">
        <f t="shared" si="68"/>
        <v>14</v>
      </c>
      <c r="D222" s="14">
        <f t="shared" si="68"/>
        <v>6</v>
      </c>
      <c r="E222" s="14">
        <f t="shared" si="68"/>
        <v>2</v>
      </c>
      <c r="F222" s="14">
        <f t="shared" si="68"/>
        <v>255</v>
      </c>
      <c r="G222" s="74">
        <f t="shared" si="73"/>
        <v>185</v>
      </c>
      <c r="H222" s="14">
        <f t="shared" si="69"/>
        <v>2550</v>
      </c>
      <c r="I222" s="14"/>
      <c r="J222" s="14">
        <f t="shared" si="70"/>
        <v>4800</v>
      </c>
      <c r="K222" s="14">
        <f t="shared" si="70"/>
        <v>6</v>
      </c>
      <c r="L222" s="14">
        <v>1</v>
      </c>
      <c r="M222" s="14">
        <f t="shared" si="71"/>
        <v>60</v>
      </c>
      <c r="N222" s="14">
        <f t="shared" si="71"/>
        <v>30</v>
      </c>
      <c r="O222" s="14">
        <f t="shared" si="71"/>
        <v>11</v>
      </c>
      <c r="P222" s="14">
        <f t="shared" si="71"/>
        <v>225</v>
      </c>
      <c r="Q222" s="38">
        <f t="shared" si="74"/>
        <v>225</v>
      </c>
      <c r="R222" s="38">
        <f t="shared" si="75"/>
        <v>7350</v>
      </c>
      <c r="S222" s="38">
        <f t="shared" si="76"/>
        <v>60</v>
      </c>
      <c r="T222" s="38">
        <f t="shared" si="77"/>
        <v>30</v>
      </c>
      <c r="U222" s="38">
        <f t="shared" si="78"/>
        <v>11</v>
      </c>
      <c r="V222" s="38">
        <f t="shared" si="79"/>
        <v>6</v>
      </c>
      <c r="W222" s="38">
        <f t="shared" si="80"/>
        <v>2436</v>
      </c>
      <c r="X222" s="38">
        <f>SUM(Q$211:Q222)</f>
        <v>1950</v>
      </c>
      <c r="Y222" s="38">
        <f>SUM(R$211:R222)</f>
        <v>43800</v>
      </c>
      <c r="Z222" s="38">
        <f>SUM(S$211:S222)</f>
        <v>423</v>
      </c>
      <c r="AA222" s="38">
        <f>SUM(T$211:T222)</f>
        <v>214</v>
      </c>
      <c r="AB222" s="38">
        <f>SUM(U$211:U222)</f>
        <v>52</v>
      </c>
      <c r="AC222" s="38">
        <f>SUM(V$211:V222)</f>
        <v>72</v>
      </c>
      <c r="AD222" s="38">
        <f t="shared" si="81"/>
        <v>14975</v>
      </c>
    </row>
    <row r="223" spans="1:30" x14ac:dyDescent="0.25">
      <c r="A223" s="86" t="s">
        <v>254</v>
      </c>
      <c r="B223" s="14">
        <f t="shared" si="72"/>
        <v>13</v>
      </c>
      <c r="C223" s="14">
        <f t="shared" si="68"/>
        <v>15</v>
      </c>
      <c r="D223" s="14">
        <f t="shared" si="68"/>
        <v>8</v>
      </c>
      <c r="E223" s="14">
        <f t="shared" si="68"/>
        <v>2</v>
      </c>
      <c r="F223" s="14">
        <f t="shared" si="68"/>
        <v>285</v>
      </c>
      <c r="G223" s="74">
        <f t="shared" si="73"/>
        <v>202</v>
      </c>
      <c r="H223" s="14">
        <f t="shared" si="69"/>
        <v>2850</v>
      </c>
      <c r="I223" s="14"/>
      <c r="J223" s="14">
        <f t="shared" si="70"/>
        <v>5400</v>
      </c>
      <c r="K223" s="14">
        <f t="shared" si="70"/>
        <v>6</v>
      </c>
      <c r="L223" s="14">
        <v>1</v>
      </c>
      <c r="M223" s="14">
        <f t="shared" si="71"/>
        <v>66</v>
      </c>
      <c r="N223" s="14">
        <f t="shared" si="71"/>
        <v>33</v>
      </c>
      <c r="O223" s="14">
        <f t="shared" si="71"/>
        <v>12</v>
      </c>
      <c r="P223" s="14">
        <f t="shared" si="71"/>
        <v>225</v>
      </c>
      <c r="Q223" s="38">
        <f t="shared" si="74"/>
        <v>225</v>
      </c>
      <c r="R223" s="38">
        <f t="shared" si="75"/>
        <v>8250</v>
      </c>
      <c r="S223" s="38">
        <f t="shared" si="76"/>
        <v>66</v>
      </c>
      <c r="T223" s="38">
        <f t="shared" si="77"/>
        <v>33</v>
      </c>
      <c r="U223" s="38">
        <f t="shared" si="78"/>
        <v>12</v>
      </c>
      <c r="V223" s="38">
        <f t="shared" si="79"/>
        <v>6</v>
      </c>
      <c r="W223" s="38">
        <f t="shared" si="80"/>
        <v>2682</v>
      </c>
      <c r="X223" s="38">
        <f>SUM(Q$211:Q223)</f>
        <v>2175</v>
      </c>
      <c r="Y223" s="38">
        <f>SUM(R$211:R223)</f>
        <v>52050</v>
      </c>
      <c r="Z223" s="38">
        <f>SUM(S$211:S223)</f>
        <v>489</v>
      </c>
      <c r="AA223" s="38">
        <f>SUM(T$211:T223)</f>
        <v>247</v>
      </c>
      <c r="AB223" s="38">
        <f>SUM(U$211:U223)</f>
        <v>64</v>
      </c>
      <c r="AC223" s="38">
        <f>SUM(V$211:V223)</f>
        <v>78</v>
      </c>
      <c r="AD223" s="38">
        <f t="shared" si="81"/>
        <v>17657</v>
      </c>
    </row>
    <row r="224" spans="1:30" x14ac:dyDescent="0.25">
      <c r="A224" s="86" t="s">
        <v>254</v>
      </c>
      <c r="B224" s="14">
        <f t="shared" si="72"/>
        <v>14</v>
      </c>
      <c r="C224" s="14">
        <f t="shared" si="68"/>
        <v>15</v>
      </c>
      <c r="D224" s="14">
        <f t="shared" si="68"/>
        <v>8</v>
      </c>
      <c r="E224" s="14">
        <f t="shared" si="68"/>
        <v>2</v>
      </c>
      <c r="F224" s="14">
        <f t="shared" si="68"/>
        <v>285</v>
      </c>
      <c r="G224" s="74">
        <f t="shared" si="73"/>
        <v>202</v>
      </c>
      <c r="H224" s="14">
        <f t="shared" si="69"/>
        <v>3150</v>
      </c>
      <c r="I224" s="14"/>
      <c r="J224" s="14">
        <f t="shared" si="70"/>
        <v>6000</v>
      </c>
      <c r="K224" s="14">
        <f t="shared" si="70"/>
        <v>6</v>
      </c>
      <c r="L224" s="14">
        <v>1</v>
      </c>
      <c r="M224" s="14">
        <f t="shared" si="71"/>
        <v>72</v>
      </c>
      <c r="N224" s="14">
        <f t="shared" si="71"/>
        <v>36</v>
      </c>
      <c r="O224" s="14">
        <f t="shared" si="71"/>
        <v>14</v>
      </c>
      <c r="P224" s="14">
        <f t="shared" si="71"/>
        <v>225</v>
      </c>
      <c r="Q224" s="38">
        <f t="shared" si="74"/>
        <v>225</v>
      </c>
      <c r="R224" s="38">
        <f t="shared" si="75"/>
        <v>9150</v>
      </c>
      <c r="S224" s="38">
        <f t="shared" si="76"/>
        <v>72</v>
      </c>
      <c r="T224" s="38">
        <f t="shared" si="77"/>
        <v>36</v>
      </c>
      <c r="U224" s="38">
        <f t="shared" si="78"/>
        <v>14</v>
      </c>
      <c r="V224" s="38">
        <f t="shared" si="79"/>
        <v>6</v>
      </c>
      <c r="W224" s="38">
        <f t="shared" si="80"/>
        <v>2973</v>
      </c>
      <c r="X224" s="38">
        <f>SUM(Q$211:Q224)</f>
        <v>2400</v>
      </c>
      <c r="Y224" s="38">
        <f>SUM(R$211:R224)</f>
        <v>61200</v>
      </c>
      <c r="Z224" s="38">
        <f>SUM(S$211:S224)</f>
        <v>561</v>
      </c>
      <c r="AA224" s="38">
        <f>SUM(T$211:T224)</f>
        <v>283</v>
      </c>
      <c r="AB224" s="38">
        <f>SUM(U$211:U224)</f>
        <v>78</v>
      </c>
      <c r="AC224" s="38">
        <f>SUM(V$211:V224)</f>
        <v>84</v>
      </c>
      <c r="AD224" s="38">
        <f t="shared" si="81"/>
        <v>20630</v>
      </c>
    </row>
    <row r="225" spans="1:30" x14ac:dyDescent="0.25">
      <c r="A225" s="86" t="s">
        <v>254</v>
      </c>
      <c r="B225" s="14">
        <f t="shared" si="72"/>
        <v>15</v>
      </c>
      <c r="C225" s="14">
        <f t="shared" si="68"/>
        <v>17</v>
      </c>
      <c r="D225" s="14">
        <f t="shared" si="68"/>
        <v>8</v>
      </c>
      <c r="E225" s="14">
        <f t="shared" si="68"/>
        <v>2</v>
      </c>
      <c r="F225" s="14">
        <f t="shared" si="68"/>
        <v>315</v>
      </c>
      <c r="G225" s="74">
        <f t="shared" si="73"/>
        <v>210</v>
      </c>
      <c r="H225" s="14">
        <f t="shared" si="69"/>
        <v>3450</v>
      </c>
      <c r="I225" s="14"/>
      <c r="J225" s="14">
        <f t="shared" si="70"/>
        <v>6600</v>
      </c>
      <c r="K225" s="14">
        <f t="shared" si="70"/>
        <v>6</v>
      </c>
      <c r="L225" s="14">
        <v>1</v>
      </c>
      <c r="M225" s="14">
        <f t="shared" si="71"/>
        <v>78</v>
      </c>
      <c r="N225" s="14">
        <f t="shared" si="71"/>
        <v>39</v>
      </c>
      <c r="O225" s="14">
        <f t="shared" si="71"/>
        <v>15</v>
      </c>
      <c r="P225" s="14">
        <f t="shared" si="71"/>
        <v>225</v>
      </c>
      <c r="Q225" s="38">
        <f t="shared" si="74"/>
        <v>225</v>
      </c>
      <c r="R225" s="38">
        <f t="shared" si="75"/>
        <v>10050</v>
      </c>
      <c r="S225" s="38">
        <f t="shared" si="76"/>
        <v>78</v>
      </c>
      <c r="T225" s="38">
        <f t="shared" si="77"/>
        <v>39</v>
      </c>
      <c r="U225" s="38">
        <f t="shared" si="78"/>
        <v>15</v>
      </c>
      <c r="V225" s="38">
        <f t="shared" si="79"/>
        <v>6</v>
      </c>
      <c r="W225" s="38">
        <f t="shared" si="80"/>
        <v>3219</v>
      </c>
      <c r="X225" s="38">
        <f>SUM(Q$211:Q225)</f>
        <v>2625</v>
      </c>
      <c r="Y225" s="38">
        <f>SUM(R$211:R225)</f>
        <v>71250</v>
      </c>
      <c r="Z225" s="38">
        <f>SUM(S$211:S225)</f>
        <v>639</v>
      </c>
      <c r="AA225" s="38">
        <f>SUM(T$211:T225)</f>
        <v>322</v>
      </c>
      <c r="AB225" s="38">
        <f>SUM(U$211:U225)</f>
        <v>93</v>
      </c>
      <c r="AC225" s="38">
        <f>SUM(V$211:V225)</f>
        <v>90</v>
      </c>
      <c r="AD225" s="38">
        <f t="shared" si="81"/>
        <v>23849</v>
      </c>
    </row>
    <row r="226" spans="1:30" x14ac:dyDescent="0.25">
      <c r="A226" s="86" t="s">
        <v>254</v>
      </c>
      <c r="B226" s="14">
        <f t="shared" si="72"/>
        <v>16</v>
      </c>
      <c r="C226" s="14">
        <f t="shared" si="68"/>
        <v>17</v>
      </c>
      <c r="D226" s="14">
        <f t="shared" si="68"/>
        <v>8</v>
      </c>
      <c r="E226" s="14">
        <f t="shared" si="68"/>
        <v>2</v>
      </c>
      <c r="F226" s="14">
        <f t="shared" si="68"/>
        <v>315</v>
      </c>
      <c r="G226" s="74">
        <f t="shared" si="73"/>
        <v>210</v>
      </c>
      <c r="H226" s="14">
        <f t="shared" si="69"/>
        <v>3750</v>
      </c>
      <c r="I226" s="14"/>
      <c r="J226" s="14">
        <f t="shared" si="70"/>
        <v>7200</v>
      </c>
      <c r="K226" s="14">
        <f t="shared" si="70"/>
        <v>6</v>
      </c>
      <c r="L226" s="14">
        <v>1</v>
      </c>
      <c r="M226" s="14">
        <f t="shared" si="71"/>
        <v>84</v>
      </c>
      <c r="N226" s="14">
        <f t="shared" si="71"/>
        <v>42</v>
      </c>
      <c r="O226" s="14">
        <f t="shared" si="71"/>
        <v>17</v>
      </c>
      <c r="P226" s="14">
        <f t="shared" si="71"/>
        <v>225</v>
      </c>
      <c r="Q226" s="38">
        <f t="shared" si="74"/>
        <v>225</v>
      </c>
      <c r="R226" s="38">
        <f t="shared" si="75"/>
        <v>10950</v>
      </c>
      <c r="S226" s="38">
        <f t="shared" si="76"/>
        <v>84</v>
      </c>
      <c r="T226" s="38">
        <f t="shared" si="77"/>
        <v>42</v>
      </c>
      <c r="U226" s="38">
        <f t="shared" si="78"/>
        <v>17</v>
      </c>
      <c r="V226" s="38">
        <f t="shared" si="79"/>
        <v>6</v>
      </c>
      <c r="W226" s="38">
        <f t="shared" si="80"/>
        <v>3510</v>
      </c>
      <c r="X226" s="38">
        <f>SUM(Q$211:Q226)</f>
        <v>2850</v>
      </c>
      <c r="Y226" s="38">
        <f>SUM(R$211:R226)</f>
        <v>82200</v>
      </c>
      <c r="Z226" s="38">
        <f>SUM(S$211:S226)</f>
        <v>723</v>
      </c>
      <c r="AA226" s="38">
        <f>SUM(T$211:T226)</f>
        <v>364</v>
      </c>
      <c r="AB226" s="38">
        <f>SUM(U$211:U226)</f>
        <v>110</v>
      </c>
      <c r="AC226" s="38">
        <f>SUM(V$211:V226)</f>
        <v>96</v>
      </c>
      <c r="AD226" s="38">
        <f t="shared" si="81"/>
        <v>27359</v>
      </c>
    </row>
    <row r="227" spans="1:30" x14ac:dyDescent="0.25">
      <c r="A227" s="86" t="s">
        <v>254</v>
      </c>
      <c r="B227" s="14">
        <f t="shared" si="72"/>
        <v>17</v>
      </c>
      <c r="C227" s="14">
        <f t="shared" si="68"/>
        <v>18</v>
      </c>
      <c r="D227" s="14">
        <f t="shared" si="68"/>
        <v>9</v>
      </c>
      <c r="E227" s="14">
        <f t="shared" si="68"/>
        <v>3</v>
      </c>
      <c r="F227" s="14">
        <f t="shared" si="68"/>
        <v>345</v>
      </c>
      <c r="G227" s="74">
        <f t="shared" si="73"/>
        <v>267</v>
      </c>
      <c r="H227" s="14">
        <f t="shared" si="69"/>
        <v>4050</v>
      </c>
      <c r="I227" s="14"/>
      <c r="J227" s="14">
        <f t="shared" si="70"/>
        <v>7800</v>
      </c>
      <c r="K227" s="14">
        <f t="shared" si="70"/>
        <v>6</v>
      </c>
      <c r="L227" s="14">
        <v>1</v>
      </c>
      <c r="M227" s="14">
        <f t="shared" ref="M227:O246" si="82">MAX(1,ROUND(M24*INDEX($O$1:$U$4,MATCH($A227,$O$1:$O$4,0),MATCH(M$210,$O$1:$U$1,0)),0))</f>
        <v>90</v>
      </c>
      <c r="N227" s="14">
        <f t="shared" si="82"/>
        <v>45</v>
      </c>
      <c r="O227" s="14">
        <f t="shared" si="82"/>
        <v>18</v>
      </c>
      <c r="P227" s="14">
        <f t="shared" ref="P227" si="83">MAX(1,ROUND(P24*INDEX($O$1:$U$4,MATCH($A227,$O$1:$O$4,0),MATCH(P$210,$O$1:$U$1,0)),0))</f>
        <v>225</v>
      </c>
      <c r="Q227" s="38">
        <f t="shared" si="74"/>
        <v>225</v>
      </c>
      <c r="R227" s="38">
        <f t="shared" si="75"/>
        <v>11850</v>
      </c>
      <c r="S227" s="38">
        <f t="shared" si="76"/>
        <v>90</v>
      </c>
      <c r="T227" s="38">
        <f t="shared" si="77"/>
        <v>45</v>
      </c>
      <c r="U227" s="38">
        <f t="shared" si="78"/>
        <v>18</v>
      </c>
      <c r="V227" s="38">
        <f t="shared" si="79"/>
        <v>6</v>
      </c>
      <c r="W227" s="38">
        <f t="shared" si="80"/>
        <v>3756</v>
      </c>
      <c r="X227" s="38">
        <f>SUM(Q$211:Q227)</f>
        <v>3075</v>
      </c>
      <c r="Y227" s="38">
        <f>SUM(R$211:R227)</f>
        <v>94050</v>
      </c>
      <c r="Z227" s="38">
        <f>SUM(S$211:S227)</f>
        <v>813</v>
      </c>
      <c r="AA227" s="38">
        <f>SUM(T$211:T227)</f>
        <v>409</v>
      </c>
      <c r="AB227" s="38">
        <f>SUM(U$211:U227)</f>
        <v>128</v>
      </c>
      <c r="AC227" s="38">
        <f>SUM(V$211:V227)</f>
        <v>102</v>
      </c>
      <c r="AD227" s="38">
        <f t="shared" si="81"/>
        <v>31115</v>
      </c>
    </row>
    <row r="228" spans="1:30" x14ac:dyDescent="0.25">
      <c r="A228" s="86" t="s">
        <v>254</v>
      </c>
      <c r="B228" s="14">
        <f t="shared" si="72"/>
        <v>18</v>
      </c>
      <c r="C228" s="14">
        <f t="shared" si="68"/>
        <v>18</v>
      </c>
      <c r="D228" s="14">
        <f t="shared" si="68"/>
        <v>9</v>
      </c>
      <c r="E228" s="14">
        <f t="shared" si="68"/>
        <v>5</v>
      </c>
      <c r="F228" s="14">
        <f t="shared" si="68"/>
        <v>345</v>
      </c>
      <c r="G228" s="74">
        <f t="shared" si="73"/>
        <v>357</v>
      </c>
      <c r="H228" s="14">
        <f t="shared" si="69"/>
        <v>4350</v>
      </c>
      <c r="I228" s="14"/>
      <c r="J228" s="14">
        <f t="shared" si="70"/>
        <v>8400</v>
      </c>
      <c r="K228" s="14">
        <f t="shared" si="70"/>
        <v>6</v>
      </c>
      <c r="L228" s="14">
        <v>1</v>
      </c>
      <c r="M228" s="14">
        <f t="shared" si="82"/>
        <v>96</v>
      </c>
      <c r="N228" s="14">
        <f t="shared" si="82"/>
        <v>48</v>
      </c>
      <c r="O228" s="14">
        <f t="shared" si="82"/>
        <v>20</v>
      </c>
      <c r="P228" s="14">
        <f t="shared" ref="P228:P259" si="84">MAX(1,ROUND(P25*INDEX($O$1:$U$4,MATCH($A228,$O$1:$O$4,0),MATCH(P$210,$O$1:$U$1,0)),0))</f>
        <v>225</v>
      </c>
      <c r="Q228" s="38">
        <f t="shared" si="74"/>
        <v>225</v>
      </c>
      <c r="R228" s="38">
        <f t="shared" si="75"/>
        <v>12750</v>
      </c>
      <c r="S228" s="38">
        <f t="shared" si="76"/>
        <v>96</v>
      </c>
      <c r="T228" s="38">
        <f t="shared" si="77"/>
        <v>48</v>
      </c>
      <c r="U228" s="38">
        <f t="shared" si="78"/>
        <v>20</v>
      </c>
      <c r="V228" s="38">
        <f t="shared" si="79"/>
        <v>6</v>
      </c>
      <c r="W228" s="38">
        <f t="shared" si="80"/>
        <v>4047</v>
      </c>
      <c r="X228" s="38">
        <f>SUM(Q$211:Q228)</f>
        <v>3300</v>
      </c>
      <c r="Y228" s="38">
        <f>SUM(R$211:R228)</f>
        <v>106800</v>
      </c>
      <c r="Z228" s="38">
        <f>SUM(S$211:S228)</f>
        <v>909</v>
      </c>
      <c r="AA228" s="38">
        <f>SUM(T$211:T228)</f>
        <v>457</v>
      </c>
      <c r="AB228" s="38">
        <f>SUM(U$211:U228)</f>
        <v>148</v>
      </c>
      <c r="AC228" s="38">
        <f>SUM(V$211:V228)</f>
        <v>108</v>
      </c>
      <c r="AD228" s="38">
        <f t="shared" si="81"/>
        <v>35162</v>
      </c>
    </row>
    <row r="229" spans="1:30" x14ac:dyDescent="0.25">
      <c r="A229" s="86" t="s">
        <v>254</v>
      </c>
      <c r="B229" s="14">
        <f t="shared" si="72"/>
        <v>19</v>
      </c>
      <c r="C229" s="14">
        <f t="shared" si="68"/>
        <v>20</v>
      </c>
      <c r="D229" s="14">
        <f t="shared" si="68"/>
        <v>9</v>
      </c>
      <c r="E229" s="14">
        <f t="shared" si="68"/>
        <v>5</v>
      </c>
      <c r="F229" s="14">
        <f t="shared" si="68"/>
        <v>375</v>
      </c>
      <c r="G229" s="74">
        <f t="shared" si="73"/>
        <v>365</v>
      </c>
      <c r="H229" s="14">
        <f t="shared" si="69"/>
        <v>4650</v>
      </c>
      <c r="I229" s="14"/>
      <c r="J229" s="14">
        <f t="shared" si="70"/>
        <v>9000</v>
      </c>
      <c r="K229" s="14">
        <f t="shared" si="70"/>
        <v>6</v>
      </c>
      <c r="L229" s="14">
        <v>1</v>
      </c>
      <c r="M229" s="14">
        <f t="shared" si="82"/>
        <v>102</v>
      </c>
      <c r="N229" s="14">
        <f t="shared" si="82"/>
        <v>51</v>
      </c>
      <c r="O229" s="14">
        <f t="shared" si="82"/>
        <v>21</v>
      </c>
      <c r="P229" s="14">
        <f t="shared" si="84"/>
        <v>225</v>
      </c>
      <c r="Q229" s="38">
        <f t="shared" si="74"/>
        <v>225</v>
      </c>
      <c r="R229" s="38">
        <f t="shared" si="75"/>
        <v>13650</v>
      </c>
      <c r="S229" s="38">
        <f t="shared" si="76"/>
        <v>102</v>
      </c>
      <c r="T229" s="38">
        <f t="shared" si="77"/>
        <v>51</v>
      </c>
      <c r="U229" s="38">
        <f t="shared" si="78"/>
        <v>21</v>
      </c>
      <c r="V229" s="38">
        <f t="shared" si="79"/>
        <v>6</v>
      </c>
      <c r="W229" s="38">
        <f t="shared" si="80"/>
        <v>4293</v>
      </c>
      <c r="X229" s="38">
        <f>SUM(Q$211:Q229)</f>
        <v>3525</v>
      </c>
      <c r="Y229" s="38">
        <f>SUM(R$211:R229)</f>
        <v>120450</v>
      </c>
      <c r="Z229" s="38">
        <f>SUM(S$211:S229)</f>
        <v>1011</v>
      </c>
      <c r="AA229" s="38">
        <f>SUM(T$211:T229)</f>
        <v>508</v>
      </c>
      <c r="AB229" s="38">
        <f>SUM(U$211:U229)</f>
        <v>169</v>
      </c>
      <c r="AC229" s="38">
        <f>SUM(V$211:V229)</f>
        <v>114</v>
      </c>
      <c r="AD229" s="38">
        <f t="shared" si="81"/>
        <v>39455</v>
      </c>
    </row>
    <row r="230" spans="1:30" x14ac:dyDescent="0.25">
      <c r="A230" s="86" t="s">
        <v>254</v>
      </c>
      <c r="B230" s="14">
        <f t="shared" si="72"/>
        <v>20</v>
      </c>
      <c r="C230" s="14">
        <f t="shared" si="68"/>
        <v>21</v>
      </c>
      <c r="D230" s="14">
        <f t="shared" si="68"/>
        <v>11</v>
      </c>
      <c r="E230" s="14">
        <f t="shared" si="68"/>
        <v>5</v>
      </c>
      <c r="F230" s="14">
        <f t="shared" si="68"/>
        <v>375</v>
      </c>
      <c r="G230" s="74">
        <f t="shared" si="73"/>
        <v>376</v>
      </c>
      <c r="H230" s="14">
        <f t="shared" si="69"/>
        <v>4950</v>
      </c>
      <c r="I230" s="14"/>
      <c r="J230" s="14">
        <f t="shared" si="70"/>
        <v>9600</v>
      </c>
      <c r="K230" s="14">
        <f t="shared" si="70"/>
        <v>6</v>
      </c>
      <c r="L230" s="14">
        <v>1</v>
      </c>
      <c r="M230" s="14">
        <f t="shared" si="82"/>
        <v>108</v>
      </c>
      <c r="N230" s="14">
        <f t="shared" si="82"/>
        <v>54</v>
      </c>
      <c r="O230" s="14">
        <f t="shared" si="82"/>
        <v>23</v>
      </c>
      <c r="P230" s="14">
        <f t="shared" si="84"/>
        <v>225</v>
      </c>
      <c r="Q230" s="38">
        <f t="shared" ref="Q230:Q261" si="85">P230</f>
        <v>225</v>
      </c>
      <c r="R230" s="38">
        <f t="shared" si="75"/>
        <v>14550</v>
      </c>
      <c r="S230" s="38">
        <f t="shared" si="76"/>
        <v>108</v>
      </c>
      <c r="T230" s="38">
        <f t="shared" si="77"/>
        <v>54</v>
      </c>
      <c r="U230" s="38">
        <f t="shared" si="78"/>
        <v>23</v>
      </c>
      <c r="V230" s="38">
        <f t="shared" ref="V230:V261" si="86">K230</f>
        <v>6</v>
      </c>
      <c r="W230" s="38">
        <f t="shared" si="80"/>
        <v>4584</v>
      </c>
      <c r="X230" s="38">
        <f>SUM(Q$211:Q230)</f>
        <v>3750</v>
      </c>
      <c r="Y230" s="38">
        <f>SUM(R$211:R230)</f>
        <v>135000</v>
      </c>
      <c r="Z230" s="38">
        <f>SUM(S$211:S230)</f>
        <v>1119</v>
      </c>
      <c r="AA230" s="38">
        <f>SUM(T$211:T230)</f>
        <v>562</v>
      </c>
      <c r="AB230" s="38">
        <f>SUM(U$211:U230)</f>
        <v>192</v>
      </c>
      <c r="AC230" s="38">
        <f>SUM(V$211:V230)</f>
        <v>120</v>
      </c>
      <c r="AD230" s="38">
        <f t="shared" si="81"/>
        <v>44039</v>
      </c>
    </row>
    <row r="231" spans="1:30" x14ac:dyDescent="0.25">
      <c r="A231" s="86" t="s">
        <v>254</v>
      </c>
      <c r="B231" s="14">
        <f t="shared" si="72"/>
        <v>21</v>
      </c>
      <c r="C231" s="14">
        <f t="shared" ref="C231:F250" si="87">MAX(1,ROUND(C28*INDEX($O$1:$U$4,MATCH($A231,$O$1:$O$4,0),MATCH(C$210,$O$1:$U$1,0)),0))</f>
        <v>23</v>
      </c>
      <c r="D231" s="14">
        <f t="shared" si="87"/>
        <v>11</v>
      </c>
      <c r="E231" s="14">
        <f t="shared" si="87"/>
        <v>5</v>
      </c>
      <c r="F231" s="14">
        <f t="shared" si="87"/>
        <v>405</v>
      </c>
      <c r="G231" s="74">
        <f t="shared" si="73"/>
        <v>384</v>
      </c>
      <c r="H231" s="14">
        <f t="shared" si="69"/>
        <v>5250</v>
      </c>
      <c r="I231" s="14"/>
      <c r="J231" s="14">
        <f t="shared" ref="J231:K250" si="88">MAX(1,ROUND(J28*INDEX($O$1:$U$4,MATCH($A231,$O$1:$O$4,0),MATCH(J$210,$O$1:$U$1,0)),0))</f>
        <v>10200</v>
      </c>
      <c r="K231" s="14">
        <f t="shared" si="88"/>
        <v>6</v>
      </c>
      <c r="L231" s="14">
        <v>1</v>
      </c>
      <c r="M231" s="14">
        <f t="shared" si="82"/>
        <v>114</v>
      </c>
      <c r="N231" s="14">
        <f t="shared" si="82"/>
        <v>57</v>
      </c>
      <c r="O231" s="14">
        <f t="shared" si="82"/>
        <v>24</v>
      </c>
      <c r="P231" s="14">
        <f t="shared" si="84"/>
        <v>300</v>
      </c>
      <c r="Q231" s="38">
        <f t="shared" si="85"/>
        <v>300</v>
      </c>
      <c r="R231" s="38">
        <f t="shared" si="75"/>
        <v>15450</v>
      </c>
      <c r="S231" s="38">
        <f t="shared" si="76"/>
        <v>114</v>
      </c>
      <c r="T231" s="38">
        <f t="shared" si="77"/>
        <v>57</v>
      </c>
      <c r="U231" s="38">
        <f t="shared" si="78"/>
        <v>24</v>
      </c>
      <c r="V231" s="38">
        <f t="shared" si="86"/>
        <v>6</v>
      </c>
      <c r="W231" s="38">
        <f t="shared" si="80"/>
        <v>4905</v>
      </c>
      <c r="X231" s="38">
        <f>SUM(Q$211:Q231)</f>
        <v>4050</v>
      </c>
      <c r="Y231" s="38">
        <f>SUM(R$211:R231)</f>
        <v>150450</v>
      </c>
      <c r="Z231" s="38">
        <f>SUM(S$211:S231)</f>
        <v>1233</v>
      </c>
      <c r="AA231" s="38">
        <f>SUM(T$211:T231)</f>
        <v>619</v>
      </c>
      <c r="AB231" s="38">
        <f>SUM(U$211:U231)</f>
        <v>216</v>
      </c>
      <c r="AC231" s="38">
        <f>SUM(V$211:V231)</f>
        <v>126</v>
      </c>
      <c r="AD231" s="38">
        <f t="shared" si="81"/>
        <v>48944</v>
      </c>
    </row>
    <row r="232" spans="1:30" x14ac:dyDescent="0.25">
      <c r="A232" s="86" t="s">
        <v>254</v>
      </c>
      <c r="B232" s="14">
        <f t="shared" si="72"/>
        <v>22</v>
      </c>
      <c r="C232" s="14">
        <f t="shared" si="87"/>
        <v>24</v>
      </c>
      <c r="D232" s="14">
        <f t="shared" si="87"/>
        <v>12</v>
      </c>
      <c r="E232" s="14">
        <f t="shared" si="87"/>
        <v>5</v>
      </c>
      <c r="F232" s="14">
        <f t="shared" si="87"/>
        <v>405</v>
      </c>
      <c r="G232" s="74">
        <f t="shared" si="73"/>
        <v>390</v>
      </c>
      <c r="H232" s="14">
        <f t="shared" si="69"/>
        <v>5550</v>
      </c>
      <c r="I232" s="14"/>
      <c r="J232" s="14">
        <f t="shared" si="88"/>
        <v>10800</v>
      </c>
      <c r="K232" s="14">
        <f t="shared" si="88"/>
        <v>6</v>
      </c>
      <c r="L232" s="14">
        <v>1</v>
      </c>
      <c r="M232" s="14">
        <f t="shared" si="82"/>
        <v>120</v>
      </c>
      <c r="N232" s="14">
        <f t="shared" si="82"/>
        <v>60</v>
      </c>
      <c r="O232" s="14">
        <f t="shared" si="82"/>
        <v>26</v>
      </c>
      <c r="P232" s="14">
        <f t="shared" si="84"/>
        <v>300</v>
      </c>
      <c r="Q232" s="38">
        <f t="shared" si="85"/>
        <v>300</v>
      </c>
      <c r="R232" s="38">
        <f t="shared" si="75"/>
        <v>16350</v>
      </c>
      <c r="S232" s="38">
        <f t="shared" si="76"/>
        <v>120</v>
      </c>
      <c r="T232" s="38">
        <f t="shared" si="77"/>
        <v>60</v>
      </c>
      <c r="U232" s="38">
        <f t="shared" si="78"/>
        <v>26</v>
      </c>
      <c r="V232" s="38">
        <f t="shared" si="86"/>
        <v>6</v>
      </c>
      <c r="W232" s="38">
        <f t="shared" si="80"/>
        <v>5196</v>
      </c>
      <c r="X232" s="38">
        <f>SUM(Q$211:Q232)</f>
        <v>4350</v>
      </c>
      <c r="Y232" s="38">
        <f>SUM(R$211:R232)</f>
        <v>166800</v>
      </c>
      <c r="Z232" s="38">
        <f>SUM(S$211:S232)</f>
        <v>1353</v>
      </c>
      <c r="AA232" s="38">
        <f>SUM(T$211:T232)</f>
        <v>679</v>
      </c>
      <c r="AB232" s="38">
        <f>SUM(U$211:U232)</f>
        <v>242</v>
      </c>
      <c r="AC232" s="38">
        <f>SUM(V$211:V232)</f>
        <v>132</v>
      </c>
      <c r="AD232" s="38">
        <f t="shared" si="81"/>
        <v>54140</v>
      </c>
    </row>
    <row r="233" spans="1:30" x14ac:dyDescent="0.25">
      <c r="A233" s="86" t="s">
        <v>254</v>
      </c>
      <c r="B233" s="14">
        <f t="shared" si="72"/>
        <v>23</v>
      </c>
      <c r="C233" s="14">
        <f t="shared" si="87"/>
        <v>26</v>
      </c>
      <c r="D233" s="14">
        <f t="shared" si="87"/>
        <v>12</v>
      </c>
      <c r="E233" s="14">
        <f t="shared" si="87"/>
        <v>6</v>
      </c>
      <c r="F233" s="14">
        <f t="shared" si="87"/>
        <v>435</v>
      </c>
      <c r="G233" s="74">
        <f t="shared" si="73"/>
        <v>443</v>
      </c>
      <c r="H233" s="14">
        <f t="shared" si="69"/>
        <v>5850</v>
      </c>
      <c r="I233" s="14"/>
      <c r="J233" s="14">
        <f t="shared" si="88"/>
        <v>11400</v>
      </c>
      <c r="K233" s="14">
        <f t="shared" si="88"/>
        <v>6</v>
      </c>
      <c r="L233" s="14">
        <v>1</v>
      </c>
      <c r="M233" s="14">
        <f t="shared" si="82"/>
        <v>126</v>
      </c>
      <c r="N233" s="14">
        <f t="shared" si="82"/>
        <v>63</v>
      </c>
      <c r="O233" s="14">
        <f t="shared" si="82"/>
        <v>27</v>
      </c>
      <c r="P233" s="14">
        <f t="shared" si="84"/>
        <v>300</v>
      </c>
      <c r="Q233" s="38">
        <f t="shared" si="85"/>
        <v>300</v>
      </c>
      <c r="R233" s="38">
        <f t="shared" si="75"/>
        <v>17250</v>
      </c>
      <c r="S233" s="38">
        <f t="shared" si="76"/>
        <v>126</v>
      </c>
      <c r="T233" s="38">
        <f t="shared" si="77"/>
        <v>63</v>
      </c>
      <c r="U233" s="38">
        <f t="shared" si="78"/>
        <v>27</v>
      </c>
      <c r="V233" s="38">
        <f t="shared" si="86"/>
        <v>6</v>
      </c>
      <c r="W233" s="38">
        <f t="shared" si="80"/>
        <v>5442</v>
      </c>
      <c r="X233" s="38">
        <f>SUM(Q$211:Q233)</f>
        <v>4650</v>
      </c>
      <c r="Y233" s="38">
        <f>SUM(R$211:R233)</f>
        <v>184050</v>
      </c>
      <c r="Z233" s="38">
        <f>SUM(S$211:S233)</f>
        <v>1479</v>
      </c>
      <c r="AA233" s="38">
        <f>SUM(T$211:T233)</f>
        <v>742</v>
      </c>
      <c r="AB233" s="38">
        <f>SUM(U$211:U233)</f>
        <v>269</v>
      </c>
      <c r="AC233" s="38">
        <f>SUM(V$211:V233)</f>
        <v>138</v>
      </c>
      <c r="AD233" s="38">
        <f t="shared" si="81"/>
        <v>59582</v>
      </c>
    </row>
    <row r="234" spans="1:30" x14ac:dyDescent="0.25">
      <c r="A234" s="86" t="s">
        <v>254</v>
      </c>
      <c r="B234" s="14">
        <f t="shared" si="72"/>
        <v>24</v>
      </c>
      <c r="C234" s="14">
        <f t="shared" si="87"/>
        <v>27</v>
      </c>
      <c r="D234" s="14">
        <f t="shared" si="87"/>
        <v>14</v>
      </c>
      <c r="E234" s="14">
        <f t="shared" si="87"/>
        <v>6</v>
      </c>
      <c r="F234" s="14">
        <f t="shared" si="87"/>
        <v>435</v>
      </c>
      <c r="G234" s="74">
        <f t="shared" si="73"/>
        <v>454</v>
      </c>
      <c r="H234" s="14">
        <f t="shared" si="69"/>
        <v>6150</v>
      </c>
      <c r="I234" s="14"/>
      <c r="J234" s="14">
        <f t="shared" si="88"/>
        <v>12000</v>
      </c>
      <c r="K234" s="14">
        <f t="shared" si="88"/>
        <v>6</v>
      </c>
      <c r="L234" s="14">
        <v>1</v>
      </c>
      <c r="M234" s="14">
        <f t="shared" si="82"/>
        <v>132</v>
      </c>
      <c r="N234" s="14">
        <f t="shared" si="82"/>
        <v>66</v>
      </c>
      <c r="O234" s="14">
        <f t="shared" si="82"/>
        <v>29</v>
      </c>
      <c r="P234" s="14">
        <f t="shared" si="84"/>
        <v>300</v>
      </c>
      <c r="Q234" s="42">
        <f t="shared" si="85"/>
        <v>300</v>
      </c>
      <c r="R234" s="38">
        <f t="shared" si="75"/>
        <v>18150</v>
      </c>
      <c r="S234" s="38">
        <f t="shared" si="76"/>
        <v>132</v>
      </c>
      <c r="T234" s="38">
        <f t="shared" si="77"/>
        <v>66</v>
      </c>
      <c r="U234" s="38">
        <f t="shared" si="78"/>
        <v>29</v>
      </c>
      <c r="V234" s="42">
        <f t="shared" si="86"/>
        <v>6</v>
      </c>
      <c r="W234" s="38">
        <f t="shared" si="80"/>
        <v>5733</v>
      </c>
      <c r="X234" s="38">
        <f>SUM(Q$211:Q234)</f>
        <v>4950</v>
      </c>
      <c r="Y234" s="38">
        <f>SUM(R$211:R234)</f>
        <v>202200</v>
      </c>
      <c r="Z234" s="38">
        <f>SUM(S$211:S234)</f>
        <v>1611</v>
      </c>
      <c r="AA234" s="38">
        <f>SUM(T$211:T234)</f>
        <v>808</v>
      </c>
      <c r="AB234" s="38">
        <f>SUM(U$211:U234)</f>
        <v>298</v>
      </c>
      <c r="AC234" s="38">
        <f>SUM(V$211:V234)</f>
        <v>144</v>
      </c>
      <c r="AD234" s="38">
        <f t="shared" si="81"/>
        <v>65315</v>
      </c>
    </row>
    <row r="235" spans="1:30" x14ac:dyDescent="0.25">
      <c r="A235" s="86" t="s">
        <v>254</v>
      </c>
      <c r="B235" s="14">
        <f t="shared" si="72"/>
        <v>25</v>
      </c>
      <c r="C235" s="14">
        <f t="shared" si="87"/>
        <v>27</v>
      </c>
      <c r="D235" s="14">
        <f t="shared" si="87"/>
        <v>14</v>
      </c>
      <c r="E235" s="14">
        <f t="shared" si="87"/>
        <v>6</v>
      </c>
      <c r="F235" s="14">
        <f t="shared" si="87"/>
        <v>465</v>
      </c>
      <c r="G235" s="74">
        <f t="shared" si="73"/>
        <v>460</v>
      </c>
      <c r="H235" s="14">
        <f t="shared" si="69"/>
        <v>6450</v>
      </c>
      <c r="I235" s="14"/>
      <c r="J235" s="14">
        <f t="shared" si="88"/>
        <v>12600</v>
      </c>
      <c r="K235" s="14">
        <f t="shared" si="88"/>
        <v>6</v>
      </c>
      <c r="L235" s="14">
        <v>1</v>
      </c>
      <c r="M235" s="14">
        <f t="shared" si="82"/>
        <v>138</v>
      </c>
      <c r="N235" s="14">
        <f t="shared" si="82"/>
        <v>69</v>
      </c>
      <c r="O235" s="14">
        <f t="shared" si="82"/>
        <v>30</v>
      </c>
      <c r="P235" s="14">
        <f t="shared" si="84"/>
        <v>300</v>
      </c>
      <c r="Q235" s="38">
        <f t="shared" si="85"/>
        <v>300</v>
      </c>
      <c r="R235" s="38">
        <f t="shared" si="75"/>
        <v>19050</v>
      </c>
      <c r="S235" s="38">
        <f t="shared" si="76"/>
        <v>138</v>
      </c>
      <c r="T235" s="38">
        <f t="shared" si="77"/>
        <v>69</v>
      </c>
      <c r="U235" s="38">
        <f t="shared" si="78"/>
        <v>30</v>
      </c>
      <c r="V235" s="38">
        <f t="shared" si="86"/>
        <v>6</v>
      </c>
      <c r="W235" s="38">
        <f t="shared" si="80"/>
        <v>5979</v>
      </c>
      <c r="X235" s="38">
        <f>SUM(Q$211:Q235)</f>
        <v>5250</v>
      </c>
      <c r="Y235" s="38">
        <f>SUM(R$211:R235)</f>
        <v>221250</v>
      </c>
      <c r="Z235" s="38">
        <f>SUM(S$211:S235)</f>
        <v>1749</v>
      </c>
      <c r="AA235" s="38">
        <f>SUM(T$211:T235)</f>
        <v>877</v>
      </c>
      <c r="AB235" s="38">
        <f>SUM(U$211:U235)</f>
        <v>328</v>
      </c>
      <c r="AC235" s="38">
        <f>SUM(V$211:V235)</f>
        <v>150</v>
      </c>
      <c r="AD235" s="38">
        <f t="shared" si="81"/>
        <v>71294</v>
      </c>
    </row>
    <row r="236" spans="1:30" x14ac:dyDescent="0.25">
      <c r="A236" s="86" t="s">
        <v>254</v>
      </c>
      <c r="B236" s="14">
        <f t="shared" si="72"/>
        <v>26</v>
      </c>
      <c r="C236" s="14">
        <f t="shared" si="87"/>
        <v>29</v>
      </c>
      <c r="D236" s="14">
        <f t="shared" si="87"/>
        <v>14</v>
      </c>
      <c r="E236" s="14">
        <f t="shared" si="87"/>
        <v>6</v>
      </c>
      <c r="F236" s="14">
        <f t="shared" si="87"/>
        <v>465</v>
      </c>
      <c r="G236" s="74">
        <f t="shared" si="73"/>
        <v>462</v>
      </c>
      <c r="H236" s="14">
        <f t="shared" si="69"/>
        <v>6750</v>
      </c>
      <c r="I236" s="14"/>
      <c r="J236" s="14">
        <f t="shared" si="88"/>
        <v>13200</v>
      </c>
      <c r="K236" s="14">
        <f t="shared" si="88"/>
        <v>6</v>
      </c>
      <c r="L236" s="14">
        <v>1</v>
      </c>
      <c r="M236" s="14">
        <f t="shared" si="82"/>
        <v>144</v>
      </c>
      <c r="N236" s="14">
        <f t="shared" si="82"/>
        <v>72</v>
      </c>
      <c r="O236" s="14">
        <f t="shared" si="82"/>
        <v>32</v>
      </c>
      <c r="P236" s="14">
        <f t="shared" si="84"/>
        <v>300</v>
      </c>
      <c r="Q236" s="38">
        <f t="shared" si="85"/>
        <v>300</v>
      </c>
      <c r="R236" s="38">
        <f t="shared" si="75"/>
        <v>19950</v>
      </c>
      <c r="S236" s="38">
        <f t="shared" si="76"/>
        <v>144</v>
      </c>
      <c r="T236" s="38">
        <f t="shared" si="77"/>
        <v>72</v>
      </c>
      <c r="U236" s="38">
        <f t="shared" si="78"/>
        <v>32</v>
      </c>
      <c r="V236" s="38">
        <f t="shared" si="86"/>
        <v>6</v>
      </c>
      <c r="W236" s="38">
        <f t="shared" si="80"/>
        <v>6270</v>
      </c>
      <c r="X236" s="38">
        <f>SUM(Q$211:Q236)</f>
        <v>5550</v>
      </c>
      <c r="Y236" s="38">
        <f>SUM(R$211:R236)</f>
        <v>241200</v>
      </c>
      <c r="Z236" s="38">
        <f>SUM(S$211:S236)</f>
        <v>1893</v>
      </c>
      <c r="AA236" s="38">
        <f>SUM(T$211:T236)</f>
        <v>949</v>
      </c>
      <c r="AB236" s="38">
        <f>SUM(U$211:U236)</f>
        <v>360</v>
      </c>
      <c r="AC236" s="38">
        <f>SUM(V$211:V236)</f>
        <v>156</v>
      </c>
      <c r="AD236" s="38">
        <f t="shared" si="81"/>
        <v>77564</v>
      </c>
    </row>
    <row r="237" spans="1:30" x14ac:dyDescent="0.25">
      <c r="A237" s="86" t="s">
        <v>254</v>
      </c>
      <c r="B237" s="14">
        <f t="shared" si="72"/>
        <v>27</v>
      </c>
      <c r="C237" s="14">
        <f t="shared" si="87"/>
        <v>30</v>
      </c>
      <c r="D237" s="14">
        <f t="shared" si="87"/>
        <v>15</v>
      </c>
      <c r="E237" s="14">
        <f t="shared" si="87"/>
        <v>6</v>
      </c>
      <c r="F237" s="14">
        <f t="shared" si="87"/>
        <v>495</v>
      </c>
      <c r="G237" s="74">
        <f t="shared" si="73"/>
        <v>474</v>
      </c>
      <c r="H237" s="14">
        <f t="shared" si="69"/>
        <v>7050</v>
      </c>
      <c r="I237" s="14"/>
      <c r="J237" s="14">
        <f t="shared" si="88"/>
        <v>13800</v>
      </c>
      <c r="K237" s="14">
        <f t="shared" si="88"/>
        <v>6</v>
      </c>
      <c r="L237" s="14">
        <v>1</v>
      </c>
      <c r="M237" s="14">
        <f t="shared" si="82"/>
        <v>150</v>
      </c>
      <c r="N237" s="14">
        <f t="shared" si="82"/>
        <v>75</v>
      </c>
      <c r="O237" s="14">
        <f t="shared" si="82"/>
        <v>33</v>
      </c>
      <c r="P237" s="14">
        <f t="shared" si="84"/>
        <v>300</v>
      </c>
      <c r="Q237" s="38">
        <f t="shared" si="85"/>
        <v>300</v>
      </c>
      <c r="R237" s="38">
        <f t="shared" si="75"/>
        <v>20850</v>
      </c>
      <c r="S237" s="38">
        <f t="shared" si="76"/>
        <v>150</v>
      </c>
      <c r="T237" s="38">
        <f t="shared" si="77"/>
        <v>75</v>
      </c>
      <c r="U237" s="38">
        <f t="shared" si="78"/>
        <v>33</v>
      </c>
      <c r="V237" s="38">
        <f t="shared" si="86"/>
        <v>6</v>
      </c>
      <c r="W237" s="38">
        <f t="shared" si="80"/>
        <v>6516</v>
      </c>
      <c r="X237" s="38">
        <f>SUM(Q$211:Q237)</f>
        <v>5850</v>
      </c>
      <c r="Y237" s="38">
        <f>SUM(R$211:R237)</f>
        <v>262050</v>
      </c>
      <c r="Z237" s="38">
        <f>SUM(S$211:S237)</f>
        <v>2043</v>
      </c>
      <c r="AA237" s="38">
        <f>SUM(T$211:T237)</f>
        <v>1024</v>
      </c>
      <c r="AB237" s="38">
        <f>SUM(U$211:U237)</f>
        <v>393</v>
      </c>
      <c r="AC237" s="38">
        <f>SUM(V$211:V237)</f>
        <v>162</v>
      </c>
      <c r="AD237" s="38">
        <f t="shared" si="81"/>
        <v>84080</v>
      </c>
    </row>
    <row r="238" spans="1:30" x14ac:dyDescent="0.25">
      <c r="A238" s="86" t="s">
        <v>254</v>
      </c>
      <c r="B238" s="14">
        <f t="shared" si="72"/>
        <v>28</v>
      </c>
      <c r="C238" s="14">
        <f t="shared" si="87"/>
        <v>32</v>
      </c>
      <c r="D238" s="14">
        <f t="shared" si="87"/>
        <v>15</v>
      </c>
      <c r="E238" s="14">
        <f t="shared" si="87"/>
        <v>8</v>
      </c>
      <c r="F238" s="14">
        <f t="shared" si="87"/>
        <v>495</v>
      </c>
      <c r="G238" s="74">
        <f t="shared" si="73"/>
        <v>566</v>
      </c>
      <c r="H238" s="14">
        <f t="shared" si="69"/>
        <v>7350</v>
      </c>
      <c r="I238" s="14"/>
      <c r="J238" s="14">
        <f t="shared" si="88"/>
        <v>14400</v>
      </c>
      <c r="K238" s="14">
        <f t="shared" si="88"/>
        <v>6</v>
      </c>
      <c r="L238" s="14">
        <v>1</v>
      </c>
      <c r="M238" s="14">
        <f t="shared" si="82"/>
        <v>156</v>
      </c>
      <c r="N238" s="14">
        <f t="shared" si="82"/>
        <v>78</v>
      </c>
      <c r="O238" s="14">
        <f t="shared" si="82"/>
        <v>35</v>
      </c>
      <c r="P238" s="14">
        <f t="shared" si="84"/>
        <v>300</v>
      </c>
      <c r="Q238" s="38">
        <f t="shared" si="85"/>
        <v>300</v>
      </c>
      <c r="R238" s="38">
        <f t="shared" si="75"/>
        <v>21750</v>
      </c>
      <c r="S238" s="38">
        <f t="shared" si="76"/>
        <v>156</v>
      </c>
      <c r="T238" s="38">
        <f t="shared" si="77"/>
        <v>78</v>
      </c>
      <c r="U238" s="38">
        <f t="shared" si="78"/>
        <v>35</v>
      </c>
      <c r="V238" s="38">
        <f t="shared" si="86"/>
        <v>6</v>
      </c>
      <c r="W238" s="38">
        <f t="shared" si="80"/>
        <v>6807</v>
      </c>
      <c r="X238" s="38">
        <f>SUM(Q$211:Q238)</f>
        <v>6150</v>
      </c>
      <c r="Y238" s="38">
        <f>SUM(R$211:R238)</f>
        <v>283800</v>
      </c>
      <c r="Z238" s="38">
        <f>SUM(S$211:S238)</f>
        <v>2199</v>
      </c>
      <c r="AA238" s="38">
        <f>SUM(T$211:T238)</f>
        <v>1102</v>
      </c>
      <c r="AB238" s="38">
        <f>SUM(U$211:U238)</f>
        <v>428</v>
      </c>
      <c r="AC238" s="38">
        <f>SUM(V$211:V238)</f>
        <v>168</v>
      </c>
      <c r="AD238" s="38">
        <f t="shared" si="81"/>
        <v>90887</v>
      </c>
    </row>
    <row r="239" spans="1:30" x14ac:dyDescent="0.25">
      <c r="A239" s="86" t="s">
        <v>254</v>
      </c>
      <c r="B239" s="14">
        <f t="shared" si="72"/>
        <v>29</v>
      </c>
      <c r="C239" s="14">
        <f t="shared" si="87"/>
        <v>33</v>
      </c>
      <c r="D239" s="14">
        <f t="shared" si="87"/>
        <v>17</v>
      </c>
      <c r="E239" s="14">
        <f t="shared" si="87"/>
        <v>8</v>
      </c>
      <c r="F239" s="14">
        <f t="shared" si="87"/>
        <v>525</v>
      </c>
      <c r="G239" s="74">
        <f t="shared" si="73"/>
        <v>583</v>
      </c>
      <c r="H239" s="14">
        <f t="shared" si="69"/>
        <v>7650</v>
      </c>
      <c r="I239" s="14"/>
      <c r="J239" s="14">
        <f t="shared" si="88"/>
        <v>15000</v>
      </c>
      <c r="K239" s="14">
        <f t="shared" si="88"/>
        <v>6</v>
      </c>
      <c r="L239" s="14">
        <v>1</v>
      </c>
      <c r="M239" s="14">
        <f t="shared" si="82"/>
        <v>162</v>
      </c>
      <c r="N239" s="14">
        <f t="shared" si="82"/>
        <v>81</v>
      </c>
      <c r="O239" s="14">
        <f t="shared" si="82"/>
        <v>36</v>
      </c>
      <c r="P239" s="14">
        <f t="shared" si="84"/>
        <v>300</v>
      </c>
      <c r="Q239" s="38">
        <f t="shared" si="85"/>
        <v>300</v>
      </c>
      <c r="R239" s="38">
        <f t="shared" si="75"/>
        <v>22650</v>
      </c>
      <c r="S239" s="38">
        <f t="shared" si="76"/>
        <v>162</v>
      </c>
      <c r="T239" s="38">
        <f t="shared" si="77"/>
        <v>81</v>
      </c>
      <c r="U239" s="38">
        <f t="shared" si="78"/>
        <v>36</v>
      </c>
      <c r="V239" s="38">
        <f t="shared" si="86"/>
        <v>6</v>
      </c>
      <c r="W239" s="38">
        <f t="shared" si="80"/>
        <v>7053</v>
      </c>
      <c r="X239" s="38">
        <f>SUM(Q$211:Q239)</f>
        <v>6450</v>
      </c>
      <c r="Y239" s="38">
        <f>SUM(R$211:R239)</f>
        <v>306450</v>
      </c>
      <c r="Z239" s="38">
        <f>SUM(S$211:S239)</f>
        <v>2361</v>
      </c>
      <c r="AA239" s="38">
        <f>SUM(T$211:T239)</f>
        <v>1183</v>
      </c>
      <c r="AB239" s="38">
        <f>SUM(U$211:U239)</f>
        <v>464</v>
      </c>
      <c r="AC239" s="38">
        <f>SUM(V$211:V239)</f>
        <v>174</v>
      </c>
      <c r="AD239" s="38">
        <f t="shared" si="81"/>
        <v>97940</v>
      </c>
    </row>
    <row r="240" spans="1:30" x14ac:dyDescent="0.25">
      <c r="A240" s="86" t="s">
        <v>254</v>
      </c>
      <c r="B240" s="14">
        <f t="shared" si="72"/>
        <v>30</v>
      </c>
      <c r="C240" s="14">
        <f t="shared" si="87"/>
        <v>33</v>
      </c>
      <c r="D240" s="14">
        <f t="shared" si="87"/>
        <v>17</v>
      </c>
      <c r="E240" s="14">
        <f t="shared" si="87"/>
        <v>8</v>
      </c>
      <c r="F240" s="14">
        <f t="shared" si="87"/>
        <v>525</v>
      </c>
      <c r="G240" s="74">
        <f t="shared" si="73"/>
        <v>583</v>
      </c>
      <c r="H240" s="14">
        <f t="shared" si="69"/>
        <v>7950</v>
      </c>
      <c r="I240" s="14"/>
      <c r="J240" s="14">
        <f t="shared" si="88"/>
        <v>15600</v>
      </c>
      <c r="K240" s="14">
        <f t="shared" si="88"/>
        <v>6</v>
      </c>
      <c r="L240" s="14">
        <v>1</v>
      </c>
      <c r="M240" s="14">
        <f t="shared" si="82"/>
        <v>168</v>
      </c>
      <c r="N240" s="14">
        <f t="shared" si="82"/>
        <v>84</v>
      </c>
      <c r="O240" s="14">
        <f t="shared" si="82"/>
        <v>38</v>
      </c>
      <c r="P240" s="14">
        <f t="shared" si="84"/>
        <v>300</v>
      </c>
      <c r="Q240" s="38">
        <f t="shared" si="85"/>
        <v>300</v>
      </c>
      <c r="R240" s="38">
        <f t="shared" si="75"/>
        <v>23550</v>
      </c>
      <c r="S240" s="38">
        <f t="shared" si="76"/>
        <v>168</v>
      </c>
      <c r="T240" s="38">
        <f t="shared" si="77"/>
        <v>84</v>
      </c>
      <c r="U240" s="38">
        <f t="shared" si="78"/>
        <v>38</v>
      </c>
      <c r="V240" s="38">
        <f t="shared" si="86"/>
        <v>6</v>
      </c>
      <c r="W240" s="38">
        <f t="shared" si="80"/>
        <v>7344</v>
      </c>
      <c r="X240" s="38">
        <f>SUM(Q$211:Q240)</f>
        <v>6750</v>
      </c>
      <c r="Y240" s="38">
        <f>SUM(R$211:R240)</f>
        <v>330000</v>
      </c>
      <c r="Z240" s="38">
        <f>SUM(S$211:S240)</f>
        <v>2529</v>
      </c>
      <c r="AA240" s="38">
        <f>SUM(T$211:T240)</f>
        <v>1267</v>
      </c>
      <c r="AB240" s="38">
        <f>SUM(U$211:U240)</f>
        <v>502</v>
      </c>
      <c r="AC240" s="38">
        <f>SUM(V$211:V240)</f>
        <v>180</v>
      </c>
      <c r="AD240" s="38">
        <f t="shared" si="81"/>
        <v>105284</v>
      </c>
    </row>
    <row r="241" spans="1:30" x14ac:dyDescent="0.25">
      <c r="A241" s="86" t="s">
        <v>254</v>
      </c>
      <c r="B241" s="14">
        <f t="shared" si="72"/>
        <v>31</v>
      </c>
      <c r="C241" s="14">
        <f t="shared" si="87"/>
        <v>35</v>
      </c>
      <c r="D241" s="14">
        <f t="shared" si="87"/>
        <v>17</v>
      </c>
      <c r="E241" s="14">
        <f t="shared" si="87"/>
        <v>8</v>
      </c>
      <c r="F241" s="14">
        <f t="shared" si="87"/>
        <v>555</v>
      </c>
      <c r="G241" s="74">
        <f t="shared" si="73"/>
        <v>591</v>
      </c>
      <c r="H241" s="14">
        <f t="shared" si="69"/>
        <v>8250</v>
      </c>
      <c r="I241" s="14"/>
      <c r="J241" s="14">
        <f t="shared" si="88"/>
        <v>16200</v>
      </c>
      <c r="K241" s="14">
        <f t="shared" si="88"/>
        <v>6</v>
      </c>
      <c r="L241" s="14">
        <v>1</v>
      </c>
      <c r="M241" s="14">
        <f t="shared" si="82"/>
        <v>174</v>
      </c>
      <c r="N241" s="14">
        <f t="shared" si="82"/>
        <v>87</v>
      </c>
      <c r="O241" s="14">
        <f t="shared" si="82"/>
        <v>39</v>
      </c>
      <c r="P241" s="14">
        <f t="shared" si="84"/>
        <v>300</v>
      </c>
      <c r="Q241" s="38">
        <f t="shared" si="85"/>
        <v>300</v>
      </c>
      <c r="R241" s="38">
        <f t="shared" si="75"/>
        <v>24450</v>
      </c>
      <c r="S241" s="38">
        <f t="shared" si="76"/>
        <v>174</v>
      </c>
      <c r="T241" s="38">
        <f t="shared" si="77"/>
        <v>87</v>
      </c>
      <c r="U241" s="38">
        <f t="shared" si="78"/>
        <v>39</v>
      </c>
      <c r="V241" s="38">
        <f t="shared" si="86"/>
        <v>6</v>
      </c>
      <c r="W241" s="38">
        <f t="shared" si="80"/>
        <v>7590</v>
      </c>
      <c r="X241" s="38">
        <f>SUM(Q$211:Q241)</f>
        <v>7050</v>
      </c>
      <c r="Y241" s="38">
        <f>SUM(R$211:R241)</f>
        <v>354450</v>
      </c>
      <c r="Z241" s="38">
        <f>SUM(S$211:S241)</f>
        <v>2703</v>
      </c>
      <c r="AA241" s="38">
        <f>SUM(T$211:T241)</f>
        <v>1354</v>
      </c>
      <c r="AB241" s="38">
        <f>SUM(U$211:U241)</f>
        <v>541</v>
      </c>
      <c r="AC241" s="38">
        <f>SUM(V$211:V241)</f>
        <v>186</v>
      </c>
      <c r="AD241" s="38">
        <f t="shared" si="81"/>
        <v>112874</v>
      </c>
    </row>
    <row r="242" spans="1:30" x14ac:dyDescent="0.25">
      <c r="A242" s="86" t="s">
        <v>254</v>
      </c>
      <c r="B242" s="14">
        <f t="shared" si="72"/>
        <v>32</v>
      </c>
      <c r="C242" s="14">
        <f t="shared" si="87"/>
        <v>36</v>
      </c>
      <c r="D242" s="14">
        <f t="shared" si="87"/>
        <v>18</v>
      </c>
      <c r="E242" s="14">
        <f t="shared" si="87"/>
        <v>8</v>
      </c>
      <c r="F242" s="14">
        <f t="shared" si="87"/>
        <v>555</v>
      </c>
      <c r="G242" s="74">
        <f t="shared" si="73"/>
        <v>597</v>
      </c>
      <c r="H242" s="14">
        <f t="shared" si="69"/>
        <v>8550</v>
      </c>
      <c r="I242" s="14"/>
      <c r="J242" s="14">
        <f t="shared" si="88"/>
        <v>16800</v>
      </c>
      <c r="K242" s="14">
        <f t="shared" si="88"/>
        <v>6</v>
      </c>
      <c r="L242" s="14">
        <v>1</v>
      </c>
      <c r="M242" s="14">
        <f t="shared" si="82"/>
        <v>180</v>
      </c>
      <c r="N242" s="14">
        <f t="shared" si="82"/>
        <v>90</v>
      </c>
      <c r="O242" s="14">
        <f t="shared" si="82"/>
        <v>41</v>
      </c>
      <c r="P242" s="14">
        <f t="shared" si="84"/>
        <v>300</v>
      </c>
      <c r="Q242" s="38">
        <f t="shared" si="85"/>
        <v>300</v>
      </c>
      <c r="R242" s="38">
        <f t="shared" si="75"/>
        <v>25350</v>
      </c>
      <c r="S242" s="38">
        <f t="shared" si="76"/>
        <v>180</v>
      </c>
      <c r="T242" s="38">
        <f t="shared" si="77"/>
        <v>90</v>
      </c>
      <c r="U242" s="38">
        <f t="shared" si="78"/>
        <v>41</v>
      </c>
      <c r="V242" s="38">
        <f t="shared" si="86"/>
        <v>6</v>
      </c>
      <c r="W242" s="38">
        <f t="shared" si="80"/>
        <v>7881</v>
      </c>
      <c r="X242" s="38">
        <f>SUM(Q$211:Q242)</f>
        <v>7350</v>
      </c>
      <c r="Y242" s="38">
        <f>SUM(R$211:R242)</f>
        <v>379800</v>
      </c>
      <c r="Z242" s="38">
        <f>SUM(S$211:S242)</f>
        <v>2883</v>
      </c>
      <c r="AA242" s="38">
        <f>SUM(T$211:T242)</f>
        <v>1444</v>
      </c>
      <c r="AB242" s="38">
        <f>SUM(U$211:U242)</f>
        <v>582</v>
      </c>
      <c r="AC242" s="38">
        <f>SUM(V$211:V242)</f>
        <v>192</v>
      </c>
      <c r="AD242" s="38">
        <f t="shared" si="81"/>
        <v>120755</v>
      </c>
    </row>
    <row r="243" spans="1:30" x14ac:dyDescent="0.25">
      <c r="A243" s="86" t="s">
        <v>254</v>
      </c>
      <c r="B243" s="14">
        <f t="shared" si="72"/>
        <v>33</v>
      </c>
      <c r="C243" s="14">
        <f t="shared" si="87"/>
        <v>38</v>
      </c>
      <c r="D243" s="14">
        <f t="shared" si="87"/>
        <v>18</v>
      </c>
      <c r="E243" s="14">
        <f t="shared" si="87"/>
        <v>9</v>
      </c>
      <c r="F243" s="14">
        <f t="shared" si="87"/>
        <v>585</v>
      </c>
      <c r="G243" s="74">
        <f t="shared" si="73"/>
        <v>650</v>
      </c>
      <c r="H243" s="14">
        <f t="shared" ref="H243:H274" si="89">MAX(1,ROUND(H40*INDEX($O$1:$U$4,MATCH($A243,$O$1:$O$4,0),MATCH(H$210,$O$1:$U$1,0)),0))</f>
        <v>8850</v>
      </c>
      <c r="I243" s="14"/>
      <c r="J243" s="14">
        <f t="shared" si="88"/>
        <v>17400</v>
      </c>
      <c r="K243" s="14">
        <f t="shared" si="88"/>
        <v>6</v>
      </c>
      <c r="L243" s="14">
        <v>1</v>
      </c>
      <c r="M243" s="14">
        <f t="shared" si="82"/>
        <v>186</v>
      </c>
      <c r="N243" s="14">
        <f t="shared" si="82"/>
        <v>93</v>
      </c>
      <c r="O243" s="14">
        <f t="shared" si="82"/>
        <v>42</v>
      </c>
      <c r="P243" s="14">
        <f t="shared" si="84"/>
        <v>300</v>
      </c>
      <c r="Q243" s="38">
        <f t="shared" si="85"/>
        <v>300</v>
      </c>
      <c r="R243" s="38">
        <f t="shared" si="75"/>
        <v>26250</v>
      </c>
      <c r="S243" s="38">
        <f t="shared" si="76"/>
        <v>186</v>
      </c>
      <c r="T243" s="38">
        <f t="shared" si="77"/>
        <v>93</v>
      </c>
      <c r="U243" s="38">
        <f t="shared" si="78"/>
        <v>42</v>
      </c>
      <c r="V243" s="38">
        <f t="shared" si="86"/>
        <v>6</v>
      </c>
      <c r="W243" s="38">
        <f t="shared" si="80"/>
        <v>8127</v>
      </c>
      <c r="X243" s="38">
        <f>SUM(Q$211:Q243)</f>
        <v>7650</v>
      </c>
      <c r="Y243" s="38">
        <f>SUM(R$211:R243)</f>
        <v>406050</v>
      </c>
      <c r="Z243" s="38">
        <f>SUM(S$211:S243)</f>
        <v>3069</v>
      </c>
      <c r="AA243" s="38">
        <f>SUM(T$211:T243)</f>
        <v>1537</v>
      </c>
      <c r="AB243" s="38">
        <f>SUM(U$211:U243)</f>
        <v>624</v>
      </c>
      <c r="AC243" s="38">
        <f>SUM(V$211:V243)</f>
        <v>198</v>
      </c>
      <c r="AD243" s="38">
        <f t="shared" si="81"/>
        <v>128882</v>
      </c>
    </row>
    <row r="244" spans="1:30" x14ac:dyDescent="0.25">
      <c r="A244" s="86" t="s">
        <v>254</v>
      </c>
      <c r="B244" s="14">
        <f t="shared" si="72"/>
        <v>34</v>
      </c>
      <c r="C244" s="14">
        <f t="shared" si="87"/>
        <v>39</v>
      </c>
      <c r="D244" s="14">
        <f t="shared" si="87"/>
        <v>20</v>
      </c>
      <c r="E244" s="14">
        <f t="shared" si="87"/>
        <v>9</v>
      </c>
      <c r="F244" s="14">
        <f t="shared" si="87"/>
        <v>585</v>
      </c>
      <c r="G244" s="74">
        <f t="shared" si="73"/>
        <v>661</v>
      </c>
      <c r="H244" s="14">
        <f t="shared" si="89"/>
        <v>9150</v>
      </c>
      <c r="I244" s="14"/>
      <c r="J244" s="14">
        <f t="shared" si="88"/>
        <v>18000</v>
      </c>
      <c r="K244" s="14">
        <f t="shared" si="88"/>
        <v>6</v>
      </c>
      <c r="L244" s="14">
        <v>1</v>
      </c>
      <c r="M244" s="14">
        <f t="shared" si="82"/>
        <v>192</v>
      </c>
      <c r="N244" s="14">
        <f t="shared" si="82"/>
        <v>96</v>
      </c>
      <c r="O244" s="14">
        <f t="shared" si="82"/>
        <v>44</v>
      </c>
      <c r="P244" s="14">
        <f t="shared" si="84"/>
        <v>300</v>
      </c>
      <c r="Q244" s="38">
        <f t="shared" si="85"/>
        <v>300</v>
      </c>
      <c r="R244" s="38">
        <f t="shared" si="75"/>
        <v>27150</v>
      </c>
      <c r="S244" s="38">
        <f t="shared" si="76"/>
        <v>192</v>
      </c>
      <c r="T244" s="38">
        <f t="shared" si="77"/>
        <v>96</v>
      </c>
      <c r="U244" s="38">
        <f t="shared" si="78"/>
        <v>44</v>
      </c>
      <c r="V244" s="38">
        <f t="shared" si="86"/>
        <v>6</v>
      </c>
      <c r="W244" s="38">
        <f t="shared" si="80"/>
        <v>8418</v>
      </c>
      <c r="X244" s="38">
        <f>SUM(Q$211:Q244)</f>
        <v>7950</v>
      </c>
      <c r="Y244" s="38">
        <f>SUM(R$211:R244)</f>
        <v>433200</v>
      </c>
      <c r="Z244" s="38">
        <f>SUM(S$211:S244)</f>
        <v>3261</v>
      </c>
      <c r="AA244" s="38">
        <f>SUM(T$211:T244)</f>
        <v>1633</v>
      </c>
      <c r="AB244" s="38">
        <f>SUM(U$211:U244)</f>
        <v>668</v>
      </c>
      <c r="AC244" s="38">
        <f>SUM(V$211:V244)</f>
        <v>204</v>
      </c>
      <c r="AD244" s="38">
        <f t="shared" si="81"/>
        <v>137300</v>
      </c>
    </row>
    <row r="245" spans="1:30" x14ac:dyDescent="0.25">
      <c r="A245" s="86" t="s">
        <v>254</v>
      </c>
      <c r="B245" s="14">
        <f t="shared" si="72"/>
        <v>35</v>
      </c>
      <c r="C245" s="14">
        <f t="shared" si="87"/>
        <v>39</v>
      </c>
      <c r="D245" s="14">
        <f t="shared" si="87"/>
        <v>20</v>
      </c>
      <c r="E245" s="14">
        <f t="shared" si="87"/>
        <v>9</v>
      </c>
      <c r="F245" s="14">
        <f t="shared" si="87"/>
        <v>615</v>
      </c>
      <c r="G245" s="74">
        <f t="shared" si="73"/>
        <v>667</v>
      </c>
      <c r="H245" s="14">
        <f t="shared" si="89"/>
        <v>9450</v>
      </c>
      <c r="I245" s="14"/>
      <c r="J245" s="14">
        <f t="shared" si="88"/>
        <v>18600</v>
      </c>
      <c r="K245" s="14">
        <f t="shared" si="88"/>
        <v>6</v>
      </c>
      <c r="L245" s="14">
        <v>1</v>
      </c>
      <c r="M245" s="14">
        <f t="shared" si="82"/>
        <v>198</v>
      </c>
      <c r="N245" s="14">
        <f t="shared" si="82"/>
        <v>99</v>
      </c>
      <c r="O245" s="14">
        <f t="shared" si="82"/>
        <v>45</v>
      </c>
      <c r="P245" s="14">
        <f t="shared" si="84"/>
        <v>300</v>
      </c>
      <c r="Q245" s="38">
        <f t="shared" si="85"/>
        <v>300</v>
      </c>
      <c r="R245" s="38">
        <f t="shared" si="75"/>
        <v>28050</v>
      </c>
      <c r="S245" s="38">
        <f t="shared" si="76"/>
        <v>198</v>
      </c>
      <c r="T245" s="38">
        <f t="shared" si="77"/>
        <v>99</v>
      </c>
      <c r="U245" s="38">
        <f t="shared" si="78"/>
        <v>45</v>
      </c>
      <c r="V245" s="38">
        <f t="shared" si="86"/>
        <v>6</v>
      </c>
      <c r="W245" s="38">
        <f t="shared" si="80"/>
        <v>8664</v>
      </c>
      <c r="X245" s="38">
        <f>SUM(Q$211:Q245)</f>
        <v>8250</v>
      </c>
      <c r="Y245" s="38">
        <f>SUM(R$211:R245)</f>
        <v>461250</v>
      </c>
      <c r="Z245" s="38">
        <f>SUM(S$211:S245)</f>
        <v>3459</v>
      </c>
      <c r="AA245" s="38">
        <f>SUM(T$211:T245)</f>
        <v>1732</v>
      </c>
      <c r="AB245" s="38">
        <f>SUM(U$211:U245)</f>
        <v>713</v>
      </c>
      <c r="AC245" s="38">
        <f>SUM(V$211:V245)</f>
        <v>210</v>
      </c>
      <c r="AD245" s="38">
        <f t="shared" si="81"/>
        <v>145964</v>
      </c>
    </row>
    <row r="246" spans="1:30" x14ac:dyDescent="0.25">
      <c r="A246" s="86" t="s">
        <v>254</v>
      </c>
      <c r="B246" s="14">
        <f t="shared" si="72"/>
        <v>36</v>
      </c>
      <c r="C246" s="14">
        <f t="shared" si="87"/>
        <v>41</v>
      </c>
      <c r="D246" s="14">
        <f t="shared" si="87"/>
        <v>20</v>
      </c>
      <c r="E246" s="14">
        <f t="shared" si="87"/>
        <v>9</v>
      </c>
      <c r="F246" s="14">
        <f t="shared" si="87"/>
        <v>615</v>
      </c>
      <c r="G246" s="74">
        <f t="shared" si="73"/>
        <v>669</v>
      </c>
      <c r="H246" s="14">
        <f t="shared" si="89"/>
        <v>9750</v>
      </c>
      <c r="I246" s="14"/>
      <c r="J246" s="14">
        <f t="shared" si="88"/>
        <v>19200</v>
      </c>
      <c r="K246" s="14">
        <f t="shared" si="88"/>
        <v>6</v>
      </c>
      <c r="L246" s="14">
        <v>1</v>
      </c>
      <c r="M246" s="14">
        <f t="shared" si="82"/>
        <v>204</v>
      </c>
      <c r="N246" s="14">
        <f t="shared" si="82"/>
        <v>102</v>
      </c>
      <c r="O246" s="14">
        <f t="shared" si="82"/>
        <v>47</v>
      </c>
      <c r="P246" s="14">
        <f t="shared" si="84"/>
        <v>300</v>
      </c>
      <c r="Q246" s="38">
        <f t="shared" si="85"/>
        <v>300</v>
      </c>
      <c r="R246" s="38">
        <f t="shared" si="75"/>
        <v>28950</v>
      </c>
      <c r="S246" s="38">
        <f t="shared" si="76"/>
        <v>204</v>
      </c>
      <c r="T246" s="38">
        <f t="shared" si="77"/>
        <v>102</v>
      </c>
      <c r="U246" s="38">
        <f t="shared" si="78"/>
        <v>47</v>
      </c>
      <c r="V246" s="38">
        <f t="shared" si="86"/>
        <v>6</v>
      </c>
      <c r="W246" s="38">
        <f t="shared" si="80"/>
        <v>8955</v>
      </c>
      <c r="X246" s="38">
        <f>SUM(Q$211:Q246)</f>
        <v>8550</v>
      </c>
      <c r="Y246" s="38">
        <f>SUM(R$211:R246)</f>
        <v>490200</v>
      </c>
      <c r="Z246" s="38">
        <f>SUM(S$211:S246)</f>
        <v>3663</v>
      </c>
      <c r="AA246" s="38">
        <f>SUM(T$211:T246)</f>
        <v>1834</v>
      </c>
      <c r="AB246" s="38">
        <f>SUM(U$211:U246)</f>
        <v>760</v>
      </c>
      <c r="AC246" s="38">
        <f>SUM(V$211:V246)</f>
        <v>216</v>
      </c>
      <c r="AD246" s="38">
        <f t="shared" si="81"/>
        <v>154919</v>
      </c>
    </row>
    <row r="247" spans="1:30" x14ac:dyDescent="0.25">
      <c r="A247" s="86" t="s">
        <v>254</v>
      </c>
      <c r="B247" s="14">
        <f t="shared" si="72"/>
        <v>37</v>
      </c>
      <c r="C247" s="14">
        <f t="shared" si="87"/>
        <v>42</v>
      </c>
      <c r="D247" s="14">
        <f t="shared" si="87"/>
        <v>21</v>
      </c>
      <c r="E247" s="14">
        <f t="shared" si="87"/>
        <v>9</v>
      </c>
      <c r="F247" s="14">
        <f t="shared" si="87"/>
        <v>645</v>
      </c>
      <c r="G247" s="74">
        <f t="shared" si="73"/>
        <v>681</v>
      </c>
      <c r="H247" s="14">
        <f t="shared" si="89"/>
        <v>10050</v>
      </c>
      <c r="I247" s="14"/>
      <c r="J247" s="14">
        <f t="shared" si="88"/>
        <v>19800</v>
      </c>
      <c r="K247" s="14">
        <f t="shared" si="88"/>
        <v>6</v>
      </c>
      <c r="L247" s="14">
        <v>1</v>
      </c>
      <c r="M247" s="14">
        <f t="shared" ref="M247:O266" si="90">MAX(1,ROUND(M44*INDEX($O$1:$U$4,MATCH($A247,$O$1:$O$4,0),MATCH(M$210,$O$1:$U$1,0)),0))</f>
        <v>210</v>
      </c>
      <c r="N247" s="14">
        <f t="shared" si="90"/>
        <v>105</v>
      </c>
      <c r="O247" s="14">
        <f t="shared" si="90"/>
        <v>48</v>
      </c>
      <c r="P247" s="14">
        <f t="shared" si="84"/>
        <v>300</v>
      </c>
      <c r="Q247" s="38">
        <f t="shared" si="85"/>
        <v>300</v>
      </c>
      <c r="R247" s="38">
        <f t="shared" si="75"/>
        <v>29850</v>
      </c>
      <c r="S247" s="38">
        <f t="shared" si="76"/>
        <v>210</v>
      </c>
      <c r="T247" s="38">
        <f t="shared" si="77"/>
        <v>105</v>
      </c>
      <c r="U247" s="38">
        <f t="shared" si="78"/>
        <v>48</v>
      </c>
      <c r="V247" s="38">
        <f t="shared" si="86"/>
        <v>6</v>
      </c>
      <c r="W247" s="38">
        <f t="shared" si="80"/>
        <v>9201</v>
      </c>
      <c r="X247" s="38">
        <f>SUM(Q$211:Q247)</f>
        <v>8850</v>
      </c>
      <c r="Y247" s="38">
        <f>SUM(R$211:R247)</f>
        <v>520050</v>
      </c>
      <c r="Z247" s="38">
        <f>SUM(S$211:S247)</f>
        <v>3873</v>
      </c>
      <c r="AA247" s="38">
        <f>SUM(T$211:T247)</f>
        <v>1939</v>
      </c>
      <c r="AB247" s="38">
        <f>SUM(U$211:U247)</f>
        <v>808</v>
      </c>
      <c r="AC247" s="38">
        <f>SUM(V$211:V247)</f>
        <v>222</v>
      </c>
      <c r="AD247" s="38">
        <f t="shared" si="81"/>
        <v>164120</v>
      </c>
    </row>
    <row r="248" spans="1:30" x14ac:dyDescent="0.25">
      <c r="A248" s="86" t="s">
        <v>254</v>
      </c>
      <c r="B248" s="14">
        <f t="shared" si="72"/>
        <v>38</v>
      </c>
      <c r="C248" s="14">
        <f t="shared" si="87"/>
        <v>44</v>
      </c>
      <c r="D248" s="14">
        <f t="shared" si="87"/>
        <v>21</v>
      </c>
      <c r="E248" s="14">
        <f t="shared" si="87"/>
        <v>11</v>
      </c>
      <c r="F248" s="14">
        <f t="shared" si="87"/>
        <v>645</v>
      </c>
      <c r="G248" s="74">
        <f t="shared" si="73"/>
        <v>773</v>
      </c>
      <c r="H248" s="14">
        <f t="shared" si="89"/>
        <v>10350</v>
      </c>
      <c r="I248" s="14"/>
      <c r="J248" s="14">
        <f t="shared" si="88"/>
        <v>20400</v>
      </c>
      <c r="K248" s="14">
        <f t="shared" si="88"/>
        <v>6</v>
      </c>
      <c r="L248" s="14">
        <v>1</v>
      </c>
      <c r="M248" s="14">
        <f t="shared" si="90"/>
        <v>216</v>
      </c>
      <c r="N248" s="14">
        <f t="shared" si="90"/>
        <v>108</v>
      </c>
      <c r="O248" s="14">
        <f t="shared" si="90"/>
        <v>50</v>
      </c>
      <c r="P248" s="14">
        <f t="shared" si="84"/>
        <v>300</v>
      </c>
      <c r="Q248" s="38">
        <f t="shared" si="85"/>
        <v>300</v>
      </c>
      <c r="R248" s="38">
        <f t="shared" si="75"/>
        <v>30750</v>
      </c>
      <c r="S248" s="38">
        <f t="shared" si="76"/>
        <v>216</v>
      </c>
      <c r="T248" s="38">
        <f t="shared" si="77"/>
        <v>108</v>
      </c>
      <c r="U248" s="38">
        <f t="shared" si="78"/>
        <v>50</v>
      </c>
      <c r="V248" s="38">
        <f t="shared" si="86"/>
        <v>6</v>
      </c>
      <c r="W248" s="38">
        <f t="shared" si="80"/>
        <v>9492</v>
      </c>
      <c r="X248" s="38">
        <f>SUM(Q$211:Q248)</f>
        <v>9150</v>
      </c>
      <c r="Y248" s="38">
        <f>SUM(R$211:R248)</f>
        <v>550800</v>
      </c>
      <c r="Z248" s="38">
        <f>SUM(S$211:S248)</f>
        <v>4089</v>
      </c>
      <c r="AA248" s="38">
        <f>SUM(T$211:T248)</f>
        <v>2047</v>
      </c>
      <c r="AB248" s="38">
        <f>SUM(U$211:U248)</f>
        <v>858</v>
      </c>
      <c r="AC248" s="38">
        <f>SUM(V$211:V248)</f>
        <v>228</v>
      </c>
      <c r="AD248" s="38">
        <f t="shared" si="81"/>
        <v>173612</v>
      </c>
    </row>
    <row r="249" spans="1:30" x14ac:dyDescent="0.25">
      <c r="A249" s="86" t="s">
        <v>254</v>
      </c>
      <c r="B249" s="14">
        <f t="shared" si="72"/>
        <v>39</v>
      </c>
      <c r="C249" s="14">
        <f t="shared" si="87"/>
        <v>45</v>
      </c>
      <c r="D249" s="14">
        <f t="shared" si="87"/>
        <v>23</v>
      </c>
      <c r="E249" s="14">
        <f t="shared" si="87"/>
        <v>11</v>
      </c>
      <c r="F249" s="14">
        <f t="shared" si="87"/>
        <v>675</v>
      </c>
      <c r="G249" s="74">
        <f t="shared" si="73"/>
        <v>790</v>
      </c>
      <c r="H249" s="14">
        <f t="shared" si="89"/>
        <v>10650</v>
      </c>
      <c r="I249" s="14"/>
      <c r="J249" s="14">
        <f t="shared" si="88"/>
        <v>21000</v>
      </c>
      <c r="K249" s="14">
        <f t="shared" si="88"/>
        <v>6</v>
      </c>
      <c r="L249" s="14">
        <v>1</v>
      </c>
      <c r="M249" s="14">
        <f t="shared" si="90"/>
        <v>222</v>
      </c>
      <c r="N249" s="14">
        <f t="shared" si="90"/>
        <v>111</v>
      </c>
      <c r="O249" s="14">
        <f t="shared" si="90"/>
        <v>51</v>
      </c>
      <c r="P249" s="14">
        <f t="shared" si="84"/>
        <v>300</v>
      </c>
      <c r="Q249" s="38">
        <f t="shared" si="85"/>
        <v>300</v>
      </c>
      <c r="R249" s="38">
        <f t="shared" si="75"/>
        <v>31650</v>
      </c>
      <c r="S249" s="38">
        <f t="shared" si="76"/>
        <v>222</v>
      </c>
      <c r="T249" s="38">
        <f t="shared" si="77"/>
        <v>111</v>
      </c>
      <c r="U249" s="38">
        <f t="shared" si="78"/>
        <v>51</v>
      </c>
      <c r="V249" s="38">
        <f t="shared" si="86"/>
        <v>6</v>
      </c>
      <c r="W249" s="38">
        <f t="shared" si="80"/>
        <v>9738</v>
      </c>
      <c r="X249" s="38">
        <f>SUM(Q$211:Q249)</f>
        <v>9450</v>
      </c>
      <c r="Y249" s="38">
        <f>SUM(R$211:R249)</f>
        <v>582450</v>
      </c>
      <c r="Z249" s="38">
        <f>SUM(S$211:S249)</f>
        <v>4311</v>
      </c>
      <c r="AA249" s="38">
        <f>SUM(T$211:T249)</f>
        <v>2158</v>
      </c>
      <c r="AB249" s="38">
        <f>SUM(U$211:U249)</f>
        <v>909</v>
      </c>
      <c r="AC249" s="38">
        <f>SUM(V$211:V249)</f>
        <v>234</v>
      </c>
      <c r="AD249" s="38">
        <f t="shared" si="81"/>
        <v>183350</v>
      </c>
    </row>
    <row r="250" spans="1:30" x14ac:dyDescent="0.25">
      <c r="A250" s="86" t="s">
        <v>254</v>
      </c>
      <c r="B250" s="14">
        <f t="shared" si="72"/>
        <v>40</v>
      </c>
      <c r="C250" s="14">
        <f t="shared" si="87"/>
        <v>45</v>
      </c>
      <c r="D250" s="14">
        <f t="shared" si="87"/>
        <v>23</v>
      </c>
      <c r="E250" s="14">
        <f t="shared" si="87"/>
        <v>11</v>
      </c>
      <c r="F250" s="14">
        <f t="shared" si="87"/>
        <v>675</v>
      </c>
      <c r="G250" s="74">
        <f t="shared" si="73"/>
        <v>790</v>
      </c>
      <c r="H250" s="14">
        <f t="shared" si="89"/>
        <v>10950</v>
      </c>
      <c r="I250" s="14"/>
      <c r="J250" s="14">
        <f t="shared" si="88"/>
        <v>21600</v>
      </c>
      <c r="K250" s="14">
        <f t="shared" si="88"/>
        <v>6</v>
      </c>
      <c r="L250" s="14">
        <v>1</v>
      </c>
      <c r="M250" s="14">
        <f t="shared" si="90"/>
        <v>228</v>
      </c>
      <c r="N250" s="14">
        <f t="shared" si="90"/>
        <v>114</v>
      </c>
      <c r="O250" s="14">
        <f t="shared" si="90"/>
        <v>53</v>
      </c>
      <c r="P250" s="14">
        <f t="shared" si="84"/>
        <v>300</v>
      </c>
      <c r="Q250" s="38">
        <f t="shared" si="85"/>
        <v>300</v>
      </c>
      <c r="R250" s="38">
        <f t="shared" si="75"/>
        <v>32550</v>
      </c>
      <c r="S250" s="38">
        <f t="shared" si="76"/>
        <v>228</v>
      </c>
      <c r="T250" s="38">
        <f t="shared" si="77"/>
        <v>114</v>
      </c>
      <c r="U250" s="38">
        <f t="shared" si="78"/>
        <v>53</v>
      </c>
      <c r="V250" s="38">
        <f t="shared" si="86"/>
        <v>6</v>
      </c>
      <c r="W250" s="38">
        <f t="shared" si="80"/>
        <v>10029</v>
      </c>
      <c r="X250" s="38">
        <f>SUM(Q$211:Q250)</f>
        <v>9750</v>
      </c>
      <c r="Y250" s="38">
        <f>SUM(R$211:R250)</f>
        <v>615000</v>
      </c>
      <c r="Z250" s="38">
        <f>SUM(S$211:S250)</f>
        <v>4539</v>
      </c>
      <c r="AA250" s="38">
        <f>SUM(T$211:T250)</f>
        <v>2272</v>
      </c>
      <c r="AB250" s="38">
        <f>SUM(U$211:U250)</f>
        <v>962</v>
      </c>
      <c r="AC250" s="38">
        <f>SUM(V$211:V250)</f>
        <v>240</v>
      </c>
      <c r="AD250" s="38">
        <f t="shared" si="81"/>
        <v>193379</v>
      </c>
    </row>
    <row r="251" spans="1:30" x14ac:dyDescent="0.25">
      <c r="A251" s="86" t="s">
        <v>254</v>
      </c>
      <c r="B251" s="14">
        <f t="shared" si="72"/>
        <v>41</v>
      </c>
      <c r="C251" s="14">
        <f t="shared" ref="C251:F270" si="91">MAX(1,ROUND(C48*INDEX($O$1:$U$4,MATCH($A251,$O$1:$O$4,0),MATCH(C$210,$O$1:$U$1,0)),0))</f>
        <v>47</v>
      </c>
      <c r="D251" s="14">
        <f t="shared" si="91"/>
        <v>23</v>
      </c>
      <c r="E251" s="14">
        <f t="shared" si="91"/>
        <v>11</v>
      </c>
      <c r="F251" s="14">
        <f t="shared" si="91"/>
        <v>705</v>
      </c>
      <c r="G251" s="74">
        <f t="shared" si="73"/>
        <v>798</v>
      </c>
      <c r="H251" s="14">
        <f t="shared" si="89"/>
        <v>11250</v>
      </c>
      <c r="I251" s="14"/>
      <c r="J251" s="14">
        <f t="shared" ref="J251:K270" si="92">MAX(1,ROUND(J48*INDEX($O$1:$U$4,MATCH($A251,$O$1:$O$4,0),MATCH(J$210,$O$1:$U$1,0)),0))</f>
        <v>22200</v>
      </c>
      <c r="K251" s="14">
        <f t="shared" si="92"/>
        <v>6</v>
      </c>
      <c r="L251" s="14">
        <v>1</v>
      </c>
      <c r="M251" s="14">
        <f t="shared" si="90"/>
        <v>234</v>
      </c>
      <c r="N251" s="14">
        <f t="shared" si="90"/>
        <v>117</v>
      </c>
      <c r="O251" s="14">
        <f t="shared" si="90"/>
        <v>54</v>
      </c>
      <c r="P251" s="14">
        <f t="shared" si="84"/>
        <v>300</v>
      </c>
      <c r="Q251" s="38">
        <f t="shared" si="85"/>
        <v>300</v>
      </c>
      <c r="R251" s="38">
        <f t="shared" si="75"/>
        <v>33450</v>
      </c>
      <c r="S251" s="38">
        <f t="shared" si="76"/>
        <v>234</v>
      </c>
      <c r="T251" s="38">
        <f t="shared" si="77"/>
        <v>117</v>
      </c>
      <c r="U251" s="38">
        <f t="shared" si="78"/>
        <v>54</v>
      </c>
      <c r="V251" s="38">
        <f t="shared" si="86"/>
        <v>6</v>
      </c>
      <c r="W251" s="38">
        <f t="shared" si="80"/>
        <v>10275</v>
      </c>
      <c r="X251" s="38">
        <f>SUM(Q$211:Q251)</f>
        <v>10050</v>
      </c>
      <c r="Y251" s="38">
        <f>SUM(R$211:R251)</f>
        <v>648450</v>
      </c>
      <c r="Z251" s="38">
        <f>SUM(S$211:S251)</f>
        <v>4773</v>
      </c>
      <c r="AA251" s="38">
        <f>SUM(T$211:T251)</f>
        <v>2389</v>
      </c>
      <c r="AB251" s="38">
        <f>SUM(U$211:U251)</f>
        <v>1016</v>
      </c>
      <c r="AC251" s="38">
        <f>SUM(V$211:V251)</f>
        <v>246</v>
      </c>
      <c r="AD251" s="38">
        <f t="shared" si="81"/>
        <v>203654</v>
      </c>
    </row>
    <row r="252" spans="1:30" x14ac:dyDescent="0.25">
      <c r="A252" s="86" t="s">
        <v>254</v>
      </c>
      <c r="B252" s="14">
        <f t="shared" si="72"/>
        <v>42</v>
      </c>
      <c r="C252" s="14">
        <f t="shared" si="91"/>
        <v>48</v>
      </c>
      <c r="D252" s="14">
        <f t="shared" si="91"/>
        <v>24</v>
      </c>
      <c r="E252" s="14">
        <f t="shared" si="91"/>
        <v>11</v>
      </c>
      <c r="F252" s="14">
        <f t="shared" si="91"/>
        <v>705</v>
      </c>
      <c r="G252" s="74">
        <f t="shared" si="73"/>
        <v>804</v>
      </c>
      <c r="H252" s="14">
        <f t="shared" si="89"/>
        <v>11550</v>
      </c>
      <c r="I252" s="14"/>
      <c r="J252" s="14">
        <f t="shared" si="92"/>
        <v>22800</v>
      </c>
      <c r="K252" s="14">
        <f t="shared" si="92"/>
        <v>6</v>
      </c>
      <c r="L252" s="14">
        <v>1</v>
      </c>
      <c r="M252" s="14">
        <f t="shared" si="90"/>
        <v>240</v>
      </c>
      <c r="N252" s="14">
        <f t="shared" si="90"/>
        <v>120</v>
      </c>
      <c r="O252" s="14">
        <f t="shared" si="90"/>
        <v>56</v>
      </c>
      <c r="P252" s="14">
        <f t="shared" si="84"/>
        <v>300</v>
      </c>
      <c r="Q252" s="38">
        <f t="shared" si="85"/>
        <v>300</v>
      </c>
      <c r="R252" s="38">
        <f t="shared" si="75"/>
        <v>34350</v>
      </c>
      <c r="S252" s="38">
        <f t="shared" si="76"/>
        <v>240</v>
      </c>
      <c r="T252" s="38">
        <f t="shared" si="77"/>
        <v>120</v>
      </c>
      <c r="U252" s="38">
        <f t="shared" si="78"/>
        <v>56</v>
      </c>
      <c r="V252" s="38">
        <f t="shared" si="86"/>
        <v>6</v>
      </c>
      <c r="W252" s="38">
        <f t="shared" si="80"/>
        <v>10566</v>
      </c>
      <c r="X252" s="38">
        <f>SUM(Q$211:Q252)</f>
        <v>10350</v>
      </c>
      <c r="Y252" s="38">
        <f>SUM(R$211:R252)</f>
        <v>682800</v>
      </c>
      <c r="Z252" s="38">
        <f>SUM(S$211:S252)</f>
        <v>5013</v>
      </c>
      <c r="AA252" s="38">
        <f>SUM(T$211:T252)</f>
        <v>2509</v>
      </c>
      <c r="AB252" s="38">
        <f>SUM(U$211:U252)</f>
        <v>1072</v>
      </c>
      <c r="AC252" s="38">
        <f>SUM(V$211:V252)</f>
        <v>252</v>
      </c>
      <c r="AD252" s="38">
        <f t="shared" si="81"/>
        <v>214220</v>
      </c>
    </row>
    <row r="253" spans="1:30" x14ac:dyDescent="0.25">
      <c r="A253" s="86" t="s">
        <v>254</v>
      </c>
      <c r="B253" s="14">
        <f t="shared" si="72"/>
        <v>43</v>
      </c>
      <c r="C253" s="14">
        <f t="shared" si="91"/>
        <v>50</v>
      </c>
      <c r="D253" s="14">
        <f t="shared" si="91"/>
        <v>24</v>
      </c>
      <c r="E253" s="14">
        <f t="shared" si="91"/>
        <v>12</v>
      </c>
      <c r="F253" s="14">
        <f t="shared" si="91"/>
        <v>735</v>
      </c>
      <c r="G253" s="74">
        <f t="shared" si="73"/>
        <v>857</v>
      </c>
      <c r="H253" s="14">
        <f t="shared" si="89"/>
        <v>11850</v>
      </c>
      <c r="I253" s="14"/>
      <c r="J253" s="14">
        <f t="shared" si="92"/>
        <v>23400</v>
      </c>
      <c r="K253" s="14">
        <f t="shared" si="92"/>
        <v>6</v>
      </c>
      <c r="L253" s="14">
        <v>1</v>
      </c>
      <c r="M253" s="14">
        <f t="shared" si="90"/>
        <v>246</v>
      </c>
      <c r="N253" s="14">
        <f t="shared" si="90"/>
        <v>123</v>
      </c>
      <c r="O253" s="14">
        <f t="shared" si="90"/>
        <v>57</v>
      </c>
      <c r="P253" s="14">
        <f t="shared" si="84"/>
        <v>300</v>
      </c>
      <c r="Q253" s="38">
        <f t="shared" si="85"/>
        <v>300</v>
      </c>
      <c r="R253" s="38">
        <f t="shared" si="75"/>
        <v>35250</v>
      </c>
      <c r="S253" s="38">
        <f t="shared" si="76"/>
        <v>246</v>
      </c>
      <c r="T253" s="38">
        <f t="shared" si="77"/>
        <v>123</v>
      </c>
      <c r="U253" s="38">
        <f t="shared" si="78"/>
        <v>57</v>
      </c>
      <c r="V253" s="38">
        <f t="shared" si="86"/>
        <v>6</v>
      </c>
      <c r="W253" s="38">
        <f t="shared" si="80"/>
        <v>10812</v>
      </c>
      <c r="X253" s="38">
        <f>SUM(Q$211:Q253)</f>
        <v>10650</v>
      </c>
      <c r="Y253" s="38">
        <f>SUM(R$211:R253)</f>
        <v>718050</v>
      </c>
      <c r="Z253" s="38">
        <f>SUM(S$211:S253)</f>
        <v>5259</v>
      </c>
      <c r="AA253" s="38">
        <f>SUM(T$211:T253)</f>
        <v>2632</v>
      </c>
      <c r="AB253" s="38">
        <f>SUM(U$211:U253)</f>
        <v>1129</v>
      </c>
      <c r="AC253" s="38">
        <f>SUM(V$211:V253)</f>
        <v>258</v>
      </c>
      <c r="AD253" s="38">
        <f t="shared" si="81"/>
        <v>225032</v>
      </c>
    </row>
    <row r="254" spans="1:30" x14ac:dyDescent="0.25">
      <c r="A254" s="86" t="s">
        <v>254</v>
      </c>
      <c r="B254" s="14">
        <f t="shared" si="72"/>
        <v>44</v>
      </c>
      <c r="C254" s="14">
        <f t="shared" si="91"/>
        <v>51</v>
      </c>
      <c r="D254" s="14">
        <f t="shared" si="91"/>
        <v>26</v>
      </c>
      <c r="E254" s="14">
        <f t="shared" si="91"/>
        <v>12</v>
      </c>
      <c r="F254" s="14">
        <f t="shared" si="91"/>
        <v>735</v>
      </c>
      <c r="G254" s="74">
        <f t="shared" si="73"/>
        <v>868</v>
      </c>
      <c r="H254" s="14">
        <f t="shared" si="89"/>
        <v>12150</v>
      </c>
      <c r="I254" s="14"/>
      <c r="J254" s="14">
        <f t="shared" si="92"/>
        <v>24000</v>
      </c>
      <c r="K254" s="14">
        <f t="shared" si="92"/>
        <v>6</v>
      </c>
      <c r="L254" s="14">
        <v>1</v>
      </c>
      <c r="M254" s="14">
        <f t="shared" si="90"/>
        <v>252</v>
      </c>
      <c r="N254" s="14">
        <f t="shared" si="90"/>
        <v>126</v>
      </c>
      <c r="O254" s="14">
        <f t="shared" si="90"/>
        <v>59</v>
      </c>
      <c r="P254" s="14">
        <f t="shared" si="84"/>
        <v>300</v>
      </c>
      <c r="Q254" s="38">
        <f t="shared" si="85"/>
        <v>300</v>
      </c>
      <c r="R254" s="38">
        <f t="shared" si="75"/>
        <v>36150</v>
      </c>
      <c r="S254" s="38">
        <f t="shared" si="76"/>
        <v>252</v>
      </c>
      <c r="T254" s="38">
        <f t="shared" si="77"/>
        <v>126</v>
      </c>
      <c r="U254" s="38">
        <f t="shared" si="78"/>
        <v>59</v>
      </c>
      <c r="V254" s="38">
        <f t="shared" si="86"/>
        <v>6</v>
      </c>
      <c r="W254" s="38">
        <f t="shared" si="80"/>
        <v>11103</v>
      </c>
      <c r="X254" s="38">
        <f>SUM(Q$211:Q254)</f>
        <v>10950</v>
      </c>
      <c r="Y254" s="38">
        <f>SUM(R$211:R254)</f>
        <v>754200</v>
      </c>
      <c r="Z254" s="38">
        <f>SUM(S$211:S254)</f>
        <v>5511</v>
      </c>
      <c r="AA254" s="38">
        <f>SUM(T$211:T254)</f>
        <v>2758</v>
      </c>
      <c r="AB254" s="38">
        <f>SUM(U$211:U254)</f>
        <v>1188</v>
      </c>
      <c r="AC254" s="38">
        <f>SUM(V$211:V254)</f>
        <v>264</v>
      </c>
      <c r="AD254" s="38">
        <f t="shared" si="81"/>
        <v>236135</v>
      </c>
    </row>
    <row r="255" spans="1:30" x14ac:dyDescent="0.25">
      <c r="A255" s="86" t="s">
        <v>254</v>
      </c>
      <c r="B255" s="14">
        <f t="shared" si="72"/>
        <v>45</v>
      </c>
      <c r="C255" s="14">
        <f t="shared" si="91"/>
        <v>51</v>
      </c>
      <c r="D255" s="14">
        <f t="shared" si="91"/>
        <v>26</v>
      </c>
      <c r="E255" s="14">
        <f t="shared" si="91"/>
        <v>12</v>
      </c>
      <c r="F255" s="14">
        <f t="shared" si="91"/>
        <v>765</v>
      </c>
      <c r="G255" s="74">
        <f t="shared" si="73"/>
        <v>874</v>
      </c>
      <c r="H255" s="14">
        <f t="shared" si="89"/>
        <v>12450</v>
      </c>
      <c r="I255" s="14"/>
      <c r="J255" s="14">
        <f t="shared" si="92"/>
        <v>24600</v>
      </c>
      <c r="K255" s="14">
        <f t="shared" si="92"/>
        <v>6</v>
      </c>
      <c r="L255" s="14">
        <v>1</v>
      </c>
      <c r="M255" s="14">
        <f t="shared" si="90"/>
        <v>258</v>
      </c>
      <c r="N255" s="14">
        <f t="shared" si="90"/>
        <v>129</v>
      </c>
      <c r="O255" s="14">
        <f t="shared" si="90"/>
        <v>60</v>
      </c>
      <c r="P255" s="14">
        <f t="shared" si="84"/>
        <v>300</v>
      </c>
      <c r="Q255" s="38">
        <f t="shared" si="85"/>
        <v>300</v>
      </c>
      <c r="R255" s="38">
        <f t="shared" si="75"/>
        <v>37050</v>
      </c>
      <c r="S255" s="38">
        <f t="shared" si="76"/>
        <v>258</v>
      </c>
      <c r="T255" s="38">
        <f t="shared" si="77"/>
        <v>129</v>
      </c>
      <c r="U255" s="38">
        <f t="shared" si="78"/>
        <v>60</v>
      </c>
      <c r="V255" s="38">
        <f t="shared" si="86"/>
        <v>6</v>
      </c>
      <c r="W255" s="38">
        <f t="shared" si="80"/>
        <v>11349</v>
      </c>
      <c r="X255" s="38">
        <f>SUM(Q$211:Q255)</f>
        <v>11250</v>
      </c>
      <c r="Y255" s="38">
        <f>SUM(R$211:R255)</f>
        <v>791250</v>
      </c>
      <c r="Z255" s="38">
        <f>SUM(S$211:S255)</f>
        <v>5769</v>
      </c>
      <c r="AA255" s="38">
        <f>SUM(T$211:T255)</f>
        <v>2887</v>
      </c>
      <c r="AB255" s="38">
        <f>SUM(U$211:U255)</f>
        <v>1248</v>
      </c>
      <c r="AC255" s="38">
        <f>SUM(V$211:V255)</f>
        <v>270</v>
      </c>
      <c r="AD255" s="38">
        <f t="shared" si="81"/>
        <v>247484</v>
      </c>
    </row>
    <row r="256" spans="1:30" x14ac:dyDescent="0.25">
      <c r="A256" s="86" t="s">
        <v>254</v>
      </c>
      <c r="B256" s="14">
        <f t="shared" si="72"/>
        <v>46</v>
      </c>
      <c r="C256" s="14">
        <f t="shared" si="91"/>
        <v>53</v>
      </c>
      <c r="D256" s="14">
        <f t="shared" si="91"/>
        <v>26</v>
      </c>
      <c r="E256" s="14">
        <f t="shared" si="91"/>
        <v>12</v>
      </c>
      <c r="F256" s="14">
        <f t="shared" si="91"/>
        <v>765</v>
      </c>
      <c r="G256" s="74">
        <f t="shared" si="73"/>
        <v>876</v>
      </c>
      <c r="H256" s="14">
        <f t="shared" si="89"/>
        <v>12750</v>
      </c>
      <c r="I256" s="14"/>
      <c r="J256" s="14">
        <f t="shared" si="92"/>
        <v>25200</v>
      </c>
      <c r="K256" s="14">
        <f t="shared" si="92"/>
        <v>6</v>
      </c>
      <c r="L256" s="14">
        <v>1</v>
      </c>
      <c r="M256" s="14">
        <f t="shared" si="90"/>
        <v>264</v>
      </c>
      <c r="N256" s="14">
        <f t="shared" si="90"/>
        <v>132</v>
      </c>
      <c r="O256" s="14">
        <f t="shared" si="90"/>
        <v>62</v>
      </c>
      <c r="P256" s="14">
        <f t="shared" si="84"/>
        <v>300</v>
      </c>
      <c r="Q256" s="38">
        <f t="shared" si="85"/>
        <v>300</v>
      </c>
      <c r="R256" s="38">
        <f t="shared" si="75"/>
        <v>37950</v>
      </c>
      <c r="S256" s="38">
        <f t="shared" si="76"/>
        <v>264</v>
      </c>
      <c r="T256" s="38">
        <f t="shared" si="77"/>
        <v>132</v>
      </c>
      <c r="U256" s="38">
        <f t="shared" si="78"/>
        <v>62</v>
      </c>
      <c r="V256" s="38">
        <f t="shared" si="86"/>
        <v>6</v>
      </c>
      <c r="W256" s="38">
        <f t="shared" si="80"/>
        <v>11640</v>
      </c>
      <c r="X256" s="38">
        <f>SUM(Q$211:Q256)</f>
        <v>11550</v>
      </c>
      <c r="Y256" s="38">
        <f>SUM(R$211:R256)</f>
        <v>829200</v>
      </c>
      <c r="Z256" s="38">
        <f>SUM(S$211:S256)</f>
        <v>6033</v>
      </c>
      <c r="AA256" s="38">
        <f>SUM(T$211:T256)</f>
        <v>3019</v>
      </c>
      <c r="AB256" s="38">
        <f>SUM(U$211:U256)</f>
        <v>1310</v>
      </c>
      <c r="AC256" s="38">
        <f>SUM(V$211:V256)</f>
        <v>276</v>
      </c>
      <c r="AD256" s="38">
        <f t="shared" si="81"/>
        <v>259124</v>
      </c>
    </row>
    <row r="257" spans="1:30" x14ac:dyDescent="0.25">
      <c r="A257" s="86" t="s">
        <v>254</v>
      </c>
      <c r="B257" s="14">
        <f t="shared" si="72"/>
        <v>47</v>
      </c>
      <c r="C257" s="14">
        <f t="shared" si="91"/>
        <v>54</v>
      </c>
      <c r="D257" s="14">
        <f t="shared" si="91"/>
        <v>27</v>
      </c>
      <c r="E257" s="14">
        <f t="shared" si="91"/>
        <v>12</v>
      </c>
      <c r="F257" s="14">
        <f t="shared" si="91"/>
        <v>795</v>
      </c>
      <c r="G257" s="74">
        <f t="shared" si="73"/>
        <v>888</v>
      </c>
      <c r="H257" s="14">
        <f t="shared" si="89"/>
        <v>13050</v>
      </c>
      <c r="I257" s="14"/>
      <c r="J257" s="14">
        <f t="shared" si="92"/>
        <v>25800</v>
      </c>
      <c r="K257" s="14">
        <f t="shared" si="92"/>
        <v>6</v>
      </c>
      <c r="L257" s="14">
        <v>1</v>
      </c>
      <c r="M257" s="14">
        <f t="shared" si="90"/>
        <v>270</v>
      </c>
      <c r="N257" s="14">
        <f t="shared" si="90"/>
        <v>135</v>
      </c>
      <c r="O257" s="14">
        <f t="shared" si="90"/>
        <v>63</v>
      </c>
      <c r="P257" s="14">
        <f t="shared" si="84"/>
        <v>300</v>
      </c>
      <c r="Q257" s="38">
        <f t="shared" si="85"/>
        <v>300</v>
      </c>
      <c r="R257" s="38">
        <f t="shared" si="75"/>
        <v>38850</v>
      </c>
      <c r="S257" s="38">
        <f t="shared" si="76"/>
        <v>270</v>
      </c>
      <c r="T257" s="38">
        <f t="shared" si="77"/>
        <v>135</v>
      </c>
      <c r="U257" s="38">
        <f t="shared" si="78"/>
        <v>63</v>
      </c>
      <c r="V257" s="38">
        <f t="shared" si="86"/>
        <v>6</v>
      </c>
      <c r="W257" s="38">
        <f t="shared" si="80"/>
        <v>11886</v>
      </c>
      <c r="X257" s="38">
        <f>SUM(Q$211:Q257)</f>
        <v>11850</v>
      </c>
      <c r="Y257" s="38">
        <f>SUM(R$211:R257)</f>
        <v>868050</v>
      </c>
      <c r="Z257" s="38">
        <f>SUM(S$211:S257)</f>
        <v>6303</v>
      </c>
      <c r="AA257" s="38">
        <f>SUM(T$211:T257)</f>
        <v>3154</v>
      </c>
      <c r="AB257" s="38">
        <f>SUM(U$211:U257)</f>
        <v>1373</v>
      </c>
      <c r="AC257" s="38">
        <f>SUM(V$211:V257)</f>
        <v>282</v>
      </c>
      <c r="AD257" s="38">
        <f t="shared" si="81"/>
        <v>271010</v>
      </c>
    </row>
    <row r="258" spans="1:30" x14ac:dyDescent="0.25">
      <c r="A258" s="86" t="s">
        <v>254</v>
      </c>
      <c r="B258" s="14">
        <f t="shared" si="72"/>
        <v>48</v>
      </c>
      <c r="C258" s="14">
        <f t="shared" si="91"/>
        <v>56</v>
      </c>
      <c r="D258" s="14">
        <f t="shared" si="91"/>
        <v>27</v>
      </c>
      <c r="E258" s="14">
        <f t="shared" si="91"/>
        <v>14</v>
      </c>
      <c r="F258" s="14">
        <f t="shared" si="91"/>
        <v>795</v>
      </c>
      <c r="G258" s="74">
        <f t="shared" si="73"/>
        <v>980</v>
      </c>
      <c r="H258" s="14">
        <f t="shared" si="89"/>
        <v>13350</v>
      </c>
      <c r="I258" s="14"/>
      <c r="J258" s="14">
        <f t="shared" si="92"/>
        <v>26400</v>
      </c>
      <c r="K258" s="14">
        <f t="shared" si="92"/>
        <v>6</v>
      </c>
      <c r="L258" s="14">
        <v>1</v>
      </c>
      <c r="M258" s="14">
        <f t="shared" si="90"/>
        <v>276</v>
      </c>
      <c r="N258" s="14">
        <f t="shared" si="90"/>
        <v>138</v>
      </c>
      <c r="O258" s="14">
        <f t="shared" si="90"/>
        <v>65</v>
      </c>
      <c r="P258" s="14">
        <f t="shared" si="84"/>
        <v>300</v>
      </c>
      <c r="Q258" s="38">
        <f t="shared" si="85"/>
        <v>300</v>
      </c>
      <c r="R258" s="38">
        <f t="shared" si="75"/>
        <v>39750</v>
      </c>
      <c r="S258" s="38">
        <f t="shared" si="76"/>
        <v>276</v>
      </c>
      <c r="T258" s="38">
        <f t="shared" si="77"/>
        <v>138</v>
      </c>
      <c r="U258" s="38">
        <f t="shared" si="78"/>
        <v>65</v>
      </c>
      <c r="V258" s="38">
        <f t="shared" si="86"/>
        <v>6</v>
      </c>
      <c r="W258" s="38">
        <f t="shared" si="80"/>
        <v>12177</v>
      </c>
      <c r="X258" s="38">
        <f>SUM(Q$211:Q258)</f>
        <v>12150</v>
      </c>
      <c r="Y258" s="38">
        <f>SUM(R$211:R258)</f>
        <v>907800</v>
      </c>
      <c r="Z258" s="38">
        <f>SUM(S$211:S258)</f>
        <v>6579</v>
      </c>
      <c r="AA258" s="38">
        <f>SUM(T$211:T258)</f>
        <v>3292</v>
      </c>
      <c r="AB258" s="38">
        <f>SUM(U$211:U258)</f>
        <v>1438</v>
      </c>
      <c r="AC258" s="38">
        <f>SUM(V$211:V258)</f>
        <v>288</v>
      </c>
      <c r="AD258" s="38">
        <f t="shared" si="81"/>
        <v>283187</v>
      </c>
    </row>
    <row r="259" spans="1:30" x14ac:dyDescent="0.25">
      <c r="A259" s="86" t="s">
        <v>254</v>
      </c>
      <c r="B259" s="14">
        <f t="shared" si="72"/>
        <v>49</v>
      </c>
      <c r="C259" s="14">
        <f t="shared" si="91"/>
        <v>57</v>
      </c>
      <c r="D259" s="14">
        <f t="shared" si="91"/>
        <v>29</v>
      </c>
      <c r="E259" s="14">
        <f t="shared" si="91"/>
        <v>14</v>
      </c>
      <c r="F259" s="14">
        <f t="shared" si="91"/>
        <v>825</v>
      </c>
      <c r="G259" s="74">
        <f t="shared" si="73"/>
        <v>997</v>
      </c>
      <c r="H259" s="14">
        <f t="shared" si="89"/>
        <v>13650</v>
      </c>
      <c r="I259" s="14"/>
      <c r="J259" s="14">
        <f t="shared" si="92"/>
        <v>27000</v>
      </c>
      <c r="K259" s="14">
        <f t="shared" si="92"/>
        <v>6</v>
      </c>
      <c r="L259" s="14">
        <v>1</v>
      </c>
      <c r="M259" s="14">
        <f t="shared" si="90"/>
        <v>282</v>
      </c>
      <c r="N259" s="14">
        <f t="shared" si="90"/>
        <v>141</v>
      </c>
      <c r="O259" s="14">
        <f t="shared" si="90"/>
        <v>66</v>
      </c>
      <c r="P259" s="14">
        <f t="shared" si="84"/>
        <v>300</v>
      </c>
      <c r="Q259" s="38">
        <f t="shared" si="85"/>
        <v>300</v>
      </c>
      <c r="R259" s="38">
        <f t="shared" si="75"/>
        <v>40650</v>
      </c>
      <c r="S259" s="38">
        <f t="shared" si="76"/>
        <v>282</v>
      </c>
      <c r="T259" s="38">
        <f t="shared" si="77"/>
        <v>141</v>
      </c>
      <c r="U259" s="38">
        <f t="shared" si="78"/>
        <v>66</v>
      </c>
      <c r="V259" s="38">
        <f t="shared" si="86"/>
        <v>6</v>
      </c>
      <c r="W259" s="38">
        <f t="shared" si="80"/>
        <v>12423</v>
      </c>
      <c r="X259" s="38">
        <f>SUM(Q$211:Q259)</f>
        <v>12450</v>
      </c>
      <c r="Y259" s="38">
        <f>SUM(R$211:R259)</f>
        <v>948450</v>
      </c>
      <c r="Z259" s="38">
        <f>SUM(S$211:S259)</f>
        <v>6861</v>
      </c>
      <c r="AA259" s="38">
        <f>SUM(T$211:T259)</f>
        <v>3433</v>
      </c>
      <c r="AB259" s="38">
        <f>SUM(U$211:U259)</f>
        <v>1504</v>
      </c>
      <c r="AC259" s="38">
        <f>SUM(V$211:V259)</f>
        <v>294</v>
      </c>
      <c r="AD259" s="38">
        <f t="shared" si="81"/>
        <v>295610</v>
      </c>
    </row>
    <row r="260" spans="1:30" x14ac:dyDescent="0.25">
      <c r="A260" s="86" t="s">
        <v>254</v>
      </c>
      <c r="B260" s="14">
        <f t="shared" si="72"/>
        <v>50</v>
      </c>
      <c r="C260" s="14">
        <f t="shared" si="91"/>
        <v>57</v>
      </c>
      <c r="D260" s="14">
        <f t="shared" si="91"/>
        <v>29</v>
      </c>
      <c r="E260" s="14">
        <f t="shared" si="91"/>
        <v>14</v>
      </c>
      <c r="F260" s="14">
        <f t="shared" si="91"/>
        <v>825</v>
      </c>
      <c r="G260" s="74">
        <f t="shared" si="73"/>
        <v>997</v>
      </c>
      <c r="H260" s="14">
        <f t="shared" si="89"/>
        <v>13950</v>
      </c>
      <c r="I260" s="14"/>
      <c r="J260" s="14">
        <f t="shared" si="92"/>
        <v>27600</v>
      </c>
      <c r="K260" s="14">
        <f t="shared" si="92"/>
        <v>6</v>
      </c>
      <c r="L260" s="14">
        <v>1</v>
      </c>
      <c r="M260" s="14">
        <f t="shared" si="90"/>
        <v>288</v>
      </c>
      <c r="N260" s="14">
        <f t="shared" si="90"/>
        <v>144</v>
      </c>
      <c r="O260" s="14">
        <f t="shared" si="90"/>
        <v>68</v>
      </c>
      <c r="P260" s="14">
        <f t="shared" ref="P260:P290" si="93">MAX(1,ROUND(P57*INDEX($O$1:$U$4,MATCH($A260,$O$1:$O$4,0),MATCH(P$210,$O$1:$U$1,0)),0))</f>
        <v>300</v>
      </c>
      <c r="Q260" s="38">
        <f t="shared" si="85"/>
        <v>300</v>
      </c>
      <c r="R260" s="38">
        <f t="shared" si="75"/>
        <v>41550</v>
      </c>
      <c r="S260" s="38">
        <f t="shared" si="76"/>
        <v>288</v>
      </c>
      <c r="T260" s="38">
        <f t="shared" si="77"/>
        <v>144</v>
      </c>
      <c r="U260" s="38">
        <f t="shared" si="78"/>
        <v>68</v>
      </c>
      <c r="V260" s="38">
        <f t="shared" si="86"/>
        <v>6</v>
      </c>
      <c r="W260" s="38">
        <f t="shared" si="80"/>
        <v>12714</v>
      </c>
      <c r="X260" s="38">
        <f>SUM(Q$211:Q260)</f>
        <v>12750</v>
      </c>
      <c r="Y260" s="38">
        <f>SUM(R$211:R260)</f>
        <v>990000</v>
      </c>
      <c r="Z260" s="38">
        <f>SUM(S$211:S260)</f>
        <v>7149</v>
      </c>
      <c r="AA260" s="38">
        <f>SUM(T$211:T260)</f>
        <v>3577</v>
      </c>
      <c r="AB260" s="38">
        <f>SUM(U$211:U260)</f>
        <v>1572</v>
      </c>
      <c r="AC260" s="38">
        <f>SUM(V$211:V260)</f>
        <v>300</v>
      </c>
      <c r="AD260" s="38">
        <f t="shared" si="81"/>
        <v>308324</v>
      </c>
    </row>
    <row r="261" spans="1:30" x14ac:dyDescent="0.25">
      <c r="A261" s="86" t="s">
        <v>254</v>
      </c>
      <c r="B261" s="14">
        <f t="shared" si="72"/>
        <v>51</v>
      </c>
      <c r="C261" s="14">
        <f t="shared" si="91"/>
        <v>59</v>
      </c>
      <c r="D261" s="14">
        <f t="shared" si="91"/>
        <v>29</v>
      </c>
      <c r="E261" s="14">
        <f t="shared" si="91"/>
        <v>14</v>
      </c>
      <c r="F261" s="14">
        <f t="shared" si="91"/>
        <v>855</v>
      </c>
      <c r="G261" s="74">
        <f t="shared" si="73"/>
        <v>1005</v>
      </c>
      <c r="H261" s="14">
        <f t="shared" si="89"/>
        <v>14250</v>
      </c>
      <c r="I261" s="14"/>
      <c r="J261" s="14">
        <f t="shared" si="92"/>
        <v>28200</v>
      </c>
      <c r="K261" s="14">
        <f t="shared" si="92"/>
        <v>6</v>
      </c>
      <c r="L261" s="14">
        <v>1</v>
      </c>
      <c r="M261" s="14">
        <f t="shared" si="90"/>
        <v>294</v>
      </c>
      <c r="N261" s="14">
        <f t="shared" si="90"/>
        <v>147</v>
      </c>
      <c r="O261" s="14">
        <f t="shared" si="90"/>
        <v>69</v>
      </c>
      <c r="P261" s="14">
        <f t="shared" si="93"/>
        <v>300</v>
      </c>
      <c r="Q261" s="38">
        <f t="shared" si="85"/>
        <v>300</v>
      </c>
      <c r="R261" s="38">
        <f t="shared" si="75"/>
        <v>42450</v>
      </c>
      <c r="S261" s="38">
        <f t="shared" si="76"/>
        <v>294</v>
      </c>
      <c r="T261" s="38">
        <f t="shared" si="77"/>
        <v>147</v>
      </c>
      <c r="U261" s="38"/>
      <c r="V261" s="38">
        <f t="shared" si="86"/>
        <v>6</v>
      </c>
      <c r="W261" s="38">
        <f t="shared" si="80"/>
        <v>9855</v>
      </c>
      <c r="X261" s="38">
        <f>SUM(Q$211:Q261)</f>
        <v>13050</v>
      </c>
      <c r="Y261" s="38">
        <f>SUM(R$211:R261)</f>
        <v>1032450</v>
      </c>
      <c r="Z261" s="38">
        <f>SUM(S$211:S261)</f>
        <v>7443</v>
      </c>
      <c r="AA261" s="38">
        <f>SUM(T$211:T261)</f>
        <v>3724</v>
      </c>
      <c r="AB261" s="38">
        <f>SUM(U$211:U261)</f>
        <v>1572</v>
      </c>
      <c r="AC261" s="38">
        <f>SUM(V$211:V261)</f>
        <v>306</v>
      </c>
      <c r="AD261" s="38">
        <f t="shared" si="81"/>
        <v>318179</v>
      </c>
    </row>
    <row r="262" spans="1:30" x14ac:dyDescent="0.25">
      <c r="A262" s="86" t="s">
        <v>254</v>
      </c>
      <c r="B262" s="14">
        <f t="shared" si="72"/>
        <v>52</v>
      </c>
      <c r="C262" s="14">
        <f t="shared" si="91"/>
        <v>60</v>
      </c>
      <c r="D262" s="14">
        <f t="shared" si="91"/>
        <v>30</v>
      </c>
      <c r="E262" s="14">
        <f t="shared" si="91"/>
        <v>14</v>
      </c>
      <c r="F262" s="14">
        <f t="shared" si="91"/>
        <v>855</v>
      </c>
      <c r="G262" s="74">
        <f t="shared" si="73"/>
        <v>1011</v>
      </c>
      <c r="H262" s="14">
        <f t="shared" si="89"/>
        <v>14550</v>
      </c>
      <c r="I262" s="14"/>
      <c r="J262" s="14">
        <f t="shared" si="92"/>
        <v>28800</v>
      </c>
      <c r="K262" s="14">
        <f t="shared" si="92"/>
        <v>6</v>
      </c>
      <c r="L262" s="14">
        <v>1</v>
      </c>
      <c r="M262" s="14">
        <f t="shared" si="90"/>
        <v>300</v>
      </c>
      <c r="N262" s="14">
        <f t="shared" si="90"/>
        <v>150</v>
      </c>
      <c r="O262" s="14">
        <f t="shared" si="90"/>
        <v>71</v>
      </c>
      <c r="P262" s="14">
        <f t="shared" si="93"/>
        <v>300</v>
      </c>
      <c r="Q262" s="38">
        <f t="shared" ref="Q262:Q293" si="94">P262</f>
        <v>300</v>
      </c>
      <c r="R262" s="38">
        <f t="shared" si="75"/>
        <v>43350</v>
      </c>
      <c r="S262" s="38">
        <f t="shared" si="76"/>
        <v>300</v>
      </c>
      <c r="T262" s="38">
        <f t="shared" si="77"/>
        <v>150</v>
      </c>
      <c r="U262" s="38"/>
      <c r="V262" s="38">
        <f t="shared" ref="V262:V293" si="95">K262</f>
        <v>6</v>
      </c>
      <c r="W262" s="38">
        <f t="shared" si="80"/>
        <v>10056</v>
      </c>
      <c r="X262" s="38">
        <f>SUM(Q$211:Q262)</f>
        <v>13350</v>
      </c>
      <c r="Y262" s="38">
        <f>SUM(R$211:R262)</f>
        <v>1075800</v>
      </c>
      <c r="Z262" s="38">
        <f>SUM(S$211:S262)</f>
        <v>7743</v>
      </c>
      <c r="AA262" s="38">
        <f>SUM(T$211:T262)</f>
        <v>3874</v>
      </c>
      <c r="AB262" s="38">
        <f>SUM(U$211:U262)</f>
        <v>1572</v>
      </c>
      <c r="AC262" s="38">
        <f>SUM(V$211:V262)</f>
        <v>312</v>
      </c>
      <c r="AD262" s="38">
        <f t="shared" si="81"/>
        <v>328235</v>
      </c>
    </row>
    <row r="263" spans="1:30" x14ac:dyDescent="0.25">
      <c r="A263" s="86" t="s">
        <v>254</v>
      </c>
      <c r="B263" s="14">
        <f t="shared" si="72"/>
        <v>53</v>
      </c>
      <c r="C263" s="14">
        <f t="shared" si="91"/>
        <v>62</v>
      </c>
      <c r="D263" s="14">
        <f t="shared" si="91"/>
        <v>30</v>
      </c>
      <c r="E263" s="14">
        <f t="shared" si="91"/>
        <v>15</v>
      </c>
      <c r="F263" s="14">
        <f t="shared" si="91"/>
        <v>885</v>
      </c>
      <c r="G263" s="74">
        <f t="shared" si="73"/>
        <v>1064</v>
      </c>
      <c r="H263" s="14">
        <f t="shared" si="89"/>
        <v>14850</v>
      </c>
      <c r="I263" s="14"/>
      <c r="J263" s="14">
        <f t="shared" si="92"/>
        <v>29400</v>
      </c>
      <c r="K263" s="14">
        <f t="shared" si="92"/>
        <v>6</v>
      </c>
      <c r="L263" s="14">
        <v>1</v>
      </c>
      <c r="M263" s="14">
        <f t="shared" si="90"/>
        <v>306</v>
      </c>
      <c r="N263" s="14">
        <f t="shared" si="90"/>
        <v>153</v>
      </c>
      <c r="O263" s="14">
        <f t="shared" si="90"/>
        <v>72</v>
      </c>
      <c r="P263" s="14">
        <f t="shared" si="93"/>
        <v>300</v>
      </c>
      <c r="Q263" s="38">
        <f t="shared" si="94"/>
        <v>300</v>
      </c>
      <c r="R263" s="38">
        <f t="shared" si="75"/>
        <v>44250</v>
      </c>
      <c r="S263" s="38">
        <f t="shared" si="76"/>
        <v>306</v>
      </c>
      <c r="T263" s="38">
        <f t="shared" si="77"/>
        <v>153</v>
      </c>
      <c r="U263" s="38"/>
      <c r="V263" s="38">
        <f t="shared" si="95"/>
        <v>6</v>
      </c>
      <c r="W263" s="38">
        <f t="shared" si="80"/>
        <v>10257</v>
      </c>
      <c r="X263" s="38">
        <f>SUM(Q$211:Q263)</f>
        <v>13650</v>
      </c>
      <c r="Y263" s="38">
        <f>SUM(R$211:R263)</f>
        <v>1120050</v>
      </c>
      <c r="Z263" s="38">
        <f>SUM(S$211:S263)</f>
        <v>8049</v>
      </c>
      <c r="AA263" s="38">
        <f>SUM(T$211:T263)</f>
        <v>4027</v>
      </c>
      <c r="AB263" s="38">
        <f>SUM(U$211:U263)</f>
        <v>1572</v>
      </c>
      <c r="AC263" s="38">
        <f>SUM(V$211:V263)</f>
        <v>318</v>
      </c>
      <c r="AD263" s="38">
        <f t="shared" si="81"/>
        <v>338492</v>
      </c>
    </row>
    <row r="264" spans="1:30" x14ac:dyDescent="0.25">
      <c r="A264" s="86" t="s">
        <v>254</v>
      </c>
      <c r="B264" s="14">
        <f t="shared" si="72"/>
        <v>54</v>
      </c>
      <c r="C264" s="14">
        <f t="shared" si="91"/>
        <v>63</v>
      </c>
      <c r="D264" s="14">
        <f t="shared" si="91"/>
        <v>32</v>
      </c>
      <c r="E264" s="14">
        <f t="shared" si="91"/>
        <v>15</v>
      </c>
      <c r="F264" s="14">
        <f t="shared" si="91"/>
        <v>885</v>
      </c>
      <c r="G264" s="74">
        <f t="shared" si="73"/>
        <v>1075</v>
      </c>
      <c r="H264" s="14">
        <f t="shared" si="89"/>
        <v>15150</v>
      </c>
      <c r="I264" s="14"/>
      <c r="J264" s="14">
        <f t="shared" si="92"/>
        <v>30000</v>
      </c>
      <c r="K264" s="14">
        <f t="shared" si="92"/>
        <v>6</v>
      </c>
      <c r="L264" s="14">
        <v>1</v>
      </c>
      <c r="M264" s="14">
        <f t="shared" si="90"/>
        <v>312</v>
      </c>
      <c r="N264" s="14">
        <f t="shared" si="90"/>
        <v>156</v>
      </c>
      <c r="O264" s="14">
        <f t="shared" si="90"/>
        <v>74</v>
      </c>
      <c r="P264" s="14">
        <f t="shared" si="93"/>
        <v>300</v>
      </c>
      <c r="Q264" s="38">
        <f t="shared" si="94"/>
        <v>300</v>
      </c>
      <c r="R264" s="38">
        <f t="shared" si="75"/>
        <v>45150</v>
      </c>
      <c r="S264" s="38">
        <f t="shared" si="76"/>
        <v>312</v>
      </c>
      <c r="T264" s="38">
        <f t="shared" si="77"/>
        <v>156</v>
      </c>
      <c r="U264" s="38">
        <f t="shared" ref="U264:U279" si="96">E264+O264</f>
        <v>89</v>
      </c>
      <c r="V264" s="38">
        <f t="shared" si="95"/>
        <v>6</v>
      </c>
      <c r="W264" s="38">
        <f t="shared" si="80"/>
        <v>14463</v>
      </c>
      <c r="X264" s="38">
        <f>SUM(Q$211:Q264)</f>
        <v>13950</v>
      </c>
      <c r="Y264" s="38">
        <f>SUM(R$211:R264)</f>
        <v>1165200</v>
      </c>
      <c r="Z264" s="38">
        <f>SUM(S$211:S264)</f>
        <v>8361</v>
      </c>
      <c r="AA264" s="38">
        <f>SUM(T$211:T264)</f>
        <v>4183</v>
      </c>
      <c r="AB264" s="38">
        <f>SUM(U$211:U264)</f>
        <v>1661</v>
      </c>
      <c r="AC264" s="38">
        <f>SUM(V$211:V264)</f>
        <v>324</v>
      </c>
      <c r="AD264" s="38">
        <f t="shared" si="81"/>
        <v>352955</v>
      </c>
    </row>
    <row r="265" spans="1:30" x14ac:dyDescent="0.25">
      <c r="A265" s="86" t="s">
        <v>254</v>
      </c>
      <c r="B265" s="14">
        <f t="shared" si="72"/>
        <v>55</v>
      </c>
      <c r="C265" s="14">
        <f t="shared" si="91"/>
        <v>63</v>
      </c>
      <c r="D265" s="14">
        <f t="shared" si="91"/>
        <v>32</v>
      </c>
      <c r="E265" s="14">
        <f t="shared" si="91"/>
        <v>15</v>
      </c>
      <c r="F265" s="14">
        <f t="shared" si="91"/>
        <v>915</v>
      </c>
      <c r="G265" s="74">
        <f t="shared" si="73"/>
        <v>1081</v>
      </c>
      <c r="H265" s="14">
        <f t="shared" si="89"/>
        <v>15450</v>
      </c>
      <c r="I265" s="14"/>
      <c r="J265" s="14">
        <f t="shared" si="92"/>
        <v>30600</v>
      </c>
      <c r="K265" s="14">
        <f t="shared" si="92"/>
        <v>6</v>
      </c>
      <c r="L265" s="14">
        <v>1</v>
      </c>
      <c r="M265" s="14">
        <f t="shared" si="90"/>
        <v>318</v>
      </c>
      <c r="N265" s="14">
        <f t="shared" si="90"/>
        <v>159</v>
      </c>
      <c r="O265" s="14">
        <f t="shared" si="90"/>
        <v>75</v>
      </c>
      <c r="P265" s="14">
        <f t="shared" si="93"/>
        <v>300</v>
      </c>
      <c r="Q265" s="42">
        <f t="shared" si="94"/>
        <v>300</v>
      </c>
      <c r="R265" s="38">
        <f t="shared" si="75"/>
        <v>46050</v>
      </c>
      <c r="S265" s="38">
        <f t="shared" si="76"/>
        <v>318</v>
      </c>
      <c r="T265" s="38">
        <f t="shared" si="77"/>
        <v>159</v>
      </c>
      <c r="U265" s="42">
        <f t="shared" si="96"/>
        <v>90</v>
      </c>
      <c r="V265" s="42">
        <f t="shared" si="95"/>
        <v>6</v>
      </c>
      <c r="W265" s="38">
        <f t="shared" si="80"/>
        <v>14709</v>
      </c>
      <c r="X265" s="38">
        <f>SUM(Q$211:Q265)</f>
        <v>14250</v>
      </c>
      <c r="Y265" s="38">
        <f>SUM(R$211:R265)</f>
        <v>1211250</v>
      </c>
      <c r="Z265" s="38">
        <f>SUM(S$211:S265)</f>
        <v>8679</v>
      </c>
      <c r="AA265" s="38">
        <f>SUM(T$211:T265)</f>
        <v>4342</v>
      </c>
      <c r="AB265" s="38">
        <f>SUM(U$211:U265)</f>
        <v>1751</v>
      </c>
      <c r="AC265" s="38">
        <f>SUM(V$211:V265)</f>
        <v>330</v>
      </c>
      <c r="AD265" s="38">
        <f t="shared" si="81"/>
        <v>367664</v>
      </c>
    </row>
    <row r="266" spans="1:30" x14ac:dyDescent="0.25">
      <c r="A266" s="86" t="s">
        <v>254</v>
      </c>
      <c r="B266" s="14">
        <f t="shared" si="72"/>
        <v>56</v>
      </c>
      <c r="C266" s="14">
        <f t="shared" si="91"/>
        <v>65</v>
      </c>
      <c r="D266" s="14">
        <f t="shared" si="91"/>
        <v>32</v>
      </c>
      <c r="E266" s="14">
        <f t="shared" si="91"/>
        <v>15</v>
      </c>
      <c r="F266" s="14">
        <f t="shared" si="91"/>
        <v>915</v>
      </c>
      <c r="G266" s="74">
        <f t="shared" si="73"/>
        <v>1083</v>
      </c>
      <c r="H266" s="14">
        <f t="shared" si="89"/>
        <v>15750</v>
      </c>
      <c r="I266" s="14"/>
      <c r="J266" s="14">
        <f t="shared" si="92"/>
        <v>31200</v>
      </c>
      <c r="K266" s="14">
        <f t="shared" si="92"/>
        <v>6</v>
      </c>
      <c r="L266" s="14">
        <v>1</v>
      </c>
      <c r="M266" s="14">
        <f t="shared" si="90"/>
        <v>324</v>
      </c>
      <c r="N266" s="14">
        <f t="shared" si="90"/>
        <v>162</v>
      </c>
      <c r="O266" s="14">
        <f t="shared" si="90"/>
        <v>77</v>
      </c>
      <c r="P266" s="14">
        <f t="shared" si="93"/>
        <v>300</v>
      </c>
      <c r="Q266" s="38">
        <f t="shared" si="94"/>
        <v>300</v>
      </c>
      <c r="R266" s="38">
        <f t="shared" si="75"/>
        <v>46950</v>
      </c>
      <c r="S266" s="38">
        <f t="shared" si="76"/>
        <v>324</v>
      </c>
      <c r="T266" s="38">
        <f t="shared" si="77"/>
        <v>162</v>
      </c>
      <c r="U266" s="38">
        <f t="shared" si="96"/>
        <v>92</v>
      </c>
      <c r="V266" s="38">
        <f t="shared" si="95"/>
        <v>6</v>
      </c>
      <c r="W266" s="38">
        <f t="shared" si="80"/>
        <v>15000</v>
      </c>
      <c r="X266" s="38">
        <f>SUM(Q$211:Q266)</f>
        <v>14550</v>
      </c>
      <c r="Y266" s="38">
        <f>SUM(R$211:R266)</f>
        <v>1258200</v>
      </c>
      <c r="Z266" s="38">
        <f>SUM(S$211:S266)</f>
        <v>9003</v>
      </c>
      <c r="AA266" s="38">
        <f>SUM(T$211:T266)</f>
        <v>4504</v>
      </c>
      <c r="AB266" s="38">
        <f>SUM(U$211:U266)</f>
        <v>1843</v>
      </c>
      <c r="AC266" s="38">
        <f>SUM(V$211:V266)</f>
        <v>336</v>
      </c>
      <c r="AD266" s="38">
        <f t="shared" si="81"/>
        <v>382664</v>
      </c>
    </row>
    <row r="267" spans="1:30" x14ac:dyDescent="0.25">
      <c r="A267" s="86" t="s">
        <v>254</v>
      </c>
      <c r="B267" s="14">
        <f t="shared" si="72"/>
        <v>57</v>
      </c>
      <c r="C267" s="14">
        <f t="shared" si="91"/>
        <v>66</v>
      </c>
      <c r="D267" s="14">
        <f t="shared" si="91"/>
        <v>33</v>
      </c>
      <c r="E267" s="14">
        <f t="shared" si="91"/>
        <v>15</v>
      </c>
      <c r="F267" s="14">
        <f t="shared" si="91"/>
        <v>945</v>
      </c>
      <c r="G267" s="74">
        <f t="shared" si="73"/>
        <v>1095</v>
      </c>
      <c r="H267" s="14">
        <f t="shared" si="89"/>
        <v>16050</v>
      </c>
      <c r="I267" s="14"/>
      <c r="J267" s="14">
        <f t="shared" si="92"/>
        <v>31800</v>
      </c>
      <c r="K267" s="14">
        <f t="shared" si="92"/>
        <v>6</v>
      </c>
      <c r="L267" s="14">
        <v>1</v>
      </c>
      <c r="M267" s="14">
        <f t="shared" ref="M267:O286" si="97">MAX(1,ROUND(M64*INDEX($O$1:$U$4,MATCH($A267,$O$1:$O$4,0),MATCH(M$210,$O$1:$U$1,0)),0))</f>
        <v>330</v>
      </c>
      <c r="N267" s="14">
        <f t="shared" si="97"/>
        <v>165</v>
      </c>
      <c r="O267" s="14">
        <f t="shared" si="97"/>
        <v>78</v>
      </c>
      <c r="P267" s="14">
        <f t="shared" si="93"/>
        <v>300</v>
      </c>
      <c r="Q267" s="38">
        <f t="shared" si="94"/>
        <v>300</v>
      </c>
      <c r="R267" s="38">
        <f t="shared" si="75"/>
        <v>47850</v>
      </c>
      <c r="S267" s="38">
        <f t="shared" si="76"/>
        <v>330</v>
      </c>
      <c r="T267" s="38">
        <f t="shared" si="77"/>
        <v>165</v>
      </c>
      <c r="U267" s="38">
        <f t="shared" si="96"/>
        <v>93</v>
      </c>
      <c r="V267" s="38">
        <f t="shared" si="95"/>
        <v>6</v>
      </c>
      <c r="W267" s="38">
        <f t="shared" si="80"/>
        <v>15246</v>
      </c>
      <c r="X267" s="38">
        <f>SUM(Q$211:Q267)</f>
        <v>14850</v>
      </c>
      <c r="Y267" s="38">
        <f>SUM(R$211:R267)</f>
        <v>1306050</v>
      </c>
      <c r="Z267" s="38">
        <f>SUM(S$211:S267)</f>
        <v>9333</v>
      </c>
      <c r="AA267" s="38">
        <f>SUM(T$211:T267)</f>
        <v>4669</v>
      </c>
      <c r="AB267" s="38">
        <f>SUM(U$211:U267)</f>
        <v>1936</v>
      </c>
      <c r="AC267" s="38">
        <f>SUM(V$211:V267)</f>
        <v>342</v>
      </c>
      <c r="AD267" s="38">
        <f t="shared" si="81"/>
        <v>397910</v>
      </c>
    </row>
    <row r="268" spans="1:30" x14ac:dyDescent="0.25">
      <c r="A268" s="86" t="s">
        <v>254</v>
      </c>
      <c r="B268" s="14">
        <f t="shared" si="72"/>
        <v>58</v>
      </c>
      <c r="C268" s="14">
        <f t="shared" si="91"/>
        <v>68</v>
      </c>
      <c r="D268" s="14">
        <f t="shared" si="91"/>
        <v>33</v>
      </c>
      <c r="E268" s="14">
        <f t="shared" si="91"/>
        <v>17</v>
      </c>
      <c r="F268" s="14">
        <f t="shared" si="91"/>
        <v>945</v>
      </c>
      <c r="G268" s="74">
        <f t="shared" si="73"/>
        <v>1187</v>
      </c>
      <c r="H268" s="14">
        <f t="shared" si="89"/>
        <v>16350</v>
      </c>
      <c r="I268" s="14"/>
      <c r="J268" s="14">
        <f t="shared" si="92"/>
        <v>32400</v>
      </c>
      <c r="K268" s="14">
        <f t="shared" si="92"/>
        <v>6</v>
      </c>
      <c r="L268" s="14">
        <v>1</v>
      </c>
      <c r="M268" s="14">
        <f t="shared" si="97"/>
        <v>336</v>
      </c>
      <c r="N268" s="14">
        <f t="shared" si="97"/>
        <v>168</v>
      </c>
      <c r="O268" s="14">
        <f t="shared" si="97"/>
        <v>80</v>
      </c>
      <c r="P268" s="14">
        <f t="shared" si="93"/>
        <v>300</v>
      </c>
      <c r="Q268" s="38">
        <f t="shared" si="94"/>
        <v>300</v>
      </c>
      <c r="R268" s="38">
        <f t="shared" si="75"/>
        <v>48750</v>
      </c>
      <c r="S268" s="38">
        <f t="shared" si="76"/>
        <v>336</v>
      </c>
      <c r="T268" s="38">
        <f t="shared" si="77"/>
        <v>168</v>
      </c>
      <c r="U268" s="38">
        <f t="shared" si="96"/>
        <v>97</v>
      </c>
      <c r="V268" s="38">
        <f t="shared" si="95"/>
        <v>6</v>
      </c>
      <c r="W268" s="38">
        <f t="shared" si="80"/>
        <v>15627</v>
      </c>
      <c r="X268" s="38">
        <f>SUM(Q$211:Q268)</f>
        <v>15150</v>
      </c>
      <c r="Y268" s="38">
        <f>SUM(R$211:R268)</f>
        <v>1354800</v>
      </c>
      <c r="Z268" s="38">
        <f>SUM(S$211:S268)</f>
        <v>9669</v>
      </c>
      <c r="AA268" s="38">
        <f>SUM(T$211:T268)</f>
        <v>4837</v>
      </c>
      <c r="AB268" s="38">
        <f>SUM(U$211:U268)</f>
        <v>2033</v>
      </c>
      <c r="AC268" s="38">
        <f>SUM(V$211:V268)</f>
        <v>348</v>
      </c>
      <c r="AD268" s="38">
        <f t="shared" si="81"/>
        <v>413537</v>
      </c>
    </row>
    <row r="269" spans="1:30" x14ac:dyDescent="0.25">
      <c r="A269" s="86" t="s">
        <v>254</v>
      </c>
      <c r="B269" s="14">
        <f t="shared" si="72"/>
        <v>59</v>
      </c>
      <c r="C269" s="14">
        <f t="shared" si="91"/>
        <v>69</v>
      </c>
      <c r="D269" s="14">
        <f t="shared" si="91"/>
        <v>35</v>
      </c>
      <c r="E269" s="14">
        <f t="shared" si="91"/>
        <v>17</v>
      </c>
      <c r="F269" s="14">
        <f t="shared" si="91"/>
        <v>975</v>
      </c>
      <c r="G269" s="74">
        <f t="shared" si="73"/>
        <v>1204</v>
      </c>
      <c r="H269" s="14">
        <f t="shared" si="89"/>
        <v>16650</v>
      </c>
      <c r="I269" s="14"/>
      <c r="J269" s="14">
        <f t="shared" si="92"/>
        <v>33000</v>
      </c>
      <c r="K269" s="14">
        <f t="shared" si="92"/>
        <v>6</v>
      </c>
      <c r="L269" s="14">
        <v>1</v>
      </c>
      <c r="M269" s="14">
        <f t="shared" si="97"/>
        <v>342</v>
      </c>
      <c r="N269" s="14">
        <f t="shared" si="97"/>
        <v>171</v>
      </c>
      <c r="O269" s="14">
        <f t="shared" si="97"/>
        <v>81</v>
      </c>
      <c r="P269" s="14">
        <f t="shared" si="93"/>
        <v>300</v>
      </c>
      <c r="Q269" s="38">
        <f t="shared" si="94"/>
        <v>300</v>
      </c>
      <c r="R269" s="38">
        <f t="shared" si="75"/>
        <v>49650</v>
      </c>
      <c r="S269" s="38">
        <f t="shared" si="76"/>
        <v>342</v>
      </c>
      <c r="T269" s="38">
        <f t="shared" si="77"/>
        <v>171</v>
      </c>
      <c r="U269" s="38">
        <f t="shared" si="96"/>
        <v>98</v>
      </c>
      <c r="V269" s="38">
        <f t="shared" si="95"/>
        <v>6</v>
      </c>
      <c r="W269" s="38">
        <f t="shared" si="80"/>
        <v>15873</v>
      </c>
      <c r="X269" s="38">
        <f>SUM(Q$211:Q269)</f>
        <v>15450</v>
      </c>
      <c r="Y269" s="38">
        <f>SUM(R$211:R269)</f>
        <v>1404450</v>
      </c>
      <c r="Z269" s="38">
        <f>SUM(S$211:S269)</f>
        <v>10011</v>
      </c>
      <c r="AA269" s="38">
        <f>SUM(T$211:T269)</f>
        <v>5008</v>
      </c>
      <c r="AB269" s="38">
        <f>SUM(U$211:U269)</f>
        <v>2131</v>
      </c>
      <c r="AC269" s="38">
        <f>SUM(V$211:V269)</f>
        <v>354</v>
      </c>
      <c r="AD269" s="38">
        <f t="shared" si="81"/>
        <v>429410</v>
      </c>
    </row>
    <row r="270" spans="1:30" x14ac:dyDescent="0.25">
      <c r="A270" s="86" t="s">
        <v>254</v>
      </c>
      <c r="B270" s="14">
        <f t="shared" si="72"/>
        <v>60</v>
      </c>
      <c r="C270" s="14">
        <f t="shared" si="91"/>
        <v>69</v>
      </c>
      <c r="D270" s="14">
        <f t="shared" si="91"/>
        <v>35</v>
      </c>
      <c r="E270" s="14">
        <f t="shared" si="91"/>
        <v>17</v>
      </c>
      <c r="F270" s="14">
        <f t="shared" si="91"/>
        <v>975</v>
      </c>
      <c r="G270" s="74">
        <f t="shared" si="73"/>
        <v>1204</v>
      </c>
      <c r="H270" s="14">
        <f t="shared" si="89"/>
        <v>16950</v>
      </c>
      <c r="I270" s="14"/>
      <c r="J270" s="14">
        <f t="shared" si="92"/>
        <v>33600</v>
      </c>
      <c r="K270" s="14">
        <f t="shared" si="92"/>
        <v>6</v>
      </c>
      <c r="L270" s="14">
        <v>1</v>
      </c>
      <c r="M270" s="14">
        <f t="shared" si="97"/>
        <v>348</v>
      </c>
      <c r="N270" s="14">
        <f t="shared" si="97"/>
        <v>174</v>
      </c>
      <c r="O270" s="14">
        <f t="shared" si="97"/>
        <v>83</v>
      </c>
      <c r="P270" s="14">
        <f t="shared" si="93"/>
        <v>300</v>
      </c>
      <c r="Q270" s="38">
        <f t="shared" si="94"/>
        <v>300</v>
      </c>
      <c r="R270" s="38">
        <f t="shared" si="75"/>
        <v>50550</v>
      </c>
      <c r="S270" s="38">
        <f t="shared" si="76"/>
        <v>348</v>
      </c>
      <c r="T270" s="38">
        <f t="shared" si="77"/>
        <v>174</v>
      </c>
      <c r="U270" s="38">
        <f t="shared" si="96"/>
        <v>100</v>
      </c>
      <c r="V270" s="38">
        <f t="shared" si="95"/>
        <v>6</v>
      </c>
      <c r="W270" s="38">
        <f t="shared" si="80"/>
        <v>16164</v>
      </c>
      <c r="X270" s="38">
        <f>SUM(Q$211:Q270)</f>
        <v>15750</v>
      </c>
      <c r="Y270" s="38">
        <f>SUM(R$211:R270)</f>
        <v>1455000</v>
      </c>
      <c r="Z270" s="38">
        <f>SUM(S$211:S270)</f>
        <v>10359</v>
      </c>
      <c r="AA270" s="38">
        <f>SUM(T$211:T270)</f>
        <v>5182</v>
      </c>
      <c r="AB270" s="38">
        <f>SUM(U$211:U270)</f>
        <v>2231</v>
      </c>
      <c r="AC270" s="38">
        <f>SUM(V$211:V270)</f>
        <v>360</v>
      </c>
      <c r="AD270" s="38">
        <f t="shared" si="81"/>
        <v>445574</v>
      </c>
    </row>
    <row r="271" spans="1:30" x14ac:dyDescent="0.25">
      <c r="A271" s="86" t="s">
        <v>254</v>
      </c>
      <c r="B271" s="14">
        <f t="shared" si="72"/>
        <v>61</v>
      </c>
      <c r="C271" s="14">
        <f t="shared" ref="C271:F290" si="98">MAX(1,ROUND(C68*INDEX($O$1:$U$4,MATCH($A271,$O$1:$O$4,0),MATCH(C$210,$O$1:$U$1,0)),0))</f>
        <v>71</v>
      </c>
      <c r="D271" s="14">
        <f t="shared" si="98"/>
        <v>35</v>
      </c>
      <c r="E271" s="14">
        <f t="shared" si="98"/>
        <v>17</v>
      </c>
      <c r="F271" s="14">
        <f t="shared" si="98"/>
        <v>1005</v>
      </c>
      <c r="G271" s="74">
        <f t="shared" si="73"/>
        <v>1212</v>
      </c>
      <c r="H271" s="14">
        <f t="shared" si="89"/>
        <v>17250</v>
      </c>
      <c r="I271" s="14"/>
      <c r="J271" s="14">
        <f t="shared" ref="J271:K290" si="99">MAX(1,ROUND(J68*INDEX($O$1:$U$4,MATCH($A271,$O$1:$O$4,0),MATCH(J$210,$O$1:$U$1,0)),0))</f>
        <v>34200</v>
      </c>
      <c r="K271" s="14">
        <f t="shared" si="99"/>
        <v>6</v>
      </c>
      <c r="L271" s="14">
        <v>1</v>
      </c>
      <c r="M271" s="14">
        <f t="shared" si="97"/>
        <v>354</v>
      </c>
      <c r="N271" s="14">
        <f t="shared" si="97"/>
        <v>177</v>
      </c>
      <c r="O271" s="14">
        <f t="shared" si="97"/>
        <v>84</v>
      </c>
      <c r="P271" s="14">
        <f t="shared" si="93"/>
        <v>300</v>
      </c>
      <c r="Q271" s="38">
        <f t="shared" si="94"/>
        <v>300</v>
      </c>
      <c r="R271" s="38">
        <f t="shared" si="75"/>
        <v>51450</v>
      </c>
      <c r="S271" s="38">
        <f t="shared" si="76"/>
        <v>354</v>
      </c>
      <c r="T271" s="38">
        <f t="shared" si="77"/>
        <v>177</v>
      </c>
      <c r="U271" s="38">
        <f t="shared" si="96"/>
        <v>101</v>
      </c>
      <c r="V271" s="38">
        <f t="shared" si="95"/>
        <v>6</v>
      </c>
      <c r="W271" s="38">
        <f t="shared" si="80"/>
        <v>16410</v>
      </c>
      <c r="X271" s="38">
        <f>SUM(Q$211:Q271)</f>
        <v>16050</v>
      </c>
      <c r="Y271" s="38">
        <f>SUM(R$211:R271)</f>
        <v>1506450</v>
      </c>
      <c r="Z271" s="38">
        <f>SUM(S$211:S271)</f>
        <v>10713</v>
      </c>
      <c r="AA271" s="38">
        <f>SUM(T$211:T271)</f>
        <v>5359</v>
      </c>
      <c r="AB271" s="38">
        <f>SUM(U$211:U271)</f>
        <v>2332</v>
      </c>
      <c r="AC271" s="38">
        <f>SUM(V$211:V271)</f>
        <v>366</v>
      </c>
      <c r="AD271" s="38">
        <f t="shared" si="81"/>
        <v>461984</v>
      </c>
    </row>
    <row r="272" spans="1:30" x14ac:dyDescent="0.25">
      <c r="A272" s="86" t="s">
        <v>254</v>
      </c>
      <c r="B272" s="14">
        <f t="shared" si="72"/>
        <v>62</v>
      </c>
      <c r="C272" s="14">
        <f t="shared" si="98"/>
        <v>72</v>
      </c>
      <c r="D272" s="14">
        <f t="shared" si="98"/>
        <v>36</v>
      </c>
      <c r="E272" s="14">
        <f t="shared" si="98"/>
        <v>17</v>
      </c>
      <c r="F272" s="14">
        <f t="shared" si="98"/>
        <v>1005</v>
      </c>
      <c r="G272" s="74">
        <f t="shared" si="73"/>
        <v>1218</v>
      </c>
      <c r="H272" s="14">
        <f t="shared" si="89"/>
        <v>17550</v>
      </c>
      <c r="I272" s="14"/>
      <c r="J272" s="14">
        <f t="shared" si="99"/>
        <v>34800</v>
      </c>
      <c r="K272" s="14">
        <f t="shared" si="99"/>
        <v>6</v>
      </c>
      <c r="L272" s="14">
        <v>1</v>
      </c>
      <c r="M272" s="14">
        <f t="shared" si="97"/>
        <v>360</v>
      </c>
      <c r="N272" s="14">
        <f t="shared" si="97"/>
        <v>180</v>
      </c>
      <c r="O272" s="14">
        <f t="shared" si="97"/>
        <v>86</v>
      </c>
      <c r="P272" s="14">
        <f t="shared" si="93"/>
        <v>300</v>
      </c>
      <c r="Q272" s="38">
        <f t="shared" si="94"/>
        <v>300</v>
      </c>
      <c r="R272" s="38">
        <f t="shared" si="75"/>
        <v>52350</v>
      </c>
      <c r="S272" s="38">
        <f t="shared" si="76"/>
        <v>360</v>
      </c>
      <c r="T272" s="38">
        <f t="shared" si="77"/>
        <v>180</v>
      </c>
      <c r="U272" s="38">
        <f t="shared" si="96"/>
        <v>103</v>
      </c>
      <c r="V272" s="38">
        <f t="shared" si="95"/>
        <v>6</v>
      </c>
      <c r="W272" s="38">
        <f t="shared" si="80"/>
        <v>16701</v>
      </c>
      <c r="X272" s="38">
        <f>SUM(Q$211:Q272)</f>
        <v>16350</v>
      </c>
      <c r="Y272" s="38">
        <f>SUM(R$211:R272)</f>
        <v>1558800</v>
      </c>
      <c r="Z272" s="38">
        <f>SUM(S$211:S272)</f>
        <v>11073</v>
      </c>
      <c r="AA272" s="38">
        <f>SUM(T$211:T272)</f>
        <v>5539</v>
      </c>
      <c r="AB272" s="38">
        <f>SUM(U$211:U272)</f>
        <v>2435</v>
      </c>
      <c r="AC272" s="38">
        <f>SUM(V$211:V272)</f>
        <v>372</v>
      </c>
      <c r="AD272" s="38">
        <f t="shared" si="81"/>
        <v>478685</v>
      </c>
    </row>
    <row r="273" spans="1:30" x14ac:dyDescent="0.25">
      <c r="A273" s="86" t="s">
        <v>254</v>
      </c>
      <c r="B273" s="14">
        <f t="shared" si="72"/>
        <v>63</v>
      </c>
      <c r="C273" s="14">
        <f t="shared" si="98"/>
        <v>74</v>
      </c>
      <c r="D273" s="14">
        <f t="shared" si="98"/>
        <v>36</v>
      </c>
      <c r="E273" s="14">
        <f t="shared" si="98"/>
        <v>18</v>
      </c>
      <c r="F273" s="14">
        <f t="shared" si="98"/>
        <v>1035</v>
      </c>
      <c r="G273" s="74">
        <f t="shared" si="73"/>
        <v>1271</v>
      </c>
      <c r="H273" s="14">
        <f t="shared" si="89"/>
        <v>17850</v>
      </c>
      <c r="I273" s="14"/>
      <c r="J273" s="14">
        <f t="shared" si="99"/>
        <v>35400</v>
      </c>
      <c r="K273" s="14">
        <f t="shared" si="99"/>
        <v>6</v>
      </c>
      <c r="L273" s="14">
        <v>1</v>
      </c>
      <c r="M273" s="14">
        <f t="shared" si="97"/>
        <v>366</v>
      </c>
      <c r="N273" s="14">
        <f t="shared" si="97"/>
        <v>183</v>
      </c>
      <c r="O273" s="14">
        <f t="shared" si="97"/>
        <v>87</v>
      </c>
      <c r="P273" s="14">
        <f t="shared" si="93"/>
        <v>300</v>
      </c>
      <c r="Q273" s="38">
        <f t="shared" si="94"/>
        <v>300</v>
      </c>
      <c r="R273" s="38">
        <f t="shared" si="75"/>
        <v>53250</v>
      </c>
      <c r="S273" s="38">
        <f t="shared" si="76"/>
        <v>366</v>
      </c>
      <c r="T273" s="38">
        <f t="shared" si="77"/>
        <v>183</v>
      </c>
      <c r="U273" s="38">
        <f t="shared" si="96"/>
        <v>105</v>
      </c>
      <c r="V273" s="38">
        <f t="shared" si="95"/>
        <v>6</v>
      </c>
      <c r="W273" s="38">
        <f t="shared" si="80"/>
        <v>16992</v>
      </c>
      <c r="X273" s="38">
        <f>SUM(Q$211:Q273)</f>
        <v>16650</v>
      </c>
      <c r="Y273" s="38">
        <f>SUM(R$211:R273)</f>
        <v>1612050</v>
      </c>
      <c r="Z273" s="38">
        <f>SUM(S$211:S273)</f>
        <v>11439</v>
      </c>
      <c r="AA273" s="38">
        <f>SUM(T$211:T273)</f>
        <v>5722</v>
      </c>
      <c r="AB273" s="38">
        <f>SUM(U$211:U273)</f>
        <v>2540</v>
      </c>
      <c r="AC273" s="38">
        <f>SUM(V$211:V273)</f>
        <v>378</v>
      </c>
      <c r="AD273" s="38">
        <f t="shared" si="81"/>
        <v>495677</v>
      </c>
    </row>
    <row r="274" spans="1:30" x14ac:dyDescent="0.25">
      <c r="A274" s="86" t="s">
        <v>254</v>
      </c>
      <c r="B274" s="14">
        <f t="shared" si="72"/>
        <v>64</v>
      </c>
      <c r="C274" s="14">
        <f t="shared" si="98"/>
        <v>75</v>
      </c>
      <c r="D274" s="14">
        <f t="shared" si="98"/>
        <v>38</v>
      </c>
      <c r="E274" s="14">
        <f t="shared" si="98"/>
        <v>18</v>
      </c>
      <c r="F274" s="14">
        <f t="shared" si="98"/>
        <v>1035</v>
      </c>
      <c r="G274" s="74">
        <f t="shared" si="73"/>
        <v>1282</v>
      </c>
      <c r="H274" s="14">
        <f t="shared" si="89"/>
        <v>18150</v>
      </c>
      <c r="I274" s="14"/>
      <c r="J274" s="14">
        <f t="shared" si="99"/>
        <v>36000</v>
      </c>
      <c r="K274" s="14">
        <f t="shared" si="99"/>
        <v>6</v>
      </c>
      <c r="L274" s="14">
        <v>1</v>
      </c>
      <c r="M274" s="14">
        <f t="shared" si="97"/>
        <v>372</v>
      </c>
      <c r="N274" s="14">
        <f t="shared" si="97"/>
        <v>186</v>
      </c>
      <c r="O274" s="14">
        <f t="shared" si="97"/>
        <v>89</v>
      </c>
      <c r="P274" s="14">
        <f t="shared" si="93"/>
        <v>300</v>
      </c>
      <c r="Q274" s="38">
        <f t="shared" si="94"/>
        <v>300</v>
      </c>
      <c r="R274" s="38">
        <f t="shared" si="75"/>
        <v>54150</v>
      </c>
      <c r="S274" s="38">
        <f t="shared" si="76"/>
        <v>372</v>
      </c>
      <c r="T274" s="38">
        <f t="shared" si="77"/>
        <v>186</v>
      </c>
      <c r="U274" s="38">
        <f t="shared" si="96"/>
        <v>107</v>
      </c>
      <c r="V274" s="38">
        <f t="shared" si="95"/>
        <v>6</v>
      </c>
      <c r="W274" s="38">
        <f t="shared" si="80"/>
        <v>17283</v>
      </c>
      <c r="X274" s="38">
        <f>SUM(Q$211:Q274)</f>
        <v>16950</v>
      </c>
      <c r="Y274" s="38">
        <f>SUM(R$211:R274)</f>
        <v>1666200</v>
      </c>
      <c r="Z274" s="38">
        <f>SUM(S$211:S274)</f>
        <v>11811</v>
      </c>
      <c r="AA274" s="38">
        <f>SUM(T$211:T274)</f>
        <v>5908</v>
      </c>
      <c r="AB274" s="38">
        <f>SUM(U$211:U274)</f>
        <v>2647</v>
      </c>
      <c r="AC274" s="38">
        <f>SUM(V$211:V274)</f>
        <v>384</v>
      </c>
      <c r="AD274" s="38">
        <f t="shared" si="81"/>
        <v>512960</v>
      </c>
    </row>
    <row r="275" spans="1:30" x14ac:dyDescent="0.25">
      <c r="A275" s="86" t="s">
        <v>254</v>
      </c>
      <c r="B275" s="14">
        <f t="shared" si="72"/>
        <v>65</v>
      </c>
      <c r="C275" s="14">
        <f t="shared" si="98"/>
        <v>75</v>
      </c>
      <c r="D275" s="14">
        <f t="shared" si="98"/>
        <v>38</v>
      </c>
      <c r="E275" s="14">
        <f t="shared" si="98"/>
        <v>18</v>
      </c>
      <c r="F275" s="14">
        <f t="shared" si="98"/>
        <v>1065</v>
      </c>
      <c r="G275" s="74">
        <f t="shared" si="73"/>
        <v>1288</v>
      </c>
      <c r="H275" s="14">
        <f t="shared" ref="H275:H306" si="100">MAX(1,ROUND(H72*INDEX($O$1:$U$4,MATCH($A275,$O$1:$O$4,0),MATCH(H$210,$O$1:$U$1,0)),0))</f>
        <v>18450</v>
      </c>
      <c r="I275" s="14"/>
      <c r="J275" s="14">
        <f t="shared" si="99"/>
        <v>36600</v>
      </c>
      <c r="K275" s="14">
        <f t="shared" si="99"/>
        <v>6</v>
      </c>
      <c r="L275" s="14">
        <v>1</v>
      </c>
      <c r="M275" s="14">
        <f t="shared" si="97"/>
        <v>378</v>
      </c>
      <c r="N275" s="14">
        <f t="shared" si="97"/>
        <v>189</v>
      </c>
      <c r="O275" s="14">
        <f t="shared" si="97"/>
        <v>90</v>
      </c>
      <c r="P275" s="14">
        <f t="shared" si="93"/>
        <v>300</v>
      </c>
      <c r="Q275" s="38">
        <f t="shared" si="94"/>
        <v>300</v>
      </c>
      <c r="R275" s="38">
        <f t="shared" si="75"/>
        <v>55050</v>
      </c>
      <c r="S275" s="38">
        <f t="shared" si="76"/>
        <v>378</v>
      </c>
      <c r="T275" s="38">
        <f t="shared" si="77"/>
        <v>189</v>
      </c>
      <c r="U275" s="38">
        <f t="shared" si="96"/>
        <v>108</v>
      </c>
      <c r="V275" s="38">
        <f t="shared" si="95"/>
        <v>6</v>
      </c>
      <c r="W275" s="38">
        <f t="shared" si="80"/>
        <v>17529</v>
      </c>
      <c r="X275" s="38">
        <f>SUM(Q$211:Q275)</f>
        <v>17250</v>
      </c>
      <c r="Y275" s="38">
        <f>SUM(R$211:R275)</f>
        <v>1721250</v>
      </c>
      <c r="Z275" s="38">
        <f>SUM(S$211:S275)</f>
        <v>12189</v>
      </c>
      <c r="AA275" s="38">
        <f>SUM(T$211:T275)</f>
        <v>6097</v>
      </c>
      <c r="AB275" s="38">
        <f>SUM(U$211:U275)</f>
        <v>2755</v>
      </c>
      <c r="AC275" s="38">
        <f>SUM(V$211:V275)</f>
        <v>390</v>
      </c>
      <c r="AD275" s="38">
        <f t="shared" si="81"/>
        <v>530489</v>
      </c>
    </row>
    <row r="276" spans="1:30" x14ac:dyDescent="0.25">
      <c r="A276" s="86" t="s">
        <v>254</v>
      </c>
      <c r="B276" s="14">
        <f t="shared" ref="B276:B339" si="101">B73</f>
        <v>66</v>
      </c>
      <c r="C276" s="14">
        <f t="shared" si="98"/>
        <v>77</v>
      </c>
      <c r="D276" s="14">
        <f t="shared" si="98"/>
        <v>38</v>
      </c>
      <c r="E276" s="14">
        <f t="shared" si="98"/>
        <v>18</v>
      </c>
      <c r="F276" s="14">
        <f t="shared" si="98"/>
        <v>1065</v>
      </c>
      <c r="G276" s="74">
        <f t="shared" ref="G276:G339" si="102">SUMPRODUCT($C$6:$F$6,C276:F276)</f>
        <v>1290</v>
      </c>
      <c r="H276" s="14">
        <f t="shared" si="100"/>
        <v>18750</v>
      </c>
      <c r="I276" s="14"/>
      <c r="J276" s="14">
        <f t="shared" si="99"/>
        <v>37200</v>
      </c>
      <c r="K276" s="14">
        <f t="shared" si="99"/>
        <v>6</v>
      </c>
      <c r="L276" s="14">
        <v>1</v>
      </c>
      <c r="M276" s="14">
        <f t="shared" si="97"/>
        <v>384</v>
      </c>
      <c r="N276" s="14">
        <f t="shared" si="97"/>
        <v>192</v>
      </c>
      <c r="O276" s="14">
        <f t="shared" si="97"/>
        <v>92</v>
      </c>
      <c r="P276" s="14">
        <f t="shared" si="93"/>
        <v>300</v>
      </c>
      <c r="Q276" s="38">
        <f t="shared" si="94"/>
        <v>300</v>
      </c>
      <c r="R276" s="38">
        <f t="shared" ref="R276:R339" si="103">H276+J276</f>
        <v>55950</v>
      </c>
      <c r="S276" s="38">
        <f t="shared" ref="S276:S339" si="104">M276</f>
        <v>384</v>
      </c>
      <c r="T276" s="38">
        <f t="shared" ref="T276:T339" si="105">N276</f>
        <v>192</v>
      </c>
      <c r="U276" s="38">
        <f t="shared" si="96"/>
        <v>110</v>
      </c>
      <c r="V276" s="38">
        <f t="shared" si="95"/>
        <v>6</v>
      </c>
      <c r="W276" s="38">
        <f t="shared" ref="W276:W339" si="106">SUMPRODUCT($Q$6:$V$6,Q276:V276)</f>
        <v>17820</v>
      </c>
      <c r="X276" s="38">
        <f>SUM(Q$211:Q276)</f>
        <v>17550</v>
      </c>
      <c r="Y276" s="38">
        <f>SUM(R$211:R276)</f>
        <v>1777200</v>
      </c>
      <c r="Z276" s="38">
        <f>SUM(S$211:S276)</f>
        <v>12573</v>
      </c>
      <c r="AA276" s="38">
        <f>SUM(T$211:T276)</f>
        <v>6289</v>
      </c>
      <c r="AB276" s="38">
        <f>SUM(U$211:U276)</f>
        <v>2865</v>
      </c>
      <c r="AC276" s="38">
        <f>SUM(V$211:V276)</f>
        <v>396</v>
      </c>
      <c r="AD276" s="38">
        <f t="shared" ref="AD276:AD339" si="107">SUMPRODUCT($X$6:$AC$6,X276:AC276)</f>
        <v>548309</v>
      </c>
    </row>
    <row r="277" spans="1:30" x14ac:dyDescent="0.25">
      <c r="A277" s="86" t="s">
        <v>254</v>
      </c>
      <c r="B277" s="14">
        <f t="shared" si="101"/>
        <v>67</v>
      </c>
      <c r="C277" s="14">
        <f t="shared" si="98"/>
        <v>78</v>
      </c>
      <c r="D277" s="14">
        <f t="shared" si="98"/>
        <v>39</v>
      </c>
      <c r="E277" s="14">
        <f t="shared" si="98"/>
        <v>18</v>
      </c>
      <c r="F277" s="14">
        <f t="shared" si="98"/>
        <v>1095</v>
      </c>
      <c r="G277" s="74">
        <f t="shared" si="102"/>
        <v>1302</v>
      </c>
      <c r="H277" s="14">
        <f t="shared" si="100"/>
        <v>19050</v>
      </c>
      <c r="I277" s="14"/>
      <c r="J277" s="14">
        <f t="shared" si="99"/>
        <v>37800</v>
      </c>
      <c r="K277" s="14">
        <f t="shared" si="99"/>
        <v>6</v>
      </c>
      <c r="L277" s="14">
        <v>1</v>
      </c>
      <c r="M277" s="14">
        <f t="shared" si="97"/>
        <v>390</v>
      </c>
      <c r="N277" s="14">
        <f t="shared" si="97"/>
        <v>195</v>
      </c>
      <c r="O277" s="14">
        <f t="shared" si="97"/>
        <v>93</v>
      </c>
      <c r="P277" s="14">
        <f t="shared" si="93"/>
        <v>300</v>
      </c>
      <c r="Q277" s="38">
        <f t="shared" si="94"/>
        <v>300</v>
      </c>
      <c r="R277" s="38">
        <f t="shared" si="103"/>
        <v>56850</v>
      </c>
      <c r="S277" s="38">
        <f t="shared" si="104"/>
        <v>390</v>
      </c>
      <c r="T277" s="38">
        <f t="shared" si="105"/>
        <v>195</v>
      </c>
      <c r="U277" s="38">
        <f t="shared" si="96"/>
        <v>111</v>
      </c>
      <c r="V277" s="38">
        <f t="shared" si="95"/>
        <v>6</v>
      </c>
      <c r="W277" s="38">
        <f t="shared" si="106"/>
        <v>18066</v>
      </c>
      <c r="X277" s="38">
        <f>SUM(Q$211:Q277)</f>
        <v>17850</v>
      </c>
      <c r="Y277" s="38">
        <f>SUM(R$211:R277)</f>
        <v>1834050</v>
      </c>
      <c r="Z277" s="38">
        <f>SUM(S$211:S277)</f>
        <v>12963</v>
      </c>
      <c r="AA277" s="38">
        <f>SUM(T$211:T277)</f>
        <v>6484</v>
      </c>
      <c r="AB277" s="38">
        <f>SUM(U$211:U277)</f>
        <v>2976</v>
      </c>
      <c r="AC277" s="38">
        <f>SUM(V$211:V277)</f>
        <v>402</v>
      </c>
      <c r="AD277" s="38">
        <f t="shared" si="107"/>
        <v>566375</v>
      </c>
    </row>
    <row r="278" spans="1:30" x14ac:dyDescent="0.25">
      <c r="A278" s="86" t="s">
        <v>254</v>
      </c>
      <c r="B278" s="14">
        <f t="shared" si="101"/>
        <v>68</v>
      </c>
      <c r="C278" s="14">
        <f t="shared" si="98"/>
        <v>80</v>
      </c>
      <c r="D278" s="14">
        <f t="shared" si="98"/>
        <v>39</v>
      </c>
      <c r="E278" s="14">
        <f t="shared" si="98"/>
        <v>20</v>
      </c>
      <c r="F278" s="14">
        <f t="shared" si="98"/>
        <v>1095</v>
      </c>
      <c r="G278" s="74">
        <f t="shared" si="102"/>
        <v>1394</v>
      </c>
      <c r="H278" s="14">
        <f t="shared" si="100"/>
        <v>19350</v>
      </c>
      <c r="I278" s="14"/>
      <c r="J278" s="14">
        <f t="shared" si="99"/>
        <v>38400</v>
      </c>
      <c r="K278" s="14">
        <f t="shared" si="99"/>
        <v>6</v>
      </c>
      <c r="L278" s="14">
        <v>1</v>
      </c>
      <c r="M278" s="14">
        <f t="shared" si="97"/>
        <v>396</v>
      </c>
      <c r="N278" s="14">
        <f t="shared" si="97"/>
        <v>198</v>
      </c>
      <c r="O278" s="14">
        <f t="shared" si="97"/>
        <v>95</v>
      </c>
      <c r="P278" s="14">
        <f t="shared" si="93"/>
        <v>300</v>
      </c>
      <c r="Q278" s="38">
        <f t="shared" si="94"/>
        <v>300</v>
      </c>
      <c r="R278" s="38">
        <f t="shared" si="103"/>
        <v>57750</v>
      </c>
      <c r="S278" s="38">
        <f t="shared" si="104"/>
        <v>396</v>
      </c>
      <c r="T278" s="38">
        <f t="shared" si="105"/>
        <v>198</v>
      </c>
      <c r="U278" s="38">
        <f t="shared" si="96"/>
        <v>115</v>
      </c>
      <c r="V278" s="38">
        <f t="shared" si="95"/>
        <v>6</v>
      </c>
      <c r="W278" s="38">
        <f t="shared" si="106"/>
        <v>18447</v>
      </c>
      <c r="X278" s="38">
        <f>SUM(Q$211:Q278)</f>
        <v>18150</v>
      </c>
      <c r="Y278" s="38">
        <f>SUM(R$211:R278)</f>
        <v>1891800</v>
      </c>
      <c r="Z278" s="38">
        <f>SUM(S$211:S278)</f>
        <v>13359</v>
      </c>
      <c r="AA278" s="38">
        <f>SUM(T$211:T278)</f>
        <v>6682</v>
      </c>
      <c r="AB278" s="38">
        <f>SUM(U$211:U278)</f>
        <v>3091</v>
      </c>
      <c r="AC278" s="38">
        <f>SUM(V$211:V278)</f>
        <v>408</v>
      </c>
      <c r="AD278" s="38">
        <f t="shared" si="107"/>
        <v>584822</v>
      </c>
    </row>
    <row r="279" spans="1:30" x14ac:dyDescent="0.25">
      <c r="A279" s="86" t="s">
        <v>254</v>
      </c>
      <c r="B279" s="14">
        <f t="shared" si="101"/>
        <v>69</v>
      </c>
      <c r="C279" s="14">
        <f t="shared" si="98"/>
        <v>81</v>
      </c>
      <c r="D279" s="14">
        <f t="shared" si="98"/>
        <v>41</v>
      </c>
      <c r="E279" s="14">
        <f t="shared" si="98"/>
        <v>20</v>
      </c>
      <c r="F279" s="14">
        <f t="shared" si="98"/>
        <v>1125</v>
      </c>
      <c r="G279" s="74">
        <f t="shared" si="102"/>
        <v>1411</v>
      </c>
      <c r="H279" s="14">
        <f t="shared" si="100"/>
        <v>19650</v>
      </c>
      <c r="I279" s="14"/>
      <c r="J279" s="14">
        <f t="shared" si="99"/>
        <v>39000</v>
      </c>
      <c r="K279" s="14">
        <f t="shared" si="99"/>
        <v>6</v>
      </c>
      <c r="L279" s="14">
        <v>1</v>
      </c>
      <c r="M279" s="14">
        <f t="shared" si="97"/>
        <v>402</v>
      </c>
      <c r="N279" s="14">
        <f t="shared" si="97"/>
        <v>201</v>
      </c>
      <c r="O279" s="14">
        <f t="shared" si="97"/>
        <v>96</v>
      </c>
      <c r="P279" s="14">
        <f t="shared" si="93"/>
        <v>300</v>
      </c>
      <c r="Q279" s="38">
        <f t="shared" si="94"/>
        <v>300</v>
      </c>
      <c r="R279" s="38">
        <f t="shared" si="103"/>
        <v>58650</v>
      </c>
      <c r="S279" s="38">
        <f t="shared" si="104"/>
        <v>402</v>
      </c>
      <c r="T279" s="38">
        <f t="shared" si="105"/>
        <v>201</v>
      </c>
      <c r="U279" s="38">
        <f t="shared" si="96"/>
        <v>116</v>
      </c>
      <c r="V279" s="38">
        <f t="shared" si="95"/>
        <v>6</v>
      </c>
      <c r="W279" s="38">
        <f t="shared" si="106"/>
        <v>18693</v>
      </c>
      <c r="X279" s="38">
        <f>SUM(Q$211:Q279)</f>
        <v>18450</v>
      </c>
      <c r="Y279" s="38">
        <f>SUM(R$211:R279)</f>
        <v>1950450</v>
      </c>
      <c r="Z279" s="38">
        <f>SUM(S$211:S279)</f>
        <v>13761</v>
      </c>
      <c r="AA279" s="38">
        <f>SUM(T$211:T279)</f>
        <v>6883</v>
      </c>
      <c r="AB279" s="38">
        <f>SUM(U$211:U279)</f>
        <v>3207</v>
      </c>
      <c r="AC279" s="38">
        <f>SUM(V$211:V279)</f>
        <v>414</v>
      </c>
      <c r="AD279" s="38">
        <f t="shared" si="107"/>
        <v>603515</v>
      </c>
    </row>
    <row r="280" spans="1:30" x14ac:dyDescent="0.25">
      <c r="A280" s="86" t="s">
        <v>254</v>
      </c>
      <c r="B280" s="14">
        <f t="shared" si="101"/>
        <v>70</v>
      </c>
      <c r="C280" s="14">
        <f t="shared" si="98"/>
        <v>81</v>
      </c>
      <c r="D280" s="14">
        <f t="shared" si="98"/>
        <v>41</v>
      </c>
      <c r="E280" s="14">
        <f t="shared" si="98"/>
        <v>20</v>
      </c>
      <c r="F280" s="14">
        <f t="shared" si="98"/>
        <v>1125</v>
      </c>
      <c r="G280" s="74">
        <f t="shared" si="102"/>
        <v>1411</v>
      </c>
      <c r="H280" s="14">
        <f t="shared" si="100"/>
        <v>19950</v>
      </c>
      <c r="I280" s="14"/>
      <c r="J280" s="14">
        <f t="shared" si="99"/>
        <v>39600</v>
      </c>
      <c r="K280" s="14">
        <f t="shared" si="99"/>
        <v>6</v>
      </c>
      <c r="L280" s="14">
        <v>1</v>
      </c>
      <c r="M280" s="14">
        <f t="shared" si="97"/>
        <v>408</v>
      </c>
      <c r="N280" s="14">
        <f t="shared" si="97"/>
        <v>204</v>
      </c>
      <c r="O280" s="14">
        <f t="shared" si="97"/>
        <v>98</v>
      </c>
      <c r="P280" s="14">
        <f t="shared" si="93"/>
        <v>300</v>
      </c>
      <c r="Q280" s="38">
        <f t="shared" si="94"/>
        <v>300</v>
      </c>
      <c r="R280" s="38">
        <f t="shared" si="103"/>
        <v>59550</v>
      </c>
      <c r="S280" s="38">
        <f t="shared" si="104"/>
        <v>408</v>
      </c>
      <c r="T280" s="38">
        <f t="shared" si="105"/>
        <v>204</v>
      </c>
      <c r="U280" s="38"/>
      <c r="V280" s="38">
        <f t="shared" si="95"/>
        <v>6</v>
      </c>
      <c r="W280" s="38">
        <f t="shared" si="106"/>
        <v>13674</v>
      </c>
      <c r="X280" s="38">
        <f>SUM(Q$211:Q280)</f>
        <v>18750</v>
      </c>
      <c r="Y280" s="38">
        <f>SUM(R$211:R280)</f>
        <v>2010000</v>
      </c>
      <c r="Z280" s="38">
        <f>SUM(S$211:S280)</f>
        <v>14169</v>
      </c>
      <c r="AA280" s="38">
        <f>SUM(T$211:T280)</f>
        <v>7087</v>
      </c>
      <c r="AB280" s="38">
        <f>SUM(U$211:U280)</f>
        <v>3207</v>
      </c>
      <c r="AC280" s="38">
        <f>SUM(V$211:V280)</f>
        <v>420</v>
      </c>
      <c r="AD280" s="38">
        <f t="shared" si="107"/>
        <v>617189</v>
      </c>
    </row>
    <row r="281" spans="1:30" x14ac:dyDescent="0.25">
      <c r="A281" s="86" t="s">
        <v>254</v>
      </c>
      <c r="B281" s="14">
        <f t="shared" si="101"/>
        <v>71</v>
      </c>
      <c r="C281" s="14">
        <f t="shared" si="98"/>
        <v>83</v>
      </c>
      <c r="D281" s="14">
        <f t="shared" si="98"/>
        <v>41</v>
      </c>
      <c r="E281" s="14">
        <f t="shared" si="98"/>
        <v>20</v>
      </c>
      <c r="F281" s="14">
        <f t="shared" si="98"/>
        <v>1155</v>
      </c>
      <c r="G281" s="74">
        <f t="shared" si="102"/>
        <v>1419</v>
      </c>
      <c r="H281" s="14">
        <f t="shared" si="100"/>
        <v>20250</v>
      </c>
      <c r="I281" s="14"/>
      <c r="J281" s="14">
        <f t="shared" si="99"/>
        <v>40200</v>
      </c>
      <c r="K281" s="14">
        <f t="shared" si="99"/>
        <v>6</v>
      </c>
      <c r="L281" s="14">
        <v>1</v>
      </c>
      <c r="M281" s="14">
        <f t="shared" si="97"/>
        <v>414</v>
      </c>
      <c r="N281" s="14">
        <f t="shared" si="97"/>
        <v>207</v>
      </c>
      <c r="O281" s="14">
        <f t="shared" si="97"/>
        <v>99</v>
      </c>
      <c r="P281" s="14">
        <f t="shared" si="93"/>
        <v>300</v>
      </c>
      <c r="Q281" s="38">
        <f t="shared" si="94"/>
        <v>300</v>
      </c>
      <c r="R281" s="38">
        <f t="shared" si="103"/>
        <v>60450</v>
      </c>
      <c r="S281" s="38">
        <f t="shared" si="104"/>
        <v>414</v>
      </c>
      <c r="T281" s="38">
        <f t="shared" si="105"/>
        <v>207</v>
      </c>
      <c r="U281" s="38"/>
      <c r="V281" s="38">
        <f t="shared" si="95"/>
        <v>6</v>
      </c>
      <c r="W281" s="38">
        <f t="shared" si="106"/>
        <v>13875</v>
      </c>
      <c r="X281" s="38">
        <f>SUM(Q$211:Q281)</f>
        <v>19050</v>
      </c>
      <c r="Y281" s="38">
        <f>SUM(R$211:R281)</f>
        <v>2070450</v>
      </c>
      <c r="Z281" s="38">
        <f>SUM(S$211:S281)</f>
        <v>14583</v>
      </c>
      <c r="AA281" s="38">
        <f>SUM(T$211:T281)</f>
        <v>7294</v>
      </c>
      <c r="AB281" s="38">
        <f>SUM(U$211:U281)</f>
        <v>3207</v>
      </c>
      <c r="AC281" s="38">
        <f>SUM(V$211:V281)</f>
        <v>426</v>
      </c>
      <c r="AD281" s="38">
        <f t="shared" si="107"/>
        <v>631064</v>
      </c>
    </row>
    <row r="282" spans="1:30" x14ac:dyDescent="0.25">
      <c r="A282" s="86" t="s">
        <v>254</v>
      </c>
      <c r="B282" s="14">
        <f t="shared" si="101"/>
        <v>72</v>
      </c>
      <c r="C282" s="14">
        <f t="shared" si="98"/>
        <v>84</v>
      </c>
      <c r="D282" s="14">
        <f t="shared" si="98"/>
        <v>42</v>
      </c>
      <c r="E282" s="14">
        <f t="shared" si="98"/>
        <v>20</v>
      </c>
      <c r="F282" s="14">
        <f t="shared" si="98"/>
        <v>1155</v>
      </c>
      <c r="G282" s="74">
        <f t="shared" si="102"/>
        <v>1425</v>
      </c>
      <c r="H282" s="14">
        <f t="shared" si="100"/>
        <v>20550</v>
      </c>
      <c r="I282" s="14"/>
      <c r="J282" s="14">
        <f t="shared" si="99"/>
        <v>40800</v>
      </c>
      <c r="K282" s="14">
        <f t="shared" si="99"/>
        <v>6</v>
      </c>
      <c r="L282" s="14">
        <v>1</v>
      </c>
      <c r="M282" s="14">
        <f t="shared" si="97"/>
        <v>420</v>
      </c>
      <c r="N282" s="14">
        <f t="shared" si="97"/>
        <v>210</v>
      </c>
      <c r="O282" s="14">
        <f t="shared" si="97"/>
        <v>101</v>
      </c>
      <c r="P282" s="14">
        <f t="shared" si="93"/>
        <v>300</v>
      </c>
      <c r="Q282" s="38">
        <f t="shared" si="94"/>
        <v>300</v>
      </c>
      <c r="R282" s="38">
        <f t="shared" si="103"/>
        <v>61350</v>
      </c>
      <c r="S282" s="38">
        <f t="shared" si="104"/>
        <v>420</v>
      </c>
      <c r="T282" s="38">
        <f t="shared" si="105"/>
        <v>210</v>
      </c>
      <c r="U282" s="38"/>
      <c r="V282" s="38">
        <f t="shared" si="95"/>
        <v>6</v>
      </c>
      <c r="W282" s="38">
        <f t="shared" si="106"/>
        <v>14076</v>
      </c>
      <c r="X282" s="38">
        <f>SUM(Q$211:Q282)</f>
        <v>19350</v>
      </c>
      <c r="Y282" s="38">
        <f>SUM(R$211:R282)</f>
        <v>2131800</v>
      </c>
      <c r="Z282" s="38">
        <f>SUM(S$211:S282)</f>
        <v>15003</v>
      </c>
      <c r="AA282" s="38">
        <f>SUM(T$211:T282)</f>
        <v>7504</v>
      </c>
      <c r="AB282" s="38">
        <f>SUM(U$211:U282)</f>
        <v>3207</v>
      </c>
      <c r="AC282" s="38">
        <f>SUM(V$211:V282)</f>
        <v>432</v>
      </c>
      <c r="AD282" s="38">
        <f t="shared" si="107"/>
        <v>645140</v>
      </c>
    </row>
    <row r="283" spans="1:30" x14ac:dyDescent="0.25">
      <c r="A283" s="86" t="s">
        <v>254</v>
      </c>
      <c r="B283" s="14">
        <f t="shared" si="101"/>
        <v>73</v>
      </c>
      <c r="C283" s="14">
        <f t="shared" si="98"/>
        <v>86</v>
      </c>
      <c r="D283" s="14">
        <f t="shared" si="98"/>
        <v>42</v>
      </c>
      <c r="E283" s="14">
        <f t="shared" si="98"/>
        <v>21</v>
      </c>
      <c r="F283" s="14">
        <f t="shared" si="98"/>
        <v>1185</v>
      </c>
      <c r="G283" s="74">
        <f t="shared" si="102"/>
        <v>1478</v>
      </c>
      <c r="H283" s="14">
        <f t="shared" si="100"/>
        <v>20850</v>
      </c>
      <c r="I283" s="14"/>
      <c r="J283" s="14">
        <f t="shared" si="99"/>
        <v>41400</v>
      </c>
      <c r="K283" s="14">
        <f t="shared" si="99"/>
        <v>6</v>
      </c>
      <c r="L283" s="14">
        <v>1</v>
      </c>
      <c r="M283" s="14">
        <f t="shared" si="97"/>
        <v>426</v>
      </c>
      <c r="N283" s="14">
        <f t="shared" si="97"/>
        <v>213</v>
      </c>
      <c r="O283" s="14">
        <f t="shared" si="97"/>
        <v>102</v>
      </c>
      <c r="P283" s="14">
        <f t="shared" si="93"/>
        <v>300</v>
      </c>
      <c r="Q283" s="38">
        <f t="shared" si="94"/>
        <v>300</v>
      </c>
      <c r="R283" s="38">
        <f t="shared" si="103"/>
        <v>62250</v>
      </c>
      <c r="S283" s="38">
        <f t="shared" si="104"/>
        <v>426</v>
      </c>
      <c r="T283" s="38">
        <f t="shared" si="105"/>
        <v>213</v>
      </c>
      <c r="U283" s="38">
        <f t="shared" ref="U283:U310" si="108">E283+O283</f>
        <v>123</v>
      </c>
      <c r="V283" s="38">
        <f t="shared" si="95"/>
        <v>6</v>
      </c>
      <c r="W283" s="38">
        <f t="shared" si="106"/>
        <v>19812</v>
      </c>
      <c r="X283" s="38">
        <f>SUM(Q$211:Q283)</f>
        <v>19650</v>
      </c>
      <c r="Y283" s="38">
        <f>SUM(R$211:R283)</f>
        <v>2194050</v>
      </c>
      <c r="Z283" s="38">
        <f>SUM(S$211:S283)</f>
        <v>15429</v>
      </c>
      <c r="AA283" s="38">
        <f>SUM(T$211:T283)</f>
        <v>7717</v>
      </c>
      <c r="AB283" s="38">
        <f>SUM(U$211:U283)</f>
        <v>3330</v>
      </c>
      <c r="AC283" s="38">
        <f>SUM(V$211:V283)</f>
        <v>438</v>
      </c>
      <c r="AD283" s="38">
        <f t="shared" si="107"/>
        <v>664952</v>
      </c>
    </row>
    <row r="284" spans="1:30" x14ac:dyDescent="0.25">
      <c r="A284" s="86" t="s">
        <v>254</v>
      </c>
      <c r="B284" s="14">
        <f t="shared" si="101"/>
        <v>74</v>
      </c>
      <c r="C284" s="14">
        <f t="shared" si="98"/>
        <v>87</v>
      </c>
      <c r="D284" s="14">
        <f t="shared" si="98"/>
        <v>44</v>
      </c>
      <c r="E284" s="14">
        <f t="shared" si="98"/>
        <v>21</v>
      </c>
      <c r="F284" s="14">
        <f t="shared" si="98"/>
        <v>1185</v>
      </c>
      <c r="G284" s="74">
        <f t="shared" si="102"/>
        <v>1489</v>
      </c>
      <c r="H284" s="14">
        <f t="shared" si="100"/>
        <v>21150</v>
      </c>
      <c r="I284" s="14"/>
      <c r="J284" s="14">
        <f t="shared" si="99"/>
        <v>42000</v>
      </c>
      <c r="K284" s="14">
        <f t="shared" si="99"/>
        <v>6</v>
      </c>
      <c r="L284" s="14">
        <v>1</v>
      </c>
      <c r="M284" s="14">
        <f t="shared" si="97"/>
        <v>432</v>
      </c>
      <c r="N284" s="14">
        <f t="shared" si="97"/>
        <v>216</v>
      </c>
      <c r="O284" s="14">
        <f t="shared" si="97"/>
        <v>104</v>
      </c>
      <c r="P284" s="14">
        <f t="shared" si="93"/>
        <v>300</v>
      </c>
      <c r="Q284" s="42">
        <f t="shared" si="94"/>
        <v>300</v>
      </c>
      <c r="R284" s="38">
        <f t="shared" si="103"/>
        <v>63150</v>
      </c>
      <c r="S284" s="38">
        <f t="shared" si="104"/>
        <v>432</v>
      </c>
      <c r="T284" s="38">
        <f t="shared" si="105"/>
        <v>216</v>
      </c>
      <c r="U284" s="42">
        <f t="shared" si="108"/>
        <v>125</v>
      </c>
      <c r="V284" s="42">
        <f t="shared" si="95"/>
        <v>6</v>
      </c>
      <c r="W284" s="38">
        <f t="shared" si="106"/>
        <v>20103</v>
      </c>
      <c r="X284" s="38">
        <f>SUM(Q$211:Q284)</f>
        <v>19950</v>
      </c>
      <c r="Y284" s="38">
        <f>SUM(R$211:R284)</f>
        <v>2257200</v>
      </c>
      <c r="Z284" s="38">
        <f>SUM(S$211:S284)</f>
        <v>15861</v>
      </c>
      <c r="AA284" s="38">
        <f>SUM(T$211:T284)</f>
        <v>7933</v>
      </c>
      <c r="AB284" s="38">
        <f>SUM(U$211:U284)</f>
        <v>3455</v>
      </c>
      <c r="AC284" s="38">
        <f>SUM(V$211:V284)</f>
        <v>444</v>
      </c>
      <c r="AD284" s="38">
        <f t="shared" si="107"/>
        <v>685055</v>
      </c>
    </row>
    <row r="285" spans="1:30" x14ac:dyDescent="0.25">
      <c r="A285" s="86" t="s">
        <v>254</v>
      </c>
      <c r="B285" s="14">
        <f t="shared" si="101"/>
        <v>75</v>
      </c>
      <c r="C285" s="14">
        <f t="shared" si="98"/>
        <v>87</v>
      </c>
      <c r="D285" s="14">
        <f t="shared" si="98"/>
        <v>44</v>
      </c>
      <c r="E285" s="14">
        <f t="shared" si="98"/>
        <v>21</v>
      </c>
      <c r="F285" s="14">
        <f t="shared" si="98"/>
        <v>1215</v>
      </c>
      <c r="G285" s="74">
        <f t="shared" si="102"/>
        <v>1495</v>
      </c>
      <c r="H285" s="14">
        <f t="shared" si="100"/>
        <v>21450</v>
      </c>
      <c r="I285" s="14"/>
      <c r="J285" s="14">
        <f t="shared" si="99"/>
        <v>42600</v>
      </c>
      <c r="K285" s="14">
        <f t="shared" si="99"/>
        <v>6</v>
      </c>
      <c r="L285" s="14">
        <v>1</v>
      </c>
      <c r="M285" s="14">
        <f t="shared" si="97"/>
        <v>438</v>
      </c>
      <c r="N285" s="14">
        <f t="shared" si="97"/>
        <v>219</v>
      </c>
      <c r="O285" s="14">
        <f t="shared" si="97"/>
        <v>105</v>
      </c>
      <c r="P285" s="14">
        <f t="shared" si="93"/>
        <v>300</v>
      </c>
      <c r="Q285" s="38">
        <f t="shared" si="94"/>
        <v>300</v>
      </c>
      <c r="R285" s="38">
        <f t="shared" si="103"/>
        <v>64050</v>
      </c>
      <c r="S285" s="38">
        <f t="shared" si="104"/>
        <v>438</v>
      </c>
      <c r="T285" s="38">
        <f t="shared" si="105"/>
        <v>219</v>
      </c>
      <c r="U285" s="38">
        <f t="shared" si="108"/>
        <v>126</v>
      </c>
      <c r="V285" s="38">
        <f t="shared" si="95"/>
        <v>6</v>
      </c>
      <c r="W285" s="38">
        <f t="shared" si="106"/>
        <v>20349</v>
      </c>
      <c r="X285" s="38">
        <f>SUM(Q$211:Q285)</f>
        <v>20250</v>
      </c>
      <c r="Y285" s="38">
        <f>SUM(R$211:R285)</f>
        <v>2321250</v>
      </c>
      <c r="Z285" s="38">
        <f>SUM(S$211:S285)</f>
        <v>16299</v>
      </c>
      <c r="AA285" s="38">
        <f>SUM(T$211:T285)</f>
        <v>8152</v>
      </c>
      <c r="AB285" s="38">
        <f>SUM(U$211:U285)</f>
        <v>3581</v>
      </c>
      <c r="AC285" s="38">
        <f>SUM(V$211:V285)</f>
        <v>450</v>
      </c>
      <c r="AD285" s="38">
        <f t="shared" si="107"/>
        <v>705404</v>
      </c>
    </row>
    <row r="286" spans="1:30" x14ac:dyDescent="0.25">
      <c r="A286" s="86" t="s">
        <v>254</v>
      </c>
      <c r="B286" s="14">
        <f t="shared" si="101"/>
        <v>76</v>
      </c>
      <c r="C286" s="14">
        <f t="shared" si="98"/>
        <v>89</v>
      </c>
      <c r="D286" s="14">
        <f t="shared" si="98"/>
        <v>44</v>
      </c>
      <c r="E286" s="14">
        <f t="shared" si="98"/>
        <v>21</v>
      </c>
      <c r="F286" s="14">
        <f t="shared" si="98"/>
        <v>1215</v>
      </c>
      <c r="G286" s="74">
        <f t="shared" si="102"/>
        <v>1497</v>
      </c>
      <c r="H286" s="14">
        <f t="shared" si="100"/>
        <v>21750</v>
      </c>
      <c r="I286" s="14"/>
      <c r="J286" s="14">
        <f t="shared" si="99"/>
        <v>43200</v>
      </c>
      <c r="K286" s="14">
        <f t="shared" si="99"/>
        <v>6</v>
      </c>
      <c r="L286" s="14">
        <v>1</v>
      </c>
      <c r="M286" s="14">
        <f t="shared" si="97"/>
        <v>444</v>
      </c>
      <c r="N286" s="14">
        <f t="shared" si="97"/>
        <v>222</v>
      </c>
      <c r="O286" s="14">
        <f t="shared" si="97"/>
        <v>107</v>
      </c>
      <c r="P286" s="14">
        <f t="shared" si="93"/>
        <v>300</v>
      </c>
      <c r="Q286" s="38">
        <f t="shared" si="94"/>
        <v>300</v>
      </c>
      <c r="R286" s="38">
        <f t="shared" si="103"/>
        <v>64950</v>
      </c>
      <c r="S286" s="38">
        <f t="shared" si="104"/>
        <v>444</v>
      </c>
      <c r="T286" s="38">
        <f t="shared" si="105"/>
        <v>222</v>
      </c>
      <c r="U286" s="38">
        <f t="shared" si="108"/>
        <v>128</v>
      </c>
      <c r="V286" s="38">
        <f t="shared" si="95"/>
        <v>6</v>
      </c>
      <c r="W286" s="38">
        <f t="shared" si="106"/>
        <v>20640</v>
      </c>
      <c r="X286" s="38">
        <f>SUM(Q$211:Q286)</f>
        <v>20550</v>
      </c>
      <c r="Y286" s="38">
        <f>SUM(R$211:R286)</f>
        <v>2386200</v>
      </c>
      <c r="Z286" s="38">
        <f>SUM(S$211:S286)</f>
        <v>16743</v>
      </c>
      <c r="AA286" s="38">
        <f>SUM(T$211:T286)</f>
        <v>8374</v>
      </c>
      <c r="AB286" s="38">
        <f>SUM(U$211:U286)</f>
        <v>3709</v>
      </c>
      <c r="AC286" s="38">
        <f>SUM(V$211:V286)</f>
        <v>456</v>
      </c>
      <c r="AD286" s="38">
        <f t="shared" si="107"/>
        <v>726044</v>
      </c>
    </row>
    <row r="287" spans="1:30" x14ac:dyDescent="0.25">
      <c r="A287" s="86" t="s">
        <v>254</v>
      </c>
      <c r="B287" s="14">
        <f t="shared" si="101"/>
        <v>77</v>
      </c>
      <c r="C287" s="14">
        <f t="shared" si="98"/>
        <v>90</v>
      </c>
      <c r="D287" s="14">
        <f t="shared" si="98"/>
        <v>45</v>
      </c>
      <c r="E287" s="14">
        <f t="shared" si="98"/>
        <v>21</v>
      </c>
      <c r="F287" s="14">
        <f t="shared" si="98"/>
        <v>1245</v>
      </c>
      <c r="G287" s="74">
        <f t="shared" si="102"/>
        <v>1509</v>
      </c>
      <c r="H287" s="14">
        <f t="shared" si="100"/>
        <v>22050</v>
      </c>
      <c r="I287" s="14"/>
      <c r="J287" s="14">
        <f t="shared" si="99"/>
        <v>43800</v>
      </c>
      <c r="K287" s="14">
        <f t="shared" si="99"/>
        <v>6</v>
      </c>
      <c r="L287" s="14">
        <v>1</v>
      </c>
      <c r="M287" s="14">
        <f t="shared" ref="M287:O306" si="109">MAX(1,ROUND(M84*INDEX($O$1:$U$4,MATCH($A287,$O$1:$O$4,0),MATCH(M$210,$O$1:$U$1,0)),0))</f>
        <v>450</v>
      </c>
      <c r="N287" s="14">
        <f t="shared" si="109"/>
        <v>225</v>
      </c>
      <c r="O287" s="14">
        <f t="shared" si="109"/>
        <v>108</v>
      </c>
      <c r="P287" s="14">
        <f t="shared" si="93"/>
        <v>300</v>
      </c>
      <c r="Q287" s="38">
        <f t="shared" si="94"/>
        <v>300</v>
      </c>
      <c r="R287" s="38">
        <f t="shared" si="103"/>
        <v>65850</v>
      </c>
      <c r="S287" s="38">
        <f t="shared" si="104"/>
        <v>450</v>
      </c>
      <c r="T287" s="38">
        <f t="shared" si="105"/>
        <v>225</v>
      </c>
      <c r="U287" s="38">
        <f t="shared" si="108"/>
        <v>129</v>
      </c>
      <c r="V287" s="38">
        <f t="shared" si="95"/>
        <v>6</v>
      </c>
      <c r="W287" s="38">
        <f t="shared" si="106"/>
        <v>20886</v>
      </c>
      <c r="X287" s="38">
        <f>SUM(Q$211:Q287)</f>
        <v>20850</v>
      </c>
      <c r="Y287" s="38">
        <f>SUM(R$211:R287)</f>
        <v>2452050</v>
      </c>
      <c r="Z287" s="38">
        <f>SUM(S$211:S287)</f>
        <v>17193</v>
      </c>
      <c r="AA287" s="38">
        <f>SUM(T$211:T287)</f>
        <v>8599</v>
      </c>
      <c r="AB287" s="38">
        <f>SUM(U$211:U287)</f>
        <v>3838</v>
      </c>
      <c r="AC287" s="38">
        <f>SUM(V$211:V287)</f>
        <v>462</v>
      </c>
      <c r="AD287" s="38">
        <f t="shared" si="107"/>
        <v>746930</v>
      </c>
    </row>
    <row r="288" spans="1:30" x14ac:dyDescent="0.25">
      <c r="A288" s="86" t="s">
        <v>254</v>
      </c>
      <c r="B288" s="14">
        <f t="shared" si="101"/>
        <v>78</v>
      </c>
      <c r="C288" s="14">
        <f t="shared" si="98"/>
        <v>92</v>
      </c>
      <c r="D288" s="14">
        <f t="shared" si="98"/>
        <v>45</v>
      </c>
      <c r="E288" s="14">
        <f t="shared" si="98"/>
        <v>23</v>
      </c>
      <c r="F288" s="14">
        <f t="shared" si="98"/>
        <v>1245</v>
      </c>
      <c r="G288" s="74">
        <f t="shared" si="102"/>
        <v>1601</v>
      </c>
      <c r="H288" s="14">
        <f t="shared" si="100"/>
        <v>22350</v>
      </c>
      <c r="I288" s="14"/>
      <c r="J288" s="14">
        <f t="shared" si="99"/>
        <v>44400</v>
      </c>
      <c r="K288" s="14">
        <f t="shared" si="99"/>
        <v>6</v>
      </c>
      <c r="L288" s="14">
        <v>1</v>
      </c>
      <c r="M288" s="14">
        <f t="shared" si="109"/>
        <v>456</v>
      </c>
      <c r="N288" s="14">
        <f t="shared" si="109"/>
        <v>228</v>
      </c>
      <c r="O288" s="14">
        <f t="shared" si="109"/>
        <v>110</v>
      </c>
      <c r="P288" s="14">
        <f t="shared" si="93"/>
        <v>300</v>
      </c>
      <c r="Q288" s="38">
        <f t="shared" si="94"/>
        <v>300</v>
      </c>
      <c r="R288" s="38">
        <f t="shared" si="103"/>
        <v>66750</v>
      </c>
      <c r="S288" s="38">
        <f t="shared" si="104"/>
        <v>456</v>
      </c>
      <c r="T288" s="38">
        <f t="shared" si="105"/>
        <v>228</v>
      </c>
      <c r="U288" s="38">
        <f t="shared" si="108"/>
        <v>133</v>
      </c>
      <c r="V288" s="38">
        <f t="shared" si="95"/>
        <v>6</v>
      </c>
      <c r="W288" s="38">
        <f t="shared" si="106"/>
        <v>21267</v>
      </c>
      <c r="X288" s="38">
        <f>SUM(Q$211:Q288)</f>
        <v>21150</v>
      </c>
      <c r="Y288" s="38">
        <f>SUM(R$211:R288)</f>
        <v>2518800</v>
      </c>
      <c r="Z288" s="38">
        <f>SUM(S$211:S288)</f>
        <v>17649</v>
      </c>
      <c r="AA288" s="38">
        <f>SUM(T$211:T288)</f>
        <v>8827</v>
      </c>
      <c r="AB288" s="38">
        <f>SUM(U$211:U288)</f>
        <v>3971</v>
      </c>
      <c r="AC288" s="38">
        <f>SUM(V$211:V288)</f>
        <v>468</v>
      </c>
      <c r="AD288" s="38">
        <f t="shared" si="107"/>
        <v>768197</v>
      </c>
    </row>
    <row r="289" spans="1:30" x14ac:dyDescent="0.25">
      <c r="A289" s="86" t="s">
        <v>254</v>
      </c>
      <c r="B289" s="14">
        <f t="shared" si="101"/>
        <v>79</v>
      </c>
      <c r="C289" s="14">
        <f t="shared" si="98"/>
        <v>93</v>
      </c>
      <c r="D289" s="14">
        <f t="shared" si="98"/>
        <v>47</v>
      </c>
      <c r="E289" s="14">
        <f t="shared" si="98"/>
        <v>23</v>
      </c>
      <c r="F289" s="14">
        <f t="shared" si="98"/>
        <v>1275</v>
      </c>
      <c r="G289" s="74">
        <f t="shared" si="102"/>
        <v>1618</v>
      </c>
      <c r="H289" s="14">
        <f t="shared" si="100"/>
        <v>22650</v>
      </c>
      <c r="I289" s="14"/>
      <c r="J289" s="14">
        <f t="shared" si="99"/>
        <v>45000</v>
      </c>
      <c r="K289" s="14">
        <f t="shared" si="99"/>
        <v>6</v>
      </c>
      <c r="L289" s="14">
        <v>1</v>
      </c>
      <c r="M289" s="14">
        <f t="shared" si="109"/>
        <v>462</v>
      </c>
      <c r="N289" s="14">
        <f t="shared" si="109"/>
        <v>231</v>
      </c>
      <c r="O289" s="14">
        <f t="shared" si="109"/>
        <v>111</v>
      </c>
      <c r="P289" s="14">
        <f t="shared" si="93"/>
        <v>300</v>
      </c>
      <c r="Q289" s="38">
        <f t="shared" si="94"/>
        <v>300</v>
      </c>
      <c r="R289" s="38">
        <f t="shared" si="103"/>
        <v>67650</v>
      </c>
      <c r="S289" s="38">
        <f t="shared" si="104"/>
        <v>462</v>
      </c>
      <c r="T289" s="38">
        <f t="shared" si="105"/>
        <v>231</v>
      </c>
      <c r="U289" s="38">
        <f t="shared" si="108"/>
        <v>134</v>
      </c>
      <c r="V289" s="38">
        <f t="shared" si="95"/>
        <v>6</v>
      </c>
      <c r="W289" s="38">
        <f t="shared" si="106"/>
        <v>21513</v>
      </c>
      <c r="X289" s="38">
        <f>SUM(Q$211:Q289)</f>
        <v>21450</v>
      </c>
      <c r="Y289" s="38">
        <f>SUM(R$211:R289)</f>
        <v>2586450</v>
      </c>
      <c r="Z289" s="38">
        <f>SUM(S$211:S289)</f>
        <v>18111</v>
      </c>
      <c r="AA289" s="38">
        <f>SUM(T$211:T289)</f>
        <v>9058</v>
      </c>
      <c r="AB289" s="38">
        <f>SUM(U$211:U289)</f>
        <v>4105</v>
      </c>
      <c r="AC289" s="38">
        <f>SUM(V$211:V289)</f>
        <v>474</v>
      </c>
      <c r="AD289" s="38">
        <f t="shared" si="107"/>
        <v>789710</v>
      </c>
    </row>
    <row r="290" spans="1:30" x14ac:dyDescent="0.25">
      <c r="A290" s="86" t="s">
        <v>254</v>
      </c>
      <c r="B290" s="14">
        <f t="shared" si="101"/>
        <v>80</v>
      </c>
      <c r="C290" s="14">
        <f t="shared" si="98"/>
        <v>93</v>
      </c>
      <c r="D290" s="14">
        <f t="shared" si="98"/>
        <v>47</v>
      </c>
      <c r="E290" s="14">
        <f t="shared" si="98"/>
        <v>23</v>
      </c>
      <c r="F290" s="14">
        <f t="shared" si="98"/>
        <v>1275</v>
      </c>
      <c r="G290" s="74">
        <f t="shared" si="102"/>
        <v>1618</v>
      </c>
      <c r="H290" s="14">
        <f t="shared" si="100"/>
        <v>22950</v>
      </c>
      <c r="I290" s="14"/>
      <c r="J290" s="14">
        <f t="shared" si="99"/>
        <v>45600</v>
      </c>
      <c r="K290" s="14">
        <f t="shared" si="99"/>
        <v>6</v>
      </c>
      <c r="L290" s="14">
        <v>1</v>
      </c>
      <c r="M290" s="14">
        <f t="shared" si="109"/>
        <v>468</v>
      </c>
      <c r="N290" s="14">
        <f t="shared" si="109"/>
        <v>234</v>
      </c>
      <c r="O290" s="14">
        <f t="shared" si="109"/>
        <v>113</v>
      </c>
      <c r="P290" s="14">
        <f t="shared" si="93"/>
        <v>300</v>
      </c>
      <c r="Q290" s="38">
        <f t="shared" si="94"/>
        <v>300</v>
      </c>
      <c r="R290" s="38">
        <f t="shared" si="103"/>
        <v>68550</v>
      </c>
      <c r="S290" s="38">
        <f t="shared" si="104"/>
        <v>468</v>
      </c>
      <c r="T290" s="38">
        <f t="shared" si="105"/>
        <v>234</v>
      </c>
      <c r="U290" s="38">
        <f t="shared" si="108"/>
        <v>136</v>
      </c>
      <c r="V290" s="38">
        <f t="shared" si="95"/>
        <v>6</v>
      </c>
      <c r="W290" s="38">
        <f t="shared" si="106"/>
        <v>21804</v>
      </c>
      <c r="X290" s="38">
        <f>SUM(Q$211:Q290)</f>
        <v>21750</v>
      </c>
      <c r="Y290" s="38">
        <f>SUM(R$211:R290)</f>
        <v>2655000</v>
      </c>
      <c r="Z290" s="38">
        <f>SUM(S$211:S290)</f>
        <v>18579</v>
      </c>
      <c r="AA290" s="38">
        <f>SUM(T$211:T290)</f>
        <v>9292</v>
      </c>
      <c r="AB290" s="38">
        <f>SUM(U$211:U290)</f>
        <v>4241</v>
      </c>
      <c r="AC290" s="38">
        <f>SUM(V$211:V290)</f>
        <v>480</v>
      </c>
      <c r="AD290" s="38">
        <f t="shared" si="107"/>
        <v>811514</v>
      </c>
    </row>
    <row r="291" spans="1:30" x14ac:dyDescent="0.25">
      <c r="A291" s="86" t="s">
        <v>254</v>
      </c>
      <c r="B291" s="14">
        <f t="shared" si="101"/>
        <v>81</v>
      </c>
      <c r="C291" s="14">
        <f t="shared" ref="C291:F310" si="110">MAX(1,ROUND(C88*INDEX($O$1:$U$4,MATCH($A291,$O$1:$O$4,0),MATCH(C$210,$O$1:$U$1,0)),0))</f>
        <v>95</v>
      </c>
      <c r="D291" s="14">
        <f t="shared" si="110"/>
        <v>47</v>
      </c>
      <c r="E291" s="14">
        <f t="shared" si="110"/>
        <v>23</v>
      </c>
      <c r="F291" s="14">
        <f t="shared" si="110"/>
        <v>1305</v>
      </c>
      <c r="G291" s="74">
        <f t="shared" si="102"/>
        <v>1626</v>
      </c>
      <c r="H291" s="14">
        <f t="shared" si="100"/>
        <v>23250</v>
      </c>
      <c r="I291" s="14"/>
      <c r="J291" s="14">
        <f t="shared" ref="J291:K310" si="111">MAX(1,ROUND(J88*INDEX($O$1:$U$4,MATCH($A291,$O$1:$O$4,0),MATCH(J$210,$O$1:$U$1,0)),0))</f>
        <v>46200</v>
      </c>
      <c r="K291" s="14">
        <f t="shared" si="111"/>
        <v>6</v>
      </c>
      <c r="L291" s="14">
        <v>1</v>
      </c>
      <c r="M291" s="14">
        <f t="shared" si="109"/>
        <v>474</v>
      </c>
      <c r="N291" s="14">
        <f t="shared" si="109"/>
        <v>237</v>
      </c>
      <c r="O291" s="14">
        <f t="shared" si="109"/>
        <v>114</v>
      </c>
      <c r="P291" s="14">
        <f t="shared" ref="P291" si="112">MAX(1,ROUND(P88*INDEX($O$1:$U$4,MATCH($A291,$O$1:$O$4,0),MATCH(P$210,$O$1:$U$1,0)),0))</f>
        <v>300</v>
      </c>
      <c r="Q291" s="38">
        <f t="shared" si="94"/>
        <v>300</v>
      </c>
      <c r="R291" s="38">
        <f t="shared" si="103"/>
        <v>69450</v>
      </c>
      <c r="S291" s="38">
        <f t="shared" si="104"/>
        <v>474</v>
      </c>
      <c r="T291" s="38">
        <f t="shared" si="105"/>
        <v>237</v>
      </c>
      <c r="U291" s="38">
        <f t="shared" si="108"/>
        <v>137</v>
      </c>
      <c r="V291" s="38">
        <f t="shared" si="95"/>
        <v>6</v>
      </c>
      <c r="W291" s="38">
        <f t="shared" si="106"/>
        <v>22050</v>
      </c>
      <c r="X291" s="38">
        <f>SUM(Q$211:Q291)</f>
        <v>22050</v>
      </c>
      <c r="Y291" s="38">
        <f>SUM(R$211:R291)</f>
        <v>2724450</v>
      </c>
      <c r="Z291" s="38">
        <f>SUM(S$211:S291)</f>
        <v>19053</v>
      </c>
      <c r="AA291" s="38">
        <f>SUM(T$211:T291)</f>
        <v>9529</v>
      </c>
      <c r="AB291" s="38">
        <f>SUM(U$211:U291)</f>
        <v>4378</v>
      </c>
      <c r="AC291" s="38">
        <f>SUM(V$211:V291)</f>
        <v>486</v>
      </c>
      <c r="AD291" s="38">
        <f t="shared" si="107"/>
        <v>833564</v>
      </c>
    </row>
    <row r="292" spans="1:30" x14ac:dyDescent="0.25">
      <c r="A292" s="86" t="s">
        <v>254</v>
      </c>
      <c r="B292" s="14">
        <f t="shared" si="101"/>
        <v>82</v>
      </c>
      <c r="C292" s="14">
        <f t="shared" si="110"/>
        <v>96</v>
      </c>
      <c r="D292" s="14">
        <f t="shared" si="110"/>
        <v>48</v>
      </c>
      <c r="E292" s="14">
        <f t="shared" si="110"/>
        <v>23</v>
      </c>
      <c r="F292" s="14">
        <f t="shared" si="110"/>
        <v>1305</v>
      </c>
      <c r="G292" s="74">
        <f t="shared" si="102"/>
        <v>1632</v>
      </c>
      <c r="H292" s="14">
        <f t="shared" si="100"/>
        <v>23550</v>
      </c>
      <c r="I292" s="14"/>
      <c r="J292" s="14">
        <f t="shared" si="111"/>
        <v>46800</v>
      </c>
      <c r="K292" s="14">
        <f t="shared" si="111"/>
        <v>6</v>
      </c>
      <c r="L292" s="14">
        <v>1</v>
      </c>
      <c r="M292" s="14">
        <f t="shared" si="109"/>
        <v>480</v>
      </c>
      <c r="N292" s="14">
        <f t="shared" si="109"/>
        <v>240</v>
      </c>
      <c r="O292" s="14">
        <f t="shared" si="109"/>
        <v>116</v>
      </c>
      <c r="P292" s="14">
        <f t="shared" ref="P292:P323" si="113">MAX(1,ROUND(P89*INDEX($O$1:$U$4,MATCH($A292,$O$1:$O$4,0),MATCH(P$210,$O$1:$U$1,0)),0))</f>
        <v>300</v>
      </c>
      <c r="Q292" s="38">
        <f t="shared" si="94"/>
        <v>300</v>
      </c>
      <c r="R292" s="38">
        <f t="shared" si="103"/>
        <v>70350</v>
      </c>
      <c r="S292" s="38">
        <f t="shared" si="104"/>
        <v>480</v>
      </c>
      <c r="T292" s="38">
        <f t="shared" si="105"/>
        <v>240</v>
      </c>
      <c r="U292" s="38">
        <f t="shared" si="108"/>
        <v>139</v>
      </c>
      <c r="V292" s="38">
        <f t="shared" si="95"/>
        <v>6</v>
      </c>
      <c r="W292" s="38">
        <f t="shared" si="106"/>
        <v>22341</v>
      </c>
      <c r="X292" s="38">
        <f>SUM(Q$211:Q292)</f>
        <v>22350</v>
      </c>
      <c r="Y292" s="38">
        <f>SUM(R$211:R292)</f>
        <v>2794800</v>
      </c>
      <c r="Z292" s="38">
        <f>SUM(S$211:S292)</f>
        <v>19533</v>
      </c>
      <c r="AA292" s="38">
        <f>SUM(T$211:T292)</f>
        <v>9769</v>
      </c>
      <c r="AB292" s="38">
        <f>SUM(U$211:U292)</f>
        <v>4517</v>
      </c>
      <c r="AC292" s="38">
        <f>SUM(V$211:V292)</f>
        <v>492</v>
      </c>
      <c r="AD292" s="38">
        <f t="shared" si="107"/>
        <v>855905</v>
      </c>
    </row>
    <row r="293" spans="1:30" x14ac:dyDescent="0.25">
      <c r="A293" s="86" t="s">
        <v>254</v>
      </c>
      <c r="B293" s="14">
        <f t="shared" si="101"/>
        <v>83</v>
      </c>
      <c r="C293" s="14">
        <f t="shared" si="110"/>
        <v>98</v>
      </c>
      <c r="D293" s="14">
        <f t="shared" si="110"/>
        <v>48</v>
      </c>
      <c r="E293" s="14">
        <f t="shared" si="110"/>
        <v>24</v>
      </c>
      <c r="F293" s="14">
        <f t="shared" si="110"/>
        <v>1335</v>
      </c>
      <c r="G293" s="74">
        <f t="shared" si="102"/>
        <v>1685</v>
      </c>
      <c r="H293" s="14">
        <f t="shared" si="100"/>
        <v>23850</v>
      </c>
      <c r="I293" s="14"/>
      <c r="J293" s="14">
        <f t="shared" si="111"/>
        <v>47400</v>
      </c>
      <c r="K293" s="14">
        <f t="shared" si="111"/>
        <v>6</v>
      </c>
      <c r="L293" s="14">
        <v>1</v>
      </c>
      <c r="M293" s="14">
        <f t="shared" si="109"/>
        <v>486</v>
      </c>
      <c r="N293" s="14">
        <f t="shared" si="109"/>
        <v>243</v>
      </c>
      <c r="O293" s="14">
        <f t="shared" si="109"/>
        <v>117</v>
      </c>
      <c r="P293" s="14">
        <f t="shared" si="113"/>
        <v>300</v>
      </c>
      <c r="Q293" s="38">
        <f t="shared" si="94"/>
        <v>300</v>
      </c>
      <c r="R293" s="38">
        <f t="shared" si="103"/>
        <v>71250</v>
      </c>
      <c r="S293" s="38">
        <f t="shared" si="104"/>
        <v>486</v>
      </c>
      <c r="T293" s="38">
        <f t="shared" si="105"/>
        <v>243</v>
      </c>
      <c r="U293" s="38">
        <f t="shared" si="108"/>
        <v>141</v>
      </c>
      <c r="V293" s="38">
        <f t="shared" si="95"/>
        <v>6</v>
      </c>
      <c r="W293" s="38">
        <f t="shared" si="106"/>
        <v>22632</v>
      </c>
      <c r="X293" s="38">
        <f>SUM(Q$211:Q293)</f>
        <v>22650</v>
      </c>
      <c r="Y293" s="38">
        <f>SUM(R$211:R293)</f>
        <v>2866050</v>
      </c>
      <c r="Z293" s="38">
        <f>SUM(S$211:S293)</f>
        <v>20019</v>
      </c>
      <c r="AA293" s="38">
        <f>SUM(T$211:T293)</f>
        <v>10012</v>
      </c>
      <c r="AB293" s="38">
        <f>SUM(U$211:U293)</f>
        <v>4658</v>
      </c>
      <c r="AC293" s="38">
        <f>SUM(V$211:V293)</f>
        <v>498</v>
      </c>
      <c r="AD293" s="38">
        <f t="shared" si="107"/>
        <v>878537</v>
      </c>
    </row>
    <row r="294" spans="1:30" x14ac:dyDescent="0.25">
      <c r="A294" s="86" t="s">
        <v>254</v>
      </c>
      <c r="B294" s="14">
        <f t="shared" si="101"/>
        <v>84</v>
      </c>
      <c r="C294" s="14">
        <f t="shared" si="110"/>
        <v>99</v>
      </c>
      <c r="D294" s="14">
        <f t="shared" si="110"/>
        <v>50</v>
      </c>
      <c r="E294" s="14">
        <f t="shared" si="110"/>
        <v>24</v>
      </c>
      <c r="F294" s="14">
        <f t="shared" si="110"/>
        <v>1335</v>
      </c>
      <c r="G294" s="74">
        <f t="shared" si="102"/>
        <v>1696</v>
      </c>
      <c r="H294" s="14">
        <f t="shared" si="100"/>
        <v>24150</v>
      </c>
      <c r="I294" s="14"/>
      <c r="J294" s="14">
        <f t="shared" si="111"/>
        <v>48000</v>
      </c>
      <c r="K294" s="14">
        <f t="shared" si="111"/>
        <v>6</v>
      </c>
      <c r="L294" s="14">
        <v>1</v>
      </c>
      <c r="M294" s="14">
        <f t="shared" si="109"/>
        <v>492</v>
      </c>
      <c r="N294" s="14">
        <f t="shared" si="109"/>
        <v>246</v>
      </c>
      <c r="O294" s="14">
        <f t="shared" si="109"/>
        <v>119</v>
      </c>
      <c r="P294" s="14">
        <f t="shared" si="113"/>
        <v>300</v>
      </c>
      <c r="Q294" s="38">
        <f t="shared" ref="Q294:Q325" si="114">P294</f>
        <v>300</v>
      </c>
      <c r="R294" s="38">
        <f t="shared" si="103"/>
        <v>72150</v>
      </c>
      <c r="S294" s="38">
        <f t="shared" si="104"/>
        <v>492</v>
      </c>
      <c r="T294" s="38">
        <f t="shared" si="105"/>
        <v>246</v>
      </c>
      <c r="U294" s="38">
        <f t="shared" si="108"/>
        <v>143</v>
      </c>
      <c r="V294" s="38">
        <f t="shared" ref="V294:V325" si="115">K294</f>
        <v>6</v>
      </c>
      <c r="W294" s="38">
        <f t="shared" si="106"/>
        <v>22923</v>
      </c>
      <c r="X294" s="38">
        <f>SUM(Q$211:Q294)</f>
        <v>22950</v>
      </c>
      <c r="Y294" s="38">
        <f>SUM(R$211:R294)</f>
        <v>2938200</v>
      </c>
      <c r="Z294" s="38">
        <f>SUM(S$211:S294)</f>
        <v>20511</v>
      </c>
      <c r="AA294" s="38">
        <f>SUM(T$211:T294)</f>
        <v>10258</v>
      </c>
      <c r="AB294" s="38">
        <f>SUM(U$211:U294)</f>
        <v>4801</v>
      </c>
      <c r="AC294" s="38">
        <f>SUM(V$211:V294)</f>
        <v>504</v>
      </c>
      <c r="AD294" s="38">
        <f t="shared" si="107"/>
        <v>901460</v>
      </c>
    </row>
    <row r="295" spans="1:30" x14ac:dyDescent="0.25">
      <c r="A295" s="86" t="s">
        <v>254</v>
      </c>
      <c r="B295" s="14">
        <f t="shared" si="101"/>
        <v>85</v>
      </c>
      <c r="C295" s="14">
        <f t="shared" si="110"/>
        <v>99</v>
      </c>
      <c r="D295" s="14">
        <f t="shared" si="110"/>
        <v>50</v>
      </c>
      <c r="E295" s="14">
        <f t="shared" si="110"/>
        <v>24</v>
      </c>
      <c r="F295" s="14">
        <f t="shared" si="110"/>
        <v>1365</v>
      </c>
      <c r="G295" s="74">
        <f t="shared" si="102"/>
        <v>1702</v>
      </c>
      <c r="H295" s="14">
        <f t="shared" si="100"/>
        <v>24450</v>
      </c>
      <c r="I295" s="14"/>
      <c r="J295" s="14">
        <f t="shared" si="111"/>
        <v>48600</v>
      </c>
      <c r="K295" s="14">
        <f t="shared" si="111"/>
        <v>6</v>
      </c>
      <c r="L295" s="14">
        <v>1</v>
      </c>
      <c r="M295" s="14">
        <f t="shared" si="109"/>
        <v>498</v>
      </c>
      <c r="N295" s="14">
        <f t="shared" si="109"/>
        <v>249</v>
      </c>
      <c r="O295" s="14">
        <f t="shared" si="109"/>
        <v>120</v>
      </c>
      <c r="P295" s="14">
        <f t="shared" si="113"/>
        <v>300</v>
      </c>
      <c r="Q295" s="38">
        <f t="shared" si="114"/>
        <v>300</v>
      </c>
      <c r="R295" s="38">
        <f t="shared" si="103"/>
        <v>73050</v>
      </c>
      <c r="S295" s="38">
        <f t="shared" si="104"/>
        <v>498</v>
      </c>
      <c r="T295" s="38">
        <f t="shared" si="105"/>
        <v>249</v>
      </c>
      <c r="U295" s="38">
        <f t="shared" si="108"/>
        <v>144</v>
      </c>
      <c r="V295" s="38">
        <f t="shared" si="115"/>
        <v>6</v>
      </c>
      <c r="W295" s="38">
        <f t="shared" si="106"/>
        <v>23169</v>
      </c>
      <c r="X295" s="38">
        <f>SUM(Q$211:Q295)</f>
        <v>23250</v>
      </c>
      <c r="Y295" s="38">
        <f>SUM(R$211:R295)</f>
        <v>3011250</v>
      </c>
      <c r="Z295" s="38">
        <f>SUM(S$211:S295)</f>
        <v>21009</v>
      </c>
      <c r="AA295" s="38">
        <f>SUM(T$211:T295)</f>
        <v>10507</v>
      </c>
      <c r="AB295" s="38">
        <f>SUM(U$211:U295)</f>
        <v>4945</v>
      </c>
      <c r="AC295" s="38">
        <f>SUM(V$211:V295)</f>
        <v>510</v>
      </c>
      <c r="AD295" s="38">
        <f t="shared" si="107"/>
        <v>924629</v>
      </c>
    </row>
    <row r="296" spans="1:30" x14ac:dyDescent="0.25">
      <c r="A296" s="86" t="s">
        <v>254</v>
      </c>
      <c r="B296" s="14">
        <f t="shared" si="101"/>
        <v>86</v>
      </c>
      <c r="C296" s="14">
        <f t="shared" si="110"/>
        <v>101</v>
      </c>
      <c r="D296" s="14">
        <f t="shared" si="110"/>
        <v>50</v>
      </c>
      <c r="E296" s="14">
        <f t="shared" si="110"/>
        <v>24</v>
      </c>
      <c r="F296" s="14">
        <f t="shared" si="110"/>
        <v>1365</v>
      </c>
      <c r="G296" s="74">
        <f t="shared" si="102"/>
        <v>1704</v>
      </c>
      <c r="H296" s="14">
        <f t="shared" si="100"/>
        <v>24750</v>
      </c>
      <c r="I296" s="14"/>
      <c r="J296" s="14">
        <f t="shared" si="111"/>
        <v>49200</v>
      </c>
      <c r="K296" s="14">
        <f t="shared" si="111"/>
        <v>6</v>
      </c>
      <c r="L296" s="14">
        <v>1</v>
      </c>
      <c r="M296" s="14">
        <f t="shared" si="109"/>
        <v>504</v>
      </c>
      <c r="N296" s="14">
        <f t="shared" si="109"/>
        <v>252</v>
      </c>
      <c r="O296" s="14">
        <f t="shared" si="109"/>
        <v>122</v>
      </c>
      <c r="P296" s="14">
        <f t="shared" si="113"/>
        <v>300</v>
      </c>
      <c r="Q296" s="38">
        <f t="shared" si="114"/>
        <v>300</v>
      </c>
      <c r="R296" s="38">
        <f t="shared" si="103"/>
        <v>73950</v>
      </c>
      <c r="S296" s="38">
        <f t="shared" si="104"/>
        <v>504</v>
      </c>
      <c r="T296" s="38">
        <f t="shared" si="105"/>
        <v>252</v>
      </c>
      <c r="U296" s="38">
        <f t="shared" si="108"/>
        <v>146</v>
      </c>
      <c r="V296" s="38">
        <f t="shared" si="115"/>
        <v>6</v>
      </c>
      <c r="W296" s="38">
        <f t="shared" si="106"/>
        <v>23460</v>
      </c>
      <c r="X296" s="38">
        <f>SUM(Q$211:Q296)</f>
        <v>23550</v>
      </c>
      <c r="Y296" s="38">
        <f>SUM(R$211:R296)</f>
        <v>3085200</v>
      </c>
      <c r="Z296" s="38">
        <f>SUM(S$211:S296)</f>
        <v>21513</v>
      </c>
      <c r="AA296" s="38">
        <f>SUM(T$211:T296)</f>
        <v>10759</v>
      </c>
      <c r="AB296" s="38">
        <f>SUM(U$211:U296)</f>
        <v>5091</v>
      </c>
      <c r="AC296" s="38">
        <f>SUM(V$211:V296)</f>
        <v>516</v>
      </c>
      <c r="AD296" s="38">
        <f t="shared" si="107"/>
        <v>948089</v>
      </c>
    </row>
    <row r="297" spans="1:30" x14ac:dyDescent="0.25">
      <c r="A297" s="86" t="s">
        <v>254</v>
      </c>
      <c r="B297" s="14">
        <f t="shared" si="101"/>
        <v>87</v>
      </c>
      <c r="C297" s="14">
        <f t="shared" si="110"/>
        <v>102</v>
      </c>
      <c r="D297" s="14">
        <f t="shared" si="110"/>
        <v>51</v>
      </c>
      <c r="E297" s="14">
        <f t="shared" si="110"/>
        <v>24</v>
      </c>
      <c r="F297" s="14">
        <f t="shared" si="110"/>
        <v>1395</v>
      </c>
      <c r="G297" s="74">
        <f t="shared" si="102"/>
        <v>1716</v>
      </c>
      <c r="H297" s="14">
        <f t="shared" si="100"/>
        <v>25050</v>
      </c>
      <c r="I297" s="14"/>
      <c r="J297" s="14">
        <f t="shared" si="111"/>
        <v>49800</v>
      </c>
      <c r="K297" s="14">
        <f t="shared" si="111"/>
        <v>6</v>
      </c>
      <c r="L297" s="14">
        <v>1</v>
      </c>
      <c r="M297" s="14">
        <f t="shared" si="109"/>
        <v>510</v>
      </c>
      <c r="N297" s="14">
        <f t="shared" si="109"/>
        <v>255</v>
      </c>
      <c r="O297" s="14">
        <f t="shared" si="109"/>
        <v>123</v>
      </c>
      <c r="P297" s="14">
        <f t="shared" si="113"/>
        <v>300</v>
      </c>
      <c r="Q297" s="38">
        <f t="shared" si="114"/>
        <v>300</v>
      </c>
      <c r="R297" s="38">
        <f t="shared" si="103"/>
        <v>74850</v>
      </c>
      <c r="S297" s="38">
        <f t="shared" si="104"/>
        <v>510</v>
      </c>
      <c r="T297" s="38">
        <f t="shared" si="105"/>
        <v>255</v>
      </c>
      <c r="U297" s="38">
        <f t="shared" si="108"/>
        <v>147</v>
      </c>
      <c r="V297" s="38">
        <f t="shared" si="115"/>
        <v>6</v>
      </c>
      <c r="W297" s="38">
        <f t="shared" si="106"/>
        <v>23706</v>
      </c>
      <c r="X297" s="38">
        <f>SUM(Q$211:Q297)</f>
        <v>23850</v>
      </c>
      <c r="Y297" s="38">
        <f>SUM(R$211:R297)</f>
        <v>3160050</v>
      </c>
      <c r="Z297" s="38">
        <f>SUM(S$211:S297)</f>
        <v>22023</v>
      </c>
      <c r="AA297" s="38">
        <f>SUM(T$211:T297)</f>
        <v>11014</v>
      </c>
      <c r="AB297" s="38">
        <f>SUM(U$211:U297)</f>
        <v>5238</v>
      </c>
      <c r="AC297" s="38">
        <f>SUM(V$211:V297)</f>
        <v>522</v>
      </c>
      <c r="AD297" s="38">
        <f t="shared" si="107"/>
        <v>971795</v>
      </c>
    </row>
    <row r="298" spans="1:30" x14ac:dyDescent="0.25">
      <c r="A298" s="86" t="s">
        <v>254</v>
      </c>
      <c r="B298" s="14">
        <f t="shared" si="101"/>
        <v>88</v>
      </c>
      <c r="C298" s="14">
        <f t="shared" si="110"/>
        <v>104</v>
      </c>
      <c r="D298" s="14">
        <f t="shared" si="110"/>
        <v>51</v>
      </c>
      <c r="E298" s="14">
        <f t="shared" si="110"/>
        <v>26</v>
      </c>
      <c r="F298" s="14">
        <f t="shared" si="110"/>
        <v>1395</v>
      </c>
      <c r="G298" s="74">
        <f t="shared" si="102"/>
        <v>1808</v>
      </c>
      <c r="H298" s="14">
        <f t="shared" si="100"/>
        <v>25350</v>
      </c>
      <c r="I298" s="14"/>
      <c r="J298" s="14">
        <f t="shared" si="111"/>
        <v>50400</v>
      </c>
      <c r="K298" s="14">
        <f t="shared" si="111"/>
        <v>6</v>
      </c>
      <c r="L298" s="14">
        <v>1</v>
      </c>
      <c r="M298" s="14">
        <f t="shared" si="109"/>
        <v>516</v>
      </c>
      <c r="N298" s="14">
        <f t="shared" si="109"/>
        <v>258</v>
      </c>
      <c r="O298" s="14">
        <f t="shared" si="109"/>
        <v>125</v>
      </c>
      <c r="P298" s="14">
        <f t="shared" si="113"/>
        <v>300</v>
      </c>
      <c r="Q298" s="38">
        <f t="shared" si="114"/>
        <v>300</v>
      </c>
      <c r="R298" s="38">
        <f t="shared" si="103"/>
        <v>75750</v>
      </c>
      <c r="S298" s="38">
        <f t="shared" si="104"/>
        <v>516</v>
      </c>
      <c r="T298" s="38">
        <f t="shared" si="105"/>
        <v>258</v>
      </c>
      <c r="U298" s="38">
        <f t="shared" si="108"/>
        <v>151</v>
      </c>
      <c r="V298" s="38">
        <f t="shared" si="115"/>
        <v>6</v>
      </c>
      <c r="W298" s="38">
        <f t="shared" si="106"/>
        <v>24087</v>
      </c>
      <c r="X298" s="38">
        <f>SUM(Q$211:Q298)</f>
        <v>24150</v>
      </c>
      <c r="Y298" s="38">
        <f>SUM(R$211:R298)</f>
        <v>3235800</v>
      </c>
      <c r="Z298" s="38">
        <f>SUM(S$211:S298)</f>
        <v>22539</v>
      </c>
      <c r="AA298" s="38">
        <f>SUM(T$211:T298)</f>
        <v>11272</v>
      </c>
      <c r="AB298" s="38">
        <f>SUM(U$211:U298)</f>
        <v>5389</v>
      </c>
      <c r="AC298" s="38">
        <f>SUM(V$211:V298)</f>
        <v>528</v>
      </c>
      <c r="AD298" s="38">
        <f t="shared" si="107"/>
        <v>995882</v>
      </c>
    </row>
    <row r="299" spans="1:30" x14ac:dyDescent="0.25">
      <c r="A299" s="86" t="s">
        <v>254</v>
      </c>
      <c r="B299" s="14">
        <f t="shared" si="101"/>
        <v>89</v>
      </c>
      <c r="C299" s="14">
        <f t="shared" si="110"/>
        <v>105</v>
      </c>
      <c r="D299" s="14">
        <f t="shared" si="110"/>
        <v>53</v>
      </c>
      <c r="E299" s="14">
        <f t="shared" si="110"/>
        <v>26</v>
      </c>
      <c r="F299" s="14">
        <f t="shared" si="110"/>
        <v>1425</v>
      </c>
      <c r="G299" s="74">
        <f t="shared" si="102"/>
        <v>1825</v>
      </c>
      <c r="H299" s="14">
        <f t="shared" si="100"/>
        <v>25650</v>
      </c>
      <c r="I299" s="14"/>
      <c r="J299" s="14">
        <f t="shared" si="111"/>
        <v>51000</v>
      </c>
      <c r="K299" s="14">
        <f t="shared" si="111"/>
        <v>6</v>
      </c>
      <c r="L299" s="14">
        <v>1</v>
      </c>
      <c r="M299" s="14">
        <f t="shared" si="109"/>
        <v>522</v>
      </c>
      <c r="N299" s="14">
        <f t="shared" si="109"/>
        <v>261</v>
      </c>
      <c r="O299" s="14">
        <f t="shared" si="109"/>
        <v>126</v>
      </c>
      <c r="P299" s="14">
        <f t="shared" si="113"/>
        <v>300</v>
      </c>
      <c r="Q299" s="38">
        <f t="shared" si="114"/>
        <v>300</v>
      </c>
      <c r="R299" s="38">
        <f t="shared" si="103"/>
        <v>76650</v>
      </c>
      <c r="S299" s="38">
        <f t="shared" si="104"/>
        <v>522</v>
      </c>
      <c r="T299" s="38">
        <f t="shared" si="105"/>
        <v>261</v>
      </c>
      <c r="U299" s="38">
        <f t="shared" si="108"/>
        <v>152</v>
      </c>
      <c r="V299" s="38">
        <f t="shared" si="115"/>
        <v>6</v>
      </c>
      <c r="W299" s="38">
        <f t="shared" si="106"/>
        <v>24333</v>
      </c>
      <c r="X299" s="38">
        <f>SUM(Q$211:Q299)</f>
        <v>24450</v>
      </c>
      <c r="Y299" s="38">
        <f>SUM(R$211:R299)</f>
        <v>3312450</v>
      </c>
      <c r="Z299" s="38">
        <f>SUM(S$211:S299)</f>
        <v>23061</v>
      </c>
      <c r="AA299" s="38">
        <f>SUM(T$211:T299)</f>
        <v>11533</v>
      </c>
      <c r="AB299" s="38">
        <f>SUM(U$211:U299)</f>
        <v>5541</v>
      </c>
      <c r="AC299" s="38">
        <f>SUM(V$211:V299)</f>
        <v>534</v>
      </c>
      <c r="AD299" s="38">
        <f t="shared" si="107"/>
        <v>1020215</v>
      </c>
    </row>
    <row r="300" spans="1:30" x14ac:dyDescent="0.25">
      <c r="A300" s="86" t="s">
        <v>254</v>
      </c>
      <c r="B300" s="14">
        <f t="shared" si="101"/>
        <v>90</v>
      </c>
      <c r="C300" s="14">
        <f t="shared" si="110"/>
        <v>105</v>
      </c>
      <c r="D300" s="14">
        <f t="shared" si="110"/>
        <v>53</v>
      </c>
      <c r="E300" s="14">
        <f t="shared" si="110"/>
        <v>26</v>
      </c>
      <c r="F300" s="14">
        <f t="shared" si="110"/>
        <v>1425</v>
      </c>
      <c r="G300" s="74">
        <f t="shared" si="102"/>
        <v>1825</v>
      </c>
      <c r="H300" s="14">
        <f t="shared" si="100"/>
        <v>25950</v>
      </c>
      <c r="I300" s="14"/>
      <c r="J300" s="14">
        <f t="shared" si="111"/>
        <v>51600</v>
      </c>
      <c r="K300" s="14">
        <f t="shared" si="111"/>
        <v>6</v>
      </c>
      <c r="L300" s="14">
        <v>1</v>
      </c>
      <c r="M300" s="14">
        <f t="shared" si="109"/>
        <v>528</v>
      </c>
      <c r="N300" s="14">
        <f t="shared" si="109"/>
        <v>264</v>
      </c>
      <c r="O300" s="14">
        <f t="shared" si="109"/>
        <v>128</v>
      </c>
      <c r="P300" s="14">
        <f t="shared" si="113"/>
        <v>300</v>
      </c>
      <c r="Q300" s="38">
        <f t="shared" si="114"/>
        <v>300</v>
      </c>
      <c r="R300" s="38">
        <f t="shared" si="103"/>
        <v>77550</v>
      </c>
      <c r="S300" s="38">
        <f t="shared" si="104"/>
        <v>528</v>
      </c>
      <c r="T300" s="38">
        <f t="shared" si="105"/>
        <v>264</v>
      </c>
      <c r="U300" s="38">
        <f t="shared" si="108"/>
        <v>154</v>
      </c>
      <c r="V300" s="38">
        <f t="shared" si="115"/>
        <v>6</v>
      </c>
      <c r="W300" s="38">
        <f t="shared" si="106"/>
        <v>24624</v>
      </c>
      <c r="X300" s="38">
        <f>SUM(Q$211:Q300)</f>
        <v>24750</v>
      </c>
      <c r="Y300" s="38">
        <f>SUM(R$211:R300)</f>
        <v>3390000</v>
      </c>
      <c r="Z300" s="38">
        <f>SUM(S$211:S300)</f>
        <v>23589</v>
      </c>
      <c r="AA300" s="38">
        <f>SUM(T$211:T300)</f>
        <v>11797</v>
      </c>
      <c r="AB300" s="38">
        <f>SUM(U$211:U300)</f>
        <v>5695</v>
      </c>
      <c r="AC300" s="38">
        <f>SUM(V$211:V300)</f>
        <v>540</v>
      </c>
      <c r="AD300" s="38">
        <f t="shared" si="107"/>
        <v>1044839</v>
      </c>
    </row>
    <row r="301" spans="1:30" x14ac:dyDescent="0.25">
      <c r="A301" s="86" t="s">
        <v>254</v>
      </c>
      <c r="B301" s="14">
        <f t="shared" si="101"/>
        <v>91</v>
      </c>
      <c r="C301" s="14">
        <f t="shared" si="110"/>
        <v>107</v>
      </c>
      <c r="D301" s="14">
        <f t="shared" si="110"/>
        <v>53</v>
      </c>
      <c r="E301" s="14">
        <f t="shared" si="110"/>
        <v>26</v>
      </c>
      <c r="F301" s="14">
        <f t="shared" si="110"/>
        <v>1455</v>
      </c>
      <c r="G301" s="74">
        <f t="shared" si="102"/>
        <v>1833</v>
      </c>
      <c r="H301" s="14">
        <f t="shared" si="100"/>
        <v>26250</v>
      </c>
      <c r="I301" s="14"/>
      <c r="J301" s="14">
        <f t="shared" si="111"/>
        <v>52200</v>
      </c>
      <c r="K301" s="14">
        <f t="shared" si="111"/>
        <v>6</v>
      </c>
      <c r="L301" s="14">
        <v>1</v>
      </c>
      <c r="M301" s="14">
        <f t="shared" si="109"/>
        <v>534</v>
      </c>
      <c r="N301" s="14">
        <f t="shared" si="109"/>
        <v>267</v>
      </c>
      <c r="O301" s="14">
        <f t="shared" si="109"/>
        <v>129</v>
      </c>
      <c r="P301" s="14">
        <f t="shared" si="113"/>
        <v>300</v>
      </c>
      <c r="Q301" s="38">
        <f t="shared" si="114"/>
        <v>300</v>
      </c>
      <c r="R301" s="38">
        <f t="shared" si="103"/>
        <v>78450</v>
      </c>
      <c r="S301" s="38">
        <f t="shared" si="104"/>
        <v>534</v>
      </c>
      <c r="T301" s="38">
        <f t="shared" si="105"/>
        <v>267</v>
      </c>
      <c r="U301" s="38">
        <f t="shared" si="108"/>
        <v>155</v>
      </c>
      <c r="V301" s="38">
        <f t="shared" si="115"/>
        <v>6</v>
      </c>
      <c r="W301" s="38">
        <f t="shared" si="106"/>
        <v>24870</v>
      </c>
      <c r="X301" s="38">
        <f>SUM(Q$211:Q301)</f>
        <v>25050</v>
      </c>
      <c r="Y301" s="38">
        <f>SUM(R$211:R301)</f>
        <v>3468450</v>
      </c>
      <c r="Z301" s="38">
        <f>SUM(S$211:S301)</f>
        <v>24123</v>
      </c>
      <c r="AA301" s="38">
        <f>SUM(T$211:T301)</f>
        <v>12064</v>
      </c>
      <c r="AB301" s="38">
        <f>SUM(U$211:U301)</f>
        <v>5850</v>
      </c>
      <c r="AC301" s="38">
        <f>SUM(V$211:V301)</f>
        <v>546</v>
      </c>
      <c r="AD301" s="38">
        <f t="shared" si="107"/>
        <v>1069709</v>
      </c>
    </row>
    <row r="302" spans="1:30" x14ac:dyDescent="0.25">
      <c r="A302" s="86" t="s">
        <v>254</v>
      </c>
      <c r="B302" s="14">
        <f t="shared" si="101"/>
        <v>92</v>
      </c>
      <c r="C302" s="14">
        <f t="shared" si="110"/>
        <v>108</v>
      </c>
      <c r="D302" s="14">
        <f t="shared" si="110"/>
        <v>54</v>
      </c>
      <c r="E302" s="14">
        <f t="shared" si="110"/>
        <v>26</v>
      </c>
      <c r="F302" s="14">
        <f t="shared" si="110"/>
        <v>1455</v>
      </c>
      <c r="G302" s="74">
        <f t="shared" si="102"/>
        <v>1839</v>
      </c>
      <c r="H302" s="14">
        <f t="shared" si="100"/>
        <v>26550</v>
      </c>
      <c r="I302" s="14"/>
      <c r="J302" s="14">
        <f t="shared" si="111"/>
        <v>52800</v>
      </c>
      <c r="K302" s="14">
        <f t="shared" si="111"/>
        <v>6</v>
      </c>
      <c r="L302" s="14">
        <v>1</v>
      </c>
      <c r="M302" s="14">
        <f t="shared" si="109"/>
        <v>540</v>
      </c>
      <c r="N302" s="14">
        <f t="shared" si="109"/>
        <v>270</v>
      </c>
      <c r="O302" s="14">
        <f t="shared" si="109"/>
        <v>131</v>
      </c>
      <c r="P302" s="14">
        <f t="shared" si="113"/>
        <v>300</v>
      </c>
      <c r="Q302" s="38">
        <f t="shared" si="114"/>
        <v>300</v>
      </c>
      <c r="R302" s="38">
        <f t="shared" si="103"/>
        <v>79350</v>
      </c>
      <c r="S302" s="38">
        <f t="shared" si="104"/>
        <v>540</v>
      </c>
      <c r="T302" s="38">
        <f t="shared" si="105"/>
        <v>270</v>
      </c>
      <c r="U302" s="38">
        <f t="shared" si="108"/>
        <v>157</v>
      </c>
      <c r="V302" s="38">
        <f t="shared" si="115"/>
        <v>6</v>
      </c>
      <c r="W302" s="38">
        <f t="shared" si="106"/>
        <v>25161</v>
      </c>
      <c r="X302" s="38">
        <f>SUM(Q$211:Q302)</f>
        <v>25350</v>
      </c>
      <c r="Y302" s="38">
        <f>SUM(R$211:R302)</f>
        <v>3547800</v>
      </c>
      <c r="Z302" s="38">
        <f>SUM(S$211:S302)</f>
        <v>24663</v>
      </c>
      <c r="AA302" s="38">
        <f>SUM(T$211:T302)</f>
        <v>12334</v>
      </c>
      <c r="AB302" s="38">
        <f>SUM(U$211:U302)</f>
        <v>6007</v>
      </c>
      <c r="AC302" s="38">
        <f>SUM(V$211:V302)</f>
        <v>552</v>
      </c>
      <c r="AD302" s="38">
        <f t="shared" si="107"/>
        <v>1094870</v>
      </c>
    </row>
    <row r="303" spans="1:30" x14ac:dyDescent="0.25">
      <c r="A303" s="86" t="s">
        <v>254</v>
      </c>
      <c r="B303" s="14">
        <f t="shared" si="101"/>
        <v>93</v>
      </c>
      <c r="C303" s="14">
        <f t="shared" si="110"/>
        <v>110</v>
      </c>
      <c r="D303" s="14">
        <f t="shared" si="110"/>
        <v>54</v>
      </c>
      <c r="E303" s="14">
        <f t="shared" si="110"/>
        <v>27</v>
      </c>
      <c r="F303" s="14">
        <f t="shared" si="110"/>
        <v>1485</v>
      </c>
      <c r="G303" s="74">
        <f t="shared" si="102"/>
        <v>1892</v>
      </c>
      <c r="H303" s="14">
        <f t="shared" si="100"/>
        <v>26850</v>
      </c>
      <c r="I303" s="14"/>
      <c r="J303" s="14">
        <f t="shared" si="111"/>
        <v>53400</v>
      </c>
      <c r="K303" s="14">
        <f t="shared" si="111"/>
        <v>6</v>
      </c>
      <c r="L303" s="14">
        <v>1</v>
      </c>
      <c r="M303" s="14">
        <f t="shared" si="109"/>
        <v>546</v>
      </c>
      <c r="N303" s="14">
        <f t="shared" si="109"/>
        <v>273</v>
      </c>
      <c r="O303" s="14">
        <f t="shared" si="109"/>
        <v>132</v>
      </c>
      <c r="P303" s="14">
        <f t="shared" si="113"/>
        <v>300</v>
      </c>
      <c r="Q303" s="38">
        <f t="shared" si="114"/>
        <v>300</v>
      </c>
      <c r="R303" s="38">
        <f t="shared" si="103"/>
        <v>80250</v>
      </c>
      <c r="S303" s="38">
        <f t="shared" si="104"/>
        <v>546</v>
      </c>
      <c r="T303" s="38">
        <f t="shared" si="105"/>
        <v>273</v>
      </c>
      <c r="U303" s="38">
        <f t="shared" si="108"/>
        <v>159</v>
      </c>
      <c r="V303" s="38">
        <f t="shared" si="115"/>
        <v>6</v>
      </c>
      <c r="W303" s="38">
        <f t="shared" si="106"/>
        <v>25452</v>
      </c>
      <c r="X303" s="38">
        <f>SUM(Q$211:Q303)</f>
        <v>25650</v>
      </c>
      <c r="Y303" s="38">
        <f>SUM(R$211:R303)</f>
        <v>3628050</v>
      </c>
      <c r="Z303" s="38">
        <f>SUM(S$211:S303)</f>
        <v>25209</v>
      </c>
      <c r="AA303" s="38">
        <f>SUM(T$211:T303)</f>
        <v>12607</v>
      </c>
      <c r="AB303" s="38">
        <f>SUM(U$211:U303)</f>
        <v>6166</v>
      </c>
      <c r="AC303" s="38">
        <f>SUM(V$211:V303)</f>
        <v>558</v>
      </c>
      <c r="AD303" s="38">
        <f t="shared" si="107"/>
        <v>1120322</v>
      </c>
    </row>
    <row r="304" spans="1:30" x14ac:dyDescent="0.25">
      <c r="A304" s="86" t="s">
        <v>254</v>
      </c>
      <c r="B304" s="14">
        <f t="shared" si="101"/>
        <v>94</v>
      </c>
      <c r="C304" s="14">
        <f t="shared" si="110"/>
        <v>111</v>
      </c>
      <c r="D304" s="14">
        <f t="shared" si="110"/>
        <v>56</v>
      </c>
      <c r="E304" s="14">
        <f t="shared" si="110"/>
        <v>27</v>
      </c>
      <c r="F304" s="14">
        <f t="shared" si="110"/>
        <v>1485</v>
      </c>
      <c r="G304" s="74">
        <f t="shared" si="102"/>
        <v>1903</v>
      </c>
      <c r="H304" s="14">
        <f t="shared" si="100"/>
        <v>27150</v>
      </c>
      <c r="I304" s="14"/>
      <c r="J304" s="14">
        <f t="shared" si="111"/>
        <v>54000</v>
      </c>
      <c r="K304" s="14">
        <f t="shared" si="111"/>
        <v>6</v>
      </c>
      <c r="L304" s="14">
        <v>1</v>
      </c>
      <c r="M304" s="14">
        <f t="shared" si="109"/>
        <v>552</v>
      </c>
      <c r="N304" s="14">
        <f t="shared" si="109"/>
        <v>276</v>
      </c>
      <c r="O304" s="14">
        <f t="shared" si="109"/>
        <v>134</v>
      </c>
      <c r="P304" s="14">
        <f t="shared" si="113"/>
        <v>300</v>
      </c>
      <c r="Q304" s="38">
        <f t="shared" si="114"/>
        <v>300</v>
      </c>
      <c r="R304" s="38">
        <f t="shared" si="103"/>
        <v>81150</v>
      </c>
      <c r="S304" s="38">
        <f t="shared" si="104"/>
        <v>552</v>
      </c>
      <c r="T304" s="38">
        <f t="shared" si="105"/>
        <v>276</v>
      </c>
      <c r="U304" s="38">
        <f t="shared" si="108"/>
        <v>161</v>
      </c>
      <c r="V304" s="38">
        <f t="shared" si="115"/>
        <v>6</v>
      </c>
      <c r="W304" s="38">
        <f t="shared" si="106"/>
        <v>25743</v>
      </c>
      <c r="X304" s="38">
        <f>SUM(Q$211:Q304)</f>
        <v>25950</v>
      </c>
      <c r="Y304" s="38">
        <f>SUM(R$211:R304)</f>
        <v>3709200</v>
      </c>
      <c r="Z304" s="38">
        <f>SUM(S$211:S304)</f>
        <v>25761</v>
      </c>
      <c r="AA304" s="38">
        <f>SUM(T$211:T304)</f>
        <v>12883</v>
      </c>
      <c r="AB304" s="38">
        <f>SUM(U$211:U304)</f>
        <v>6327</v>
      </c>
      <c r="AC304" s="38">
        <f>SUM(V$211:V304)</f>
        <v>564</v>
      </c>
      <c r="AD304" s="38">
        <f t="shared" si="107"/>
        <v>1146065</v>
      </c>
    </row>
    <row r="305" spans="1:30" x14ac:dyDescent="0.25">
      <c r="A305" s="86" t="s">
        <v>254</v>
      </c>
      <c r="B305" s="14">
        <f t="shared" si="101"/>
        <v>95</v>
      </c>
      <c r="C305" s="14">
        <f t="shared" si="110"/>
        <v>111</v>
      </c>
      <c r="D305" s="14">
        <f t="shared" si="110"/>
        <v>56</v>
      </c>
      <c r="E305" s="14">
        <f t="shared" si="110"/>
        <v>27</v>
      </c>
      <c r="F305" s="14">
        <f t="shared" si="110"/>
        <v>1515</v>
      </c>
      <c r="G305" s="74">
        <f t="shared" si="102"/>
        <v>1909</v>
      </c>
      <c r="H305" s="14">
        <f t="shared" si="100"/>
        <v>27450</v>
      </c>
      <c r="I305" s="14"/>
      <c r="J305" s="14">
        <f t="shared" si="111"/>
        <v>54600</v>
      </c>
      <c r="K305" s="14">
        <f t="shared" si="111"/>
        <v>6</v>
      </c>
      <c r="L305" s="14">
        <v>1</v>
      </c>
      <c r="M305" s="14">
        <f t="shared" si="109"/>
        <v>558</v>
      </c>
      <c r="N305" s="14">
        <f t="shared" si="109"/>
        <v>279</v>
      </c>
      <c r="O305" s="14">
        <f t="shared" si="109"/>
        <v>135</v>
      </c>
      <c r="P305" s="14">
        <f t="shared" si="113"/>
        <v>300</v>
      </c>
      <c r="Q305" s="38">
        <f t="shared" si="114"/>
        <v>300</v>
      </c>
      <c r="R305" s="38">
        <f t="shared" si="103"/>
        <v>82050</v>
      </c>
      <c r="S305" s="38">
        <f t="shared" si="104"/>
        <v>558</v>
      </c>
      <c r="T305" s="38">
        <f t="shared" si="105"/>
        <v>279</v>
      </c>
      <c r="U305" s="38">
        <f t="shared" si="108"/>
        <v>162</v>
      </c>
      <c r="V305" s="38">
        <f t="shared" si="115"/>
        <v>6</v>
      </c>
      <c r="W305" s="38">
        <f t="shared" si="106"/>
        <v>25989</v>
      </c>
      <c r="X305" s="38">
        <f>SUM(Q$211:Q305)</f>
        <v>26250</v>
      </c>
      <c r="Y305" s="38">
        <f>SUM(R$211:R305)</f>
        <v>3791250</v>
      </c>
      <c r="Z305" s="38">
        <f>SUM(S$211:S305)</f>
        <v>26319</v>
      </c>
      <c r="AA305" s="38">
        <f>SUM(T$211:T305)</f>
        <v>13162</v>
      </c>
      <c r="AB305" s="38">
        <f>SUM(U$211:U305)</f>
        <v>6489</v>
      </c>
      <c r="AC305" s="38">
        <f>SUM(V$211:V305)</f>
        <v>570</v>
      </c>
      <c r="AD305" s="38">
        <f t="shared" si="107"/>
        <v>1172054</v>
      </c>
    </row>
    <row r="306" spans="1:30" x14ac:dyDescent="0.25">
      <c r="A306" s="86" t="s">
        <v>254</v>
      </c>
      <c r="B306" s="14">
        <f t="shared" si="101"/>
        <v>96</v>
      </c>
      <c r="C306" s="14">
        <f t="shared" si="110"/>
        <v>113</v>
      </c>
      <c r="D306" s="14">
        <f t="shared" si="110"/>
        <v>56</v>
      </c>
      <c r="E306" s="14">
        <f t="shared" si="110"/>
        <v>27</v>
      </c>
      <c r="F306" s="14">
        <f t="shared" si="110"/>
        <v>1515</v>
      </c>
      <c r="G306" s="74">
        <f t="shared" si="102"/>
        <v>1911</v>
      </c>
      <c r="H306" s="14">
        <f t="shared" si="100"/>
        <v>27750</v>
      </c>
      <c r="I306" s="14"/>
      <c r="J306" s="14">
        <f t="shared" si="111"/>
        <v>55200</v>
      </c>
      <c r="K306" s="14">
        <f t="shared" si="111"/>
        <v>6</v>
      </c>
      <c r="L306" s="14">
        <v>1</v>
      </c>
      <c r="M306" s="14">
        <f t="shared" si="109"/>
        <v>564</v>
      </c>
      <c r="N306" s="14">
        <f t="shared" si="109"/>
        <v>282</v>
      </c>
      <c r="O306" s="14">
        <f t="shared" si="109"/>
        <v>137</v>
      </c>
      <c r="P306" s="14">
        <f t="shared" si="113"/>
        <v>300</v>
      </c>
      <c r="Q306" s="38">
        <f t="shared" si="114"/>
        <v>300</v>
      </c>
      <c r="R306" s="38">
        <f t="shared" si="103"/>
        <v>82950</v>
      </c>
      <c r="S306" s="38">
        <f t="shared" si="104"/>
        <v>564</v>
      </c>
      <c r="T306" s="38">
        <f t="shared" si="105"/>
        <v>282</v>
      </c>
      <c r="U306" s="38">
        <f t="shared" si="108"/>
        <v>164</v>
      </c>
      <c r="V306" s="38">
        <f t="shared" si="115"/>
        <v>6</v>
      </c>
      <c r="W306" s="38">
        <f t="shared" si="106"/>
        <v>26280</v>
      </c>
      <c r="X306" s="38">
        <f>SUM(Q$211:Q306)</f>
        <v>26550</v>
      </c>
      <c r="Y306" s="38">
        <f>SUM(R$211:R306)</f>
        <v>3874200</v>
      </c>
      <c r="Z306" s="38">
        <f>SUM(S$211:S306)</f>
        <v>26883</v>
      </c>
      <c r="AA306" s="38">
        <f>SUM(T$211:T306)</f>
        <v>13444</v>
      </c>
      <c r="AB306" s="38">
        <f>SUM(U$211:U306)</f>
        <v>6653</v>
      </c>
      <c r="AC306" s="38">
        <f>SUM(V$211:V306)</f>
        <v>576</v>
      </c>
      <c r="AD306" s="38">
        <f t="shared" si="107"/>
        <v>1198334</v>
      </c>
    </row>
    <row r="307" spans="1:30" x14ac:dyDescent="0.25">
      <c r="A307" s="86" t="s">
        <v>254</v>
      </c>
      <c r="B307" s="14">
        <f t="shared" si="101"/>
        <v>97</v>
      </c>
      <c r="C307" s="14">
        <f t="shared" si="110"/>
        <v>114</v>
      </c>
      <c r="D307" s="14">
        <f t="shared" si="110"/>
        <v>57</v>
      </c>
      <c r="E307" s="14">
        <f t="shared" si="110"/>
        <v>27</v>
      </c>
      <c r="F307" s="14">
        <f t="shared" si="110"/>
        <v>1545</v>
      </c>
      <c r="G307" s="74">
        <f t="shared" si="102"/>
        <v>1923</v>
      </c>
      <c r="H307" s="14">
        <f t="shared" ref="H307:H338" si="116">MAX(1,ROUND(H104*INDEX($O$1:$U$4,MATCH($A307,$O$1:$O$4,0),MATCH(H$210,$O$1:$U$1,0)),0))</f>
        <v>28050</v>
      </c>
      <c r="I307" s="14"/>
      <c r="J307" s="14">
        <f t="shared" si="111"/>
        <v>55800</v>
      </c>
      <c r="K307" s="14">
        <f t="shared" si="111"/>
        <v>6</v>
      </c>
      <c r="L307" s="14">
        <v>1</v>
      </c>
      <c r="M307" s="14">
        <f t="shared" ref="M307:O326" si="117">MAX(1,ROUND(M104*INDEX($O$1:$U$4,MATCH($A307,$O$1:$O$4,0),MATCH(M$210,$O$1:$U$1,0)),0))</f>
        <v>570</v>
      </c>
      <c r="N307" s="14">
        <f t="shared" si="117"/>
        <v>285</v>
      </c>
      <c r="O307" s="14">
        <f t="shared" si="117"/>
        <v>138</v>
      </c>
      <c r="P307" s="14">
        <f t="shared" si="113"/>
        <v>300</v>
      </c>
      <c r="Q307" s="38">
        <f t="shared" si="114"/>
        <v>300</v>
      </c>
      <c r="R307" s="38">
        <f t="shared" si="103"/>
        <v>83850</v>
      </c>
      <c r="S307" s="38">
        <f t="shared" si="104"/>
        <v>570</v>
      </c>
      <c r="T307" s="38">
        <f t="shared" si="105"/>
        <v>285</v>
      </c>
      <c r="U307" s="38">
        <f t="shared" si="108"/>
        <v>165</v>
      </c>
      <c r="V307" s="38">
        <f t="shared" si="115"/>
        <v>6</v>
      </c>
      <c r="W307" s="38">
        <f t="shared" si="106"/>
        <v>26526</v>
      </c>
      <c r="X307" s="38">
        <f>SUM(Q$211:Q307)</f>
        <v>26850</v>
      </c>
      <c r="Y307" s="38">
        <f>SUM(R$211:R307)</f>
        <v>3958050</v>
      </c>
      <c r="Z307" s="38">
        <f>SUM(S$211:S307)</f>
        <v>27453</v>
      </c>
      <c r="AA307" s="38">
        <f>SUM(T$211:T307)</f>
        <v>13729</v>
      </c>
      <c r="AB307" s="38">
        <f>SUM(U$211:U307)</f>
        <v>6818</v>
      </c>
      <c r="AC307" s="38">
        <f>SUM(V$211:V307)</f>
        <v>582</v>
      </c>
      <c r="AD307" s="38">
        <f t="shared" si="107"/>
        <v>1224860</v>
      </c>
    </row>
    <row r="308" spans="1:30" x14ac:dyDescent="0.25">
      <c r="A308" s="86" t="s">
        <v>254</v>
      </c>
      <c r="B308" s="14">
        <f t="shared" si="101"/>
        <v>98</v>
      </c>
      <c r="C308" s="14">
        <f t="shared" si="110"/>
        <v>116</v>
      </c>
      <c r="D308" s="14">
        <f t="shared" si="110"/>
        <v>57</v>
      </c>
      <c r="E308" s="14">
        <f t="shared" si="110"/>
        <v>29</v>
      </c>
      <c r="F308" s="14">
        <f t="shared" si="110"/>
        <v>1545</v>
      </c>
      <c r="G308" s="74">
        <f t="shared" si="102"/>
        <v>2015</v>
      </c>
      <c r="H308" s="14">
        <f t="shared" si="116"/>
        <v>28350</v>
      </c>
      <c r="I308" s="14"/>
      <c r="J308" s="14">
        <f t="shared" si="111"/>
        <v>56400</v>
      </c>
      <c r="K308" s="14">
        <f t="shared" si="111"/>
        <v>6</v>
      </c>
      <c r="L308" s="14">
        <v>1</v>
      </c>
      <c r="M308" s="14">
        <f t="shared" si="117"/>
        <v>576</v>
      </c>
      <c r="N308" s="14">
        <f t="shared" si="117"/>
        <v>288</v>
      </c>
      <c r="O308" s="14">
        <f t="shared" si="117"/>
        <v>140</v>
      </c>
      <c r="P308" s="14">
        <f t="shared" si="113"/>
        <v>300</v>
      </c>
      <c r="Q308" s="38">
        <f t="shared" si="114"/>
        <v>300</v>
      </c>
      <c r="R308" s="38">
        <f t="shared" si="103"/>
        <v>84750</v>
      </c>
      <c r="S308" s="38">
        <f t="shared" si="104"/>
        <v>576</v>
      </c>
      <c r="T308" s="38">
        <f t="shared" si="105"/>
        <v>288</v>
      </c>
      <c r="U308" s="38">
        <f t="shared" si="108"/>
        <v>169</v>
      </c>
      <c r="V308" s="38">
        <f t="shared" si="115"/>
        <v>6</v>
      </c>
      <c r="W308" s="38">
        <f t="shared" si="106"/>
        <v>26907</v>
      </c>
      <c r="X308" s="38">
        <f>SUM(Q$211:Q308)</f>
        <v>27150</v>
      </c>
      <c r="Y308" s="38">
        <f>SUM(R$211:R308)</f>
        <v>4042800</v>
      </c>
      <c r="Z308" s="38">
        <f>SUM(S$211:S308)</f>
        <v>28029</v>
      </c>
      <c r="AA308" s="38">
        <f>SUM(T$211:T308)</f>
        <v>14017</v>
      </c>
      <c r="AB308" s="38">
        <f>SUM(U$211:U308)</f>
        <v>6987</v>
      </c>
      <c r="AC308" s="38">
        <f>SUM(V$211:V308)</f>
        <v>588</v>
      </c>
      <c r="AD308" s="38">
        <f t="shared" si="107"/>
        <v>1251767</v>
      </c>
    </row>
    <row r="309" spans="1:30" x14ac:dyDescent="0.25">
      <c r="A309" s="86" t="s">
        <v>254</v>
      </c>
      <c r="B309" s="14">
        <f t="shared" si="101"/>
        <v>99</v>
      </c>
      <c r="C309" s="14">
        <f t="shared" si="110"/>
        <v>117</v>
      </c>
      <c r="D309" s="14">
        <f t="shared" si="110"/>
        <v>59</v>
      </c>
      <c r="E309" s="14">
        <f t="shared" si="110"/>
        <v>29</v>
      </c>
      <c r="F309" s="14">
        <f t="shared" si="110"/>
        <v>1575</v>
      </c>
      <c r="G309" s="74">
        <f t="shared" si="102"/>
        <v>2032</v>
      </c>
      <c r="H309" s="14">
        <f t="shared" si="116"/>
        <v>28650</v>
      </c>
      <c r="I309" s="14"/>
      <c r="J309" s="14">
        <f t="shared" si="111"/>
        <v>57000</v>
      </c>
      <c r="K309" s="14">
        <f t="shared" si="111"/>
        <v>6</v>
      </c>
      <c r="L309" s="14">
        <v>1</v>
      </c>
      <c r="M309" s="14">
        <f t="shared" si="117"/>
        <v>582</v>
      </c>
      <c r="N309" s="14">
        <f t="shared" si="117"/>
        <v>291</v>
      </c>
      <c r="O309" s="14">
        <f t="shared" si="117"/>
        <v>141</v>
      </c>
      <c r="P309" s="14">
        <f t="shared" si="113"/>
        <v>300</v>
      </c>
      <c r="Q309" s="38">
        <f t="shared" si="114"/>
        <v>300</v>
      </c>
      <c r="R309" s="38">
        <f t="shared" si="103"/>
        <v>85650</v>
      </c>
      <c r="S309" s="38">
        <f t="shared" si="104"/>
        <v>582</v>
      </c>
      <c r="T309" s="38">
        <f t="shared" si="105"/>
        <v>291</v>
      </c>
      <c r="U309" s="38">
        <f t="shared" si="108"/>
        <v>170</v>
      </c>
      <c r="V309" s="38">
        <f t="shared" si="115"/>
        <v>6</v>
      </c>
      <c r="W309" s="38">
        <f t="shared" si="106"/>
        <v>27153</v>
      </c>
      <c r="X309" s="38">
        <f>SUM(Q$211:Q309)</f>
        <v>27450</v>
      </c>
      <c r="Y309" s="38">
        <f>SUM(R$211:R309)</f>
        <v>4128450</v>
      </c>
      <c r="Z309" s="38">
        <f>SUM(S$211:S309)</f>
        <v>28611</v>
      </c>
      <c r="AA309" s="38">
        <f>SUM(T$211:T309)</f>
        <v>14308</v>
      </c>
      <c r="AB309" s="38">
        <f>SUM(U$211:U309)</f>
        <v>7157</v>
      </c>
      <c r="AC309" s="38">
        <f>SUM(V$211:V309)</f>
        <v>594</v>
      </c>
      <c r="AD309" s="38">
        <f t="shared" si="107"/>
        <v>1278920</v>
      </c>
    </row>
    <row r="310" spans="1:30" x14ac:dyDescent="0.25">
      <c r="A310" s="86" t="s">
        <v>254</v>
      </c>
      <c r="B310" s="14">
        <f t="shared" si="101"/>
        <v>100</v>
      </c>
      <c r="C310" s="14">
        <f t="shared" si="110"/>
        <v>117</v>
      </c>
      <c r="D310" s="14">
        <f t="shared" si="110"/>
        <v>59</v>
      </c>
      <c r="E310" s="14">
        <f t="shared" si="110"/>
        <v>29</v>
      </c>
      <c r="F310" s="14">
        <f t="shared" si="110"/>
        <v>1575</v>
      </c>
      <c r="G310" s="74">
        <f t="shared" si="102"/>
        <v>2032</v>
      </c>
      <c r="H310" s="14">
        <f t="shared" si="116"/>
        <v>28950</v>
      </c>
      <c r="I310" s="14"/>
      <c r="J310" s="14">
        <f t="shared" si="111"/>
        <v>57600</v>
      </c>
      <c r="K310" s="14">
        <f t="shared" si="111"/>
        <v>6</v>
      </c>
      <c r="L310" s="14">
        <v>1</v>
      </c>
      <c r="M310" s="14">
        <f t="shared" si="117"/>
        <v>588</v>
      </c>
      <c r="N310" s="14">
        <f t="shared" si="117"/>
        <v>294</v>
      </c>
      <c r="O310" s="14">
        <f t="shared" si="117"/>
        <v>143</v>
      </c>
      <c r="P310" s="14">
        <f t="shared" si="113"/>
        <v>300</v>
      </c>
      <c r="Q310" s="38">
        <f t="shared" si="114"/>
        <v>300</v>
      </c>
      <c r="R310" s="38">
        <f t="shared" si="103"/>
        <v>86550</v>
      </c>
      <c r="S310" s="38">
        <f t="shared" si="104"/>
        <v>588</v>
      </c>
      <c r="T310" s="38">
        <f t="shared" si="105"/>
        <v>294</v>
      </c>
      <c r="U310" s="38">
        <f t="shared" si="108"/>
        <v>172</v>
      </c>
      <c r="V310" s="38">
        <f t="shared" si="115"/>
        <v>6</v>
      </c>
      <c r="W310" s="38">
        <f t="shared" si="106"/>
        <v>27444</v>
      </c>
      <c r="X310" s="38">
        <f>SUM(Q$211:Q310)</f>
        <v>27750</v>
      </c>
      <c r="Y310" s="38">
        <f>SUM(R$211:R310)</f>
        <v>4215000</v>
      </c>
      <c r="Z310" s="38">
        <f>SUM(S$211:S310)</f>
        <v>29199</v>
      </c>
      <c r="AA310" s="38">
        <f>SUM(T$211:T310)</f>
        <v>14602</v>
      </c>
      <c r="AB310" s="38">
        <f>SUM(U$211:U310)</f>
        <v>7329</v>
      </c>
      <c r="AC310" s="38">
        <f>SUM(V$211:V310)</f>
        <v>600</v>
      </c>
      <c r="AD310" s="38">
        <f t="shared" si="107"/>
        <v>1306364</v>
      </c>
    </row>
    <row r="311" spans="1:30" x14ac:dyDescent="0.25">
      <c r="A311" s="86" t="s">
        <v>254</v>
      </c>
      <c r="B311" s="14">
        <f t="shared" si="101"/>
        <v>101</v>
      </c>
      <c r="C311" s="14">
        <f t="shared" ref="C311:F330" si="118">MAX(1,ROUND(C108*INDEX($O$1:$U$4,MATCH($A311,$O$1:$O$4,0),MATCH(C$210,$O$1:$U$1,0)),0))</f>
        <v>119</v>
      </c>
      <c r="D311" s="14">
        <f t="shared" si="118"/>
        <v>59</v>
      </c>
      <c r="E311" s="14">
        <f t="shared" si="118"/>
        <v>29</v>
      </c>
      <c r="F311" s="14">
        <f t="shared" si="118"/>
        <v>1605</v>
      </c>
      <c r="G311" s="74">
        <f t="shared" si="102"/>
        <v>2040</v>
      </c>
      <c r="H311" s="14">
        <f t="shared" si="116"/>
        <v>29250</v>
      </c>
      <c r="I311" s="14"/>
      <c r="J311" s="14">
        <f t="shared" ref="J311:K330" si="119">MAX(1,ROUND(J108*INDEX($O$1:$U$4,MATCH($A311,$O$1:$O$4,0),MATCH(J$210,$O$1:$U$1,0)),0))</f>
        <v>58200</v>
      </c>
      <c r="K311" s="14">
        <f t="shared" si="119"/>
        <v>6</v>
      </c>
      <c r="L311" s="14">
        <v>1</v>
      </c>
      <c r="M311" s="14">
        <f t="shared" si="117"/>
        <v>594</v>
      </c>
      <c r="N311" s="14">
        <f t="shared" si="117"/>
        <v>297</v>
      </c>
      <c r="O311" s="14">
        <f t="shared" si="117"/>
        <v>144</v>
      </c>
      <c r="P311" s="14">
        <f t="shared" si="113"/>
        <v>300</v>
      </c>
      <c r="Q311" s="38">
        <f t="shared" si="114"/>
        <v>300</v>
      </c>
      <c r="R311" s="38">
        <f t="shared" si="103"/>
        <v>87450</v>
      </c>
      <c r="S311" s="38">
        <f t="shared" si="104"/>
        <v>594</v>
      </c>
      <c r="T311" s="38">
        <f t="shared" si="105"/>
        <v>297</v>
      </c>
      <c r="U311" s="38"/>
      <c r="V311" s="38">
        <f t="shared" si="115"/>
        <v>6</v>
      </c>
      <c r="W311" s="38">
        <f t="shared" si="106"/>
        <v>19905</v>
      </c>
      <c r="X311" s="38">
        <f>SUM(Q$211:Q311)</f>
        <v>28050</v>
      </c>
      <c r="Y311" s="38">
        <f>SUM(R$211:R311)</f>
        <v>4302450</v>
      </c>
      <c r="Z311" s="38">
        <f>SUM(S$211:S311)</f>
        <v>29793</v>
      </c>
      <c r="AA311" s="38">
        <f>SUM(T$211:T311)</f>
        <v>14899</v>
      </c>
      <c r="AB311" s="38">
        <f>SUM(U$211:U311)</f>
        <v>7329</v>
      </c>
      <c r="AC311" s="38">
        <f>SUM(V$211:V311)</f>
        <v>606</v>
      </c>
      <c r="AD311" s="38">
        <f t="shared" si="107"/>
        <v>1326269</v>
      </c>
    </row>
    <row r="312" spans="1:30" x14ac:dyDescent="0.25">
      <c r="A312" s="86" t="s">
        <v>254</v>
      </c>
      <c r="B312" s="14">
        <f t="shared" si="101"/>
        <v>102</v>
      </c>
      <c r="C312" s="14">
        <f t="shared" si="118"/>
        <v>120</v>
      </c>
      <c r="D312" s="14">
        <f t="shared" si="118"/>
        <v>60</v>
      </c>
      <c r="E312" s="14">
        <f t="shared" si="118"/>
        <v>29</v>
      </c>
      <c r="F312" s="14">
        <f t="shared" si="118"/>
        <v>1605</v>
      </c>
      <c r="G312" s="74">
        <f t="shared" si="102"/>
        <v>2046</v>
      </c>
      <c r="H312" s="14">
        <f t="shared" si="116"/>
        <v>29550</v>
      </c>
      <c r="I312" s="14"/>
      <c r="J312" s="14">
        <f t="shared" si="119"/>
        <v>58800</v>
      </c>
      <c r="K312" s="14">
        <f t="shared" si="119"/>
        <v>6</v>
      </c>
      <c r="L312" s="14">
        <v>1</v>
      </c>
      <c r="M312" s="14">
        <f t="shared" si="117"/>
        <v>600</v>
      </c>
      <c r="N312" s="14">
        <f t="shared" si="117"/>
        <v>300</v>
      </c>
      <c r="O312" s="14">
        <f t="shared" si="117"/>
        <v>146</v>
      </c>
      <c r="P312" s="14">
        <f t="shared" si="113"/>
        <v>300</v>
      </c>
      <c r="Q312" s="38">
        <f t="shared" si="114"/>
        <v>300</v>
      </c>
      <c r="R312" s="38">
        <f t="shared" si="103"/>
        <v>88350</v>
      </c>
      <c r="S312" s="38">
        <f t="shared" si="104"/>
        <v>600</v>
      </c>
      <c r="T312" s="38">
        <f t="shared" si="105"/>
        <v>300</v>
      </c>
      <c r="U312" s="38"/>
      <c r="V312" s="38">
        <f t="shared" si="115"/>
        <v>6</v>
      </c>
      <c r="W312" s="38">
        <f t="shared" si="106"/>
        <v>20106</v>
      </c>
      <c r="X312" s="38">
        <f>SUM(Q$211:Q312)</f>
        <v>28350</v>
      </c>
      <c r="Y312" s="38">
        <f>SUM(R$211:R312)</f>
        <v>4390800</v>
      </c>
      <c r="Z312" s="38">
        <f>SUM(S$211:S312)</f>
        <v>30393</v>
      </c>
      <c r="AA312" s="38">
        <f>SUM(T$211:T312)</f>
        <v>15199</v>
      </c>
      <c r="AB312" s="38">
        <f>SUM(U$211:U312)</f>
        <v>7329</v>
      </c>
      <c r="AC312" s="38">
        <f>SUM(V$211:V312)</f>
        <v>612</v>
      </c>
      <c r="AD312" s="38">
        <f t="shared" si="107"/>
        <v>1346375</v>
      </c>
    </row>
    <row r="313" spans="1:30" x14ac:dyDescent="0.25">
      <c r="A313" s="86" t="s">
        <v>254</v>
      </c>
      <c r="B313" s="14">
        <f t="shared" si="101"/>
        <v>103</v>
      </c>
      <c r="C313" s="14">
        <f t="shared" si="118"/>
        <v>122</v>
      </c>
      <c r="D313" s="14">
        <f t="shared" si="118"/>
        <v>60</v>
      </c>
      <c r="E313" s="14">
        <f t="shared" si="118"/>
        <v>30</v>
      </c>
      <c r="F313" s="14">
        <f t="shared" si="118"/>
        <v>1635</v>
      </c>
      <c r="G313" s="74">
        <f t="shared" si="102"/>
        <v>2099</v>
      </c>
      <c r="H313" s="14">
        <f t="shared" si="116"/>
        <v>29850</v>
      </c>
      <c r="I313" s="14"/>
      <c r="J313" s="14">
        <f t="shared" si="119"/>
        <v>59400</v>
      </c>
      <c r="K313" s="14">
        <f t="shared" si="119"/>
        <v>6</v>
      </c>
      <c r="L313" s="14">
        <v>1</v>
      </c>
      <c r="M313" s="14">
        <f t="shared" si="117"/>
        <v>606</v>
      </c>
      <c r="N313" s="14">
        <f t="shared" si="117"/>
        <v>303</v>
      </c>
      <c r="O313" s="14">
        <f t="shared" si="117"/>
        <v>147</v>
      </c>
      <c r="P313" s="14">
        <f t="shared" si="113"/>
        <v>300</v>
      </c>
      <c r="Q313" s="38">
        <f t="shared" si="114"/>
        <v>300</v>
      </c>
      <c r="R313" s="38">
        <f t="shared" si="103"/>
        <v>89250</v>
      </c>
      <c r="S313" s="38">
        <f t="shared" si="104"/>
        <v>606</v>
      </c>
      <c r="T313" s="38">
        <f t="shared" si="105"/>
        <v>303</v>
      </c>
      <c r="U313" s="38"/>
      <c r="V313" s="38">
        <f t="shared" si="115"/>
        <v>6</v>
      </c>
      <c r="W313" s="38">
        <f t="shared" si="106"/>
        <v>20307</v>
      </c>
      <c r="X313" s="38">
        <f>SUM(Q$211:Q313)</f>
        <v>28650</v>
      </c>
      <c r="Y313" s="38">
        <f>SUM(R$211:R313)</f>
        <v>4480050</v>
      </c>
      <c r="Z313" s="38">
        <f>SUM(S$211:S313)</f>
        <v>30999</v>
      </c>
      <c r="AA313" s="38">
        <f>SUM(T$211:T313)</f>
        <v>15502</v>
      </c>
      <c r="AB313" s="38">
        <f>SUM(U$211:U313)</f>
        <v>7329</v>
      </c>
      <c r="AC313" s="38">
        <f>SUM(V$211:V313)</f>
        <v>618</v>
      </c>
      <c r="AD313" s="38">
        <f t="shared" si="107"/>
        <v>1366682</v>
      </c>
    </row>
    <row r="314" spans="1:30" x14ac:dyDescent="0.25">
      <c r="A314" s="86" t="s">
        <v>254</v>
      </c>
      <c r="B314" s="14">
        <f t="shared" si="101"/>
        <v>104</v>
      </c>
      <c r="C314" s="14">
        <f t="shared" si="118"/>
        <v>123</v>
      </c>
      <c r="D314" s="14">
        <f t="shared" si="118"/>
        <v>62</v>
      </c>
      <c r="E314" s="14">
        <f t="shared" si="118"/>
        <v>30</v>
      </c>
      <c r="F314" s="14">
        <f t="shared" si="118"/>
        <v>1635</v>
      </c>
      <c r="G314" s="74">
        <f t="shared" si="102"/>
        <v>2110</v>
      </c>
      <c r="H314" s="14">
        <f t="shared" si="116"/>
        <v>30150</v>
      </c>
      <c r="I314" s="14"/>
      <c r="J314" s="14">
        <f t="shared" si="119"/>
        <v>60000</v>
      </c>
      <c r="K314" s="14">
        <f t="shared" si="119"/>
        <v>6</v>
      </c>
      <c r="L314" s="14">
        <v>1</v>
      </c>
      <c r="M314" s="14">
        <f t="shared" si="117"/>
        <v>612</v>
      </c>
      <c r="N314" s="14">
        <f t="shared" si="117"/>
        <v>306</v>
      </c>
      <c r="O314" s="14">
        <f t="shared" si="117"/>
        <v>149</v>
      </c>
      <c r="P314" s="14">
        <f t="shared" si="113"/>
        <v>300</v>
      </c>
      <c r="Q314" s="38">
        <f t="shared" si="114"/>
        <v>300</v>
      </c>
      <c r="R314" s="38">
        <f t="shared" si="103"/>
        <v>90150</v>
      </c>
      <c r="S314" s="38">
        <f t="shared" si="104"/>
        <v>612</v>
      </c>
      <c r="T314" s="38">
        <f t="shared" si="105"/>
        <v>306</v>
      </c>
      <c r="U314" s="38">
        <f t="shared" ref="U314:U329" si="120">E314+O314</f>
        <v>179</v>
      </c>
      <c r="V314" s="38">
        <f t="shared" si="115"/>
        <v>6</v>
      </c>
      <c r="W314" s="38">
        <f t="shared" si="106"/>
        <v>28563</v>
      </c>
      <c r="X314" s="38">
        <f>SUM(Q$211:Q314)</f>
        <v>28950</v>
      </c>
      <c r="Y314" s="38">
        <f>SUM(R$211:R314)</f>
        <v>4570200</v>
      </c>
      <c r="Z314" s="38">
        <f>SUM(S$211:S314)</f>
        <v>31611</v>
      </c>
      <c r="AA314" s="38">
        <f>SUM(T$211:T314)</f>
        <v>15808</v>
      </c>
      <c r="AB314" s="38">
        <f>SUM(U$211:U314)</f>
        <v>7508</v>
      </c>
      <c r="AC314" s="38">
        <f>SUM(V$211:V314)</f>
        <v>624</v>
      </c>
      <c r="AD314" s="38">
        <f t="shared" si="107"/>
        <v>1395245</v>
      </c>
    </row>
    <row r="315" spans="1:30" x14ac:dyDescent="0.25">
      <c r="A315" s="86" t="s">
        <v>254</v>
      </c>
      <c r="B315" s="14">
        <f t="shared" si="101"/>
        <v>105</v>
      </c>
      <c r="C315" s="14">
        <f t="shared" si="118"/>
        <v>123</v>
      </c>
      <c r="D315" s="14">
        <f t="shared" si="118"/>
        <v>62</v>
      </c>
      <c r="E315" s="14">
        <f t="shared" si="118"/>
        <v>30</v>
      </c>
      <c r="F315" s="14">
        <f t="shared" si="118"/>
        <v>1665</v>
      </c>
      <c r="G315" s="74">
        <f t="shared" si="102"/>
        <v>2116</v>
      </c>
      <c r="H315" s="14">
        <f t="shared" si="116"/>
        <v>30450</v>
      </c>
      <c r="I315" s="14"/>
      <c r="J315" s="14">
        <f t="shared" si="119"/>
        <v>60600</v>
      </c>
      <c r="K315" s="14">
        <f t="shared" si="119"/>
        <v>6</v>
      </c>
      <c r="L315" s="14">
        <v>1</v>
      </c>
      <c r="M315" s="14">
        <f t="shared" si="117"/>
        <v>618</v>
      </c>
      <c r="N315" s="14">
        <f t="shared" si="117"/>
        <v>309</v>
      </c>
      <c r="O315" s="14">
        <f t="shared" si="117"/>
        <v>150</v>
      </c>
      <c r="P315" s="14">
        <f t="shared" si="113"/>
        <v>300</v>
      </c>
      <c r="Q315" s="42">
        <f t="shared" si="114"/>
        <v>300</v>
      </c>
      <c r="R315" s="38">
        <f t="shared" si="103"/>
        <v>91050</v>
      </c>
      <c r="S315" s="38">
        <f t="shared" si="104"/>
        <v>618</v>
      </c>
      <c r="T315" s="38">
        <f t="shared" si="105"/>
        <v>309</v>
      </c>
      <c r="U315" s="42">
        <f t="shared" si="120"/>
        <v>180</v>
      </c>
      <c r="V315" s="42">
        <f t="shared" si="115"/>
        <v>6</v>
      </c>
      <c r="W315" s="38">
        <f t="shared" si="106"/>
        <v>28809</v>
      </c>
      <c r="X315" s="38">
        <f>SUM(Q$211:Q315)</f>
        <v>29250</v>
      </c>
      <c r="Y315" s="38">
        <f>SUM(R$211:R315)</f>
        <v>4661250</v>
      </c>
      <c r="Z315" s="38">
        <f>SUM(S$211:S315)</f>
        <v>32229</v>
      </c>
      <c r="AA315" s="38">
        <f>SUM(T$211:T315)</f>
        <v>16117</v>
      </c>
      <c r="AB315" s="38">
        <f>SUM(U$211:U315)</f>
        <v>7688</v>
      </c>
      <c r="AC315" s="38">
        <f>SUM(V$211:V315)</f>
        <v>630</v>
      </c>
      <c r="AD315" s="38">
        <f t="shared" si="107"/>
        <v>1424054</v>
      </c>
    </row>
    <row r="316" spans="1:30" x14ac:dyDescent="0.25">
      <c r="A316" s="86" t="s">
        <v>254</v>
      </c>
      <c r="B316" s="14">
        <f t="shared" si="101"/>
        <v>106</v>
      </c>
      <c r="C316" s="14">
        <f t="shared" si="118"/>
        <v>125</v>
      </c>
      <c r="D316" s="14">
        <f t="shared" si="118"/>
        <v>62</v>
      </c>
      <c r="E316" s="14">
        <f t="shared" si="118"/>
        <v>30</v>
      </c>
      <c r="F316" s="14">
        <f t="shared" si="118"/>
        <v>1665</v>
      </c>
      <c r="G316" s="74">
        <f t="shared" si="102"/>
        <v>2118</v>
      </c>
      <c r="H316" s="14">
        <f t="shared" si="116"/>
        <v>30750</v>
      </c>
      <c r="I316" s="14"/>
      <c r="J316" s="14">
        <f t="shared" si="119"/>
        <v>61200</v>
      </c>
      <c r="K316" s="14">
        <f t="shared" si="119"/>
        <v>6</v>
      </c>
      <c r="L316" s="14">
        <v>1</v>
      </c>
      <c r="M316" s="14">
        <f t="shared" si="117"/>
        <v>624</v>
      </c>
      <c r="N316" s="14">
        <f t="shared" si="117"/>
        <v>312</v>
      </c>
      <c r="O316" s="14">
        <f t="shared" si="117"/>
        <v>152</v>
      </c>
      <c r="P316" s="14">
        <f t="shared" si="113"/>
        <v>300</v>
      </c>
      <c r="Q316" s="38">
        <f t="shared" si="114"/>
        <v>300</v>
      </c>
      <c r="R316" s="38">
        <f t="shared" si="103"/>
        <v>91950</v>
      </c>
      <c r="S316" s="38">
        <f t="shared" si="104"/>
        <v>624</v>
      </c>
      <c r="T316" s="38">
        <f t="shared" si="105"/>
        <v>312</v>
      </c>
      <c r="U316" s="38">
        <f t="shared" si="120"/>
        <v>182</v>
      </c>
      <c r="V316" s="38">
        <f t="shared" si="115"/>
        <v>6</v>
      </c>
      <c r="W316" s="38">
        <f t="shared" si="106"/>
        <v>29100</v>
      </c>
      <c r="X316" s="38">
        <f>SUM(Q$211:Q316)</f>
        <v>29550</v>
      </c>
      <c r="Y316" s="38">
        <f>SUM(R$211:R316)</f>
        <v>4753200</v>
      </c>
      <c r="Z316" s="38">
        <f>SUM(S$211:S316)</f>
        <v>32853</v>
      </c>
      <c r="AA316" s="38">
        <f>SUM(T$211:T316)</f>
        <v>16429</v>
      </c>
      <c r="AB316" s="38">
        <f>SUM(U$211:U316)</f>
        <v>7870</v>
      </c>
      <c r="AC316" s="38">
        <f>SUM(V$211:V316)</f>
        <v>636</v>
      </c>
      <c r="AD316" s="38">
        <f t="shared" si="107"/>
        <v>1453154</v>
      </c>
    </row>
    <row r="317" spans="1:30" x14ac:dyDescent="0.25">
      <c r="A317" s="86" t="s">
        <v>254</v>
      </c>
      <c r="B317" s="14">
        <f t="shared" si="101"/>
        <v>107</v>
      </c>
      <c r="C317" s="14">
        <f t="shared" si="118"/>
        <v>126</v>
      </c>
      <c r="D317" s="14">
        <f t="shared" si="118"/>
        <v>63</v>
      </c>
      <c r="E317" s="14">
        <f t="shared" si="118"/>
        <v>30</v>
      </c>
      <c r="F317" s="14">
        <f t="shared" si="118"/>
        <v>1695</v>
      </c>
      <c r="G317" s="74">
        <f t="shared" si="102"/>
        <v>2130</v>
      </c>
      <c r="H317" s="14">
        <f t="shared" si="116"/>
        <v>31050</v>
      </c>
      <c r="I317" s="14"/>
      <c r="J317" s="14">
        <f t="shared" si="119"/>
        <v>61800</v>
      </c>
      <c r="K317" s="14">
        <f t="shared" si="119"/>
        <v>6</v>
      </c>
      <c r="L317" s="14">
        <v>1</v>
      </c>
      <c r="M317" s="14">
        <f t="shared" si="117"/>
        <v>630</v>
      </c>
      <c r="N317" s="14">
        <f t="shared" si="117"/>
        <v>315</v>
      </c>
      <c r="O317" s="14">
        <f t="shared" si="117"/>
        <v>153</v>
      </c>
      <c r="P317" s="14">
        <f t="shared" si="113"/>
        <v>300</v>
      </c>
      <c r="Q317" s="38">
        <f t="shared" si="114"/>
        <v>300</v>
      </c>
      <c r="R317" s="38">
        <f t="shared" si="103"/>
        <v>92850</v>
      </c>
      <c r="S317" s="38">
        <f t="shared" si="104"/>
        <v>630</v>
      </c>
      <c r="T317" s="38">
        <f t="shared" si="105"/>
        <v>315</v>
      </c>
      <c r="U317" s="38">
        <f t="shared" si="120"/>
        <v>183</v>
      </c>
      <c r="V317" s="38">
        <f t="shared" si="115"/>
        <v>6</v>
      </c>
      <c r="W317" s="38">
        <f t="shared" si="106"/>
        <v>29346</v>
      </c>
      <c r="X317" s="38">
        <f>SUM(Q$211:Q317)</f>
        <v>29850</v>
      </c>
      <c r="Y317" s="38">
        <f>SUM(R$211:R317)</f>
        <v>4846050</v>
      </c>
      <c r="Z317" s="38">
        <f>SUM(S$211:S317)</f>
        <v>33483</v>
      </c>
      <c r="AA317" s="38">
        <f>SUM(T$211:T317)</f>
        <v>16744</v>
      </c>
      <c r="AB317" s="38">
        <f>SUM(U$211:U317)</f>
        <v>8053</v>
      </c>
      <c r="AC317" s="38">
        <f>SUM(V$211:V317)</f>
        <v>642</v>
      </c>
      <c r="AD317" s="38">
        <f t="shared" si="107"/>
        <v>1482500</v>
      </c>
    </row>
    <row r="318" spans="1:30" x14ac:dyDescent="0.25">
      <c r="A318" s="86" t="s">
        <v>254</v>
      </c>
      <c r="B318" s="14">
        <f t="shared" si="101"/>
        <v>108</v>
      </c>
      <c r="C318" s="14">
        <f t="shared" si="118"/>
        <v>128</v>
      </c>
      <c r="D318" s="14">
        <f t="shared" si="118"/>
        <v>63</v>
      </c>
      <c r="E318" s="14">
        <f t="shared" si="118"/>
        <v>32</v>
      </c>
      <c r="F318" s="14">
        <f t="shared" si="118"/>
        <v>1695</v>
      </c>
      <c r="G318" s="74">
        <f t="shared" si="102"/>
        <v>2222</v>
      </c>
      <c r="H318" s="14">
        <f t="shared" si="116"/>
        <v>31350</v>
      </c>
      <c r="I318" s="14"/>
      <c r="J318" s="14">
        <f t="shared" si="119"/>
        <v>62400</v>
      </c>
      <c r="K318" s="14">
        <f t="shared" si="119"/>
        <v>6</v>
      </c>
      <c r="L318" s="14">
        <v>1</v>
      </c>
      <c r="M318" s="14">
        <f t="shared" si="117"/>
        <v>636</v>
      </c>
      <c r="N318" s="14">
        <f t="shared" si="117"/>
        <v>318</v>
      </c>
      <c r="O318" s="14">
        <f t="shared" si="117"/>
        <v>155</v>
      </c>
      <c r="P318" s="14">
        <f t="shared" si="113"/>
        <v>300</v>
      </c>
      <c r="Q318" s="38">
        <f t="shared" si="114"/>
        <v>300</v>
      </c>
      <c r="R318" s="38">
        <f t="shared" si="103"/>
        <v>93750</v>
      </c>
      <c r="S318" s="38">
        <f t="shared" si="104"/>
        <v>636</v>
      </c>
      <c r="T318" s="38">
        <f t="shared" si="105"/>
        <v>318</v>
      </c>
      <c r="U318" s="38">
        <f t="shared" si="120"/>
        <v>187</v>
      </c>
      <c r="V318" s="38">
        <f t="shared" si="115"/>
        <v>6</v>
      </c>
      <c r="W318" s="38">
        <f t="shared" si="106"/>
        <v>29727</v>
      </c>
      <c r="X318" s="38">
        <f>SUM(Q$211:Q318)</f>
        <v>30150</v>
      </c>
      <c r="Y318" s="38">
        <f>SUM(R$211:R318)</f>
        <v>4939800</v>
      </c>
      <c r="Z318" s="38">
        <f>SUM(S$211:S318)</f>
        <v>34119</v>
      </c>
      <c r="AA318" s="38">
        <f>SUM(T$211:T318)</f>
        <v>17062</v>
      </c>
      <c r="AB318" s="38">
        <f>SUM(U$211:U318)</f>
        <v>8240</v>
      </c>
      <c r="AC318" s="38">
        <f>SUM(V$211:V318)</f>
        <v>648</v>
      </c>
      <c r="AD318" s="38">
        <f t="shared" si="107"/>
        <v>1512227</v>
      </c>
    </row>
    <row r="319" spans="1:30" x14ac:dyDescent="0.25">
      <c r="A319" s="86" t="s">
        <v>254</v>
      </c>
      <c r="B319" s="14">
        <f t="shared" si="101"/>
        <v>109</v>
      </c>
      <c r="C319" s="14">
        <f t="shared" si="118"/>
        <v>129</v>
      </c>
      <c r="D319" s="14">
        <f t="shared" si="118"/>
        <v>65</v>
      </c>
      <c r="E319" s="14">
        <f t="shared" si="118"/>
        <v>32</v>
      </c>
      <c r="F319" s="14">
        <f t="shared" si="118"/>
        <v>1725</v>
      </c>
      <c r="G319" s="74">
        <f t="shared" si="102"/>
        <v>2239</v>
      </c>
      <c r="H319" s="14">
        <f t="shared" si="116"/>
        <v>31650</v>
      </c>
      <c r="I319" s="14"/>
      <c r="J319" s="14">
        <f t="shared" si="119"/>
        <v>63000</v>
      </c>
      <c r="K319" s="14">
        <f t="shared" si="119"/>
        <v>6</v>
      </c>
      <c r="L319" s="14">
        <v>1</v>
      </c>
      <c r="M319" s="14">
        <f t="shared" si="117"/>
        <v>642</v>
      </c>
      <c r="N319" s="14">
        <f t="shared" si="117"/>
        <v>321</v>
      </c>
      <c r="O319" s="14">
        <f t="shared" si="117"/>
        <v>156</v>
      </c>
      <c r="P319" s="14">
        <f t="shared" si="113"/>
        <v>300</v>
      </c>
      <c r="Q319" s="38">
        <f t="shared" si="114"/>
        <v>300</v>
      </c>
      <c r="R319" s="38">
        <f t="shared" si="103"/>
        <v>94650</v>
      </c>
      <c r="S319" s="38">
        <f t="shared" si="104"/>
        <v>642</v>
      </c>
      <c r="T319" s="38">
        <f t="shared" si="105"/>
        <v>321</v>
      </c>
      <c r="U319" s="38">
        <f t="shared" si="120"/>
        <v>188</v>
      </c>
      <c r="V319" s="38">
        <f t="shared" si="115"/>
        <v>6</v>
      </c>
      <c r="W319" s="38">
        <f t="shared" si="106"/>
        <v>29973</v>
      </c>
      <c r="X319" s="38">
        <f>SUM(Q$211:Q319)</f>
        <v>30450</v>
      </c>
      <c r="Y319" s="38">
        <f>SUM(R$211:R319)</f>
        <v>5034450</v>
      </c>
      <c r="Z319" s="38">
        <f>SUM(S$211:S319)</f>
        <v>34761</v>
      </c>
      <c r="AA319" s="38">
        <f>SUM(T$211:T319)</f>
        <v>17383</v>
      </c>
      <c r="AB319" s="38">
        <f>SUM(U$211:U319)</f>
        <v>8428</v>
      </c>
      <c r="AC319" s="38">
        <f>SUM(V$211:V319)</f>
        <v>654</v>
      </c>
      <c r="AD319" s="38">
        <f t="shared" si="107"/>
        <v>1542200</v>
      </c>
    </row>
    <row r="320" spans="1:30" x14ac:dyDescent="0.25">
      <c r="A320" s="86" t="s">
        <v>254</v>
      </c>
      <c r="B320" s="14">
        <f t="shared" si="101"/>
        <v>110</v>
      </c>
      <c r="C320" s="14">
        <f t="shared" si="118"/>
        <v>129</v>
      </c>
      <c r="D320" s="14">
        <f t="shared" si="118"/>
        <v>65</v>
      </c>
      <c r="E320" s="14">
        <f t="shared" si="118"/>
        <v>32</v>
      </c>
      <c r="F320" s="14">
        <f t="shared" si="118"/>
        <v>1725</v>
      </c>
      <c r="G320" s="74">
        <f t="shared" si="102"/>
        <v>2239</v>
      </c>
      <c r="H320" s="14">
        <f t="shared" si="116"/>
        <v>31950</v>
      </c>
      <c r="I320" s="14"/>
      <c r="J320" s="14">
        <f t="shared" si="119"/>
        <v>63600</v>
      </c>
      <c r="K320" s="14">
        <f t="shared" si="119"/>
        <v>6</v>
      </c>
      <c r="L320" s="14">
        <v>1</v>
      </c>
      <c r="M320" s="14">
        <f t="shared" si="117"/>
        <v>648</v>
      </c>
      <c r="N320" s="14">
        <f t="shared" si="117"/>
        <v>324</v>
      </c>
      <c r="O320" s="14">
        <f t="shared" si="117"/>
        <v>158</v>
      </c>
      <c r="P320" s="14">
        <f t="shared" si="113"/>
        <v>300</v>
      </c>
      <c r="Q320" s="38">
        <f t="shared" si="114"/>
        <v>300</v>
      </c>
      <c r="R320" s="38">
        <f t="shared" si="103"/>
        <v>95550</v>
      </c>
      <c r="S320" s="38">
        <f t="shared" si="104"/>
        <v>648</v>
      </c>
      <c r="T320" s="38">
        <f t="shared" si="105"/>
        <v>324</v>
      </c>
      <c r="U320" s="38">
        <f t="shared" si="120"/>
        <v>190</v>
      </c>
      <c r="V320" s="38">
        <f t="shared" si="115"/>
        <v>6</v>
      </c>
      <c r="W320" s="38">
        <f t="shared" si="106"/>
        <v>30264</v>
      </c>
      <c r="X320" s="38">
        <f>SUM(Q$211:Q320)</f>
        <v>30750</v>
      </c>
      <c r="Y320" s="38">
        <f>SUM(R$211:R320)</f>
        <v>5130000</v>
      </c>
      <c r="Z320" s="38">
        <f>SUM(S$211:S320)</f>
        <v>35409</v>
      </c>
      <c r="AA320" s="38">
        <f>SUM(T$211:T320)</f>
        <v>17707</v>
      </c>
      <c r="AB320" s="38">
        <f>SUM(U$211:U320)</f>
        <v>8618</v>
      </c>
      <c r="AC320" s="38">
        <f>SUM(V$211:V320)</f>
        <v>660</v>
      </c>
      <c r="AD320" s="38">
        <f t="shared" si="107"/>
        <v>1572464</v>
      </c>
    </row>
    <row r="321" spans="1:30" x14ac:dyDescent="0.25">
      <c r="A321" s="86" t="s">
        <v>254</v>
      </c>
      <c r="B321" s="14">
        <f t="shared" si="101"/>
        <v>111</v>
      </c>
      <c r="C321" s="14">
        <f t="shared" si="118"/>
        <v>131</v>
      </c>
      <c r="D321" s="14">
        <f t="shared" si="118"/>
        <v>65</v>
      </c>
      <c r="E321" s="14">
        <f t="shared" si="118"/>
        <v>32</v>
      </c>
      <c r="F321" s="14">
        <f t="shared" si="118"/>
        <v>1755</v>
      </c>
      <c r="G321" s="74">
        <f t="shared" si="102"/>
        <v>2247</v>
      </c>
      <c r="H321" s="14">
        <f t="shared" si="116"/>
        <v>32250</v>
      </c>
      <c r="I321" s="14"/>
      <c r="J321" s="14">
        <f t="shared" si="119"/>
        <v>64200</v>
      </c>
      <c r="K321" s="14">
        <f t="shared" si="119"/>
        <v>6</v>
      </c>
      <c r="L321" s="14">
        <v>1</v>
      </c>
      <c r="M321" s="14">
        <f t="shared" si="117"/>
        <v>654</v>
      </c>
      <c r="N321" s="14">
        <f t="shared" si="117"/>
        <v>327</v>
      </c>
      <c r="O321" s="14">
        <f t="shared" si="117"/>
        <v>159</v>
      </c>
      <c r="P321" s="14">
        <f t="shared" si="113"/>
        <v>300</v>
      </c>
      <c r="Q321" s="38">
        <f t="shared" si="114"/>
        <v>300</v>
      </c>
      <c r="R321" s="38">
        <f t="shared" si="103"/>
        <v>96450</v>
      </c>
      <c r="S321" s="38">
        <f t="shared" si="104"/>
        <v>654</v>
      </c>
      <c r="T321" s="38">
        <f t="shared" si="105"/>
        <v>327</v>
      </c>
      <c r="U321" s="38">
        <f t="shared" si="120"/>
        <v>191</v>
      </c>
      <c r="V321" s="38">
        <f t="shared" si="115"/>
        <v>6</v>
      </c>
      <c r="W321" s="38">
        <f t="shared" si="106"/>
        <v>30510</v>
      </c>
      <c r="X321" s="38">
        <f>SUM(Q$211:Q321)</f>
        <v>31050</v>
      </c>
      <c r="Y321" s="38">
        <f>SUM(R$211:R321)</f>
        <v>5226450</v>
      </c>
      <c r="Z321" s="38">
        <f>SUM(S$211:S321)</f>
        <v>36063</v>
      </c>
      <c r="AA321" s="38">
        <f>SUM(T$211:T321)</f>
        <v>18034</v>
      </c>
      <c r="AB321" s="38">
        <f>SUM(U$211:U321)</f>
        <v>8809</v>
      </c>
      <c r="AC321" s="38">
        <f>SUM(V$211:V321)</f>
        <v>666</v>
      </c>
      <c r="AD321" s="38">
        <f t="shared" si="107"/>
        <v>1602974</v>
      </c>
    </row>
    <row r="322" spans="1:30" x14ac:dyDescent="0.25">
      <c r="A322" s="86" t="s">
        <v>254</v>
      </c>
      <c r="B322" s="14">
        <f t="shared" si="101"/>
        <v>112</v>
      </c>
      <c r="C322" s="14">
        <f t="shared" si="118"/>
        <v>132</v>
      </c>
      <c r="D322" s="14">
        <f t="shared" si="118"/>
        <v>66</v>
      </c>
      <c r="E322" s="14">
        <f t="shared" si="118"/>
        <v>32</v>
      </c>
      <c r="F322" s="14">
        <f t="shared" si="118"/>
        <v>1755</v>
      </c>
      <c r="G322" s="74">
        <f t="shared" si="102"/>
        <v>2253</v>
      </c>
      <c r="H322" s="14">
        <f t="shared" si="116"/>
        <v>32550</v>
      </c>
      <c r="I322" s="14"/>
      <c r="J322" s="14">
        <f t="shared" si="119"/>
        <v>64800</v>
      </c>
      <c r="K322" s="14">
        <f t="shared" si="119"/>
        <v>6</v>
      </c>
      <c r="L322" s="14">
        <v>1</v>
      </c>
      <c r="M322" s="14">
        <f t="shared" si="117"/>
        <v>660</v>
      </c>
      <c r="N322" s="14">
        <f t="shared" si="117"/>
        <v>330</v>
      </c>
      <c r="O322" s="14">
        <f t="shared" si="117"/>
        <v>161</v>
      </c>
      <c r="P322" s="14">
        <f t="shared" si="113"/>
        <v>300</v>
      </c>
      <c r="Q322" s="38">
        <f t="shared" si="114"/>
        <v>300</v>
      </c>
      <c r="R322" s="38">
        <f t="shared" si="103"/>
        <v>97350</v>
      </c>
      <c r="S322" s="38">
        <f t="shared" si="104"/>
        <v>660</v>
      </c>
      <c r="T322" s="38">
        <f t="shared" si="105"/>
        <v>330</v>
      </c>
      <c r="U322" s="38">
        <f t="shared" si="120"/>
        <v>193</v>
      </c>
      <c r="V322" s="38">
        <f t="shared" si="115"/>
        <v>6</v>
      </c>
      <c r="W322" s="38">
        <f t="shared" si="106"/>
        <v>30801</v>
      </c>
      <c r="X322" s="38">
        <f>SUM(Q$211:Q322)</f>
        <v>31350</v>
      </c>
      <c r="Y322" s="38">
        <f>SUM(R$211:R322)</f>
        <v>5323800</v>
      </c>
      <c r="Z322" s="38">
        <f>SUM(S$211:S322)</f>
        <v>36723</v>
      </c>
      <c r="AA322" s="38">
        <f>SUM(T$211:T322)</f>
        <v>18364</v>
      </c>
      <c r="AB322" s="38">
        <f>SUM(U$211:U322)</f>
        <v>9002</v>
      </c>
      <c r="AC322" s="38">
        <f>SUM(V$211:V322)</f>
        <v>672</v>
      </c>
      <c r="AD322" s="38">
        <f t="shared" si="107"/>
        <v>1633775</v>
      </c>
    </row>
    <row r="323" spans="1:30" x14ac:dyDescent="0.25">
      <c r="A323" s="86" t="s">
        <v>254</v>
      </c>
      <c r="B323" s="14">
        <f t="shared" si="101"/>
        <v>113</v>
      </c>
      <c r="C323" s="14">
        <f t="shared" si="118"/>
        <v>134</v>
      </c>
      <c r="D323" s="14">
        <f t="shared" si="118"/>
        <v>66</v>
      </c>
      <c r="E323" s="14">
        <f t="shared" si="118"/>
        <v>33</v>
      </c>
      <c r="F323" s="14">
        <f t="shared" si="118"/>
        <v>1785</v>
      </c>
      <c r="G323" s="74">
        <f t="shared" si="102"/>
        <v>2306</v>
      </c>
      <c r="H323" s="14">
        <f t="shared" si="116"/>
        <v>32850</v>
      </c>
      <c r="I323" s="14"/>
      <c r="J323" s="14">
        <f t="shared" si="119"/>
        <v>65400</v>
      </c>
      <c r="K323" s="14">
        <f t="shared" si="119"/>
        <v>6</v>
      </c>
      <c r="L323" s="14">
        <v>1</v>
      </c>
      <c r="M323" s="14">
        <f t="shared" si="117"/>
        <v>666</v>
      </c>
      <c r="N323" s="14">
        <f t="shared" si="117"/>
        <v>333</v>
      </c>
      <c r="O323" s="14">
        <f t="shared" si="117"/>
        <v>162</v>
      </c>
      <c r="P323" s="14">
        <f t="shared" si="113"/>
        <v>300</v>
      </c>
      <c r="Q323" s="38">
        <f t="shared" si="114"/>
        <v>300</v>
      </c>
      <c r="R323" s="38">
        <f t="shared" si="103"/>
        <v>98250</v>
      </c>
      <c r="S323" s="38">
        <f t="shared" si="104"/>
        <v>666</v>
      </c>
      <c r="T323" s="38">
        <f t="shared" si="105"/>
        <v>333</v>
      </c>
      <c r="U323" s="38">
        <f t="shared" si="120"/>
        <v>195</v>
      </c>
      <c r="V323" s="38">
        <f t="shared" si="115"/>
        <v>6</v>
      </c>
      <c r="W323" s="38">
        <f t="shared" si="106"/>
        <v>31092</v>
      </c>
      <c r="X323" s="38">
        <f>SUM(Q$211:Q323)</f>
        <v>31650</v>
      </c>
      <c r="Y323" s="38">
        <f>SUM(R$211:R323)</f>
        <v>5422050</v>
      </c>
      <c r="Z323" s="38">
        <f>SUM(S$211:S323)</f>
        <v>37389</v>
      </c>
      <c r="AA323" s="38">
        <f>SUM(T$211:T323)</f>
        <v>18697</v>
      </c>
      <c r="AB323" s="38">
        <f>SUM(U$211:U323)</f>
        <v>9197</v>
      </c>
      <c r="AC323" s="38">
        <f>SUM(V$211:V323)</f>
        <v>678</v>
      </c>
      <c r="AD323" s="38">
        <f t="shared" si="107"/>
        <v>1664867</v>
      </c>
    </row>
    <row r="324" spans="1:30" x14ac:dyDescent="0.25">
      <c r="A324" s="86" t="s">
        <v>254</v>
      </c>
      <c r="B324" s="14">
        <f t="shared" si="101"/>
        <v>114</v>
      </c>
      <c r="C324" s="14">
        <f t="shared" si="118"/>
        <v>135</v>
      </c>
      <c r="D324" s="14">
        <f t="shared" si="118"/>
        <v>68</v>
      </c>
      <c r="E324" s="14">
        <f t="shared" si="118"/>
        <v>33</v>
      </c>
      <c r="F324" s="14">
        <f t="shared" si="118"/>
        <v>1785</v>
      </c>
      <c r="G324" s="74">
        <f t="shared" si="102"/>
        <v>2317</v>
      </c>
      <c r="H324" s="14">
        <f t="shared" si="116"/>
        <v>33150</v>
      </c>
      <c r="I324" s="14"/>
      <c r="J324" s="14">
        <f t="shared" si="119"/>
        <v>66000</v>
      </c>
      <c r="K324" s="14">
        <f t="shared" si="119"/>
        <v>6</v>
      </c>
      <c r="L324" s="14">
        <v>1</v>
      </c>
      <c r="M324" s="14">
        <f t="shared" si="117"/>
        <v>672</v>
      </c>
      <c r="N324" s="14">
        <f t="shared" si="117"/>
        <v>336</v>
      </c>
      <c r="O324" s="14">
        <f t="shared" si="117"/>
        <v>164</v>
      </c>
      <c r="P324" s="14">
        <f t="shared" ref="P324:P354" si="121">MAX(1,ROUND(P121*INDEX($O$1:$U$4,MATCH($A324,$O$1:$O$4,0),MATCH(P$210,$O$1:$U$1,0)),0))</f>
        <v>300</v>
      </c>
      <c r="Q324" s="38">
        <f t="shared" si="114"/>
        <v>300</v>
      </c>
      <c r="R324" s="38">
        <f t="shared" si="103"/>
        <v>99150</v>
      </c>
      <c r="S324" s="38">
        <f t="shared" si="104"/>
        <v>672</v>
      </c>
      <c r="T324" s="38">
        <f t="shared" si="105"/>
        <v>336</v>
      </c>
      <c r="U324" s="38">
        <f t="shared" si="120"/>
        <v>197</v>
      </c>
      <c r="V324" s="38">
        <f t="shared" si="115"/>
        <v>6</v>
      </c>
      <c r="W324" s="38">
        <f t="shared" si="106"/>
        <v>31383</v>
      </c>
      <c r="X324" s="38">
        <f>SUM(Q$211:Q324)</f>
        <v>31950</v>
      </c>
      <c r="Y324" s="38">
        <f>SUM(R$211:R324)</f>
        <v>5521200</v>
      </c>
      <c r="Z324" s="38">
        <f>SUM(S$211:S324)</f>
        <v>38061</v>
      </c>
      <c r="AA324" s="38">
        <f>SUM(T$211:T324)</f>
        <v>19033</v>
      </c>
      <c r="AB324" s="38">
        <f>SUM(U$211:U324)</f>
        <v>9394</v>
      </c>
      <c r="AC324" s="38">
        <f>SUM(V$211:V324)</f>
        <v>684</v>
      </c>
      <c r="AD324" s="38">
        <f t="shared" si="107"/>
        <v>1696250</v>
      </c>
    </row>
    <row r="325" spans="1:30" x14ac:dyDescent="0.25">
      <c r="A325" s="86" t="s">
        <v>254</v>
      </c>
      <c r="B325" s="14">
        <f t="shared" si="101"/>
        <v>115</v>
      </c>
      <c r="C325" s="14">
        <f t="shared" si="118"/>
        <v>135</v>
      </c>
      <c r="D325" s="14">
        <f t="shared" si="118"/>
        <v>68</v>
      </c>
      <c r="E325" s="14">
        <f t="shared" si="118"/>
        <v>33</v>
      </c>
      <c r="F325" s="14">
        <f t="shared" si="118"/>
        <v>1815</v>
      </c>
      <c r="G325" s="74">
        <f t="shared" si="102"/>
        <v>2323</v>
      </c>
      <c r="H325" s="14">
        <f t="shared" si="116"/>
        <v>33450</v>
      </c>
      <c r="I325" s="14"/>
      <c r="J325" s="14">
        <f t="shared" si="119"/>
        <v>66600</v>
      </c>
      <c r="K325" s="14">
        <f t="shared" si="119"/>
        <v>6</v>
      </c>
      <c r="L325" s="14">
        <v>1</v>
      </c>
      <c r="M325" s="14">
        <f t="shared" si="117"/>
        <v>678</v>
      </c>
      <c r="N325" s="14">
        <f t="shared" si="117"/>
        <v>339</v>
      </c>
      <c r="O325" s="14">
        <f t="shared" si="117"/>
        <v>165</v>
      </c>
      <c r="P325" s="14">
        <f t="shared" si="121"/>
        <v>300</v>
      </c>
      <c r="Q325" s="38">
        <f t="shared" si="114"/>
        <v>300</v>
      </c>
      <c r="R325" s="38">
        <f t="shared" si="103"/>
        <v>100050</v>
      </c>
      <c r="S325" s="38">
        <f t="shared" si="104"/>
        <v>678</v>
      </c>
      <c r="T325" s="38">
        <f t="shared" si="105"/>
        <v>339</v>
      </c>
      <c r="U325" s="38">
        <f t="shared" si="120"/>
        <v>198</v>
      </c>
      <c r="V325" s="38">
        <f t="shared" si="115"/>
        <v>6</v>
      </c>
      <c r="W325" s="38">
        <f t="shared" si="106"/>
        <v>31629</v>
      </c>
      <c r="X325" s="38">
        <f>SUM(Q$211:Q325)</f>
        <v>32250</v>
      </c>
      <c r="Y325" s="38">
        <f>SUM(R$211:R325)</f>
        <v>5621250</v>
      </c>
      <c r="Z325" s="38">
        <f>SUM(S$211:S325)</f>
        <v>38739</v>
      </c>
      <c r="AA325" s="38">
        <f>SUM(T$211:T325)</f>
        <v>19372</v>
      </c>
      <c r="AB325" s="38">
        <f>SUM(U$211:U325)</f>
        <v>9592</v>
      </c>
      <c r="AC325" s="38">
        <f>SUM(V$211:V325)</f>
        <v>690</v>
      </c>
      <c r="AD325" s="38">
        <f t="shared" si="107"/>
        <v>1727879</v>
      </c>
    </row>
    <row r="326" spans="1:30" x14ac:dyDescent="0.25">
      <c r="A326" s="86" t="s">
        <v>254</v>
      </c>
      <c r="B326" s="14">
        <f t="shared" si="101"/>
        <v>116</v>
      </c>
      <c r="C326" s="14">
        <f t="shared" si="118"/>
        <v>137</v>
      </c>
      <c r="D326" s="14">
        <f t="shared" si="118"/>
        <v>68</v>
      </c>
      <c r="E326" s="14">
        <f t="shared" si="118"/>
        <v>33</v>
      </c>
      <c r="F326" s="14">
        <f t="shared" si="118"/>
        <v>1815</v>
      </c>
      <c r="G326" s="74">
        <f t="shared" si="102"/>
        <v>2325</v>
      </c>
      <c r="H326" s="14">
        <f t="shared" si="116"/>
        <v>33750</v>
      </c>
      <c r="I326" s="14"/>
      <c r="J326" s="14">
        <f t="shared" si="119"/>
        <v>67200</v>
      </c>
      <c r="K326" s="14">
        <f t="shared" si="119"/>
        <v>6</v>
      </c>
      <c r="L326" s="14">
        <v>1</v>
      </c>
      <c r="M326" s="14">
        <f t="shared" si="117"/>
        <v>684</v>
      </c>
      <c r="N326" s="14">
        <f t="shared" si="117"/>
        <v>342</v>
      </c>
      <c r="O326" s="14">
        <f t="shared" si="117"/>
        <v>167</v>
      </c>
      <c r="P326" s="14">
        <f t="shared" si="121"/>
        <v>300</v>
      </c>
      <c r="Q326" s="38">
        <f t="shared" ref="Q326:Q357" si="122">P326</f>
        <v>300</v>
      </c>
      <c r="R326" s="38">
        <f t="shared" si="103"/>
        <v>100950</v>
      </c>
      <c r="S326" s="38">
        <f t="shared" si="104"/>
        <v>684</v>
      </c>
      <c r="T326" s="38">
        <f t="shared" si="105"/>
        <v>342</v>
      </c>
      <c r="U326" s="38">
        <f t="shared" si="120"/>
        <v>200</v>
      </c>
      <c r="V326" s="38">
        <f t="shared" ref="V326:V357" si="123">K326</f>
        <v>6</v>
      </c>
      <c r="W326" s="38">
        <f t="shared" si="106"/>
        <v>31920</v>
      </c>
      <c r="X326" s="38">
        <f>SUM(Q$211:Q326)</f>
        <v>32550</v>
      </c>
      <c r="Y326" s="38">
        <f>SUM(R$211:R326)</f>
        <v>5722200</v>
      </c>
      <c r="Z326" s="38">
        <f>SUM(S$211:S326)</f>
        <v>39423</v>
      </c>
      <c r="AA326" s="38">
        <f>SUM(T$211:T326)</f>
        <v>19714</v>
      </c>
      <c r="AB326" s="38">
        <f>SUM(U$211:U326)</f>
        <v>9792</v>
      </c>
      <c r="AC326" s="38">
        <f>SUM(V$211:V326)</f>
        <v>696</v>
      </c>
      <c r="AD326" s="38">
        <f t="shared" si="107"/>
        <v>1759799</v>
      </c>
    </row>
    <row r="327" spans="1:30" x14ac:dyDescent="0.25">
      <c r="A327" s="86" t="s">
        <v>254</v>
      </c>
      <c r="B327" s="14">
        <f t="shared" si="101"/>
        <v>117</v>
      </c>
      <c r="C327" s="14">
        <f t="shared" si="118"/>
        <v>138</v>
      </c>
      <c r="D327" s="14">
        <f t="shared" si="118"/>
        <v>69</v>
      </c>
      <c r="E327" s="14">
        <f t="shared" si="118"/>
        <v>33</v>
      </c>
      <c r="F327" s="14">
        <f t="shared" si="118"/>
        <v>1845</v>
      </c>
      <c r="G327" s="74">
        <f t="shared" si="102"/>
        <v>2337</v>
      </c>
      <c r="H327" s="14">
        <f t="shared" si="116"/>
        <v>34050</v>
      </c>
      <c r="I327" s="14"/>
      <c r="J327" s="14">
        <f t="shared" si="119"/>
        <v>67800</v>
      </c>
      <c r="K327" s="14">
        <f t="shared" si="119"/>
        <v>6</v>
      </c>
      <c r="L327" s="14">
        <v>1</v>
      </c>
      <c r="M327" s="14">
        <f t="shared" ref="M327:O346" si="124">MAX(1,ROUND(M124*INDEX($O$1:$U$4,MATCH($A327,$O$1:$O$4,0),MATCH(M$210,$O$1:$U$1,0)),0))</f>
        <v>690</v>
      </c>
      <c r="N327" s="14">
        <f t="shared" si="124"/>
        <v>345</v>
      </c>
      <c r="O327" s="14">
        <f t="shared" si="124"/>
        <v>168</v>
      </c>
      <c r="P327" s="14">
        <f t="shared" si="121"/>
        <v>300</v>
      </c>
      <c r="Q327" s="38">
        <f t="shared" si="122"/>
        <v>300</v>
      </c>
      <c r="R327" s="38">
        <f t="shared" si="103"/>
        <v>101850</v>
      </c>
      <c r="S327" s="38">
        <f t="shared" si="104"/>
        <v>690</v>
      </c>
      <c r="T327" s="38">
        <f t="shared" si="105"/>
        <v>345</v>
      </c>
      <c r="U327" s="38">
        <f t="shared" si="120"/>
        <v>201</v>
      </c>
      <c r="V327" s="38">
        <f t="shared" si="123"/>
        <v>6</v>
      </c>
      <c r="W327" s="38">
        <f t="shared" si="106"/>
        <v>32166</v>
      </c>
      <c r="X327" s="38">
        <f>SUM(Q$211:Q327)</f>
        <v>32850</v>
      </c>
      <c r="Y327" s="38">
        <f>SUM(R$211:R327)</f>
        <v>5824050</v>
      </c>
      <c r="Z327" s="38">
        <f>SUM(S$211:S327)</f>
        <v>40113</v>
      </c>
      <c r="AA327" s="38">
        <f>SUM(T$211:T327)</f>
        <v>20059</v>
      </c>
      <c r="AB327" s="38">
        <f>SUM(U$211:U327)</f>
        <v>9993</v>
      </c>
      <c r="AC327" s="38">
        <f>SUM(V$211:V327)</f>
        <v>702</v>
      </c>
      <c r="AD327" s="38">
        <f t="shared" si="107"/>
        <v>1791965</v>
      </c>
    </row>
    <row r="328" spans="1:30" x14ac:dyDescent="0.25">
      <c r="A328" s="86" t="s">
        <v>254</v>
      </c>
      <c r="B328" s="14">
        <f t="shared" si="101"/>
        <v>118</v>
      </c>
      <c r="C328" s="14">
        <f t="shared" si="118"/>
        <v>140</v>
      </c>
      <c r="D328" s="14">
        <f t="shared" si="118"/>
        <v>69</v>
      </c>
      <c r="E328" s="14">
        <f t="shared" si="118"/>
        <v>35</v>
      </c>
      <c r="F328" s="14">
        <f t="shared" si="118"/>
        <v>1845</v>
      </c>
      <c r="G328" s="74">
        <f t="shared" si="102"/>
        <v>2429</v>
      </c>
      <c r="H328" s="14">
        <f t="shared" si="116"/>
        <v>34350</v>
      </c>
      <c r="I328" s="14"/>
      <c r="J328" s="14">
        <f t="shared" si="119"/>
        <v>68400</v>
      </c>
      <c r="K328" s="14">
        <f t="shared" si="119"/>
        <v>6</v>
      </c>
      <c r="L328" s="14">
        <v>1</v>
      </c>
      <c r="M328" s="14">
        <f t="shared" si="124"/>
        <v>696</v>
      </c>
      <c r="N328" s="14">
        <f t="shared" si="124"/>
        <v>348</v>
      </c>
      <c r="O328" s="14">
        <f t="shared" si="124"/>
        <v>170</v>
      </c>
      <c r="P328" s="14">
        <f t="shared" si="121"/>
        <v>300</v>
      </c>
      <c r="Q328" s="38">
        <f t="shared" si="122"/>
        <v>300</v>
      </c>
      <c r="R328" s="38">
        <f t="shared" si="103"/>
        <v>102750</v>
      </c>
      <c r="S328" s="38">
        <f t="shared" si="104"/>
        <v>696</v>
      </c>
      <c r="T328" s="38">
        <f t="shared" si="105"/>
        <v>348</v>
      </c>
      <c r="U328" s="38">
        <f t="shared" si="120"/>
        <v>205</v>
      </c>
      <c r="V328" s="38">
        <f t="shared" si="123"/>
        <v>6</v>
      </c>
      <c r="W328" s="38">
        <f t="shared" si="106"/>
        <v>32547</v>
      </c>
      <c r="X328" s="38">
        <f>SUM(Q$211:Q328)</f>
        <v>33150</v>
      </c>
      <c r="Y328" s="38">
        <f>SUM(R$211:R328)</f>
        <v>5926800</v>
      </c>
      <c r="Z328" s="38">
        <f>SUM(S$211:S328)</f>
        <v>40809</v>
      </c>
      <c r="AA328" s="38">
        <f>SUM(T$211:T328)</f>
        <v>20407</v>
      </c>
      <c r="AB328" s="38">
        <f>SUM(U$211:U328)</f>
        <v>10198</v>
      </c>
      <c r="AC328" s="38">
        <f>SUM(V$211:V328)</f>
        <v>708</v>
      </c>
      <c r="AD328" s="38">
        <f t="shared" si="107"/>
        <v>1824512</v>
      </c>
    </row>
    <row r="329" spans="1:30" x14ac:dyDescent="0.25">
      <c r="A329" s="86" t="s">
        <v>254</v>
      </c>
      <c r="B329" s="14">
        <f t="shared" si="101"/>
        <v>119</v>
      </c>
      <c r="C329" s="14">
        <f t="shared" si="118"/>
        <v>141</v>
      </c>
      <c r="D329" s="14">
        <f t="shared" si="118"/>
        <v>71</v>
      </c>
      <c r="E329" s="14">
        <f t="shared" si="118"/>
        <v>35</v>
      </c>
      <c r="F329" s="14">
        <f t="shared" si="118"/>
        <v>1875</v>
      </c>
      <c r="G329" s="74">
        <f t="shared" si="102"/>
        <v>2446</v>
      </c>
      <c r="H329" s="14">
        <f t="shared" si="116"/>
        <v>34650</v>
      </c>
      <c r="I329" s="14"/>
      <c r="J329" s="14">
        <f t="shared" si="119"/>
        <v>69000</v>
      </c>
      <c r="K329" s="14">
        <f t="shared" si="119"/>
        <v>6</v>
      </c>
      <c r="L329" s="14">
        <v>1</v>
      </c>
      <c r="M329" s="14">
        <f t="shared" si="124"/>
        <v>702</v>
      </c>
      <c r="N329" s="14">
        <f t="shared" si="124"/>
        <v>351</v>
      </c>
      <c r="O329" s="14">
        <f t="shared" si="124"/>
        <v>171</v>
      </c>
      <c r="P329" s="14">
        <f t="shared" si="121"/>
        <v>300</v>
      </c>
      <c r="Q329" s="38">
        <f t="shared" si="122"/>
        <v>300</v>
      </c>
      <c r="R329" s="38">
        <f t="shared" si="103"/>
        <v>103650</v>
      </c>
      <c r="S329" s="38">
        <f t="shared" si="104"/>
        <v>702</v>
      </c>
      <c r="T329" s="38">
        <f t="shared" si="105"/>
        <v>351</v>
      </c>
      <c r="U329" s="38">
        <f t="shared" si="120"/>
        <v>206</v>
      </c>
      <c r="V329" s="38">
        <f t="shared" si="123"/>
        <v>6</v>
      </c>
      <c r="W329" s="38">
        <f t="shared" si="106"/>
        <v>32793</v>
      </c>
      <c r="X329" s="38">
        <f>SUM(Q$211:Q329)</f>
        <v>33450</v>
      </c>
      <c r="Y329" s="38">
        <f>SUM(R$211:R329)</f>
        <v>6030450</v>
      </c>
      <c r="Z329" s="38">
        <f>SUM(S$211:S329)</f>
        <v>41511</v>
      </c>
      <c r="AA329" s="38">
        <f>SUM(T$211:T329)</f>
        <v>20758</v>
      </c>
      <c r="AB329" s="38">
        <f>SUM(U$211:U329)</f>
        <v>10404</v>
      </c>
      <c r="AC329" s="38">
        <f>SUM(V$211:V329)</f>
        <v>714</v>
      </c>
      <c r="AD329" s="38">
        <f t="shared" si="107"/>
        <v>1857305</v>
      </c>
    </row>
    <row r="330" spans="1:30" x14ac:dyDescent="0.25">
      <c r="A330" s="86" t="s">
        <v>254</v>
      </c>
      <c r="B330" s="14">
        <f t="shared" si="101"/>
        <v>120</v>
      </c>
      <c r="C330" s="14">
        <f t="shared" si="118"/>
        <v>141</v>
      </c>
      <c r="D330" s="14">
        <f t="shared" si="118"/>
        <v>71</v>
      </c>
      <c r="E330" s="14">
        <f t="shared" si="118"/>
        <v>35</v>
      </c>
      <c r="F330" s="14">
        <f t="shared" si="118"/>
        <v>1875</v>
      </c>
      <c r="G330" s="74">
        <f t="shared" si="102"/>
        <v>2446</v>
      </c>
      <c r="H330" s="14">
        <f t="shared" si="116"/>
        <v>34950</v>
      </c>
      <c r="I330" s="14"/>
      <c r="J330" s="14">
        <f t="shared" si="119"/>
        <v>69600</v>
      </c>
      <c r="K330" s="14">
        <f t="shared" si="119"/>
        <v>6</v>
      </c>
      <c r="L330" s="14">
        <v>1</v>
      </c>
      <c r="M330" s="14">
        <f t="shared" si="124"/>
        <v>708</v>
      </c>
      <c r="N330" s="14">
        <f t="shared" si="124"/>
        <v>354</v>
      </c>
      <c r="O330" s="14">
        <f t="shared" si="124"/>
        <v>173</v>
      </c>
      <c r="P330" s="14">
        <f t="shared" si="121"/>
        <v>300</v>
      </c>
      <c r="Q330" s="38">
        <f t="shared" si="122"/>
        <v>300</v>
      </c>
      <c r="R330" s="38">
        <f t="shared" si="103"/>
        <v>104550</v>
      </c>
      <c r="S330" s="38">
        <f t="shared" si="104"/>
        <v>708</v>
      </c>
      <c r="T330" s="38">
        <f t="shared" si="105"/>
        <v>354</v>
      </c>
      <c r="U330" s="38"/>
      <c r="V330" s="38">
        <f t="shared" si="123"/>
        <v>6</v>
      </c>
      <c r="W330" s="38">
        <f t="shared" si="106"/>
        <v>23724</v>
      </c>
      <c r="X330" s="38">
        <f>SUM(Q$211:Q330)</f>
        <v>33750</v>
      </c>
      <c r="Y330" s="38">
        <f>SUM(R$211:R330)</f>
        <v>6135000</v>
      </c>
      <c r="Z330" s="38">
        <f>SUM(S$211:S330)</f>
        <v>42219</v>
      </c>
      <c r="AA330" s="38">
        <f>SUM(T$211:T330)</f>
        <v>21112</v>
      </c>
      <c r="AB330" s="38">
        <f>SUM(U$211:U330)</f>
        <v>10404</v>
      </c>
      <c r="AC330" s="38">
        <f>SUM(V$211:V330)</f>
        <v>720</v>
      </c>
      <c r="AD330" s="38">
        <f t="shared" si="107"/>
        <v>1881029</v>
      </c>
    </row>
    <row r="331" spans="1:30" x14ac:dyDescent="0.25">
      <c r="A331" s="86" t="s">
        <v>254</v>
      </c>
      <c r="B331" s="14">
        <f t="shared" si="101"/>
        <v>121</v>
      </c>
      <c r="C331" s="14">
        <f t="shared" ref="C331:F350" si="125">MAX(1,ROUND(C128*INDEX($O$1:$U$4,MATCH($A331,$O$1:$O$4,0),MATCH(C$210,$O$1:$U$1,0)),0))</f>
        <v>143</v>
      </c>
      <c r="D331" s="14">
        <f t="shared" si="125"/>
        <v>71</v>
      </c>
      <c r="E331" s="14">
        <f t="shared" si="125"/>
        <v>35</v>
      </c>
      <c r="F331" s="14">
        <f t="shared" si="125"/>
        <v>1905</v>
      </c>
      <c r="G331" s="74">
        <f t="shared" si="102"/>
        <v>2454</v>
      </c>
      <c r="H331" s="14">
        <f t="shared" si="116"/>
        <v>35250</v>
      </c>
      <c r="I331" s="14"/>
      <c r="J331" s="14">
        <f t="shared" ref="J331:K350" si="126">MAX(1,ROUND(J128*INDEX($O$1:$U$4,MATCH($A331,$O$1:$O$4,0),MATCH(J$210,$O$1:$U$1,0)),0))</f>
        <v>70200</v>
      </c>
      <c r="K331" s="14">
        <f t="shared" si="126"/>
        <v>6</v>
      </c>
      <c r="L331" s="14">
        <v>1</v>
      </c>
      <c r="M331" s="14">
        <f t="shared" si="124"/>
        <v>714</v>
      </c>
      <c r="N331" s="14">
        <f t="shared" si="124"/>
        <v>357</v>
      </c>
      <c r="O331" s="14">
        <f t="shared" si="124"/>
        <v>174</v>
      </c>
      <c r="P331" s="14">
        <f t="shared" si="121"/>
        <v>300</v>
      </c>
      <c r="Q331" s="38">
        <f t="shared" si="122"/>
        <v>300</v>
      </c>
      <c r="R331" s="38">
        <f t="shared" si="103"/>
        <v>105450</v>
      </c>
      <c r="S331" s="38">
        <f t="shared" si="104"/>
        <v>714</v>
      </c>
      <c r="T331" s="38">
        <f t="shared" si="105"/>
        <v>357</v>
      </c>
      <c r="U331" s="38"/>
      <c r="V331" s="38">
        <f t="shared" si="123"/>
        <v>6</v>
      </c>
      <c r="W331" s="38">
        <f t="shared" si="106"/>
        <v>23925</v>
      </c>
      <c r="X331" s="38">
        <f>SUM(Q$211:Q331)</f>
        <v>34050</v>
      </c>
      <c r="Y331" s="38">
        <f>SUM(R$211:R331)</f>
        <v>6240450</v>
      </c>
      <c r="Z331" s="38">
        <f>SUM(S$211:S331)</f>
        <v>42933</v>
      </c>
      <c r="AA331" s="38">
        <f>SUM(T$211:T331)</f>
        <v>21469</v>
      </c>
      <c r="AB331" s="38">
        <f>SUM(U$211:U331)</f>
        <v>10404</v>
      </c>
      <c r="AC331" s="38">
        <f>SUM(V$211:V331)</f>
        <v>726</v>
      </c>
      <c r="AD331" s="38">
        <f t="shared" si="107"/>
        <v>1904954</v>
      </c>
    </row>
    <row r="332" spans="1:30" x14ac:dyDescent="0.25">
      <c r="A332" s="86" t="s">
        <v>254</v>
      </c>
      <c r="B332" s="14">
        <f t="shared" si="101"/>
        <v>122</v>
      </c>
      <c r="C332" s="14">
        <f t="shared" si="125"/>
        <v>144</v>
      </c>
      <c r="D332" s="14">
        <f t="shared" si="125"/>
        <v>72</v>
      </c>
      <c r="E332" s="14">
        <f t="shared" si="125"/>
        <v>35</v>
      </c>
      <c r="F332" s="14">
        <f t="shared" si="125"/>
        <v>1905</v>
      </c>
      <c r="G332" s="74">
        <f t="shared" si="102"/>
        <v>2460</v>
      </c>
      <c r="H332" s="14">
        <f t="shared" si="116"/>
        <v>35550</v>
      </c>
      <c r="I332" s="14"/>
      <c r="J332" s="14">
        <f t="shared" si="126"/>
        <v>70800</v>
      </c>
      <c r="K332" s="14">
        <f t="shared" si="126"/>
        <v>6</v>
      </c>
      <c r="L332" s="14">
        <v>1</v>
      </c>
      <c r="M332" s="14">
        <f t="shared" si="124"/>
        <v>720</v>
      </c>
      <c r="N332" s="14">
        <f t="shared" si="124"/>
        <v>360</v>
      </c>
      <c r="O332" s="14">
        <f t="shared" si="124"/>
        <v>176</v>
      </c>
      <c r="P332" s="14">
        <f t="shared" si="121"/>
        <v>300</v>
      </c>
      <c r="Q332" s="38">
        <f t="shared" si="122"/>
        <v>300</v>
      </c>
      <c r="R332" s="38">
        <f t="shared" si="103"/>
        <v>106350</v>
      </c>
      <c r="S332" s="38">
        <f t="shared" si="104"/>
        <v>720</v>
      </c>
      <c r="T332" s="38">
        <f t="shared" si="105"/>
        <v>360</v>
      </c>
      <c r="U332" s="38"/>
      <c r="V332" s="38">
        <f t="shared" si="123"/>
        <v>6</v>
      </c>
      <c r="W332" s="38">
        <f t="shared" si="106"/>
        <v>24126</v>
      </c>
      <c r="X332" s="38">
        <f>SUM(Q$211:Q332)</f>
        <v>34350</v>
      </c>
      <c r="Y332" s="38">
        <f>SUM(R$211:R332)</f>
        <v>6346800</v>
      </c>
      <c r="Z332" s="38">
        <f>SUM(S$211:S332)</f>
        <v>43653</v>
      </c>
      <c r="AA332" s="38">
        <f>SUM(T$211:T332)</f>
        <v>21829</v>
      </c>
      <c r="AB332" s="38">
        <f>SUM(U$211:U332)</f>
        <v>10404</v>
      </c>
      <c r="AC332" s="38">
        <f>SUM(V$211:V332)</f>
        <v>732</v>
      </c>
      <c r="AD332" s="38">
        <f t="shared" si="107"/>
        <v>1929080</v>
      </c>
    </row>
    <row r="333" spans="1:30" x14ac:dyDescent="0.25">
      <c r="A333" s="86" t="s">
        <v>254</v>
      </c>
      <c r="B333" s="14">
        <f t="shared" si="101"/>
        <v>123</v>
      </c>
      <c r="C333" s="14">
        <f t="shared" si="125"/>
        <v>146</v>
      </c>
      <c r="D333" s="14">
        <f t="shared" si="125"/>
        <v>72</v>
      </c>
      <c r="E333" s="14">
        <f t="shared" si="125"/>
        <v>36</v>
      </c>
      <c r="F333" s="14">
        <f t="shared" si="125"/>
        <v>1935</v>
      </c>
      <c r="G333" s="74">
        <f t="shared" si="102"/>
        <v>2513</v>
      </c>
      <c r="H333" s="14">
        <f t="shared" si="116"/>
        <v>35850</v>
      </c>
      <c r="I333" s="14"/>
      <c r="J333" s="14">
        <f t="shared" si="126"/>
        <v>71400</v>
      </c>
      <c r="K333" s="14">
        <f t="shared" si="126"/>
        <v>6</v>
      </c>
      <c r="L333" s="14">
        <v>1</v>
      </c>
      <c r="M333" s="14">
        <f t="shared" si="124"/>
        <v>726</v>
      </c>
      <c r="N333" s="14">
        <f t="shared" si="124"/>
        <v>363</v>
      </c>
      <c r="O333" s="14">
        <f t="shared" si="124"/>
        <v>177</v>
      </c>
      <c r="P333" s="14">
        <f t="shared" si="121"/>
        <v>300</v>
      </c>
      <c r="Q333" s="38">
        <f t="shared" si="122"/>
        <v>300</v>
      </c>
      <c r="R333" s="38">
        <f t="shared" si="103"/>
        <v>107250</v>
      </c>
      <c r="S333" s="38">
        <f t="shared" si="104"/>
        <v>726</v>
      </c>
      <c r="T333" s="38">
        <f t="shared" si="105"/>
        <v>363</v>
      </c>
      <c r="U333" s="38">
        <f t="shared" ref="U333:U360" si="127">E333+O333</f>
        <v>213</v>
      </c>
      <c r="V333" s="38">
        <f t="shared" si="123"/>
        <v>6</v>
      </c>
      <c r="W333" s="38">
        <f t="shared" si="106"/>
        <v>33912</v>
      </c>
      <c r="X333" s="38">
        <f>SUM(Q$211:Q333)</f>
        <v>34650</v>
      </c>
      <c r="Y333" s="38">
        <f>SUM(R$211:R333)</f>
        <v>6454050</v>
      </c>
      <c r="Z333" s="38">
        <f>SUM(S$211:S333)</f>
        <v>44379</v>
      </c>
      <c r="AA333" s="38">
        <f>SUM(T$211:T333)</f>
        <v>22192</v>
      </c>
      <c r="AB333" s="38">
        <f>SUM(U$211:U333)</f>
        <v>10617</v>
      </c>
      <c r="AC333" s="38">
        <f>SUM(V$211:V333)</f>
        <v>738</v>
      </c>
      <c r="AD333" s="38">
        <f t="shared" si="107"/>
        <v>1962992</v>
      </c>
    </row>
    <row r="334" spans="1:30" x14ac:dyDescent="0.25">
      <c r="A334" s="86" t="s">
        <v>254</v>
      </c>
      <c r="B334" s="14">
        <f t="shared" si="101"/>
        <v>124</v>
      </c>
      <c r="C334" s="14">
        <f t="shared" si="125"/>
        <v>147</v>
      </c>
      <c r="D334" s="14">
        <f t="shared" si="125"/>
        <v>74</v>
      </c>
      <c r="E334" s="14">
        <f t="shared" si="125"/>
        <v>36</v>
      </c>
      <c r="F334" s="14">
        <f t="shared" si="125"/>
        <v>1935</v>
      </c>
      <c r="G334" s="74">
        <f t="shared" si="102"/>
        <v>2524</v>
      </c>
      <c r="H334" s="14">
        <f t="shared" si="116"/>
        <v>36150</v>
      </c>
      <c r="I334" s="14"/>
      <c r="J334" s="14">
        <f t="shared" si="126"/>
        <v>72000</v>
      </c>
      <c r="K334" s="14">
        <f t="shared" si="126"/>
        <v>6</v>
      </c>
      <c r="L334" s="14">
        <v>1</v>
      </c>
      <c r="M334" s="14">
        <f t="shared" si="124"/>
        <v>732</v>
      </c>
      <c r="N334" s="14">
        <f t="shared" si="124"/>
        <v>366</v>
      </c>
      <c r="O334" s="14">
        <f t="shared" si="124"/>
        <v>179</v>
      </c>
      <c r="P334" s="14">
        <f t="shared" si="121"/>
        <v>300</v>
      </c>
      <c r="Q334" s="42">
        <f t="shared" si="122"/>
        <v>300</v>
      </c>
      <c r="R334" s="38">
        <f t="shared" si="103"/>
        <v>108150</v>
      </c>
      <c r="S334" s="38">
        <f t="shared" si="104"/>
        <v>732</v>
      </c>
      <c r="T334" s="38">
        <f t="shared" si="105"/>
        <v>366</v>
      </c>
      <c r="U334" s="42">
        <f t="shared" si="127"/>
        <v>215</v>
      </c>
      <c r="V334" s="42">
        <f t="shared" si="123"/>
        <v>6</v>
      </c>
      <c r="W334" s="38">
        <f t="shared" si="106"/>
        <v>34203</v>
      </c>
      <c r="X334" s="38">
        <f>SUM(Q$211:Q334)</f>
        <v>34950</v>
      </c>
      <c r="Y334" s="38">
        <f>SUM(R$211:R334)</f>
        <v>6562200</v>
      </c>
      <c r="Z334" s="38">
        <f>SUM(S$211:S334)</f>
        <v>45111</v>
      </c>
      <c r="AA334" s="38">
        <f>SUM(T$211:T334)</f>
        <v>22558</v>
      </c>
      <c r="AB334" s="38">
        <f>SUM(U$211:U334)</f>
        <v>10832</v>
      </c>
      <c r="AC334" s="38">
        <f>SUM(V$211:V334)</f>
        <v>744</v>
      </c>
      <c r="AD334" s="38">
        <f t="shared" si="107"/>
        <v>1997195</v>
      </c>
    </row>
    <row r="335" spans="1:30" x14ac:dyDescent="0.25">
      <c r="A335" s="86" t="s">
        <v>254</v>
      </c>
      <c r="B335" s="14">
        <f t="shared" si="101"/>
        <v>125</v>
      </c>
      <c r="C335" s="14">
        <f t="shared" si="125"/>
        <v>147</v>
      </c>
      <c r="D335" s="14">
        <f t="shared" si="125"/>
        <v>74</v>
      </c>
      <c r="E335" s="14">
        <f t="shared" si="125"/>
        <v>36</v>
      </c>
      <c r="F335" s="14">
        <f t="shared" si="125"/>
        <v>1965</v>
      </c>
      <c r="G335" s="74">
        <f t="shared" si="102"/>
        <v>2530</v>
      </c>
      <c r="H335" s="14">
        <f t="shared" si="116"/>
        <v>36450</v>
      </c>
      <c r="I335" s="14"/>
      <c r="J335" s="14">
        <f t="shared" si="126"/>
        <v>72600</v>
      </c>
      <c r="K335" s="14">
        <f t="shared" si="126"/>
        <v>6</v>
      </c>
      <c r="L335" s="14">
        <v>1</v>
      </c>
      <c r="M335" s="14">
        <f t="shared" si="124"/>
        <v>738</v>
      </c>
      <c r="N335" s="14">
        <f t="shared" si="124"/>
        <v>369</v>
      </c>
      <c r="O335" s="14">
        <f t="shared" si="124"/>
        <v>180</v>
      </c>
      <c r="P335" s="14">
        <f t="shared" si="121"/>
        <v>300</v>
      </c>
      <c r="Q335" s="38">
        <f t="shared" si="122"/>
        <v>300</v>
      </c>
      <c r="R335" s="38">
        <f t="shared" si="103"/>
        <v>109050</v>
      </c>
      <c r="S335" s="38">
        <f t="shared" si="104"/>
        <v>738</v>
      </c>
      <c r="T335" s="38">
        <f t="shared" si="105"/>
        <v>369</v>
      </c>
      <c r="U335" s="38">
        <f t="shared" si="127"/>
        <v>216</v>
      </c>
      <c r="V335" s="38">
        <f t="shared" si="123"/>
        <v>6</v>
      </c>
      <c r="W335" s="38">
        <f t="shared" si="106"/>
        <v>34449</v>
      </c>
      <c r="X335" s="38">
        <f>SUM(Q$211:Q335)</f>
        <v>35250</v>
      </c>
      <c r="Y335" s="38">
        <f>SUM(R$211:R335)</f>
        <v>6671250</v>
      </c>
      <c r="Z335" s="38">
        <f>SUM(S$211:S335)</f>
        <v>45849</v>
      </c>
      <c r="AA335" s="38">
        <f>SUM(T$211:T335)</f>
        <v>22927</v>
      </c>
      <c r="AB335" s="38">
        <f>SUM(U$211:U335)</f>
        <v>11048</v>
      </c>
      <c r="AC335" s="38">
        <f>SUM(V$211:V335)</f>
        <v>750</v>
      </c>
      <c r="AD335" s="38">
        <f t="shared" si="107"/>
        <v>2031644</v>
      </c>
    </row>
    <row r="336" spans="1:30" x14ac:dyDescent="0.25">
      <c r="A336" s="86" t="s">
        <v>254</v>
      </c>
      <c r="B336" s="14">
        <f t="shared" si="101"/>
        <v>126</v>
      </c>
      <c r="C336" s="14">
        <f t="shared" si="125"/>
        <v>149</v>
      </c>
      <c r="D336" s="14">
        <f t="shared" si="125"/>
        <v>74</v>
      </c>
      <c r="E336" s="14">
        <f t="shared" si="125"/>
        <v>36</v>
      </c>
      <c r="F336" s="14">
        <f t="shared" si="125"/>
        <v>1965</v>
      </c>
      <c r="G336" s="74">
        <f t="shared" si="102"/>
        <v>2532</v>
      </c>
      <c r="H336" s="14">
        <f t="shared" si="116"/>
        <v>36750</v>
      </c>
      <c r="I336" s="14"/>
      <c r="J336" s="14">
        <f t="shared" si="126"/>
        <v>73200</v>
      </c>
      <c r="K336" s="14">
        <f t="shared" si="126"/>
        <v>6</v>
      </c>
      <c r="L336" s="14">
        <v>1</v>
      </c>
      <c r="M336" s="14">
        <f t="shared" si="124"/>
        <v>744</v>
      </c>
      <c r="N336" s="14">
        <f t="shared" si="124"/>
        <v>372</v>
      </c>
      <c r="O336" s="14">
        <f t="shared" si="124"/>
        <v>182</v>
      </c>
      <c r="P336" s="14">
        <f t="shared" si="121"/>
        <v>300</v>
      </c>
      <c r="Q336" s="38">
        <f t="shared" si="122"/>
        <v>300</v>
      </c>
      <c r="R336" s="38">
        <f t="shared" si="103"/>
        <v>109950</v>
      </c>
      <c r="S336" s="38">
        <f t="shared" si="104"/>
        <v>744</v>
      </c>
      <c r="T336" s="38">
        <f t="shared" si="105"/>
        <v>372</v>
      </c>
      <c r="U336" s="38">
        <f t="shared" si="127"/>
        <v>218</v>
      </c>
      <c r="V336" s="38">
        <f t="shared" si="123"/>
        <v>6</v>
      </c>
      <c r="W336" s="38">
        <f t="shared" si="106"/>
        <v>34740</v>
      </c>
      <c r="X336" s="38">
        <f>SUM(Q$211:Q336)</f>
        <v>35550</v>
      </c>
      <c r="Y336" s="38">
        <f>SUM(R$211:R336)</f>
        <v>6781200</v>
      </c>
      <c r="Z336" s="38">
        <f>SUM(S$211:S336)</f>
        <v>46593</v>
      </c>
      <c r="AA336" s="38">
        <f>SUM(T$211:T336)</f>
        <v>23299</v>
      </c>
      <c r="AB336" s="38">
        <f>SUM(U$211:U336)</f>
        <v>11266</v>
      </c>
      <c r="AC336" s="38">
        <f>SUM(V$211:V336)</f>
        <v>756</v>
      </c>
      <c r="AD336" s="38">
        <f t="shared" si="107"/>
        <v>2066384</v>
      </c>
    </row>
    <row r="337" spans="1:30" x14ac:dyDescent="0.25">
      <c r="A337" s="86" t="s">
        <v>254</v>
      </c>
      <c r="B337" s="14">
        <f t="shared" si="101"/>
        <v>127</v>
      </c>
      <c r="C337" s="14">
        <f t="shared" si="125"/>
        <v>150</v>
      </c>
      <c r="D337" s="14">
        <f t="shared" si="125"/>
        <v>75</v>
      </c>
      <c r="E337" s="14">
        <f t="shared" si="125"/>
        <v>36</v>
      </c>
      <c r="F337" s="14">
        <f t="shared" si="125"/>
        <v>1995</v>
      </c>
      <c r="G337" s="74">
        <f t="shared" si="102"/>
        <v>2544</v>
      </c>
      <c r="H337" s="14">
        <f t="shared" si="116"/>
        <v>37050</v>
      </c>
      <c r="I337" s="14"/>
      <c r="J337" s="14">
        <f t="shared" si="126"/>
        <v>73800</v>
      </c>
      <c r="K337" s="14">
        <f t="shared" si="126"/>
        <v>6</v>
      </c>
      <c r="L337" s="14">
        <v>1</v>
      </c>
      <c r="M337" s="14">
        <f t="shared" si="124"/>
        <v>750</v>
      </c>
      <c r="N337" s="14">
        <f t="shared" si="124"/>
        <v>375</v>
      </c>
      <c r="O337" s="14">
        <f t="shared" si="124"/>
        <v>183</v>
      </c>
      <c r="P337" s="14">
        <f t="shared" si="121"/>
        <v>300</v>
      </c>
      <c r="Q337" s="38">
        <f t="shared" si="122"/>
        <v>300</v>
      </c>
      <c r="R337" s="38">
        <f t="shared" si="103"/>
        <v>110850</v>
      </c>
      <c r="S337" s="38">
        <f t="shared" si="104"/>
        <v>750</v>
      </c>
      <c r="T337" s="38">
        <f t="shared" si="105"/>
        <v>375</v>
      </c>
      <c r="U337" s="38">
        <f t="shared" si="127"/>
        <v>219</v>
      </c>
      <c r="V337" s="38">
        <f t="shared" si="123"/>
        <v>6</v>
      </c>
      <c r="W337" s="38">
        <f t="shared" si="106"/>
        <v>34986</v>
      </c>
      <c r="X337" s="38">
        <f>SUM(Q$211:Q337)</f>
        <v>35850</v>
      </c>
      <c r="Y337" s="38">
        <f>SUM(R$211:R337)</f>
        <v>6892050</v>
      </c>
      <c r="Z337" s="38">
        <f>SUM(S$211:S337)</f>
        <v>47343</v>
      </c>
      <c r="AA337" s="38">
        <f>SUM(T$211:T337)</f>
        <v>23674</v>
      </c>
      <c r="AB337" s="38">
        <f>SUM(U$211:U337)</f>
        <v>11485</v>
      </c>
      <c r="AC337" s="38">
        <f>SUM(V$211:V337)</f>
        <v>762</v>
      </c>
      <c r="AD337" s="38">
        <f t="shared" si="107"/>
        <v>2101370</v>
      </c>
    </row>
    <row r="338" spans="1:30" x14ac:dyDescent="0.25">
      <c r="A338" s="86" t="s">
        <v>254</v>
      </c>
      <c r="B338" s="14">
        <f t="shared" si="101"/>
        <v>128</v>
      </c>
      <c r="C338" s="14">
        <f t="shared" si="125"/>
        <v>152</v>
      </c>
      <c r="D338" s="14">
        <f t="shared" si="125"/>
        <v>75</v>
      </c>
      <c r="E338" s="14">
        <f t="shared" si="125"/>
        <v>38</v>
      </c>
      <c r="F338" s="14">
        <f t="shared" si="125"/>
        <v>1995</v>
      </c>
      <c r="G338" s="74">
        <f t="shared" si="102"/>
        <v>2636</v>
      </c>
      <c r="H338" s="14">
        <f t="shared" si="116"/>
        <v>37350</v>
      </c>
      <c r="I338" s="14"/>
      <c r="J338" s="14">
        <f t="shared" si="126"/>
        <v>74400</v>
      </c>
      <c r="K338" s="14">
        <f t="shared" si="126"/>
        <v>6</v>
      </c>
      <c r="L338" s="14">
        <v>1</v>
      </c>
      <c r="M338" s="14">
        <f t="shared" si="124"/>
        <v>756</v>
      </c>
      <c r="N338" s="14">
        <f t="shared" si="124"/>
        <v>378</v>
      </c>
      <c r="O338" s="14">
        <f t="shared" si="124"/>
        <v>185</v>
      </c>
      <c r="P338" s="14">
        <f t="shared" si="121"/>
        <v>300</v>
      </c>
      <c r="Q338" s="38">
        <f t="shared" si="122"/>
        <v>300</v>
      </c>
      <c r="R338" s="38">
        <f t="shared" si="103"/>
        <v>111750</v>
      </c>
      <c r="S338" s="38">
        <f t="shared" si="104"/>
        <v>756</v>
      </c>
      <c r="T338" s="38">
        <f t="shared" si="105"/>
        <v>378</v>
      </c>
      <c r="U338" s="38">
        <f t="shared" si="127"/>
        <v>223</v>
      </c>
      <c r="V338" s="38">
        <f t="shared" si="123"/>
        <v>6</v>
      </c>
      <c r="W338" s="38">
        <f t="shared" si="106"/>
        <v>35367</v>
      </c>
      <c r="X338" s="38">
        <f>SUM(Q$211:Q338)</f>
        <v>36150</v>
      </c>
      <c r="Y338" s="38">
        <f>SUM(R$211:R338)</f>
        <v>7003800</v>
      </c>
      <c r="Z338" s="38">
        <f>SUM(S$211:S338)</f>
        <v>48099</v>
      </c>
      <c r="AA338" s="38">
        <f>SUM(T$211:T338)</f>
        <v>24052</v>
      </c>
      <c r="AB338" s="38">
        <f>SUM(U$211:U338)</f>
        <v>11708</v>
      </c>
      <c r="AC338" s="38">
        <f>SUM(V$211:V338)</f>
        <v>768</v>
      </c>
      <c r="AD338" s="38">
        <f t="shared" si="107"/>
        <v>2136737</v>
      </c>
    </row>
    <row r="339" spans="1:30" x14ac:dyDescent="0.25">
      <c r="A339" s="86" t="s">
        <v>254</v>
      </c>
      <c r="B339" s="14">
        <f t="shared" si="101"/>
        <v>129</v>
      </c>
      <c r="C339" s="14">
        <f t="shared" si="125"/>
        <v>153</v>
      </c>
      <c r="D339" s="14">
        <f t="shared" si="125"/>
        <v>77</v>
      </c>
      <c r="E339" s="14">
        <f t="shared" si="125"/>
        <v>38</v>
      </c>
      <c r="F339" s="14">
        <f t="shared" si="125"/>
        <v>2025</v>
      </c>
      <c r="G339" s="74">
        <f t="shared" si="102"/>
        <v>2653</v>
      </c>
      <c r="H339" s="14">
        <f t="shared" ref="H339:H370" si="128">MAX(1,ROUND(H136*INDEX($O$1:$U$4,MATCH($A339,$O$1:$O$4,0),MATCH(H$210,$O$1:$U$1,0)),0))</f>
        <v>37650</v>
      </c>
      <c r="I339" s="14"/>
      <c r="J339" s="14">
        <f t="shared" si="126"/>
        <v>75000</v>
      </c>
      <c r="K339" s="14">
        <f t="shared" si="126"/>
        <v>6</v>
      </c>
      <c r="L339" s="14">
        <v>1</v>
      </c>
      <c r="M339" s="14">
        <f t="shared" si="124"/>
        <v>762</v>
      </c>
      <c r="N339" s="14">
        <f t="shared" si="124"/>
        <v>381</v>
      </c>
      <c r="O339" s="14">
        <f t="shared" si="124"/>
        <v>186</v>
      </c>
      <c r="P339" s="14">
        <f t="shared" si="121"/>
        <v>300</v>
      </c>
      <c r="Q339" s="38">
        <f t="shared" si="122"/>
        <v>300</v>
      </c>
      <c r="R339" s="38">
        <f t="shared" si="103"/>
        <v>112650</v>
      </c>
      <c r="S339" s="38">
        <f t="shared" si="104"/>
        <v>762</v>
      </c>
      <c r="T339" s="38">
        <f t="shared" si="105"/>
        <v>381</v>
      </c>
      <c r="U339" s="38">
        <f t="shared" si="127"/>
        <v>224</v>
      </c>
      <c r="V339" s="38">
        <f t="shared" si="123"/>
        <v>6</v>
      </c>
      <c r="W339" s="38">
        <f t="shared" si="106"/>
        <v>35613</v>
      </c>
      <c r="X339" s="38">
        <f>SUM(Q$211:Q339)</f>
        <v>36450</v>
      </c>
      <c r="Y339" s="38">
        <f>SUM(R$211:R339)</f>
        <v>7116450</v>
      </c>
      <c r="Z339" s="38">
        <f>SUM(S$211:S339)</f>
        <v>48861</v>
      </c>
      <c r="AA339" s="38">
        <f>SUM(T$211:T339)</f>
        <v>24433</v>
      </c>
      <c r="AB339" s="38">
        <f>SUM(U$211:U339)</f>
        <v>11932</v>
      </c>
      <c r="AC339" s="38">
        <f>SUM(V$211:V339)</f>
        <v>774</v>
      </c>
      <c r="AD339" s="38">
        <f t="shared" si="107"/>
        <v>2172350</v>
      </c>
    </row>
    <row r="340" spans="1:30" x14ac:dyDescent="0.25">
      <c r="A340" s="86" t="s">
        <v>254</v>
      </c>
      <c r="B340" s="14">
        <f t="shared" ref="B340:B403" si="129">B137</f>
        <v>130</v>
      </c>
      <c r="C340" s="14">
        <f t="shared" si="125"/>
        <v>153</v>
      </c>
      <c r="D340" s="14">
        <f t="shared" si="125"/>
        <v>77</v>
      </c>
      <c r="E340" s="14">
        <f t="shared" si="125"/>
        <v>38</v>
      </c>
      <c r="F340" s="14">
        <f t="shared" si="125"/>
        <v>2025</v>
      </c>
      <c r="G340" s="74">
        <f t="shared" ref="G340:G403" si="130">SUMPRODUCT($C$6:$F$6,C340:F340)</f>
        <v>2653</v>
      </c>
      <c r="H340" s="14">
        <f t="shared" si="128"/>
        <v>37950</v>
      </c>
      <c r="I340" s="14"/>
      <c r="J340" s="14">
        <f t="shared" si="126"/>
        <v>75600</v>
      </c>
      <c r="K340" s="14">
        <f t="shared" si="126"/>
        <v>6</v>
      </c>
      <c r="L340" s="14">
        <v>1</v>
      </c>
      <c r="M340" s="14">
        <f t="shared" si="124"/>
        <v>768</v>
      </c>
      <c r="N340" s="14">
        <f t="shared" si="124"/>
        <v>384</v>
      </c>
      <c r="O340" s="14">
        <f t="shared" si="124"/>
        <v>188</v>
      </c>
      <c r="P340" s="14">
        <f t="shared" si="121"/>
        <v>300</v>
      </c>
      <c r="Q340" s="38">
        <f t="shared" si="122"/>
        <v>300</v>
      </c>
      <c r="R340" s="38">
        <f t="shared" ref="R340:R403" si="131">H340+J340</f>
        <v>113550</v>
      </c>
      <c r="S340" s="38">
        <f t="shared" ref="S340:S403" si="132">M340</f>
        <v>768</v>
      </c>
      <c r="T340" s="38">
        <f t="shared" ref="T340:T403" si="133">N340</f>
        <v>384</v>
      </c>
      <c r="U340" s="38">
        <f t="shared" si="127"/>
        <v>226</v>
      </c>
      <c r="V340" s="38">
        <f t="shared" si="123"/>
        <v>6</v>
      </c>
      <c r="W340" s="38">
        <f t="shared" ref="W340:W403" si="134">SUMPRODUCT($Q$6:$V$6,Q340:V340)</f>
        <v>35904</v>
      </c>
      <c r="X340" s="38">
        <f>SUM(Q$211:Q340)</f>
        <v>36750</v>
      </c>
      <c r="Y340" s="38">
        <f>SUM(R$211:R340)</f>
        <v>7230000</v>
      </c>
      <c r="Z340" s="38">
        <f>SUM(S$211:S340)</f>
        <v>49629</v>
      </c>
      <c r="AA340" s="38">
        <f>SUM(T$211:T340)</f>
        <v>24817</v>
      </c>
      <c r="AB340" s="38">
        <f>SUM(U$211:U340)</f>
        <v>12158</v>
      </c>
      <c r="AC340" s="38">
        <f>SUM(V$211:V340)</f>
        <v>780</v>
      </c>
      <c r="AD340" s="38">
        <f t="shared" ref="AD340:AD403" si="135">SUMPRODUCT($X$6:$AC$6,X340:AC340)</f>
        <v>2208254</v>
      </c>
    </row>
    <row r="341" spans="1:30" x14ac:dyDescent="0.25">
      <c r="A341" s="86" t="s">
        <v>254</v>
      </c>
      <c r="B341" s="14">
        <f t="shared" si="129"/>
        <v>131</v>
      </c>
      <c r="C341" s="14">
        <f t="shared" si="125"/>
        <v>155</v>
      </c>
      <c r="D341" s="14">
        <f t="shared" si="125"/>
        <v>77</v>
      </c>
      <c r="E341" s="14">
        <f t="shared" si="125"/>
        <v>38</v>
      </c>
      <c r="F341" s="14">
        <f t="shared" si="125"/>
        <v>2055</v>
      </c>
      <c r="G341" s="74">
        <f t="shared" si="130"/>
        <v>2661</v>
      </c>
      <c r="H341" s="14">
        <f t="shared" si="128"/>
        <v>38250</v>
      </c>
      <c r="I341" s="14"/>
      <c r="J341" s="14">
        <f t="shared" si="126"/>
        <v>76200</v>
      </c>
      <c r="K341" s="14">
        <f t="shared" si="126"/>
        <v>6</v>
      </c>
      <c r="L341" s="14">
        <v>1</v>
      </c>
      <c r="M341" s="14">
        <f t="shared" si="124"/>
        <v>774</v>
      </c>
      <c r="N341" s="14">
        <f t="shared" si="124"/>
        <v>387</v>
      </c>
      <c r="O341" s="14">
        <f t="shared" si="124"/>
        <v>189</v>
      </c>
      <c r="P341" s="14">
        <f t="shared" si="121"/>
        <v>300</v>
      </c>
      <c r="Q341" s="38">
        <f t="shared" si="122"/>
        <v>300</v>
      </c>
      <c r="R341" s="38">
        <f t="shared" si="131"/>
        <v>114450</v>
      </c>
      <c r="S341" s="38">
        <f t="shared" si="132"/>
        <v>774</v>
      </c>
      <c r="T341" s="38">
        <f t="shared" si="133"/>
        <v>387</v>
      </c>
      <c r="U341" s="38">
        <f t="shared" si="127"/>
        <v>227</v>
      </c>
      <c r="V341" s="38">
        <f t="shared" si="123"/>
        <v>6</v>
      </c>
      <c r="W341" s="38">
        <f t="shared" si="134"/>
        <v>36150</v>
      </c>
      <c r="X341" s="38">
        <f>SUM(Q$211:Q341)</f>
        <v>37050</v>
      </c>
      <c r="Y341" s="38">
        <f>SUM(R$211:R341)</f>
        <v>7344450</v>
      </c>
      <c r="Z341" s="38">
        <f>SUM(S$211:S341)</f>
        <v>50403</v>
      </c>
      <c r="AA341" s="38">
        <f>SUM(T$211:T341)</f>
        <v>25204</v>
      </c>
      <c r="AB341" s="38">
        <f>SUM(U$211:U341)</f>
        <v>12385</v>
      </c>
      <c r="AC341" s="38">
        <f>SUM(V$211:V341)</f>
        <v>786</v>
      </c>
      <c r="AD341" s="38">
        <f t="shared" si="135"/>
        <v>2244404</v>
      </c>
    </row>
    <row r="342" spans="1:30" x14ac:dyDescent="0.25">
      <c r="A342" s="86" t="s">
        <v>254</v>
      </c>
      <c r="B342" s="14">
        <f t="shared" si="129"/>
        <v>132</v>
      </c>
      <c r="C342" s="14">
        <f t="shared" si="125"/>
        <v>156</v>
      </c>
      <c r="D342" s="14">
        <f t="shared" si="125"/>
        <v>78</v>
      </c>
      <c r="E342" s="14">
        <f t="shared" si="125"/>
        <v>38</v>
      </c>
      <c r="F342" s="14">
        <f t="shared" si="125"/>
        <v>2055</v>
      </c>
      <c r="G342" s="74">
        <f t="shared" si="130"/>
        <v>2667</v>
      </c>
      <c r="H342" s="14">
        <f t="shared" si="128"/>
        <v>38550</v>
      </c>
      <c r="I342" s="14"/>
      <c r="J342" s="14">
        <f t="shared" si="126"/>
        <v>76800</v>
      </c>
      <c r="K342" s="14">
        <f t="shared" si="126"/>
        <v>6</v>
      </c>
      <c r="L342" s="14">
        <v>1</v>
      </c>
      <c r="M342" s="14">
        <f t="shared" si="124"/>
        <v>780</v>
      </c>
      <c r="N342" s="14">
        <f t="shared" si="124"/>
        <v>390</v>
      </c>
      <c r="O342" s="14">
        <f t="shared" si="124"/>
        <v>191</v>
      </c>
      <c r="P342" s="14">
        <f t="shared" si="121"/>
        <v>300</v>
      </c>
      <c r="Q342" s="38">
        <f t="shared" si="122"/>
        <v>300</v>
      </c>
      <c r="R342" s="38">
        <f t="shared" si="131"/>
        <v>115350</v>
      </c>
      <c r="S342" s="38">
        <f t="shared" si="132"/>
        <v>780</v>
      </c>
      <c r="T342" s="38">
        <f t="shared" si="133"/>
        <v>390</v>
      </c>
      <c r="U342" s="38">
        <f t="shared" si="127"/>
        <v>229</v>
      </c>
      <c r="V342" s="38">
        <f t="shared" si="123"/>
        <v>6</v>
      </c>
      <c r="W342" s="38">
        <f t="shared" si="134"/>
        <v>36441</v>
      </c>
      <c r="X342" s="38">
        <f>SUM(Q$211:Q342)</f>
        <v>37350</v>
      </c>
      <c r="Y342" s="38">
        <f>SUM(R$211:R342)</f>
        <v>7459800</v>
      </c>
      <c r="Z342" s="38">
        <f>SUM(S$211:S342)</f>
        <v>51183</v>
      </c>
      <c r="AA342" s="38">
        <f>SUM(T$211:T342)</f>
        <v>25594</v>
      </c>
      <c r="AB342" s="38">
        <f>SUM(U$211:U342)</f>
        <v>12614</v>
      </c>
      <c r="AC342" s="38">
        <f>SUM(V$211:V342)</f>
        <v>792</v>
      </c>
      <c r="AD342" s="38">
        <f t="shared" si="135"/>
        <v>2280845</v>
      </c>
    </row>
    <row r="343" spans="1:30" x14ac:dyDescent="0.25">
      <c r="A343" s="86" t="s">
        <v>254</v>
      </c>
      <c r="B343" s="14">
        <f t="shared" si="129"/>
        <v>133</v>
      </c>
      <c r="C343" s="14">
        <f t="shared" si="125"/>
        <v>158</v>
      </c>
      <c r="D343" s="14">
        <f t="shared" si="125"/>
        <v>78</v>
      </c>
      <c r="E343" s="14">
        <f t="shared" si="125"/>
        <v>39</v>
      </c>
      <c r="F343" s="14">
        <f t="shared" si="125"/>
        <v>2085</v>
      </c>
      <c r="G343" s="74">
        <f t="shared" si="130"/>
        <v>2720</v>
      </c>
      <c r="H343" s="14">
        <f t="shared" si="128"/>
        <v>38850</v>
      </c>
      <c r="I343" s="14"/>
      <c r="J343" s="14">
        <f t="shared" si="126"/>
        <v>77400</v>
      </c>
      <c r="K343" s="14">
        <f t="shared" si="126"/>
        <v>6</v>
      </c>
      <c r="L343" s="14">
        <v>1</v>
      </c>
      <c r="M343" s="14">
        <f t="shared" si="124"/>
        <v>786</v>
      </c>
      <c r="N343" s="14">
        <f t="shared" si="124"/>
        <v>393</v>
      </c>
      <c r="O343" s="14">
        <f t="shared" si="124"/>
        <v>192</v>
      </c>
      <c r="P343" s="14">
        <f t="shared" si="121"/>
        <v>300</v>
      </c>
      <c r="Q343" s="38">
        <f t="shared" si="122"/>
        <v>300</v>
      </c>
      <c r="R343" s="38">
        <f t="shared" si="131"/>
        <v>116250</v>
      </c>
      <c r="S343" s="38">
        <f t="shared" si="132"/>
        <v>786</v>
      </c>
      <c r="T343" s="38">
        <f t="shared" si="133"/>
        <v>393</v>
      </c>
      <c r="U343" s="38">
        <f t="shared" si="127"/>
        <v>231</v>
      </c>
      <c r="V343" s="38">
        <f t="shared" si="123"/>
        <v>6</v>
      </c>
      <c r="W343" s="38">
        <f t="shared" si="134"/>
        <v>36732</v>
      </c>
      <c r="X343" s="38">
        <f>SUM(Q$211:Q343)</f>
        <v>37650</v>
      </c>
      <c r="Y343" s="38">
        <f>SUM(R$211:R343)</f>
        <v>7576050</v>
      </c>
      <c r="Z343" s="38">
        <f>SUM(S$211:S343)</f>
        <v>51969</v>
      </c>
      <c r="AA343" s="38">
        <f>SUM(T$211:T343)</f>
        <v>25987</v>
      </c>
      <c r="AB343" s="38">
        <f>SUM(U$211:U343)</f>
        <v>12845</v>
      </c>
      <c r="AC343" s="38">
        <f>SUM(V$211:V343)</f>
        <v>798</v>
      </c>
      <c r="AD343" s="38">
        <f t="shared" si="135"/>
        <v>2317577</v>
      </c>
    </row>
    <row r="344" spans="1:30" x14ac:dyDescent="0.25">
      <c r="A344" s="86" t="s">
        <v>254</v>
      </c>
      <c r="B344" s="14">
        <f t="shared" si="129"/>
        <v>134</v>
      </c>
      <c r="C344" s="14">
        <f t="shared" si="125"/>
        <v>159</v>
      </c>
      <c r="D344" s="14">
        <f t="shared" si="125"/>
        <v>80</v>
      </c>
      <c r="E344" s="14">
        <f t="shared" si="125"/>
        <v>39</v>
      </c>
      <c r="F344" s="14">
        <f t="shared" si="125"/>
        <v>2085</v>
      </c>
      <c r="G344" s="74">
        <f t="shared" si="130"/>
        <v>2731</v>
      </c>
      <c r="H344" s="14">
        <f t="shared" si="128"/>
        <v>39150</v>
      </c>
      <c r="I344" s="14"/>
      <c r="J344" s="14">
        <f t="shared" si="126"/>
        <v>78000</v>
      </c>
      <c r="K344" s="14">
        <f t="shared" si="126"/>
        <v>6</v>
      </c>
      <c r="L344" s="14">
        <v>1</v>
      </c>
      <c r="M344" s="14">
        <f t="shared" si="124"/>
        <v>792</v>
      </c>
      <c r="N344" s="14">
        <f t="shared" si="124"/>
        <v>396</v>
      </c>
      <c r="O344" s="14">
        <f t="shared" si="124"/>
        <v>194</v>
      </c>
      <c r="P344" s="14">
        <f t="shared" si="121"/>
        <v>300</v>
      </c>
      <c r="Q344" s="38">
        <f t="shared" si="122"/>
        <v>300</v>
      </c>
      <c r="R344" s="38">
        <f t="shared" si="131"/>
        <v>117150</v>
      </c>
      <c r="S344" s="38">
        <f t="shared" si="132"/>
        <v>792</v>
      </c>
      <c r="T344" s="38">
        <f t="shared" si="133"/>
        <v>396</v>
      </c>
      <c r="U344" s="38">
        <f t="shared" si="127"/>
        <v>233</v>
      </c>
      <c r="V344" s="38">
        <f t="shared" si="123"/>
        <v>6</v>
      </c>
      <c r="W344" s="38">
        <f t="shared" si="134"/>
        <v>37023</v>
      </c>
      <c r="X344" s="38">
        <f>SUM(Q$211:Q344)</f>
        <v>37950</v>
      </c>
      <c r="Y344" s="38">
        <f>SUM(R$211:R344)</f>
        <v>7693200</v>
      </c>
      <c r="Z344" s="38">
        <f>SUM(S$211:S344)</f>
        <v>52761</v>
      </c>
      <c r="AA344" s="38">
        <f>SUM(T$211:T344)</f>
        <v>26383</v>
      </c>
      <c r="AB344" s="38">
        <f>SUM(U$211:U344)</f>
        <v>13078</v>
      </c>
      <c r="AC344" s="38">
        <f>SUM(V$211:V344)</f>
        <v>804</v>
      </c>
      <c r="AD344" s="38">
        <f t="shared" si="135"/>
        <v>2354600</v>
      </c>
    </row>
    <row r="345" spans="1:30" x14ac:dyDescent="0.25">
      <c r="A345" s="86" t="s">
        <v>254</v>
      </c>
      <c r="B345" s="14">
        <f t="shared" si="129"/>
        <v>135</v>
      </c>
      <c r="C345" s="14">
        <f t="shared" si="125"/>
        <v>159</v>
      </c>
      <c r="D345" s="14">
        <f t="shared" si="125"/>
        <v>80</v>
      </c>
      <c r="E345" s="14">
        <f t="shared" si="125"/>
        <v>39</v>
      </c>
      <c r="F345" s="14">
        <f t="shared" si="125"/>
        <v>2115</v>
      </c>
      <c r="G345" s="74">
        <f t="shared" si="130"/>
        <v>2737</v>
      </c>
      <c r="H345" s="14">
        <f t="shared" si="128"/>
        <v>39450</v>
      </c>
      <c r="I345" s="14"/>
      <c r="J345" s="14">
        <f t="shared" si="126"/>
        <v>78600</v>
      </c>
      <c r="K345" s="14">
        <f t="shared" si="126"/>
        <v>6</v>
      </c>
      <c r="L345" s="14">
        <v>1</v>
      </c>
      <c r="M345" s="14">
        <f t="shared" si="124"/>
        <v>798</v>
      </c>
      <c r="N345" s="14">
        <f t="shared" si="124"/>
        <v>399</v>
      </c>
      <c r="O345" s="14">
        <f t="shared" si="124"/>
        <v>195</v>
      </c>
      <c r="P345" s="14">
        <f t="shared" si="121"/>
        <v>300</v>
      </c>
      <c r="Q345" s="38">
        <f t="shared" si="122"/>
        <v>300</v>
      </c>
      <c r="R345" s="38">
        <f t="shared" si="131"/>
        <v>118050</v>
      </c>
      <c r="S345" s="38">
        <f t="shared" si="132"/>
        <v>798</v>
      </c>
      <c r="T345" s="38">
        <f t="shared" si="133"/>
        <v>399</v>
      </c>
      <c r="U345" s="38">
        <f t="shared" si="127"/>
        <v>234</v>
      </c>
      <c r="V345" s="38">
        <f t="shared" si="123"/>
        <v>6</v>
      </c>
      <c r="W345" s="38">
        <f t="shared" si="134"/>
        <v>37269</v>
      </c>
      <c r="X345" s="38">
        <f>SUM(Q$211:Q345)</f>
        <v>38250</v>
      </c>
      <c r="Y345" s="38">
        <f>SUM(R$211:R345)</f>
        <v>7811250</v>
      </c>
      <c r="Z345" s="38">
        <f>SUM(S$211:S345)</f>
        <v>53559</v>
      </c>
      <c r="AA345" s="38">
        <f>SUM(T$211:T345)</f>
        <v>26782</v>
      </c>
      <c r="AB345" s="38">
        <f>SUM(U$211:U345)</f>
        <v>13312</v>
      </c>
      <c r="AC345" s="38">
        <f>SUM(V$211:V345)</f>
        <v>810</v>
      </c>
      <c r="AD345" s="38">
        <f t="shared" si="135"/>
        <v>2391869</v>
      </c>
    </row>
    <row r="346" spans="1:30" x14ac:dyDescent="0.25">
      <c r="A346" s="86" t="s">
        <v>254</v>
      </c>
      <c r="B346" s="14">
        <f t="shared" si="129"/>
        <v>136</v>
      </c>
      <c r="C346" s="14">
        <f t="shared" si="125"/>
        <v>161</v>
      </c>
      <c r="D346" s="14">
        <f t="shared" si="125"/>
        <v>80</v>
      </c>
      <c r="E346" s="14">
        <f t="shared" si="125"/>
        <v>39</v>
      </c>
      <c r="F346" s="14">
        <f t="shared" si="125"/>
        <v>2115</v>
      </c>
      <c r="G346" s="74">
        <f t="shared" si="130"/>
        <v>2739</v>
      </c>
      <c r="H346" s="14">
        <f t="shared" si="128"/>
        <v>39750</v>
      </c>
      <c r="I346" s="14"/>
      <c r="J346" s="14">
        <f t="shared" si="126"/>
        <v>79200</v>
      </c>
      <c r="K346" s="14">
        <f t="shared" si="126"/>
        <v>6</v>
      </c>
      <c r="L346" s="14">
        <v>1</v>
      </c>
      <c r="M346" s="14">
        <f t="shared" si="124"/>
        <v>804</v>
      </c>
      <c r="N346" s="14">
        <f t="shared" si="124"/>
        <v>402</v>
      </c>
      <c r="O346" s="14">
        <f t="shared" si="124"/>
        <v>197</v>
      </c>
      <c r="P346" s="14">
        <f t="shared" si="121"/>
        <v>300</v>
      </c>
      <c r="Q346" s="38">
        <f t="shared" si="122"/>
        <v>300</v>
      </c>
      <c r="R346" s="38">
        <f t="shared" si="131"/>
        <v>118950</v>
      </c>
      <c r="S346" s="38">
        <f t="shared" si="132"/>
        <v>804</v>
      </c>
      <c r="T346" s="38">
        <f t="shared" si="133"/>
        <v>402</v>
      </c>
      <c r="U346" s="38">
        <f t="shared" si="127"/>
        <v>236</v>
      </c>
      <c r="V346" s="38">
        <f t="shared" si="123"/>
        <v>6</v>
      </c>
      <c r="W346" s="38">
        <f t="shared" si="134"/>
        <v>37560</v>
      </c>
      <c r="X346" s="38">
        <f>SUM(Q$211:Q346)</f>
        <v>38550</v>
      </c>
      <c r="Y346" s="38">
        <f>SUM(R$211:R346)</f>
        <v>7930200</v>
      </c>
      <c r="Z346" s="38">
        <f>SUM(S$211:S346)</f>
        <v>54363</v>
      </c>
      <c r="AA346" s="38">
        <f>SUM(T$211:T346)</f>
        <v>27184</v>
      </c>
      <c r="AB346" s="38">
        <f>SUM(U$211:U346)</f>
        <v>13548</v>
      </c>
      <c r="AC346" s="38">
        <f>SUM(V$211:V346)</f>
        <v>816</v>
      </c>
      <c r="AD346" s="38">
        <f t="shared" si="135"/>
        <v>2429429</v>
      </c>
    </row>
    <row r="347" spans="1:30" x14ac:dyDescent="0.25">
      <c r="A347" s="86" t="s">
        <v>254</v>
      </c>
      <c r="B347" s="14">
        <f t="shared" si="129"/>
        <v>137</v>
      </c>
      <c r="C347" s="14">
        <f t="shared" si="125"/>
        <v>162</v>
      </c>
      <c r="D347" s="14">
        <f t="shared" si="125"/>
        <v>81</v>
      </c>
      <c r="E347" s="14">
        <f t="shared" si="125"/>
        <v>39</v>
      </c>
      <c r="F347" s="14">
        <f t="shared" si="125"/>
        <v>2145</v>
      </c>
      <c r="G347" s="74">
        <f t="shared" si="130"/>
        <v>2751</v>
      </c>
      <c r="H347" s="14">
        <f t="shared" si="128"/>
        <v>40050</v>
      </c>
      <c r="I347" s="14"/>
      <c r="J347" s="14">
        <f t="shared" si="126"/>
        <v>79800</v>
      </c>
      <c r="K347" s="14">
        <f t="shared" si="126"/>
        <v>6</v>
      </c>
      <c r="L347" s="14">
        <v>1</v>
      </c>
      <c r="M347" s="14">
        <f t="shared" ref="M347:O366" si="136">MAX(1,ROUND(M144*INDEX($O$1:$U$4,MATCH($A347,$O$1:$O$4,0),MATCH(M$210,$O$1:$U$1,0)),0))</f>
        <v>810</v>
      </c>
      <c r="N347" s="14">
        <f t="shared" si="136"/>
        <v>405</v>
      </c>
      <c r="O347" s="14">
        <f t="shared" si="136"/>
        <v>198</v>
      </c>
      <c r="P347" s="14">
        <f t="shared" si="121"/>
        <v>300</v>
      </c>
      <c r="Q347" s="38">
        <f t="shared" si="122"/>
        <v>300</v>
      </c>
      <c r="R347" s="38">
        <f t="shared" si="131"/>
        <v>119850</v>
      </c>
      <c r="S347" s="38">
        <f t="shared" si="132"/>
        <v>810</v>
      </c>
      <c r="T347" s="38">
        <f t="shared" si="133"/>
        <v>405</v>
      </c>
      <c r="U347" s="38">
        <f t="shared" si="127"/>
        <v>237</v>
      </c>
      <c r="V347" s="38">
        <f t="shared" si="123"/>
        <v>6</v>
      </c>
      <c r="W347" s="38">
        <f t="shared" si="134"/>
        <v>37806</v>
      </c>
      <c r="X347" s="38">
        <f>SUM(Q$211:Q347)</f>
        <v>38850</v>
      </c>
      <c r="Y347" s="38">
        <f>SUM(R$211:R347)</f>
        <v>8050050</v>
      </c>
      <c r="Z347" s="38">
        <f>SUM(S$211:S347)</f>
        <v>55173</v>
      </c>
      <c r="AA347" s="38">
        <f>SUM(T$211:T347)</f>
        <v>27589</v>
      </c>
      <c r="AB347" s="38">
        <f>SUM(U$211:U347)</f>
        <v>13785</v>
      </c>
      <c r="AC347" s="38">
        <f>SUM(V$211:V347)</f>
        <v>822</v>
      </c>
      <c r="AD347" s="38">
        <f t="shared" si="135"/>
        <v>2467235</v>
      </c>
    </row>
    <row r="348" spans="1:30" x14ac:dyDescent="0.25">
      <c r="A348" s="86" t="s">
        <v>254</v>
      </c>
      <c r="B348" s="14">
        <f t="shared" si="129"/>
        <v>138</v>
      </c>
      <c r="C348" s="14">
        <f t="shared" si="125"/>
        <v>164</v>
      </c>
      <c r="D348" s="14">
        <f t="shared" si="125"/>
        <v>81</v>
      </c>
      <c r="E348" s="14">
        <f t="shared" si="125"/>
        <v>41</v>
      </c>
      <c r="F348" s="14">
        <f t="shared" si="125"/>
        <v>2145</v>
      </c>
      <c r="G348" s="74">
        <f t="shared" si="130"/>
        <v>2843</v>
      </c>
      <c r="H348" s="14">
        <f t="shared" si="128"/>
        <v>40350</v>
      </c>
      <c r="I348" s="14"/>
      <c r="J348" s="14">
        <f t="shared" si="126"/>
        <v>80400</v>
      </c>
      <c r="K348" s="14">
        <f t="shared" si="126"/>
        <v>6</v>
      </c>
      <c r="L348" s="14">
        <v>1</v>
      </c>
      <c r="M348" s="14">
        <f t="shared" si="136"/>
        <v>816</v>
      </c>
      <c r="N348" s="14">
        <f t="shared" si="136"/>
        <v>408</v>
      </c>
      <c r="O348" s="14">
        <f t="shared" si="136"/>
        <v>200</v>
      </c>
      <c r="P348" s="14">
        <f t="shared" si="121"/>
        <v>300</v>
      </c>
      <c r="Q348" s="38">
        <f t="shared" si="122"/>
        <v>300</v>
      </c>
      <c r="R348" s="38">
        <f t="shared" si="131"/>
        <v>120750</v>
      </c>
      <c r="S348" s="38">
        <f t="shared" si="132"/>
        <v>816</v>
      </c>
      <c r="T348" s="38">
        <f t="shared" si="133"/>
        <v>408</v>
      </c>
      <c r="U348" s="38">
        <f t="shared" si="127"/>
        <v>241</v>
      </c>
      <c r="V348" s="38">
        <f t="shared" si="123"/>
        <v>6</v>
      </c>
      <c r="W348" s="38">
        <f t="shared" si="134"/>
        <v>38187</v>
      </c>
      <c r="X348" s="38">
        <f>SUM(Q$211:Q348)</f>
        <v>39150</v>
      </c>
      <c r="Y348" s="38">
        <f>SUM(R$211:R348)</f>
        <v>8170800</v>
      </c>
      <c r="Z348" s="38">
        <f>SUM(S$211:S348)</f>
        <v>55989</v>
      </c>
      <c r="AA348" s="38">
        <f>SUM(T$211:T348)</f>
        <v>27997</v>
      </c>
      <c r="AB348" s="38">
        <f>SUM(U$211:U348)</f>
        <v>14026</v>
      </c>
      <c r="AC348" s="38">
        <f>SUM(V$211:V348)</f>
        <v>828</v>
      </c>
      <c r="AD348" s="38">
        <f t="shared" si="135"/>
        <v>2505422</v>
      </c>
    </row>
    <row r="349" spans="1:30" x14ac:dyDescent="0.25">
      <c r="A349" s="86" t="s">
        <v>254</v>
      </c>
      <c r="B349" s="14">
        <f t="shared" si="129"/>
        <v>139</v>
      </c>
      <c r="C349" s="14">
        <f t="shared" si="125"/>
        <v>165</v>
      </c>
      <c r="D349" s="14">
        <f t="shared" si="125"/>
        <v>83</v>
      </c>
      <c r="E349" s="14">
        <f t="shared" si="125"/>
        <v>41</v>
      </c>
      <c r="F349" s="14">
        <f t="shared" si="125"/>
        <v>2175</v>
      </c>
      <c r="G349" s="74">
        <f t="shared" si="130"/>
        <v>2860</v>
      </c>
      <c r="H349" s="14">
        <f t="shared" si="128"/>
        <v>40650</v>
      </c>
      <c r="I349" s="14"/>
      <c r="J349" s="14">
        <f t="shared" si="126"/>
        <v>81000</v>
      </c>
      <c r="K349" s="14">
        <f t="shared" si="126"/>
        <v>6</v>
      </c>
      <c r="L349" s="14">
        <v>1</v>
      </c>
      <c r="M349" s="14">
        <f t="shared" si="136"/>
        <v>822</v>
      </c>
      <c r="N349" s="14">
        <f t="shared" si="136"/>
        <v>411</v>
      </c>
      <c r="O349" s="14">
        <f t="shared" si="136"/>
        <v>201</v>
      </c>
      <c r="P349" s="14">
        <f t="shared" si="121"/>
        <v>300</v>
      </c>
      <c r="Q349" s="38">
        <f t="shared" si="122"/>
        <v>300</v>
      </c>
      <c r="R349" s="38">
        <f t="shared" si="131"/>
        <v>121650</v>
      </c>
      <c r="S349" s="38">
        <f t="shared" si="132"/>
        <v>822</v>
      </c>
      <c r="T349" s="38">
        <f t="shared" si="133"/>
        <v>411</v>
      </c>
      <c r="U349" s="38">
        <f t="shared" si="127"/>
        <v>242</v>
      </c>
      <c r="V349" s="38">
        <f t="shared" si="123"/>
        <v>6</v>
      </c>
      <c r="W349" s="38">
        <f t="shared" si="134"/>
        <v>38433</v>
      </c>
      <c r="X349" s="38">
        <f>SUM(Q$211:Q349)</f>
        <v>39450</v>
      </c>
      <c r="Y349" s="38">
        <f>SUM(R$211:R349)</f>
        <v>8292450</v>
      </c>
      <c r="Z349" s="38">
        <f>SUM(S$211:S349)</f>
        <v>56811</v>
      </c>
      <c r="AA349" s="38">
        <f>SUM(T$211:T349)</f>
        <v>28408</v>
      </c>
      <c r="AB349" s="38">
        <f>SUM(U$211:U349)</f>
        <v>14268</v>
      </c>
      <c r="AC349" s="38">
        <f>SUM(V$211:V349)</f>
        <v>834</v>
      </c>
      <c r="AD349" s="38">
        <f t="shared" si="135"/>
        <v>2543855</v>
      </c>
    </row>
    <row r="350" spans="1:30" x14ac:dyDescent="0.25">
      <c r="A350" s="86" t="s">
        <v>254</v>
      </c>
      <c r="B350" s="14">
        <f t="shared" si="129"/>
        <v>140</v>
      </c>
      <c r="C350" s="14">
        <f t="shared" si="125"/>
        <v>165</v>
      </c>
      <c r="D350" s="14">
        <f t="shared" si="125"/>
        <v>83</v>
      </c>
      <c r="E350" s="14">
        <f t="shared" si="125"/>
        <v>41</v>
      </c>
      <c r="F350" s="14">
        <f t="shared" si="125"/>
        <v>2175</v>
      </c>
      <c r="G350" s="74">
        <f t="shared" si="130"/>
        <v>2860</v>
      </c>
      <c r="H350" s="14">
        <f t="shared" si="128"/>
        <v>40950</v>
      </c>
      <c r="I350" s="14"/>
      <c r="J350" s="14">
        <f t="shared" si="126"/>
        <v>81600</v>
      </c>
      <c r="K350" s="14">
        <f t="shared" si="126"/>
        <v>6</v>
      </c>
      <c r="L350" s="14">
        <v>1</v>
      </c>
      <c r="M350" s="14">
        <f t="shared" si="136"/>
        <v>828</v>
      </c>
      <c r="N350" s="14">
        <f t="shared" si="136"/>
        <v>414</v>
      </c>
      <c r="O350" s="14">
        <f t="shared" si="136"/>
        <v>203</v>
      </c>
      <c r="P350" s="14">
        <f t="shared" si="121"/>
        <v>300</v>
      </c>
      <c r="Q350" s="38">
        <f t="shared" si="122"/>
        <v>300</v>
      </c>
      <c r="R350" s="38">
        <f t="shared" si="131"/>
        <v>122550</v>
      </c>
      <c r="S350" s="38">
        <f t="shared" si="132"/>
        <v>828</v>
      </c>
      <c r="T350" s="38">
        <f t="shared" si="133"/>
        <v>414</v>
      </c>
      <c r="U350" s="38">
        <f t="shared" si="127"/>
        <v>244</v>
      </c>
      <c r="V350" s="38">
        <f t="shared" si="123"/>
        <v>6</v>
      </c>
      <c r="W350" s="38">
        <f t="shared" si="134"/>
        <v>38724</v>
      </c>
      <c r="X350" s="38">
        <f>SUM(Q$211:Q350)</f>
        <v>39750</v>
      </c>
      <c r="Y350" s="38">
        <f>SUM(R$211:R350)</f>
        <v>8415000</v>
      </c>
      <c r="Z350" s="38">
        <f>SUM(S$211:S350)</f>
        <v>57639</v>
      </c>
      <c r="AA350" s="38">
        <f>SUM(T$211:T350)</f>
        <v>28822</v>
      </c>
      <c r="AB350" s="38">
        <f>SUM(U$211:U350)</f>
        <v>14512</v>
      </c>
      <c r="AC350" s="38">
        <f>SUM(V$211:V350)</f>
        <v>840</v>
      </c>
      <c r="AD350" s="38">
        <f t="shared" si="135"/>
        <v>2582579</v>
      </c>
    </row>
    <row r="351" spans="1:30" x14ac:dyDescent="0.25">
      <c r="A351" s="86" t="s">
        <v>254</v>
      </c>
      <c r="B351" s="14">
        <f t="shared" si="129"/>
        <v>141</v>
      </c>
      <c r="C351" s="14">
        <f t="shared" ref="C351:F370" si="137">MAX(1,ROUND(C148*INDEX($O$1:$U$4,MATCH($A351,$O$1:$O$4,0),MATCH(C$210,$O$1:$U$1,0)),0))</f>
        <v>167</v>
      </c>
      <c r="D351" s="14">
        <f t="shared" si="137"/>
        <v>83</v>
      </c>
      <c r="E351" s="14">
        <f t="shared" si="137"/>
        <v>41</v>
      </c>
      <c r="F351" s="14">
        <f t="shared" si="137"/>
        <v>2205</v>
      </c>
      <c r="G351" s="74">
        <f t="shared" si="130"/>
        <v>2868</v>
      </c>
      <c r="H351" s="14">
        <f t="shared" si="128"/>
        <v>41250</v>
      </c>
      <c r="I351" s="14"/>
      <c r="J351" s="14">
        <f t="shared" ref="J351:K370" si="138">MAX(1,ROUND(J148*INDEX($O$1:$U$4,MATCH($A351,$O$1:$O$4,0),MATCH(J$210,$O$1:$U$1,0)),0))</f>
        <v>82200</v>
      </c>
      <c r="K351" s="14">
        <f t="shared" si="138"/>
        <v>6</v>
      </c>
      <c r="L351" s="14">
        <v>1</v>
      </c>
      <c r="M351" s="14">
        <f t="shared" si="136"/>
        <v>834</v>
      </c>
      <c r="N351" s="14">
        <f t="shared" si="136"/>
        <v>417</v>
      </c>
      <c r="O351" s="14">
        <f t="shared" si="136"/>
        <v>204</v>
      </c>
      <c r="P351" s="14">
        <f t="shared" si="121"/>
        <v>300</v>
      </c>
      <c r="Q351" s="38">
        <f t="shared" si="122"/>
        <v>300</v>
      </c>
      <c r="R351" s="38">
        <f t="shared" si="131"/>
        <v>123450</v>
      </c>
      <c r="S351" s="38">
        <f t="shared" si="132"/>
        <v>834</v>
      </c>
      <c r="T351" s="38">
        <f t="shared" si="133"/>
        <v>417</v>
      </c>
      <c r="U351" s="38">
        <f t="shared" si="127"/>
        <v>245</v>
      </c>
      <c r="V351" s="38">
        <f t="shared" si="123"/>
        <v>6</v>
      </c>
      <c r="W351" s="38">
        <f t="shared" si="134"/>
        <v>38970</v>
      </c>
      <c r="X351" s="38">
        <f>SUM(Q$211:Q351)</f>
        <v>40050</v>
      </c>
      <c r="Y351" s="38">
        <f>SUM(R$211:R351)</f>
        <v>8538450</v>
      </c>
      <c r="Z351" s="38">
        <f>SUM(S$211:S351)</f>
        <v>58473</v>
      </c>
      <c r="AA351" s="38">
        <f>SUM(T$211:T351)</f>
        <v>29239</v>
      </c>
      <c r="AB351" s="38">
        <f>SUM(U$211:U351)</f>
        <v>14757</v>
      </c>
      <c r="AC351" s="38">
        <f>SUM(V$211:V351)</f>
        <v>846</v>
      </c>
      <c r="AD351" s="38">
        <f t="shared" si="135"/>
        <v>2621549</v>
      </c>
    </row>
    <row r="352" spans="1:30" x14ac:dyDescent="0.25">
      <c r="A352" s="86" t="s">
        <v>254</v>
      </c>
      <c r="B352" s="14">
        <f t="shared" si="129"/>
        <v>142</v>
      </c>
      <c r="C352" s="14">
        <f t="shared" si="137"/>
        <v>168</v>
      </c>
      <c r="D352" s="14">
        <f t="shared" si="137"/>
        <v>84</v>
      </c>
      <c r="E352" s="14">
        <f t="shared" si="137"/>
        <v>41</v>
      </c>
      <c r="F352" s="14">
        <f t="shared" si="137"/>
        <v>2205</v>
      </c>
      <c r="G352" s="74">
        <f t="shared" si="130"/>
        <v>2874</v>
      </c>
      <c r="H352" s="14">
        <f t="shared" si="128"/>
        <v>41550</v>
      </c>
      <c r="I352" s="14"/>
      <c r="J352" s="14">
        <f t="shared" si="138"/>
        <v>82800</v>
      </c>
      <c r="K352" s="14">
        <f t="shared" si="138"/>
        <v>6</v>
      </c>
      <c r="L352" s="14">
        <v>1</v>
      </c>
      <c r="M352" s="14">
        <f t="shared" si="136"/>
        <v>840</v>
      </c>
      <c r="N352" s="14">
        <f t="shared" si="136"/>
        <v>420</v>
      </c>
      <c r="O352" s="14">
        <f t="shared" si="136"/>
        <v>206</v>
      </c>
      <c r="P352" s="14">
        <f t="shared" si="121"/>
        <v>300</v>
      </c>
      <c r="Q352" s="38">
        <f t="shared" si="122"/>
        <v>300</v>
      </c>
      <c r="R352" s="38">
        <f t="shared" si="131"/>
        <v>124350</v>
      </c>
      <c r="S352" s="38">
        <f t="shared" si="132"/>
        <v>840</v>
      </c>
      <c r="T352" s="38">
        <f t="shared" si="133"/>
        <v>420</v>
      </c>
      <c r="U352" s="38">
        <f t="shared" si="127"/>
        <v>247</v>
      </c>
      <c r="V352" s="38">
        <f t="shared" si="123"/>
        <v>6</v>
      </c>
      <c r="W352" s="38">
        <f t="shared" si="134"/>
        <v>39261</v>
      </c>
      <c r="X352" s="38">
        <f>SUM(Q$211:Q352)</f>
        <v>40350</v>
      </c>
      <c r="Y352" s="38">
        <f>SUM(R$211:R352)</f>
        <v>8662800</v>
      </c>
      <c r="Z352" s="38">
        <f>SUM(S$211:S352)</f>
        <v>59313</v>
      </c>
      <c r="AA352" s="38">
        <f>SUM(T$211:T352)</f>
        <v>29659</v>
      </c>
      <c r="AB352" s="38">
        <f>SUM(U$211:U352)</f>
        <v>15004</v>
      </c>
      <c r="AC352" s="38">
        <f>SUM(V$211:V352)</f>
        <v>852</v>
      </c>
      <c r="AD352" s="38">
        <f t="shared" si="135"/>
        <v>2660810</v>
      </c>
    </row>
    <row r="353" spans="1:30" x14ac:dyDescent="0.25">
      <c r="A353" s="86" t="s">
        <v>254</v>
      </c>
      <c r="B353" s="14">
        <f t="shared" si="129"/>
        <v>143</v>
      </c>
      <c r="C353" s="14">
        <f t="shared" si="137"/>
        <v>170</v>
      </c>
      <c r="D353" s="14">
        <f t="shared" si="137"/>
        <v>84</v>
      </c>
      <c r="E353" s="14">
        <f t="shared" si="137"/>
        <v>42</v>
      </c>
      <c r="F353" s="14">
        <f t="shared" si="137"/>
        <v>2235</v>
      </c>
      <c r="G353" s="74">
        <f t="shared" si="130"/>
        <v>2927</v>
      </c>
      <c r="H353" s="14">
        <f t="shared" si="128"/>
        <v>41850</v>
      </c>
      <c r="I353" s="14"/>
      <c r="J353" s="14">
        <f t="shared" si="138"/>
        <v>83400</v>
      </c>
      <c r="K353" s="14">
        <f t="shared" si="138"/>
        <v>6</v>
      </c>
      <c r="L353" s="14">
        <v>1</v>
      </c>
      <c r="M353" s="14">
        <f t="shared" si="136"/>
        <v>846</v>
      </c>
      <c r="N353" s="14">
        <f t="shared" si="136"/>
        <v>423</v>
      </c>
      <c r="O353" s="14">
        <f t="shared" si="136"/>
        <v>207</v>
      </c>
      <c r="P353" s="14">
        <f t="shared" si="121"/>
        <v>300</v>
      </c>
      <c r="Q353" s="38">
        <f t="shared" si="122"/>
        <v>300</v>
      </c>
      <c r="R353" s="38">
        <f t="shared" si="131"/>
        <v>125250</v>
      </c>
      <c r="S353" s="38">
        <f t="shared" si="132"/>
        <v>846</v>
      </c>
      <c r="T353" s="38">
        <f t="shared" si="133"/>
        <v>423</v>
      </c>
      <c r="U353" s="38">
        <f t="shared" si="127"/>
        <v>249</v>
      </c>
      <c r="V353" s="38">
        <f t="shared" si="123"/>
        <v>6</v>
      </c>
      <c r="W353" s="38">
        <f t="shared" si="134"/>
        <v>39552</v>
      </c>
      <c r="X353" s="38">
        <f>SUM(Q$211:Q353)</f>
        <v>40650</v>
      </c>
      <c r="Y353" s="38">
        <f>SUM(R$211:R353)</f>
        <v>8788050</v>
      </c>
      <c r="Z353" s="38">
        <f>SUM(S$211:S353)</f>
        <v>60159</v>
      </c>
      <c r="AA353" s="38">
        <f>SUM(T$211:T353)</f>
        <v>30082</v>
      </c>
      <c r="AB353" s="38">
        <f>SUM(U$211:U353)</f>
        <v>15253</v>
      </c>
      <c r="AC353" s="38">
        <f>SUM(V$211:V353)</f>
        <v>858</v>
      </c>
      <c r="AD353" s="38">
        <f t="shared" si="135"/>
        <v>2700362</v>
      </c>
    </row>
    <row r="354" spans="1:30" x14ac:dyDescent="0.25">
      <c r="A354" s="86" t="s">
        <v>254</v>
      </c>
      <c r="B354" s="14">
        <f t="shared" si="129"/>
        <v>144</v>
      </c>
      <c r="C354" s="14">
        <f t="shared" si="137"/>
        <v>171</v>
      </c>
      <c r="D354" s="14">
        <f t="shared" si="137"/>
        <v>86</v>
      </c>
      <c r="E354" s="14">
        <f t="shared" si="137"/>
        <v>42</v>
      </c>
      <c r="F354" s="14">
        <f t="shared" si="137"/>
        <v>2235</v>
      </c>
      <c r="G354" s="74">
        <f t="shared" si="130"/>
        <v>2938</v>
      </c>
      <c r="H354" s="14">
        <f t="shared" si="128"/>
        <v>42150</v>
      </c>
      <c r="I354" s="14"/>
      <c r="J354" s="14">
        <f t="shared" si="138"/>
        <v>84000</v>
      </c>
      <c r="K354" s="14">
        <f t="shared" si="138"/>
        <v>6</v>
      </c>
      <c r="L354" s="14">
        <v>1</v>
      </c>
      <c r="M354" s="14">
        <f t="shared" si="136"/>
        <v>852</v>
      </c>
      <c r="N354" s="14">
        <f t="shared" si="136"/>
        <v>426</v>
      </c>
      <c r="O354" s="14">
        <f t="shared" si="136"/>
        <v>209</v>
      </c>
      <c r="P354" s="14">
        <f t="shared" si="121"/>
        <v>300</v>
      </c>
      <c r="Q354" s="38">
        <f t="shared" si="122"/>
        <v>300</v>
      </c>
      <c r="R354" s="38">
        <f t="shared" si="131"/>
        <v>126150</v>
      </c>
      <c r="S354" s="38">
        <f t="shared" si="132"/>
        <v>852</v>
      </c>
      <c r="T354" s="38">
        <f t="shared" si="133"/>
        <v>426</v>
      </c>
      <c r="U354" s="38">
        <f t="shared" si="127"/>
        <v>251</v>
      </c>
      <c r="V354" s="38">
        <f t="shared" si="123"/>
        <v>6</v>
      </c>
      <c r="W354" s="38">
        <f t="shared" si="134"/>
        <v>39843</v>
      </c>
      <c r="X354" s="38">
        <f>SUM(Q$211:Q354)</f>
        <v>40950</v>
      </c>
      <c r="Y354" s="38">
        <f>SUM(R$211:R354)</f>
        <v>8914200</v>
      </c>
      <c r="Z354" s="38">
        <f>SUM(S$211:S354)</f>
        <v>61011</v>
      </c>
      <c r="AA354" s="38">
        <f>SUM(T$211:T354)</f>
        <v>30508</v>
      </c>
      <c r="AB354" s="38">
        <f>SUM(U$211:U354)</f>
        <v>15504</v>
      </c>
      <c r="AC354" s="38">
        <f>SUM(V$211:V354)</f>
        <v>864</v>
      </c>
      <c r="AD354" s="38">
        <f t="shared" si="135"/>
        <v>2740205</v>
      </c>
    </row>
    <row r="355" spans="1:30" x14ac:dyDescent="0.25">
      <c r="A355" s="86" t="s">
        <v>254</v>
      </c>
      <c r="B355" s="14">
        <f t="shared" si="129"/>
        <v>145</v>
      </c>
      <c r="C355" s="14">
        <f t="shared" si="137"/>
        <v>171</v>
      </c>
      <c r="D355" s="14">
        <f t="shared" si="137"/>
        <v>86</v>
      </c>
      <c r="E355" s="14">
        <f t="shared" si="137"/>
        <v>42</v>
      </c>
      <c r="F355" s="14">
        <f t="shared" si="137"/>
        <v>2265</v>
      </c>
      <c r="G355" s="74">
        <f t="shared" si="130"/>
        <v>2944</v>
      </c>
      <c r="H355" s="14">
        <f t="shared" si="128"/>
        <v>42450</v>
      </c>
      <c r="I355" s="14"/>
      <c r="J355" s="14">
        <f t="shared" si="138"/>
        <v>84600</v>
      </c>
      <c r="K355" s="14">
        <f t="shared" si="138"/>
        <v>6</v>
      </c>
      <c r="L355" s="14">
        <v>1</v>
      </c>
      <c r="M355" s="14">
        <f t="shared" si="136"/>
        <v>858</v>
      </c>
      <c r="N355" s="14">
        <f t="shared" si="136"/>
        <v>429</v>
      </c>
      <c r="O355" s="14">
        <f t="shared" si="136"/>
        <v>210</v>
      </c>
      <c r="P355" s="14">
        <f t="shared" ref="P355" si="139">MAX(1,ROUND(P152*INDEX($O$1:$U$4,MATCH($A355,$O$1:$O$4,0),MATCH(P$210,$O$1:$U$1,0)),0))</f>
        <v>300</v>
      </c>
      <c r="Q355" s="38">
        <f t="shared" si="122"/>
        <v>300</v>
      </c>
      <c r="R355" s="38">
        <f t="shared" si="131"/>
        <v>127050</v>
      </c>
      <c r="S355" s="38">
        <f t="shared" si="132"/>
        <v>858</v>
      </c>
      <c r="T355" s="38">
        <f t="shared" si="133"/>
        <v>429</v>
      </c>
      <c r="U355" s="38">
        <f t="shared" si="127"/>
        <v>252</v>
      </c>
      <c r="V355" s="38">
        <f t="shared" si="123"/>
        <v>6</v>
      </c>
      <c r="W355" s="38">
        <f t="shared" si="134"/>
        <v>40089</v>
      </c>
      <c r="X355" s="38">
        <f>SUM(Q$211:Q355)</f>
        <v>41250</v>
      </c>
      <c r="Y355" s="38">
        <f>SUM(R$211:R355)</f>
        <v>9041250</v>
      </c>
      <c r="Z355" s="38">
        <f>SUM(S$211:S355)</f>
        <v>61869</v>
      </c>
      <c r="AA355" s="38">
        <f>SUM(T$211:T355)</f>
        <v>30937</v>
      </c>
      <c r="AB355" s="38">
        <f>SUM(U$211:U355)</f>
        <v>15756</v>
      </c>
      <c r="AC355" s="38">
        <f>SUM(V$211:V355)</f>
        <v>870</v>
      </c>
      <c r="AD355" s="38">
        <f t="shared" si="135"/>
        <v>2780294</v>
      </c>
    </row>
    <row r="356" spans="1:30" x14ac:dyDescent="0.25">
      <c r="A356" s="86" t="s">
        <v>254</v>
      </c>
      <c r="B356" s="14">
        <f t="shared" si="129"/>
        <v>146</v>
      </c>
      <c r="C356" s="14">
        <f t="shared" si="137"/>
        <v>173</v>
      </c>
      <c r="D356" s="14">
        <f t="shared" si="137"/>
        <v>86</v>
      </c>
      <c r="E356" s="14">
        <f t="shared" si="137"/>
        <v>42</v>
      </c>
      <c r="F356" s="14">
        <f t="shared" si="137"/>
        <v>2265</v>
      </c>
      <c r="G356" s="74">
        <f t="shared" si="130"/>
        <v>2946</v>
      </c>
      <c r="H356" s="14">
        <f t="shared" si="128"/>
        <v>42750</v>
      </c>
      <c r="I356" s="14"/>
      <c r="J356" s="14">
        <f t="shared" si="138"/>
        <v>85200</v>
      </c>
      <c r="K356" s="14">
        <f t="shared" si="138"/>
        <v>6</v>
      </c>
      <c r="L356" s="14">
        <v>1</v>
      </c>
      <c r="M356" s="14">
        <f t="shared" si="136"/>
        <v>864</v>
      </c>
      <c r="N356" s="14">
        <f t="shared" si="136"/>
        <v>432</v>
      </c>
      <c r="O356" s="14">
        <f t="shared" si="136"/>
        <v>212</v>
      </c>
      <c r="P356" s="14">
        <f t="shared" ref="P356:P387" si="140">MAX(1,ROUND(P153*INDEX($O$1:$U$4,MATCH($A356,$O$1:$O$4,0),MATCH(P$210,$O$1:$U$1,0)),0))</f>
        <v>300</v>
      </c>
      <c r="Q356" s="38">
        <f t="shared" si="122"/>
        <v>300</v>
      </c>
      <c r="R356" s="38">
        <f t="shared" si="131"/>
        <v>127950</v>
      </c>
      <c r="S356" s="38">
        <f t="shared" si="132"/>
        <v>864</v>
      </c>
      <c r="T356" s="38">
        <f t="shared" si="133"/>
        <v>432</v>
      </c>
      <c r="U356" s="38">
        <f t="shared" si="127"/>
        <v>254</v>
      </c>
      <c r="V356" s="38">
        <f t="shared" si="123"/>
        <v>6</v>
      </c>
      <c r="W356" s="38">
        <f t="shared" si="134"/>
        <v>40380</v>
      </c>
      <c r="X356" s="38">
        <f>SUM(Q$211:Q356)</f>
        <v>41550</v>
      </c>
      <c r="Y356" s="38">
        <f>SUM(R$211:R356)</f>
        <v>9169200</v>
      </c>
      <c r="Z356" s="38">
        <f>SUM(S$211:S356)</f>
        <v>62733</v>
      </c>
      <c r="AA356" s="38">
        <f>SUM(T$211:T356)</f>
        <v>31369</v>
      </c>
      <c r="AB356" s="38">
        <f>SUM(U$211:U356)</f>
        <v>16010</v>
      </c>
      <c r="AC356" s="38">
        <f>SUM(V$211:V356)</f>
        <v>876</v>
      </c>
      <c r="AD356" s="38">
        <f t="shared" si="135"/>
        <v>2820674</v>
      </c>
    </row>
    <row r="357" spans="1:30" x14ac:dyDescent="0.25">
      <c r="A357" s="86" t="s">
        <v>254</v>
      </c>
      <c r="B357" s="14">
        <f t="shared" si="129"/>
        <v>147</v>
      </c>
      <c r="C357" s="14">
        <f t="shared" si="137"/>
        <v>174</v>
      </c>
      <c r="D357" s="14">
        <f t="shared" si="137"/>
        <v>87</v>
      </c>
      <c r="E357" s="14">
        <f t="shared" si="137"/>
        <v>42</v>
      </c>
      <c r="F357" s="14">
        <f t="shared" si="137"/>
        <v>2295</v>
      </c>
      <c r="G357" s="74">
        <f t="shared" si="130"/>
        <v>2958</v>
      </c>
      <c r="H357" s="14">
        <f t="shared" si="128"/>
        <v>43050</v>
      </c>
      <c r="I357" s="14"/>
      <c r="J357" s="14">
        <f t="shared" si="138"/>
        <v>85800</v>
      </c>
      <c r="K357" s="14">
        <f t="shared" si="138"/>
        <v>6</v>
      </c>
      <c r="L357" s="14">
        <v>1</v>
      </c>
      <c r="M357" s="14">
        <f t="shared" si="136"/>
        <v>870</v>
      </c>
      <c r="N357" s="14">
        <f t="shared" si="136"/>
        <v>435</v>
      </c>
      <c r="O357" s="14">
        <f t="shared" si="136"/>
        <v>213</v>
      </c>
      <c r="P357" s="14">
        <f t="shared" si="140"/>
        <v>300</v>
      </c>
      <c r="Q357" s="38">
        <f t="shared" si="122"/>
        <v>300</v>
      </c>
      <c r="R357" s="38">
        <f t="shared" si="131"/>
        <v>128850</v>
      </c>
      <c r="S357" s="38">
        <f t="shared" si="132"/>
        <v>870</v>
      </c>
      <c r="T357" s="38">
        <f t="shared" si="133"/>
        <v>435</v>
      </c>
      <c r="U357" s="38">
        <f t="shared" si="127"/>
        <v>255</v>
      </c>
      <c r="V357" s="38">
        <f t="shared" si="123"/>
        <v>6</v>
      </c>
      <c r="W357" s="38">
        <f t="shared" si="134"/>
        <v>40626</v>
      </c>
      <c r="X357" s="38">
        <f>SUM(Q$211:Q357)</f>
        <v>41850</v>
      </c>
      <c r="Y357" s="38">
        <f>SUM(R$211:R357)</f>
        <v>9298050</v>
      </c>
      <c r="Z357" s="38">
        <f>SUM(S$211:S357)</f>
        <v>63603</v>
      </c>
      <c r="AA357" s="38">
        <f>SUM(T$211:T357)</f>
        <v>31804</v>
      </c>
      <c r="AB357" s="38">
        <f>SUM(U$211:U357)</f>
        <v>16265</v>
      </c>
      <c r="AC357" s="38">
        <f>SUM(V$211:V357)</f>
        <v>882</v>
      </c>
      <c r="AD357" s="38">
        <f t="shared" si="135"/>
        <v>2861300</v>
      </c>
    </row>
    <row r="358" spans="1:30" x14ac:dyDescent="0.25">
      <c r="A358" s="86" t="s">
        <v>254</v>
      </c>
      <c r="B358" s="14">
        <f t="shared" si="129"/>
        <v>148</v>
      </c>
      <c r="C358" s="14">
        <f t="shared" si="137"/>
        <v>176</v>
      </c>
      <c r="D358" s="14">
        <f t="shared" si="137"/>
        <v>87</v>
      </c>
      <c r="E358" s="14">
        <f t="shared" si="137"/>
        <v>44</v>
      </c>
      <c r="F358" s="14">
        <f t="shared" si="137"/>
        <v>2295</v>
      </c>
      <c r="G358" s="74">
        <f t="shared" si="130"/>
        <v>3050</v>
      </c>
      <c r="H358" s="14">
        <f t="shared" si="128"/>
        <v>43350</v>
      </c>
      <c r="I358" s="14"/>
      <c r="J358" s="14">
        <f t="shared" si="138"/>
        <v>86400</v>
      </c>
      <c r="K358" s="14">
        <f t="shared" si="138"/>
        <v>6</v>
      </c>
      <c r="L358" s="14">
        <v>1</v>
      </c>
      <c r="M358" s="14">
        <f t="shared" si="136"/>
        <v>876</v>
      </c>
      <c r="N358" s="14">
        <f t="shared" si="136"/>
        <v>438</v>
      </c>
      <c r="O358" s="14">
        <f t="shared" si="136"/>
        <v>215</v>
      </c>
      <c r="P358" s="14">
        <f t="shared" si="140"/>
        <v>300</v>
      </c>
      <c r="Q358" s="38">
        <f t="shared" ref="Q358:Q389" si="141">P358</f>
        <v>300</v>
      </c>
      <c r="R358" s="38">
        <f t="shared" si="131"/>
        <v>129750</v>
      </c>
      <c r="S358" s="38">
        <f t="shared" si="132"/>
        <v>876</v>
      </c>
      <c r="T358" s="38">
        <f t="shared" si="133"/>
        <v>438</v>
      </c>
      <c r="U358" s="38">
        <f t="shared" si="127"/>
        <v>259</v>
      </c>
      <c r="V358" s="38">
        <f t="shared" ref="V358:V389" si="142">K358</f>
        <v>6</v>
      </c>
      <c r="W358" s="38">
        <f t="shared" si="134"/>
        <v>41007</v>
      </c>
      <c r="X358" s="38">
        <f>SUM(Q$211:Q358)</f>
        <v>42150</v>
      </c>
      <c r="Y358" s="38">
        <f>SUM(R$211:R358)</f>
        <v>9427800</v>
      </c>
      <c r="Z358" s="38">
        <f>SUM(S$211:S358)</f>
        <v>64479</v>
      </c>
      <c r="AA358" s="38">
        <f>SUM(T$211:T358)</f>
        <v>32242</v>
      </c>
      <c r="AB358" s="38">
        <f>SUM(U$211:U358)</f>
        <v>16524</v>
      </c>
      <c r="AC358" s="38">
        <f>SUM(V$211:V358)</f>
        <v>888</v>
      </c>
      <c r="AD358" s="38">
        <f t="shared" si="135"/>
        <v>2902307</v>
      </c>
    </row>
    <row r="359" spans="1:30" x14ac:dyDescent="0.25">
      <c r="A359" s="86" t="s">
        <v>254</v>
      </c>
      <c r="B359" s="14">
        <f t="shared" si="129"/>
        <v>149</v>
      </c>
      <c r="C359" s="14">
        <f t="shared" si="137"/>
        <v>177</v>
      </c>
      <c r="D359" s="14">
        <f t="shared" si="137"/>
        <v>89</v>
      </c>
      <c r="E359" s="14">
        <f t="shared" si="137"/>
        <v>44</v>
      </c>
      <c r="F359" s="14">
        <f t="shared" si="137"/>
        <v>2325</v>
      </c>
      <c r="G359" s="74">
        <f t="shared" si="130"/>
        <v>3067</v>
      </c>
      <c r="H359" s="14">
        <f t="shared" si="128"/>
        <v>43650</v>
      </c>
      <c r="I359" s="14"/>
      <c r="J359" s="14">
        <f t="shared" si="138"/>
        <v>87000</v>
      </c>
      <c r="K359" s="14">
        <f t="shared" si="138"/>
        <v>6</v>
      </c>
      <c r="L359" s="14">
        <v>1</v>
      </c>
      <c r="M359" s="14">
        <f t="shared" si="136"/>
        <v>882</v>
      </c>
      <c r="N359" s="14">
        <f t="shared" si="136"/>
        <v>441</v>
      </c>
      <c r="O359" s="14">
        <f t="shared" si="136"/>
        <v>216</v>
      </c>
      <c r="P359" s="14">
        <f t="shared" si="140"/>
        <v>300</v>
      </c>
      <c r="Q359" s="38">
        <f t="shared" si="141"/>
        <v>300</v>
      </c>
      <c r="R359" s="38">
        <f t="shared" si="131"/>
        <v>130650</v>
      </c>
      <c r="S359" s="38">
        <f t="shared" si="132"/>
        <v>882</v>
      </c>
      <c r="T359" s="38">
        <f t="shared" si="133"/>
        <v>441</v>
      </c>
      <c r="U359" s="38">
        <f t="shared" si="127"/>
        <v>260</v>
      </c>
      <c r="V359" s="38">
        <f t="shared" si="142"/>
        <v>6</v>
      </c>
      <c r="W359" s="38">
        <f t="shared" si="134"/>
        <v>41253</v>
      </c>
      <c r="X359" s="38">
        <f>SUM(Q$211:Q359)</f>
        <v>42450</v>
      </c>
      <c r="Y359" s="38">
        <f>SUM(R$211:R359)</f>
        <v>9558450</v>
      </c>
      <c r="Z359" s="38">
        <f>SUM(S$211:S359)</f>
        <v>65361</v>
      </c>
      <c r="AA359" s="38">
        <f>SUM(T$211:T359)</f>
        <v>32683</v>
      </c>
      <c r="AB359" s="38">
        <f>SUM(U$211:U359)</f>
        <v>16784</v>
      </c>
      <c r="AC359" s="38">
        <f>SUM(V$211:V359)</f>
        <v>894</v>
      </c>
      <c r="AD359" s="38">
        <f t="shared" si="135"/>
        <v>2943560</v>
      </c>
    </row>
    <row r="360" spans="1:30" x14ac:dyDescent="0.25">
      <c r="A360" s="86" t="s">
        <v>254</v>
      </c>
      <c r="B360" s="14">
        <f t="shared" si="129"/>
        <v>150</v>
      </c>
      <c r="C360" s="14">
        <f t="shared" si="137"/>
        <v>177</v>
      </c>
      <c r="D360" s="14">
        <f t="shared" si="137"/>
        <v>89</v>
      </c>
      <c r="E360" s="14">
        <f t="shared" si="137"/>
        <v>44</v>
      </c>
      <c r="F360" s="14">
        <f t="shared" si="137"/>
        <v>2325</v>
      </c>
      <c r="G360" s="74">
        <f t="shared" si="130"/>
        <v>3067</v>
      </c>
      <c r="H360" s="14">
        <f t="shared" si="128"/>
        <v>43950</v>
      </c>
      <c r="I360" s="14"/>
      <c r="J360" s="14">
        <f t="shared" si="138"/>
        <v>87600</v>
      </c>
      <c r="K360" s="14">
        <f t="shared" si="138"/>
        <v>6</v>
      </c>
      <c r="L360" s="14">
        <v>1</v>
      </c>
      <c r="M360" s="14">
        <f t="shared" si="136"/>
        <v>888</v>
      </c>
      <c r="N360" s="14">
        <f t="shared" si="136"/>
        <v>444</v>
      </c>
      <c r="O360" s="14">
        <f t="shared" si="136"/>
        <v>218</v>
      </c>
      <c r="P360" s="14">
        <f t="shared" si="140"/>
        <v>300</v>
      </c>
      <c r="Q360" s="38">
        <f t="shared" si="141"/>
        <v>300</v>
      </c>
      <c r="R360" s="38">
        <f t="shared" si="131"/>
        <v>131550</v>
      </c>
      <c r="S360" s="38">
        <f t="shared" si="132"/>
        <v>888</v>
      </c>
      <c r="T360" s="38">
        <f t="shared" si="133"/>
        <v>444</v>
      </c>
      <c r="U360" s="38">
        <f t="shared" si="127"/>
        <v>262</v>
      </c>
      <c r="V360" s="38">
        <f t="shared" si="142"/>
        <v>6</v>
      </c>
      <c r="W360" s="38">
        <f t="shared" si="134"/>
        <v>41544</v>
      </c>
      <c r="X360" s="38">
        <f>SUM(Q$211:Q360)</f>
        <v>42750</v>
      </c>
      <c r="Y360" s="38">
        <f>SUM(R$211:R360)</f>
        <v>9690000</v>
      </c>
      <c r="Z360" s="38">
        <f>SUM(S$211:S360)</f>
        <v>66249</v>
      </c>
      <c r="AA360" s="38">
        <f>SUM(T$211:T360)</f>
        <v>33127</v>
      </c>
      <c r="AB360" s="38">
        <f>SUM(U$211:U360)</f>
        <v>17046</v>
      </c>
      <c r="AC360" s="38">
        <f>SUM(V$211:V360)</f>
        <v>900</v>
      </c>
      <c r="AD360" s="38">
        <f t="shared" si="135"/>
        <v>2985104</v>
      </c>
    </row>
    <row r="361" spans="1:30" x14ac:dyDescent="0.25">
      <c r="A361" s="86" t="s">
        <v>254</v>
      </c>
      <c r="B361" s="14">
        <f t="shared" si="129"/>
        <v>151</v>
      </c>
      <c r="C361" s="14">
        <f t="shared" si="137"/>
        <v>179</v>
      </c>
      <c r="D361" s="14">
        <f t="shared" si="137"/>
        <v>89</v>
      </c>
      <c r="E361" s="14">
        <f t="shared" si="137"/>
        <v>44</v>
      </c>
      <c r="F361" s="14">
        <f t="shared" si="137"/>
        <v>2355</v>
      </c>
      <c r="G361" s="74">
        <f t="shared" si="130"/>
        <v>3075</v>
      </c>
      <c r="H361" s="14">
        <f t="shared" si="128"/>
        <v>44250</v>
      </c>
      <c r="I361" s="14"/>
      <c r="J361" s="14">
        <f t="shared" si="138"/>
        <v>88200</v>
      </c>
      <c r="K361" s="14">
        <f t="shared" si="138"/>
        <v>6</v>
      </c>
      <c r="L361" s="14">
        <v>1</v>
      </c>
      <c r="M361" s="14">
        <f t="shared" si="136"/>
        <v>894</v>
      </c>
      <c r="N361" s="14">
        <f t="shared" si="136"/>
        <v>447</v>
      </c>
      <c r="O361" s="14">
        <f t="shared" si="136"/>
        <v>219</v>
      </c>
      <c r="P361" s="14">
        <f t="shared" si="140"/>
        <v>300</v>
      </c>
      <c r="Q361" s="38">
        <f t="shared" si="141"/>
        <v>300</v>
      </c>
      <c r="R361" s="38">
        <f t="shared" si="131"/>
        <v>132450</v>
      </c>
      <c r="S361" s="38">
        <f t="shared" si="132"/>
        <v>894</v>
      </c>
      <c r="T361" s="38">
        <f t="shared" si="133"/>
        <v>447</v>
      </c>
      <c r="U361" s="38"/>
      <c r="V361" s="38">
        <f t="shared" si="142"/>
        <v>6</v>
      </c>
      <c r="W361" s="38">
        <f t="shared" si="134"/>
        <v>29955</v>
      </c>
      <c r="X361" s="38">
        <f>SUM(Q$211:Q361)</f>
        <v>43050</v>
      </c>
      <c r="Y361" s="38">
        <f>SUM(R$211:R361)</f>
        <v>9822450</v>
      </c>
      <c r="Z361" s="38">
        <f>SUM(S$211:S361)</f>
        <v>67143</v>
      </c>
      <c r="AA361" s="38">
        <f>SUM(T$211:T361)</f>
        <v>33574</v>
      </c>
      <c r="AB361" s="38">
        <f>SUM(U$211:U361)</f>
        <v>17046</v>
      </c>
      <c r="AC361" s="38">
        <f>SUM(V$211:V361)</f>
        <v>906</v>
      </c>
      <c r="AD361" s="38">
        <f t="shared" si="135"/>
        <v>3015059</v>
      </c>
    </row>
    <row r="362" spans="1:30" x14ac:dyDescent="0.25">
      <c r="A362" s="86" t="s">
        <v>254</v>
      </c>
      <c r="B362" s="14">
        <f t="shared" si="129"/>
        <v>152</v>
      </c>
      <c r="C362" s="14">
        <f t="shared" si="137"/>
        <v>180</v>
      </c>
      <c r="D362" s="14">
        <f t="shared" si="137"/>
        <v>90</v>
      </c>
      <c r="E362" s="14">
        <f t="shared" si="137"/>
        <v>44</v>
      </c>
      <c r="F362" s="14">
        <f t="shared" si="137"/>
        <v>2355</v>
      </c>
      <c r="G362" s="74">
        <f t="shared" si="130"/>
        <v>3081</v>
      </c>
      <c r="H362" s="14">
        <f t="shared" si="128"/>
        <v>44550</v>
      </c>
      <c r="I362" s="14"/>
      <c r="J362" s="14">
        <f t="shared" si="138"/>
        <v>88800</v>
      </c>
      <c r="K362" s="14">
        <f t="shared" si="138"/>
        <v>6</v>
      </c>
      <c r="L362" s="14">
        <v>1</v>
      </c>
      <c r="M362" s="14">
        <f t="shared" si="136"/>
        <v>900</v>
      </c>
      <c r="N362" s="14">
        <f t="shared" si="136"/>
        <v>450</v>
      </c>
      <c r="O362" s="14">
        <f t="shared" si="136"/>
        <v>221</v>
      </c>
      <c r="P362" s="14">
        <f t="shared" si="140"/>
        <v>300</v>
      </c>
      <c r="Q362" s="38">
        <f t="shared" si="141"/>
        <v>300</v>
      </c>
      <c r="R362" s="38">
        <f t="shared" si="131"/>
        <v>133350</v>
      </c>
      <c r="S362" s="38">
        <f t="shared" si="132"/>
        <v>900</v>
      </c>
      <c r="T362" s="38">
        <f t="shared" si="133"/>
        <v>450</v>
      </c>
      <c r="U362" s="38"/>
      <c r="V362" s="38">
        <f t="shared" si="142"/>
        <v>6</v>
      </c>
      <c r="W362" s="38">
        <f t="shared" si="134"/>
        <v>30156</v>
      </c>
      <c r="X362" s="38">
        <f>SUM(Q$211:Q362)</f>
        <v>43350</v>
      </c>
      <c r="Y362" s="38">
        <f>SUM(R$211:R362)</f>
        <v>9955800</v>
      </c>
      <c r="Z362" s="38">
        <f>SUM(S$211:S362)</f>
        <v>68043</v>
      </c>
      <c r="AA362" s="38">
        <f>SUM(T$211:T362)</f>
        <v>34024</v>
      </c>
      <c r="AB362" s="38">
        <f>SUM(U$211:U362)</f>
        <v>17046</v>
      </c>
      <c r="AC362" s="38">
        <f>SUM(V$211:V362)</f>
        <v>912</v>
      </c>
      <c r="AD362" s="38">
        <f t="shared" si="135"/>
        <v>3045215</v>
      </c>
    </row>
    <row r="363" spans="1:30" x14ac:dyDescent="0.25">
      <c r="A363" s="86" t="s">
        <v>254</v>
      </c>
      <c r="B363" s="14">
        <f t="shared" si="129"/>
        <v>153</v>
      </c>
      <c r="C363" s="14">
        <f t="shared" si="137"/>
        <v>182</v>
      </c>
      <c r="D363" s="14">
        <f t="shared" si="137"/>
        <v>90</v>
      </c>
      <c r="E363" s="14">
        <f t="shared" si="137"/>
        <v>45</v>
      </c>
      <c r="F363" s="14">
        <f t="shared" si="137"/>
        <v>2385</v>
      </c>
      <c r="G363" s="74">
        <f t="shared" si="130"/>
        <v>3134</v>
      </c>
      <c r="H363" s="14">
        <f t="shared" si="128"/>
        <v>44850</v>
      </c>
      <c r="I363" s="14"/>
      <c r="J363" s="14">
        <f t="shared" si="138"/>
        <v>89400</v>
      </c>
      <c r="K363" s="14">
        <f t="shared" si="138"/>
        <v>6</v>
      </c>
      <c r="L363" s="14">
        <v>1</v>
      </c>
      <c r="M363" s="14">
        <f t="shared" si="136"/>
        <v>906</v>
      </c>
      <c r="N363" s="14">
        <f t="shared" si="136"/>
        <v>453</v>
      </c>
      <c r="O363" s="14">
        <f t="shared" si="136"/>
        <v>222</v>
      </c>
      <c r="P363" s="14">
        <f t="shared" si="140"/>
        <v>300</v>
      </c>
      <c r="Q363" s="38">
        <f t="shared" si="141"/>
        <v>300</v>
      </c>
      <c r="R363" s="38">
        <f t="shared" si="131"/>
        <v>134250</v>
      </c>
      <c r="S363" s="38">
        <f t="shared" si="132"/>
        <v>906</v>
      </c>
      <c r="T363" s="38">
        <f t="shared" si="133"/>
        <v>453</v>
      </c>
      <c r="U363" s="38"/>
      <c r="V363" s="38">
        <f t="shared" si="142"/>
        <v>6</v>
      </c>
      <c r="W363" s="38">
        <f t="shared" si="134"/>
        <v>30357</v>
      </c>
      <c r="X363" s="38">
        <f>SUM(Q$211:Q363)</f>
        <v>43650</v>
      </c>
      <c r="Y363" s="38">
        <f>SUM(R$211:R363)</f>
        <v>10090050</v>
      </c>
      <c r="Z363" s="38">
        <f>SUM(S$211:S363)</f>
        <v>68949</v>
      </c>
      <c r="AA363" s="38">
        <f>SUM(T$211:T363)</f>
        <v>34477</v>
      </c>
      <c r="AB363" s="38">
        <f>SUM(U$211:U363)</f>
        <v>17046</v>
      </c>
      <c r="AC363" s="38">
        <f>SUM(V$211:V363)</f>
        <v>918</v>
      </c>
      <c r="AD363" s="38">
        <f t="shared" si="135"/>
        <v>3075572</v>
      </c>
    </row>
    <row r="364" spans="1:30" x14ac:dyDescent="0.25">
      <c r="A364" s="86" t="s">
        <v>254</v>
      </c>
      <c r="B364" s="14">
        <f t="shared" si="129"/>
        <v>154</v>
      </c>
      <c r="C364" s="14">
        <f t="shared" si="137"/>
        <v>183</v>
      </c>
      <c r="D364" s="14">
        <f t="shared" si="137"/>
        <v>92</v>
      </c>
      <c r="E364" s="14">
        <f t="shared" si="137"/>
        <v>45</v>
      </c>
      <c r="F364" s="14">
        <f t="shared" si="137"/>
        <v>2385</v>
      </c>
      <c r="G364" s="74">
        <f t="shared" si="130"/>
        <v>3145</v>
      </c>
      <c r="H364" s="14">
        <f t="shared" si="128"/>
        <v>45150</v>
      </c>
      <c r="I364" s="14"/>
      <c r="J364" s="14">
        <f t="shared" si="138"/>
        <v>90000</v>
      </c>
      <c r="K364" s="14">
        <f t="shared" si="138"/>
        <v>6</v>
      </c>
      <c r="L364" s="14">
        <v>1</v>
      </c>
      <c r="M364" s="14">
        <f t="shared" si="136"/>
        <v>912</v>
      </c>
      <c r="N364" s="14">
        <f t="shared" si="136"/>
        <v>456</v>
      </c>
      <c r="O364" s="14">
        <f t="shared" si="136"/>
        <v>224</v>
      </c>
      <c r="P364" s="14">
        <f t="shared" si="140"/>
        <v>300</v>
      </c>
      <c r="Q364" s="38">
        <f t="shared" si="141"/>
        <v>300</v>
      </c>
      <c r="R364" s="38">
        <f t="shared" si="131"/>
        <v>135150</v>
      </c>
      <c r="S364" s="38">
        <f t="shared" si="132"/>
        <v>912</v>
      </c>
      <c r="T364" s="38">
        <f t="shared" si="133"/>
        <v>456</v>
      </c>
      <c r="U364" s="38">
        <f t="shared" ref="U364:U379" si="143">E364+O364</f>
        <v>269</v>
      </c>
      <c r="V364" s="38">
        <f t="shared" si="142"/>
        <v>6</v>
      </c>
      <c r="W364" s="38">
        <f t="shared" si="134"/>
        <v>42663</v>
      </c>
      <c r="X364" s="38">
        <f>SUM(Q$211:Q364)</f>
        <v>43950</v>
      </c>
      <c r="Y364" s="38">
        <f>SUM(R$211:R364)</f>
        <v>10225200</v>
      </c>
      <c r="Z364" s="38">
        <f>SUM(S$211:S364)</f>
        <v>69861</v>
      </c>
      <c r="AA364" s="38">
        <f>SUM(T$211:T364)</f>
        <v>34933</v>
      </c>
      <c r="AB364" s="38">
        <f>SUM(U$211:U364)</f>
        <v>17315</v>
      </c>
      <c r="AC364" s="38">
        <f>SUM(V$211:V364)</f>
        <v>924</v>
      </c>
      <c r="AD364" s="38">
        <f t="shared" si="135"/>
        <v>3118235</v>
      </c>
    </row>
    <row r="365" spans="1:30" x14ac:dyDescent="0.25">
      <c r="A365" s="86" t="s">
        <v>254</v>
      </c>
      <c r="B365" s="14">
        <f t="shared" si="129"/>
        <v>155</v>
      </c>
      <c r="C365" s="14">
        <f t="shared" si="137"/>
        <v>183</v>
      </c>
      <c r="D365" s="14">
        <f t="shared" si="137"/>
        <v>92</v>
      </c>
      <c r="E365" s="14">
        <f t="shared" si="137"/>
        <v>45</v>
      </c>
      <c r="F365" s="14">
        <f t="shared" si="137"/>
        <v>2415</v>
      </c>
      <c r="G365" s="74">
        <f t="shared" si="130"/>
        <v>3151</v>
      </c>
      <c r="H365" s="14">
        <f t="shared" si="128"/>
        <v>45450</v>
      </c>
      <c r="I365" s="14"/>
      <c r="J365" s="14">
        <f t="shared" si="138"/>
        <v>90600</v>
      </c>
      <c r="K365" s="14">
        <f t="shared" si="138"/>
        <v>6</v>
      </c>
      <c r="L365" s="14">
        <v>1</v>
      </c>
      <c r="M365" s="14">
        <f t="shared" si="136"/>
        <v>918</v>
      </c>
      <c r="N365" s="14">
        <f t="shared" si="136"/>
        <v>459</v>
      </c>
      <c r="O365" s="14">
        <f t="shared" si="136"/>
        <v>225</v>
      </c>
      <c r="P365" s="14">
        <f t="shared" si="140"/>
        <v>300</v>
      </c>
      <c r="Q365" s="42">
        <f t="shared" si="141"/>
        <v>300</v>
      </c>
      <c r="R365" s="38">
        <f t="shared" si="131"/>
        <v>136050</v>
      </c>
      <c r="S365" s="38">
        <f t="shared" si="132"/>
        <v>918</v>
      </c>
      <c r="T365" s="38">
        <f t="shared" si="133"/>
        <v>459</v>
      </c>
      <c r="U365" s="42">
        <f t="shared" si="143"/>
        <v>270</v>
      </c>
      <c r="V365" s="42">
        <f t="shared" si="142"/>
        <v>6</v>
      </c>
      <c r="W365" s="38">
        <f t="shared" si="134"/>
        <v>42909</v>
      </c>
      <c r="X365" s="38">
        <f>SUM(Q$211:Q365)</f>
        <v>44250</v>
      </c>
      <c r="Y365" s="38">
        <f>SUM(R$211:R365)</f>
        <v>10361250</v>
      </c>
      <c r="Z365" s="38">
        <f>SUM(S$211:S365)</f>
        <v>70779</v>
      </c>
      <c r="AA365" s="38">
        <f>SUM(T$211:T365)</f>
        <v>35392</v>
      </c>
      <c r="AB365" s="38">
        <f>SUM(U$211:U365)</f>
        <v>17585</v>
      </c>
      <c r="AC365" s="38">
        <f>SUM(V$211:V365)</f>
        <v>930</v>
      </c>
      <c r="AD365" s="38">
        <f t="shared" si="135"/>
        <v>3161144</v>
      </c>
    </row>
    <row r="366" spans="1:30" x14ac:dyDescent="0.25">
      <c r="A366" s="86" t="s">
        <v>254</v>
      </c>
      <c r="B366" s="14">
        <f t="shared" si="129"/>
        <v>156</v>
      </c>
      <c r="C366" s="14">
        <f t="shared" si="137"/>
        <v>185</v>
      </c>
      <c r="D366" s="14">
        <f t="shared" si="137"/>
        <v>92</v>
      </c>
      <c r="E366" s="14">
        <f t="shared" si="137"/>
        <v>45</v>
      </c>
      <c r="F366" s="14">
        <f t="shared" si="137"/>
        <v>2415</v>
      </c>
      <c r="G366" s="74">
        <f t="shared" si="130"/>
        <v>3153</v>
      </c>
      <c r="H366" s="14">
        <f t="shared" si="128"/>
        <v>45750</v>
      </c>
      <c r="I366" s="14"/>
      <c r="J366" s="14">
        <f t="shared" si="138"/>
        <v>91200</v>
      </c>
      <c r="K366" s="14">
        <f t="shared" si="138"/>
        <v>6</v>
      </c>
      <c r="L366" s="14">
        <v>1</v>
      </c>
      <c r="M366" s="14">
        <f t="shared" si="136"/>
        <v>924</v>
      </c>
      <c r="N366" s="14">
        <f t="shared" si="136"/>
        <v>462</v>
      </c>
      <c r="O366" s="14">
        <f t="shared" si="136"/>
        <v>227</v>
      </c>
      <c r="P366" s="14">
        <f t="shared" si="140"/>
        <v>300</v>
      </c>
      <c r="Q366" s="38">
        <f t="shared" si="141"/>
        <v>300</v>
      </c>
      <c r="R366" s="38">
        <f t="shared" si="131"/>
        <v>136950</v>
      </c>
      <c r="S366" s="38">
        <f t="shared" si="132"/>
        <v>924</v>
      </c>
      <c r="T366" s="38">
        <f t="shared" si="133"/>
        <v>462</v>
      </c>
      <c r="U366" s="38">
        <f t="shared" si="143"/>
        <v>272</v>
      </c>
      <c r="V366" s="38">
        <f t="shared" si="142"/>
        <v>6</v>
      </c>
      <c r="W366" s="38">
        <f t="shared" si="134"/>
        <v>43200</v>
      </c>
      <c r="X366" s="38">
        <f>SUM(Q$211:Q366)</f>
        <v>44550</v>
      </c>
      <c r="Y366" s="38">
        <f>SUM(R$211:R366)</f>
        <v>10498200</v>
      </c>
      <c r="Z366" s="38">
        <f>SUM(S$211:S366)</f>
        <v>71703</v>
      </c>
      <c r="AA366" s="38">
        <f>SUM(T$211:T366)</f>
        <v>35854</v>
      </c>
      <c r="AB366" s="38">
        <f>SUM(U$211:U366)</f>
        <v>17857</v>
      </c>
      <c r="AC366" s="38">
        <f>SUM(V$211:V366)</f>
        <v>936</v>
      </c>
      <c r="AD366" s="38">
        <f t="shared" si="135"/>
        <v>3204344</v>
      </c>
    </row>
    <row r="367" spans="1:30" x14ac:dyDescent="0.25">
      <c r="A367" s="86" t="s">
        <v>254</v>
      </c>
      <c r="B367" s="14">
        <f t="shared" si="129"/>
        <v>157</v>
      </c>
      <c r="C367" s="14">
        <f t="shared" si="137"/>
        <v>186</v>
      </c>
      <c r="D367" s="14">
        <f t="shared" si="137"/>
        <v>93</v>
      </c>
      <c r="E367" s="14">
        <f t="shared" si="137"/>
        <v>45</v>
      </c>
      <c r="F367" s="14">
        <f t="shared" si="137"/>
        <v>2445</v>
      </c>
      <c r="G367" s="74">
        <f t="shared" si="130"/>
        <v>3165</v>
      </c>
      <c r="H367" s="14">
        <f t="shared" si="128"/>
        <v>46050</v>
      </c>
      <c r="I367" s="14"/>
      <c r="J367" s="14">
        <f t="shared" si="138"/>
        <v>91800</v>
      </c>
      <c r="K367" s="14">
        <f t="shared" si="138"/>
        <v>6</v>
      </c>
      <c r="L367" s="14">
        <v>1</v>
      </c>
      <c r="M367" s="14">
        <f t="shared" ref="M367:O386" si="144">MAX(1,ROUND(M164*INDEX($O$1:$U$4,MATCH($A367,$O$1:$O$4,0),MATCH(M$210,$O$1:$U$1,0)),0))</f>
        <v>930</v>
      </c>
      <c r="N367" s="14">
        <f t="shared" si="144"/>
        <v>465</v>
      </c>
      <c r="O367" s="14">
        <f t="shared" si="144"/>
        <v>228</v>
      </c>
      <c r="P367" s="14">
        <f t="shared" si="140"/>
        <v>300</v>
      </c>
      <c r="Q367" s="38">
        <f t="shared" si="141"/>
        <v>300</v>
      </c>
      <c r="R367" s="38">
        <f t="shared" si="131"/>
        <v>137850</v>
      </c>
      <c r="S367" s="38">
        <f t="shared" si="132"/>
        <v>930</v>
      </c>
      <c r="T367" s="38">
        <f t="shared" si="133"/>
        <v>465</v>
      </c>
      <c r="U367" s="38">
        <f t="shared" si="143"/>
        <v>273</v>
      </c>
      <c r="V367" s="38">
        <f t="shared" si="142"/>
        <v>6</v>
      </c>
      <c r="W367" s="38">
        <f t="shared" si="134"/>
        <v>43446</v>
      </c>
      <c r="X367" s="38">
        <f>SUM(Q$211:Q367)</f>
        <v>44850</v>
      </c>
      <c r="Y367" s="38">
        <f>SUM(R$211:R367)</f>
        <v>10636050</v>
      </c>
      <c r="Z367" s="38">
        <f>SUM(S$211:S367)</f>
        <v>72633</v>
      </c>
      <c r="AA367" s="38">
        <f>SUM(T$211:T367)</f>
        <v>36319</v>
      </c>
      <c r="AB367" s="38">
        <f>SUM(U$211:U367)</f>
        <v>18130</v>
      </c>
      <c r="AC367" s="38">
        <f>SUM(V$211:V367)</f>
        <v>942</v>
      </c>
      <c r="AD367" s="38">
        <f t="shared" si="135"/>
        <v>3247790</v>
      </c>
    </row>
    <row r="368" spans="1:30" x14ac:dyDescent="0.25">
      <c r="A368" s="86" t="s">
        <v>254</v>
      </c>
      <c r="B368" s="14">
        <f t="shared" si="129"/>
        <v>158</v>
      </c>
      <c r="C368" s="14">
        <f t="shared" si="137"/>
        <v>188</v>
      </c>
      <c r="D368" s="14">
        <f t="shared" si="137"/>
        <v>93</v>
      </c>
      <c r="E368" s="14">
        <f t="shared" si="137"/>
        <v>47</v>
      </c>
      <c r="F368" s="14">
        <f t="shared" si="137"/>
        <v>2445</v>
      </c>
      <c r="G368" s="74">
        <f t="shared" si="130"/>
        <v>3257</v>
      </c>
      <c r="H368" s="14">
        <f t="shared" si="128"/>
        <v>46350</v>
      </c>
      <c r="I368" s="14"/>
      <c r="J368" s="14">
        <f t="shared" si="138"/>
        <v>92400</v>
      </c>
      <c r="K368" s="14">
        <f t="shared" si="138"/>
        <v>6</v>
      </c>
      <c r="L368" s="14">
        <v>1</v>
      </c>
      <c r="M368" s="14">
        <f t="shared" si="144"/>
        <v>936</v>
      </c>
      <c r="N368" s="14">
        <f t="shared" si="144"/>
        <v>468</v>
      </c>
      <c r="O368" s="14">
        <f t="shared" si="144"/>
        <v>230</v>
      </c>
      <c r="P368" s="14">
        <f t="shared" si="140"/>
        <v>300</v>
      </c>
      <c r="Q368" s="38">
        <f t="shared" si="141"/>
        <v>300</v>
      </c>
      <c r="R368" s="38">
        <f t="shared" si="131"/>
        <v>138750</v>
      </c>
      <c r="S368" s="38">
        <f t="shared" si="132"/>
        <v>936</v>
      </c>
      <c r="T368" s="38">
        <f t="shared" si="133"/>
        <v>468</v>
      </c>
      <c r="U368" s="38">
        <f t="shared" si="143"/>
        <v>277</v>
      </c>
      <c r="V368" s="38">
        <f t="shared" si="142"/>
        <v>6</v>
      </c>
      <c r="W368" s="38">
        <f t="shared" si="134"/>
        <v>43827</v>
      </c>
      <c r="X368" s="38">
        <f>SUM(Q$211:Q368)</f>
        <v>45150</v>
      </c>
      <c r="Y368" s="38">
        <f>SUM(R$211:R368)</f>
        <v>10774800</v>
      </c>
      <c r="Z368" s="38">
        <f>SUM(S$211:S368)</f>
        <v>73569</v>
      </c>
      <c r="AA368" s="38">
        <f>SUM(T$211:T368)</f>
        <v>36787</v>
      </c>
      <c r="AB368" s="38">
        <f>SUM(U$211:U368)</f>
        <v>18407</v>
      </c>
      <c r="AC368" s="38">
        <f>SUM(V$211:V368)</f>
        <v>948</v>
      </c>
      <c r="AD368" s="38">
        <f t="shared" si="135"/>
        <v>3291617</v>
      </c>
    </row>
    <row r="369" spans="1:30" x14ac:dyDescent="0.25">
      <c r="A369" s="86" t="s">
        <v>254</v>
      </c>
      <c r="B369" s="14">
        <f t="shared" si="129"/>
        <v>159</v>
      </c>
      <c r="C369" s="14">
        <f t="shared" si="137"/>
        <v>189</v>
      </c>
      <c r="D369" s="14">
        <f t="shared" si="137"/>
        <v>95</v>
      </c>
      <c r="E369" s="14">
        <f t="shared" si="137"/>
        <v>47</v>
      </c>
      <c r="F369" s="14">
        <f t="shared" si="137"/>
        <v>2475</v>
      </c>
      <c r="G369" s="74">
        <f t="shared" si="130"/>
        <v>3274</v>
      </c>
      <c r="H369" s="14">
        <f t="shared" si="128"/>
        <v>46650</v>
      </c>
      <c r="I369" s="14"/>
      <c r="J369" s="14">
        <f t="shared" si="138"/>
        <v>93000</v>
      </c>
      <c r="K369" s="14">
        <f t="shared" si="138"/>
        <v>6</v>
      </c>
      <c r="L369" s="14">
        <v>1</v>
      </c>
      <c r="M369" s="14">
        <f t="shared" si="144"/>
        <v>942</v>
      </c>
      <c r="N369" s="14">
        <f t="shared" si="144"/>
        <v>471</v>
      </c>
      <c r="O369" s="14">
        <f t="shared" si="144"/>
        <v>231</v>
      </c>
      <c r="P369" s="14">
        <f t="shared" si="140"/>
        <v>300</v>
      </c>
      <c r="Q369" s="38">
        <f t="shared" si="141"/>
        <v>300</v>
      </c>
      <c r="R369" s="38">
        <f t="shared" si="131"/>
        <v>139650</v>
      </c>
      <c r="S369" s="38">
        <f t="shared" si="132"/>
        <v>942</v>
      </c>
      <c r="T369" s="38">
        <f t="shared" si="133"/>
        <v>471</v>
      </c>
      <c r="U369" s="38">
        <f t="shared" si="143"/>
        <v>278</v>
      </c>
      <c r="V369" s="38">
        <f t="shared" si="142"/>
        <v>6</v>
      </c>
      <c r="W369" s="38">
        <f t="shared" si="134"/>
        <v>44073</v>
      </c>
      <c r="X369" s="38">
        <f>SUM(Q$211:Q369)</f>
        <v>45450</v>
      </c>
      <c r="Y369" s="38">
        <f>SUM(R$211:R369)</f>
        <v>10914450</v>
      </c>
      <c r="Z369" s="38">
        <f>SUM(S$211:S369)</f>
        <v>74511</v>
      </c>
      <c r="AA369" s="38">
        <f>SUM(T$211:T369)</f>
        <v>37258</v>
      </c>
      <c r="AB369" s="38">
        <f>SUM(U$211:U369)</f>
        <v>18685</v>
      </c>
      <c r="AC369" s="38">
        <f>SUM(V$211:V369)</f>
        <v>954</v>
      </c>
      <c r="AD369" s="38">
        <f t="shared" si="135"/>
        <v>3335690</v>
      </c>
    </row>
    <row r="370" spans="1:30" x14ac:dyDescent="0.25">
      <c r="A370" s="86" t="s">
        <v>254</v>
      </c>
      <c r="B370" s="14">
        <f t="shared" si="129"/>
        <v>160</v>
      </c>
      <c r="C370" s="14">
        <f t="shared" si="137"/>
        <v>189</v>
      </c>
      <c r="D370" s="14">
        <f t="shared" si="137"/>
        <v>95</v>
      </c>
      <c r="E370" s="14">
        <f t="shared" si="137"/>
        <v>47</v>
      </c>
      <c r="F370" s="14">
        <f t="shared" si="137"/>
        <v>2475</v>
      </c>
      <c r="G370" s="74">
        <f t="shared" si="130"/>
        <v>3274</v>
      </c>
      <c r="H370" s="14">
        <f t="shared" si="128"/>
        <v>46950</v>
      </c>
      <c r="I370" s="14"/>
      <c r="J370" s="14">
        <f t="shared" si="138"/>
        <v>93600</v>
      </c>
      <c r="K370" s="14">
        <f t="shared" si="138"/>
        <v>6</v>
      </c>
      <c r="L370" s="14">
        <v>1</v>
      </c>
      <c r="M370" s="14">
        <f t="shared" si="144"/>
        <v>948</v>
      </c>
      <c r="N370" s="14">
        <f t="shared" si="144"/>
        <v>474</v>
      </c>
      <c r="O370" s="14">
        <f t="shared" si="144"/>
        <v>233</v>
      </c>
      <c r="P370" s="14">
        <f t="shared" si="140"/>
        <v>300</v>
      </c>
      <c r="Q370" s="38">
        <f t="shared" si="141"/>
        <v>300</v>
      </c>
      <c r="R370" s="38">
        <f t="shared" si="131"/>
        <v>140550</v>
      </c>
      <c r="S370" s="38">
        <f t="shared" si="132"/>
        <v>948</v>
      </c>
      <c r="T370" s="38">
        <f t="shared" si="133"/>
        <v>474</v>
      </c>
      <c r="U370" s="38">
        <f t="shared" si="143"/>
        <v>280</v>
      </c>
      <c r="V370" s="38">
        <f t="shared" si="142"/>
        <v>6</v>
      </c>
      <c r="W370" s="38">
        <f t="shared" si="134"/>
        <v>44364</v>
      </c>
      <c r="X370" s="38">
        <f>SUM(Q$211:Q370)</f>
        <v>45750</v>
      </c>
      <c r="Y370" s="38">
        <f>SUM(R$211:R370)</f>
        <v>11055000</v>
      </c>
      <c r="Z370" s="38">
        <f>SUM(S$211:S370)</f>
        <v>75459</v>
      </c>
      <c r="AA370" s="38">
        <f>SUM(T$211:T370)</f>
        <v>37732</v>
      </c>
      <c r="AB370" s="38">
        <f>SUM(U$211:U370)</f>
        <v>18965</v>
      </c>
      <c r="AC370" s="38">
        <f>SUM(V$211:V370)</f>
        <v>960</v>
      </c>
      <c r="AD370" s="38">
        <f t="shared" si="135"/>
        <v>3380054</v>
      </c>
    </row>
    <row r="371" spans="1:30" x14ac:dyDescent="0.25">
      <c r="A371" s="86" t="s">
        <v>254</v>
      </c>
      <c r="B371" s="14">
        <f t="shared" si="129"/>
        <v>161</v>
      </c>
      <c r="C371" s="14">
        <f t="shared" ref="C371:F390" si="145">MAX(1,ROUND(C168*INDEX($O$1:$U$4,MATCH($A371,$O$1:$O$4,0),MATCH(C$210,$O$1:$U$1,0)),0))</f>
        <v>191</v>
      </c>
      <c r="D371" s="14">
        <f t="shared" si="145"/>
        <v>95</v>
      </c>
      <c r="E371" s="14">
        <f t="shared" si="145"/>
        <v>47</v>
      </c>
      <c r="F371" s="14">
        <f t="shared" si="145"/>
        <v>2505</v>
      </c>
      <c r="G371" s="74">
        <f t="shared" si="130"/>
        <v>3282</v>
      </c>
      <c r="H371" s="14">
        <f t="shared" ref="H371:H402" si="146">MAX(1,ROUND(H168*INDEX($O$1:$U$4,MATCH($A371,$O$1:$O$4,0),MATCH(H$210,$O$1:$U$1,0)),0))</f>
        <v>47250</v>
      </c>
      <c r="I371" s="14"/>
      <c r="J371" s="14">
        <f t="shared" ref="J371:K390" si="147">MAX(1,ROUND(J168*INDEX($O$1:$U$4,MATCH($A371,$O$1:$O$4,0),MATCH(J$210,$O$1:$U$1,0)),0))</f>
        <v>94200</v>
      </c>
      <c r="K371" s="14">
        <f t="shared" si="147"/>
        <v>6</v>
      </c>
      <c r="L371" s="14">
        <v>1</v>
      </c>
      <c r="M371" s="14">
        <f t="shared" si="144"/>
        <v>954</v>
      </c>
      <c r="N371" s="14">
        <f t="shared" si="144"/>
        <v>477</v>
      </c>
      <c r="O371" s="14">
        <f t="shared" si="144"/>
        <v>234</v>
      </c>
      <c r="P371" s="14">
        <f t="shared" si="140"/>
        <v>300</v>
      </c>
      <c r="Q371" s="38">
        <f t="shared" si="141"/>
        <v>300</v>
      </c>
      <c r="R371" s="38">
        <f t="shared" si="131"/>
        <v>141450</v>
      </c>
      <c r="S371" s="38">
        <f t="shared" si="132"/>
        <v>954</v>
      </c>
      <c r="T371" s="38">
        <f t="shared" si="133"/>
        <v>477</v>
      </c>
      <c r="U371" s="38">
        <f t="shared" si="143"/>
        <v>281</v>
      </c>
      <c r="V371" s="38">
        <f t="shared" si="142"/>
        <v>6</v>
      </c>
      <c r="W371" s="38">
        <f t="shared" si="134"/>
        <v>44610</v>
      </c>
      <c r="X371" s="38">
        <f>SUM(Q$211:Q371)</f>
        <v>46050</v>
      </c>
      <c r="Y371" s="38">
        <f>SUM(R$211:R371)</f>
        <v>11196450</v>
      </c>
      <c r="Z371" s="38">
        <f>SUM(S$211:S371)</f>
        <v>76413</v>
      </c>
      <c r="AA371" s="38">
        <f>SUM(T$211:T371)</f>
        <v>38209</v>
      </c>
      <c r="AB371" s="38">
        <f>SUM(U$211:U371)</f>
        <v>19246</v>
      </c>
      <c r="AC371" s="38">
        <f>SUM(V$211:V371)</f>
        <v>966</v>
      </c>
      <c r="AD371" s="38">
        <f t="shared" si="135"/>
        <v>3424664</v>
      </c>
    </row>
    <row r="372" spans="1:30" x14ac:dyDescent="0.25">
      <c r="A372" s="86" t="s">
        <v>254</v>
      </c>
      <c r="B372" s="14">
        <f t="shared" si="129"/>
        <v>162</v>
      </c>
      <c r="C372" s="14">
        <f t="shared" si="145"/>
        <v>192</v>
      </c>
      <c r="D372" s="14">
        <f t="shared" si="145"/>
        <v>96</v>
      </c>
      <c r="E372" s="14">
        <f t="shared" si="145"/>
        <v>47</v>
      </c>
      <c r="F372" s="14">
        <f t="shared" si="145"/>
        <v>2505</v>
      </c>
      <c r="G372" s="74">
        <f t="shared" si="130"/>
        <v>3288</v>
      </c>
      <c r="H372" s="14">
        <f t="shared" si="146"/>
        <v>47550</v>
      </c>
      <c r="I372" s="14"/>
      <c r="J372" s="14">
        <f t="shared" si="147"/>
        <v>94800</v>
      </c>
      <c r="K372" s="14">
        <f t="shared" si="147"/>
        <v>6</v>
      </c>
      <c r="L372" s="14">
        <v>1</v>
      </c>
      <c r="M372" s="14">
        <f t="shared" si="144"/>
        <v>960</v>
      </c>
      <c r="N372" s="14">
        <f t="shared" si="144"/>
        <v>480</v>
      </c>
      <c r="O372" s="14">
        <f t="shared" si="144"/>
        <v>236</v>
      </c>
      <c r="P372" s="14">
        <f t="shared" si="140"/>
        <v>300</v>
      </c>
      <c r="Q372" s="38">
        <f t="shared" si="141"/>
        <v>300</v>
      </c>
      <c r="R372" s="38">
        <f t="shared" si="131"/>
        <v>142350</v>
      </c>
      <c r="S372" s="38">
        <f t="shared" si="132"/>
        <v>960</v>
      </c>
      <c r="T372" s="38">
        <f t="shared" si="133"/>
        <v>480</v>
      </c>
      <c r="U372" s="38">
        <f t="shared" si="143"/>
        <v>283</v>
      </c>
      <c r="V372" s="38">
        <f t="shared" si="142"/>
        <v>6</v>
      </c>
      <c r="W372" s="38">
        <f t="shared" si="134"/>
        <v>44901</v>
      </c>
      <c r="X372" s="38">
        <f>SUM(Q$211:Q372)</f>
        <v>46350</v>
      </c>
      <c r="Y372" s="38">
        <f>SUM(R$211:R372)</f>
        <v>11338800</v>
      </c>
      <c r="Z372" s="38">
        <f>SUM(S$211:S372)</f>
        <v>77373</v>
      </c>
      <c r="AA372" s="38">
        <f>SUM(T$211:T372)</f>
        <v>38689</v>
      </c>
      <c r="AB372" s="38">
        <f>SUM(U$211:U372)</f>
        <v>19529</v>
      </c>
      <c r="AC372" s="38">
        <f>SUM(V$211:V372)</f>
        <v>972</v>
      </c>
      <c r="AD372" s="38">
        <f t="shared" si="135"/>
        <v>3469565</v>
      </c>
    </row>
    <row r="373" spans="1:30" x14ac:dyDescent="0.25">
      <c r="A373" s="86" t="s">
        <v>254</v>
      </c>
      <c r="B373" s="14">
        <f t="shared" si="129"/>
        <v>163</v>
      </c>
      <c r="C373" s="14">
        <f t="shared" si="145"/>
        <v>194</v>
      </c>
      <c r="D373" s="14">
        <f t="shared" si="145"/>
        <v>96</v>
      </c>
      <c r="E373" s="14">
        <f t="shared" si="145"/>
        <v>48</v>
      </c>
      <c r="F373" s="14">
        <f t="shared" si="145"/>
        <v>2535</v>
      </c>
      <c r="G373" s="74">
        <f t="shared" si="130"/>
        <v>3341</v>
      </c>
      <c r="H373" s="14">
        <f t="shared" si="146"/>
        <v>47850</v>
      </c>
      <c r="I373" s="14"/>
      <c r="J373" s="14">
        <f t="shared" si="147"/>
        <v>95400</v>
      </c>
      <c r="K373" s="14">
        <f t="shared" si="147"/>
        <v>6</v>
      </c>
      <c r="L373" s="14">
        <v>1</v>
      </c>
      <c r="M373" s="14">
        <f t="shared" si="144"/>
        <v>966</v>
      </c>
      <c r="N373" s="14">
        <f t="shared" si="144"/>
        <v>483</v>
      </c>
      <c r="O373" s="14">
        <f t="shared" si="144"/>
        <v>237</v>
      </c>
      <c r="P373" s="14">
        <f t="shared" si="140"/>
        <v>300</v>
      </c>
      <c r="Q373" s="38">
        <f t="shared" si="141"/>
        <v>300</v>
      </c>
      <c r="R373" s="38">
        <f t="shared" si="131"/>
        <v>143250</v>
      </c>
      <c r="S373" s="38">
        <f t="shared" si="132"/>
        <v>966</v>
      </c>
      <c r="T373" s="38">
        <f t="shared" si="133"/>
        <v>483</v>
      </c>
      <c r="U373" s="38">
        <f t="shared" si="143"/>
        <v>285</v>
      </c>
      <c r="V373" s="38">
        <f t="shared" si="142"/>
        <v>6</v>
      </c>
      <c r="W373" s="38">
        <f t="shared" si="134"/>
        <v>45192</v>
      </c>
      <c r="X373" s="38">
        <f>SUM(Q$211:Q373)</f>
        <v>46650</v>
      </c>
      <c r="Y373" s="38">
        <f>SUM(R$211:R373)</f>
        <v>11482050</v>
      </c>
      <c r="Z373" s="38">
        <f>SUM(S$211:S373)</f>
        <v>78339</v>
      </c>
      <c r="AA373" s="38">
        <f>SUM(T$211:T373)</f>
        <v>39172</v>
      </c>
      <c r="AB373" s="38">
        <f>SUM(U$211:U373)</f>
        <v>19814</v>
      </c>
      <c r="AC373" s="38">
        <f>SUM(V$211:V373)</f>
        <v>978</v>
      </c>
      <c r="AD373" s="38">
        <f t="shared" si="135"/>
        <v>3514757</v>
      </c>
    </row>
    <row r="374" spans="1:30" x14ac:dyDescent="0.25">
      <c r="A374" s="86" t="s">
        <v>254</v>
      </c>
      <c r="B374" s="14">
        <f t="shared" si="129"/>
        <v>164</v>
      </c>
      <c r="C374" s="14">
        <f t="shared" si="145"/>
        <v>195</v>
      </c>
      <c r="D374" s="14">
        <f t="shared" si="145"/>
        <v>98</v>
      </c>
      <c r="E374" s="14">
        <f t="shared" si="145"/>
        <v>48</v>
      </c>
      <c r="F374" s="14">
        <f t="shared" si="145"/>
        <v>2535</v>
      </c>
      <c r="G374" s="74">
        <f t="shared" si="130"/>
        <v>3352</v>
      </c>
      <c r="H374" s="14">
        <f t="shared" si="146"/>
        <v>48150</v>
      </c>
      <c r="I374" s="14"/>
      <c r="J374" s="14">
        <f t="shared" si="147"/>
        <v>96000</v>
      </c>
      <c r="K374" s="14">
        <f t="shared" si="147"/>
        <v>6</v>
      </c>
      <c r="L374" s="14">
        <v>1</v>
      </c>
      <c r="M374" s="14">
        <f t="shared" si="144"/>
        <v>972</v>
      </c>
      <c r="N374" s="14">
        <f t="shared" si="144"/>
        <v>486</v>
      </c>
      <c r="O374" s="14">
        <f t="shared" si="144"/>
        <v>239</v>
      </c>
      <c r="P374" s="14">
        <f t="shared" si="140"/>
        <v>300</v>
      </c>
      <c r="Q374" s="38">
        <f t="shared" si="141"/>
        <v>300</v>
      </c>
      <c r="R374" s="38">
        <f t="shared" si="131"/>
        <v>144150</v>
      </c>
      <c r="S374" s="38">
        <f t="shared" si="132"/>
        <v>972</v>
      </c>
      <c r="T374" s="38">
        <f t="shared" si="133"/>
        <v>486</v>
      </c>
      <c r="U374" s="38">
        <f t="shared" si="143"/>
        <v>287</v>
      </c>
      <c r="V374" s="38">
        <f t="shared" si="142"/>
        <v>6</v>
      </c>
      <c r="W374" s="38">
        <f t="shared" si="134"/>
        <v>45483</v>
      </c>
      <c r="X374" s="38">
        <f>SUM(Q$211:Q374)</f>
        <v>46950</v>
      </c>
      <c r="Y374" s="38">
        <f>SUM(R$211:R374)</f>
        <v>11626200</v>
      </c>
      <c r="Z374" s="38">
        <f>SUM(S$211:S374)</f>
        <v>79311</v>
      </c>
      <c r="AA374" s="38">
        <f>SUM(T$211:T374)</f>
        <v>39658</v>
      </c>
      <c r="AB374" s="38">
        <f>SUM(U$211:U374)</f>
        <v>20101</v>
      </c>
      <c r="AC374" s="38">
        <f>SUM(V$211:V374)</f>
        <v>984</v>
      </c>
      <c r="AD374" s="38">
        <f t="shared" si="135"/>
        <v>3560240</v>
      </c>
    </row>
    <row r="375" spans="1:30" x14ac:dyDescent="0.25">
      <c r="A375" s="86" t="s">
        <v>254</v>
      </c>
      <c r="B375" s="14">
        <f t="shared" si="129"/>
        <v>165</v>
      </c>
      <c r="C375" s="14">
        <f t="shared" si="145"/>
        <v>195</v>
      </c>
      <c r="D375" s="14">
        <f t="shared" si="145"/>
        <v>98</v>
      </c>
      <c r="E375" s="14">
        <f t="shared" si="145"/>
        <v>48</v>
      </c>
      <c r="F375" s="14">
        <f t="shared" si="145"/>
        <v>2565</v>
      </c>
      <c r="G375" s="74">
        <f t="shared" si="130"/>
        <v>3358</v>
      </c>
      <c r="H375" s="14">
        <f t="shared" si="146"/>
        <v>48450</v>
      </c>
      <c r="I375" s="14"/>
      <c r="J375" s="14">
        <f t="shared" si="147"/>
        <v>96600</v>
      </c>
      <c r="K375" s="14">
        <f t="shared" si="147"/>
        <v>6</v>
      </c>
      <c r="L375" s="14">
        <v>1</v>
      </c>
      <c r="M375" s="14">
        <f t="shared" si="144"/>
        <v>978</v>
      </c>
      <c r="N375" s="14">
        <f t="shared" si="144"/>
        <v>489</v>
      </c>
      <c r="O375" s="14">
        <f t="shared" si="144"/>
        <v>240</v>
      </c>
      <c r="P375" s="14">
        <f t="shared" si="140"/>
        <v>300</v>
      </c>
      <c r="Q375" s="38">
        <f t="shared" si="141"/>
        <v>300</v>
      </c>
      <c r="R375" s="38">
        <f t="shared" si="131"/>
        <v>145050</v>
      </c>
      <c r="S375" s="38">
        <f t="shared" si="132"/>
        <v>978</v>
      </c>
      <c r="T375" s="38">
        <f t="shared" si="133"/>
        <v>489</v>
      </c>
      <c r="U375" s="38">
        <f t="shared" si="143"/>
        <v>288</v>
      </c>
      <c r="V375" s="38">
        <f t="shared" si="142"/>
        <v>6</v>
      </c>
      <c r="W375" s="38">
        <f t="shared" si="134"/>
        <v>45729</v>
      </c>
      <c r="X375" s="38">
        <f>SUM(Q$211:Q375)</f>
        <v>47250</v>
      </c>
      <c r="Y375" s="38">
        <f>SUM(R$211:R375)</f>
        <v>11771250</v>
      </c>
      <c r="Z375" s="38">
        <f>SUM(S$211:S375)</f>
        <v>80289</v>
      </c>
      <c r="AA375" s="38">
        <f>SUM(T$211:T375)</f>
        <v>40147</v>
      </c>
      <c r="AB375" s="38">
        <f>SUM(U$211:U375)</f>
        <v>20389</v>
      </c>
      <c r="AC375" s="38">
        <f>SUM(V$211:V375)</f>
        <v>990</v>
      </c>
      <c r="AD375" s="38">
        <f t="shared" si="135"/>
        <v>3605969</v>
      </c>
    </row>
    <row r="376" spans="1:30" x14ac:dyDescent="0.25">
      <c r="A376" s="86" t="s">
        <v>254</v>
      </c>
      <c r="B376" s="14">
        <f t="shared" si="129"/>
        <v>166</v>
      </c>
      <c r="C376" s="14">
        <f t="shared" si="145"/>
        <v>197</v>
      </c>
      <c r="D376" s="14">
        <f t="shared" si="145"/>
        <v>98</v>
      </c>
      <c r="E376" s="14">
        <f t="shared" si="145"/>
        <v>48</v>
      </c>
      <c r="F376" s="14">
        <f t="shared" si="145"/>
        <v>2565</v>
      </c>
      <c r="G376" s="74">
        <f t="shared" si="130"/>
        <v>3360</v>
      </c>
      <c r="H376" s="14">
        <f t="shared" si="146"/>
        <v>48750</v>
      </c>
      <c r="I376" s="14"/>
      <c r="J376" s="14">
        <f t="shared" si="147"/>
        <v>97200</v>
      </c>
      <c r="K376" s="14">
        <f t="shared" si="147"/>
        <v>6</v>
      </c>
      <c r="L376" s="14">
        <v>1</v>
      </c>
      <c r="M376" s="14">
        <f t="shared" si="144"/>
        <v>984</v>
      </c>
      <c r="N376" s="14">
        <f t="shared" si="144"/>
        <v>492</v>
      </c>
      <c r="O376" s="14">
        <f t="shared" si="144"/>
        <v>242</v>
      </c>
      <c r="P376" s="14">
        <f t="shared" si="140"/>
        <v>300</v>
      </c>
      <c r="Q376" s="38">
        <f t="shared" si="141"/>
        <v>300</v>
      </c>
      <c r="R376" s="38">
        <f t="shared" si="131"/>
        <v>145950</v>
      </c>
      <c r="S376" s="38">
        <f t="shared" si="132"/>
        <v>984</v>
      </c>
      <c r="T376" s="38">
        <f t="shared" si="133"/>
        <v>492</v>
      </c>
      <c r="U376" s="38">
        <f t="shared" si="143"/>
        <v>290</v>
      </c>
      <c r="V376" s="38">
        <f t="shared" si="142"/>
        <v>6</v>
      </c>
      <c r="W376" s="38">
        <f t="shared" si="134"/>
        <v>46020</v>
      </c>
      <c r="X376" s="38">
        <f>SUM(Q$211:Q376)</f>
        <v>47550</v>
      </c>
      <c r="Y376" s="38">
        <f>SUM(R$211:R376)</f>
        <v>11917200</v>
      </c>
      <c r="Z376" s="38">
        <f>SUM(S$211:S376)</f>
        <v>81273</v>
      </c>
      <c r="AA376" s="38">
        <f>SUM(T$211:T376)</f>
        <v>40639</v>
      </c>
      <c r="AB376" s="38">
        <f>SUM(U$211:U376)</f>
        <v>20679</v>
      </c>
      <c r="AC376" s="38">
        <f>SUM(V$211:V376)</f>
        <v>996</v>
      </c>
      <c r="AD376" s="38">
        <f t="shared" si="135"/>
        <v>3651989</v>
      </c>
    </row>
    <row r="377" spans="1:30" x14ac:dyDescent="0.25">
      <c r="A377" s="86" t="s">
        <v>254</v>
      </c>
      <c r="B377" s="14">
        <f t="shared" si="129"/>
        <v>167</v>
      </c>
      <c r="C377" s="14">
        <f t="shared" si="145"/>
        <v>198</v>
      </c>
      <c r="D377" s="14">
        <f t="shared" si="145"/>
        <v>99</v>
      </c>
      <c r="E377" s="14">
        <f t="shared" si="145"/>
        <v>48</v>
      </c>
      <c r="F377" s="14">
        <f t="shared" si="145"/>
        <v>2595</v>
      </c>
      <c r="G377" s="74">
        <f t="shared" si="130"/>
        <v>3372</v>
      </c>
      <c r="H377" s="14">
        <f t="shared" si="146"/>
        <v>49050</v>
      </c>
      <c r="I377" s="14"/>
      <c r="J377" s="14">
        <f t="shared" si="147"/>
        <v>97800</v>
      </c>
      <c r="K377" s="14">
        <f t="shared" si="147"/>
        <v>6</v>
      </c>
      <c r="L377" s="14">
        <v>1</v>
      </c>
      <c r="M377" s="14">
        <f t="shared" si="144"/>
        <v>990</v>
      </c>
      <c r="N377" s="14">
        <f t="shared" si="144"/>
        <v>495</v>
      </c>
      <c r="O377" s="14">
        <f t="shared" si="144"/>
        <v>243</v>
      </c>
      <c r="P377" s="14">
        <f t="shared" si="140"/>
        <v>300</v>
      </c>
      <c r="Q377" s="38">
        <f t="shared" si="141"/>
        <v>300</v>
      </c>
      <c r="R377" s="38">
        <f t="shared" si="131"/>
        <v>146850</v>
      </c>
      <c r="S377" s="38">
        <f t="shared" si="132"/>
        <v>990</v>
      </c>
      <c r="T377" s="38">
        <f t="shared" si="133"/>
        <v>495</v>
      </c>
      <c r="U377" s="38">
        <f t="shared" si="143"/>
        <v>291</v>
      </c>
      <c r="V377" s="38">
        <f t="shared" si="142"/>
        <v>6</v>
      </c>
      <c r="W377" s="38">
        <f t="shared" si="134"/>
        <v>46266</v>
      </c>
      <c r="X377" s="38">
        <f>SUM(Q$211:Q377)</f>
        <v>47850</v>
      </c>
      <c r="Y377" s="38">
        <f>SUM(R$211:R377)</f>
        <v>12064050</v>
      </c>
      <c r="Z377" s="38">
        <f>SUM(S$211:S377)</f>
        <v>82263</v>
      </c>
      <c r="AA377" s="38">
        <f>SUM(T$211:T377)</f>
        <v>41134</v>
      </c>
      <c r="AB377" s="38">
        <f>SUM(U$211:U377)</f>
        <v>20970</v>
      </c>
      <c r="AC377" s="38">
        <f>SUM(V$211:V377)</f>
        <v>1002</v>
      </c>
      <c r="AD377" s="38">
        <f t="shared" si="135"/>
        <v>3698255</v>
      </c>
    </row>
    <row r="378" spans="1:30" x14ac:dyDescent="0.25">
      <c r="A378" s="86" t="s">
        <v>254</v>
      </c>
      <c r="B378" s="14">
        <f t="shared" si="129"/>
        <v>168</v>
      </c>
      <c r="C378" s="14">
        <f t="shared" si="145"/>
        <v>200</v>
      </c>
      <c r="D378" s="14">
        <f t="shared" si="145"/>
        <v>99</v>
      </c>
      <c r="E378" s="14">
        <f t="shared" si="145"/>
        <v>50</v>
      </c>
      <c r="F378" s="14">
        <f t="shared" si="145"/>
        <v>2595</v>
      </c>
      <c r="G378" s="74">
        <f t="shared" si="130"/>
        <v>3464</v>
      </c>
      <c r="H378" s="14">
        <f t="shared" si="146"/>
        <v>49350</v>
      </c>
      <c r="I378" s="14"/>
      <c r="J378" s="14">
        <f t="shared" si="147"/>
        <v>98400</v>
      </c>
      <c r="K378" s="14">
        <f t="shared" si="147"/>
        <v>6</v>
      </c>
      <c r="L378" s="14">
        <v>1</v>
      </c>
      <c r="M378" s="14">
        <f t="shared" si="144"/>
        <v>996</v>
      </c>
      <c r="N378" s="14">
        <f t="shared" si="144"/>
        <v>498</v>
      </c>
      <c r="O378" s="14">
        <f t="shared" si="144"/>
        <v>245</v>
      </c>
      <c r="P378" s="14">
        <f t="shared" si="140"/>
        <v>300</v>
      </c>
      <c r="Q378" s="38">
        <f t="shared" si="141"/>
        <v>300</v>
      </c>
      <c r="R378" s="38">
        <f t="shared" si="131"/>
        <v>147750</v>
      </c>
      <c r="S378" s="38">
        <f t="shared" si="132"/>
        <v>996</v>
      </c>
      <c r="T378" s="38">
        <f t="shared" si="133"/>
        <v>498</v>
      </c>
      <c r="U378" s="38">
        <f t="shared" si="143"/>
        <v>295</v>
      </c>
      <c r="V378" s="38">
        <f t="shared" si="142"/>
        <v>6</v>
      </c>
      <c r="W378" s="38">
        <f t="shared" si="134"/>
        <v>46647</v>
      </c>
      <c r="X378" s="38">
        <f>SUM(Q$211:Q378)</f>
        <v>48150</v>
      </c>
      <c r="Y378" s="38">
        <f>SUM(R$211:R378)</f>
        <v>12211800</v>
      </c>
      <c r="Z378" s="38">
        <f>SUM(S$211:S378)</f>
        <v>83259</v>
      </c>
      <c r="AA378" s="38">
        <f>SUM(T$211:T378)</f>
        <v>41632</v>
      </c>
      <c r="AB378" s="38">
        <f>SUM(U$211:U378)</f>
        <v>21265</v>
      </c>
      <c r="AC378" s="38">
        <f>SUM(V$211:V378)</f>
        <v>1008</v>
      </c>
      <c r="AD378" s="38">
        <f t="shared" si="135"/>
        <v>3744902</v>
      </c>
    </row>
    <row r="379" spans="1:30" x14ac:dyDescent="0.25">
      <c r="A379" s="86" t="s">
        <v>254</v>
      </c>
      <c r="B379" s="14">
        <f t="shared" si="129"/>
        <v>169</v>
      </c>
      <c r="C379" s="14">
        <f t="shared" si="145"/>
        <v>201</v>
      </c>
      <c r="D379" s="14">
        <f t="shared" si="145"/>
        <v>101</v>
      </c>
      <c r="E379" s="14">
        <f t="shared" si="145"/>
        <v>50</v>
      </c>
      <c r="F379" s="14">
        <f t="shared" si="145"/>
        <v>2625</v>
      </c>
      <c r="G379" s="74">
        <f t="shared" si="130"/>
        <v>3481</v>
      </c>
      <c r="H379" s="14">
        <f t="shared" si="146"/>
        <v>49650</v>
      </c>
      <c r="I379" s="14"/>
      <c r="J379" s="14">
        <f t="shared" si="147"/>
        <v>99000</v>
      </c>
      <c r="K379" s="14">
        <f t="shared" si="147"/>
        <v>6</v>
      </c>
      <c r="L379" s="14">
        <v>1</v>
      </c>
      <c r="M379" s="14">
        <f t="shared" si="144"/>
        <v>1002</v>
      </c>
      <c r="N379" s="14">
        <f t="shared" si="144"/>
        <v>501</v>
      </c>
      <c r="O379" s="14">
        <f t="shared" si="144"/>
        <v>246</v>
      </c>
      <c r="P379" s="14">
        <f t="shared" si="140"/>
        <v>300</v>
      </c>
      <c r="Q379" s="38">
        <f t="shared" si="141"/>
        <v>300</v>
      </c>
      <c r="R379" s="38">
        <f t="shared" si="131"/>
        <v>148650</v>
      </c>
      <c r="S379" s="38">
        <f t="shared" si="132"/>
        <v>1002</v>
      </c>
      <c r="T379" s="38">
        <f t="shared" si="133"/>
        <v>501</v>
      </c>
      <c r="U379" s="38">
        <f t="shared" si="143"/>
        <v>296</v>
      </c>
      <c r="V379" s="38">
        <f t="shared" si="142"/>
        <v>6</v>
      </c>
      <c r="W379" s="38">
        <f t="shared" si="134"/>
        <v>46893</v>
      </c>
      <c r="X379" s="38">
        <f>SUM(Q$211:Q379)</f>
        <v>48450</v>
      </c>
      <c r="Y379" s="38">
        <f>SUM(R$211:R379)</f>
        <v>12360450</v>
      </c>
      <c r="Z379" s="38">
        <f>SUM(S$211:S379)</f>
        <v>84261</v>
      </c>
      <c r="AA379" s="38">
        <f>SUM(T$211:T379)</f>
        <v>42133</v>
      </c>
      <c r="AB379" s="38">
        <f>SUM(U$211:U379)</f>
        <v>21561</v>
      </c>
      <c r="AC379" s="38">
        <f>SUM(V$211:V379)</f>
        <v>1014</v>
      </c>
      <c r="AD379" s="38">
        <f t="shared" si="135"/>
        <v>3791795</v>
      </c>
    </row>
    <row r="380" spans="1:30" x14ac:dyDescent="0.25">
      <c r="A380" s="86" t="s">
        <v>254</v>
      </c>
      <c r="B380" s="14">
        <f t="shared" si="129"/>
        <v>170</v>
      </c>
      <c r="C380" s="14">
        <f t="shared" si="145"/>
        <v>201</v>
      </c>
      <c r="D380" s="14">
        <f t="shared" si="145"/>
        <v>101</v>
      </c>
      <c r="E380" s="14">
        <f t="shared" si="145"/>
        <v>50</v>
      </c>
      <c r="F380" s="14">
        <f t="shared" si="145"/>
        <v>2625</v>
      </c>
      <c r="G380" s="74">
        <f t="shared" si="130"/>
        <v>3481</v>
      </c>
      <c r="H380" s="14">
        <f t="shared" si="146"/>
        <v>49950</v>
      </c>
      <c r="I380" s="14"/>
      <c r="J380" s="14">
        <f t="shared" si="147"/>
        <v>99600</v>
      </c>
      <c r="K380" s="14">
        <f t="shared" si="147"/>
        <v>6</v>
      </c>
      <c r="L380" s="14">
        <v>1</v>
      </c>
      <c r="M380" s="14">
        <f t="shared" si="144"/>
        <v>1008</v>
      </c>
      <c r="N380" s="14">
        <f t="shared" si="144"/>
        <v>504</v>
      </c>
      <c r="O380" s="14">
        <f t="shared" si="144"/>
        <v>248</v>
      </c>
      <c r="P380" s="14">
        <f t="shared" si="140"/>
        <v>300</v>
      </c>
      <c r="Q380" s="38">
        <f t="shared" si="141"/>
        <v>300</v>
      </c>
      <c r="R380" s="38">
        <f t="shared" si="131"/>
        <v>149550</v>
      </c>
      <c r="S380" s="38">
        <f t="shared" si="132"/>
        <v>1008</v>
      </c>
      <c r="T380" s="38">
        <f t="shared" si="133"/>
        <v>504</v>
      </c>
      <c r="U380" s="38"/>
      <c r="V380" s="38">
        <f t="shared" si="142"/>
        <v>6</v>
      </c>
      <c r="W380" s="38">
        <f t="shared" si="134"/>
        <v>33774</v>
      </c>
      <c r="X380" s="38">
        <f>SUM(Q$211:Q380)</f>
        <v>48750</v>
      </c>
      <c r="Y380" s="38">
        <f>SUM(R$211:R380)</f>
        <v>12510000</v>
      </c>
      <c r="Z380" s="38">
        <f>SUM(S$211:S380)</f>
        <v>85269</v>
      </c>
      <c r="AA380" s="38">
        <f>SUM(T$211:T380)</f>
        <v>42637</v>
      </c>
      <c r="AB380" s="38">
        <f>SUM(U$211:U380)</f>
        <v>21561</v>
      </c>
      <c r="AC380" s="38">
        <f>SUM(V$211:V380)</f>
        <v>1020</v>
      </c>
      <c r="AD380" s="38">
        <f t="shared" si="135"/>
        <v>3825569</v>
      </c>
    </row>
    <row r="381" spans="1:30" x14ac:dyDescent="0.25">
      <c r="A381" s="86" t="s">
        <v>254</v>
      </c>
      <c r="B381" s="14">
        <f t="shared" si="129"/>
        <v>171</v>
      </c>
      <c r="C381" s="14">
        <f t="shared" si="145"/>
        <v>203</v>
      </c>
      <c r="D381" s="14">
        <f t="shared" si="145"/>
        <v>101</v>
      </c>
      <c r="E381" s="14">
        <f t="shared" si="145"/>
        <v>50</v>
      </c>
      <c r="F381" s="14">
        <f t="shared" si="145"/>
        <v>2655</v>
      </c>
      <c r="G381" s="74">
        <f t="shared" si="130"/>
        <v>3489</v>
      </c>
      <c r="H381" s="14">
        <f t="shared" si="146"/>
        <v>50250</v>
      </c>
      <c r="I381" s="14"/>
      <c r="J381" s="14">
        <f t="shared" si="147"/>
        <v>100200</v>
      </c>
      <c r="K381" s="14">
        <f t="shared" si="147"/>
        <v>6</v>
      </c>
      <c r="L381" s="14">
        <v>1</v>
      </c>
      <c r="M381" s="14">
        <f t="shared" si="144"/>
        <v>1014</v>
      </c>
      <c r="N381" s="14">
        <f t="shared" si="144"/>
        <v>507</v>
      </c>
      <c r="O381" s="14">
        <f t="shared" si="144"/>
        <v>249</v>
      </c>
      <c r="P381" s="14">
        <f t="shared" si="140"/>
        <v>300</v>
      </c>
      <c r="Q381" s="38">
        <f t="shared" si="141"/>
        <v>300</v>
      </c>
      <c r="R381" s="38">
        <f t="shared" si="131"/>
        <v>150450</v>
      </c>
      <c r="S381" s="38">
        <f t="shared" si="132"/>
        <v>1014</v>
      </c>
      <c r="T381" s="38">
        <f t="shared" si="133"/>
        <v>507</v>
      </c>
      <c r="U381" s="38"/>
      <c r="V381" s="38">
        <f t="shared" si="142"/>
        <v>6</v>
      </c>
      <c r="W381" s="38">
        <f t="shared" si="134"/>
        <v>33975</v>
      </c>
      <c r="X381" s="38">
        <f>SUM(Q$211:Q381)</f>
        <v>49050</v>
      </c>
      <c r="Y381" s="38">
        <f>SUM(R$211:R381)</f>
        <v>12660450</v>
      </c>
      <c r="Z381" s="38">
        <f>SUM(S$211:S381)</f>
        <v>86283</v>
      </c>
      <c r="AA381" s="38">
        <f>SUM(T$211:T381)</f>
        <v>43144</v>
      </c>
      <c r="AB381" s="38">
        <f>SUM(U$211:U381)</f>
        <v>21561</v>
      </c>
      <c r="AC381" s="38">
        <f>SUM(V$211:V381)</f>
        <v>1026</v>
      </c>
      <c r="AD381" s="38">
        <f t="shared" si="135"/>
        <v>3859544</v>
      </c>
    </row>
    <row r="382" spans="1:30" x14ac:dyDescent="0.25">
      <c r="A382" s="86" t="s">
        <v>254</v>
      </c>
      <c r="B382" s="14">
        <f t="shared" si="129"/>
        <v>172</v>
      </c>
      <c r="C382" s="14">
        <f t="shared" si="145"/>
        <v>204</v>
      </c>
      <c r="D382" s="14">
        <f t="shared" si="145"/>
        <v>102</v>
      </c>
      <c r="E382" s="14">
        <f t="shared" si="145"/>
        <v>50</v>
      </c>
      <c r="F382" s="14">
        <f t="shared" si="145"/>
        <v>2655</v>
      </c>
      <c r="G382" s="74">
        <f t="shared" si="130"/>
        <v>3495</v>
      </c>
      <c r="H382" s="14">
        <f t="shared" si="146"/>
        <v>50550</v>
      </c>
      <c r="I382" s="14"/>
      <c r="J382" s="14">
        <f t="shared" si="147"/>
        <v>100800</v>
      </c>
      <c r="K382" s="14">
        <f t="shared" si="147"/>
        <v>6</v>
      </c>
      <c r="L382" s="14">
        <v>1</v>
      </c>
      <c r="M382" s="14">
        <f t="shared" si="144"/>
        <v>1020</v>
      </c>
      <c r="N382" s="14">
        <f t="shared" si="144"/>
        <v>510</v>
      </c>
      <c r="O382" s="14">
        <f t="shared" si="144"/>
        <v>251</v>
      </c>
      <c r="P382" s="14">
        <f t="shared" si="140"/>
        <v>300</v>
      </c>
      <c r="Q382" s="38">
        <f t="shared" si="141"/>
        <v>300</v>
      </c>
      <c r="R382" s="38">
        <f t="shared" si="131"/>
        <v>151350</v>
      </c>
      <c r="S382" s="38">
        <f t="shared" si="132"/>
        <v>1020</v>
      </c>
      <c r="T382" s="38">
        <f t="shared" si="133"/>
        <v>510</v>
      </c>
      <c r="U382" s="38"/>
      <c r="V382" s="38">
        <f t="shared" si="142"/>
        <v>6</v>
      </c>
      <c r="W382" s="38">
        <f t="shared" si="134"/>
        <v>34176</v>
      </c>
      <c r="X382" s="38">
        <f>SUM(Q$211:Q382)</f>
        <v>49350</v>
      </c>
      <c r="Y382" s="38">
        <f>SUM(R$211:R382)</f>
        <v>12811800</v>
      </c>
      <c r="Z382" s="38">
        <f>SUM(S$211:S382)</f>
        <v>87303</v>
      </c>
      <c r="AA382" s="38">
        <f>SUM(T$211:T382)</f>
        <v>43654</v>
      </c>
      <c r="AB382" s="38">
        <f>SUM(U$211:U382)</f>
        <v>21561</v>
      </c>
      <c r="AC382" s="38">
        <f>SUM(V$211:V382)</f>
        <v>1032</v>
      </c>
      <c r="AD382" s="38">
        <f t="shared" si="135"/>
        <v>3893720</v>
      </c>
    </row>
    <row r="383" spans="1:30" x14ac:dyDescent="0.25">
      <c r="A383" s="86" t="s">
        <v>254</v>
      </c>
      <c r="B383" s="14">
        <f t="shared" si="129"/>
        <v>173</v>
      </c>
      <c r="C383" s="14">
        <f t="shared" si="145"/>
        <v>206</v>
      </c>
      <c r="D383" s="14">
        <f t="shared" si="145"/>
        <v>102</v>
      </c>
      <c r="E383" s="14">
        <f t="shared" si="145"/>
        <v>51</v>
      </c>
      <c r="F383" s="14">
        <f t="shared" si="145"/>
        <v>2685</v>
      </c>
      <c r="G383" s="74">
        <f t="shared" si="130"/>
        <v>3548</v>
      </c>
      <c r="H383" s="14">
        <f t="shared" si="146"/>
        <v>50850</v>
      </c>
      <c r="I383" s="14"/>
      <c r="J383" s="14">
        <f t="shared" si="147"/>
        <v>101400</v>
      </c>
      <c r="K383" s="14">
        <f t="shared" si="147"/>
        <v>6</v>
      </c>
      <c r="L383" s="14">
        <v>1</v>
      </c>
      <c r="M383" s="14">
        <f t="shared" si="144"/>
        <v>1026</v>
      </c>
      <c r="N383" s="14">
        <f t="shared" si="144"/>
        <v>513</v>
      </c>
      <c r="O383" s="14">
        <f t="shared" si="144"/>
        <v>252</v>
      </c>
      <c r="P383" s="14">
        <f t="shared" si="140"/>
        <v>300</v>
      </c>
      <c r="Q383" s="38">
        <f t="shared" si="141"/>
        <v>300</v>
      </c>
      <c r="R383" s="38">
        <f t="shared" si="131"/>
        <v>152250</v>
      </c>
      <c r="S383" s="38">
        <f t="shared" si="132"/>
        <v>1026</v>
      </c>
      <c r="T383" s="38">
        <f t="shared" si="133"/>
        <v>513</v>
      </c>
      <c r="U383" s="38">
        <f t="shared" ref="U383:U410" si="148">E383+O383</f>
        <v>303</v>
      </c>
      <c r="V383" s="38">
        <f t="shared" si="142"/>
        <v>6</v>
      </c>
      <c r="W383" s="38">
        <f t="shared" si="134"/>
        <v>48012</v>
      </c>
      <c r="X383" s="38">
        <f>SUM(Q$211:Q383)</f>
        <v>49650</v>
      </c>
      <c r="Y383" s="38">
        <f>SUM(R$211:R383)</f>
        <v>12964050</v>
      </c>
      <c r="Z383" s="38">
        <f>SUM(S$211:S383)</f>
        <v>88329</v>
      </c>
      <c r="AA383" s="38">
        <f>SUM(T$211:T383)</f>
        <v>44167</v>
      </c>
      <c r="AB383" s="38">
        <f>SUM(U$211:U383)</f>
        <v>21864</v>
      </c>
      <c r="AC383" s="38">
        <f>SUM(V$211:V383)</f>
        <v>1038</v>
      </c>
      <c r="AD383" s="38">
        <f t="shared" si="135"/>
        <v>3941732</v>
      </c>
    </row>
    <row r="384" spans="1:30" x14ac:dyDescent="0.25">
      <c r="A384" s="86" t="s">
        <v>254</v>
      </c>
      <c r="B384" s="14">
        <f t="shared" si="129"/>
        <v>174</v>
      </c>
      <c r="C384" s="14">
        <f t="shared" si="145"/>
        <v>207</v>
      </c>
      <c r="D384" s="14">
        <f t="shared" si="145"/>
        <v>104</v>
      </c>
      <c r="E384" s="14">
        <f t="shared" si="145"/>
        <v>51</v>
      </c>
      <c r="F384" s="14">
        <f t="shared" si="145"/>
        <v>2685</v>
      </c>
      <c r="G384" s="74">
        <f t="shared" si="130"/>
        <v>3559</v>
      </c>
      <c r="H384" s="14">
        <f t="shared" si="146"/>
        <v>51150</v>
      </c>
      <c r="I384" s="14"/>
      <c r="J384" s="14">
        <f t="shared" si="147"/>
        <v>102000</v>
      </c>
      <c r="K384" s="14">
        <f t="shared" si="147"/>
        <v>6</v>
      </c>
      <c r="L384" s="14">
        <v>1</v>
      </c>
      <c r="M384" s="14">
        <f t="shared" si="144"/>
        <v>1032</v>
      </c>
      <c r="N384" s="14">
        <f t="shared" si="144"/>
        <v>516</v>
      </c>
      <c r="O384" s="14">
        <f t="shared" si="144"/>
        <v>254</v>
      </c>
      <c r="P384" s="14">
        <f t="shared" si="140"/>
        <v>300</v>
      </c>
      <c r="Q384" s="42">
        <f t="shared" si="141"/>
        <v>300</v>
      </c>
      <c r="R384" s="38">
        <f t="shared" si="131"/>
        <v>153150</v>
      </c>
      <c r="S384" s="38">
        <f t="shared" si="132"/>
        <v>1032</v>
      </c>
      <c r="T384" s="38">
        <f t="shared" si="133"/>
        <v>516</v>
      </c>
      <c r="U384" s="42">
        <f t="shared" si="148"/>
        <v>305</v>
      </c>
      <c r="V384" s="42">
        <f t="shared" si="142"/>
        <v>6</v>
      </c>
      <c r="W384" s="38">
        <f t="shared" si="134"/>
        <v>48303</v>
      </c>
      <c r="X384" s="38">
        <f>SUM(Q$211:Q384)</f>
        <v>49950</v>
      </c>
      <c r="Y384" s="38">
        <f>SUM(R$211:R384)</f>
        <v>13117200</v>
      </c>
      <c r="Z384" s="38">
        <f>SUM(S$211:S384)</f>
        <v>89361</v>
      </c>
      <c r="AA384" s="38">
        <f>SUM(T$211:T384)</f>
        <v>44683</v>
      </c>
      <c r="AB384" s="38">
        <f>SUM(U$211:U384)</f>
        <v>22169</v>
      </c>
      <c r="AC384" s="38">
        <f>SUM(V$211:V384)</f>
        <v>1044</v>
      </c>
      <c r="AD384" s="38">
        <f t="shared" si="135"/>
        <v>3990035</v>
      </c>
    </row>
    <row r="385" spans="1:30" x14ac:dyDescent="0.25">
      <c r="A385" s="86" t="s">
        <v>254</v>
      </c>
      <c r="B385" s="14">
        <f t="shared" si="129"/>
        <v>175</v>
      </c>
      <c r="C385" s="14">
        <f t="shared" si="145"/>
        <v>207</v>
      </c>
      <c r="D385" s="14">
        <f t="shared" si="145"/>
        <v>104</v>
      </c>
      <c r="E385" s="14">
        <f t="shared" si="145"/>
        <v>51</v>
      </c>
      <c r="F385" s="14">
        <f t="shared" si="145"/>
        <v>2715</v>
      </c>
      <c r="G385" s="74">
        <f t="shared" si="130"/>
        <v>3565</v>
      </c>
      <c r="H385" s="14">
        <f t="shared" si="146"/>
        <v>51450</v>
      </c>
      <c r="I385" s="14"/>
      <c r="J385" s="14">
        <f t="shared" si="147"/>
        <v>102600</v>
      </c>
      <c r="K385" s="14">
        <f t="shared" si="147"/>
        <v>6</v>
      </c>
      <c r="L385" s="14">
        <v>1</v>
      </c>
      <c r="M385" s="14">
        <f t="shared" si="144"/>
        <v>1038</v>
      </c>
      <c r="N385" s="14">
        <f t="shared" si="144"/>
        <v>519</v>
      </c>
      <c r="O385" s="14">
        <f t="shared" si="144"/>
        <v>255</v>
      </c>
      <c r="P385" s="14">
        <f t="shared" si="140"/>
        <v>300</v>
      </c>
      <c r="Q385" s="38">
        <f t="shared" si="141"/>
        <v>300</v>
      </c>
      <c r="R385" s="38">
        <f t="shared" si="131"/>
        <v>154050</v>
      </c>
      <c r="S385" s="38">
        <f t="shared" si="132"/>
        <v>1038</v>
      </c>
      <c r="T385" s="38">
        <f t="shared" si="133"/>
        <v>519</v>
      </c>
      <c r="U385" s="38">
        <f t="shared" si="148"/>
        <v>306</v>
      </c>
      <c r="V385" s="38">
        <f t="shared" si="142"/>
        <v>6</v>
      </c>
      <c r="W385" s="38">
        <f t="shared" si="134"/>
        <v>48549</v>
      </c>
      <c r="X385" s="38">
        <f>SUM(Q$211:Q385)</f>
        <v>50250</v>
      </c>
      <c r="Y385" s="38">
        <f>SUM(R$211:R385)</f>
        <v>13271250</v>
      </c>
      <c r="Z385" s="38">
        <f>SUM(S$211:S385)</f>
        <v>90399</v>
      </c>
      <c r="AA385" s="38">
        <f>SUM(T$211:T385)</f>
        <v>45202</v>
      </c>
      <c r="AB385" s="38">
        <f>SUM(U$211:U385)</f>
        <v>22475</v>
      </c>
      <c r="AC385" s="38">
        <f>SUM(V$211:V385)</f>
        <v>1050</v>
      </c>
      <c r="AD385" s="38">
        <f t="shared" si="135"/>
        <v>4038584</v>
      </c>
    </row>
    <row r="386" spans="1:30" x14ac:dyDescent="0.25">
      <c r="A386" s="86" t="s">
        <v>254</v>
      </c>
      <c r="B386" s="14">
        <f t="shared" si="129"/>
        <v>176</v>
      </c>
      <c r="C386" s="14">
        <f t="shared" si="145"/>
        <v>209</v>
      </c>
      <c r="D386" s="14">
        <f t="shared" si="145"/>
        <v>104</v>
      </c>
      <c r="E386" s="14">
        <f t="shared" si="145"/>
        <v>51</v>
      </c>
      <c r="F386" s="14">
        <f t="shared" si="145"/>
        <v>2715</v>
      </c>
      <c r="G386" s="74">
        <f t="shared" si="130"/>
        <v>3567</v>
      </c>
      <c r="H386" s="14">
        <f t="shared" si="146"/>
        <v>51750</v>
      </c>
      <c r="I386" s="14"/>
      <c r="J386" s="14">
        <f t="shared" si="147"/>
        <v>103200</v>
      </c>
      <c r="K386" s="14">
        <f t="shared" si="147"/>
        <v>6</v>
      </c>
      <c r="L386" s="14">
        <v>1</v>
      </c>
      <c r="M386" s="14">
        <f t="shared" si="144"/>
        <v>1044</v>
      </c>
      <c r="N386" s="14">
        <f t="shared" si="144"/>
        <v>522</v>
      </c>
      <c r="O386" s="14">
        <f t="shared" si="144"/>
        <v>257</v>
      </c>
      <c r="P386" s="14">
        <f t="shared" si="140"/>
        <v>300</v>
      </c>
      <c r="Q386" s="38">
        <f t="shared" si="141"/>
        <v>300</v>
      </c>
      <c r="R386" s="38">
        <f t="shared" si="131"/>
        <v>154950</v>
      </c>
      <c r="S386" s="38">
        <f t="shared" si="132"/>
        <v>1044</v>
      </c>
      <c r="T386" s="38">
        <f t="shared" si="133"/>
        <v>522</v>
      </c>
      <c r="U386" s="38">
        <f t="shared" si="148"/>
        <v>308</v>
      </c>
      <c r="V386" s="38">
        <f t="shared" si="142"/>
        <v>6</v>
      </c>
      <c r="W386" s="38">
        <f t="shared" si="134"/>
        <v>48840</v>
      </c>
      <c r="X386" s="38">
        <f>SUM(Q$211:Q386)</f>
        <v>50550</v>
      </c>
      <c r="Y386" s="38">
        <f>SUM(R$211:R386)</f>
        <v>13426200</v>
      </c>
      <c r="Z386" s="38">
        <f>SUM(S$211:S386)</f>
        <v>91443</v>
      </c>
      <c r="AA386" s="38">
        <f>SUM(T$211:T386)</f>
        <v>45724</v>
      </c>
      <c r="AB386" s="38">
        <f>SUM(U$211:U386)</f>
        <v>22783</v>
      </c>
      <c r="AC386" s="38">
        <f>SUM(V$211:V386)</f>
        <v>1056</v>
      </c>
      <c r="AD386" s="38">
        <f t="shared" si="135"/>
        <v>4087424</v>
      </c>
    </row>
    <row r="387" spans="1:30" x14ac:dyDescent="0.25">
      <c r="A387" s="86" t="s">
        <v>254</v>
      </c>
      <c r="B387" s="14">
        <f t="shared" si="129"/>
        <v>177</v>
      </c>
      <c r="C387" s="14">
        <f t="shared" si="145"/>
        <v>210</v>
      </c>
      <c r="D387" s="14">
        <f t="shared" si="145"/>
        <v>105</v>
      </c>
      <c r="E387" s="14">
        <f t="shared" si="145"/>
        <v>51</v>
      </c>
      <c r="F387" s="14">
        <f t="shared" si="145"/>
        <v>2745</v>
      </c>
      <c r="G387" s="74">
        <f t="shared" si="130"/>
        <v>3579</v>
      </c>
      <c r="H387" s="14">
        <f t="shared" si="146"/>
        <v>52050</v>
      </c>
      <c r="I387" s="14"/>
      <c r="J387" s="14">
        <f t="shared" si="147"/>
        <v>103800</v>
      </c>
      <c r="K387" s="14">
        <f t="shared" si="147"/>
        <v>6</v>
      </c>
      <c r="L387" s="14">
        <v>1</v>
      </c>
      <c r="M387" s="14">
        <f t="shared" ref="M387:O406" si="149">MAX(1,ROUND(M184*INDEX($O$1:$U$4,MATCH($A387,$O$1:$O$4,0),MATCH(M$210,$O$1:$U$1,0)),0))</f>
        <v>1050</v>
      </c>
      <c r="N387" s="14">
        <f t="shared" si="149"/>
        <v>525</v>
      </c>
      <c r="O387" s="14">
        <f t="shared" si="149"/>
        <v>258</v>
      </c>
      <c r="P387" s="14">
        <f t="shared" si="140"/>
        <v>300</v>
      </c>
      <c r="Q387" s="38">
        <f t="shared" si="141"/>
        <v>300</v>
      </c>
      <c r="R387" s="38">
        <f t="shared" si="131"/>
        <v>155850</v>
      </c>
      <c r="S387" s="38">
        <f t="shared" si="132"/>
        <v>1050</v>
      </c>
      <c r="T387" s="38">
        <f t="shared" si="133"/>
        <v>525</v>
      </c>
      <c r="U387" s="38">
        <f t="shared" si="148"/>
        <v>309</v>
      </c>
      <c r="V387" s="38">
        <f t="shared" si="142"/>
        <v>6</v>
      </c>
      <c r="W387" s="38">
        <f t="shared" si="134"/>
        <v>49086</v>
      </c>
      <c r="X387" s="38">
        <f>SUM(Q$211:Q387)</f>
        <v>50850</v>
      </c>
      <c r="Y387" s="38">
        <f>SUM(R$211:R387)</f>
        <v>13582050</v>
      </c>
      <c r="Z387" s="38">
        <f>SUM(S$211:S387)</f>
        <v>92493</v>
      </c>
      <c r="AA387" s="38">
        <f>SUM(T$211:T387)</f>
        <v>46249</v>
      </c>
      <c r="AB387" s="38">
        <f>SUM(U$211:U387)</f>
        <v>23092</v>
      </c>
      <c r="AC387" s="38">
        <f>SUM(V$211:V387)</f>
        <v>1062</v>
      </c>
      <c r="AD387" s="38">
        <f t="shared" si="135"/>
        <v>4136510</v>
      </c>
    </row>
    <row r="388" spans="1:30" x14ac:dyDescent="0.25">
      <c r="A388" s="86" t="s">
        <v>254</v>
      </c>
      <c r="B388" s="14">
        <f t="shared" si="129"/>
        <v>178</v>
      </c>
      <c r="C388" s="14">
        <f t="shared" si="145"/>
        <v>212</v>
      </c>
      <c r="D388" s="14">
        <f t="shared" si="145"/>
        <v>105</v>
      </c>
      <c r="E388" s="14">
        <f t="shared" si="145"/>
        <v>53</v>
      </c>
      <c r="F388" s="14">
        <f t="shared" si="145"/>
        <v>2745</v>
      </c>
      <c r="G388" s="74">
        <f t="shared" si="130"/>
        <v>3671</v>
      </c>
      <c r="H388" s="14">
        <f t="shared" si="146"/>
        <v>52350</v>
      </c>
      <c r="I388" s="14"/>
      <c r="J388" s="14">
        <f t="shared" si="147"/>
        <v>104400</v>
      </c>
      <c r="K388" s="14">
        <f t="shared" si="147"/>
        <v>6</v>
      </c>
      <c r="L388" s="14">
        <v>1</v>
      </c>
      <c r="M388" s="14">
        <f t="shared" si="149"/>
        <v>1056</v>
      </c>
      <c r="N388" s="14">
        <f t="shared" si="149"/>
        <v>528</v>
      </c>
      <c r="O388" s="14">
        <f t="shared" si="149"/>
        <v>260</v>
      </c>
      <c r="P388" s="14">
        <f t="shared" ref="P388:P410" si="150">MAX(1,ROUND(P185*INDEX($O$1:$U$4,MATCH($A388,$O$1:$O$4,0),MATCH(P$210,$O$1:$U$1,0)),0))</f>
        <v>300</v>
      </c>
      <c r="Q388" s="38">
        <f t="shared" si="141"/>
        <v>300</v>
      </c>
      <c r="R388" s="38">
        <f t="shared" si="131"/>
        <v>156750</v>
      </c>
      <c r="S388" s="38">
        <f t="shared" si="132"/>
        <v>1056</v>
      </c>
      <c r="T388" s="38">
        <f t="shared" si="133"/>
        <v>528</v>
      </c>
      <c r="U388" s="38">
        <f t="shared" si="148"/>
        <v>313</v>
      </c>
      <c r="V388" s="38">
        <f t="shared" si="142"/>
        <v>6</v>
      </c>
      <c r="W388" s="38">
        <f t="shared" si="134"/>
        <v>49467</v>
      </c>
      <c r="X388" s="38">
        <f>SUM(Q$211:Q388)</f>
        <v>51150</v>
      </c>
      <c r="Y388" s="38">
        <f>SUM(R$211:R388)</f>
        <v>13738800</v>
      </c>
      <c r="Z388" s="38">
        <f>SUM(S$211:S388)</f>
        <v>93549</v>
      </c>
      <c r="AA388" s="38">
        <f>SUM(T$211:T388)</f>
        <v>46777</v>
      </c>
      <c r="AB388" s="38">
        <f>SUM(U$211:U388)</f>
        <v>23405</v>
      </c>
      <c r="AC388" s="38">
        <f>SUM(V$211:V388)</f>
        <v>1068</v>
      </c>
      <c r="AD388" s="38">
        <f t="shared" si="135"/>
        <v>4185977</v>
      </c>
    </row>
    <row r="389" spans="1:30" x14ac:dyDescent="0.25">
      <c r="A389" s="86" t="s">
        <v>254</v>
      </c>
      <c r="B389" s="14">
        <f t="shared" si="129"/>
        <v>179</v>
      </c>
      <c r="C389" s="14">
        <f t="shared" si="145"/>
        <v>213</v>
      </c>
      <c r="D389" s="14">
        <f t="shared" si="145"/>
        <v>107</v>
      </c>
      <c r="E389" s="14">
        <f t="shared" si="145"/>
        <v>53</v>
      </c>
      <c r="F389" s="14">
        <f t="shared" si="145"/>
        <v>2775</v>
      </c>
      <c r="G389" s="74">
        <f t="shared" si="130"/>
        <v>3688</v>
      </c>
      <c r="H389" s="14">
        <f t="shared" si="146"/>
        <v>52650</v>
      </c>
      <c r="I389" s="14"/>
      <c r="J389" s="14">
        <f t="shared" si="147"/>
        <v>105000</v>
      </c>
      <c r="K389" s="14">
        <f t="shared" si="147"/>
        <v>6</v>
      </c>
      <c r="L389" s="14">
        <v>1</v>
      </c>
      <c r="M389" s="14">
        <f t="shared" si="149"/>
        <v>1062</v>
      </c>
      <c r="N389" s="14">
        <f t="shared" si="149"/>
        <v>531</v>
      </c>
      <c r="O389" s="14">
        <f t="shared" si="149"/>
        <v>261</v>
      </c>
      <c r="P389" s="14">
        <f t="shared" si="150"/>
        <v>300</v>
      </c>
      <c r="Q389" s="38">
        <f t="shared" si="141"/>
        <v>300</v>
      </c>
      <c r="R389" s="38">
        <f t="shared" si="131"/>
        <v>157650</v>
      </c>
      <c r="S389" s="38">
        <f t="shared" si="132"/>
        <v>1062</v>
      </c>
      <c r="T389" s="38">
        <f t="shared" si="133"/>
        <v>531</v>
      </c>
      <c r="U389" s="38">
        <f t="shared" si="148"/>
        <v>314</v>
      </c>
      <c r="V389" s="38">
        <f t="shared" si="142"/>
        <v>6</v>
      </c>
      <c r="W389" s="38">
        <f t="shared" si="134"/>
        <v>49713</v>
      </c>
      <c r="X389" s="38">
        <f>SUM(Q$211:Q389)</f>
        <v>51450</v>
      </c>
      <c r="Y389" s="38">
        <f>SUM(R$211:R389)</f>
        <v>13896450</v>
      </c>
      <c r="Z389" s="38">
        <f>SUM(S$211:S389)</f>
        <v>94611</v>
      </c>
      <c r="AA389" s="38">
        <f>SUM(T$211:T389)</f>
        <v>47308</v>
      </c>
      <c r="AB389" s="38">
        <f>SUM(U$211:U389)</f>
        <v>23719</v>
      </c>
      <c r="AC389" s="38">
        <f>SUM(V$211:V389)</f>
        <v>1074</v>
      </c>
      <c r="AD389" s="38">
        <f t="shared" si="135"/>
        <v>4235690</v>
      </c>
    </row>
    <row r="390" spans="1:30" x14ac:dyDescent="0.25">
      <c r="A390" s="86" t="s">
        <v>254</v>
      </c>
      <c r="B390" s="14">
        <f t="shared" si="129"/>
        <v>180</v>
      </c>
      <c r="C390" s="14">
        <f t="shared" si="145"/>
        <v>213</v>
      </c>
      <c r="D390" s="14">
        <f t="shared" si="145"/>
        <v>107</v>
      </c>
      <c r="E390" s="14">
        <f t="shared" si="145"/>
        <v>53</v>
      </c>
      <c r="F390" s="14">
        <f t="shared" si="145"/>
        <v>2775</v>
      </c>
      <c r="G390" s="74">
        <f t="shared" si="130"/>
        <v>3688</v>
      </c>
      <c r="H390" s="14">
        <f t="shared" si="146"/>
        <v>52950</v>
      </c>
      <c r="I390" s="14"/>
      <c r="J390" s="14">
        <f t="shared" si="147"/>
        <v>105600</v>
      </c>
      <c r="K390" s="14">
        <f t="shared" si="147"/>
        <v>6</v>
      </c>
      <c r="L390" s="14">
        <v>1</v>
      </c>
      <c r="M390" s="14">
        <f t="shared" si="149"/>
        <v>1068</v>
      </c>
      <c r="N390" s="14">
        <f t="shared" si="149"/>
        <v>534</v>
      </c>
      <c r="O390" s="14">
        <f t="shared" si="149"/>
        <v>263</v>
      </c>
      <c r="P390" s="14">
        <f t="shared" si="150"/>
        <v>300</v>
      </c>
      <c r="Q390" s="38">
        <f t="shared" ref="Q390:Q410" si="151">P390</f>
        <v>300</v>
      </c>
      <c r="R390" s="38">
        <f t="shared" si="131"/>
        <v>158550</v>
      </c>
      <c r="S390" s="38">
        <f t="shared" si="132"/>
        <v>1068</v>
      </c>
      <c r="T390" s="38">
        <f t="shared" si="133"/>
        <v>534</v>
      </c>
      <c r="U390" s="38">
        <f t="shared" si="148"/>
        <v>316</v>
      </c>
      <c r="V390" s="38">
        <f t="shared" ref="V390:V410" si="152">K390</f>
        <v>6</v>
      </c>
      <c r="W390" s="38">
        <f t="shared" si="134"/>
        <v>50004</v>
      </c>
      <c r="X390" s="38">
        <f>SUM(Q$211:Q390)</f>
        <v>51750</v>
      </c>
      <c r="Y390" s="38">
        <f>SUM(R$211:R390)</f>
        <v>14055000</v>
      </c>
      <c r="Z390" s="38">
        <f>SUM(S$211:S390)</f>
        <v>95679</v>
      </c>
      <c r="AA390" s="38">
        <f>SUM(T$211:T390)</f>
        <v>47842</v>
      </c>
      <c r="AB390" s="38">
        <f>SUM(U$211:U390)</f>
        <v>24035</v>
      </c>
      <c r="AC390" s="38">
        <f>SUM(V$211:V390)</f>
        <v>1080</v>
      </c>
      <c r="AD390" s="38">
        <f t="shared" si="135"/>
        <v>4285694</v>
      </c>
    </row>
    <row r="391" spans="1:30" x14ac:dyDescent="0.25">
      <c r="A391" s="86" t="s">
        <v>254</v>
      </c>
      <c r="B391" s="14">
        <f t="shared" si="129"/>
        <v>181</v>
      </c>
      <c r="C391" s="14">
        <f t="shared" ref="C391:F410" si="153">MAX(1,ROUND(C188*INDEX($O$1:$U$4,MATCH($A391,$O$1:$O$4,0),MATCH(C$210,$O$1:$U$1,0)),0))</f>
        <v>215</v>
      </c>
      <c r="D391" s="14">
        <f t="shared" si="153"/>
        <v>107</v>
      </c>
      <c r="E391" s="14">
        <f t="shared" si="153"/>
        <v>53</v>
      </c>
      <c r="F391" s="14">
        <f t="shared" si="153"/>
        <v>2805</v>
      </c>
      <c r="G391" s="74">
        <f t="shared" si="130"/>
        <v>3696</v>
      </c>
      <c r="H391" s="14">
        <f t="shared" si="146"/>
        <v>53250</v>
      </c>
      <c r="I391" s="14"/>
      <c r="J391" s="14">
        <f t="shared" ref="J391:K410" si="154">MAX(1,ROUND(J188*INDEX($O$1:$U$4,MATCH($A391,$O$1:$O$4,0),MATCH(J$210,$O$1:$U$1,0)),0))</f>
        <v>106200</v>
      </c>
      <c r="K391" s="14">
        <f t="shared" si="154"/>
        <v>6</v>
      </c>
      <c r="L391" s="14">
        <v>1</v>
      </c>
      <c r="M391" s="14">
        <f t="shared" si="149"/>
        <v>1074</v>
      </c>
      <c r="N391" s="14">
        <f t="shared" si="149"/>
        <v>537</v>
      </c>
      <c r="O391" s="14">
        <f t="shared" si="149"/>
        <v>264</v>
      </c>
      <c r="P391" s="14">
        <f t="shared" si="150"/>
        <v>300</v>
      </c>
      <c r="Q391" s="38">
        <f t="shared" si="151"/>
        <v>300</v>
      </c>
      <c r="R391" s="38">
        <f t="shared" si="131"/>
        <v>159450</v>
      </c>
      <c r="S391" s="38">
        <f t="shared" si="132"/>
        <v>1074</v>
      </c>
      <c r="T391" s="38">
        <f t="shared" si="133"/>
        <v>537</v>
      </c>
      <c r="U391" s="38">
        <f t="shared" si="148"/>
        <v>317</v>
      </c>
      <c r="V391" s="38">
        <f t="shared" si="152"/>
        <v>6</v>
      </c>
      <c r="W391" s="38">
        <f t="shared" si="134"/>
        <v>50250</v>
      </c>
      <c r="X391" s="38">
        <f>SUM(Q$211:Q391)</f>
        <v>52050</v>
      </c>
      <c r="Y391" s="38">
        <f>SUM(R$211:R391)</f>
        <v>14214450</v>
      </c>
      <c r="Z391" s="38">
        <f>SUM(S$211:S391)</f>
        <v>96753</v>
      </c>
      <c r="AA391" s="38">
        <f>SUM(T$211:T391)</f>
        <v>48379</v>
      </c>
      <c r="AB391" s="38">
        <f>SUM(U$211:U391)</f>
        <v>24352</v>
      </c>
      <c r="AC391" s="38">
        <f>SUM(V$211:V391)</f>
        <v>1086</v>
      </c>
      <c r="AD391" s="38">
        <f t="shared" si="135"/>
        <v>4335944</v>
      </c>
    </row>
    <row r="392" spans="1:30" x14ac:dyDescent="0.25">
      <c r="A392" s="86" t="s">
        <v>254</v>
      </c>
      <c r="B392" s="14">
        <f t="shared" si="129"/>
        <v>182</v>
      </c>
      <c r="C392" s="14">
        <f t="shared" si="153"/>
        <v>216</v>
      </c>
      <c r="D392" s="14">
        <f t="shared" si="153"/>
        <v>108</v>
      </c>
      <c r="E392" s="14">
        <f t="shared" si="153"/>
        <v>53</v>
      </c>
      <c r="F392" s="14">
        <f t="shared" si="153"/>
        <v>2805</v>
      </c>
      <c r="G392" s="74">
        <f t="shared" si="130"/>
        <v>3702</v>
      </c>
      <c r="H392" s="14">
        <f t="shared" si="146"/>
        <v>53550</v>
      </c>
      <c r="I392" s="14"/>
      <c r="J392" s="14">
        <f t="shared" si="154"/>
        <v>106800</v>
      </c>
      <c r="K392" s="14">
        <f t="shared" si="154"/>
        <v>6</v>
      </c>
      <c r="L392" s="14">
        <v>1</v>
      </c>
      <c r="M392" s="14">
        <f t="shared" si="149"/>
        <v>1080</v>
      </c>
      <c r="N392" s="14">
        <f t="shared" si="149"/>
        <v>540</v>
      </c>
      <c r="O392" s="14">
        <f t="shared" si="149"/>
        <v>266</v>
      </c>
      <c r="P392" s="14">
        <f t="shared" si="150"/>
        <v>300</v>
      </c>
      <c r="Q392" s="38">
        <f t="shared" si="151"/>
        <v>300</v>
      </c>
      <c r="R392" s="38">
        <f t="shared" si="131"/>
        <v>160350</v>
      </c>
      <c r="S392" s="38">
        <f t="shared" si="132"/>
        <v>1080</v>
      </c>
      <c r="T392" s="38">
        <f t="shared" si="133"/>
        <v>540</v>
      </c>
      <c r="U392" s="38">
        <f t="shared" si="148"/>
        <v>319</v>
      </c>
      <c r="V392" s="38">
        <f t="shared" si="152"/>
        <v>6</v>
      </c>
      <c r="W392" s="38">
        <f t="shared" si="134"/>
        <v>50541</v>
      </c>
      <c r="X392" s="38">
        <f>SUM(Q$211:Q392)</f>
        <v>52350</v>
      </c>
      <c r="Y392" s="38">
        <f>SUM(R$211:R392)</f>
        <v>14374800</v>
      </c>
      <c r="Z392" s="38">
        <f>SUM(S$211:S392)</f>
        <v>97833</v>
      </c>
      <c r="AA392" s="38">
        <f>SUM(T$211:T392)</f>
        <v>48919</v>
      </c>
      <c r="AB392" s="38">
        <f>SUM(U$211:U392)</f>
        <v>24671</v>
      </c>
      <c r="AC392" s="38">
        <f>SUM(V$211:V392)</f>
        <v>1092</v>
      </c>
      <c r="AD392" s="38">
        <f t="shared" si="135"/>
        <v>4386485</v>
      </c>
    </row>
    <row r="393" spans="1:30" x14ac:dyDescent="0.25">
      <c r="A393" s="86" t="s">
        <v>254</v>
      </c>
      <c r="B393" s="14">
        <f t="shared" si="129"/>
        <v>183</v>
      </c>
      <c r="C393" s="14">
        <f t="shared" si="153"/>
        <v>218</v>
      </c>
      <c r="D393" s="14">
        <f t="shared" si="153"/>
        <v>108</v>
      </c>
      <c r="E393" s="14">
        <f t="shared" si="153"/>
        <v>54</v>
      </c>
      <c r="F393" s="14">
        <f t="shared" si="153"/>
        <v>2835</v>
      </c>
      <c r="G393" s="74">
        <f t="shared" si="130"/>
        <v>3755</v>
      </c>
      <c r="H393" s="14">
        <f t="shared" si="146"/>
        <v>53850</v>
      </c>
      <c r="I393" s="14"/>
      <c r="J393" s="14">
        <f t="shared" si="154"/>
        <v>107400</v>
      </c>
      <c r="K393" s="14">
        <f t="shared" si="154"/>
        <v>6</v>
      </c>
      <c r="L393" s="14">
        <v>1</v>
      </c>
      <c r="M393" s="14">
        <f t="shared" si="149"/>
        <v>1086</v>
      </c>
      <c r="N393" s="14">
        <f t="shared" si="149"/>
        <v>543</v>
      </c>
      <c r="O393" s="14">
        <f t="shared" si="149"/>
        <v>267</v>
      </c>
      <c r="P393" s="14">
        <f t="shared" si="150"/>
        <v>300</v>
      </c>
      <c r="Q393" s="38">
        <f t="shared" si="151"/>
        <v>300</v>
      </c>
      <c r="R393" s="38">
        <f t="shared" si="131"/>
        <v>161250</v>
      </c>
      <c r="S393" s="38">
        <f t="shared" si="132"/>
        <v>1086</v>
      </c>
      <c r="T393" s="38">
        <f t="shared" si="133"/>
        <v>543</v>
      </c>
      <c r="U393" s="38">
        <f t="shared" si="148"/>
        <v>321</v>
      </c>
      <c r="V393" s="38">
        <f t="shared" si="152"/>
        <v>6</v>
      </c>
      <c r="W393" s="38">
        <f t="shared" si="134"/>
        <v>50832</v>
      </c>
      <c r="X393" s="38">
        <f>SUM(Q$211:Q393)</f>
        <v>52650</v>
      </c>
      <c r="Y393" s="38">
        <f>SUM(R$211:R393)</f>
        <v>14536050</v>
      </c>
      <c r="Z393" s="38">
        <f>SUM(S$211:S393)</f>
        <v>98919</v>
      </c>
      <c r="AA393" s="38">
        <f>SUM(T$211:T393)</f>
        <v>49462</v>
      </c>
      <c r="AB393" s="38">
        <f>SUM(U$211:U393)</f>
        <v>24992</v>
      </c>
      <c r="AC393" s="38">
        <f>SUM(V$211:V393)</f>
        <v>1098</v>
      </c>
      <c r="AD393" s="38">
        <f t="shared" si="135"/>
        <v>4437317</v>
      </c>
    </row>
    <row r="394" spans="1:30" x14ac:dyDescent="0.25">
      <c r="A394" s="86" t="s">
        <v>254</v>
      </c>
      <c r="B394" s="14">
        <f t="shared" si="129"/>
        <v>184</v>
      </c>
      <c r="C394" s="14">
        <f t="shared" si="153"/>
        <v>219</v>
      </c>
      <c r="D394" s="14">
        <f t="shared" si="153"/>
        <v>110</v>
      </c>
      <c r="E394" s="14">
        <f t="shared" si="153"/>
        <v>54</v>
      </c>
      <c r="F394" s="14">
        <f t="shared" si="153"/>
        <v>2835</v>
      </c>
      <c r="G394" s="74">
        <f t="shared" si="130"/>
        <v>3766</v>
      </c>
      <c r="H394" s="14">
        <f t="shared" si="146"/>
        <v>54150</v>
      </c>
      <c r="I394" s="14"/>
      <c r="J394" s="14">
        <f t="shared" si="154"/>
        <v>108000</v>
      </c>
      <c r="K394" s="14">
        <f t="shared" si="154"/>
        <v>6</v>
      </c>
      <c r="L394" s="14">
        <v>1</v>
      </c>
      <c r="M394" s="14">
        <f t="shared" si="149"/>
        <v>1092</v>
      </c>
      <c r="N394" s="14">
        <f t="shared" si="149"/>
        <v>546</v>
      </c>
      <c r="O394" s="14">
        <f t="shared" si="149"/>
        <v>269</v>
      </c>
      <c r="P394" s="14">
        <f t="shared" si="150"/>
        <v>300</v>
      </c>
      <c r="Q394" s="38">
        <f t="shared" si="151"/>
        <v>300</v>
      </c>
      <c r="R394" s="38">
        <f t="shared" si="131"/>
        <v>162150</v>
      </c>
      <c r="S394" s="38">
        <f t="shared" si="132"/>
        <v>1092</v>
      </c>
      <c r="T394" s="38">
        <f t="shared" si="133"/>
        <v>546</v>
      </c>
      <c r="U394" s="38">
        <f t="shared" si="148"/>
        <v>323</v>
      </c>
      <c r="V394" s="38">
        <f t="shared" si="152"/>
        <v>6</v>
      </c>
      <c r="W394" s="38">
        <f t="shared" si="134"/>
        <v>51123</v>
      </c>
      <c r="X394" s="38">
        <f>SUM(Q$211:Q394)</f>
        <v>52950</v>
      </c>
      <c r="Y394" s="38">
        <f>SUM(R$211:R394)</f>
        <v>14698200</v>
      </c>
      <c r="Z394" s="38">
        <f>SUM(S$211:S394)</f>
        <v>100011</v>
      </c>
      <c r="AA394" s="38">
        <f>SUM(T$211:T394)</f>
        <v>50008</v>
      </c>
      <c r="AB394" s="38">
        <f>SUM(U$211:U394)</f>
        <v>25315</v>
      </c>
      <c r="AC394" s="38">
        <f>SUM(V$211:V394)</f>
        <v>1104</v>
      </c>
      <c r="AD394" s="38">
        <f t="shared" si="135"/>
        <v>4488440</v>
      </c>
    </row>
    <row r="395" spans="1:30" x14ac:dyDescent="0.25">
      <c r="A395" s="86" t="s">
        <v>254</v>
      </c>
      <c r="B395" s="14">
        <f t="shared" si="129"/>
        <v>185</v>
      </c>
      <c r="C395" s="14">
        <f t="shared" si="153"/>
        <v>219</v>
      </c>
      <c r="D395" s="14">
        <f t="shared" si="153"/>
        <v>110</v>
      </c>
      <c r="E395" s="14">
        <f t="shared" si="153"/>
        <v>54</v>
      </c>
      <c r="F395" s="14">
        <f t="shared" si="153"/>
        <v>2865</v>
      </c>
      <c r="G395" s="74">
        <f t="shared" si="130"/>
        <v>3772</v>
      </c>
      <c r="H395" s="14">
        <f t="shared" si="146"/>
        <v>54450</v>
      </c>
      <c r="I395" s="14"/>
      <c r="J395" s="14">
        <f t="shared" si="154"/>
        <v>108600</v>
      </c>
      <c r="K395" s="14">
        <f t="shared" si="154"/>
        <v>6</v>
      </c>
      <c r="L395" s="14">
        <v>1</v>
      </c>
      <c r="M395" s="14">
        <f t="shared" si="149"/>
        <v>1098</v>
      </c>
      <c r="N395" s="14">
        <f t="shared" si="149"/>
        <v>549</v>
      </c>
      <c r="O395" s="14">
        <f t="shared" si="149"/>
        <v>270</v>
      </c>
      <c r="P395" s="14">
        <f t="shared" si="150"/>
        <v>300</v>
      </c>
      <c r="Q395" s="38">
        <f t="shared" si="151"/>
        <v>300</v>
      </c>
      <c r="R395" s="38">
        <f t="shared" si="131"/>
        <v>163050</v>
      </c>
      <c r="S395" s="38">
        <f t="shared" si="132"/>
        <v>1098</v>
      </c>
      <c r="T395" s="38">
        <f t="shared" si="133"/>
        <v>549</v>
      </c>
      <c r="U395" s="38">
        <f t="shared" si="148"/>
        <v>324</v>
      </c>
      <c r="V395" s="38">
        <f t="shared" si="152"/>
        <v>6</v>
      </c>
      <c r="W395" s="38">
        <f t="shared" si="134"/>
        <v>51369</v>
      </c>
      <c r="X395" s="38">
        <f>SUM(Q$211:Q395)</f>
        <v>53250</v>
      </c>
      <c r="Y395" s="38">
        <f>SUM(R$211:R395)</f>
        <v>14861250</v>
      </c>
      <c r="Z395" s="38">
        <f>SUM(S$211:S395)</f>
        <v>101109</v>
      </c>
      <c r="AA395" s="38">
        <f>SUM(T$211:T395)</f>
        <v>50557</v>
      </c>
      <c r="AB395" s="38">
        <f>SUM(U$211:U395)</f>
        <v>25639</v>
      </c>
      <c r="AC395" s="38">
        <f>SUM(V$211:V395)</f>
        <v>1110</v>
      </c>
      <c r="AD395" s="38">
        <f t="shared" si="135"/>
        <v>4539809</v>
      </c>
    </row>
    <row r="396" spans="1:30" x14ac:dyDescent="0.25">
      <c r="A396" s="86" t="s">
        <v>254</v>
      </c>
      <c r="B396" s="14">
        <f t="shared" si="129"/>
        <v>186</v>
      </c>
      <c r="C396" s="14">
        <f t="shared" si="153"/>
        <v>221</v>
      </c>
      <c r="D396" s="14">
        <f t="shared" si="153"/>
        <v>110</v>
      </c>
      <c r="E396" s="14">
        <f t="shared" si="153"/>
        <v>54</v>
      </c>
      <c r="F396" s="14">
        <f t="shared" si="153"/>
        <v>2865</v>
      </c>
      <c r="G396" s="74">
        <f t="shared" si="130"/>
        <v>3774</v>
      </c>
      <c r="H396" s="14">
        <f t="shared" si="146"/>
        <v>54750</v>
      </c>
      <c r="I396" s="14"/>
      <c r="J396" s="14">
        <f t="shared" si="154"/>
        <v>109200</v>
      </c>
      <c r="K396" s="14">
        <f t="shared" si="154"/>
        <v>6</v>
      </c>
      <c r="L396" s="14">
        <v>1</v>
      </c>
      <c r="M396" s="14">
        <f t="shared" si="149"/>
        <v>1104</v>
      </c>
      <c r="N396" s="14">
        <f t="shared" si="149"/>
        <v>552</v>
      </c>
      <c r="O396" s="14">
        <f t="shared" si="149"/>
        <v>272</v>
      </c>
      <c r="P396" s="14">
        <f t="shared" si="150"/>
        <v>300</v>
      </c>
      <c r="Q396" s="38">
        <f t="shared" si="151"/>
        <v>300</v>
      </c>
      <c r="R396" s="38">
        <f t="shared" si="131"/>
        <v>163950</v>
      </c>
      <c r="S396" s="38">
        <f t="shared" si="132"/>
        <v>1104</v>
      </c>
      <c r="T396" s="38">
        <f t="shared" si="133"/>
        <v>552</v>
      </c>
      <c r="U396" s="38">
        <f t="shared" si="148"/>
        <v>326</v>
      </c>
      <c r="V396" s="38">
        <f t="shared" si="152"/>
        <v>6</v>
      </c>
      <c r="W396" s="38">
        <f t="shared" si="134"/>
        <v>51660</v>
      </c>
      <c r="X396" s="38">
        <f>SUM(Q$211:Q396)</f>
        <v>53550</v>
      </c>
      <c r="Y396" s="38">
        <f>SUM(R$211:R396)</f>
        <v>15025200</v>
      </c>
      <c r="Z396" s="38">
        <f>SUM(S$211:S396)</f>
        <v>102213</v>
      </c>
      <c r="AA396" s="38">
        <f>SUM(T$211:T396)</f>
        <v>51109</v>
      </c>
      <c r="AB396" s="38">
        <f>SUM(U$211:U396)</f>
        <v>25965</v>
      </c>
      <c r="AC396" s="38">
        <f>SUM(V$211:V396)</f>
        <v>1116</v>
      </c>
      <c r="AD396" s="38">
        <f t="shared" si="135"/>
        <v>4591469</v>
      </c>
    </row>
    <row r="397" spans="1:30" x14ac:dyDescent="0.25">
      <c r="A397" s="86" t="s">
        <v>254</v>
      </c>
      <c r="B397" s="14">
        <f t="shared" si="129"/>
        <v>187</v>
      </c>
      <c r="C397" s="14">
        <f t="shared" si="153"/>
        <v>222</v>
      </c>
      <c r="D397" s="14">
        <f t="shared" si="153"/>
        <v>111</v>
      </c>
      <c r="E397" s="14">
        <f t="shared" si="153"/>
        <v>54</v>
      </c>
      <c r="F397" s="14">
        <f t="shared" si="153"/>
        <v>2895</v>
      </c>
      <c r="G397" s="74">
        <f t="shared" si="130"/>
        <v>3786</v>
      </c>
      <c r="H397" s="14">
        <f t="shared" si="146"/>
        <v>55050</v>
      </c>
      <c r="I397" s="14"/>
      <c r="J397" s="14">
        <f t="shared" si="154"/>
        <v>109800</v>
      </c>
      <c r="K397" s="14">
        <f t="shared" si="154"/>
        <v>6</v>
      </c>
      <c r="L397" s="14">
        <v>1</v>
      </c>
      <c r="M397" s="14">
        <f t="shared" si="149"/>
        <v>1110</v>
      </c>
      <c r="N397" s="14">
        <f t="shared" si="149"/>
        <v>555</v>
      </c>
      <c r="O397" s="14">
        <f t="shared" si="149"/>
        <v>273</v>
      </c>
      <c r="P397" s="14">
        <f t="shared" si="150"/>
        <v>300</v>
      </c>
      <c r="Q397" s="38">
        <f t="shared" si="151"/>
        <v>300</v>
      </c>
      <c r="R397" s="38">
        <f t="shared" si="131"/>
        <v>164850</v>
      </c>
      <c r="S397" s="38">
        <f t="shared" si="132"/>
        <v>1110</v>
      </c>
      <c r="T397" s="38">
        <f t="shared" si="133"/>
        <v>555</v>
      </c>
      <c r="U397" s="38">
        <f t="shared" si="148"/>
        <v>327</v>
      </c>
      <c r="V397" s="38">
        <f t="shared" si="152"/>
        <v>6</v>
      </c>
      <c r="W397" s="38">
        <f t="shared" si="134"/>
        <v>51906</v>
      </c>
      <c r="X397" s="38">
        <f>SUM(Q$211:Q397)</f>
        <v>53850</v>
      </c>
      <c r="Y397" s="38">
        <f>SUM(R$211:R397)</f>
        <v>15190050</v>
      </c>
      <c r="Z397" s="38">
        <f>SUM(S$211:S397)</f>
        <v>103323</v>
      </c>
      <c r="AA397" s="38">
        <f>SUM(T$211:T397)</f>
        <v>51664</v>
      </c>
      <c r="AB397" s="38">
        <f>SUM(U$211:U397)</f>
        <v>26292</v>
      </c>
      <c r="AC397" s="38">
        <f>SUM(V$211:V397)</f>
        <v>1122</v>
      </c>
      <c r="AD397" s="38">
        <f t="shared" si="135"/>
        <v>4643375</v>
      </c>
    </row>
    <row r="398" spans="1:30" x14ac:dyDescent="0.25">
      <c r="A398" s="86" t="s">
        <v>254</v>
      </c>
      <c r="B398" s="14">
        <f t="shared" si="129"/>
        <v>188</v>
      </c>
      <c r="C398" s="14">
        <f t="shared" si="153"/>
        <v>224</v>
      </c>
      <c r="D398" s="14">
        <f t="shared" si="153"/>
        <v>111</v>
      </c>
      <c r="E398" s="14">
        <f t="shared" si="153"/>
        <v>56</v>
      </c>
      <c r="F398" s="14">
        <f t="shared" si="153"/>
        <v>2895</v>
      </c>
      <c r="G398" s="74">
        <f t="shared" si="130"/>
        <v>3878</v>
      </c>
      <c r="H398" s="14">
        <f t="shared" si="146"/>
        <v>55350</v>
      </c>
      <c r="I398" s="14"/>
      <c r="J398" s="14">
        <f t="shared" si="154"/>
        <v>110400</v>
      </c>
      <c r="K398" s="14">
        <f t="shared" si="154"/>
        <v>6</v>
      </c>
      <c r="L398" s="14">
        <v>1</v>
      </c>
      <c r="M398" s="14">
        <f t="shared" si="149"/>
        <v>1116</v>
      </c>
      <c r="N398" s="14">
        <f t="shared" si="149"/>
        <v>558</v>
      </c>
      <c r="O398" s="14">
        <f t="shared" si="149"/>
        <v>275</v>
      </c>
      <c r="P398" s="14">
        <f t="shared" si="150"/>
        <v>300</v>
      </c>
      <c r="Q398" s="38">
        <f t="shared" si="151"/>
        <v>300</v>
      </c>
      <c r="R398" s="38">
        <f t="shared" si="131"/>
        <v>165750</v>
      </c>
      <c r="S398" s="38">
        <f t="shared" si="132"/>
        <v>1116</v>
      </c>
      <c r="T398" s="38">
        <f t="shared" si="133"/>
        <v>558</v>
      </c>
      <c r="U398" s="38">
        <f t="shared" si="148"/>
        <v>331</v>
      </c>
      <c r="V398" s="38">
        <f t="shared" si="152"/>
        <v>6</v>
      </c>
      <c r="W398" s="38">
        <f t="shared" si="134"/>
        <v>52287</v>
      </c>
      <c r="X398" s="38">
        <f>SUM(Q$211:Q398)</f>
        <v>54150</v>
      </c>
      <c r="Y398" s="38">
        <f>SUM(R$211:R398)</f>
        <v>15355800</v>
      </c>
      <c r="Z398" s="38">
        <f>SUM(S$211:S398)</f>
        <v>104439</v>
      </c>
      <c r="AA398" s="38">
        <f>SUM(T$211:T398)</f>
        <v>52222</v>
      </c>
      <c r="AB398" s="38">
        <f>SUM(U$211:U398)</f>
        <v>26623</v>
      </c>
      <c r="AC398" s="38">
        <f>SUM(V$211:V398)</f>
        <v>1128</v>
      </c>
      <c r="AD398" s="38">
        <f t="shared" si="135"/>
        <v>4695662</v>
      </c>
    </row>
    <row r="399" spans="1:30" x14ac:dyDescent="0.25">
      <c r="A399" s="86" t="s">
        <v>254</v>
      </c>
      <c r="B399" s="14">
        <f t="shared" si="129"/>
        <v>189</v>
      </c>
      <c r="C399" s="14">
        <f t="shared" si="153"/>
        <v>225</v>
      </c>
      <c r="D399" s="14">
        <f t="shared" si="153"/>
        <v>113</v>
      </c>
      <c r="E399" s="14">
        <f t="shared" si="153"/>
        <v>56</v>
      </c>
      <c r="F399" s="14">
        <f t="shared" si="153"/>
        <v>2925</v>
      </c>
      <c r="G399" s="74">
        <f t="shared" si="130"/>
        <v>3895</v>
      </c>
      <c r="H399" s="14">
        <f t="shared" si="146"/>
        <v>55650</v>
      </c>
      <c r="I399" s="14"/>
      <c r="J399" s="14">
        <f t="shared" si="154"/>
        <v>111000</v>
      </c>
      <c r="K399" s="14">
        <f t="shared" si="154"/>
        <v>6</v>
      </c>
      <c r="L399" s="14">
        <v>1</v>
      </c>
      <c r="M399" s="14">
        <f t="shared" si="149"/>
        <v>1122</v>
      </c>
      <c r="N399" s="14">
        <f t="shared" si="149"/>
        <v>561</v>
      </c>
      <c r="O399" s="14">
        <f t="shared" si="149"/>
        <v>276</v>
      </c>
      <c r="P399" s="14">
        <f t="shared" si="150"/>
        <v>300</v>
      </c>
      <c r="Q399" s="38">
        <f t="shared" si="151"/>
        <v>300</v>
      </c>
      <c r="R399" s="38">
        <f t="shared" si="131"/>
        <v>166650</v>
      </c>
      <c r="S399" s="38">
        <f t="shared" si="132"/>
        <v>1122</v>
      </c>
      <c r="T399" s="38">
        <f t="shared" si="133"/>
        <v>561</v>
      </c>
      <c r="U399" s="38">
        <f t="shared" si="148"/>
        <v>332</v>
      </c>
      <c r="V399" s="38">
        <f t="shared" si="152"/>
        <v>6</v>
      </c>
      <c r="W399" s="38">
        <f t="shared" si="134"/>
        <v>52533</v>
      </c>
      <c r="X399" s="38">
        <f>SUM(Q$211:Q399)</f>
        <v>54450</v>
      </c>
      <c r="Y399" s="38">
        <f>SUM(R$211:R399)</f>
        <v>15522450</v>
      </c>
      <c r="Z399" s="38">
        <f>SUM(S$211:S399)</f>
        <v>105561</v>
      </c>
      <c r="AA399" s="38">
        <f>SUM(T$211:T399)</f>
        <v>52783</v>
      </c>
      <c r="AB399" s="38">
        <f>SUM(U$211:U399)</f>
        <v>26955</v>
      </c>
      <c r="AC399" s="38">
        <f>SUM(V$211:V399)</f>
        <v>1134</v>
      </c>
      <c r="AD399" s="38">
        <f t="shared" si="135"/>
        <v>4748195</v>
      </c>
    </row>
    <row r="400" spans="1:30" x14ac:dyDescent="0.25">
      <c r="A400" s="86" t="s">
        <v>254</v>
      </c>
      <c r="B400" s="14">
        <f t="shared" si="129"/>
        <v>190</v>
      </c>
      <c r="C400" s="14">
        <f t="shared" si="153"/>
        <v>225</v>
      </c>
      <c r="D400" s="14">
        <f t="shared" si="153"/>
        <v>113</v>
      </c>
      <c r="E400" s="14">
        <f t="shared" si="153"/>
        <v>56</v>
      </c>
      <c r="F400" s="14">
        <f t="shared" si="153"/>
        <v>2925</v>
      </c>
      <c r="G400" s="74">
        <f t="shared" si="130"/>
        <v>3895</v>
      </c>
      <c r="H400" s="14">
        <f t="shared" si="146"/>
        <v>55950</v>
      </c>
      <c r="I400" s="14"/>
      <c r="J400" s="14">
        <f t="shared" si="154"/>
        <v>111600</v>
      </c>
      <c r="K400" s="14">
        <f t="shared" si="154"/>
        <v>6</v>
      </c>
      <c r="L400" s="14">
        <v>1</v>
      </c>
      <c r="M400" s="14">
        <f t="shared" si="149"/>
        <v>1128</v>
      </c>
      <c r="N400" s="14">
        <f t="shared" si="149"/>
        <v>564</v>
      </c>
      <c r="O400" s="14">
        <f t="shared" si="149"/>
        <v>278</v>
      </c>
      <c r="P400" s="14">
        <f t="shared" si="150"/>
        <v>300</v>
      </c>
      <c r="Q400" s="38">
        <f t="shared" si="151"/>
        <v>300</v>
      </c>
      <c r="R400" s="38">
        <f t="shared" si="131"/>
        <v>167550</v>
      </c>
      <c r="S400" s="38">
        <f t="shared" si="132"/>
        <v>1128</v>
      </c>
      <c r="T400" s="38">
        <f t="shared" si="133"/>
        <v>564</v>
      </c>
      <c r="U400" s="38">
        <f t="shared" si="148"/>
        <v>334</v>
      </c>
      <c r="V400" s="38">
        <f t="shared" si="152"/>
        <v>6</v>
      </c>
      <c r="W400" s="38">
        <f t="shared" si="134"/>
        <v>52824</v>
      </c>
      <c r="X400" s="38">
        <f>SUM(Q$211:Q400)</f>
        <v>54750</v>
      </c>
      <c r="Y400" s="38">
        <f>SUM(R$211:R400)</f>
        <v>15690000</v>
      </c>
      <c r="Z400" s="38">
        <f>SUM(S$211:S400)</f>
        <v>106689</v>
      </c>
      <c r="AA400" s="38">
        <f>SUM(T$211:T400)</f>
        <v>53347</v>
      </c>
      <c r="AB400" s="38">
        <f>SUM(U$211:U400)</f>
        <v>27289</v>
      </c>
      <c r="AC400" s="38">
        <f>SUM(V$211:V400)</f>
        <v>1140</v>
      </c>
      <c r="AD400" s="38">
        <f t="shared" si="135"/>
        <v>4801019</v>
      </c>
    </row>
    <row r="401" spans="1:30" x14ac:dyDescent="0.25">
      <c r="A401" s="86" t="s">
        <v>254</v>
      </c>
      <c r="B401" s="14">
        <f t="shared" si="129"/>
        <v>191</v>
      </c>
      <c r="C401" s="14">
        <f t="shared" si="153"/>
        <v>227</v>
      </c>
      <c r="D401" s="14">
        <f t="shared" si="153"/>
        <v>113</v>
      </c>
      <c r="E401" s="14">
        <f t="shared" si="153"/>
        <v>56</v>
      </c>
      <c r="F401" s="14">
        <f t="shared" si="153"/>
        <v>2955</v>
      </c>
      <c r="G401" s="74">
        <f t="shared" si="130"/>
        <v>3903</v>
      </c>
      <c r="H401" s="14">
        <f t="shared" si="146"/>
        <v>56250</v>
      </c>
      <c r="I401" s="14"/>
      <c r="J401" s="14">
        <f t="shared" si="154"/>
        <v>112200</v>
      </c>
      <c r="K401" s="14">
        <f t="shared" si="154"/>
        <v>6</v>
      </c>
      <c r="L401" s="14">
        <v>1</v>
      </c>
      <c r="M401" s="14">
        <f t="shared" si="149"/>
        <v>1134</v>
      </c>
      <c r="N401" s="14">
        <f t="shared" si="149"/>
        <v>567</v>
      </c>
      <c r="O401" s="14">
        <f t="shared" si="149"/>
        <v>279</v>
      </c>
      <c r="P401" s="14">
        <f t="shared" si="150"/>
        <v>300</v>
      </c>
      <c r="Q401" s="38">
        <f t="shared" si="151"/>
        <v>300</v>
      </c>
      <c r="R401" s="38">
        <f t="shared" si="131"/>
        <v>168450</v>
      </c>
      <c r="S401" s="38">
        <f t="shared" si="132"/>
        <v>1134</v>
      </c>
      <c r="T401" s="38">
        <f t="shared" si="133"/>
        <v>567</v>
      </c>
      <c r="U401" s="38">
        <f t="shared" si="148"/>
        <v>335</v>
      </c>
      <c r="V401" s="38">
        <f t="shared" si="152"/>
        <v>6</v>
      </c>
      <c r="W401" s="38">
        <f t="shared" si="134"/>
        <v>53070</v>
      </c>
      <c r="X401" s="38">
        <f>SUM(Q$211:Q401)</f>
        <v>55050</v>
      </c>
      <c r="Y401" s="38">
        <f>SUM(R$211:R401)</f>
        <v>15858450</v>
      </c>
      <c r="Z401" s="38">
        <f>SUM(S$211:S401)</f>
        <v>107823</v>
      </c>
      <c r="AA401" s="38">
        <f>SUM(T$211:T401)</f>
        <v>53914</v>
      </c>
      <c r="AB401" s="38">
        <f>SUM(U$211:U401)</f>
        <v>27624</v>
      </c>
      <c r="AC401" s="38">
        <f>SUM(V$211:V401)</f>
        <v>1146</v>
      </c>
      <c r="AD401" s="38">
        <f t="shared" si="135"/>
        <v>4854089</v>
      </c>
    </row>
    <row r="402" spans="1:30" x14ac:dyDescent="0.25">
      <c r="A402" s="86" t="s">
        <v>254</v>
      </c>
      <c r="B402" s="14">
        <f t="shared" si="129"/>
        <v>192</v>
      </c>
      <c r="C402" s="14">
        <f t="shared" si="153"/>
        <v>228</v>
      </c>
      <c r="D402" s="14">
        <f t="shared" si="153"/>
        <v>114</v>
      </c>
      <c r="E402" s="14">
        <f t="shared" si="153"/>
        <v>56</v>
      </c>
      <c r="F402" s="14">
        <f t="shared" si="153"/>
        <v>2955</v>
      </c>
      <c r="G402" s="74">
        <f t="shared" si="130"/>
        <v>3909</v>
      </c>
      <c r="H402" s="14">
        <f t="shared" si="146"/>
        <v>56550</v>
      </c>
      <c r="I402" s="14"/>
      <c r="J402" s="14">
        <f t="shared" si="154"/>
        <v>112800</v>
      </c>
      <c r="K402" s="14">
        <f t="shared" si="154"/>
        <v>6</v>
      </c>
      <c r="L402" s="14">
        <v>1</v>
      </c>
      <c r="M402" s="14">
        <f t="shared" si="149"/>
        <v>1140</v>
      </c>
      <c r="N402" s="14">
        <f t="shared" si="149"/>
        <v>570</v>
      </c>
      <c r="O402" s="14">
        <f t="shared" si="149"/>
        <v>281</v>
      </c>
      <c r="P402" s="14">
        <f t="shared" si="150"/>
        <v>300</v>
      </c>
      <c r="Q402" s="38">
        <f t="shared" si="151"/>
        <v>300</v>
      </c>
      <c r="R402" s="38">
        <f t="shared" si="131"/>
        <v>169350</v>
      </c>
      <c r="S402" s="38">
        <f t="shared" si="132"/>
        <v>1140</v>
      </c>
      <c r="T402" s="38">
        <f t="shared" si="133"/>
        <v>570</v>
      </c>
      <c r="U402" s="38">
        <f t="shared" si="148"/>
        <v>337</v>
      </c>
      <c r="V402" s="38">
        <f t="shared" si="152"/>
        <v>6</v>
      </c>
      <c r="W402" s="38">
        <f t="shared" si="134"/>
        <v>53361</v>
      </c>
      <c r="X402" s="38">
        <f>SUM(Q$211:Q402)</f>
        <v>55350</v>
      </c>
      <c r="Y402" s="38">
        <f>SUM(R$211:R402)</f>
        <v>16027800</v>
      </c>
      <c r="Z402" s="38">
        <f>SUM(S$211:S402)</f>
        <v>108963</v>
      </c>
      <c r="AA402" s="38">
        <f>SUM(T$211:T402)</f>
        <v>54484</v>
      </c>
      <c r="AB402" s="38">
        <f>SUM(U$211:U402)</f>
        <v>27961</v>
      </c>
      <c r="AC402" s="38">
        <f>SUM(V$211:V402)</f>
        <v>1152</v>
      </c>
      <c r="AD402" s="38">
        <f t="shared" si="135"/>
        <v>4907450</v>
      </c>
    </row>
    <row r="403" spans="1:30" x14ac:dyDescent="0.25">
      <c r="A403" s="86" t="s">
        <v>254</v>
      </c>
      <c r="B403" s="14">
        <f t="shared" si="129"/>
        <v>193</v>
      </c>
      <c r="C403" s="14">
        <f t="shared" si="153"/>
        <v>230</v>
      </c>
      <c r="D403" s="14">
        <f t="shared" si="153"/>
        <v>114</v>
      </c>
      <c r="E403" s="14">
        <f t="shared" si="153"/>
        <v>57</v>
      </c>
      <c r="F403" s="14">
        <f t="shared" si="153"/>
        <v>2985</v>
      </c>
      <c r="G403" s="74">
        <f t="shared" si="130"/>
        <v>3962</v>
      </c>
      <c r="H403" s="14">
        <f t="shared" ref="H403:H410" si="155">MAX(1,ROUND(H200*INDEX($O$1:$U$4,MATCH($A403,$O$1:$O$4,0),MATCH(H$210,$O$1:$U$1,0)),0))</f>
        <v>56850</v>
      </c>
      <c r="I403" s="14"/>
      <c r="J403" s="14">
        <f t="shared" si="154"/>
        <v>113400</v>
      </c>
      <c r="K403" s="14">
        <f t="shared" si="154"/>
        <v>6</v>
      </c>
      <c r="L403" s="14">
        <v>1</v>
      </c>
      <c r="M403" s="14">
        <f t="shared" si="149"/>
        <v>1146</v>
      </c>
      <c r="N403" s="14">
        <f t="shared" si="149"/>
        <v>573</v>
      </c>
      <c r="O403" s="14">
        <f t="shared" si="149"/>
        <v>282</v>
      </c>
      <c r="P403" s="14">
        <f t="shared" si="150"/>
        <v>300</v>
      </c>
      <c r="Q403" s="38">
        <f t="shared" si="151"/>
        <v>300</v>
      </c>
      <c r="R403" s="38">
        <f t="shared" si="131"/>
        <v>170250</v>
      </c>
      <c r="S403" s="38">
        <f t="shared" si="132"/>
        <v>1146</v>
      </c>
      <c r="T403" s="38">
        <f t="shared" si="133"/>
        <v>573</v>
      </c>
      <c r="U403" s="38">
        <f t="shared" si="148"/>
        <v>339</v>
      </c>
      <c r="V403" s="38">
        <f t="shared" si="152"/>
        <v>6</v>
      </c>
      <c r="W403" s="38">
        <f t="shared" si="134"/>
        <v>53652</v>
      </c>
      <c r="X403" s="38">
        <f>SUM(Q$211:Q403)</f>
        <v>55650</v>
      </c>
      <c r="Y403" s="38">
        <f>SUM(R$211:R403)</f>
        <v>16198050</v>
      </c>
      <c r="Z403" s="38">
        <f>SUM(S$211:S403)</f>
        <v>110109</v>
      </c>
      <c r="AA403" s="38">
        <f>SUM(T$211:T403)</f>
        <v>55057</v>
      </c>
      <c r="AB403" s="38">
        <f>SUM(U$211:U403)</f>
        <v>28300</v>
      </c>
      <c r="AC403" s="38">
        <f>SUM(V$211:V403)</f>
        <v>1158</v>
      </c>
      <c r="AD403" s="38">
        <f t="shared" si="135"/>
        <v>4961102</v>
      </c>
    </row>
    <row r="404" spans="1:30" x14ac:dyDescent="0.25">
      <c r="A404" s="86" t="s">
        <v>254</v>
      </c>
      <c r="B404" s="14">
        <f t="shared" ref="B404:B410" si="156">B201</f>
        <v>194</v>
      </c>
      <c r="C404" s="14">
        <f t="shared" si="153"/>
        <v>231</v>
      </c>
      <c r="D404" s="14">
        <f t="shared" si="153"/>
        <v>116</v>
      </c>
      <c r="E404" s="14">
        <f t="shared" si="153"/>
        <v>57</v>
      </c>
      <c r="F404" s="14">
        <f t="shared" si="153"/>
        <v>2985</v>
      </c>
      <c r="G404" s="74">
        <f t="shared" ref="G404:G410" si="157">SUMPRODUCT($C$6:$F$6,C404:F404)</f>
        <v>3973</v>
      </c>
      <c r="H404" s="14">
        <f t="shared" si="155"/>
        <v>57150</v>
      </c>
      <c r="I404" s="14"/>
      <c r="J404" s="14">
        <f t="shared" si="154"/>
        <v>114000</v>
      </c>
      <c r="K404" s="14">
        <f t="shared" si="154"/>
        <v>6</v>
      </c>
      <c r="L404" s="14">
        <v>1</v>
      </c>
      <c r="M404" s="14">
        <f t="shared" si="149"/>
        <v>1152</v>
      </c>
      <c r="N404" s="14">
        <f t="shared" si="149"/>
        <v>576</v>
      </c>
      <c r="O404" s="14">
        <f t="shared" si="149"/>
        <v>284</v>
      </c>
      <c r="P404" s="14">
        <f t="shared" si="150"/>
        <v>300</v>
      </c>
      <c r="Q404" s="38">
        <f t="shared" si="151"/>
        <v>300</v>
      </c>
      <c r="R404" s="38">
        <f t="shared" ref="R404:R410" si="158">H404+J404</f>
        <v>171150</v>
      </c>
      <c r="S404" s="38">
        <f t="shared" ref="S404:S410" si="159">M404</f>
        <v>1152</v>
      </c>
      <c r="T404" s="38">
        <f t="shared" ref="T404:T410" si="160">N404</f>
        <v>576</v>
      </c>
      <c r="U404" s="38">
        <f t="shared" si="148"/>
        <v>341</v>
      </c>
      <c r="V404" s="38">
        <f t="shared" si="152"/>
        <v>6</v>
      </c>
      <c r="W404" s="38">
        <f t="shared" ref="W404:W410" si="161">SUMPRODUCT($Q$6:$V$6,Q404:V404)</f>
        <v>53943</v>
      </c>
      <c r="X404" s="38">
        <f>SUM(Q$211:Q404)</f>
        <v>55950</v>
      </c>
      <c r="Y404" s="38">
        <f>SUM(R$211:R404)</f>
        <v>16369200</v>
      </c>
      <c r="Z404" s="38">
        <f>SUM(S$211:S404)</f>
        <v>111261</v>
      </c>
      <c r="AA404" s="38">
        <f>SUM(T$211:T404)</f>
        <v>55633</v>
      </c>
      <c r="AB404" s="38">
        <f>SUM(U$211:U404)</f>
        <v>28641</v>
      </c>
      <c r="AC404" s="38">
        <f>SUM(V$211:V404)</f>
        <v>1164</v>
      </c>
      <c r="AD404" s="38">
        <f t="shared" ref="AD404:AD410" si="162">SUMPRODUCT($X$6:$AC$6,X404:AC404)</f>
        <v>5015045</v>
      </c>
    </row>
    <row r="405" spans="1:30" x14ac:dyDescent="0.25">
      <c r="A405" s="86" t="s">
        <v>254</v>
      </c>
      <c r="B405" s="14">
        <f t="shared" si="156"/>
        <v>195</v>
      </c>
      <c r="C405" s="14">
        <f t="shared" si="153"/>
        <v>231</v>
      </c>
      <c r="D405" s="14">
        <f t="shared" si="153"/>
        <v>116</v>
      </c>
      <c r="E405" s="14">
        <f t="shared" si="153"/>
        <v>57</v>
      </c>
      <c r="F405" s="14">
        <f t="shared" si="153"/>
        <v>3015</v>
      </c>
      <c r="G405" s="74">
        <f t="shared" si="157"/>
        <v>3979</v>
      </c>
      <c r="H405" s="14">
        <f t="shared" si="155"/>
        <v>57450</v>
      </c>
      <c r="I405" s="14"/>
      <c r="J405" s="14">
        <f t="shared" si="154"/>
        <v>114600</v>
      </c>
      <c r="K405" s="14">
        <f t="shared" si="154"/>
        <v>6</v>
      </c>
      <c r="L405" s="14">
        <v>1</v>
      </c>
      <c r="M405" s="14">
        <f t="shared" si="149"/>
        <v>1158</v>
      </c>
      <c r="N405" s="14">
        <f t="shared" si="149"/>
        <v>579</v>
      </c>
      <c r="O405" s="14">
        <f t="shared" si="149"/>
        <v>285</v>
      </c>
      <c r="P405" s="14">
        <f t="shared" si="150"/>
        <v>300</v>
      </c>
      <c r="Q405" s="38">
        <f t="shared" si="151"/>
        <v>300</v>
      </c>
      <c r="R405" s="38">
        <f t="shared" si="158"/>
        <v>172050</v>
      </c>
      <c r="S405" s="38">
        <f t="shared" si="159"/>
        <v>1158</v>
      </c>
      <c r="T405" s="38">
        <f t="shared" si="160"/>
        <v>579</v>
      </c>
      <c r="U405" s="38">
        <f t="shared" si="148"/>
        <v>342</v>
      </c>
      <c r="V405" s="38">
        <f t="shared" si="152"/>
        <v>6</v>
      </c>
      <c r="W405" s="38">
        <f t="shared" si="161"/>
        <v>54189</v>
      </c>
      <c r="X405" s="38">
        <f>SUM(Q$211:Q405)</f>
        <v>56250</v>
      </c>
      <c r="Y405" s="38">
        <f>SUM(R$211:R405)</f>
        <v>16541250</v>
      </c>
      <c r="Z405" s="38">
        <f>SUM(S$211:S405)</f>
        <v>112419</v>
      </c>
      <c r="AA405" s="38">
        <f>SUM(T$211:T405)</f>
        <v>56212</v>
      </c>
      <c r="AB405" s="38">
        <f>SUM(U$211:U405)</f>
        <v>28983</v>
      </c>
      <c r="AC405" s="38">
        <f>SUM(V$211:V405)</f>
        <v>1170</v>
      </c>
      <c r="AD405" s="38">
        <f t="shared" si="162"/>
        <v>5069234</v>
      </c>
    </row>
    <row r="406" spans="1:30" x14ac:dyDescent="0.25">
      <c r="A406" s="86" t="s">
        <v>254</v>
      </c>
      <c r="B406" s="14">
        <f t="shared" si="156"/>
        <v>196</v>
      </c>
      <c r="C406" s="14">
        <f t="shared" si="153"/>
        <v>233</v>
      </c>
      <c r="D406" s="14">
        <f t="shared" si="153"/>
        <v>116</v>
      </c>
      <c r="E406" s="14">
        <f t="shared" si="153"/>
        <v>57</v>
      </c>
      <c r="F406" s="14">
        <f t="shared" si="153"/>
        <v>3015</v>
      </c>
      <c r="G406" s="74">
        <f t="shared" si="157"/>
        <v>3981</v>
      </c>
      <c r="H406" s="14">
        <f t="shared" si="155"/>
        <v>57750</v>
      </c>
      <c r="I406" s="14"/>
      <c r="J406" s="14">
        <f t="shared" si="154"/>
        <v>115200</v>
      </c>
      <c r="K406" s="14">
        <f t="shared" si="154"/>
        <v>6</v>
      </c>
      <c r="L406" s="14">
        <v>1</v>
      </c>
      <c r="M406" s="14">
        <f t="shared" si="149"/>
        <v>1164</v>
      </c>
      <c r="N406" s="14">
        <f t="shared" si="149"/>
        <v>582</v>
      </c>
      <c r="O406" s="14">
        <f t="shared" si="149"/>
        <v>287</v>
      </c>
      <c r="P406" s="14">
        <f t="shared" si="150"/>
        <v>300</v>
      </c>
      <c r="Q406" s="38">
        <f t="shared" si="151"/>
        <v>300</v>
      </c>
      <c r="R406" s="38">
        <f t="shared" si="158"/>
        <v>172950</v>
      </c>
      <c r="S406" s="38">
        <f t="shared" si="159"/>
        <v>1164</v>
      </c>
      <c r="T406" s="38">
        <f t="shared" si="160"/>
        <v>582</v>
      </c>
      <c r="U406" s="38">
        <f t="shared" si="148"/>
        <v>344</v>
      </c>
      <c r="V406" s="38">
        <f t="shared" si="152"/>
        <v>6</v>
      </c>
      <c r="W406" s="38">
        <f t="shared" si="161"/>
        <v>54480</v>
      </c>
      <c r="X406" s="38">
        <f>SUM(Q$211:Q406)</f>
        <v>56550</v>
      </c>
      <c r="Y406" s="38">
        <f>SUM(R$211:R406)</f>
        <v>16714200</v>
      </c>
      <c r="Z406" s="38">
        <f>SUM(S$211:S406)</f>
        <v>113583</v>
      </c>
      <c r="AA406" s="38">
        <f>SUM(T$211:T406)</f>
        <v>56794</v>
      </c>
      <c r="AB406" s="38">
        <f>SUM(U$211:U406)</f>
        <v>29327</v>
      </c>
      <c r="AC406" s="38">
        <f>SUM(V$211:V406)</f>
        <v>1176</v>
      </c>
      <c r="AD406" s="38">
        <f t="shared" si="162"/>
        <v>5123714</v>
      </c>
    </row>
    <row r="407" spans="1:30" x14ac:dyDescent="0.25">
      <c r="A407" s="86" t="s">
        <v>254</v>
      </c>
      <c r="B407" s="14">
        <f t="shared" si="156"/>
        <v>197</v>
      </c>
      <c r="C407" s="14">
        <f t="shared" si="153"/>
        <v>234</v>
      </c>
      <c r="D407" s="14">
        <f t="shared" si="153"/>
        <v>117</v>
      </c>
      <c r="E407" s="14">
        <f t="shared" si="153"/>
        <v>57</v>
      </c>
      <c r="F407" s="14">
        <f t="shared" si="153"/>
        <v>3045</v>
      </c>
      <c r="G407" s="74">
        <f t="shared" si="157"/>
        <v>3993</v>
      </c>
      <c r="H407" s="14">
        <f t="shared" si="155"/>
        <v>58050</v>
      </c>
      <c r="I407" s="14"/>
      <c r="J407" s="14">
        <f t="shared" si="154"/>
        <v>115800</v>
      </c>
      <c r="K407" s="14">
        <f t="shared" si="154"/>
        <v>6</v>
      </c>
      <c r="L407" s="14">
        <v>1</v>
      </c>
      <c r="M407" s="14">
        <f t="shared" ref="M407:O410" si="163">MAX(1,ROUND(M204*INDEX($O$1:$U$4,MATCH($A407,$O$1:$O$4,0),MATCH(M$210,$O$1:$U$1,0)),0))</f>
        <v>1170</v>
      </c>
      <c r="N407" s="14">
        <f t="shared" si="163"/>
        <v>585</v>
      </c>
      <c r="O407" s="14">
        <f t="shared" si="163"/>
        <v>288</v>
      </c>
      <c r="P407" s="14">
        <f t="shared" si="150"/>
        <v>300</v>
      </c>
      <c r="Q407" s="38">
        <f t="shared" si="151"/>
        <v>300</v>
      </c>
      <c r="R407" s="38">
        <f t="shared" si="158"/>
        <v>173850</v>
      </c>
      <c r="S407" s="38">
        <f t="shared" si="159"/>
        <v>1170</v>
      </c>
      <c r="T407" s="38">
        <f t="shared" si="160"/>
        <v>585</v>
      </c>
      <c r="U407" s="38">
        <f t="shared" si="148"/>
        <v>345</v>
      </c>
      <c r="V407" s="38">
        <f t="shared" si="152"/>
        <v>6</v>
      </c>
      <c r="W407" s="38">
        <f t="shared" si="161"/>
        <v>54726</v>
      </c>
      <c r="X407" s="38">
        <f>SUM(Q$211:Q407)</f>
        <v>56850</v>
      </c>
      <c r="Y407" s="38">
        <f>SUM(R$211:R407)</f>
        <v>16888050</v>
      </c>
      <c r="Z407" s="38">
        <f>SUM(S$211:S407)</f>
        <v>114753</v>
      </c>
      <c r="AA407" s="38">
        <f>SUM(T$211:T407)</f>
        <v>57379</v>
      </c>
      <c r="AB407" s="38">
        <f>SUM(U$211:U407)</f>
        <v>29672</v>
      </c>
      <c r="AC407" s="38">
        <f>SUM(V$211:V407)</f>
        <v>1182</v>
      </c>
      <c r="AD407" s="38">
        <f t="shared" si="162"/>
        <v>5178440</v>
      </c>
    </row>
    <row r="408" spans="1:30" x14ac:dyDescent="0.25">
      <c r="A408" s="86" t="s">
        <v>254</v>
      </c>
      <c r="B408" s="14">
        <f t="shared" si="156"/>
        <v>198</v>
      </c>
      <c r="C408" s="14">
        <f t="shared" si="153"/>
        <v>236</v>
      </c>
      <c r="D408" s="14">
        <f t="shared" si="153"/>
        <v>117</v>
      </c>
      <c r="E408" s="14">
        <f t="shared" si="153"/>
        <v>59</v>
      </c>
      <c r="F408" s="14">
        <f t="shared" si="153"/>
        <v>3045</v>
      </c>
      <c r="G408" s="74">
        <f t="shared" si="157"/>
        <v>4085</v>
      </c>
      <c r="H408" s="14">
        <f t="shared" si="155"/>
        <v>58350</v>
      </c>
      <c r="I408" s="14"/>
      <c r="J408" s="14">
        <f t="shared" si="154"/>
        <v>116400</v>
      </c>
      <c r="K408" s="14">
        <f t="shared" si="154"/>
        <v>6</v>
      </c>
      <c r="L408" s="14">
        <v>1</v>
      </c>
      <c r="M408" s="14">
        <f t="shared" si="163"/>
        <v>1176</v>
      </c>
      <c r="N408" s="14">
        <f t="shared" si="163"/>
        <v>588</v>
      </c>
      <c r="O408" s="14">
        <f t="shared" si="163"/>
        <v>290</v>
      </c>
      <c r="P408" s="14">
        <f t="shared" si="150"/>
        <v>300</v>
      </c>
      <c r="Q408" s="38">
        <f t="shared" si="151"/>
        <v>300</v>
      </c>
      <c r="R408" s="38">
        <f t="shared" si="158"/>
        <v>174750</v>
      </c>
      <c r="S408" s="38">
        <f t="shared" si="159"/>
        <v>1176</v>
      </c>
      <c r="T408" s="38">
        <f t="shared" si="160"/>
        <v>588</v>
      </c>
      <c r="U408" s="38">
        <f t="shared" si="148"/>
        <v>349</v>
      </c>
      <c r="V408" s="38">
        <f t="shared" si="152"/>
        <v>6</v>
      </c>
      <c r="W408" s="38">
        <f t="shared" si="161"/>
        <v>55107</v>
      </c>
      <c r="X408" s="38">
        <f>SUM(Q$211:Q408)</f>
        <v>57150</v>
      </c>
      <c r="Y408" s="38">
        <f>SUM(R$211:R408)</f>
        <v>17062800</v>
      </c>
      <c r="Z408" s="38">
        <f>SUM(S$211:S408)</f>
        <v>115929</v>
      </c>
      <c r="AA408" s="38">
        <f>SUM(T$211:T408)</f>
        <v>57967</v>
      </c>
      <c r="AB408" s="38">
        <f>SUM(U$211:U408)</f>
        <v>30021</v>
      </c>
      <c r="AC408" s="38">
        <f>SUM(V$211:V408)</f>
        <v>1188</v>
      </c>
      <c r="AD408" s="38">
        <f t="shared" si="162"/>
        <v>5233547</v>
      </c>
    </row>
    <row r="409" spans="1:30" x14ac:dyDescent="0.25">
      <c r="A409" s="86" t="s">
        <v>254</v>
      </c>
      <c r="B409" s="14">
        <f t="shared" si="156"/>
        <v>199</v>
      </c>
      <c r="C409" s="14">
        <f t="shared" si="153"/>
        <v>237</v>
      </c>
      <c r="D409" s="14">
        <f t="shared" si="153"/>
        <v>119</v>
      </c>
      <c r="E409" s="14">
        <f t="shared" si="153"/>
        <v>59</v>
      </c>
      <c r="F409" s="14">
        <f t="shared" si="153"/>
        <v>3075</v>
      </c>
      <c r="G409" s="74">
        <f t="shared" si="157"/>
        <v>4102</v>
      </c>
      <c r="H409" s="14">
        <f t="shared" si="155"/>
        <v>58650</v>
      </c>
      <c r="I409" s="14"/>
      <c r="J409" s="14">
        <f t="shared" si="154"/>
        <v>117000</v>
      </c>
      <c r="K409" s="14">
        <f t="shared" si="154"/>
        <v>6</v>
      </c>
      <c r="L409" s="14">
        <v>1</v>
      </c>
      <c r="M409" s="14">
        <f t="shared" si="163"/>
        <v>1182</v>
      </c>
      <c r="N409" s="14">
        <f t="shared" si="163"/>
        <v>591</v>
      </c>
      <c r="O409" s="14">
        <f t="shared" si="163"/>
        <v>291</v>
      </c>
      <c r="P409" s="14">
        <f t="shared" si="150"/>
        <v>300</v>
      </c>
      <c r="Q409" s="38">
        <f t="shared" si="151"/>
        <v>300</v>
      </c>
      <c r="R409" s="38">
        <f t="shared" si="158"/>
        <v>175650</v>
      </c>
      <c r="S409" s="38">
        <f t="shared" si="159"/>
        <v>1182</v>
      </c>
      <c r="T409" s="38">
        <f t="shared" si="160"/>
        <v>591</v>
      </c>
      <c r="U409" s="38">
        <f t="shared" si="148"/>
        <v>350</v>
      </c>
      <c r="V409" s="38">
        <f t="shared" si="152"/>
        <v>6</v>
      </c>
      <c r="W409" s="38">
        <f t="shared" si="161"/>
        <v>55353</v>
      </c>
      <c r="X409" s="38">
        <f>SUM(Q$211:Q409)</f>
        <v>57450</v>
      </c>
      <c r="Y409" s="38">
        <f>SUM(R$211:R409)</f>
        <v>17238450</v>
      </c>
      <c r="Z409" s="38">
        <f>SUM(S$211:S409)</f>
        <v>117111</v>
      </c>
      <c r="AA409" s="38">
        <f>SUM(T$211:T409)</f>
        <v>58558</v>
      </c>
      <c r="AB409" s="38">
        <f>SUM(U$211:U409)</f>
        <v>30371</v>
      </c>
      <c r="AC409" s="38">
        <f>SUM(V$211:V409)</f>
        <v>1194</v>
      </c>
      <c r="AD409" s="38">
        <f t="shared" si="162"/>
        <v>5288900</v>
      </c>
    </row>
    <row r="410" spans="1:30" x14ac:dyDescent="0.25">
      <c r="A410" s="86" t="s">
        <v>254</v>
      </c>
      <c r="B410" s="14">
        <f t="shared" si="156"/>
        <v>200</v>
      </c>
      <c r="C410" s="14">
        <f t="shared" si="153"/>
        <v>237</v>
      </c>
      <c r="D410" s="14">
        <f t="shared" si="153"/>
        <v>119</v>
      </c>
      <c r="E410" s="14">
        <f t="shared" si="153"/>
        <v>59</v>
      </c>
      <c r="F410" s="14">
        <f t="shared" si="153"/>
        <v>3075</v>
      </c>
      <c r="G410" s="74">
        <f t="shared" si="157"/>
        <v>4102</v>
      </c>
      <c r="H410" s="14">
        <f t="shared" si="155"/>
        <v>58950</v>
      </c>
      <c r="I410" s="14"/>
      <c r="J410" s="14">
        <f t="shared" si="154"/>
        <v>117600</v>
      </c>
      <c r="K410" s="14">
        <f t="shared" si="154"/>
        <v>6</v>
      </c>
      <c r="L410" s="14">
        <v>1</v>
      </c>
      <c r="M410" s="14">
        <f t="shared" si="163"/>
        <v>1188</v>
      </c>
      <c r="N410" s="14">
        <f t="shared" si="163"/>
        <v>594</v>
      </c>
      <c r="O410" s="14">
        <f t="shared" si="163"/>
        <v>293</v>
      </c>
      <c r="P410" s="14">
        <f t="shared" si="150"/>
        <v>300</v>
      </c>
      <c r="Q410" s="38">
        <f t="shared" si="151"/>
        <v>300</v>
      </c>
      <c r="R410" s="38">
        <f t="shared" si="158"/>
        <v>176550</v>
      </c>
      <c r="S410" s="38">
        <f t="shared" si="159"/>
        <v>1188</v>
      </c>
      <c r="T410" s="38">
        <f t="shared" si="160"/>
        <v>594</v>
      </c>
      <c r="U410" s="38">
        <f t="shared" si="148"/>
        <v>352</v>
      </c>
      <c r="V410" s="38">
        <f t="shared" si="152"/>
        <v>6</v>
      </c>
      <c r="W410" s="38">
        <f t="shared" si="161"/>
        <v>55644</v>
      </c>
      <c r="X410" s="38">
        <f>SUM(Q$211:Q410)</f>
        <v>57750</v>
      </c>
      <c r="Y410" s="38">
        <f>SUM(R$211:R410)</f>
        <v>17415000</v>
      </c>
      <c r="Z410" s="38">
        <f>SUM(S$211:S410)</f>
        <v>118299</v>
      </c>
      <c r="AA410" s="38">
        <f>SUM(T$211:T410)</f>
        <v>59152</v>
      </c>
      <c r="AB410" s="38">
        <f>SUM(U$211:U410)</f>
        <v>30723</v>
      </c>
      <c r="AC410" s="38">
        <f>SUM(V$211:V410)</f>
        <v>1200</v>
      </c>
      <c r="AD410" s="38">
        <f t="shared" si="162"/>
        <v>5344544</v>
      </c>
    </row>
    <row r="411" spans="1:30" x14ac:dyDescent="0.25">
      <c r="G411"/>
      <c r="H411"/>
      <c r="J411"/>
      <c r="M411"/>
      <c r="P411"/>
    </row>
    <row r="412" spans="1:30" x14ac:dyDescent="0.25">
      <c r="A412" t="s">
        <v>84</v>
      </c>
      <c r="G412"/>
      <c r="H412"/>
      <c r="J412"/>
      <c r="M412"/>
      <c r="P412"/>
    </row>
    <row r="413" spans="1:30" ht="16.2" x14ac:dyDescent="0.25">
      <c r="A413" s="9" t="s">
        <v>258</v>
      </c>
      <c r="B413" s="9" t="s">
        <v>51</v>
      </c>
      <c r="C413" s="9" t="s">
        <v>55</v>
      </c>
      <c r="D413" s="9" t="s">
        <v>56</v>
      </c>
      <c r="E413" s="9" t="s">
        <v>57</v>
      </c>
      <c r="F413" s="9" t="s">
        <v>54</v>
      </c>
      <c r="G413" s="73" t="s">
        <v>75</v>
      </c>
      <c r="H413" s="69" t="s">
        <v>54</v>
      </c>
      <c r="I413" s="9" t="s">
        <v>262</v>
      </c>
      <c r="J413" s="69" t="s">
        <v>54</v>
      </c>
      <c r="K413" s="9" t="s">
        <v>58</v>
      </c>
      <c r="L413" s="73" t="s">
        <v>261</v>
      </c>
      <c r="M413" s="69" t="s">
        <v>55</v>
      </c>
      <c r="N413" s="9" t="s">
        <v>56</v>
      </c>
      <c r="O413" s="9" t="s">
        <v>57</v>
      </c>
      <c r="P413" s="67" t="s">
        <v>53</v>
      </c>
      <c r="Q413" s="9" t="s">
        <v>53</v>
      </c>
      <c r="R413" s="9" t="s">
        <v>54</v>
      </c>
      <c r="S413" s="9" t="s">
        <v>55</v>
      </c>
      <c r="T413" s="9" t="s">
        <v>56</v>
      </c>
      <c r="U413" s="9" t="s">
        <v>57</v>
      </c>
      <c r="V413" s="9" t="s">
        <v>58</v>
      </c>
      <c r="W413" s="73" t="s">
        <v>247</v>
      </c>
      <c r="X413" s="9" t="s">
        <v>53</v>
      </c>
      <c r="Y413" s="9" t="s">
        <v>54</v>
      </c>
      <c r="Z413" s="9" t="s">
        <v>55</v>
      </c>
      <c r="AA413" s="9" t="s">
        <v>56</v>
      </c>
      <c r="AB413" s="9" t="s">
        <v>57</v>
      </c>
      <c r="AC413" s="9" t="s">
        <v>58</v>
      </c>
      <c r="AD413" s="9" t="s">
        <v>76</v>
      </c>
    </row>
    <row r="414" spans="1:30" x14ac:dyDescent="0.25">
      <c r="A414" s="86" t="s">
        <v>255</v>
      </c>
      <c r="B414" s="14">
        <f>B211</f>
        <v>1</v>
      </c>
      <c r="C414" s="14">
        <f t="shared" ref="C414:F433" si="164">MAX(1,ROUND(C8*INDEX($O$1:$U$4,MATCH($A414,$O$1:$O$4,0),MATCH(C$413,$O$1:$U$1,0)),0))</f>
        <v>13</v>
      </c>
      <c r="D414" s="14">
        <f t="shared" si="164"/>
        <v>5</v>
      </c>
      <c r="E414" s="14">
        <f t="shared" si="164"/>
        <v>1</v>
      </c>
      <c r="F414" s="14">
        <f t="shared" si="164"/>
        <v>250</v>
      </c>
      <c r="G414" s="74">
        <f>SUMPRODUCT($C$6:$F$6,C414:F414)</f>
        <v>133</v>
      </c>
      <c r="H414" s="14">
        <f t="shared" ref="H414:H445" si="165">MAX(1,ROUND(H8*INDEX($O$1:$U$4,MATCH($A414,$O$1:$O$4,0),MATCH(H$413,$O$1:$U$1,0)),0))</f>
        <v>500</v>
      </c>
      <c r="I414" s="14">
        <v>1</v>
      </c>
      <c r="J414" s="14">
        <f t="shared" ref="J414:K433" si="166">MAX(1,ROUND(J8*INDEX($O$1:$U$4,MATCH($A414,$O$1:$O$4,0),MATCH(J$413,$O$1:$U$1,0)),0))</f>
        <v>1000</v>
      </c>
      <c r="K414" s="14">
        <f t="shared" si="166"/>
        <v>6</v>
      </c>
      <c r="L414" s="14">
        <v>1</v>
      </c>
      <c r="M414" s="14">
        <f>MAX(1,ROUND(M8*INDEX($O$1:$U$4,MATCH($A414,$O$1:$O$4,0),MATCH(M$413,$O$1:$U$1,0)),0))</f>
        <v>30</v>
      </c>
      <c r="N414" s="14">
        <f>MAX(1,ROUND(N8*INDEX($O$1:$U$4,MATCH($A414,$O$1:$O$4,0),MATCH(N$413,$O$1:$U$1,0)),0))</f>
        <v>20</v>
      </c>
      <c r="O414" s="14">
        <f>MAX(1,ROUND(O8*INDEX($O$1:$U$4,MATCH($A414,$O$1:$O$4,0),MATCH(O$413,$O$1:$U$1,0)),0))</f>
        <v>1</v>
      </c>
      <c r="P414" s="14">
        <f>MAX(1,ROUND(P8*INDEX($O$1:$U$4,MATCH($A414,$O$1:$O$4,0),MATCH(P$413,$O$1:$U$1,0)),0))</f>
        <v>250</v>
      </c>
      <c r="Q414" s="38">
        <f t="shared" ref="Q414:Q477" si="167">P414</f>
        <v>250</v>
      </c>
      <c r="R414" s="38">
        <f>H414+J414</f>
        <v>1500</v>
      </c>
      <c r="S414" s="38">
        <f>M414</f>
        <v>30</v>
      </c>
      <c r="T414" s="38">
        <f>N414</f>
        <v>20</v>
      </c>
      <c r="U414" s="38">
        <f>O414</f>
        <v>1</v>
      </c>
      <c r="V414" s="38">
        <f>K414</f>
        <v>6</v>
      </c>
      <c r="W414" s="38">
        <f>SUMPRODUCT($Q$6:$V$6,Q414:V414)</f>
        <v>761</v>
      </c>
      <c r="X414" s="38">
        <f>SUM(Q$414:Q414)</f>
        <v>250</v>
      </c>
      <c r="Y414" s="38">
        <f>SUM(R$414:R414)</f>
        <v>1500</v>
      </c>
      <c r="Z414" s="38">
        <f>SUM(S414:S414)</f>
        <v>30</v>
      </c>
      <c r="AA414" s="38">
        <f>SUM(T$414:T414)</f>
        <v>20</v>
      </c>
      <c r="AB414" s="38">
        <f>SUM(U$414:U414)</f>
        <v>1</v>
      </c>
      <c r="AC414" s="38">
        <f>SUM(V$414:V414)</f>
        <v>6</v>
      </c>
      <c r="AD414" s="38">
        <f>SUMPRODUCT($X$6:$AC$6,X414:AC414)</f>
        <v>761</v>
      </c>
    </row>
    <row r="415" spans="1:30" x14ac:dyDescent="0.25">
      <c r="A415" s="86" t="s">
        <v>255</v>
      </c>
      <c r="B415" s="14">
        <v>2</v>
      </c>
      <c r="C415" s="14">
        <f t="shared" si="164"/>
        <v>13</v>
      </c>
      <c r="D415" s="14">
        <f t="shared" si="164"/>
        <v>5</v>
      </c>
      <c r="E415" s="14">
        <f t="shared" si="164"/>
        <v>1</v>
      </c>
      <c r="F415" s="14">
        <f t="shared" si="164"/>
        <v>250</v>
      </c>
      <c r="G415" s="74">
        <f t="shared" ref="G415:G478" si="168">SUMPRODUCT($C$6:$F$6,C415:F415)</f>
        <v>133</v>
      </c>
      <c r="H415" s="14">
        <f t="shared" si="165"/>
        <v>750</v>
      </c>
      <c r="I415" s="14">
        <v>1</v>
      </c>
      <c r="J415" s="14">
        <f t="shared" si="166"/>
        <v>1500</v>
      </c>
      <c r="K415" s="14">
        <f t="shared" si="166"/>
        <v>6</v>
      </c>
      <c r="L415" s="14">
        <v>1</v>
      </c>
      <c r="M415" s="14">
        <f t="shared" ref="M415:O434" si="169">MAX(1,ROUND(M9*INDEX($O$1:$U$4,MATCH($A415,$O$1:$O$4,0),MATCH(M$413,$O$1:$U$1,0)),0))</f>
        <v>35</v>
      </c>
      <c r="N415" s="14">
        <f t="shared" si="169"/>
        <v>20</v>
      </c>
      <c r="O415" s="14">
        <f t="shared" si="169"/>
        <v>1</v>
      </c>
      <c r="P415" s="14">
        <f t="shared" ref="P415:P478" si="170">MAX(1,ROUND(P9*INDEX($O$1:$U$4,MATCH($A415,$O$1:$O$4,0),MATCH(P$413,$O$1:$U$1,0)),0))</f>
        <v>250</v>
      </c>
      <c r="Q415" s="38">
        <f t="shared" si="167"/>
        <v>250</v>
      </c>
      <c r="R415" s="38">
        <f t="shared" ref="R415:R478" si="171">H415+J415</f>
        <v>2250</v>
      </c>
      <c r="S415" s="38">
        <f t="shared" ref="S415:S478" si="172">M415</f>
        <v>35</v>
      </c>
      <c r="T415" s="38">
        <f t="shared" ref="T415:T478" si="173">N415</f>
        <v>20</v>
      </c>
      <c r="U415" s="38">
        <f t="shared" ref="U415:U432" si="174">O415</f>
        <v>1</v>
      </c>
      <c r="V415" s="38">
        <f t="shared" ref="V415:V432" si="175">K415</f>
        <v>6</v>
      </c>
      <c r="W415" s="38">
        <f t="shared" ref="W415:W478" si="176">SUMPRODUCT($Q$6:$V$6,Q415:V415)</f>
        <v>916</v>
      </c>
      <c r="X415" s="38">
        <f>SUM(Q$414:Q415)</f>
        <v>500</v>
      </c>
      <c r="Y415" s="38">
        <f>SUM(R$414:R415)</f>
        <v>3750</v>
      </c>
      <c r="Z415" s="38">
        <f t="shared" ref="Z415:Z478" si="177">SUM(S415:S415)</f>
        <v>35</v>
      </c>
      <c r="AA415" s="38">
        <f>SUM(T$414:T415)</f>
        <v>40</v>
      </c>
      <c r="AB415" s="38">
        <f>SUM(U$414:U415)</f>
        <v>2</v>
      </c>
      <c r="AC415" s="38">
        <f>SUM(V$414:V415)</f>
        <v>12</v>
      </c>
      <c r="AD415" s="38">
        <f t="shared" ref="AD415:AD478" si="178">SUMPRODUCT($X$6:$AC$6,X415:AC415)</f>
        <v>1647</v>
      </c>
    </row>
    <row r="416" spans="1:30" x14ac:dyDescent="0.25">
      <c r="A416" s="86" t="s">
        <v>255</v>
      </c>
      <c r="B416" s="14">
        <v>3</v>
      </c>
      <c r="C416" s="14">
        <f t="shared" si="164"/>
        <v>13</v>
      </c>
      <c r="D416" s="14">
        <f t="shared" si="164"/>
        <v>5</v>
      </c>
      <c r="E416" s="14">
        <f t="shared" si="164"/>
        <v>1</v>
      </c>
      <c r="F416" s="14">
        <f t="shared" si="164"/>
        <v>275</v>
      </c>
      <c r="G416" s="74">
        <f t="shared" si="168"/>
        <v>138</v>
      </c>
      <c r="H416" s="14">
        <f t="shared" si="165"/>
        <v>1000</v>
      </c>
      <c r="I416" s="14">
        <v>1</v>
      </c>
      <c r="J416" s="14">
        <f t="shared" si="166"/>
        <v>2000</v>
      </c>
      <c r="K416" s="14">
        <f t="shared" si="166"/>
        <v>6</v>
      </c>
      <c r="L416" s="14">
        <v>1</v>
      </c>
      <c r="M416" s="14">
        <f t="shared" si="169"/>
        <v>40</v>
      </c>
      <c r="N416" s="14">
        <f t="shared" si="169"/>
        <v>20</v>
      </c>
      <c r="O416" s="14">
        <f t="shared" si="169"/>
        <v>1</v>
      </c>
      <c r="P416" s="14">
        <f t="shared" si="170"/>
        <v>250</v>
      </c>
      <c r="Q416" s="38">
        <f t="shared" si="167"/>
        <v>250</v>
      </c>
      <c r="R416" s="38">
        <f t="shared" si="171"/>
        <v>3000</v>
      </c>
      <c r="S416" s="38">
        <f t="shared" si="172"/>
        <v>40</v>
      </c>
      <c r="T416" s="38">
        <f t="shared" si="173"/>
        <v>20</v>
      </c>
      <c r="U416" s="38">
        <f t="shared" si="174"/>
        <v>1</v>
      </c>
      <c r="V416" s="38">
        <f t="shared" si="175"/>
        <v>6</v>
      </c>
      <c r="W416" s="38">
        <f t="shared" si="176"/>
        <v>1071</v>
      </c>
      <c r="X416" s="38">
        <f>SUM(Q$414:Q416)</f>
        <v>750</v>
      </c>
      <c r="Y416" s="38">
        <f>SUM(R$414:R416)</f>
        <v>6750</v>
      </c>
      <c r="Z416" s="38">
        <f t="shared" si="177"/>
        <v>40</v>
      </c>
      <c r="AA416" s="38">
        <f>SUM(T$414:T416)</f>
        <v>60</v>
      </c>
      <c r="AB416" s="38">
        <f>SUM(U$414:U416)</f>
        <v>3</v>
      </c>
      <c r="AC416" s="38">
        <f>SUM(V$414:V416)</f>
        <v>18</v>
      </c>
      <c r="AD416" s="38">
        <f t="shared" si="178"/>
        <v>2683</v>
      </c>
    </row>
    <row r="417" spans="1:30" x14ac:dyDescent="0.25">
      <c r="A417" s="86" t="s">
        <v>255</v>
      </c>
      <c r="B417" s="14">
        <v>4</v>
      </c>
      <c r="C417" s="14">
        <f t="shared" si="164"/>
        <v>13</v>
      </c>
      <c r="D417" s="14">
        <f t="shared" si="164"/>
        <v>5</v>
      </c>
      <c r="E417" s="14">
        <f t="shared" si="164"/>
        <v>3</v>
      </c>
      <c r="F417" s="14">
        <f t="shared" si="164"/>
        <v>275</v>
      </c>
      <c r="G417" s="74">
        <f t="shared" si="168"/>
        <v>228</v>
      </c>
      <c r="H417" s="14">
        <f t="shared" si="165"/>
        <v>1250</v>
      </c>
      <c r="I417" s="14">
        <v>1</v>
      </c>
      <c r="J417" s="14">
        <f t="shared" si="166"/>
        <v>2500</v>
      </c>
      <c r="K417" s="14">
        <f t="shared" si="166"/>
        <v>6</v>
      </c>
      <c r="L417" s="14">
        <v>1</v>
      </c>
      <c r="M417" s="14">
        <f t="shared" si="169"/>
        <v>45</v>
      </c>
      <c r="N417" s="14">
        <f t="shared" si="169"/>
        <v>20</v>
      </c>
      <c r="O417" s="14">
        <f t="shared" si="169"/>
        <v>3</v>
      </c>
      <c r="P417" s="14">
        <f t="shared" si="170"/>
        <v>250</v>
      </c>
      <c r="Q417" s="38">
        <f t="shared" si="167"/>
        <v>250</v>
      </c>
      <c r="R417" s="38">
        <f t="shared" si="171"/>
        <v>3750</v>
      </c>
      <c r="S417" s="38">
        <f t="shared" si="172"/>
        <v>45</v>
      </c>
      <c r="T417" s="38">
        <f t="shared" si="173"/>
        <v>20</v>
      </c>
      <c r="U417" s="38">
        <f t="shared" si="174"/>
        <v>3</v>
      </c>
      <c r="V417" s="38">
        <f t="shared" si="175"/>
        <v>6</v>
      </c>
      <c r="W417" s="38">
        <f t="shared" si="176"/>
        <v>1316</v>
      </c>
      <c r="X417" s="38">
        <f>SUM(Q$414:Q417)</f>
        <v>1000</v>
      </c>
      <c r="Y417" s="38">
        <f>SUM(R$414:R417)</f>
        <v>10500</v>
      </c>
      <c r="Z417" s="38">
        <f t="shared" si="177"/>
        <v>45</v>
      </c>
      <c r="AA417" s="38">
        <f>SUM(T$414:T417)</f>
        <v>80</v>
      </c>
      <c r="AB417" s="38">
        <f>SUM(U$414:U417)</f>
        <v>6</v>
      </c>
      <c r="AC417" s="38">
        <f>SUM(V$414:V417)</f>
        <v>24</v>
      </c>
      <c r="AD417" s="38">
        <f t="shared" si="178"/>
        <v>3959</v>
      </c>
    </row>
    <row r="418" spans="1:30" x14ac:dyDescent="0.25">
      <c r="A418" s="86" t="s">
        <v>255</v>
      </c>
      <c r="B418" s="14">
        <v>5</v>
      </c>
      <c r="C418" s="14">
        <f t="shared" si="164"/>
        <v>15</v>
      </c>
      <c r="D418" s="14">
        <f t="shared" si="164"/>
        <v>8</v>
      </c>
      <c r="E418" s="14">
        <f t="shared" si="164"/>
        <v>3</v>
      </c>
      <c r="F418" s="14">
        <f t="shared" si="164"/>
        <v>300</v>
      </c>
      <c r="G418" s="74">
        <f t="shared" si="168"/>
        <v>250</v>
      </c>
      <c r="H418" s="14">
        <f t="shared" si="165"/>
        <v>1500</v>
      </c>
      <c r="I418" s="14">
        <v>1</v>
      </c>
      <c r="J418" s="14">
        <f t="shared" si="166"/>
        <v>3000</v>
      </c>
      <c r="K418" s="14">
        <f t="shared" si="166"/>
        <v>6</v>
      </c>
      <c r="L418" s="14">
        <v>1</v>
      </c>
      <c r="M418" s="14">
        <f t="shared" si="169"/>
        <v>50</v>
      </c>
      <c r="N418" s="14">
        <f t="shared" si="169"/>
        <v>23</v>
      </c>
      <c r="O418" s="14">
        <f t="shared" si="169"/>
        <v>3</v>
      </c>
      <c r="P418" s="14">
        <f t="shared" si="170"/>
        <v>250</v>
      </c>
      <c r="Q418" s="38">
        <f t="shared" si="167"/>
        <v>250</v>
      </c>
      <c r="R418" s="38">
        <f t="shared" si="171"/>
        <v>4500</v>
      </c>
      <c r="S418" s="38">
        <f t="shared" si="172"/>
        <v>50</v>
      </c>
      <c r="T418" s="38">
        <f t="shared" si="173"/>
        <v>23</v>
      </c>
      <c r="U418" s="38">
        <f t="shared" si="174"/>
        <v>3</v>
      </c>
      <c r="V418" s="38">
        <f t="shared" si="175"/>
        <v>6</v>
      </c>
      <c r="W418" s="38">
        <f t="shared" si="176"/>
        <v>1486</v>
      </c>
      <c r="X418" s="38">
        <f>SUM(Q$414:Q418)</f>
        <v>1250</v>
      </c>
      <c r="Y418" s="38">
        <f>SUM(R$414:R418)</f>
        <v>15000</v>
      </c>
      <c r="Z418" s="38">
        <f t="shared" si="177"/>
        <v>50</v>
      </c>
      <c r="AA418" s="38">
        <f>SUM(T$414:T418)</f>
        <v>103</v>
      </c>
      <c r="AB418" s="38">
        <f>SUM(U$414:U418)</f>
        <v>9</v>
      </c>
      <c r="AC418" s="38">
        <f>SUM(V$414:V418)</f>
        <v>30</v>
      </c>
      <c r="AD418" s="38">
        <f t="shared" si="178"/>
        <v>5400</v>
      </c>
    </row>
    <row r="419" spans="1:30" x14ac:dyDescent="0.25">
      <c r="A419" s="86" t="s">
        <v>255</v>
      </c>
      <c r="B419" s="14">
        <v>6</v>
      </c>
      <c r="C419" s="14">
        <f t="shared" si="164"/>
        <v>15</v>
      </c>
      <c r="D419" s="14">
        <f t="shared" si="164"/>
        <v>8</v>
      </c>
      <c r="E419" s="14">
        <f t="shared" si="164"/>
        <v>3</v>
      </c>
      <c r="F419" s="14">
        <f t="shared" si="164"/>
        <v>300</v>
      </c>
      <c r="G419" s="74">
        <f t="shared" si="168"/>
        <v>250</v>
      </c>
      <c r="H419" s="14">
        <f t="shared" si="165"/>
        <v>1750</v>
      </c>
      <c r="I419" s="14">
        <v>1</v>
      </c>
      <c r="J419" s="14">
        <f t="shared" si="166"/>
        <v>3500</v>
      </c>
      <c r="K419" s="14">
        <f t="shared" si="166"/>
        <v>6</v>
      </c>
      <c r="L419" s="14">
        <v>1</v>
      </c>
      <c r="M419" s="14">
        <f t="shared" si="169"/>
        <v>50</v>
      </c>
      <c r="N419" s="14">
        <f t="shared" si="169"/>
        <v>25</v>
      </c>
      <c r="O419" s="14">
        <f t="shared" si="169"/>
        <v>5</v>
      </c>
      <c r="P419" s="14">
        <f t="shared" si="170"/>
        <v>250</v>
      </c>
      <c r="Q419" s="38">
        <f t="shared" si="167"/>
        <v>250</v>
      </c>
      <c r="R419" s="38">
        <f t="shared" si="171"/>
        <v>5250</v>
      </c>
      <c r="S419" s="38">
        <f t="shared" si="172"/>
        <v>50</v>
      </c>
      <c r="T419" s="38">
        <f t="shared" si="173"/>
        <v>25</v>
      </c>
      <c r="U419" s="38">
        <f t="shared" si="174"/>
        <v>5</v>
      </c>
      <c r="V419" s="38">
        <f t="shared" si="175"/>
        <v>6</v>
      </c>
      <c r="W419" s="38">
        <f t="shared" si="176"/>
        <v>1736</v>
      </c>
      <c r="X419" s="38">
        <f>SUM(Q$414:Q419)</f>
        <v>1500</v>
      </c>
      <c r="Y419" s="38">
        <f>SUM(R$414:R419)</f>
        <v>20250</v>
      </c>
      <c r="Z419" s="38">
        <f t="shared" si="177"/>
        <v>50</v>
      </c>
      <c r="AA419" s="38">
        <f>SUM(T$414:T419)</f>
        <v>128</v>
      </c>
      <c r="AB419" s="38">
        <f>SUM(U$414:U419)</f>
        <v>14</v>
      </c>
      <c r="AC419" s="38">
        <f>SUM(V$414:V419)</f>
        <v>36</v>
      </c>
      <c r="AD419" s="38">
        <f t="shared" si="178"/>
        <v>7086</v>
      </c>
    </row>
    <row r="420" spans="1:30" x14ac:dyDescent="0.25">
      <c r="A420" s="86" t="s">
        <v>255</v>
      </c>
      <c r="B420" s="14">
        <v>7</v>
      </c>
      <c r="C420" s="14">
        <f t="shared" si="164"/>
        <v>18</v>
      </c>
      <c r="D420" s="14">
        <f t="shared" si="164"/>
        <v>8</v>
      </c>
      <c r="E420" s="14">
        <f t="shared" si="164"/>
        <v>3</v>
      </c>
      <c r="F420" s="14">
        <f t="shared" si="164"/>
        <v>325</v>
      </c>
      <c r="G420" s="74">
        <f t="shared" si="168"/>
        <v>258</v>
      </c>
      <c r="H420" s="14">
        <f t="shared" si="165"/>
        <v>2000</v>
      </c>
      <c r="I420" s="14">
        <v>1</v>
      </c>
      <c r="J420" s="14">
        <f t="shared" si="166"/>
        <v>4000</v>
      </c>
      <c r="K420" s="14">
        <f t="shared" si="166"/>
        <v>6</v>
      </c>
      <c r="L420" s="14">
        <v>1</v>
      </c>
      <c r="M420" s="14">
        <f t="shared" si="169"/>
        <v>55</v>
      </c>
      <c r="N420" s="14">
        <f t="shared" si="169"/>
        <v>28</v>
      </c>
      <c r="O420" s="14">
        <f t="shared" si="169"/>
        <v>5</v>
      </c>
      <c r="P420" s="14">
        <f t="shared" si="170"/>
        <v>250</v>
      </c>
      <c r="Q420" s="38">
        <f t="shared" si="167"/>
        <v>250</v>
      </c>
      <c r="R420" s="38">
        <f t="shared" si="171"/>
        <v>6000</v>
      </c>
      <c r="S420" s="38">
        <f t="shared" si="172"/>
        <v>55</v>
      </c>
      <c r="T420" s="38">
        <f t="shared" si="173"/>
        <v>28</v>
      </c>
      <c r="U420" s="38">
        <f t="shared" si="174"/>
        <v>5</v>
      </c>
      <c r="V420" s="38">
        <f t="shared" si="175"/>
        <v>6</v>
      </c>
      <c r="W420" s="38">
        <f t="shared" si="176"/>
        <v>1906</v>
      </c>
      <c r="X420" s="38">
        <f>SUM(Q$414:Q420)</f>
        <v>1750</v>
      </c>
      <c r="Y420" s="38">
        <f>SUM(R$414:R420)</f>
        <v>26250</v>
      </c>
      <c r="Z420" s="38">
        <f t="shared" si="177"/>
        <v>55</v>
      </c>
      <c r="AA420" s="38">
        <f>SUM(T$414:T420)</f>
        <v>156</v>
      </c>
      <c r="AB420" s="38">
        <f>SUM(U$414:U420)</f>
        <v>19</v>
      </c>
      <c r="AC420" s="38">
        <f>SUM(V$414:V420)</f>
        <v>42</v>
      </c>
      <c r="AD420" s="38">
        <f t="shared" si="178"/>
        <v>8942</v>
      </c>
    </row>
    <row r="421" spans="1:30" x14ac:dyDescent="0.25">
      <c r="A421" s="86" t="s">
        <v>255</v>
      </c>
      <c r="B421" s="14">
        <v>8</v>
      </c>
      <c r="C421" s="14">
        <f t="shared" si="164"/>
        <v>18</v>
      </c>
      <c r="D421" s="14">
        <f t="shared" si="164"/>
        <v>8</v>
      </c>
      <c r="E421" s="14">
        <f t="shared" si="164"/>
        <v>3</v>
      </c>
      <c r="F421" s="14">
        <f t="shared" si="164"/>
        <v>325</v>
      </c>
      <c r="G421" s="74">
        <f t="shared" si="168"/>
        <v>258</v>
      </c>
      <c r="H421" s="14">
        <f t="shared" si="165"/>
        <v>2250</v>
      </c>
      <c r="I421" s="14">
        <v>1</v>
      </c>
      <c r="J421" s="14">
        <f t="shared" si="166"/>
        <v>4500</v>
      </c>
      <c r="K421" s="14">
        <f t="shared" si="166"/>
        <v>6</v>
      </c>
      <c r="L421" s="14">
        <v>1</v>
      </c>
      <c r="M421" s="14">
        <f t="shared" si="169"/>
        <v>60</v>
      </c>
      <c r="N421" s="14">
        <f t="shared" si="169"/>
        <v>30</v>
      </c>
      <c r="O421" s="14">
        <f t="shared" si="169"/>
        <v>8</v>
      </c>
      <c r="P421" s="14">
        <f t="shared" si="170"/>
        <v>250</v>
      </c>
      <c r="Q421" s="38">
        <f t="shared" si="167"/>
        <v>250</v>
      </c>
      <c r="R421" s="38">
        <f t="shared" si="171"/>
        <v>6750</v>
      </c>
      <c r="S421" s="38">
        <f t="shared" si="172"/>
        <v>60</v>
      </c>
      <c r="T421" s="38">
        <f t="shared" si="173"/>
        <v>30</v>
      </c>
      <c r="U421" s="38">
        <f t="shared" si="174"/>
        <v>8</v>
      </c>
      <c r="V421" s="38">
        <f t="shared" si="175"/>
        <v>6</v>
      </c>
      <c r="W421" s="38">
        <f t="shared" si="176"/>
        <v>2206</v>
      </c>
      <c r="X421" s="38">
        <f>SUM(Q$414:Q421)</f>
        <v>2000</v>
      </c>
      <c r="Y421" s="38">
        <f>SUM(R$414:R421)</f>
        <v>33000</v>
      </c>
      <c r="Z421" s="38">
        <f t="shared" si="177"/>
        <v>60</v>
      </c>
      <c r="AA421" s="38">
        <f>SUM(T$414:T421)</f>
        <v>186</v>
      </c>
      <c r="AB421" s="38">
        <f>SUM(U$414:U421)</f>
        <v>27</v>
      </c>
      <c r="AC421" s="38">
        <f>SUM(V$414:V421)</f>
        <v>48</v>
      </c>
      <c r="AD421" s="38">
        <f t="shared" si="178"/>
        <v>11093</v>
      </c>
    </row>
    <row r="422" spans="1:30" x14ac:dyDescent="0.25">
      <c r="A422" s="86" t="s">
        <v>255</v>
      </c>
      <c r="B422" s="14">
        <v>9</v>
      </c>
      <c r="C422" s="14">
        <f t="shared" si="164"/>
        <v>20</v>
      </c>
      <c r="D422" s="14">
        <f t="shared" si="164"/>
        <v>10</v>
      </c>
      <c r="E422" s="14">
        <f t="shared" si="164"/>
        <v>3</v>
      </c>
      <c r="F422" s="14">
        <f t="shared" si="164"/>
        <v>375</v>
      </c>
      <c r="G422" s="74">
        <f t="shared" si="168"/>
        <v>280</v>
      </c>
      <c r="H422" s="14">
        <f t="shared" si="165"/>
        <v>2750</v>
      </c>
      <c r="I422" s="14">
        <v>1</v>
      </c>
      <c r="J422" s="14">
        <f t="shared" si="166"/>
        <v>5000</v>
      </c>
      <c r="K422" s="14">
        <f t="shared" si="166"/>
        <v>6</v>
      </c>
      <c r="L422" s="14">
        <v>1</v>
      </c>
      <c r="M422" s="14">
        <f t="shared" si="169"/>
        <v>70</v>
      </c>
      <c r="N422" s="14">
        <f t="shared" si="169"/>
        <v>35</v>
      </c>
      <c r="O422" s="14">
        <f t="shared" si="169"/>
        <v>10</v>
      </c>
      <c r="P422" s="14">
        <f t="shared" si="170"/>
        <v>250</v>
      </c>
      <c r="Q422" s="38">
        <f t="shared" si="167"/>
        <v>250</v>
      </c>
      <c r="R422" s="38">
        <f t="shared" si="171"/>
        <v>7750</v>
      </c>
      <c r="S422" s="38">
        <f t="shared" si="172"/>
        <v>70</v>
      </c>
      <c r="T422" s="38">
        <f t="shared" si="173"/>
        <v>35</v>
      </c>
      <c r="U422" s="38">
        <f t="shared" si="174"/>
        <v>10</v>
      </c>
      <c r="V422" s="38">
        <f t="shared" si="175"/>
        <v>6</v>
      </c>
      <c r="W422" s="38">
        <f t="shared" si="176"/>
        <v>2531</v>
      </c>
      <c r="X422" s="38">
        <f>SUM(Q$414:Q422)</f>
        <v>2250</v>
      </c>
      <c r="Y422" s="38">
        <f>SUM(R$414:R422)</f>
        <v>40750</v>
      </c>
      <c r="Z422" s="38">
        <f t="shared" si="177"/>
        <v>70</v>
      </c>
      <c r="AA422" s="38">
        <f>SUM(T$414:T422)</f>
        <v>221</v>
      </c>
      <c r="AB422" s="38">
        <f>SUM(U$414:U422)</f>
        <v>37</v>
      </c>
      <c r="AC422" s="38">
        <f>SUM(V$414:V422)</f>
        <v>54</v>
      </c>
      <c r="AD422" s="38">
        <f t="shared" si="178"/>
        <v>13564</v>
      </c>
    </row>
    <row r="423" spans="1:30" x14ac:dyDescent="0.25">
      <c r="A423" s="86" t="s">
        <v>255</v>
      </c>
      <c r="B423" s="14">
        <v>10</v>
      </c>
      <c r="C423" s="14">
        <f t="shared" si="164"/>
        <v>20</v>
      </c>
      <c r="D423" s="14">
        <f t="shared" si="164"/>
        <v>10</v>
      </c>
      <c r="E423" s="14">
        <f t="shared" si="164"/>
        <v>3</v>
      </c>
      <c r="F423" s="14">
        <f t="shared" si="164"/>
        <v>375</v>
      </c>
      <c r="G423" s="74">
        <f t="shared" si="168"/>
        <v>280</v>
      </c>
      <c r="H423" s="14">
        <f t="shared" si="165"/>
        <v>3250</v>
      </c>
      <c r="I423" s="14">
        <v>1</v>
      </c>
      <c r="J423" s="14">
        <f t="shared" si="166"/>
        <v>6000</v>
      </c>
      <c r="K423" s="14">
        <f t="shared" si="166"/>
        <v>6</v>
      </c>
      <c r="L423" s="14">
        <v>1</v>
      </c>
      <c r="M423" s="14">
        <f t="shared" si="169"/>
        <v>80</v>
      </c>
      <c r="N423" s="14">
        <f t="shared" si="169"/>
        <v>40</v>
      </c>
      <c r="O423" s="14">
        <f t="shared" si="169"/>
        <v>13</v>
      </c>
      <c r="P423" s="14">
        <f t="shared" si="170"/>
        <v>250</v>
      </c>
      <c r="Q423" s="38">
        <f t="shared" si="167"/>
        <v>250</v>
      </c>
      <c r="R423" s="38">
        <f t="shared" si="171"/>
        <v>9250</v>
      </c>
      <c r="S423" s="38">
        <f t="shared" si="172"/>
        <v>80</v>
      </c>
      <c r="T423" s="38">
        <f t="shared" si="173"/>
        <v>40</v>
      </c>
      <c r="U423" s="38">
        <f t="shared" si="174"/>
        <v>13</v>
      </c>
      <c r="V423" s="38">
        <f t="shared" si="175"/>
        <v>6</v>
      </c>
      <c r="W423" s="38">
        <f t="shared" si="176"/>
        <v>3001</v>
      </c>
      <c r="X423" s="38">
        <f>SUM(Q$414:Q423)</f>
        <v>2500</v>
      </c>
      <c r="Y423" s="38">
        <f>SUM(R$414:R423)</f>
        <v>50000</v>
      </c>
      <c r="Z423" s="38">
        <f t="shared" si="177"/>
        <v>80</v>
      </c>
      <c r="AA423" s="38">
        <f>SUM(T$414:T423)</f>
        <v>261</v>
      </c>
      <c r="AB423" s="38">
        <f>SUM(U$414:U423)</f>
        <v>50</v>
      </c>
      <c r="AC423" s="38">
        <f>SUM(V$414:V423)</f>
        <v>60</v>
      </c>
      <c r="AD423" s="38">
        <f t="shared" si="178"/>
        <v>16495</v>
      </c>
    </row>
    <row r="424" spans="1:30" x14ac:dyDescent="0.25">
      <c r="A424" s="86" t="s">
        <v>255</v>
      </c>
      <c r="B424" s="14">
        <v>11</v>
      </c>
      <c r="C424" s="14">
        <f t="shared" si="164"/>
        <v>23</v>
      </c>
      <c r="D424" s="14">
        <f t="shared" si="164"/>
        <v>10</v>
      </c>
      <c r="E424" s="14">
        <f t="shared" si="164"/>
        <v>3</v>
      </c>
      <c r="F424" s="14">
        <f t="shared" si="164"/>
        <v>425</v>
      </c>
      <c r="G424" s="74">
        <f t="shared" si="168"/>
        <v>293</v>
      </c>
      <c r="H424" s="14">
        <f t="shared" si="165"/>
        <v>3750</v>
      </c>
      <c r="I424" s="14">
        <v>1</v>
      </c>
      <c r="J424" s="14">
        <f t="shared" si="166"/>
        <v>7000</v>
      </c>
      <c r="K424" s="14">
        <f t="shared" si="166"/>
        <v>6</v>
      </c>
      <c r="L424" s="14">
        <v>1</v>
      </c>
      <c r="M424" s="14">
        <f t="shared" si="169"/>
        <v>90</v>
      </c>
      <c r="N424" s="14">
        <f t="shared" si="169"/>
        <v>45</v>
      </c>
      <c r="O424" s="14">
        <f t="shared" si="169"/>
        <v>15</v>
      </c>
      <c r="P424" s="14">
        <f t="shared" si="170"/>
        <v>375</v>
      </c>
      <c r="Q424" s="38">
        <f t="shared" si="167"/>
        <v>375</v>
      </c>
      <c r="R424" s="38">
        <f t="shared" si="171"/>
        <v>10750</v>
      </c>
      <c r="S424" s="38">
        <f t="shared" si="172"/>
        <v>90</v>
      </c>
      <c r="T424" s="38">
        <f t="shared" si="173"/>
        <v>45</v>
      </c>
      <c r="U424" s="38">
        <f t="shared" si="174"/>
        <v>15</v>
      </c>
      <c r="V424" s="38">
        <f t="shared" si="175"/>
        <v>6</v>
      </c>
      <c r="W424" s="38">
        <f t="shared" si="176"/>
        <v>3551</v>
      </c>
      <c r="X424" s="38">
        <f>SUM(Q$414:Q424)</f>
        <v>2875</v>
      </c>
      <c r="Y424" s="38">
        <f>SUM(R$414:R424)</f>
        <v>60750</v>
      </c>
      <c r="Z424" s="38">
        <f t="shared" si="177"/>
        <v>90</v>
      </c>
      <c r="AA424" s="38">
        <f>SUM(T$414:T424)</f>
        <v>306</v>
      </c>
      <c r="AB424" s="38">
        <f>SUM(U$414:U424)</f>
        <v>65</v>
      </c>
      <c r="AC424" s="38">
        <f>SUM(V$414:V424)</f>
        <v>66</v>
      </c>
      <c r="AD424" s="38">
        <f t="shared" si="178"/>
        <v>19966</v>
      </c>
    </row>
    <row r="425" spans="1:30" x14ac:dyDescent="0.25">
      <c r="A425" s="86" t="s">
        <v>255</v>
      </c>
      <c r="B425" s="14">
        <v>12</v>
      </c>
      <c r="C425" s="14">
        <f t="shared" si="164"/>
        <v>23</v>
      </c>
      <c r="D425" s="14">
        <f t="shared" si="164"/>
        <v>10</v>
      </c>
      <c r="E425" s="14">
        <f t="shared" si="164"/>
        <v>3</v>
      </c>
      <c r="F425" s="14">
        <f t="shared" si="164"/>
        <v>425</v>
      </c>
      <c r="G425" s="74">
        <f t="shared" si="168"/>
        <v>293</v>
      </c>
      <c r="H425" s="14">
        <f t="shared" si="165"/>
        <v>4250</v>
      </c>
      <c r="I425" s="14">
        <v>1</v>
      </c>
      <c r="J425" s="14">
        <f t="shared" si="166"/>
        <v>8000</v>
      </c>
      <c r="K425" s="14">
        <f t="shared" si="166"/>
        <v>6</v>
      </c>
      <c r="L425" s="14">
        <v>1</v>
      </c>
      <c r="M425" s="14">
        <f t="shared" si="169"/>
        <v>100</v>
      </c>
      <c r="N425" s="14">
        <f t="shared" si="169"/>
        <v>50</v>
      </c>
      <c r="O425" s="14">
        <f t="shared" si="169"/>
        <v>18</v>
      </c>
      <c r="P425" s="14">
        <f t="shared" si="170"/>
        <v>375</v>
      </c>
      <c r="Q425" s="38">
        <f t="shared" si="167"/>
        <v>375</v>
      </c>
      <c r="R425" s="38">
        <f t="shared" si="171"/>
        <v>12250</v>
      </c>
      <c r="S425" s="38">
        <f t="shared" si="172"/>
        <v>100</v>
      </c>
      <c r="T425" s="38">
        <f t="shared" si="173"/>
        <v>50</v>
      </c>
      <c r="U425" s="38">
        <f t="shared" si="174"/>
        <v>18</v>
      </c>
      <c r="V425" s="38">
        <f t="shared" si="175"/>
        <v>6</v>
      </c>
      <c r="W425" s="38">
        <f t="shared" si="176"/>
        <v>4021</v>
      </c>
      <c r="X425" s="38">
        <f>SUM(Q$414:Q425)</f>
        <v>3250</v>
      </c>
      <c r="Y425" s="38">
        <f>SUM(R$414:R425)</f>
        <v>73000</v>
      </c>
      <c r="Z425" s="38">
        <f t="shared" si="177"/>
        <v>100</v>
      </c>
      <c r="AA425" s="38">
        <f>SUM(T$414:T425)</f>
        <v>356</v>
      </c>
      <c r="AB425" s="38">
        <f>SUM(U$414:U425)</f>
        <v>83</v>
      </c>
      <c r="AC425" s="38">
        <f>SUM(V$414:V425)</f>
        <v>72</v>
      </c>
      <c r="AD425" s="38">
        <f t="shared" si="178"/>
        <v>23897</v>
      </c>
    </row>
    <row r="426" spans="1:30" x14ac:dyDescent="0.25">
      <c r="A426" s="86" t="s">
        <v>255</v>
      </c>
      <c r="B426" s="14">
        <v>13</v>
      </c>
      <c r="C426" s="14">
        <f t="shared" si="164"/>
        <v>25</v>
      </c>
      <c r="D426" s="14">
        <f t="shared" si="164"/>
        <v>13</v>
      </c>
      <c r="E426" s="14">
        <f t="shared" si="164"/>
        <v>3</v>
      </c>
      <c r="F426" s="14">
        <f t="shared" si="164"/>
        <v>475</v>
      </c>
      <c r="G426" s="74">
        <f t="shared" si="168"/>
        <v>320</v>
      </c>
      <c r="H426" s="14">
        <f t="shared" si="165"/>
        <v>4750</v>
      </c>
      <c r="I426" s="14">
        <v>1</v>
      </c>
      <c r="J426" s="14">
        <f t="shared" si="166"/>
        <v>9000</v>
      </c>
      <c r="K426" s="14">
        <f t="shared" si="166"/>
        <v>6</v>
      </c>
      <c r="L426" s="14">
        <v>1</v>
      </c>
      <c r="M426" s="14">
        <f t="shared" si="169"/>
        <v>110</v>
      </c>
      <c r="N426" s="14">
        <f t="shared" si="169"/>
        <v>55</v>
      </c>
      <c r="O426" s="14">
        <f t="shared" si="169"/>
        <v>20</v>
      </c>
      <c r="P426" s="14">
        <f t="shared" si="170"/>
        <v>375</v>
      </c>
      <c r="Q426" s="38">
        <f t="shared" si="167"/>
        <v>375</v>
      </c>
      <c r="R426" s="38">
        <f t="shared" si="171"/>
        <v>13750</v>
      </c>
      <c r="S426" s="38">
        <f t="shared" si="172"/>
        <v>110</v>
      </c>
      <c r="T426" s="38">
        <f t="shared" si="173"/>
        <v>55</v>
      </c>
      <c r="U426" s="38">
        <f t="shared" si="174"/>
        <v>20</v>
      </c>
      <c r="V426" s="38">
        <f t="shared" si="175"/>
        <v>6</v>
      </c>
      <c r="W426" s="38">
        <f t="shared" si="176"/>
        <v>4446</v>
      </c>
      <c r="X426" s="38">
        <f>SUM(Q$414:Q426)</f>
        <v>3625</v>
      </c>
      <c r="Y426" s="38">
        <f>SUM(R$414:R426)</f>
        <v>86750</v>
      </c>
      <c r="Z426" s="38">
        <f t="shared" si="177"/>
        <v>110</v>
      </c>
      <c r="AA426" s="38">
        <f>SUM(T$414:T426)</f>
        <v>411</v>
      </c>
      <c r="AB426" s="38">
        <f>SUM(U$414:U426)</f>
        <v>103</v>
      </c>
      <c r="AC426" s="38">
        <f>SUM(V$414:V426)</f>
        <v>78</v>
      </c>
      <c r="AD426" s="38">
        <f t="shared" si="178"/>
        <v>28243</v>
      </c>
    </row>
    <row r="427" spans="1:30" x14ac:dyDescent="0.25">
      <c r="A427" s="86" t="s">
        <v>255</v>
      </c>
      <c r="B427" s="14">
        <v>14</v>
      </c>
      <c r="C427" s="14">
        <f t="shared" si="164"/>
        <v>25</v>
      </c>
      <c r="D427" s="14">
        <f t="shared" si="164"/>
        <v>13</v>
      </c>
      <c r="E427" s="14">
        <f t="shared" si="164"/>
        <v>3</v>
      </c>
      <c r="F427" s="14">
        <f t="shared" si="164"/>
        <v>475</v>
      </c>
      <c r="G427" s="74">
        <f t="shared" si="168"/>
        <v>320</v>
      </c>
      <c r="H427" s="14">
        <f t="shared" si="165"/>
        <v>5250</v>
      </c>
      <c r="I427" s="14">
        <v>1</v>
      </c>
      <c r="J427" s="14">
        <f t="shared" si="166"/>
        <v>10000</v>
      </c>
      <c r="K427" s="14">
        <f t="shared" si="166"/>
        <v>6</v>
      </c>
      <c r="L427" s="14">
        <v>1</v>
      </c>
      <c r="M427" s="14">
        <f t="shared" si="169"/>
        <v>120</v>
      </c>
      <c r="N427" s="14">
        <f t="shared" si="169"/>
        <v>60</v>
      </c>
      <c r="O427" s="14">
        <f t="shared" si="169"/>
        <v>23</v>
      </c>
      <c r="P427" s="14">
        <f t="shared" si="170"/>
        <v>375</v>
      </c>
      <c r="Q427" s="38">
        <f t="shared" si="167"/>
        <v>375</v>
      </c>
      <c r="R427" s="38">
        <f t="shared" si="171"/>
        <v>15250</v>
      </c>
      <c r="S427" s="38">
        <f t="shared" si="172"/>
        <v>120</v>
      </c>
      <c r="T427" s="38">
        <f t="shared" si="173"/>
        <v>60</v>
      </c>
      <c r="U427" s="38">
        <f t="shared" si="174"/>
        <v>23</v>
      </c>
      <c r="V427" s="38">
        <f t="shared" si="175"/>
        <v>6</v>
      </c>
      <c r="W427" s="38">
        <f t="shared" si="176"/>
        <v>4916</v>
      </c>
      <c r="X427" s="38">
        <f>SUM(Q$414:Q427)</f>
        <v>4000</v>
      </c>
      <c r="Y427" s="38">
        <f>SUM(R$414:R427)</f>
        <v>102000</v>
      </c>
      <c r="Z427" s="38">
        <f t="shared" si="177"/>
        <v>120</v>
      </c>
      <c r="AA427" s="38">
        <f>SUM(T$414:T427)</f>
        <v>471</v>
      </c>
      <c r="AB427" s="38">
        <f>SUM(U$414:U427)</f>
        <v>126</v>
      </c>
      <c r="AC427" s="38">
        <f>SUM(V$414:V427)</f>
        <v>84</v>
      </c>
      <c r="AD427" s="38">
        <f t="shared" si="178"/>
        <v>33049</v>
      </c>
    </row>
    <row r="428" spans="1:30" x14ac:dyDescent="0.25">
      <c r="A428" s="86" t="s">
        <v>255</v>
      </c>
      <c r="B428" s="14">
        <v>15</v>
      </c>
      <c r="C428" s="14">
        <f t="shared" si="164"/>
        <v>28</v>
      </c>
      <c r="D428" s="14">
        <f t="shared" si="164"/>
        <v>13</v>
      </c>
      <c r="E428" s="14">
        <f t="shared" si="164"/>
        <v>3</v>
      </c>
      <c r="F428" s="14">
        <f t="shared" si="164"/>
        <v>525</v>
      </c>
      <c r="G428" s="74">
        <f t="shared" si="168"/>
        <v>333</v>
      </c>
      <c r="H428" s="14">
        <f t="shared" si="165"/>
        <v>5750</v>
      </c>
      <c r="I428" s="14">
        <v>1</v>
      </c>
      <c r="J428" s="14">
        <f t="shared" si="166"/>
        <v>11000</v>
      </c>
      <c r="K428" s="14">
        <f t="shared" si="166"/>
        <v>6</v>
      </c>
      <c r="L428" s="14">
        <v>1</v>
      </c>
      <c r="M428" s="14">
        <f t="shared" si="169"/>
        <v>130</v>
      </c>
      <c r="N428" s="14">
        <f t="shared" si="169"/>
        <v>65</v>
      </c>
      <c r="O428" s="14">
        <f t="shared" si="169"/>
        <v>25</v>
      </c>
      <c r="P428" s="14">
        <f t="shared" si="170"/>
        <v>375</v>
      </c>
      <c r="Q428" s="38">
        <f t="shared" si="167"/>
        <v>375</v>
      </c>
      <c r="R428" s="38">
        <f t="shared" si="171"/>
        <v>16750</v>
      </c>
      <c r="S428" s="38">
        <f t="shared" si="172"/>
        <v>130</v>
      </c>
      <c r="T428" s="38">
        <f t="shared" si="173"/>
        <v>65</v>
      </c>
      <c r="U428" s="38">
        <f t="shared" si="174"/>
        <v>25</v>
      </c>
      <c r="V428" s="38">
        <f t="shared" si="175"/>
        <v>6</v>
      </c>
      <c r="W428" s="38">
        <f t="shared" si="176"/>
        <v>5341</v>
      </c>
      <c r="X428" s="38">
        <f>SUM(Q$414:Q428)</f>
        <v>4375</v>
      </c>
      <c r="Y428" s="38">
        <f>SUM(R$414:R428)</f>
        <v>118750</v>
      </c>
      <c r="Z428" s="38">
        <f t="shared" si="177"/>
        <v>130</v>
      </c>
      <c r="AA428" s="38">
        <f>SUM(T$414:T428)</f>
        <v>536</v>
      </c>
      <c r="AB428" s="38">
        <f>SUM(U$414:U428)</f>
        <v>151</v>
      </c>
      <c r="AC428" s="38">
        <f>SUM(V$414:V428)</f>
        <v>90</v>
      </c>
      <c r="AD428" s="38">
        <f t="shared" si="178"/>
        <v>38270</v>
      </c>
    </row>
    <row r="429" spans="1:30" x14ac:dyDescent="0.25">
      <c r="A429" s="86" t="s">
        <v>255</v>
      </c>
      <c r="B429" s="14">
        <v>16</v>
      </c>
      <c r="C429" s="14">
        <f t="shared" si="164"/>
        <v>28</v>
      </c>
      <c r="D429" s="14">
        <f t="shared" si="164"/>
        <v>13</v>
      </c>
      <c r="E429" s="14">
        <f t="shared" si="164"/>
        <v>3</v>
      </c>
      <c r="F429" s="14">
        <f t="shared" si="164"/>
        <v>525</v>
      </c>
      <c r="G429" s="74">
        <f t="shared" si="168"/>
        <v>333</v>
      </c>
      <c r="H429" s="14">
        <f t="shared" si="165"/>
        <v>6250</v>
      </c>
      <c r="I429" s="14">
        <v>1</v>
      </c>
      <c r="J429" s="14">
        <f t="shared" si="166"/>
        <v>12000</v>
      </c>
      <c r="K429" s="14">
        <f t="shared" si="166"/>
        <v>6</v>
      </c>
      <c r="L429" s="14">
        <v>1</v>
      </c>
      <c r="M429" s="14">
        <f t="shared" si="169"/>
        <v>140</v>
      </c>
      <c r="N429" s="14">
        <f t="shared" si="169"/>
        <v>70</v>
      </c>
      <c r="O429" s="14">
        <f t="shared" si="169"/>
        <v>28</v>
      </c>
      <c r="P429" s="14">
        <f t="shared" si="170"/>
        <v>375</v>
      </c>
      <c r="Q429" s="38">
        <f t="shared" si="167"/>
        <v>375</v>
      </c>
      <c r="R429" s="38">
        <f t="shared" si="171"/>
        <v>18250</v>
      </c>
      <c r="S429" s="38">
        <f t="shared" si="172"/>
        <v>140</v>
      </c>
      <c r="T429" s="38">
        <f t="shared" si="173"/>
        <v>70</v>
      </c>
      <c r="U429" s="38">
        <f t="shared" si="174"/>
        <v>28</v>
      </c>
      <c r="V429" s="38">
        <f t="shared" si="175"/>
        <v>6</v>
      </c>
      <c r="W429" s="38">
        <f t="shared" si="176"/>
        <v>5811</v>
      </c>
      <c r="X429" s="38">
        <f>SUM(Q$414:Q429)</f>
        <v>4750</v>
      </c>
      <c r="Y429" s="38">
        <f>SUM(R$414:R429)</f>
        <v>137000</v>
      </c>
      <c r="Z429" s="38">
        <f t="shared" si="177"/>
        <v>140</v>
      </c>
      <c r="AA429" s="38">
        <f>SUM(T$414:T429)</f>
        <v>606</v>
      </c>
      <c r="AB429" s="38">
        <f>SUM(U$414:U429)</f>
        <v>179</v>
      </c>
      <c r="AC429" s="38">
        <f>SUM(V$414:V429)</f>
        <v>96</v>
      </c>
      <c r="AD429" s="38">
        <f t="shared" si="178"/>
        <v>43951</v>
      </c>
    </row>
    <row r="430" spans="1:30" x14ac:dyDescent="0.25">
      <c r="A430" s="86" t="s">
        <v>255</v>
      </c>
      <c r="B430" s="14">
        <v>17</v>
      </c>
      <c r="C430" s="14">
        <f t="shared" si="164"/>
        <v>30</v>
      </c>
      <c r="D430" s="14">
        <f t="shared" si="164"/>
        <v>15</v>
      </c>
      <c r="E430" s="14">
        <f t="shared" si="164"/>
        <v>5</v>
      </c>
      <c r="F430" s="14">
        <f t="shared" si="164"/>
        <v>575</v>
      </c>
      <c r="G430" s="74">
        <f t="shared" si="168"/>
        <v>445</v>
      </c>
      <c r="H430" s="14">
        <f t="shared" si="165"/>
        <v>6750</v>
      </c>
      <c r="I430" s="14">
        <v>1</v>
      </c>
      <c r="J430" s="14">
        <f t="shared" si="166"/>
        <v>13000</v>
      </c>
      <c r="K430" s="14">
        <f t="shared" si="166"/>
        <v>6</v>
      </c>
      <c r="L430" s="14">
        <v>1</v>
      </c>
      <c r="M430" s="14">
        <f t="shared" si="169"/>
        <v>150</v>
      </c>
      <c r="N430" s="14">
        <f t="shared" si="169"/>
        <v>75</v>
      </c>
      <c r="O430" s="14">
        <f t="shared" si="169"/>
        <v>30</v>
      </c>
      <c r="P430" s="14">
        <f t="shared" si="170"/>
        <v>375</v>
      </c>
      <c r="Q430" s="38">
        <f t="shared" si="167"/>
        <v>375</v>
      </c>
      <c r="R430" s="38">
        <f t="shared" si="171"/>
        <v>19750</v>
      </c>
      <c r="S430" s="38">
        <f t="shared" si="172"/>
        <v>150</v>
      </c>
      <c r="T430" s="38">
        <f t="shared" si="173"/>
        <v>75</v>
      </c>
      <c r="U430" s="38">
        <f t="shared" si="174"/>
        <v>30</v>
      </c>
      <c r="V430" s="38">
        <f t="shared" si="175"/>
        <v>6</v>
      </c>
      <c r="W430" s="38">
        <f t="shared" si="176"/>
        <v>6236</v>
      </c>
      <c r="X430" s="38">
        <f>SUM(Q$414:Q430)</f>
        <v>5125</v>
      </c>
      <c r="Y430" s="38">
        <f>SUM(R$414:R430)</f>
        <v>156750</v>
      </c>
      <c r="Z430" s="38">
        <f t="shared" si="177"/>
        <v>150</v>
      </c>
      <c r="AA430" s="38">
        <f>SUM(T$414:T430)</f>
        <v>681</v>
      </c>
      <c r="AB430" s="38">
        <f>SUM(U$414:U430)</f>
        <v>209</v>
      </c>
      <c r="AC430" s="38">
        <f>SUM(V$414:V430)</f>
        <v>102</v>
      </c>
      <c r="AD430" s="38">
        <f t="shared" si="178"/>
        <v>50047</v>
      </c>
    </row>
    <row r="431" spans="1:30" x14ac:dyDescent="0.25">
      <c r="A431" s="86" t="s">
        <v>255</v>
      </c>
      <c r="B431" s="14">
        <v>18</v>
      </c>
      <c r="C431" s="14">
        <f t="shared" si="164"/>
        <v>30</v>
      </c>
      <c r="D431" s="14">
        <f t="shared" si="164"/>
        <v>15</v>
      </c>
      <c r="E431" s="14">
        <f t="shared" si="164"/>
        <v>8</v>
      </c>
      <c r="F431" s="14">
        <f t="shared" si="164"/>
        <v>575</v>
      </c>
      <c r="G431" s="74">
        <f t="shared" si="168"/>
        <v>580</v>
      </c>
      <c r="H431" s="14">
        <f t="shared" si="165"/>
        <v>7250</v>
      </c>
      <c r="I431" s="14">
        <v>1</v>
      </c>
      <c r="J431" s="14">
        <f t="shared" si="166"/>
        <v>14000</v>
      </c>
      <c r="K431" s="14">
        <f t="shared" si="166"/>
        <v>6</v>
      </c>
      <c r="L431" s="14">
        <v>1</v>
      </c>
      <c r="M431" s="14">
        <f t="shared" si="169"/>
        <v>160</v>
      </c>
      <c r="N431" s="14">
        <f t="shared" si="169"/>
        <v>80</v>
      </c>
      <c r="O431" s="14">
        <f t="shared" si="169"/>
        <v>33</v>
      </c>
      <c r="P431" s="14">
        <f t="shared" si="170"/>
        <v>375</v>
      </c>
      <c r="Q431" s="38">
        <f t="shared" si="167"/>
        <v>375</v>
      </c>
      <c r="R431" s="38">
        <f t="shared" si="171"/>
        <v>21250</v>
      </c>
      <c r="S431" s="38">
        <f t="shared" si="172"/>
        <v>160</v>
      </c>
      <c r="T431" s="38">
        <f t="shared" si="173"/>
        <v>80</v>
      </c>
      <c r="U431" s="38">
        <f t="shared" si="174"/>
        <v>33</v>
      </c>
      <c r="V431" s="38">
        <f t="shared" si="175"/>
        <v>6</v>
      </c>
      <c r="W431" s="38">
        <f t="shared" si="176"/>
        <v>6706</v>
      </c>
      <c r="X431" s="38">
        <f>SUM(Q$414:Q431)</f>
        <v>5500</v>
      </c>
      <c r="Y431" s="38">
        <f>SUM(R$414:R431)</f>
        <v>178000</v>
      </c>
      <c r="Z431" s="38">
        <f t="shared" si="177"/>
        <v>160</v>
      </c>
      <c r="AA431" s="38">
        <f>SUM(T$414:T431)</f>
        <v>761</v>
      </c>
      <c r="AB431" s="38">
        <f>SUM(U$414:U431)</f>
        <v>242</v>
      </c>
      <c r="AC431" s="38">
        <f>SUM(V$414:V431)</f>
        <v>108</v>
      </c>
      <c r="AD431" s="38">
        <f t="shared" si="178"/>
        <v>56603</v>
      </c>
    </row>
    <row r="432" spans="1:30" x14ac:dyDescent="0.25">
      <c r="A432" s="86" t="s">
        <v>255</v>
      </c>
      <c r="B432" s="14">
        <v>19</v>
      </c>
      <c r="C432" s="14">
        <f t="shared" si="164"/>
        <v>33</v>
      </c>
      <c r="D432" s="14">
        <f t="shared" si="164"/>
        <v>15</v>
      </c>
      <c r="E432" s="14">
        <f t="shared" si="164"/>
        <v>8</v>
      </c>
      <c r="F432" s="14">
        <f t="shared" si="164"/>
        <v>625</v>
      </c>
      <c r="G432" s="74">
        <f t="shared" si="168"/>
        <v>593</v>
      </c>
      <c r="H432" s="14">
        <f t="shared" si="165"/>
        <v>7750</v>
      </c>
      <c r="I432" s="14">
        <v>1</v>
      </c>
      <c r="J432" s="14">
        <f t="shared" si="166"/>
        <v>15000</v>
      </c>
      <c r="K432" s="14">
        <f t="shared" si="166"/>
        <v>6</v>
      </c>
      <c r="L432" s="14">
        <v>1</v>
      </c>
      <c r="M432" s="14">
        <f t="shared" si="169"/>
        <v>170</v>
      </c>
      <c r="N432" s="14">
        <f t="shared" si="169"/>
        <v>85</v>
      </c>
      <c r="O432" s="14">
        <f t="shared" si="169"/>
        <v>35</v>
      </c>
      <c r="P432" s="14">
        <f t="shared" si="170"/>
        <v>375</v>
      </c>
      <c r="Q432" s="38">
        <f t="shared" si="167"/>
        <v>375</v>
      </c>
      <c r="R432" s="38">
        <f t="shared" si="171"/>
        <v>22750</v>
      </c>
      <c r="S432" s="38">
        <f t="shared" si="172"/>
        <v>170</v>
      </c>
      <c r="T432" s="38">
        <f t="shared" si="173"/>
        <v>85</v>
      </c>
      <c r="U432" s="38">
        <f t="shared" si="174"/>
        <v>35</v>
      </c>
      <c r="V432" s="38">
        <f t="shared" si="175"/>
        <v>6</v>
      </c>
      <c r="W432" s="38">
        <f t="shared" si="176"/>
        <v>7131</v>
      </c>
      <c r="X432" s="38">
        <f>SUM(Q$414:Q432)</f>
        <v>5875</v>
      </c>
      <c r="Y432" s="38">
        <f>SUM(R$414:R432)</f>
        <v>200750</v>
      </c>
      <c r="Z432" s="38">
        <f t="shared" si="177"/>
        <v>170</v>
      </c>
      <c r="AA432" s="38">
        <f>SUM(T$414:T432)</f>
        <v>846</v>
      </c>
      <c r="AB432" s="38">
        <f>SUM(U$414:U432)</f>
        <v>277</v>
      </c>
      <c r="AC432" s="38">
        <f>SUM(V$414:V432)</f>
        <v>114</v>
      </c>
      <c r="AD432" s="38">
        <f t="shared" si="178"/>
        <v>63574</v>
      </c>
    </row>
    <row r="433" spans="1:30" x14ac:dyDescent="0.25">
      <c r="A433" s="86" t="s">
        <v>255</v>
      </c>
      <c r="B433" s="14">
        <v>20</v>
      </c>
      <c r="C433" s="14">
        <f t="shared" si="164"/>
        <v>35</v>
      </c>
      <c r="D433" s="14">
        <f t="shared" si="164"/>
        <v>18</v>
      </c>
      <c r="E433" s="14">
        <f t="shared" si="164"/>
        <v>8</v>
      </c>
      <c r="F433" s="14">
        <f t="shared" si="164"/>
        <v>625</v>
      </c>
      <c r="G433" s="74">
        <f t="shared" si="168"/>
        <v>610</v>
      </c>
      <c r="H433" s="14">
        <f t="shared" si="165"/>
        <v>8250</v>
      </c>
      <c r="I433" s="14">
        <v>1</v>
      </c>
      <c r="J433" s="14">
        <f t="shared" si="166"/>
        <v>16000</v>
      </c>
      <c r="K433" s="14">
        <f t="shared" si="166"/>
        <v>6</v>
      </c>
      <c r="L433" s="14">
        <v>1</v>
      </c>
      <c r="M433" s="14">
        <f t="shared" si="169"/>
        <v>180</v>
      </c>
      <c r="N433" s="14">
        <f t="shared" si="169"/>
        <v>90</v>
      </c>
      <c r="O433" s="14">
        <f t="shared" si="169"/>
        <v>38</v>
      </c>
      <c r="P433" s="14">
        <f t="shared" si="170"/>
        <v>375</v>
      </c>
      <c r="Q433" s="38">
        <f t="shared" si="167"/>
        <v>375</v>
      </c>
      <c r="R433" s="38">
        <f t="shared" si="171"/>
        <v>24250</v>
      </c>
      <c r="S433" s="38">
        <f t="shared" si="172"/>
        <v>180</v>
      </c>
      <c r="T433" s="38">
        <f t="shared" si="173"/>
        <v>90</v>
      </c>
      <c r="U433" s="38"/>
      <c r="V433" s="38">
        <f t="shared" ref="V433:V464" si="179">K433</f>
        <v>6</v>
      </c>
      <c r="W433" s="38">
        <f t="shared" si="176"/>
        <v>5891</v>
      </c>
      <c r="X433" s="38">
        <f>SUM(Q$414:Q433)</f>
        <v>6250</v>
      </c>
      <c r="Y433" s="38">
        <f>SUM(R$414:R433)</f>
        <v>225000</v>
      </c>
      <c r="Z433" s="38">
        <f t="shared" si="177"/>
        <v>180</v>
      </c>
      <c r="AA433" s="38">
        <f>SUM(T$414:T433)</f>
        <v>936</v>
      </c>
      <c r="AB433" s="38">
        <f>SUM(U$414:U433)</f>
        <v>277</v>
      </c>
      <c r="AC433" s="38">
        <f>SUM(V$414:V433)</f>
        <v>120</v>
      </c>
      <c r="AD433" s="38">
        <f t="shared" si="178"/>
        <v>69295</v>
      </c>
    </row>
    <row r="434" spans="1:30" x14ac:dyDescent="0.25">
      <c r="A434" s="86" t="s">
        <v>255</v>
      </c>
      <c r="B434" s="14">
        <v>21</v>
      </c>
      <c r="C434" s="14">
        <f t="shared" ref="C434:F453" si="180">MAX(1,ROUND(C28*INDEX($O$1:$U$4,MATCH($A434,$O$1:$O$4,0),MATCH(C$413,$O$1:$U$1,0)),0))</f>
        <v>38</v>
      </c>
      <c r="D434" s="14">
        <f t="shared" si="180"/>
        <v>18</v>
      </c>
      <c r="E434" s="14">
        <f t="shared" si="180"/>
        <v>8</v>
      </c>
      <c r="F434" s="14">
        <f t="shared" si="180"/>
        <v>675</v>
      </c>
      <c r="G434" s="74">
        <f t="shared" si="168"/>
        <v>623</v>
      </c>
      <c r="H434" s="14">
        <f t="shared" si="165"/>
        <v>8750</v>
      </c>
      <c r="I434" s="14">
        <v>1</v>
      </c>
      <c r="J434" s="14">
        <f t="shared" ref="J434:K453" si="181">MAX(1,ROUND(J28*INDEX($O$1:$U$4,MATCH($A434,$O$1:$O$4,0),MATCH(J$413,$O$1:$U$1,0)),0))</f>
        <v>17000</v>
      </c>
      <c r="K434" s="14">
        <f t="shared" si="181"/>
        <v>6</v>
      </c>
      <c r="L434" s="14">
        <v>1</v>
      </c>
      <c r="M434" s="14">
        <f t="shared" si="169"/>
        <v>190</v>
      </c>
      <c r="N434" s="14">
        <f t="shared" si="169"/>
        <v>95</v>
      </c>
      <c r="O434" s="14">
        <f t="shared" si="169"/>
        <v>40</v>
      </c>
      <c r="P434" s="14">
        <f t="shared" si="170"/>
        <v>500</v>
      </c>
      <c r="Q434" s="38">
        <f t="shared" si="167"/>
        <v>500</v>
      </c>
      <c r="R434" s="38">
        <f t="shared" si="171"/>
        <v>25750</v>
      </c>
      <c r="S434" s="38">
        <f t="shared" si="172"/>
        <v>190</v>
      </c>
      <c r="T434" s="38">
        <f t="shared" si="173"/>
        <v>95</v>
      </c>
      <c r="U434" s="38"/>
      <c r="V434" s="38">
        <f t="shared" si="179"/>
        <v>6</v>
      </c>
      <c r="W434" s="38">
        <f t="shared" si="176"/>
        <v>6351</v>
      </c>
      <c r="X434" s="38">
        <f>SUM(Q$414:Q434)</f>
        <v>6750</v>
      </c>
      <c r="Y434" s="38">
        <f>SUM(R$414:R434)</f>
        <v>250750</v>
      </c>
      <c r="Z434" s="38">
        <f t="shared" si="177"/>
        <v>190</v>
      </c>
      <c r="AA434" s="38">
        <f>SUM(T$414:T434)</f>
        <v>1031</v>
      </c>
      <c r="AB434" s="38">
        <f>SUM(U$414:U434)</f>
        <v>277</v>
      </c>
      <c r="AC434" s="38">
        <f>SUM(V$414:V434)</f>
        <v>126</v>
      </c>
      <c r="AD434" s="38">
        <f t="shared" si="178"/>
        <v>75466</v>
      </c>
    </row>
    <row r="435" spans="1:30" x14ac:dyDescent="0.25">
      <c r="A435" s="86" t="s">
        <v>255</v>
      </c>
      <c r="B435" s="14">
        <v>22</v>
      </c>
      <c r="C435" s="14">
        <f t="shared" si="180"/>
        <v>40</v>
      </c>
      <c r="D435" s="14">
        <f t="shared" si="180"/>
        <v>20</v>
      </c>
      <c r="E435" s="14">
        <f t="shared" si="180"/>
        <v>8</v>
      </c>
      <c r="F435" s="14">
        <f t="shared" si="180"/>
        <v>675</v>
      </c>
      <c r="G435" s="74">
        <f t="shared" si="168"/>
        <v>635</v>
      </c>
      <c r="H435" s="14">
        <f t="shared" si="165"/>
        <v>9250</v>
      </c>
      <c r="I435" s="14">
        <v>1</v>
      </c>
      <c r="J435" s="14">
        <f t="shared" si="181"/>
        <v>18000</v>
      </c>
      <c r="K435" s="14">
        <f t="shared" si="181"/>
        <v>6</v>
      </c>
      <c r="L435" s="14">
        <v>1</v>
      </c>
      <c r="M435" s="14">
        <f t="shared" ref="M435:O454" si="182">MAX(1,ROUND(M29*INDEX($O$1:$U$4,MATCH($A435,$O$1:$O$4,0),MATCH(M$413,$O$1:$U$1,0)),0))</f>
        <v>200</v>
      </c>
      <c r="N435" s="14">
        <f t="shared" si="182"/>
        <v>100</v>
      </c>
      <c r="O435" s="14">
        <f t="shared" si="182"/>
        <v>43</v>
      </c>
      <c r="P435" s="14">
        <f t="shared" si="170"/>
        <v>500</v>
      </c>
      <c r="Q435" s="38">
        <f t="shared" si="167"/>
        <v>500</v>
      </c>
      <c r="R435" s="38">
        <f t="shared" si="171"/>
        <v>27250</v>
      </c>
      <c r="S435" s="38">
        <f t="shared" si="172"/>
        <v>200</v>
      </c>
      <c r="T435" s="38">
        <f t="shared" si="173"/>
        <v>100</v>
      </c>
      <c r="U435" s="38"/>
      <c r="V435" s="38">
        <f t="shared" si="179"/>
        <v>6</v>
      </c>
      <c r="W435" s="38">
        <f t="shared" si="176"/>
        <v>6686</v>
      </c>
      <c r="X435" s="38">
        <f>SUM(Q$414:Q435)</f>
        <v>7250</v>
      </c>
      <c r="Y435" s="38">
        <f>SUM(R$414:R435)</f>
        <v>278000</v>
      </c>
      <c r="Z435" s="38">
        <f t="shared" si="177"/>
        <v>200</v>
      </c>
      <c r="AA435" s="38">
        <f>SUM(T$414:T435)</f>
        <v>1131</v>
      </c>
      <c r="AB435" s="38">
        <f>SUM(U$414:U435)</f>
        <v>277</v>
      </c>
      <c r="AC435" s="38">
        <f>SUM(V$414:V435)</f>
        <v>132</v>
      </c>
      <c r="AD435" s="38">
        <f t="shared" si="178"/>
        <v>81962</v>
      </c>
    </row>
    <row r="436" spans="1:30" x14ac:dyDescent="0.25">
      <c r="A436" s="86" t="s">
        <v>255</v>
      </c>
      <c r="B436" s="14">
        <v>23</v>
      </c>
      <c r="C436" s="14">
        <f t="shared" si="180"/>
        <v>43</v>
      </c>
      <c r="D436" s="14">
        <f t="shared" si="180"/>
        <v>20</v>
      </c>
      <c r="E436" s="14">
        <f t="shared" si="180"/>
        <v>10</v>
      </c>
      <c r="F436" s="14">
        <f t="shared" si="180"/>
        <v>725</v>
      </c>
      <c r="G436" s="74">
        <f t="shared" si="168"/>
        <v>738</v>
      </c>
      <c r="H436" s="14">
        <f t="shared" si="165"/>
        <v>9750</v>
      </c>
      <c r="I436" s="14">
        <v>1</v>
      </c>
      <c r="J436" s="14">
        <f t="shared" si="181"/>
        <v>19000</v>
      </c>
      <c r="K436" s="14">
        <f t="shared" si="181"/>
        <v>6</v>
      </c>
      <c r="L436" s="14">
        <v>1</v>
      </c>
      <c r="M436" s="14">
        <f t="shared" si="182"/>
        <v>210</v>
      </c>
      <c r="N436" s="14">
        <f t="shared" si="182"/>
        <v>105</v>
      </c>
      <c r="O436" s="14">
        <f t="shared" si="182"/>
        <v>45</v>
      </c>
      <c r="P436" s="14">
        <f t="shared" si="170"/>
        <v>500</v>
      </c>
      <c r="Q436" s="38">
        <f t="shared" si="167"/>
        <v>500</v>
      </c>
      <c r="R436" s="38">
        <f t="shared" si="171"/>
        <v>28750</v>
      </c>
      <c r="S436" s="38">
        <f t="shared" si="172"/>
        <v>210</v>
      </c>
      <c r="T436" s="38">
        <f t="shared" si="173"/>
        <v>105</v>
      </c>
      <c r="U436" s="38">
        <f t="shared" ref="U436:U463" si="183">E436+O436</f>
        <v>55</v>
      </c>
      <c r="V436" s="38">
        <f t="shared" si="179"/>
        <v>6</v>
      </c>
      <c r="W436" s="38">
        <f t="shared" si="176"/>
        <v>9496</v>
      </c>
      <c r="X436" s="38">
        <f>SUM(Q$414:Q436)</f>
        <v>7750</v>
      </c>
      <c r="Y436" s="38">
        <f>SUM(R$414:R436)</f>
        <v>306750</v>
      </c>
      <c r="Z436" s="38">
        <f t="shared" si="177"/>
        <v>210</v>
      </c>
      <c r="AA436" s="38">
        <f>SUM(T$414:T436)</f>
        <v>1236</v>
      </c>
      <c r="AB436" s="38">
        <f>SUM(U$414:U436)</f>
        <v>332</v>
      </c>
      <c r="AC436" s="38">
        <f>SUM(V$414:V436)</f>
        <v>138</v>
      </c>
      <c r="AD436" s="38">
        <f t="shared" si="178"/>
        <v>91258</v>
      </c>
    </row>
    <row r="437" spans="1:30" x14ac:dyDescent="0.25">
      <c r="A437" s="86" t="s">
        <v>255</v>
      </c>
      <c r="B437" s="14">
        <v>24</v>
      </c>
      <c r="C437" s="14">
        <f t="shared" si="180"/>
        <v>45</v>
      </c>
      <c r="D437" s="14">
        <f t="shared" si="180"/>
        <v>23</v>
      </c>
      <c r="E437" s="14">
        <f t="shared" si="180"/>
        <v>10</v>
      </c>
      <c r="F437" s="14">
        <f t="shared" si="180"/>
        <v>725</v>
      </c>
      <c r="G437" s="74">
        <f t="shared" si="168"/>
        <v>755</v>
      </c>
      <c r="H437" s="14">
        <f t="shared" si="165"/>
        <v>10250</v>
      </c>
      <c r="I437" s="14">
        <v>1</v>
      </c>
      <c r="J437" s="14">
        <f t="shared" si="181"/>
        <v>20000</v>
      </c>
      <c r="K437" s="14">
        <f t="shared" si="181"/>
        <v>6</v>
      </c>
      <c r="L437" s="14">
        <v>1</v>
      </c>
      <c r="M437" s="14">
        <f t="shared" si="182"/>
        <v>220</v>
      </c>
      <c r="N437" s="14">
        <f t="shared" si="182"/>
        <v>110</v>
      </c>
      <c r="O437" s="14">
        <f t="shared" si="182"/>
        <v>48</v>
      </c>
      <c r="P437" s="14">
        <f t="shared" si="170"/>
        <v>500</v>
      </c>
      <c r="Q437" s="38">
        <f t="shared" si="167"/>
        <v>500</v>
      </c>
      <c r="R437" s="38">
        <f t="shared" si="171"/>
        <v>30250</v>
      </c>
      <c r="S437" s="38">
        <f t="shared" si="172"/>
        <v>220</v>
      </c>
      <c r="T437" s="38">
        <f t="shared" si="173"/>
        <v>110</v>
      </c>
      <c r="U437" s="42">
        <f t="shared" si="183"/>
        <v>58</v>
      </c>
      <c r="V437" s="42">
        <f t="shared" si="179"/>
        <v>6</v>
      </c>
      <c r="W437" s="38">
        <f t="shared" si="176"/>
        <v>9966</v>
      </c>
      <c r="X437" s="38">
        <f>SUM(Q$414:Q437)</f>
        <v>8250</v>
      </c>
      <c r="Y437" s="38">
        <f>SUM(R$414:R437)</f>
        <v>337000</v>
      </c>
      <c r="Z437" s="38">
        <f t="shared" si="177"/>
        <v>220</v>
      </c>
      <c r="AA437" s="38">
        <f>SUM(T$414:T437)</f>
        <v>1346</v>
      </c>
      <c r="AB437" s="38">
        <f>SUM(U$414:U437)</f>
        <v>390</v>
      </c>
      <c r="AC437" s="38">
        <f>SUM(V$414:V437)</f>
        <v>144</v>
      </c>
      <c r="AD437" s="38">
        <f t="shared" si="178"/>
        <v>101014</v>
      </c>
    </row>
    <row r="438" spans="1:30" x14ac:dyDescent="0.25">
      <c r="A438" s="86" t="s">
        <v>255</v>
      </c>
      <c r="B438" s="14">
        <v>25</v>
      </c>
      <c r="C438" s="14">
        <f t="shared" si="180"/>
        <v>45</v>
      </c>
      <c r="D438" s="14">
        <f t="shared" si="180"/>
        <v>23</v>
      </c>
      <c r="E438" s="14">
        <f t="shared" si="180"/>
        <v>10</v>
      </c>
      <c r="F438" s="14">
        <f t="shared" si="180"/>
        <v>775</v>
      </c>
      <c r="G438" s="74">
        <f t="shared" si="168"/>
        <v>765</v>
      </c>
      <c r="H438" s="14">
        <f t="shared" si="165"/>
        <v>10750</v>
      </c>
      <c r="I438" s="14">
        <v>1</v>
      </c>
      <c r="J438" s="14">
        <f t="shared" si="181"/>
        <v>21000</v>
      </c>
      <c r="K438" s="14">
        <f t="shared" si="181"/>
        <v>6</v>
      </c>
      <c r="L438" s="14">
        <v>1</v>
      </c>
      <c r="M438" s="14">
        <f t="shared" si="182"/>
        <v>230</v>
      </c>
      <c r="N438" s="14">
        <f t="shared" si="182"/>
        <v>115</v>
      </c>
      <c r="O438" s="14">
        <f t="shared" si="182"/>
        <v>50</v>
      </c>
      <c r="P438" s="14">
        <f t="shared" si="170"/>
        <v>500</v>
      </c>
      <c r="Q438" s="38">
        <f t="shared" si="167"/>
        <v>500</v>
      </c>
      <c r="R438" s="38">
        <f t="shared" si="171"/>
        <v>31750</v>
      </c>
      <c r="S438" s="38">
        <f t="shared" si="172"/>
        <v>230</v>
      </c>
      <c r="T438" s="38">
        <f t="shared" si="173"/>
        <v>115</v>
      </c>
      <c r="U438" s="38">
        <f t="shared" si="183"/>
        <v>60</v>
      </c>
      <c r="V438" s="38">
        <f t="shared" si="179"/>
        <v>6</v>
      </c>
      <c r="W438" s="38">
        <f t="shared" si="176"/>
        <v>10391</v>
      </c>
      <c r="X438" s="38">
        <f>SUM(Q$414:Q438)</f>
        <v>8750</v>
      </c>
      <c r="Y438" s="38">
        <f>SUM(R$414:R438)</f>
        <v>368750</v>
      </c>
      <c r="Z438" s="38">
        <f t="shared" si="177"/>
        <v>230</v>
      </c>
      <c r="AA438" s="38">
        <f>SUM(T$414:T438)</f>
        <v>1461</v>
      </c>
      <c r="AB438" s="38">
        <f>SUM(U$414:U438)</f>
        <v>450</v>
      </c>
      <c r="AC438" s="38">
        <f>SUM(V$414:V438)</f>
        <v>150</v>
      </c>
      <c r="AD438" s="38">
        <f t="shared" si="178"/>
        <v>111185</v>
      </c>
    </row>
    <row r="439" spans="1:30" x14ac:dyDescent="0.25">
      <c r="A439" s="86" t="s">
        <v>255</v>
      </c>
      <c r="B439" s="14">
        <v>26</v>
      </c>
      <c r="C439" s="14">
        <f t="shared" si="180"/>
        <v>48</v>
      </c>
      <c r="D439" s="14">
        <f t="shared" si="180"/>
        <v>23</v>
      </c>
      <c r="E439" s="14">
        <f t="shared" si="180"/>
        <v>10</v>
      </c>
      <c r="F439" s="14">
        <f t="shared" si="180"/>
        <v>775</v>
      </c>
      <c r="G439" s="74">
        <f t="shared" si="168"/>
        <v>768</v>
      </c>
      <c r="H439" s="14">
        <f t="shared" si="165"/>
        <v>11250</v>
      </c>
      <c r="I439" s="14">
        <v>1</v>
      </c>
      <c r="J439" s="14">
        <f t="shared" si="181"/>
        <v>22000</v>
      </c>
      <c r="K439" s="14">
        <f t="shared" si="181"/>
        <v>6</v>
      </c>
      <c r="L439" s="14">
        <v>1</v>
      </c>
      <c r="M439" s="14">
        <f t="shared" si="182"/>
        <v>240</v>
      </c>
      <c r="N439" s="14">
        <f t="shared" si="182"/>
        <v>120</v>
      </c>
      <c r="O439" s="14">
        <f t="shared" si="182"/>
        <v>53</v>
      </c>
      <c r="P439" s="14">
        <f t="shared" si="170"/>
        <v>500</v>
      </c>
      <c r="Q439" s="38">
        <f t="shared" si="167"/>
        <v>500</v>
      </c>
      <c r="R439" s="38">
        <f t="shared" si="171"/>
        <v>33250</v>
      </c>
      <c r="S439" s="38">
        <f t="shared" si="172"/>
        <v>240</v>
      </c>
      <c r="T439" s="38">
        <f t="shared" si="173"/>
        <v>120</v>
      </c>
      <c r="U439" s="38">
        <f t="shared" si="183"/>
        <v>63</v>
      </c>
      <c r="V439" s="38">
        <f t="shared" si="179"/>
        <v>6</v>
      </c>
      <c r="W439" s="38">
        <f t="shared" si="176"/>
        <v>10861</v>
      </c>
      <c r="X439" s="38">
        <f>SUM(Q$414:Q439)</f>
        <v>9250</v>
      </c>
      <c r="Y439" s="38">
        <f>SUM(R$414:R439)</f>
        <v>402000</v>
      </c>
      <c r="Z439" s="38">
        <f t="shared" si="177"/>
        <v>240</v>
      </c>
      <c r="AA439" s="38">
        <f>SUM(T$414:T439)</f>
        <v>1581</v>
      </c>
      <c r="AB439" s="38">
        <f>SUM(U$414:U439)</f>
        <v>513</v>
      </c>
      <c r="AC439" s="38">
        <f>SUM(V$414:V439)</f>
        <v>156</v>
      </c>
      <c r="AD439" s="38">
        <f t="shared" si="178"/>
        <v>121816</v>
      </c>
    </row>
    <row r="440" spans="1:30" x14ac:dyDescent="0.25">
      <c r="A440" s="86" t="s">
        <v>255</v>
      </c>
      <c r="B440" s="14">
        <v>27</v>
      </c>
      <c r="C440" s="14">
        <f t="shared" si="180"/>
        <v>50</v>
      </c>
      <c r="D440" s="14">
        <f t="shared" si="180"/>
        <v>25</v>
      </c>
      <c r="E440" s="14">
        <f t="shared" si="180"/>
        <v>10</v>
      </c>
      <c r="F440" s="14">
        <f t="shared" si="180"/>
        <v>825</v>
      </c>
      <c r="G440" s="74">
        <f t="shared" si="168"/>
        <v>790</v>
      </c>
      <c r="H440" s="14">
        <f t="shared" si="165"/>
        <v>11750</v>
      </c>
      <c r="I440" s="14">
        <v>1</v>
      </c>
      <c r="J440" s="14">
        <f t="shared" si="181"/>
        <v>23000</v>
      </c>
      <c r="K440" s="14">
        <f t="shared" si="181"/>
        <v>6</v>
      </c>
      <c r="L440" s="14">
        <v>1</v>
      </c>
      <c r="M440" s="14">
        <f t="shared" si="182"/>
        <v>250</v>
      </c>
      <c r="N440" s="14">
        <f t="shared" si="182"/>
        <v>125</v>
      </c>
      <c r="O440" s="14">
        <f t="shared" si="182"/>
        <v>55</v>
      </c>
      <c r="P440" s="14">
        <f t="shared" si="170"/>
        <v>500</v>
      </c>
      <c r="Q440" s="38">
        <f t="shared" si="167"/>
        <v>500</v>
      </c>
      <c r="R440" s="38">
        <f t="shared" si="171"/>
        <v>34750</v>
      </c>
      <c r="S440" s="38">
        <f t="shared" si="172"/>
        <v>250</v>
      </c>
      <c r="T440" s="38">
        <f t="shared" si="173"/>
        <v>125</v>
      </c>
      <c r="U440" s="38">
        <f t="shared" si="183"/>
        <v>65</v>
      </c>
      <c r="V440" s="38">
        <f t="shared" si="179"/>
        <v>6</v>
      </c>
      <c r="W440" s="38">
        <f t="shared" si="176"/>
        <v>11286</v>
      </c>
      <c r="X440" s="38">
        <f>SUM(Q$414:Q440)</f>
        <v>9750</v>
      </c>
      <c r="Y440" s="38">
        <f>SUM(R$414:R440)</f>
        <v>436750</v>
      </c>
      <c r="Z440" s="38">
        <f t="shared" si="177"/>
        <v>250</v>
      </c>
      <c r="AA440" s="38">
        <f>SUM(T$414:T440)</f>
        <v>1706</v>
      </c>
      <c r="AB440" s="38">
        <f>SUM(U$414:U440)</f>
        <v>578</v>
      </c>
      <c r="AC440" s="38">
        <f>SUM(V$414:V440)</f>
        <v>162</v>
      </c>
      <c r="AD440" s="38">
        <f t="shared" si="178"/>
        <v>132862</v>
      </c>
    </row>
    <row r="441" spans="1:30" x14ac:dyDescent="0.25">
      <c r="A441" s="86" t="s">
        <v>255</v>
      </c>
      <c r="B441" s="14">
        <v>28</v>
      </c>
      <c r="C441" s="14">
        <f t="shared" si="180"/>
        <v>53</v>
      </c>
      <c r="D441" s="14">
        <f t="shared" si="180"/>
        <v>25</v>
      </c>
      <c r="E441" s="14">
        <f t="shared" si="180"/>
        <v>13</v>
      </c>
      <c r="F441" s="14">
        <f t="shared" si="180"/>
        <v>825</v>
      </c>
      <c r="G441" s="74">
        <f t="shared" si="168"/>
        <v>928</v>
      </c>
      <c r="H441" s="14">
        <f t="shared" si="165"/>
        <v>12250</v>
      </c>
      <c r="I441" s="14">
        <v>1</v>
      </c>
      <c r="J441" s="14">
        <f t="shared" si="181"/>
        <v>24000</v>
      </c>
      <c r="K441" s="14">
        <f t="shared" si="181"/>
        <v>6</v>
      </c>
      <c r="L441" s="14">
        <v>1</v>
      </c>
      <c r="M441" s="14">
        <f t="shared" si="182"/>
        <v>260</v>
      </c>
      <c r="N441" s="14">
        <f t="shared" si="182"/>
        <v>130</v>
      </c>
      <c r="O441" s="14">
        <f t="shared" si="182"/>
        <v>58</v>
      </c>
      <c r="P441" s="14">
        <f t="shared" si="170"/>
        <v>500</v>
      </c>
      <c r="Q441" s="38">
        <f t="shared" si="167"/>
        <v>500</v>
      </c>
      <c r="R441" s="38">
        <f t="shared" si="171"/>
        <v>36250</v>
      </c>
      <c r="S441" s="38">
        <f t="shared" si="172"/>
        <v>260</v>
      </c>
      <c r="T441" s="38">
        <f t="shared" si="173"/>
        <v>130</v>
      </c>
      <c r="U441" s="38">
        <f t="shared" si="183"/>
        <v>71</v>
      </c>
      <c r="V441" s="38">
        <f t="shared" si="179"/>
        <v>6</v>
      </c>
      <c r="W441" s="38">
        <f t="shared" si="176"/>
        <v>11891</v>
      </c>
      <c r="X441" s="38">
        <f>SUM(Q$414:Q441)</f>
        <v>10250</v>
      </c>
      <c r="Y441" s="38">
        <f>SUM(R$414:R441)</f>
        <v>473000</v>
      </c>
      <c r="Z441" s="38">
        <f t="shared" si="177"/>
        <v>260</v>
      </c>
      <c r="AA441" s="38">
        <f>SUM(T$414:T441)</f>
        <v>1836</v>
      </c>
      <c r="AB441" s="38">
        <f>SUM(U$414:U441)</f>
        <v>649</v>
      </c>
      <c r="AC441" s="38">
        <f>SUM(V$414:V441)</f>
        <v>168</v>
      </c>
      <c r="AD441" s="38">
        <f t="shared" si="178"/>
        <v>144503</v>
      </c>
    </row>
    <row r="442" spans="1:30" x14ac:dyDescent="0.25">
      <c r="A442" s="86" t="s">
        <v>255</v>
      </c>
      <c r="B442" s="14">
        <v>29</v>
      </c>
      <c r="C442" s="14">
        <f t="shared" si="180"/>
        <v>55</v>
      </c>
      <c r="D442" s="14">
        <f t="shared" si="180"/>
        <v>28</v>
      </c>
      <c r="E442" s="14">
        <f t="shared" si="180"/>
        <v>13</v>
      </c>
      <c r="F442" s="14">
        <f t="shared" si="180"/>
        <v>875</v>
      </c>
      <c r="G442" s="74">
        <f t="shared" si="168"/>
        <v>955</v>
      </c>
      <c r="H442" s="14">
        <f t="shared" si="165"/>
        <v>12750</v>
      </c>
      <c r="I442" s="14">
        <v>1</v>
      </c>
      <c r="J442" s="14">
        <f t="shared" si="181"/>
        <v>25000</v>
      </c>
      <c r="K442" s="14">
        <f t="shared" si="181"/>
        <v>6</v>
      </c>
      <c r="L442" s="14">
        <v>1</v>
      </c>
      <c r="M442" s="14">
        <f t="shared" si="182"/>
        <v>270</v>
      </c>
      <c r="N442" s="14">
        <f t="shared" si="182"/>
        <v>135</v>
      </c>
      <c r="O442" s="14">
        <f t="shared" si="182"/>
        <v>60</v>
      </c>
      <c r="P442" s="14">
        <f t="shared" si="170"/>
        <v>500</v>
      </c>
      <c r="Q442" s="38">
        <f t="shared" si="167"/>
        <v>500</v>
      </c>
      <c r="R442" s="38">
        <f t="shared" si="171"/>
        <v>37750</v>
      </c>
      <c r="S442" s="38">
        <f t="shared" si="172"/>
        <v>270</v>
      </c>
      <c r="T442" s="38">
        <f t="shared" si="173"/>
        <v>135</v>
      </c>
      <c r="U442" s="38">
        <f t="shared" si="183"/>
        <v>73</v>
      </c>
      <c r="V442" s="38">
        <f t="shared" si="179"/>
        <v>6</v>
      </c>
      <c r="W442" s="38">
        <f t="shared" si="176"/>
        <v>12316</v>
      </c>
      <c r="X442" s="38">
        <f>SUM(Q$414:Q442)</f>
        <v>10750</v>
      </c>
      <c r="Y442" s="38">
        <f>SUM(R$414:R442)</f>
        <v>510750</v>
      </c>
      <c r="Z442" s="38">
        <f t="shared" si="177"/>
        <v>270</v>
      </c>
      <c r="AA442" s="38">
        <f>SUM(T$414:T442)</f>
        <v>1971</v>
      </c>
      <c r="AB442" s="38">
        <f>SUM(U$414:U442)</f>
        <v>722</v>
      </c>
      <c r="AC442" s="38">
        <f>SUM(V$414:V442)</f>
        <v>174</v>
      </c>
      <c r="AD442" s="38">
        <f t="shared" si="178"/>
        <v>156559</v>
      </c>
    </row>
    <row r="443" spans="1:30" x14ac:dyDescent="0.25">
      <c r="A443" s="86" t="s">
        <v>255</v>
      </c>
      <c r="B443" s="14">
        <v>30</v>
      </c>
      <c r="C443" s="14">
        <f t="shared" si="180"/>
        <v>55</v>
      </c>
      <c r="D443" s="14">
        <f t="shared" si="180"/>
        <v>28</v>
      </c>
      <c r="E443" s="14">
        <f t="shared" si="180"/>
        <v>13</v>
      </c>
      <c r="F443" s="14">
        <f t="shared" si="180"/>
        <v>875</v>
      </c>
      <c r="G443" s="74">
        <f t="shared" si="168"/>
        <v>955</v>
      </c>
      <c r="H443" s="14">
        <f t="shared" si="165"/>
        <v>13250</v>
      </c>
      <c r="I443" s="14">
        <v>1</v>
      </c>
      <c r="J443" s="14">
        <f t="shared" si="181"/>
        <v>26000</v>
      </c>
      <c r="K443" s="14">
        <f t="shared" si="181"/>
        <v>6</v>
      </c>
      <c r="L443" s="14">
        <v>1</v>
      </c>
      <c r="M443" s="14">
        <f t="shared" si="182"/>
        <v>280</v>
      </c>
      <c r="N443" s="14">
        <f t="shared" si="182"/>
        <v>140</v>
      </c>
      <c r="O443" s="14">
        <f t="shared" si="182"/>
        <v>63</v>
      </c>
      <c r="P443" s="14">
        <f t="shared" si="170"/>
        <v>500</v>
      </c>
      <c r="Q443" s="38">
        <f t="shared" si="167"/>
        <v>500</v>
      </c>
      <c r="R443" s="38">
        <f t="shared" si="171"/>
        <v>39250</v>
      </c>
      <c r="S443" s="38">
        <f t="shared" si="172"/>
        <v>280</v>
      </c>
      <c r="T443" s="38">
        <f t="shared" si="173"/>
        <v>140</v>
      </c>
      <c r="U443" s="38">
        <f t="shared" si="183"/>
        <v>76</v>
      </c>
      <c r="V443" s="38">
        <f t="shared" si="179"/>
        <v>6</v>
      </c>
      <c r="W443" s="38">
        <f t="shared" si="176"/>
        <v>12786</v>
      </c>
      <c r="X443" s="38">
        <f>SUM(Q$414:Q443)</f>
        <v>11250</v>
      </c>
      <c r="Y443" s="38">
        <f>SUM(R$414:R443)</f>
        <v>550000</v>
      </c>
      <c r="Z443" s="38">
        <f t="shared" si="177"/>
        <v>280</v>
      </c>
      <c r="AA443" s="38">
        <f>SUM(T$414:T443)</f>
        <v>2111</v>
      </c>
      <c r="AB443" s="38">
        <f>SUM(U$414:U443)</f>
        <v>798</v>
      </c>
      <c r="AC443" s="38">
        <f>SUM(V$414:V443)</f>
        <v>180</v>
      </c>
      <c r="AD443" s="38">
        <f t="shared" si="178"/>
        <v>169075</v>
      </c>
    </row>
    <row r="444" spans="1:30" x14ac:dyDescent="0.25">
      <c r="A444" s="86" t="s">
        <v>255</v>
      </c>
      <c r="B444" s="14">
        <v>31</v>
      </c>
      <c r="C444" s="14">
        <f t="shared" si="180"/>
        <v>58</v>
      </c>
      <c r="D444" s="14">
        <f t="shared" si="180"/>
        <v>28</v>
      </c>
      <c r="E444" s="14">
        <f t="shared" si="180"/>
        <v>13</v>
      </c>
      <c r="F444" s="14">
        <f t="shared" si="180"/>
        <v>925</v>
      </c>
      <c r="G444" s="74">
        <f t="shared" si="168"/>
        <v>968</v>
      </c>
      <c r="H444" s="14">
        <f t="shared" si="165"/>
        <v>13750</v>
      </c>
      <c r="I444" s="14">
        <v>1</v>
      </c>
      <c r="J444" s="14">
        <f t="shared" si="181"/>
        <v>27000</v>
      </c>
      <c r="K444" s="14">
        <f t="shared" si="181"/>
        <v>6</v>
      </c>
      <c r="L444" s="14">
        <v>1</v>
      </c>
      <c r="M444" s="14">
        <f t="shared" si="182"/>
        <v>290</v>
      </c>
      <c r="N444" s="14">
        <f t="shared" si="182"/>
        <v>145</v>
      </c>
      <c r="O444" s="14">
        <f t="shared" si="182"/>
        <v>65</v>
      </c>
      <c r="P444" s="14">
        <f t="shared" si="170"/>
        <v>500</v>
      </c>
      <c r="Q444" s="38">
        <f t="shared" si="167"/>
        <v>500</v>
      </c>
      <c r="R444" s="38">
        <f t="shared" si="171"/>
        <v>40750</v>
      </c>
      <c r="S444" s="38">
        <f t="shared" si="172"/>
        <v>290</v>
      </c>
      <c r="T444" s="38">
        <f t="shared" si="173"/>
        <v>145</v>
      </c>
      <c r="U444" s="38">
        <f t="shared" si="183"/>
        <v>78</v>
      </c>
      <c r="V444" s="38">
        <f t="shared" si="179"/>
        <v>6</v>
      </c>
      <c r="W444" s="38">
        <f t="shared" si="176"/>
        <v>13211</v>
      </c>
      <c r="X444" s="38">
        <f>SUM(Q$414:Q444)</f>
        <v>11750</v>
      </c>
      <c r="Y444" s="38">
        <f>SUM(R$414:R444)</f>
        <v>590750</v>
      </c>
      <c r="Z444" s="38">
        <f t="shared" si="177"/>
        <v>290</v>
      </c>
      <c r="AA444" s="38">
        <f>SUM(T$414:T444)</f>
        <v>2256</v>
      </c>
      <c r="AB444" s="38">
        <f>SUM(U$414:U444)</f>
        <v>876</v>
      </c>
      <c r="AC444" s="38">
        <f>SUM(V$414:V444)</f>
        <v>186</v>
      </c>
      <c r="AD444" s="38">
        <f t="shared" si="178"/>
        <v>182006</v>
      </c>
    </row>
    <row r="445" spans="1:30" x14ac:dyDescent="0.25">
      <c r="A445" s="86" t="s">
        <v>255</v>
      </c>
      <c r="B445" s="14">
        <v>32</v>
      </c>
      <c r="C445" s="14">
        <f t="shared" si="180"/>
        <v>60</v>
      </c>
      <c r="D445" s="14">
        <f t="shared" si="180"/>
        <v>30</v>
      </c>
      <c r="E445" s="14">
        <f t="shared" si="180"/>
        <v>13</v>
      </c>
      <c r="F445" s="14">
        <f t="shared" si="180"/>
        <v>925</v>
      </c>
      <c r="G445" s="74">
        <f t="shared" si="168"/>
        <v>980</v>
      </c>
      <c r="H445" s="14">
        <f t="shared" si="165"/>
        <v>14250</v>
      </c>
      <c r="I445" s="14">
        <v>1</v>
      </c>
      <c r="J445" s="14">
        <f t="shared" si="181"/>
        <v>28000</v>
      </c>
      <c r="K445" s="14">
        <f t="shared" si="181"/>
        <v>6</v>
      </c>
      <c r="L445" s="14">
        <v>1</v>
      </c>
      <c r="M445" s="14">
        <f t="shared" si="182"/>
        <v>300</v>
      </c>
      <c r="N445" s="14">
        <f t="shared" si="182"/>
        <v>150</v>
      </c>
      <c r="O445" s="14">
        <f t="shared" si="182"/>
        <v>68</v>
      </c>
      <c r="P445" s="14">
        <f t="shared" si="170"/>
        <v>500</v>
      </c>
      <c r="Q445" s="38">
        <f t="shared" si="167"/>
        <v>500</v>
      </c>
      <c r="R445" s="38">
        <f t="shared" si="171"/>
        <v>42250</v>
      </c>
      <c r="S445" s="38">
        <f t="shared" si="172"/>
        <v>300</v>
      </c>
      <c r="T445" s="38">
        <f t="shared" si="173"/>
        <v>150</v>
      </c>
      <c r="U445" s="38">
        <f t="shared" si="183"/>
        <v>81</v>
      </c>
      <c r="V445" s="38">
        <f t="shared" si="179"/>
        <v>6</v>
      </c>
      <c r="W445" s="38">
        <f t="shared" si="176"/>
        <v>13681</v>
      </c>
      <c r="X445" s="38">
        <f>SUM(Q$414:Q445)</f>
        <v>12250</v>
      </c>
      <c r="Y445" s="38">
        <f>SUM(R$414:R445)</f>
        <v>633000</v>
      </c>
      <c r="Z445" s="38">
        <f t="shared" si="177"/>
        <v>300</v>
      </c>
      <c r="AA445" s="38">
        <f>SUM(T$414:T445)</f>
        <v>2406</v>
      </c>
      <c r="AB445" s="38">
        <f>SUM(U$414:U445)</f>
        <v>957</v>
      </c>
      <c r="AC445" s="38">
        <f>SUM(V$414:V445)</f>
        <v>192</v>
      </c>
      <c r="AD445" s="38">
        <f t="shared" si="178"/>
        <v>195397</v>
      </c>
    </row>
    <row r="446" spans="1:30" x14ac:dyDescent="0.25">
      <c r="A446" s="86" t="s">
        <v>255</v>
      </c>
      <c r="B446" s="14">
        <v>33</v>
      </c>
      <c r="C446" s="14">
        <f t="shared" si="180"/>
        <v>63</v>
      </c>
      <c r="D446" s="14">
        <f t="shared" si="180"/>
        <v>30</v>
      </c>
      <c r="E446" s="14">
        <f t="shared" si="180"/>
        <v>15</v>
      </c>
      <c r="F446" s="14">
        <f t="shared" si="180"/>
        <v>975</v>
      </c>
      <c r="G446" s="74">
        <f t="shared" si="168"/>
        <v>1083</v>
      </c>
      <c r="H446" s="14">
        <f t="shared" ref="H446:H477" si="184">MAX(1,ROUND(H40*INDEX($O$1:$U$4,MATCH($A446,$O$1:$O$4,0),MATCH(H$413,$O$1:$U$1,0)),0))</f>
        <v>14750</v>
      </c>
      <c r="I446" s="14">
        <v>1</v>
      </c>
      <c r="J446" s="14">
        <f t="shared" si="181"/>
        <v>29000</v>
      </c>
      <c r="K446" s="14">
        <f t="shared" si="181"/>
        <v>6</v>
      </c>
      <c r="L446" s="14">
        <v>1</v>
      </c>
      <c r="M446" s="14">
        <f t="shared" si="182"/>
        <v>310</v>
      </c>
      <c r="N446" s="14">
        <f t="shared" si="182"/>
        <v>155</v>
      </c>
      <c r="O446" s="14">
        <f t="shared" si="182"/>
        <v>70</v>
      </c>
      <c r="P446" s="14">
        <f t="shared" si="170"/>
        <v>500</v>
      </c>
      <c r="Q446" s="38">
        <f t="shared" si="167"/>
        <v>500</v>
      </c>
      <c r="R446" s="38">
        <f t="shared" si="171"/>
        <v>43750</v>
      </c>
      <c r="S446" s="38">
        <f t="shared" si="172"/>
        <v>310</v>
      </c>
      <c r="T446" s="38">
        <f t="shared" si="173"/>
        <v>155</v>
      </c>
      <c r="U446" s="38">
        <f t="shared" si="183"/>
        <v>85</v>
      </c>
      <c r="V446" s="38">
        <f t="shared" si="179"/>
        <v>6</v>
      </c>
      <c r="W446" s="38">
        <f t="shared" si="176"/>
        <v>14196</v>
      </c>
      <c r="X446" s="38">
        <f>SUM(Q$414:Q446)</f>
        <v>12750</v>
      </c>
      <c r="Y446" s="38">
        <f>SUM(R$414:R446)</f>
        <v>676750</v>
      </c>
      <c r="Z446" s="38">
        <f t="shared" si="177"/>
        <v>310</v>
      </c>
      <c r="AA446" s="38">
        <f>SUM(T$414:T446)</f>
        <v>2561</v>
      </c>
      <c r="AB446" s="38">
        <f>SUM(U$414:U446)</f>
        <v>1042</v>
      </c>
      <c r="AC446" s="38">
        <f>SUM(V$414:V446)</f>
        <v>198</v>
      </c>
      <c r="AD446" s="38">
        <f t="shared" si="178"/>
        <v>209293</v>
      </c>
    </row>
    <row r="447" spans="1:30" x14ac:dyDescent="0.25">
      <c r="A447" s="86" t="s">
        <v>255</v>
      </c>
      <c r="B447" s="14">
        <v>34</v>
      </c>
      <c r="C447" s="14">
        <f t="shared" si="180"/>
        <v>65</v>
      </c>
      <c r="D447" s="14">
        <f t="shared" si="180"/>
        <v>33</v>
      </c>
      <c r="E447" s="14">
        <f t="shared" si="180"/>
        <v>15</v>
      </c>
      <c r="F447" s="14">
        <f t="shared" si="180"/>
        <v>975</v>
      </c>
      <c r="G447" s="74">
        <f t="shared" si="168"/>
        <v>1100</v>
      </c>
      <c r="H447" s="14">
        <f t="shared" si="184"/>
        <v>15250</v>
      </c>
      <c r="I447" s="14">
        <v>1</v>
      </c>
      <c r="J447" s="14">
        <f t="shared" si="181"/>
        <v>30000</v>
      </c>
      <c r="K447" s="14">
        <f t="shared" si="181"/>
        <v>6</v>
      </c>
      <c r="L447" s="14">
        <v>1</v>
      </c>
      <c r="M447" s="14">
        <f t="shared" si="182"/>
        <v>320</v>
      </c>
      <c r="N447" s="14">
        <f t="shared" si="182"/>
        <v>160</v>
      </c>
      <c r="O447" s="14">
        <f t="shared" si="182"/>
        <v>73</v>
      </c>
      <c r="P447" s="14">
        <f t="shared" si="170"/>
        <v>500</v>
      </c>
      <c r="Q447" s="38">
        <f t="shared" si="167"/>
        <v>500</v>
      </c>
      <c r="R447" s="38">
        <f t="shared" si="171"/>
        <v>45250</v>
      </c>
      <c r="S447" s="38">
        <f t="shared" si="172"/>
        <v>320</v>
      </c>
      <c r="T447" s="38">
        <f t="shared" si="173"/>
        <v>160</v>
      </c>
      <c r="U447" s="38">
        <f t="shared" si="183"/>
        <v>88</v>
      </c>
      <c r="V447" s="38">
        <f t="shared" si="179"/>
        <v>6</v>
      </c>
      <c r="W447" s="38">
        <f t="shared" si="176"/>
        <v>14666</v>
      </c>
      <c r="X447" s="38">
        <f>SUM(Q$414:Q447)</f>
        <v>13250</v>
      </c>
      <c r="Y447" s="38">
        <f>SUM(R$414:R447)</f>
        <v>722000</v>
      </c>
      <c r="Z447" s="38">
        <f t="shared" si="177"/>
        <v>320</v>
      </c>
      <c r="AA447" s="38">
        <f>SUM(T$414:T447)</f>
        <v>2721</v>
      </c>
      <c r="AB447" s="38">
        <f>SUM(U$414:U447)</f>
        <v>1130</v>
      </c>
      <c r="AC447" s="38">
        <f>SUM(V$414:V447)</f>
        <v>204</v>
      </c>
      <c r="AD447" s="38">
        <f t="shared" si="178"/>
        <v>223649</v>
      </c>
    </row>
    <row r="448" spans="1:30" x14ac:dyDescent="0.25">
      <c r="A448" s="86" t="s">
        <v>255</v>
      </c>
      <c r="B448" s="14">
        <v>35</v>
      </c>
      <c r="C448" s="14">
        <f t="shared" si="180"/>
        <v>65</v>
      </c>
      <c r="D448" s="14">
        <f t="shared" si="180"/>
        <v>33</v>
      </c>
      <c r="E448" s="14">
        <f t="shared" si="180"/>
        <v>15</v>
      </c>
      <c r="F448" s="14">
        <f t="shared" si="180"/>
        <v>1025</v>
      </c>
      <c r="G448" s="74">
        <f t="shared" si="168"/>
        <v>1110</v>
      </c>
      <c r="H448" s="14">
        <f t="shared" si="184"/>
        <v>15750</v>
      </c>
      <c r="I448" s="14">
        <v>1</v>
      </c>
      <c r="J448" s="14">
        <f t="shared" si="181"/>
        <v>31000</v>
      </c>
      <c r="K448" s="14">
        <f t="shared" si="181"/>
        <v>6</v>
      </c>
      <c r="L448" s="14">
        <v>1</v>
      </c>
      <c r="M448" s="14">
        <f t="shared" si="182"/>
        <v>330</v>
      </c>
      <c r="N448" s="14">
        <f t="shared" si="182"/>
        <v>165</v>
      </c>
      <c r="O448" s="14">
        <f t="shared" si="182"/>
        <v>75</v>
      </c>
      <c r="P448" s="14">
        <f t="shared" si="170"/>
        <v>500</v>
      </c>
      <c r="Q448" s="38">
        <f t="shared" si="167"/>
        <v>500</v>
      </c>
      <c r="R448" s="38">
        <f t="shared" si="171"/>
        <v>46750</v>
      </c>
      <c r="S448" s="38">
        <f t="shared" si="172"/>
        <v>330</v>
      </c>
      <c r="T448" s="38">
        <f t="shared" si="173"/>
        <v>165</v>
      </c>
      <c r="U448" s="38">
        <f t="shared" si="183"/>
        <v>90</v>
      </c>
      <c r="V448" s="38">
        <f t="shared" si="179"/>
        <v>6</v>
      </c>
      <c r="W448" s="38">
        <f t="shared" si="176"/>
        <v>15091</v>
      </c>
      <c r="X448" s="38">
        <f>SUM(Q$414:Q448)</f>
        <v>13750</v>
      </c>
      <c r="Y448" s="38">
        <f>SUM(R$414:R448)</f>
        <v>768750</v>
      </c>
      <c r="Z448" s="38">
        <f t="shared" si="177"/>
        <v>330</v>
      </c>
      <c r="AA448" s="38">
        <f>SUM(T$414:T448)</f>
        <v>2886</v>
      </c>
      <c r="AB448" s="38">
        <f>SUM(U$414:U448)</f>
        <v>1220</v>
      </c>
      <c r="AC448" s="38">
        <f>SUM(V$414:V448)</f>
        <v>210</v>
      </c>
      <c r="AD448" s="38">
        <f t="shared" si="178"/>
        <v>238420</v>
      </c>
    </row>
    <row r="449" spans="1:30" x14ac:dyDescent="0.25">
      <c r="A449" s="86" t="s">
        <v>255</v>
      </c>
      <c r="B449" s="14">
        <v>36</v>
      </c>
      <c r="C449" s="14">
        <f t="shared" si="180"/>
        <v>68</v>
      </c>
      <c r="D449" s="14">
        <f t="shared" si="180"/>
        <v>33</v>
      </c>
      <c r="E449" s="14">
        <f t="shared" si="180"/>
        <v>15</v>
      </c>
      <c r="F449" s="14">
        <f t="shared" si="180"/>
        <v>1025</v>
      </c>
      <c r="G449" s="74">
        <f t="shared" si="168"/>
        <v>1113</v>
      </c>
      <c r="H449" s="14">
        <f t="shared" si="184"/>
        <v>16250</v>
      </c>
      <c r="I449" s="14">
        <v>1</v>
      </c>
      <c r="J449" s="14">
        <f t="shared" si="181"/>
        <v>32000</v>
      </c>
      <c r="K449" s="14">
        <f t="shared" si="181"/>
        <v>6</v>
      </c>
      <c r="L449" s="14">
        <v>1</v>
      </c>
      <c r="M449" s="14">
        <f t="shared" si="182"/>
        <v>340</v>
      </c>
      <c r="N449" s="14">
        <f t="shared" si="182"/>
        <v>170</v>
      </c>
      <c r="O449" s="14">
        <f t="shared" si="182"/>
        <v>78</v>
      </c>
      <c r="P449" s="14">
        <f t="shared" si="170"/>
        <v>500</v>
      </c>
      <c r="Q449" s="38">
        <f t="shared" si="167"/>
        <v>500</v>
      </c>
      <c r="R449" s="38">
        <f t="shared" si="171"/>
        <v>48250</v>
      </c>
      <c r="S449" s="38">
        <f t="shared" si="172"/>
        <v>340</v>
      </c>
      <c r="T449" s="38">
        <f t="shared" si="173"/>
        <v>170</v>
      </c>
      <c r="U449" s="38">
        <f t="shared" si="183"/>
        <v>93</v>
      </c>
      <c r="V449" s="38">
        <f t="shared" si="179"/>
        <v>6</v>
      </c>
      <c r="W449" s="38">
        <f t="shared" si="176"/>
        <v>15561</v>
      </c>
      <c r="X449" s="38">
        <f>SUM(Q$414:Q449)</f>
        <v>14250</v>
      </c>
      <c r="Y449" s="38">
        <f>SUM(R$414:R449)</f>
        <v>817000</v>
      </c>
      <c r="Z449" s="38">
        <f t="shared" si="177"/>
        <v>340</v>
      </c>
      <c r="AA449" s="38">
        <f>SUM(T$414:T449)</f>
        <v>3056</v>
      </c>
      <c r="AB449" s="38">
        <f>SUM(U$414:U449)</f>
        <v>1313</v>
      </c>
      <c r="AC449" s="38">
        <f>SUM(V$414:V449)</f>
        <v>216</v>
      </c>
      <c r="AD449" s="38">
        <f t="shared" si="178"/>
        <v>253651</v>
      </c>
    </row>
    <row r="450" spans="1:30" x14ac:dyDescent="0.25">
      <c r="A450" s="86" t="s">
        <v>255</v>
      </c>
      <c r="B450" s="14">
        <v>37</v>
      </c>
      <c r="C450" s="14">
        <f t="shared" si="180"/>
        <v>70</v>
      </c>
      <c r="D450" s="14">
        <f t="shared" si="180"/>
        <v>35</v>
      </c>
      <c r="E450" s="14">
        <f t="shared" si="180"/>
        <v>15</v>
      </c>
      <c r="F450" s="14">
        <f t="shared" si="180"/>
        <v>1075</v>
      </c>
      <c r="G450" s="74">
        <f t="shared" si="168"/>
        <v>1135</v>
      </c>
      <c r="H450" s="14">
        <f t="shared" si="184"/>
        <v>16750</v>
      </c>
      <c r="I450" s="14">
        <v>1</v>
      </c>
      <c r="J450" s="14">
        <f t="shared" si="181"/>
        <v>33000</v>
      </c>
      <c r="K450" s="14">
        <f t="shared" si="181"/>
        <v>6</v>
      </c>
      <c r="L450" s="14">
        <v>1</v>
      </c>
      <c r="M450" s="14">
        <f t="shared" si="182"/>
        <v>350</v>
      </c>
      <c r="N450" s="14">
        <f t="shared" si="182"/>
        <v>175</v>
      </c>
      <c r="O450" s="14">
        <f t="shared" si="182"/>
        <v>80</v>
      </c>
      <c r="P450" s="14">
        <f t="shared" si="170"/>
        <v>500</v>
      </c>
      <c r="Q450" s="38">
        <f t="shared" si="167"/>
        <v>500</v>
      </c>
      <c r="R450" s="38">
        <f t="shared" si="171"/>
        <v>49750</v>
      </c>
      <c r="S450" s="38">
        <f t="shared" si="172"/>
        <v>350</v>
      </c>
      <c r="T450" s="38">
        <f t="shared" si="173"/>
        <v>175</v>
      </c>
      <c r="U450" s="38">
        <f t="shared" si="183"/>
        <v>95</v>
      </c>
      <c r="V450" s="38">
        <f t="shared" si="179"/>
        <v>6</v>
      </c>
      <c r="W450" s="38">
        <f t="shared" si="176"/>
        <v>15986</v>
      </c>
      <c r="X450" s="38">
        <f>SUM(Q$414:Q450)</f>
        <v>14750</v>
      </c>
      <c r="Y450" s="38">
        <f>SUM(R$414:R450)</f>
        <v>866750</v>
      </c>
      <c r="Z450" s="38">
        <f t="shared" si="177"/>
        <v>350</v>
      </c>
      <c r="AA450" s="38">
        <f>SUM(T$414:T450)</f>
        <v>3231</v>
      </c>
      <c r="AB450" s="38">
        <f>SUM(U$414:U450)</f>
        <v>1408</v>
      </c>
      <c r="AC450" s="38">
        <f>SUM(V$414:V450)</f>
        <v>222</v>
      </c>
      <c r="AD450" s="38">
        <f t="shared" si="178"/>
        <v>269297</v>
      </c>
    </row>
    <row r="451" spans="1:30" x14ac:dyDescent="0.25">
      <c r="A451" s="86" t="s">
        <v>255</v>
      </c>
      <c r="B451" s="14">
        <v>38</v>
      </c>
      <c r="C451" s="14">
        <f t="shared" si="180"/>
        <v>73</v>
      </c>
      <c r="D451" s="14">
        <f t="shared" si="180"/>
        <v>35</v>
      </c>
      <c r="E451" s="14">
        <f t="shared" si="180"/>
        <v>18</v>
      </c>
      <c r="F451" s="14">
        <f t="shared" si="180"/>
        <v>1075</v>
      </c>
      <c r="G451" s="74">
        <f t="shared" si="168"/>
        <v>1273</v>
      </c>
      <c r="H451" s="14">
        <f t="shared" si="184"/>
        <v>17250</v>
      </c>
      <c r="I451" s="14">
        <v>1</v>
      </c>
      <c r="J451" s="14">
        <f t="shared" si="181"/>
        <v>34000</v>
      </c>
      <c r="K451" s="14">
        <f t="shared" si="181"/>
        <v>6</v>
      </c>
      <c r="L451" s="14">
        <v>1</v>
      </c>
      <c r="M451" s="14">
        <f t="shared" si="182"/>
        <v>360</v>
      </c>
      <c r="N451" s="14">
        <f t="shared" si="182"/>
        <v>180</v>
      </c>
      <c r="O451" s="14">
        <f t="shared" si="182"/>
        <v>83</v>
      </c>
      <c r="P451" s="14">
        <f t="shared" si="170"/>
        <v>500</v>
      </c>
      <c r="Q451" s="38">
        <f t="shared" si="167"/>
        <v>500</v>
      </c>
      <c r="R451" s="38">
        <f t="shared" si="171"/>
        <v>51250</v>
      </c>
      <c r="S451" s="38">
        <f t="shared" si="172"/>
        <v>360</v>
      </c>
      <c r="T451" s="38">
        <f t="shared" si="173"/>
        <v>180</v>
      </c>
      <c r="U451" s="38">
        <f t="shared" si="183"/>
        <v>101</v>
      </c>
      <c r="V451" s="38">
        <f t="shared" si="179"/>
        <v>6</v>
      </c>
      <c r="W451" s="38">
        <f t="shared" si="176"/>
        <v>16591</v>
      </c>
      <c r="X451" s="38">
        <f>SUM(Q$414:Q451)</f>
        <v>15250</v>
      </c>
      <c r="Y451" s="38">
        <f>SUM(R$414:R451)</f>
        <v>918000</v>
      </c>
      <c r="Z451" s="38">
        <f t="shared" si="177"/>
        <v>360</v>
      </c>
      <c r="AA451" s="38">
        <f>SUM(T$414:T451)</f>
        <v>3411</v>
      </c>
      <c r="AB451" s="38">
        <f>SUM(U$414:U451)</f>
        <v>1509</v>
      </c>
      <c r="AC451" s="38">
        <f>SUM(V$414:V451)</f>
        <v>228</v>
      </c>
      <c r="AD451" s="38">
        <f t="shared" si="178"/>
        <v>285538</v>
      </c>
    </row>
    <row r="452" spans="1:30" x14ac:dyDescent="0.25">
      <c r="A452" s="86" t="s">
        <v>255</v>
      </c>
      <c r="B452" s="14">
        <v>39</v>
      </c>
      <c r="C452" s="14">
        <f t="shared" si="180"/>
        <v>75</v>
      </c>
      <c r="D452" s="14">
        <f t="shared" si="180"/>
        <v>38</v>
      </c>
      <c r="E452" s="14">
        <f t="shared" si="180"/>
        <v>18</v>
      </c>
      <c r="F452" s="14">
        <f t="shared" si="180"/>
        <v>1125</v>
      </c>
      <c r="G452" s="74">
        <f t="shared" si="168"/>
        <v>1300</v>
      </c>
      <c r="H452" s="14">
        <f t="shared" si="184"/>
        <v>17750</v>
      </c>
      <c r="I452" s="14">
        <v>1</v>
      </c>
      <c r="J452" s="14">
        <f t="shared" si="181"/>
        <v>35000</v>
      </c>
      <c r="K452" s="14">
        <f t="shared" si="181"/>
        <v>6</v>
      </c>
      <c r="L452" s="14">
        <v>1</v>
      </c>
      <c r="M452" s="14">
        <f t="shared" si="182"/>
        <v>370</v>
      </c>
      <c r="N452" s="14">
        <f t="shared" si="182"/>
        <v>185</v>
      </c>
      <c r="O452" s="14">
        <f t="shared" si="182"/>
        <v>85</v>
      </c>
      <c r="P452" s="14">
        <f t="shared" si="170"/>
        <v>500</v>
      </c>
      <c r="Q452" s="38">
        <f t="shared" si="167"/>
        <v>500</v>
      </c>
      <c r="R452" s="38">
        <f t="shared" si="171"/>
        <v>52750</v>
      </c>
      <c r="S452" s="38">
        <f t="shared" si="172"/>
        <v>370</v>
      </c>
      <c r="T452" s="38">
        <f t="shared" si="173"/>
        <v>185</v>
      </c>
      <c r="U452" s="38">
        <f t="shared" si="183"/>
        <v>103</v>
      </c>
      <c r="V452" s="38">
        <f t="shared" si="179"/>
        <v>6</v>
      </c>
      <c r="W452" s="38">
        <f t="shared" si="176"/>
        <v>17016</v>
      </c>
      <c r="X452" s="38">
        <f>SUM(Q$414:Q452)</f>
        <v>15750</v>
      </c>
      <c r="Y452" s="38">
        <f>SUM(R$414:R452)</f>
        <v>970750</v>
      </c>
      <c r="Z452" s="38">
        <f t="shared" si="177"/>
        <v>370</v>
      </c>
      <c r="AA452" s="38">
        <f>SUM(T$414:T452)</f>
        <v>3596</v>
      </c>
      <c r="AB452" s="38">
        <f>SUM(U$414:U452)</f>
        <v>1612</v>
      </c>
      <c r="AC452" s="38">
        <f>SUM(V$414:V452)</f>
        <v>234</v>
      </c>
      <c r="AD452" s="38">
        <f t="shared" si="178"/>
        <v>302194</v>
      </c>
    </row>
    <row r="453" spans="1:30" x14ac:dyDescent="0.25">
      <c r="A453" s="86" t="s">
        <v>255</v>
      </c>
      <c r="B453" s="14">
        <v>40</v>
      </c>
      <c r="C453" s="14">
        <f t="shared" si="180"/>
        <v>75</v>
      </c>
      <c r="D453" s="14">
        <f t="shared" si="180"/>
        <v>38</v>
      </c>
      <c r="E453" s="14">
        <f t="shared" si="180"/>
        <v>18</v>
      </c>
      <c r="F453" s="14">
        <f t="shared" si="180"/>
        <v>1125</v>
      </c>
      <c r="G453" s="74">
        <f t="shared" si="168"/>
        <v>1300</v>
      </c>
      <c r="H453" s="14">
        <f t="shared" si="184"/>
        <v>18250</v>
      </c>
      <c r="I453" s="14">
        <v>1</v>
      </c>
      <c r="J453" s="14">
        <f t="shared" si="181"/>
        <v>36000</v>
      </c>
      <c r="K453" s="14">
        <f t="shared" si="181"/>
        <v>6</v>
      </c>
      <c r="L453" s="14">
        <v>1</v>
      </c>
      <c r="M453" s="14">
        <f t="shared" si="182"/>
        <v>380</v>
      </c>
      <c r="N453" s="14">
        <f t="shared" si="182"/>
        <v>190</v>
      </c>
      <c r="O453" s="14">
        <f t="shared" si="182"/>
        <v>88</v>
      </c>
      <c r="P453" s="14">
        <f t="shared" si="170"/>
        <v>500</v>
      </c>
      <c r="Q453" s="38">
        <f t="shared" si="167"/>
        <v>500</v>
      </c>
      <c r="R453" s="38">
        <f t="shared" si="171"/>
        <v>54250</v>
      </c>
      <c r="S453" s="38">
        <f t="shared" si="172"/>
        <v>380</v>
      </c>
      <c r="T453" s="38">
        <f t="shared" si="173"/>
        <v>190</v>
      </c>
      <c r="U453" s="38">
        <f t="shared" si="183"/>
        <v>106</v>
      </c>
      <c r="V453" s="38">
        <f t="shared" si="179"/>
        <v>6</v>
      </c>
      <c r="W453" s="38">
        <f t="shared" si="176"/>
        <v>17486</v>
      </c>
      <c r="X453" s="38">
        <f>SUM(Q$414:Q453)</f>
        <v>16250</v>
      </c>
      <c r="Y453" s="38">
        <f>SUM(R$414:R453)</f>
        <v>1025000</v>
      </c>
      <c r="Z453" s="38">
        <f t="shared" si="177"/>
        <v>380</v>
      </c>
      <c r="AA453" s="38">
        <f>SUM(T$414:T453)</f>
        <v>3786</v>
      </c>
      <c r="AB453" s="38">
        <f>SUM(U$414:U453)</f>
        <v>1718</v>
      </c>
      <c r="AC453" s="38">
        <f>SUM(V$414:V453)</f>
        <v>240</v>
      </c>
      <c r="AD453" s="38">
        <f t="shared" si="178"/>
        <v>319310</v>
      </c>
    </row>
    <row r="454" spans="1:30" x14ac:dyDescent="0.25">
      <c r="A454" s="86" t="s">
        <v>255</v>
      </c>
      <c r="B454" s="14">
        <v>41</v>
      </c>
      <c r="C454" s="14">
        <f t="shared" ref="C454:F473" si="185">MAX(1,ROUND(C48*INDEX($O$1:$U$4,MATCH($A454,$O$1:$O$4,0),MATCH(C$413,$O$1:$U$1,0)),0))</f>
        <v>78</v>
      </c>
      <c r="D454" s="14">
        <f t="shared" si="185"/>
        <v>38</v>
      </c>
      <c r="E454" s="14">
        <f t="shared" si="185"/>
        <v>18</v>
      </c>
      <c r="F454" s="14">
        <f t="shared" si="185"/>
        <v>1175</v>
      </c>
      <c r="G454" s="74">
        <f t="shared" si="168"/>
        <v>1313</v>
      </c>
      <c r="H454" s="14">
        <f t="shared" si="184"/>
        <v>18750</v>
      </c>
      <c r="I454" s="14">
        <v>1</v>
      </c>
      <c r="J454" s="14">
        <f t="shared" ref="J454:K473" si="186">MAX(1,ROUND(J48*INDEX($O$1:$U$4,MATCH($A454,$O$1:$O$4,0),MATCH(J$413,$O$1:$U$1,0)),0))</f>
        <v>37000</v>
      </c>
      <c r="K454" s="14">
        <f t="shared" si="186"/>
        <v>6</v>
      </c>
      <c r="L454" s="14">
        <v>1</v>
      </c>
      <c r="M454" s="14">
        <f t="shared" si="182"/>
        <v>390</v>
      </c>
      <c r="N454" s="14">
        <f t="shared" si="182"/>
        <v>195</v>
      </c>
      <c r="O454" s="14">
        <f t="shared" si="182"/>
        <v>90</v>
      </c>
      <c r="P454" s="14">
        <f t="shared" si="170"/>
        <v>500</v>
      </c>
      <c r="Q454" s="38">
        <f t="shared" si="167"/>
        <v>500</v>
      </c>
      <c r="R454" s="38">
        <f t="shared" si="171"/>
        <v>55750</v>
      </c>
      <c r="S454" s="38">
        <f t="shared" si="172"/>
        <v>390</v>
      </c>
      <c r="T454" s="38">
        <f t="shared" si="173"/>
        <v>195</v>
      </c>
      <c r="U454" s="38">
        <f t="shared" si="183"/>
        <v>108</v>
      </c>
      <c r="V454" s="38">
        <f t="shared" si="179"/>
        <v>6</v>
      </c>
      <c r="W454" s="38">
        <f t="shared" si="176"/>
        <v>17911</v>
      </c>
      <c r="X454" s="38">
        <f>SUM(Q$414:Q454)</f>
        <v>16750</v>
      </c>
      <c r="Y454" s="38">
        <f>SUM(R$414:R454)</f>
        <v>1080750</v>
      </c>
      <c r="Z454" s="38">
        <f t="shared" si="177"/>
        <v>390</v>
      </c>
      <c r="AA454" s="38">
        <f>SUM(T$414:T454)</f>
        <v>3981</v>
      </c>
      <c r="AB454" s="38">
        <f>SUM(U$414:U454)</f>
        <v>1826</v>
      </c>
      <c r="AC454" s="38">
        <f>SUM(V$414:V454)</f>
        <v>246</v>
      </c>
      <c r="AD454" s="38">
        <f t="shared" si="178"/>
        <v>336841</v>
      </c>
    </row>
    <row r="455" spans="1:30" x14ac:dyDescent="0.25">
      <c r="A455" s="86" t="s">
        <v>255</v>
      </c>
      <c r="B455" s="14">
        <v>42</v>
      </c>
      <c r="C455" s="14">
        <f t="shared" si="185"/>
        <v>80</v>
      </c>
      <c r="D455" s="14">
        <f t="shared" si="185"/>
        <v>40</v>
      </c>
      <c r="E455" s="14">
        <f t="shared" si="185"/>
        <v>18</v>
      </c>
      <c r="F455" s="14">
        <f t="shared" si="185"/>
        <v>1175</v>
      </c>
      <c r="G455" s="74">
        <f t="shared" si="168"/>
        <v>1325</v>
      </c>
      <c r="H455" s="14">
        <f t="shared" si="184"/>
        <v>19250</v>
      </c>
      <c r="I455" s="14">
        <v>1</v>
      </c>
      <c r="J455" s="14">
        <f t="shared" si="186"/>
        <v>38000</v>
      </c>
      <c r="K455" s="14">
        <f t="shared" si="186"/>
        <v>6</v>
      </c>
      <c r="L455" s="14">
        <v>1</v>
      </c>
      <c r="M455" s="14">
        <f t="shared" ref="M455:O474" si="187">MAX(1,ROUND(M49*INDEX($O$1:$U$4,MATCH($A455,$O$1:$O$4,0),MATCH(M$413,$O$1:$U$1,0)),0))</f>
        <v>400</v>
      </c>
      <c r="N455" s="14">
        <f t="shared" si="187"/>
        <v>200</v>
      </c>
      <c r="O455" s="14">
        <f t="shared" si="187"/>
        <v>93</v>
      </c>
      <c r="P455" s="14">
        <f t="shared" si="170"/>
        <v>500</v>
      </c>
      <c r="Q455" s="38">
        <f t="shared" si="167"/>
        <v>500</v>
      </c>
      <c r="R455" s="38">
        <f t="shared" si="171"/>
        <v>57250</v>
      </c>
      <c r="S455" s="38">
        <f t="shared" si="172"/>
        <v>400</v>
      </c>
      <c r="T455" s="38">
        <f t="shared" si="173"/>
        <v>200</v>
      </c>
      <c r="U455" s="38">
        <f t="shared" si="183"/>
        <v>111</v>
      </c>
      <c r="V455" s="38">
        <f t="shared" si="179"/>
        <v>6</v>
      </c>
      <c r="W455" s="38">
        <f t="shared" si="176"/>
        <v>18381</v>
      </c>
      <c r="X455" s="38">
        <f>SUM(Q$414:Q455)</f>
        <v>17250</v>
      </c>
      <c r="Y455" s="38">
        <f>SUM(R$414:R455)</f>
        <v>1138000</v>
      </c>
      <c r="Z455" s="38">
        <f t="shared" si="177"/>
        <v>400</v>
      </c>
      <c r="AA455" s="38">
        <f>SUM(T$414:T455)</f>
        <v>4181</v>
      </c>
      <c r="AB455" s="38">
        <f>SUM(U$414:U455)</f>
        <v>1937</v>
      </c>
      <c r="AC455" s="38">
        <f>SUM(V$414:V455)</f>
        <v>252</v>
      </c>
      <c r="AD455" s="38">
        <f t="shared" si="178"/>
        <v>354832</v>
      </c>
    </row>
    <row r="456" spans="1:30" x14ac:dyDescent="0.25">
      <c r="A456" s="86" t="s">
        <v>255</v>
      </c>
      <c r="B456" s="14">
        <v>43</v>
      </c>
      <c r="C456" s="14">
        <f t="shared" si="185"/>
        <v>83</v>
      </c>
      <c r="D456" s="14">
        <f t="shared" si="185"/>
        <v>40</v>
      </c>
      <c r="E456" s="14">
        <f t="shared" si="185"/>
        <v>20</v>
      </c>
      <c r="F456" s="14">
        <f t="shared" si="185"/>
        <v>1225</v>
      </c>
      <c r="G456" s="74">
        <f t="shared" si="168"/>
        <v>1428</v>
      </c>
      <c r="H456" s="14">
        <f t="shared" si="184"/>
        <v>19750</v>
      </c>
      <c r="I456" s="14">
        <v>1</v>
      </c>
      <c r="J456" s="14">
        <f t="shared" si="186"/>
        <v>39000</v>
      </c>
      <c r="K456" s="14">
        <f t="shared" si="186"/>
        <v>6</v>
      </c>
      <c r="L456" s="14">
        <v>1</v>
      </c>
      <c r="M456" s="14">
        <f t="shared" si="187"/>
        <v>410</v>
      </c>
      <c r="N456" s="14">
        <f t="shared" si="187"/>
        <v>205</v>
      </c>
      <c r="O456" s="14">
        <f t="shared" si="187"/>
        <v>95</v>
      </c>
      <c r="P456" s="14">
        <f t="shared" si="170"/>
        <v>500</v>
      </c>
      <c r="Q456" s="38">
        <f t="shared" si="167"/>
        <v>500</v>
      </c>
      <c r="R456" s="38">
        <f t="shared" si="171"/>
        <v>58750</v>
      </c>
      <c r="S456" s="38">
        <f t="shared" si="172"/>
        <v>410</v>
      </c>
      <c r="T456" s="38">
        <f t="shared" si="173"/>
        <v>205</v>
      </c>
      <c r="U456" s="38">
        <f t="shared" si="183"/>
        <v>115</v>
      </c>
      <c r="V456" s="38">
        <f t="shared" si="179"/>
        <v>6</v>
      </c>
      <c r="W456" s="38">
        <f t="shared" si="176"/>
        <v>18896</v>
      </c>
      <c r="X456" s="38">
        <f>SUM(Q$414:Q456)</f>
        <v>17750</v>
      </c>
      <c r="Y456" s="38">
        <f>SUM(R$414:R456)</f>
        <v>1196750</v>
      </c>
      <c r="Z456" s="38">
        <f t="shared" si="177"/>
        <v>410</v>
      </c>
      <c r="AA456" s="38">
        <f>SUM(T$414:T456)</f>
        <v>4386</v>
      </c>
      <c r="AB456" s="38">
        <f>SUM(U$414:U456)</f>
        <v>2052</v>
      </c>
      <c r="AC456" s="38">
        <f>SUM(V$414:V456)</f>
        <v>258</v>
      </c>
      <c r="AD456" s="38">
        <f t="shared" si="178"/>
        <v>373328</v>
      </c>
    </row>
    <row r="457" spans="1:30" x14ac:dyDescent="0.25">
      <c r="A457" s="86" t="s">
        <v>255</v>
      </c>
      <c r="B457" s="14">
        <v>44</v>
      </c>
      <c r="C457" s="14">
        <f t="shared" si="185"/>
        <v>85</v>
      </c>
      <c r="D457" s="14">
        <f t="shared" si="185"/>
        <v>43</v>
      </c>
      <c r="E457" s="14">
        <f t="shared" si="185"/>
        <v>20</v>
      </c>
      <c r="F457" s="14">
        <f t="shared" si="185"/>
        <v>1225</v>
      </c>
      <c r="G457" s="74">
        <f t="shared" si="168"/>
        <v>1445</v>
      </c>
      <c r="H457" s="14">
        <f t="shared" si="184"/>
        <v>20250</v>
      </c>
      <c r="I457" s="14">
        <v>1</v>
      </c>
      <c r="J457" s="14">
        <f t="shared" si="186"/>
        <v>40000</v>
      </c>
      <c r="K457" s="14">
        <f t="shared" si="186"/>
        <v>6</v>
      </c>
      <c r="L457" s="14">
        <v>1</v>
      </c>
      <c r="M457" s="14">
        <f t="shared" si="187"/>
        <v>420</v>
      </c>
      <c r="N457" s="14">
        <f t="shared" si="187"/>
        <v>210</v>
      </c>
      <c r="O457" s="14">
        <f t="shared" si="187"/>
        <v>98</v>
      </c>
      <c r="P457" s="14">
        <f t="shared" si="170"/>
        <v>500</v>
      </c>
      <c r="Q457" s="38">
        <f t="shared" si="167"/>
        <v>500</v>
      </c>
      <c r="R457" s="38">
        <f t="shared" si="171"/>
        <v>60250</v>
      </c>
      <c r="S457" s="38">
        <f t="shared" si="172"/>
        <v>420</v>
      </c>
      <c r="T457" s="38">
        <f t="shared" si="173"/>
        <v>210</v>
      </c>
      <c r="U457" s="38">
        <f t="shared" si="183"/>
        <v>118</v>
      </c>
      <c r="V457" s="38">
        <f t="shared" si="179"/>
        <v>6</v>
      </c>
      <c r="W457" s="38">
        <f t="shared" si="176"/>
        <v>19366</v>
      </c>
      <c r="X457" s="38">
        <f>SUM(Q$414:Q457)</f>
        <v>18250</v>
      </c>
      <c r="Y457" s="38">
        <f>SUM(R$414:R457)</f>
        <v>1257000</v>
      </c>
      <c r="Z457" s="38">
        <f t="shared" si="177"/>
        <v>420</v>
      </c>
      <c r="AA457" s="38">
        <f>SUM(T$414:T457)</f>
        <v>4596</v>
      </c>
      <c r="AB457" s="38">
        <f>SUM(U$414:U457)</f>
        <v>2170</v>
      </c>
      <c r="AC457" s="38">
        <f>SUM(V$414:V457)</f>
        <v>264</v>
      </c>
      <c r="AD457" s="38">
        <f t="shared" si="178"/>
        <v>392284</v>
      </c>
    </row>
    <row r="458" spans="1:30" x14ac:dyDescent="0.25">
      <c r="A458" s="86" t="s">
        <v>255</v>
      </c>
      <c r="B458" s="14">
        <v>45</v>
      </c>
      <c r="C458" s="14">
        <f t="shared" si="185"/>
        <v>85</v>
      </c>
      <c r="D458" s="14">
        <f t="shared" si="185"/>
        <v>43</v>
      </c>
      <c r="E458" s="14">
        <f t="shared" si="185"/>
        <v>20</v>
      </c>
      <c r="F458" s="14">
        <f t="shared" si="185"/>
        <v>1275</v>
      </c>
      <c r="G458" s="74">
        <f t="shared" si="168"/>
        <v>1455</v>
      </c>
      <c r="H458" s="14">
        <f t="shared" si="184"/>
        <v>20750</v>
      </c>
      <c r="I458" s="14">
        <v>1</v>
      </c>
      <c r="J458" s="14">
        <f t="shared" si="186"/>
        <v>41000</v>
      </c>
      <c r="K458" s="14">
        <f t="shared" si="186"/>
        <v>6</v>
      </c>
      <c r="L458" s="14">
        <v>1</v>
      </c>
      <c r="M458" s="14">
        <f t="shared" si="187"/>
        <v>430</v>
      </c>
      <c r="N458" s="14">
        <f t="shared" si="187"/>
        <v>215</v>
      </c>
      <c r="O458" s="14">
        <f t="shared" si="187"/>
        <v>100</v>
      </c>
      <c r="P458" s="14">
        <f t="shared" si="170"/>
        <v>500</v>
      </c>
      <c r="Q458" s="38">
        <f t="shared" si="167"/>
        <v>500</v>
      </c>
      <c r="R458" s="38">
        <f t="shared" si="171"/>
        <v>61750</v>
      </c>
      <c r="S458" s="38">
        <f t="shared" si="172"/>
        <v>430</v>
      </c>
      <c r="T458" s="38">
        <f t="shared" si="173"/>
        <v>215</v>
      </c>
      <c r="U458" s="38">
        <f t="shared" si="183"/>
        <v>120</v>
      </c>
      <c r="V458" s="38">
        <f t="shared" si="179"/>
        <v>6</v>
      </c>
      <c r="W458" s="38">
        <f t="shared" si="176"/>
        <v>19791</v>
      </c>
      <c r="X458" s="38">
        <f>SUM(Q$414:Q458)</f>
        <v>18750</v>
      </c>
      <c r="Y458" s="38">
        <f>SUM(R$414:R458)</f>
        <v>1318750</v>
      </c>
      <c r="Z458" s="38">
        <f t="shared" si="177"/>
        <v>430</v>
      </c>
      <c r="AA458" s="38">
        <f>SUM(T$414:T458)</f>
        <v>4811</v>
      </c>
      <c r="AB458" s="38">
        <f>SUM(U$414:U458)</f>
        <v>2290</v>
      </c>
      <c r="AC458" s="38">
        <f>SUM(V$414:V458)</f>
        <v>270</v>
      </c>
      <c r="AD458" s="38">
        <f t="shared" si="178"/>
        <v>411655</v>
      </c>
    </row>
    <row r="459" spans="1:30" x14ac:dyDescent="0.25">
      <c r="A459" s="86" t="s">
        <v>255</v>
      </c>
      <c r="B459" s="14">
        <v>46</v>
      </c>
      <c r="C459" s="14">
        <f t="shared" si="185"/>
        <v>88</v>
      </c>
      <c r="D459" s="14">
        <f t="shared" si="185"/>
        <v>43</v>
      </c>
      <c r="E459" s="14">
        <f t="shared" si="185"/>
        <v>20</v>
      </c>
      <c r="F459" s="14">
        <f t="shared" si="185"/>
        <v>1275</v>
      </c>
      <c r="G459" s="74">
        <f t="shared" si="168"/>
        <v>1458</v>
      </c>
      <c r="H459" s="14">
        <f t="shared" si="184"/>
        <v>21250</v>
      </c>
      <c r="I459" s="14">
        <v>1</v>
      </c>
      <c r="J459" s="14">
        <f t="shared" si="186"/>
        <v>42000</v>
      </c>
      <c r="K459" s="14">
        <f t="shared" si="186"/>
        <v>6</v>
      </c>
      <c r="L459" s="14">
        <v>1</v>
      </c>
      <c r="M459" s="14">
        <f t="shared" si="187"/>
        <v>440</v>
      </c>
      <c r="N459" s="14">
        <f t="shared" si="187"/>
        <v>220</v>
      </c>
      <c r="O459" s="14">
        <f t="shared" si="187"/>
        <v>103</v>
      </c>
      <c r="P459" s="14">
        <f t="shared" si="170"/>
        <v>500</v>
      </c>
      <c r="Q459" s="38">
        <f t="shared" si="167"/>
        <v>500</v>
      </c>
      <c r="R459" s="38">
        <f t="shared" si="171"/>
        <v>63250</v>
      </c>
      <c r="S459" s="38">
        <f t="shared" si="172"/>
        <v>440</v>
      </c>
      <c r="T459" s="38">
        <f t="shared" si="173"/>
        <v>220</v>
      </c>
      <c r="U459" s="38">
        <f t="shared" si="183"/>
        <v>123</v>
      </c>
      <c r="V459" s="38">
        <f t="shared" si="179"/>
        <v>6</v>
      </c>
      <c r="W459" s="38">
        <f t="shared" si="176"/>
        <v>20261</v>
      </c>
      <c r="X459" s="38">
        <f>SUM(Q$414:Q459)</f>
        <v>19250</v>
      </c>
      <c r="Y459" s="38">
        <f>SUM(R$414:R459)</f>
        <v>1382000</v>
      </c>
      <c r="Z459" s="38">
        <f t="shared" si="177"/>
        <v>440</v>
      </c>
      <c r="AA459" s="38">
        <f>SUM(T$414:T459)</f>
        <v>5031</v>
      </c>
      <c r="AB459" s="38">
        <f>SUM(U$414:U459)</f>
        <v>2413</v>
      </c>
      <c r="AC459" s="38">
        <f>SUM(V$414:V459)</f>
        <v>276</v>
      </c>
      <c r="AD459" s="38">
        <f t="shared" si="178"/>
        <v>431486</v>
      </c>
    </row>
    <row r="460" spans="1:30" x14ac:dyDescent="0.25">
      <c r="A460" s="86" t="s">
        <v>255</v>
      </c>
      <c r="B460" s="14">
        <v>47</v>
      </c>
      <c r="C460" s="14">
        <f t="shared" si="185"/>
        <v>90</v>
      </c>
      <c r="D460" s="14">
        <f t="shared" si="185"/>
        <v>45</v>
      </c>
      <c r="E460" s="14">
        <f t="shared" si="185"/>
        <v>20</v>
      </c>
      <c r="F460" s="14">
        <f t="shared" si="185"/>
        <v>1325</v>
      </c>
      <c r="G460" s="74">
        <f t="shared" si="168"/>
        <v>1480</v>
      </c>
      <c r="H460" s="14">
        <f t="shared" si="184"/>
        <v>21750</v>
      </c>
      <c r="I460" s="14">
        <v>1</v>
      </c>
      <c r="J460" s="14">
        <f t="shared" si="186"/>
        <v>43000</v>
      </c>
      <c r="K460" s="14">
        <f t="shared" si="186"/>
        <v>6</v>
      </c>
      <c r="L460" s="14">
        <v>1</v>
      </c>
      <c r="M460" s="14">
        <f t="shared" si="187"/>
        <v>450</v>
      </c>
      <c r="N460" s="14">
        <f t="shared" si="187"/>
        <v>225</v>
      </c>
      <c r="O460" s="14">
        <f t="shared" si="187"/>
        <v>105</v>
      </c>
      <c r="P460" s="14">
        <f t="shared" si="170"/>
        <v>500</v>
      </c>
      <c r="Q460" s="38">
        <f t="shared" si="167"/>
        <v>500</v>
      </c>
      <c r="R460" s="38">
        <f t="shared" si="171"/>
        <v>64750</v>
      </c>
      <c r="S460" s="38">
        <f t="shared" si="172"/>
        <v>450</v>
      </c>
      <c r="T460" s="38">
        <f t="shared" si="173"/>
        <v>225</v>
      </c>
      <c r="U460" s="38">
        <f t="shared" si="183"/>
        <v>125</v>
      </c>
      <c r="V460" s="38">
        <f t="shared" si="179"/>
        <v>6</v>
      </c>
      <c r="W460" s="38">
        <f t="shared" si="176"/>
        <v>20686</v>
      </c>
      <c r="X460" s="38">
        <f>SUM(Q$414:Q460)</f>
        <v>19750</v>
      </c>
      <c r="Y460" s="38">
        <f>SUM(R$414:R460)</f>
        <v>1446750</v>
      </c>
      <c r="Z460" s="38">
        <f t="shared" si="177"/>
        <v>450</v>
      </c>
      <c r="AA460" s="38">
        <f>SUM(T$414:T460)</f>
        <v>5256</v>
      </c>
      <c r="AB460" s="38">
        <f>SUM(U$414:U460)</f>
        <v>2538</v>
      </c>
      <c r="AC460" s="38">
        <f>SUM(V$414:V460)</f>
        <v>282</v>
      </c>
      <c r="AD460" s="38">
        <f t="shared" si="178"/>
        <v>451732</v>
      </c>
    </row>
    <row r="461" spans="1:30" x14ac:dyDescent="0.25">
      <c r="A461" s="86" t="s">
        <v>255</v>
      </c>
      <c r="B461" s="14">
        <v>48</v>
      </c>
      <c r="C461" s="14">
        <f t="shared" si="185"/>
        <v>93</v>
      </c>
      <c r="D461" s="14">
        <f t="shared" si="185"/>
        <v>45</v>
      </c>
      <c r="E461" s="14">
        <f t="shared" si="185"/>
        <v>23</v>
      </c>
      <c r="F461" s="14">
        <f t="shared" si="185"/>
        <v>1325</v>
      </c>
      <c r="G461" s="74">
        <f t="shared" si="168"/>
        <v>1618</v>
      </c>
      <c r="H461" s="14">
        <f t="shared" si="184"/>
        <v>22250</v>
      </c>
      <c r="I461" s="14">
        <v>1</v>
      </c>
      <c r="J461" s="14">
        <f t="shared" si="186"/>
        <v>44000</v>
      </c>
      <c r="K461" s="14">
        <f t="shared" si="186"/>
        <v>6</v>
      </c>
      <c r="L461" s="14">
        <v>1</v>
      </c>
      <c r="M461" s="14">
        <f t="shared" si="187"/>
        <v>460</v>
      </c>
      <c r="N461" s="14">
        <f t="shared" si="187"/>
        <v>230</v>
      </c>
      <c r="O461" s="14">
        <f t="shared" si="187"/>
        <v>108</v>
      </c>
      <c r="P461" s="14">
        <f t="shared" si="170"/>
        <v>500</v>
      </c>
      <c r="Q461" s="38">
        <f t="shared" si="167"/>
        <v>500</v>
      </c>
      <c r="R461" s="38">
        <f t="shared" si="171"/>
        <v>66250</v>
      </c>
      <c r="S461" s="38">
        <f t="shared" si="172"/>
        <v>460</v>
      </c>
      <c r="T461" s="38">
        <f t="shared" si="173"/>
        <v>230</v>
      </c>
      <c r="U461" s="38">
        <f t="shared" si="183"/>
        <v>131</v>
      </c>
      <c r="V461" s="38">
        <f t="shared" si="179"/>
        <v>6</v>
      </c>
      <c r="W461" s="38">
        <f t="shared" si="176"/>
        <v>21291</v>
      </c>
      <c r="X461" s="38">
        <f>SUM(Q$414:Q461)</f>
        <v>20250</v>
      </c>
      <c r="Y461" s="38">
        <f>SUM(R$414:R461)</f>
        <v>1513000</v>
      </c>
      <c r="Z461" s="38">
        <f t="shared" si="177"/>
        <v>460</v>
      </c>
      <c r="AA461" s="38">
        <f>SUM(T$414:T461)</f>
        <v>5486</v>
      </c>
      <c r="AB461" s="38">
        <f>SUM(U$414:U461)</f>
        <v>2669</v>
      </c>
      <c r="AC461" s="38">
        <f>SUM(V$414:V461)</f>
        <v>288</v>
      </c>
      <c r="AD461" s="38">
        <f t="shared" si="178"/>
        <v>472573</v>
      </c>
    </row>
    <row r="462" spans="1:30" x14ac:dyDescent="0.25">
      <c r="A462" s="86" t="s">
        <v>255</v>
      </c>
      <c r="B462" s="14">
        <v>49</v>
      </c>
      <c r="C462" s="14">
        <f t="shared" si="185"/>
        <v>95</v>
      </c>
      <c r="D462" s="14">
        <f t="shared" si="185"/>
        <v>48</v>
      </c>
      <c r="E462" s="14">
        <f t="shared" si="185"/>
        <v>23</v>
      </c>
      <c r="F462" s="14">
        <f t="shared" si="185"/>
        <v>1375</v>
      </c>
      <c r="G462" s="74">
        <f t="shared" si="168"/>
        <v>1645</v>
      </c>
      <c r="H462" s="14">
        <f t="shared" si="184"/>
        <v>22750</v>
      </c>
      <c r="I462" s="14">
        <v>1</v>
      </c>
      <c r="J462" s="14">
        <f t="shared" si="186"/>
        <v>45000</v>
      </c>
      <c r="K462" s="14">
        <f t="shared" si="186"/>
        <v>6</v>
      </c>
      <c r="L462" s="14">
        <v>1</v>
      </c>
      <c r="M462" s="14">
        <f t="shared" si="187"/>
        <v>470</v>
      </c>
      <c r="N462" s="14">
        <f t="shared" si="187"/>
        <v>235</v>
      </c>
      <c r="O462" s="14">
        <f t="shared" si="187"/>
        <v>110</v>
      </c>
      <c r="P462" s="14">
        <f t="shared" si="170"/>
        <v>500</v>
      </c>
      <c r="Q462" s="38">
        <f t="shared" si="167"/>
        <v>500</v>
      </c>
      <c r="R462" s="38">
        <f t="shared" si="171"/>
        <v>67750</v>
      </c>
      <c r="S462" s="38">
        <f t="shared" si="172"/>
        <v>470</v>
      </c>
      <c r="T462" s="38">
        <f t="shared" si="173"/>
        <v>235</v>
      </c>
      <c r="U462" s="38">
        <f t="shared" si="183"/>
        <v>133</v>
      </c>
      <c r="V462" s="38">
        <f t="shared" si="179"/>
        <v>6</v>
      </c>
      <c r="W462" s="38">
        <f t="shared" si="176"/>
        <v>21716</v>
      </c>
      <c r="X462" s="38">
        <f>SUM(Q$414:Q462)</f>
        <v>20750</v>
      </c>
      <c r="Y462" s="38">
        <f>SUM(R$414:R462)</f>
        <v>1580750</v>
      </c>
      <c r="Z462" s="38">
        <f t="shared" si="177"/>
        <v>470</v>
      </c>
      <c r="AA462" s="38">
        <f>SUM(T$414:T462)</f>
        <v>5721</v>
      </c>
      <c r="AB462" s="38">
        <f>SUM(U$414:U462)</f>
        <v>2802</v>
      </c>
      <c r="AC462" s="38">
        <f>SUM(V$414:V462)</f>
        <v>294</v>
      </c>
      <c r="AD462" s="38">
        <f t="shared" si="178"/>
        <v>493829</v>
      </c>
    </row>
    <row r="463" spans="1:30" x14ac:dyDescent="0.25">
      <c r="A463" s="86" t="s">
        <v>255</v>
      </c>
      <c r="B463" s="14">
        <v>50</v>
      </c>
      <c r="C463" s="14">
        <f t="shared" si="185"/>
        <v>95</v>
      </c>
      <c r="D463" s="14">
        <f t="shared" si="185"/>
        <v>48</v>
      </c>
      <c r="E463" s="14">
        <f t="shared" si="185"/>
        <v>23</v>
      </c>
      <c r="F463" s="14">
        <f t="shared" si="185"/>
        <v>1375</v>
      </c>
      <c r="G463" s="74">
        <f t="shared" si="168"/>
        <v>1645</v>
      </c>
      <c r="H463" s="14">
        <f t="shared" si="184"/>
        <v>23250</v>
      </c>
      <c r="I463" s="14">
        <v>1</v>
      </c>
      <c r="J463" s="14">
        <f t="shared" si="186"/>
        <v>46000</v>
      </c>
      <c r="K463" s="14">
        <f t="shared" si="186"/>
        <v>6</v>
      </c>
      <c r="L463" s="14">
        <v>1</v>
      </c>
      <c r="M463" s="14">
        <f t="shared" si="187"/>
        <v>480</v>
      </c>
      <c r="N463" s="14">
        <f t="shared" si="187"/>
        <v>240</v>
      </c>
      <c r="O463" s="14">
        <f t="shared" si="187"/>
        <v>113</v>
      </c>
      <c r="P463" s="14">
        <f t="shared" si="170"/>
        <v>500</v>
      </c>
      <c r="Q463" s="38">
        <f t="shared" si="167"/>
        <v>500</v>
      </c>
      <c r="R463" s="38">
        <f t="shared" si="171"/>
        <v>69250</v>
      </c>
      <c r="S463" s="38">
        <f t="shared" si="172"/>
        <v>480</v>
      </c>
      <c r="T463" s="38">
        <f t="shared" si="173"/>
        <v>240</v>
      </c>
      <c r="U463" s="38">
        <f t="shared" si="183"/>
        <v>136</v>
      </c>
      <c r="V463" s="38">
        <f t="shared" si="179"/>
        <v>6</v>
      </c>
      <c r="W463" s="38">
        <f t="shared" si="176"/>
        <v>22186</v>
      </c>
      <c r="X463" s="38">
        <f>SUM(Q$414:Q463)</f>
        <v>21250</v>
      </c>
      <c r="Y463" s="38">
        <f>SUM(R$414:R463)</f>
        <v>1650000</v>
      </c>
      <c r="Z463" s="38">
        <f t="shared" si="177"/>
        <v>480</v>
      </c>
      <c r="AA463" s="38">
        <f>SUM(T$414:T463)</f>
        <v>5961</v>
      </c>
      <c r="AB463" s="38">
        <f>SUM(U$414:U463)</f>
        <v>2938</v>
      </c>
      <c r="AC463" s="38">
        <f>SUM(V$414:V463)</f>
        <v>300</v>
      </c>
      <c r="AD463" s="38">
        <f t="shared" si="178"/>
        <v>515545</v>
      </c>
    </row>
    <row r="464" spans="1:30" x14ac:dyDescent="0.25">
      <c r="A464" s="86" t="s">
        <v>255</v>
      </c>
      <c r="B464" s="14">
        <v>51</v>
      </c>
      <c r="C464" s="14">
        <f t="shared" si="185"/>
        <v>98</v>
      </c>
      <c r="D464" s="14">
        <f t="shared" si="185"/>
        <v>48</v>
      </c>
      <c r="E464" s="14">
        <f t="shared" si="185"/>
        <v>23</v>
      </c>
      <c r="F464" s="14">
        <f t="shared" si="185"/>
        <v>1425</v>
      </c>
      <c r="G464" s="74">
        <f t="shared" si="168"/>
        <v>1658</v>
      </c>
      <c r="H464" s="14">
        <f t="shared" si="184"/>
        <v>23750</v>
      </c>
      <c r="I464" s="14">
        <v>1</v>
      </c>
      <c r="J464" s="14">
        <f t="shared" si="186"/>
        <v>47000</v>
      </c>
      <c r="K464" s="14">
        <f t="shared" si="186"/>
        <v>6</v>
      </c>
      <c r="L464" s="14">
        <v>1</v>
      </c>
      <c r="M464" s="14">
        <f t="shared" si="187"/>
        <v>490</v>
      </c>
      <c r="N464" s="14">
        <f t="shared" si="187"/>
        <v>245</v>
      </c>
      <c r="O464" s="14">
        <f t="shared" si="187"/>
        <v>115</v>
      </c>
      <c r="P464" s="14">
        <f t="shared" si="170"/>
        <v>500</v>
      </c>
      <c r="Q464" s="38">
        <f t="shared" si="167"/>
        <v>500</v>
      </c>
      <c r="R464" s="38">
        <f t="shared" si="171"/>
        <v>70750</v>
      </c>
      <c r="S464" s="38">
        <f t="shared" si="172"/>
        <v>490</v>
      </c>
      <c r="T464" s="38">
        <f t="shared" si="173"/>
        <v>245</v>
      </c>
      <c r="U464" s="38"/>
      <c r="V464" s="38">
        <f t="shared" si="179"/>
        <v>6</v>
      </c>
      <c r="W464" s="38">
        <f t="shared" si="176"/>
        <v>16401</v>
      </c>
      <c r="X464" s="38">
        <f>SUM(Q$414:Q464)</f>
        <v>21750</v>
      </c>
      <c r="Y464" s="38">
        <f>SUM(R$414:R464)</f>
        <v>1720750</v>
      </c>
      <c r="Z464" s="38">
        <f t="shared" si="177"/>
        <v>490</v>
      </c>
      <c r="AA464" s="38">
        <f>SUM(T$414:T464)</f>
        <v>6206</v>
      </c>
      <c r="AB464" s="38">
        <f>SUM(U$414:U464)</f>
        <v>2938</v>
      </c>
      <c r="AC464" s="38">
        <f>SUM(V$414:V464)</f>
        <v>306</v>
      </c>
      <c r="AD464" s="38">
        <f t="shared" si="178"/>
        <v>531466</v>
      </c>
    </row>
    <row r="465" spans="1:30" x14ac:dyDescent="0.25">
      <c r="A465" s="86" t="s">
        <v>255</v>
      </c>
      <c r="B465" s="14">
        <v>52</v>
      </c>
      <c r="C465" s="14">
        <f t="shared" si="185"/>
        <v>100</v>
      </c>
      <c r="D465" s="14">
        <f t="shared" si="185"/>
        <v>50</v>
      </c>
      <c r="E465" s="14">
        <f t="shared" si="185"/>
        <v>23</v>
      </c>
      <c r="F465" s="14">
        <f t="shared" si="185"/>
        <v>1425</v>
      </c>
      <c r="G465" s="74">
        <f t="shared" si="168"/>
        <v>1670</v>
      </c>
      <c r="H465" s="14">
        <f t="shared" si="184"/>
        <v>24250</v>
      </c>
      <c r="I465" s="14">
        <v>1</v>
      </c>
      <c r="J465" s="14">
        <f t="shared" si="186"/>
        <v>48000</v>
      </c>
      <c r="K465" s="14">
        <f t="shared" si="186"/>
        <v>6</v>
      </c>
      <c r="L465" s="14">
        <v>1</v>
      </c>
      <c r="M465" s="14">
        <f t="shared" si="187"/>
        <v>500</v>
      </c>
      <c r="N465" s="14">
        <f t="shared" si="187"/>
        <v>250</v>
      </c>
      <c r="O465" s="14">
        <f t="shared" si="187"/>
        <v>118</v>
      </c>
      <c r="P465" s="14">
        <f t="shared" si="170"/>
        <v>500</v>
      </c>
      <c r="Q465" s="38">
        <f t="shared" si="167"/>
        <v>500</v>
      </c>
      <c r="R465" s="38">
        <f t="shared" si="171"/>
        <v>72250</v>
      </c>
      <c r="S465" s="38">
        <f t="shared" si="172"/>
        <v>500</v>
      </c>
      <c r="T465" s="38">
        <f t="shared" si="173"/>
        <v>250</v>
      </c>
      <c r="U465" s="38"/>
      <c r="V465" s="38">
        <f t="shared" ref="V465:V496" si="188">K465</f>
        <v>6</v>
      </c>
      <c r="W465" s="38">
        <f t="shared" si="176"/>
        <v>16736</v>
      </c>
      <c r="X465" s="38">
        <f>SUM(Q$414:Q465)</f>
        <v>22250</v>
      </c>
      <c r="Y465" s="38">
        <f>SUM(R$414:R465)</f>
        <v>1793000</v>
      </c>
      <c r="Z465" s="38">
        <f t="shared" si="177"/>
        <v>500</v>
      </c>
      <c r="AA465" s="38">
        <f>SUM(T$414:T465)</f>
        <v>6456</v>
      </c>
      <c r="AB465" s="38">
        <f>SUM(U$414:U465)</f>
        <v>2938</v>
      </c>
      <c r="AC465" s="38">
        <f>SUM(V$414:V465)</f>
        <v>312</v>
      </c>
      <c r="AD465" s="38">
        <f t="shared" si="178"/>
        <v>547712</v>
      </c>
    </row>
    <row r="466" spans="1:30" x14ac:dyDescent="0.25">
      <c r="A466" s="86" t="s">
        <v>255</v>
      </c>
      <c r="B466" s="14">
        <v>53</v>
      </c>
      <c r="C466" s="14">
        <f t="shared" si="185"/>
        <v>103</v>
      </c>
      <c r="D466" s="14">
        <f t="shared" si="185"/>
        <v>50</v>
      </c>
      <c r="E466" s="14">
        <f t="shared" si="185"/>
        <v>25</v>
      </c>
      <c r="F466" s="14">
        <f t="shared" si="185"/>
        <v>1475</v>
      </c>
      <c r="G466" s="74">
        <f t="shared" si="168"/>
        <v>1773</v>
      </c>
      <c r="H466" s="14">
        <f t="shared" si="184"/>
        <v>24750</v>
      </c>
      <c r="I466" s="14">
        <v>1</v>
      </c>
      <c r="J466" s="14">
        <f t="shared" si="186"/>
        <v>49000</v>
      </c>
      <c r="K466" s="14">
        <f t="shared" si="186"/>
        <v>6</v>
      </c>
      <c r="L466" s="14">
        <v>1</v>
      </c>
      <c r="M466" s="14">
        <f t="shared" si="187"/>
        <v>510</v>
      </c>
      <c r="N466" s="14">
        <f t="shared" si="187"/>
        <v>255</v>
      </c>
      <c r="O466" s="14">
        <f t="shared" si="187"/>
        <v>120</v>
      </c>
      <c r="P466" s="14">
        <f t="shared" si="170"/>
        <v>500</v>
      </c>
      <c r="Q466" s="38">
        <f t="shared" si="167"/>
        <v>500</v>
      </c>
      <c r="R466" s="38">
        <f t="shared" si="171"/>
        <v>73750</v>
      </c>
      <c r="S466" s="38">
        <f t="shared" si="172"/>
        <v>510</v>
      </c>
      <c r="T466" s="38">
        <f t="shared" si="173"/>
        <v>255</v>
      </c>
      <c r="U466" s="38"/>
      <c r="V466" s="38">
        <f t="shared" si="188"/>
        <v>6</v>
      </c>
      <c r="W466" s="38">
        <f t="shared" si="176"/>
        <v>17071</v>
      </c>
      <c r="X466" s="38">
        <f>SUM(Q$414:Q466)</f>
        <v>22750</v>
      </c>
      <c r="Y466" s="38">
        <f>SUM(R$414:R466)</f>
        <v>1866750</v>
      </c>
      <c r="Z466" s="38">
        <f t="shared" si="177"/>
        <v>510</v>
      </c>
      <c r="AA466" s="38">
        <f>SUM(T$414:T466)</f>
        <v>6711</v>
      </c>
      <c r="AB466" s="38">
        <f>SUM(U$414:U466)</f>
        <v>2938</v>
      </c>
      <c r="AC466" s="38">
        <f>SUM(V$414:V466)</f>
        <v>318</v>
      </c>
      <c r="AD466" s="38">
        <f t="shared" si="178"/>
        <v>564283</v>
      </c>
    </row>
    <row r="467" spans="1:30" x14ac:dyDescent="0.25">
      <c r="A467" s="86" t="s">
        <v>255</v>
      </c>
      <c r="B467" s="14">
        <v>54</v>
      </c>
      <c r="C467" s="14">
        <f t="shared" si="185"/>
        <v>105</v>
      </c>
      <c r="D467" s="14">
        <f t="shared" si="185"/>
        <v>53</v>
      </c>
      <c r="E467" s="14">
        <f t="shared" si="185"/>
        <v>25</v>
      </c>
      <c r="F467" s="14">
        <f t="shared" si="185"/>
        <v>1475</v>
      </c>
      <c r="G467" s="74">
        <f t="shared" si="168"/>
        <v>1790</v>
      </c>
      <c r="H467" s="14">
        <f t="shared" si="184"/>
        <v>25250</v>
      </c>
      <c r="I467" s="14">
        <v>1</v>
      </c>
      <c r="J467" s="14">
        <f t="shared" si="186"/>
        <v>50000</v>
      </c>
      <c r="K467" s="14">
        <f t="shared" si="186"/>
        <v>6</v>
      </c>
      <c r="L467" s="14">
        <v>1</v>
      </c>
      <c r="M467" s="14">
        <f t="shared" si="187"/>
        <v>520</v>
      </c>
      <c r="N467" s="14">
        <f t="shared" si="187"/>
        <v>260</v>
      </c>
      <c r="O467" s="14">
        <f t="shared" si="187"/>
        <v>123</v>
      </c>
      <c r="P467" s="14">
        <f t="shared" si="170"/>
        <v>500</v>
      </c>
      <c r="Q467" s="38">
        <f t="shared" si="167"/>
        <v>500</v>
      </c>
      <c r="R467" s="38">
        <f t="shared" si="171"/>
        <v>75250</v>
      </c>
      <c r="S467" s="38">
        <f t="shared" si="172"/>
        <v>520</v>
      </c>
      <c r="T467" s="38">
        <f t="shared" si="173"/>
        <v>260</v>
      </c>
      <c r="U467" s="38">
        <f t="shared" ref="U467:U482" si="189">E467+O467</f>
        <v>148</v>
      </c>
      <c r="V467" s="38">
        <f t="shared" si="188"/>
        <v>6</v>
      </c>
      <c r="W467" s="38">
        <f t="shared" si="176"/>
        <v>24066</v>
      </c>
      <c r="X467" s="38">
        <f>SUM(Q$414:Q467)</f>
        <v>23250</v>
      </c>
      <c r="Y467" s="38">
        <f>SUM(R$414:R467)</f>
        <v>1942000</v>
      </c>
      <c r="Z467" s="38">
        <f t="shared" si="177"/>
        <v>520</v>
      </c>
      <c r="AA467" s="38">
        <f>SUM(T$414:T467)</f>
        <v>6971</v>
      </c>
      <c r="AB467" s="38">
        <f>SUM(U$414:U467)</f>
        <v>3086</v>
      </c>
      <c r="AC467" s="38">
        <f>SUM(V$414:V467)</f>
        <v>324</v>
      </c>
      <c r="AD467" s="38">
        <f t="shared" si="178"/>
        <v>587839</v>
      </c>
    </row>
    <row r="468" spans="1:30" x14ac:dyDescent="0.25">
      <c r="A468" s="86" t="s">
        <v>255</v>
      </c>
      <c r="B468" s="14">
        <v>55</v>
      </c>
      <c r="C468" s="14">
        <f t="shared" si="185"/>
        <v>105</v>
      </c>
      <c r="D468" s="14">
        <f t="shared" si="185"/>
        <v>53</v>
      </c>
      <c r="E468" s="14">
        <f t="shared" si="185"/>
        <v>25</v>
      </c>
      <c r="F468" s="14">
        <f t="shared" si="185"/>
        <v>1525</v>
      </c>
      <c r="G468" s="74">
        <f t="shared" si="168"/>
        <v>1800</v>
      </c>
      <c r="H468" s="14">
        <f t="shared" si="184"/>
        <v>25750</v>
      </c>
      <c r="I468" s="14">
        <v>1</v>
      </c>
      <c r="J468" s="14">
        <f t="shared" si="186"/>
        <v>51000</v>
      </c>
      <c r="K468" s="14">
        <f t="shared" si="186"/>
        <v>6</v>
      </c>
      <c r="L468" s="14">
        <v>1</v>
      </c>
      <c r="M468" s="14">
        <f t="shared" si="187"/>
        <v>530</v>
      </c>
      <c r="N468" s="14">
        <f t="shared" si="187"/>
        <v>265</v>
      </c>
      <c r="O468" s="14">
        <f t="shared" si="187"/>
        <v>125</v>
      </c>
      <c r="P468" s="14">
        <f t="shared" si="170"/>
        <v>500</v>
      </c>
      <c r="Q468" s="38">
        <f t="shared" si="167"/>
        <v>500</v>
      </c>
      <c r="R468" s="38">
        <f t="shared" si="171"/>
        <v>76750</v>
      </c>
      <c r="S468" s="38">
        <f t="shared" si="172"/>
        <v>530</v>
      </c>
      <c r="T468" s="38">
        <f t="shared" si="173"/>
        <v>265</v>
      </c>
      <c r="U468" s="42">
        <f t="shared" si="189"/>
        <v>150</v>
      </c>
      <c r="V468" s="42">
        <f t="shared" si="188"/>
        <v>6</v>
      </c>
      <c r="W468" s="38">
        <f t="shared" si="176"/>
        <v>24491</v>
      </c>
      <c r="X468" s="38">
        <f>SUM(Q$414:Q468)</f>
        <v>23750</v>
      </c>
      <c r="Y468" s="38">
        <f>SUM(R$414:R468)</f>
        <v>2018750</v>
      </c>
      <c r="Z468" s="38">
        <f t="shared" si="177"/>
        <v>530</v>
      </c>
      <c r="AA468" s="38">
        <f>SUM(T$414:T468)</f>
        <v>7236</v>
      </c>
      <c r="AB468" s="38">
        <f>SUM(U$414:U468)</f>
        <v>3236</v>
      </c>
      <c r="AC468" s="38">
        <f>SUM(V$414:V468)</f>
        <v>330</v>
      </c>
      <c r="AD468" s="38">
        <f t="shared" si="178"/>
        <v>611810</v>
      </c>
    </row>
    <row r="469" spans="1:30" x14ac:dyDescent="0.25">
      <c r="A469" s="86" t="s">
        <v>255</v>
      </c>
      <c r="B469" s="14">
        <v>56</v>
      </c>
      <c r="C469" s="14">
        <f t="shared" si="185"/>
        <v>108</v>
      </c>
      <c r="D469" s="14">
        <f t="shared" si="185"/>
        <v>53</v>
      </c>
      <c r="E469" s="14">
        <f t="shared" si="185"/>
        <v>25</v>
      </c>
      <c r="F469" s="14">
        <f t="shared" si="185"/>
        <v>1525</v>
      </c>
      <c r="G469" s="74">
        <f t="shared" si="168"/>
        <v>1803</v>
      </c>
      <c r="H469" s="14">
        <f t="shared" si="184"/>
        <v>26250</v>
      </c>
      <c r="I469" s="14">
        <v>1</v>
      </c>
      <c r="J469" s="14">
        <f t="shared" si="186"/>
        <v>52000</v>
      </c>
      <c r="K469" s="14">
        <f t="shared" si="186"/>
        <v>6</v>
      </c>
      <c r="L469" s="14">
        <v>1</v>
      </c>
      <c r="M469" s="14">
        <f t="shared" si="187"/>
        <v>540</v>
      </c>
      <c r="N469" s="14">
        <f t="shared" si="187"/>
        <v>270</v>
      </c>
      <c r="O469" s="14">
        <f t="shared" si="187"/>
        <v>128</v>
      </c>
      <c r="P469" s="14">
        <f t="shared" si="170"/>
        <v>500</v>
      </c>
      <c r="Q469" s="38">
        <f t="shared" si="167"/>
        <v>500</v>
      </c>
      <c r="R469" s="38">
        <f t="shared" si="171"/>
        <v>78250</v>
      </c>
      <c r="S469" s="38">
        <f t="shared" si="172"/>
        <v>540</v>
      </c>
      <c r="T469" s="38">
        <f t="shared" si="173"/>
        <v>270</v>
      </c>
      <c r="U469" s="38">
        <f t="shared" si="189"/>
        <v>153</v>
      </c>
      <c r="V469" s="38">
        <f t="shared" si="188"/>
        <v>6</v>
      </c>
      <c r="W469" s="38">
        <f t="shared" si="176"/>
        <v>24961</v>
      </c>
      <c r="X469" s="38">
        <f>SUM(Q$414:Q469)</f>
        <v>24250</v>
      </c>
      <c r="Y469" s="38">
        <f>SUM(R$414:R469)</f>
        <v>2097000</v>
      </c>
      <c r="Z469" s="38">
        <f t="shared" si="177"/>
        <v>540</v>
      </c>
      <c r="AA469" s="38">
        <f>SUM(T$414:T469)</f>
        <v>7506</v>
      </c>
      <c r="AB469" s="38">
        <f>SUM(U$414:U469)</f>
        <v>3389</v>
      </c>
      <c r="AC469" s="38">
        <f>SUM(V$414:V469)</f>
        <v>336</v>
      </c>
      <c r="AD469" s="38">
        <f t="shared" si="178"/>
        <v>636241</v>
      </c>
    </row>
    <row r="470" spans="1:30" x14ac:dyDescent="0.25">
      <c r="A470" s="86" t="s">
        <v>255</v>
      </c>
      <c r="B470" s="14">
        <v>57</v>
      </c>
      <c r="C470" s="14">
        <f t="shared" si="185"/>
        <v>110</v>
      </c>
      <c r="D470" s="14">
        <f t="shared" si="185"/>
        <v>55</v>
      </c>
      <c r="E470" s="14">
        <f t="shared" si="185"/>
        <v>25</v>
      </c>
      <c r="F470" s="14">
        <f t="shared" si="185"/>
        <v>1575</v>
      </c>
      <c r="G470" s="74">
        <f t="shared" si="168"/>
        <v>1825</v>
      </c>
      <c r="H470" s="14">
        <f t="shared" si="184"/>
        <v>26750</v>
      </c>
      <c r="I470" s="14">
        <v>1</v>
      </c>
      <c r="J470" s="14">
        <f t="shared" si="186"/>
        <v>53000</v>
      </c>
      <c r="K470" s="14">
        <f t="shared" si="186"/>
        <v>6</v>
      </c>
      <c r="L470" s="14">
        <v>1</v>
      </c>
      <c r="M470" s="14">
        <f t="shared" si="187"/>
        <v>550</v>
      </c>
      <c r="N470" s="14">
        <f t="shared" si="187"/>
        <v>275</v>
      </c>
      <c r="O470" s="14">
        <f t="shared" si="187"/>
        <v>130</v>
      </c>
      <c r="P470" s="14">
        <f t="shared" si="170"/>
        <v>500</v>
      </c>
      <c r="Q470" s="38">
        <f t="shared" si="167"/>
        <v>500</v>
      </c>
      <c r="R470" s="38">
        <f t="shared" si="171"/>
        <v>79750</v>
      </c>
      <c r="S470" s="38">
        <f t="shared" si="172"/>
        <v>550</v>
      </c>
      <c r="T470" s="38">
        <f t="shared" si="173"/>
        <v>275</v>
      </c>
      <c r="U470" s="38">
        <f t="shared" si="189"/>
        <v>155</v>
      </c>
      <c r="V470" s="38">
        <f t="shared" si="188"/>
        <v>6</v>
      </c>
      <c r="W470" s="38">
        <f t="shared" si="176"/>
        <v>25386</v>
      </c>
      <c r="X470" s="38">
        <f>SUM(Q$414:Q470)</f>
        <v>24750</v>
      </c>
      <c r="Y470" s="38">
        <f>SUM(R$414:R470)</f>
        <v>2176750</v>
      </c>
      <c r="Z470" s="38">
        <f t="shared" si="177"/>
        <v>550</v>
      </c>
      <c r="AA470" s="38">
        <f>SUM(T$414:T470)</f>
        <v>7781</v>
      </c>
      <c r="AB470" s="38">
        <f>SUM(U$414:U470)</f>
        <v>3544</v>
      </c>
      <c r="AC470" s="38">
        <f>SUM(V$414:V470)</f>
        <v>342</v>
      </c>
      <c r="AD470" s="38">
        <f t="shared" si="178"/>
        <v>661087</v>
      </c>
    </row>
    <row r="471" spans="1:30" x14ac:dyDescent="0.25">
      <c r="A471" s="86" t="s">
        <v>255</v>
      </c>
      <c r="B471" s="14">
        <v>58</v>
      </c>
      <c r="C471" s="14">
        <f t="shared" si="185"/>
        <v>113</v>
      </c>
      <c r="D471" s="14">
        <f t="shared" si="185"/>
        <v>55</v>
      </c>
      <c r="E471" s="14">
        <f t="shared" si="185"/>
        <v>28</v>
      </c>
      <c r="F471" s="14">
        <f t="shared" si="185"/>
        <v>1575</v>
      </c>
      <c r="G471" s="74">
        <f t="shared" si="168"/>
        <v>1963</v>
      </c>
      <c r="H471" s="14">
        <f t="shared" si="184"/>
        <v>27250</v>
      </c>
      <c r="I471" s="14">
        <v>1</v>
      </c>
      <c r="J471" s="14">
        <f t="shared" si="186"/>
        <v>54000</v>
      </c>
      <c r="K471" s="14">
        <f t="shared" si="186"/>
        <v>6</v>
      </c>
      <c r="L471" s="14">
        <v>1</v>
      </c>
      <c r="M471" s="14">
        <f t="shared" si="187"/>
        <v>560</v>
      </c>
      <c r="N471" s="14">
        <f t="shared" si="187"/>
        <v>280</v>
      </c>
      <c r="O471" s="14">
        <f t="shared" si="187"/>
        <v>133</v>
      </c>
      <c r="P471" s="14">
        <f t="shared" si="170"/>
        <v>500</v>
      </c>
      <c r="Q471" s="38">
        <f t="shared" si="167"/>
        <v>500</v>
      </c>
      <c r="R471" s="38">
        <f t="shared" si="171"/>
        <v>81250</v>
      </c>
      <c r="S471" s="38">
        <f t="shared" si="172"/>
        <v>560</v>
      </c>
      <c r="T471" s="38">
        <f t="shared" si="173"/>
        <v>280</v>
      </c>
      <c r="U471" s="38">
        <f t="shared" si="189"/>
        <v>161</v>
      </c>
      <c r="V471" s="38">
        <f t="shared" si="188"/>
        <v>6</v>
      </c>
      <c r="W471" s="38">
        <f t="shared" si="176"/>
        <v>25991</v>
      </c>
      <c r="X471" s="38">
        <f>SUM(Q$414:Q471)</f>
        <v>25250</v>
      </c>
      <c r="Y471" s="38">
        <f>SUM(R$414:R471)</f>
        <v>2258000</v>
      </c>
      <c r="Z471" s="38">
        <f t="shared" si="177"/>
        <v>560</v>
      </c>
      <c r="AA471" s="38">
        <f>SUM(T$414:T471)</f>
        <v>8061</v>
      </c>
      <c r="AB471" s="38">
        <f>SUM(U$414:U471)</f>
        <v>3705</v>
      </c>
      <c r="AC471" s="38">
        <f>SUM(V$414:V471)</f>
        <v>348</v>
      </c>
      <c r="AD471" s="38">
        <f t="shared" si="178"/>
        <v>686528</v>
      </c>
    </row>
    <row r="472" spans="1:30" x14ac:dyDescent="0.25">
      <c r="A472" s="86" t="s">
        <v>255</v>
      </c>
      <c r="B472" s="14">
        <v>59</v>
      </c>
      <c r="C472" s="14">
        <f t="shared" si="185"/>
        <v>115</v>
      </c>
      <c r="D472" s="14">
        <f t="shared" si="185"/>
        <v>58</v>
      </c>
      <c r="E472" s="14">
        <f t="shared" si="185"/>
        <v>28</v>
      </c>
      <c r="F472" s="14">
        <f t="shared" si="185"/>
        <v>1625</v>
      </c>
      <c r="G472" s="74">
        <f t="shared" si="168"/>
        <v>1990</v>
      </c>
      <c r="H472" s="14">
        <f t="shared" si="184"/>
        <v>27750</v>
      </c>
      <c r="I472" s="14">
        <v>1</v>
      </c>
      <c r="J472" s="14">
        <f t="shared" si="186"/>
        <v>55000</v>
      </c>
      <c r="K472" s="14">
        <f t="shared" si="186"/>
        <v>6</v>
      </c>
      <c r="L472" s="14">
        <v>1</v>
      </c>
      <c r="M472" s="14">
        <f t="shared" si="187"/>
        <v>570</v>
      </c>
      <c r="N472" s="14">
        <f t="shared" si="187"/>
        <v>285</v>
      </c>
      <c r="O472" s="14">
        <f t="shared" si="187"/>
        <v>135</v>
      </c>
      <c r="P472" s="14">
        <f t="shared" si="170"/>
        <v>500</v>
      </c>
      <c r="Q472" s="38">
        <f t="shared" si="167"/>
        <v>500</v>
      </c>
      <c r="R472" s="38">
        <f t="shared" si="171"/>
        <v>82750</v>
      </c>
      <c r="S472" s="38">
        <f t="shared" si="172"/>
        <v>570</v>
      </c>
      <c r="T472" s="38">
        <f t="shared" si="173"/>
        <v>285</v>
      </c>
      <c r="U472" s="38">
        <f t="shared" si="189"/>
        <v>163</v>
      </c>
      <c r="V472" s="38">
        <f t="shared" si="188"/>
        <v>6</v>
      </c>
      <c r="W472" s="38">
        <f t="shared" si="176"/>
        <v>26416</v>
      </c>
      <c r="X472" s="38">
        <f>SUM(Q$414:Q472)</f>
        <v>25750</v>
      </c>
      <c r="Y472" s="38">
        <f>SUM(R$414:R472)</f>
        <v>2340750</v>
      </c>
      <c r="Z472" s="38">
        <f t="shared" si="177"/>
        <v>570</v>
      </c>
      <c r="AA472" s="38">
        <f>SUM(T$414:T472)</f>
        <v>8346</v>
      </c>
      <c r="AB472" s="38">
        <f>SUM(U$414:U472)</f>
        <v>3868</v>
      </c>
      <c r="AC472" s="38">
        <f>SUM(V$414:V472)</f>
        <v>354</v>
      </c>
      <c r="AD472" s="38">
        <f t="shared" si="178"/>
        <v>712384</v>
      </c>
    </row>
    <row r="473" spans="1:30" x14ac:dyDescent="0.25">
      <c r="A473" s="86" t="s">
        <v>255</v>
      </c>
      <c r="B473" s="14">
        <v>60</v>
      </c>
      <c r="C473" s="14">
        <f t="shared" si="185"/>
        <v>115</v>
      </c>
      <c r="D473" s="14">
        <f t="shared" si="185"/>
        <v>58</v>
      </c>
      <c r="E473" s="14">
        <f t="shared" si="185"/>
        <v>28</v>
      </c>
      <c r="F473" s="14">
        <f t="shared" si="185"/>
        <v>1625</v>
      </c>
      <c r="G473" s="74">
        <f t="shared" si="168"/>
        <v>1990</v>
      </c>
      <c r="H473" s="14">
        <f t="shared" si="184"/>
        <v>28250</v>
      </c>
      <c r="I473" s="14">
        <v>1</v>
      </c>
      <c r="J473" s="14">
        <f t="shared" si="186"/>
        <v>56000</v>
      </c>
      <c r="K473" s="14">
        <f t="shared" si="186"/>
        <v>6</v>
      </c>
      <c r="L473" s="14">
        <v>1</v>
      </c>
      <c r="M473" s="14">
        <f t="shared" si="187"/>
        <v>580</v>
      </c>
      <c r="N473" s="14">
        <f t="shared" si="187"/>
        <v>290</v>
      </c>
      <c r="O473" s="14">
        <f t="shared" si="187"/>
        <v>138</v>
      </c>
      <c r="P473" s="14">
        <f t="shared" si="170"/>
        <v>500</v>
      </c>
      <c r="Q473" s="38">
        <f t="shared" si="167"/>
        <v>500</v>
      </c>
      <c r="R473" s="38">
        <f t="shared" si="171"/>
        <v>84250</v>
      </c>
      <c r="S473" s="38">
        <f t="shared" si="172"/>
        <v>580</v>
      </c>
      <c r="T473" s="38">
        <f t="shared" si="173"/>
        <v>290</v>
      </c>
      <c r="U473" s="38">
        <f t="shared" si="189"/>
        <v>166</v>
      </c>
      <c r="V473" s="38">
        <f t="shared" si="188"/>
        <v>6</v>
      </c>
      <c r="W473" s="38">
        <f t="shared" si="176"/>
        <v>26886</v>
      </c>
      <c r="X473" s="38">
        <f>SUM(Q$414:Q473)</f>
        <v>26250</v>
      </c>
      <c r="Y473" s="38">
        <f>SUM(R$414:R473)</f>
        <v>2425000</v>
      </c>
      <c r="Z473" s="38">
        <f t="shared" si="177"/>
        <v>580</v>
      </c>
      <c r="AA473" s="38">
        <f>SUM(T$414:T473)</f>
        <v>8636</v>
      </c>
      <c r="AB473" s="38">
        <f>SUM(U$414:U473)</f>
        <v>4034</v>
      </c>
      <c r="AC473" s="38">
        <f>SUM(V$414:V473)</f>
        <v>360</v>
      </c>
      <c r="AD473" s="38">
        <f t="shared" si="178"/>
        <v>738700</v>
      </c>
    </row>
    <row r="474" spans="1:30" x14ac:dyDescent="0.25">
      <c r="A474" s="86" t="s">
        <v>255</v>
      </c>
      <c r="B474" s="14">
        <v>61</v>
      </c>
      <c r="C474" s="14">
        <f t="shared" ref="C474:F493" si="190">MAX(1,ROUND(C68*INDEX($O$1:$U$4,MATCH($A474,$O$1:$O$4,0),MATCH(C$413,$O$1:$U$1,0)),0))</f>
        <v>118</v>
      </c>
      <c r="D474" s="14">
        <f t="shared" si="190"/>
        <v>58</v>
      </c>
      <c r="E474" s="14">
        <f t="shared" si="190"/>
        <v>28</v>
      </c>
      <c r="F474" s="14">
        <f t="shared" si="190"/>
        <v>1675</v>
      </c>
      <c r="G474" s="74">
        <f t="shared" si="168"/>
        <v>2003</v>
      </c>
      <c r="H474" s="14">
        <f t="shared" si="184"/>
        <v>28750</v>
      </c>
      <c r="I474" s="14">
        <v>1</v>
      </c>
      <c r="J474" s="14">
        <f t="shared" ref="J474:K493" si="191">MAX(1,ROUND(J68*INDEX($O$1:$U$4,MATCH($A474,$O$1:$O$4,0),MATCH(J$413,$O$1:$U$1,0)),0))</f>
        <v>57000</v>
      </c>
      <c r="K474" s="14">
        <f t="shared" si="191"/>
        <v>6</v>
      </c>
      <c r="L474" s="14">
        <v>1</v>
      </c>
      <c r="M474" s="14">
        <f t="shared" si="187"/>
        <v>590</v>
      </c>
      <c r="N474" s="14">
        <f t="shared" si="187"/>
        <v>295</v>
      </c>
      <c r="O474" s="14">
        <f t="shared" si="187"/>
        <v>140</v>
      </c>
      <c r="P474" s="14">
        <f t="shared" si="170"/>
        <v>500</v>
      </c>
      <c r="Q474" s="38">
        <f t="shared" si="167"/>
        <v>500</v>
      </c>
      <c r="R474" s="38">
        <f t="shared" si="171"/>
        <v>85750</v>
      </c>
      <c r="S474" s="38">
        <f t="shared" si="172"/>
        <v>590</v>
      </c>
      <c r="T474" s="38">
        <f t="shared" si="173"/>
        <v>295</v>
      </c>
      <c r="U474" s="38">
        <f t="shared" si="189"/>
        <v>168</v>
      </c>
      <c r="V474" s="38">
        <f t="shared" si="188"/>
        <v>6</v>
      </c>
      <c r="W474" s="38">
        <f t="shared" si="176"/>
        <v>27311</v>
      </c>
      <c r="X474" s="38">
        <f>SUM(Q$414:Q474)</f>
        <v>26750</v>
      </c>
      <c r="Y474" s="38">
        <f>SUM(R$414:R474)</f>
        <v>2510750</v>
      </c>
      <c r="Z474" s="38">
        <f t="shared" si="177"/>
        <v>590</v>
      </c>
      <c r="AA474" s="38">
        <f>SUM(T$414:T474)</f>
        <v>8931</v>
      </c>
      <c r="AB474" s="38">
        <f>SUM(U$414:U474)</f>
        <v>4202</v>
      </c>
      <c r="AC474" s="38">
        <f>SUM(V$414:V474)</f>
        <v>366</v>
      </c>
      <c r="AD474" s="38">
        <f t="shared" si="178"/>
        <v>765431</v>
      </c>
    </row>
    <row r="475" spans="1:30" x14ac:dyDescent="0.25">
      <c r="A475" s="86" t="s">
        <v>255</v>
      </c>
      <c r="B475" s="14">
        <v>62</v>
      </c>
      <c r="C475" s="14">
        <f t="shared" si="190"/>
        <v>120</v>
      </c>
      <c r="D475" s="14">
        <f t="shared" si="190"/>
        <v>60</v>
      </c>
      <c r="E475" s="14">
        <f t="shared" si="190"/>
        <v>28</v>
      </c>
      <c r="F475" s="14">
        <f t="shared" si="190"/>
        <v>1675</v>
      </c>
      <c r="G475" s="74">
        <f t="shared" si="168"/>
        <v>2015</v>
      </c>
      <c r="H475" s="14">
        <f t="shared" si="184"/>
        <v>29250</v>
      </c>
      <c r="I475" s="14">
        <v>1</v>
      </c>
      <c r="J475" s="14">
        <f t="shared" si="191"/>
        <v>58000</v>
      </c>
      <c r="K475" s="14">
        <f t="shared" si="191"/>
        <v>6</v>
      </c>
      <c r="L475" s="14">
        <v>1</v>
      </c>
      <c r="M475" s="14">
        <f t="shared" ref="M475:O494" si="192">MAX(1,ROUND(M69*INDEX($O$1:$U$4,MATCH($A475,$O$1:$O$4,0),MATCH(M$413,$O$1:$U$1,0)),0))</f>
        <v>600</v>
      </c>
      <c r="N475" s="14">
        <f t="shared" si="192"/>
        <v>300</v>
      </c>
      <c r="O475" s="14">
        <f t="shared" si="192"/>
        <v>143</v>
      </c>
      <c r="P475" s="14">
        <f t="shared" si="170"/>
        <v>500</v>
      </c>
      <c r="Q475" s="38">
        <f t="shared" si="167"/>
        <v>500</v>
      </c>
      <c r="R475" s="38">
        <f t="shared" si="171"/>
        <v>87250</v>
      </c>
      <c r="S475" s="38">
        <f t="shared" si="172"/>
        <v>600</v>
      </c>
      <c r="T475" s="38">
        <f t="shared" si="173"/>
        <v>300</v>
      </c>
      <c r="U475" s="38">
        <f t="shared" si="189"/>
        <v>171</v>
      </c>
      <c r="V475" s="38">
        <f t="shared" si="188"/>
        <v>6</v>
      </c>
      <c r="W475" s="38">
        <f t="shared" si="176"/>
        <v>27781</v>
      </c>
      <c r="X475" s="38">
        <f>SUM(Q$414:Q475)</f>
        <v>27250</v>
      </c>
      <c r="Y475" s="38">
        <f>SUM(R$414:R475)</f>
        <v>2598000</v>
      </c>
      <c r="Z475" s="38">
        <f t="shared" si="177"/>
        <v>600</v>
      </c>
      <c r="AA475" s="38">
        <f>SUM(T$414:T475)</f>
        <v>9231</v>
      </c>
      <c r="AB475" s="38">
        <f>SUM(U$414:U475)</f>
        <v>4373</v>
      </c>
      <c r="AC475" s="38">
        <f>SUM(V$414:V475)</f>
        <v>372</v>
      </c>
      <c r="AD475" s="38">
        <f t="shared" si="178"/>
        <v>792622</v>
      </c>
    </row>
    <row r="476" spans="1:30" x14ac:dyDescent="0.25">
      <c r="A476" s="86" t="s">
        <v>255</v>
      </c>
      <c r="B476" s="14">
        <v>63</v>
      </c>
      <c r="C476" s="14">
        <f t="shared" si="190"/>
        <v>123</v>
      </c>
      <c r="D476" s="14">
        <f t="shared" si="190"/>
        <v>60</v>
      </c>
      <c r="E476" s="14">
        <f t="shared" si="190"/>
        <v>30</v>
      </c>
      <c r="F476" s="14">
        <f t="shared" si="190"/>
        <v>1725</v>
      </c>
      <c r="G476" s="74">
        <f t="shared" si="168"/>
        <v>2118</v>
      </c>
      <c r="H476" s="14">
        <f t="shared" si="184"/>
        <v>29750</v>
      </c>
      <c r="I476" s="14">
        <v>1</v>
      </c>
      <c r="J476" s="14">
        <f t="shared" si="191"/>
        <v>59000</v>
      </c>
      <c r="K476" s="14">
        <f t="shared" si="191"/>
        <v>6</v>
      </c>
      <c r="L476" s="14">
        <v>1</v>
      </c>
      <c r="M476" s="14">
        <f t="shared" si="192"/>
        <v>610</v>
      </c>
      <c r="N476" s="14">
        <f t="shared" si="192"/>
        <v>305</v>
      </c>
      <c r="O476" s="14">
        <f t="shared" si="192"/>
        <v>145</v>
      </c>
      <c r="P476" s="14">
        <f t="shared" si="170"/>
        <v>500</v>
      </c>
      <c r="Q476" s="38">
        <f t="shared" si="167"/>
        <v>500</v>
      </c>
      <c r="R476" s="38">
        <f t="shared" si="171"/>
        <v>88750</v>
      </c>
      <c r="S476" s="38">
        <f t="shared" si="172"/>
        <v>610</v>
      </c>
      <c r="T476" s="38">
        <f t="shared" si="173"/>
        <v>305</v>
      </c>
      <c r="U476" s="38">
        <f t="shared" si="189"/>
        <v>175</v>
      </c>
      <c r="V476" s="38">
        <f t="shared" si="188"/>
        <v>6</v>
      </c>
      <c r="W476" s="38">
        <f t="shared" si="176"/>
        <v>28296</v>
      </c>
      <c r="X476" s="38">
        <f>SUM(Q$414:Q476)</f>
        <v>27750</v>
      </c>
      <c r="Y476" s="38">
        <f>SUM(R$414:R476)</f>
        <v>2686750</v>
      </c>
      <c r="Z476" s="38">
        <f t="shared" si="177"/>
        <v>610</v>
      </c>
      <c r="AA476" s="38">
        <f>SUM(T$414:T476)</f>
        <v>9536</v>
      </c>
      <c r="AB476" s="38">
        <f>SUM(U$414:U476)</f>
        <v>4548</v>
      </c>
      <c r="AC476" s="38">
        <f>SUM(V$414:V476)</f>
        <v>378</v>
      </c>
      <c r="AD476" s="38">
        <f t="shared" si="178"/>
        <v>820318</v>
      </c>
    </row>
    <row r="477" spans="1:30" x14ac:dyDescent="0.25">
      <c r="A477" s="86" t="s">
        <v>255</v>
      </c>
      <c r="B477" s="14">
        <v>64</v>
      </c>
      <c r="C477" s="14">
        <f t="shared" si="190"/>
        <v>125</v>
      </c>
      <c r="D477" s="14">
        <f t="shared" si="190"/>
        <v>63</v>
      </c>
      <c r="E477" s="14">
        <f t="shared" si="190"/>
        <v>30</v>
      </c>
      <c r="F477" s="14">
        <f t="shared" si="190"/>
        <v>1725</v>
      </c>
      <c r="G477" s="74">
        <f t="shared" si="168"/>
        <v>2135</v>
      </c>
      <c r="H477" s="14">
        <f t="shared" si="184"/>
        <v>30250</v>
      </c>
      <c r="I477" s="14">
        <v>1</v>
      </c>
      <c r="J477" s="14">
        <f t="shared" si="191"/>
        <v>60000</v>
      </c>
      <c r="K477" s="14">
        <f t="shared" si="191"/>
        <v>6</v>
      </c>
      <c r="L477" s="14">
        <v>1</v>
      </c>
      <c r="M477" s="14">
        <f t="shared" si="192"/>
        <v>620</v>
      </c>
      <c r="N477" s="14">
        <f t="shared" si="192"/>
        <v>310</v>
      </c>
      <c r="O477" s="14">
        <f t="shared" si="192"/>
        <v>148</v>
      </c>
      <c r="P477" s="14">
        <f t="shared" si="170"/>
        <v>500</v>
      </c>
      <c r="Q477" s="38">
        <f t="shared" si="167"/>
        <v>500</v>
      </c>
      <c r="R477" s="38">
        <f t="shared" si="171"/>
        <v>90250</v>
      </c>
      <c r="S477" s="38">
        <f t="shared" si="172"/>
        <v>620</v>
      </c>
      <c r="T477" s="38">
        <f t="shared" si="173"/>
        <v>310</v>
      </c>
      <c r="U477" s="38">
        <f t="shared" si="189"/>
        <v>178</v>
      </c>
      <c r="V477" s="38">
        <f t="shared" si="188"/>
        <v>6</v>
      </c>
      <c r="W477" s="38">
        <f t="shared" si="176"/>
        <v>28766</v>
      </c>
      <c r="X477" s="38">
        <f>SUM(Q$414:Q477)</f>
        <v>28250</v>
      </c>
      <c r="Y477" s="38">
        <f>SUM(R$414:R477)</f>
        <v>2777000</v>
      </c>
      <c r="Z477" s="38">
        <f t="shared" si="177"/>
        <v>620</v>
      </c>
      <c r="AA477" s="38">
        <f>SUM(T$414:T477)</f>
        <v>9846</v>
      </c>
      <c r="AB477" s="38">
        <f>SUM(U$414:U477)</f>
        <v>4726</v>
      </c>
      <c r="AC477" s="38">
        <f>SUM(V$414:V477)</f>
        <v>384</v>
      </c>
      <c r="AD477" s="38">
        <f t="shared" si="178"/>
        <v>848474</v>
      </c>
    </row>
    <row r="478" spans="1:30" x14ac:dyDescent="0.25">
      <c r="A478" s="86" t="s">
        <v>255</v>
      </c>
      <c r="B478" s="14">
        <v>65</v>
      </c>
      <c r="C478" s="14">
        <f t="shared" si="190"/>
        <v>125</v>
      </c>
      <c r="D478" s="14">
        <f t="shared" si="190"/>
        <v>63</v>
      </c>
      <c r="E478" s="14">
        <f t="shared" si="190"/>
        <v>30</v>
      </c>
      <c r="F478" s="14">
        <f t="shared" si="190"/>
        <v>1775</v>
      </c>
      <c r="G478" s="74">
        <f t="shared" si="168"/>
        <v>2145</v>
      </c>
      <c r="H478" s="14">
        <f t="shared" ref="H478:H509" si="193">MAX(1,ROUND(H72*INDEX($O$1:$U$4,MATCH($A478,$O$1:$O$4,0),MATCH(H$413,$O$1:$U$1,0)),0))</f>
        <v>30750</v>
      </c>
      <c r="I478" s="14">
        <v>1</v>
      </c>
      <c r="J478" s="14">
        <f t="shared" si="191"/>
        <v>61000</v>
      </c>
      <c r="K478" s="14">
        <f t="shared" si="191"/>
        <v>6</v>
      </c>
      <c r="L478" s="14">
        <v>1</v>
      </c>
      <c r="M478" s="14">
        <f t="shared" si="192"/>
        <v>630</v>
      </c>
      <c r="N478" s="14">
        <f t="shared" si="192"/>
        <v>315</v>
      </c>
      <c r="O478" s="14">
        <f t="shared" si="192"/>
        <v>150</v>
      </c>
      <c r="P478" s="14">
        <f t="shared" si="170"/>
        <v>500</v>
      </c>
      <c r="Q478" s="38">
        <f t="shared" ref="Q478:Q541" si="194">P478</f>
        <v>500</v>
      </c>
      <c r="R478" s="38">
        <f t="shared" si="171"/>
        <v>91750</v>
      </c>
      <c r="S478" s="38">
        <f t="shared" si="172"/>
        <v>630</v>
      </c>
      <c r="T478" s="38">
        <f t="shared" si="173"/>
        <v>315</v>
      </c>
      <c r="U478" s="38">
        <f t="shared" si="189"/>
        <v>180</v>
      </c>
      <c r="V478" s="38">
        <f t="shared" si="188"/>
        <v>6</v>
      </c>
      <c r="W478" s="38">
        <f t="shared" si="176"/>
        <v>29191</v>
      </c>
      <c r="X478" s="38">
        <f>SUM(Q$414:Q478)</f>
        <v>28750</v>
      </c>
      <c r="Y478" s="38">
        <f>SUM(R$414:R478)</f>
        <v>2868750</v>
      </c>
      <c r="Z478" s="38">
        <f t="shared" si="177"/>
        <v>630</v>
      </c>
      <c r="AA478" s="38">
        <f>SUM(T$414:T478)</f>
        <v>10161</v>
      </c>
      <c r="AB478" s="38">
        <f>SUM(U$414:U478)</f>
        <v>4906</v>
      </c>
      <c r="AC478" s="38">
        <f>SUM(V$414:V478)</f>
        <v>390</v>
      </c>
      <c r="AD478" s="38">
        <f t="shared" si="178"/>
        <v>877045</v>
      </c>
    </row>
    <row r="479" spans="1:30" x14ac:dyDescent="0.25">
      <c r="A479" s="86" t="s">
        <v>255</v>
      </c>
      <c r="B479" s="14">
        <v>66</v>
      </c>
      <c r="C479" s="14">
        <f t="shared" si="190"/>
        <v>128</v>
      </c>
      <c r="D479" s="14">
        <f t="shared" si="190"/>
        <v>63</v>
      </c>
      <c r="E479" s="14">
        <f t="shared" si="190"/>
        <v>30</v>
      </c>
      <c r="F479" s="14">
        <f t="shared" si="190"/>
        <v>1775</v>
      </c>
      <c r="G479" s="74">
        <f t="shared" ref="G479:G513" si="195">SUMPRODUCT($C$6:$F$6,C479:F479)</f>
        <v>2148</v>
      </c>
      <c r="H479" s="14">
        <f t="shared" si="193"/>
        <v>31250</v>
      </c>
      <c r="I479" s="14">
        <v>1</v>
      </c>
      <c r="J479" s="14">
        <f t="shared" si="191"/>
        <v>62000</v>
      </c>
      <c r="K479" s="14">
        <f t="shared" si="191"/>
        <v>6</v>
      </c>
      <c r="L479" s="14">
        <v>1</v>
      </c>
      <c r="M479" s="14">
        <f t="shared" si="192"/>
        <v>640</v>
      </c>
      <c r="N479" s="14">
        <f t="shared" si="192"/>
        <v>320</v>
      </c>
      <c r="O479" s="14">
        <f t="shared" si="192"/>
        <v>153</v>
      </c>
      <c r="P479" s="14">
        <f t="shared" ref="P479:P542" si="196">MAX(1,ROUND(P73*INDEX($O$1:$U$4,MATCH($A479,$O$1:$O$4,0),MATCH(P$413,$O$1:$U$1,0)),0))</f>
        <v>500</v>
      </c>
      <c r="Q479" s="38">
        <f t="shared" si="194"/>
        <v>500</v>
      </c>
      <c r="R479" s="38">
        <f t="shared" ref="R479:R542" si="197">H479+J479</f>
        <v>93250</v>
      </c>
      <c r="S479" s="38">
        <f t="shared" ref="S479:S542" si="198">M479</f>
        <v>640</v>
      </c>
      <c r="T479" s="38">
        <f t="shared" ref="T479:T542" si="199">N479</f>
        <v>320</v>
      </c>
      <c r="U479" s="38">
        <f t="shared" si="189"/>
        <v>183</v>
      </c>
      <c r="V479" s="38">
        <f t="shared" si="188"/>
        <v>6</v>
      </c>
      <c r="W479" s="38">
        <f t="shared" ref="W479:W513" si="200">SUMPRODUCT($Q$6:$V$6,Q479:V479)</f>
        <v>29661</v>
      </c>
      <c r="X479" s="38">
        <f>SUM(Q$414:Q479)</f>
        <v>29250</v>
      </c>
      <c r="Y479" s="38">
        <f>SUM(R$414:R479)</f>
        <v>2962000</v>
      </c>
      <c r="Z479" s="38">
        <f t="shared" ref="Z479:Z513" si="201">SUM(S479:S479)</f>
        <v>640</v>
      </c>
      <c r="AA479" s="38">
        <f>SUM(T$414:T479)</f>
        <v>10481</v>
      </c>
      <c r="AB479" s="38">
        <f>SUM(U$414:U479)</f>
        <v>5089</v>
      </c>
      <c r="AC479" s="38">
        <f>SUM(V$414:V479)</f>
        <v>396</v>
      </c>
      <c r="AD479" s="38">
        <f t="shared" ref="AD479:AD513" si="202">SUMPRODUCT($X$6:$AC$6,X479:AC479)</f>
        <v>906076</v>
      </c>
    </row>
    <row r="480" spans="1:30" x14ac:dyDescent="0.25">
      <c r="A480" s="86" t="s">
        <v>255</v>
      </c>
      <c r="B480" s="14">
        <v>67</v>
      </c>
      <c r="C480" s="14">
        <f t="shared" si="190"/>
        <v>130</v>
      </c>
      <c r="D480" s="14">
        <f t="shared" si="190"/>
        <v>65</v>
      </c>
      <c r="E480" s="14">
        <f t="shared" si="190"/>
        <v>30</v>
      </c>
      <c r="F480" s="14">
        <f t="shared" si="190"/>
        <v>1825</v>
      </c>
      <c r="G480" s="74">
        <f t="shared" si="195"/>
        <v>2170</v>
      </c>
      <c r="H480" s="14">
        <f t="shared" si="193"/>
        <v>31750</v>
      </c>
      <c r="I480" s="14">
        <v>1</v>
      </c>
      <c r="J480" s="14">
        <f t="shared" si="191"/>
        <v>63000</v>
      </c>
      <c r="K480" s="14">
        <f t="shared" si="191"/>
        <v>6</v>
      </c>
      <c r="L480" s="14">
        <v>1</v>
      </c>
      <c r="M480" s="14">
        <f t="shared" si="192"/>
        <v>650</v>
      </c>
      <c r="N480" s="14">
        <f t="shared" si="192"/>
        <v>325</v>
      </c>
      <c r="O480" s="14">
        <f t="shared" si="192"/>
        <v>155</v>
      </c>
      <c r="P480" s="14">
        <f t="shared" si="196"/>
        <v>500</v>
      </c>
      <c r="Q480" s="38">
        <f t="shared" si="194"/>
        <v>500</v>
      </c>
      <c r="R480" s="38">
        <f t="shared" si="197"/>
        <v>94750</v>
      </c>
      <c r="S480" s="38">
        <f t="shared" si="198"/>
        <v>650</v>
      </c>
      <c r="T480" s="38">
        <f t="shared" si="199"/>
        <v>325</v>
      </c>
      <c r="U480" s="38">
        <f t="shared" si="189"/>
        <v>185</v>
      </c>
      <c r="V480" s="38">
        <f t="shared" si="188"/>
        <v>6</v>
      </c>
      <c r="W480" s="38">
        <f t="shared" si="200"/>
        <v>30086</v>
      </c>
      <c r="X480" s="38">
        <f>SUM(Q$414:Q480)</f>
        <v>29750</v>
      </c>
      <c r="Y480" s="38">
        <f>SUM(R$414:R480)</f>
        <v>3056750</v>
      </c>
      <c r="Z480" s="38">
        <f t="shared" si="201"/>
        <v>650</v>
      </c>
      <c r="AA480" s="38">
        <f>SUM(T$414:T480)</f>
        <v>10806</v>
      </c>
      <c r="AB480" s="38">
        <f>SUM(U$414:U480)</f>
        <v>5274</v>
      </c>
      <c r="AC480" s="38">
        <f>SUM(V$414:V480)</f>
        <v>402</v>
      </c>
      <c r="AD480" s="38">
        <f t="shared" si="202"/>
        <v>935522</v>
      </c>
    </row>
    <row r="481" spans="1:30" x14ac:dyDescent="0.25">
      <c r="A481" s="86" t="s">
        <v>255</v>
      </c>
      <c r="B481" s="14">
        <v>68</v>
      </c>
      <c r="C481" s="14">
        <f t="shared" si="190"/>
        <v>133</v>
      </c>
      <c r="D481" s="14">
        <f t="shared" si="190"/>
        <v>65</v>
      </c>
      <c r="E481" s="14">
        <f t="shared" si="190"/>
        <v>33</v>
      </c>
      <c r="F481" s="14">
        <f t="shared" si="190"/>
        <v>1825</v>
      </c>
      <c r="G481" s="74">
        <f t="shared" si="195"/>
        <v>2308</v>
      </c>
      <c r="H481" s="14">
        <f t="shared" si="193"/>
        <v>32250</v>
      </c>
      <c r="I481" s="14">
        <v>1</v>
      </c>
      <c r="J481" s="14">
        <f t="shared" si="191"/>
        <v>64000</v>
      </c>
      <c r="K481" s="14">
        <f t="shared" si="191"/>
        <v>6</v>
      </c>
      <c r="L481" s="14">
        <v>1</v>
      </c>
      <c r="M481" s="14">
        <f t="shared" si="192"/>
        <v>660</v>
      </c>
      <c r="N481" s="14">
        <f t="shared" si="192"/>
        <v>330</v>
      </c>
      <c r="O481" s="14">
        <f t="shared" si="192"/>
        <v>158</v>
      </c>
      <c r="P481" s="14">
        <f t="shared" si="196"/>
        <v>500</v>
      </c>
      <c r="Q481" s="38">
        <f t="shared" si="194"/>
        <v>500</v>
      </c>
      <c r="R481" s="38">
        <f t="shared" si="197"/>
        <v>96250</v>
      </c>
      <c r="S481" s="38">
        <f t="shared" si="198"/>
        <v>660</v>
      </c>
      <c r="T481" s="38">
        <f t="shared" si="199"/>
        <v>330</v>
      </c>
      <c r="U481" s="38">
        <f t="shared" si="189"/>
        <v>191</v>
      </c>
      <c r="V481" s="38">
        <f t="shared" si="188"/>
        <v>6</v>
      </c>
      <c r="W481" s="38">
        <f t="shared" si="200"/>
        <v>30691</v>
      </c>
      <c r="X481" s="38">
        <f>SUM(Q$414:Q481)</f>
        <v>30250</v>
      </c>
      <c r="Y481" s="38">
        <f>SUM(R$414:R481)</f>
        <v>3153000</v>
      </c>
      <c r="Z481" s="38">
        <f t="shared" si="201"/>
        <v>660</v>
      </c>
      <c r="AA481" s="38">
        <f>SUM(T$414:T481)</f>
        <v>11136</v>
      </c>
      <c r="AB481" s="38">
        <f>SUM(U$414:U481)</f>
        <v>5465</v>
      </c>
      <c r="AC481" s="38">
        <f>SUM(V$414:V481)</f>
        <v>408</v>
      </c>
      <c r="AD481" s="38">
        <f t="shared" si="202"/>
        <v>965563</v>
      </c>
    </row>
    <row r="482" spans="1:30" x14ac:dyDescent="0.25">
      <c r="A482" s="86" t="s">
        <v>255</v>
      </c>
      <c r="B482" s="14">
        <v>69</v>
      </c>
      <c r="C482" s="14">
        <f t="shared" si="190"/>
        <v>135</v>
      </c>
      <c r="D482" s="14">
        <f t="shared" si="190"/>
        <v>68</v>
      </c>
      <c r="E482" s="14">
        <f t="shared" si="190"/>
        <v>33</v>
      </c>
      <c r="F482" s="14">
        <f t="shared" si="190"/>
        <v>1875</v>
      </c>
      <c r="G482" s="74">
        <f t="shared" si="195"/>
        <v>2335</v>
      </c>
      <c r="H482" s="14">
        <f t="shared" si="193"/>
        <v>32750</v>
      </c>
      <c r="I482" s="14">
        <v>1</v>
      </c>
      <c r="J482" s="14">
        <f t="shared" si="191"/>
        <v>65000</v>
      </c>
      <c r="K482" s="14">
        <f t="shared" si="191"/>
        <v>6</v>
      </c>
      <c r="L482" s="14">
        <v>1</v>
      </c>
      <c r="M482" s="14">
        <f t="shared" si="192"/>
        <v>670</v>
      </c>
      <c r="N482" s="14">
        <f t="shared" si="192"/>
        <v>335</v>
      </c>
      <c r="O482" s="14">
        <f t="shared" si="192"/>
        <v>160</v>
      </c>
      <c r="P482" s="14">
        <f t="shared" si="196"/>
        <v>500</v>
      </c>
      <c r="Q482" s="38">
        <f t="shared" si="194"/>
        <v>500</v>
      </c>
      <c r="R482" s="38">
        <f t="shared" si="197"/>
        <v>97750</v>
      </c>
      <c r="S482" s="38">
        <f t="shared" si="198"/>
        <v>670</v>
      </c>
      <c r="T482" s="38">
        <f t="shared" si="199"/>
        <v>335</v>
      </c>
      <c r="U482" s="38">
        <f t="shared" si="189"/>
        <v>193</v>
      </c>
      <c r="V482" s="38">
        <f t="shared" si="188"/>
        <v>6</v>
      </c>
      <c r="W482" s="38">
        <f t="shared" si="200"/>
        <v>31116</v>
      </c>
      <c r="X482" s="38">
        <f>SUM(Q$414:Q482)</f>
        <v>30750</v>
      </c>
      <c r="Y482" s="38">
        <f>SUM(R$414:R482)</f>
        <v>3250750</v>
      </c>
      <c r="Z482" s="38">
        <f t="shared" si="201"/>
        <v>670</v>
      </c>
      <c r="AA482" s="38">
        <f>SUM(T$414:T482)</f>
        <v>11471</v>
      </c>
      <c r="AB482" s="38">
        <f>SUM(U$414:U482)</f>
        <v>5658</v>
      </c>
      <c r="AC482" s="38">
        <f>SUM(V$414:V482)</f>
        <v>414</v>
      </c>
      <c r="AD482" s="38">
        <f t="shared" si="202"/>
        <v>996019</v>
      </c>
    </row>
    <row r="483" spans="1:30" x14ac:dyDescent="0.25">
      <c r="A483" s="86" t="s">
        <v>255</v>
      </c>
      <c r="B483" s="14">
        <v>70</v>
      </c>
      <c r="C483" s="14">
        <f t="shared" si="190"/>
        <v>135</v>
      </c>
      <c r="D483" s="14">
        <f t="shared" si="190"/>
        <v>68</v>
      </c>
      <c r="E483" s="14">
        <f t="shared" si="190"/>
        <v>33</v>
      </c>
      <c r="F483" s="14">
        <f t="shared" si="190"/>
        <v>1875</v>
      </c>
      <c r="G483" s="74">
        <f t="shared" si="195"/>
        <v>2335</v>
      </c>
      <c r="H483" s="14">
        <f t="shared" si="193"/>
        <v>33250</v>
      </c>
      <c r="I483" s="14">
        <v>1</v>
      </c>
      <c r="J483" s="14">
        <f t="shared" si="191"/>
        <v>66000</v>
      </c>
      <c r="K483" s="14">
        <f t="shared" si="191"/>
        <v>6</v>
      </c>
      <c r="L483" s="14">
        <v>1</v>
      </c>
      <c r="M483" s="14">
        <f t="shared" si="192"/>
        <v>680</v>
      </c>
      <c r="N483" s="14">
        <f t="shared" si="192"/>
        <v>340</v>
      </c>
      <c r="O483" s="14">
        <f t="shared" si="192"/>
        <v>163</v>
      </c>
      <c r="P483" s="14">
        <f t="shared" si="196"/>
        <v>500</v>
      </c>
      <c r="Q483" s="38">
        <f t="shared" si="194"/>
        <v>500</v>
      </c>
      <c r="R483" s="38">
        <f t="shared" si="197"/>
        <v>99250</v>
      </c>
      <c r="S483" s="38">
        <f t="shared" si="198"/>
        <v>680</v>
      </c>
      <c r="T483" s="38">
        <f t="shared" si="199"/>
        <v>340</v>
      </c>
      <c r="U483" s="38"/>
      <c r="V483" s="38">
        <f t="shared" si="188"/>
        <v>6</v>
      </c>
      <c r="W483" s="38">
        <f t="shared" si="200"/>
        <v>22766</v>
      </c>
      <c r="X483" s="38">
        <f>SUM(Q$414:Q483)</f>
        <v>31250</v>
      </c>
      <c r="Y483" s="38">
        <f>SUM(R$414:R483)</f>
        <v>3350000</v>
      </c>
      <c r="Z483" s="38">
        <f t="shared" si="201"/>
        <v>680</v>
      </c>
      <c r="AA483" s="38">
        <f>SUM(T$414:T483)</f>
        <v>11811</v>
      </c>
      <c r="AB483" s="38">
        <f>SUM(U$414:U483)</f>
        <v>5658</v>
      </c>
      <c r="AC483" s="38">
        <f>SUM(V$414:V483)</f>
        <v>420</v>
      </c>
      <c r="AD483" s="38">
        <f t="shared" si="202"/>
        <v>1018115</v>
      </c>
    </row>
    <row r="484" spans="1:30" x14ac:dyDescent="0.25">
      <c r="A484" s="86" t="s">
        <v>255</v>
      </c>
      <c r="B484" s="14">
        <v>71</v>
      </c>
      <c r="C484" s="14">
        <f t="shared" si="190"/>
        <v>138</v>
      </c>
      <c r="D484" s="14">
        <f t="shared" si="190"/>
        <v>68</v>
      </c>
      <c r="E484" s="14">
        <f t="shared" si="190"/>
        <v>33</v>
      </c>
      <c r="F484" s="14">
        <f t="shared" si="190"/>
        <v>1925</v>
      </c>
      <c r="G484" s="74">
        <f t="shared" si="195"/>
        <v>2348</v>
      </c>
      <c r="H484" s="14">
        <f t="shared" si="193"/>
        <v>33750</v>
      </c>
      <c r="I484" s="14">
        <v>1</v>
      </c>
      <c r="J484" s="14">
        <f t="shared" si="191"/>
        <v>67000</v>
      </c>
      <c r="K484" s="14">
        <f t="shared" si="191"/>
        <v>6</v>
      </c>
      <c r="L484" s="14">
        <v>1</v>
      </c>
      <c r="M484" s="14">
        <f t="shared" si="192"/>
        <v>690</v>
      </c>
      <c r="N484" s="14">
        <f t="shared" si="192"/>
        <v>345</v>
      </c>
      <c r="O484" s="14">
        <f t="shared" si="192"/>
        <v>165</v>
      </c>
      <c r="P484" s="14">
        <f t="shared" si="196"/>
        <v>500</v>
      </c>
      <c r="Q484" s="38">
        <f t="shared" si="194"/>
        <v>500</v>
      </c>
      <c r="R484" s="38">
        <f t="shared" si="197"/>
        <v>100750</v>
      </c>
      <c r="S484" s="38">
        <f t="shared" si="198"/>
        <v>690</v>
      </c>
      <c r="T484" s="38">
        <f t="shared" si="199"/>
        <v>345</v>
      </c>
      <c r="U484" s="38"/>
      <c r="V484" s="38">
        <f t="shared" si="188"/>
        <v>6</v>
      </c>
      <c r="W484" s="38">
        <f t="shared" si="200"/>
        <v>23101</v>
      </c>
      <c r="X484" s="38">
        <f>SUM(Q$414:Q484)</f>
        <v>31750</v>
      </c>
      <c r="Y484" s="38">
        <f>SUM(R$414:R484)</f>
        <v>3450750</v>
      </c>
      <c r="Z484" s="38">
        <f t="shared" si="201"/>
        <v>690</v>
      </c>
      <c r="AA484" s="38">
        <f>SUM(T$414:T484)</f>
        <v>12156</v>
      </c>
      <c r="AB484" s="38">
        <f>SUM(U$414:U484)</f>
        <v>5658</v>
      </c>
      <c r="AC484" s="38">
        <f>SUM(V$414:V484)</f>
        <v>426</v>
      </c>
      <c r="AD484" s="38">
        <f t="shared" si="202"/>
        <v>1040536</v>
      </c>
    </row>
    <row r="485" spans="1:30" x14ac:dyDescent="0.25">
      <c r="A485" s="86" t="s">
        <v>255</v>
      </c>
      <c r="B485" s="14">
        <v>72</v>
      </c>
      <c r="C485" s="14">
        <f t="shared" si="190"/>
        <v>140</v>
      </c>
      <c r="D485" s="14">
        <f t="shared" si="190"/>
        <v>70</v>
      </c>
      <c r="E485" s="14">
        <f t="shared" si="190"/>
        <v>33</v>
      </c>
      <c r="F485" s="14">
        <f t="shared" si="190"/>
        <v>1925</v>
      </c>
      <c r="G485" s="74">
        <f t="shared" si="195"/>
        <v>2360</v>
      </c>
      <c r="H485" s="14">
        <f t="shared" si="193"/>
        <v>34250</v>
      </c>
      <c r="I485" s="14">
        <v>1</v>
      </c>
      <c r="J485" s="14">
        <f t="shared" si="191"/>
        <v>68000</v>
      </c>
      <c r="K485" s="14">
        <f t="shared" si="191"/>
        <v>6</v>
      </c>
      <c r="L485" s="14">
        <v>1</v>
      </c>
      <c r="M485" s="14">
        <f t="shared" si="192"/>
        <v>700</v>
      </c>
      <c r="N485" s="14">
        <f t="shared" si="192"/>
        <v>350</v>
      </c>
      <c r="O485" s="14">
        <f t="shared" si="192"/>
        <v>168</v>
      </c>
      <c r="P485" s="14">
        <f t="shared" si="196"/>
        <v>500</v>
      </c>
      <c r="Q485" s="38">
        <f t="shared" si="194"/>
        <v>500</v>
      </c>
      <c r="R485" s="38">
        <f t="shared" si="197"/>
        <v>102250</v>
      </c>
      <c r="S485" s="38">
        <f t="shared" si="198"/>
        <v>700</v>
      </c>
      <c r="T485" s="38">
        <f t="shared" si="199"/>
        <v>350</v>
      </c>
      <c r="U485" s="38"/>
      <c r="V485" s="38">
        <f t="shared" si="188"/>
        <v>6</v>
      </c>
      <c r="W485" s="38">
        <f t="shared" si="200"/>
        <v>23436</v>
      </c>
      <c r="X485" s="38">
        <f>SUM(Q$414:Q485)</f>
        <v>32250</v>
      </c>
      <c r="Y485" s="38">
        <f>SUM(R$414:R485)</f>
        <v>3553000</v>
      </c>
      <c r="Z485" s="38">
        <f t="shared" si="201"/>
        <v>700</v>
      </c>
      <c r="AA485" s="38">
        <f>SUM(T$414:T485)</f>
        <v>12506</v>
      </c>
      <c r="AB485" s="38">
        <f>SUM(U$414:U485)</f>
        <v>5658</v>
      </c>
      <c r="AC485" s="38">
        <f>SUM(V$414:V485)</f>
        <v>432</v>
      </c>
      <c r="AD485" s="38">
        <f t="shared" si="202"/>
        <v>1063282</v>
      </c>
    </row>
    <row r="486" spans="1:30" x14ac:dyDescent="0.25">
      <c r="A486" s="86" t="s">
        <v>255</v>
      </c>
      <c r="B486" s="14">
        <v>73</v>
      </c>
      <c r="C486" s="14">
        <f t="shared" si="190"/>
        <v>143</v>
      </c>
      <c r="D486" s="14">
        <f t="shared" si="190"/>
        <v>70</v>
      </c>
      <c r="E486" s="14">
        <f t="shared" si="190"/>
        <v>35</v>
      </c>
      <c r="F486" s="14">
        <f t="shared" si="190"/>
        <v>1975</v>
      </c>
      <c r="G486" s="74">
        <f t="shared" si="195"/>
        <v>2463</v>
      </c>
      <c r="H486" s="14">
        <f t="shared" si="193"/>
        <v>34750</v>
      </c>
      <c r="I486" s="14">
        <v>1</v>
      </c>
      <c r="J486" s="14">
        <f t="shared" si="191"/>
        <v>69000</v>
      </c>
      <c r="K486" s="14">
        <f t="shared" si="191"/>
        <v>6</v>
      </c>
      <c r="L486" s="14">
        <v>1</v>
      </c>
      <c r="M486" s="14">
        <f t="shared" si="192"/>
        <v>710</v>
      </c>
      <c r="N486" s="14">
        <f t="shared" si="192"/>
        <v>355</v>
      </c>
      <c r="O486" s="14">
        <f t="shared" si="192"/>
        <v>170</v>
      </c>
      <c r="P486" s="14">
        <f t="shared" si="196"/>
        <v>500</v>
      </c>
      <c r="Q486" s="38">
        <f t="shared" si="194"/>
        <v>500</v>
      </c>
      <c r="R486" s="38">
        <f t="shared" si="197"/>
        <v>103750</v>
      </c>
      <c r="S486" s="38">
        <f t="shared" si="198"/>
        <v>710</v>
      </c>
      <c r="T486" s="38">
        <f t="shared" si="199"/>
        <v>355</v>
      </c>
      <c r="U486" s="38">
        <f t="shared" ref="U486:U514" si="203">E486+O486</f>
        <v>205</v>
      </c>
      <c r="V486" s="38">
        <f t="shared" si="188"/>
        <v>6</v>
      </c>
      <c r="W486" s="38">
        <f t="shared" si="200"/>
        <v>32996</v>
      </c>
      <c r="X486" s="38">
        <f>SUM(Q$414:Q486)</f>
        <v>32750</v>
      </c>
      <c r="Y486" s="38">
        <f>SUM(R$414:R486)</f>
        <v>3656750</v>
      </c>
      <c r="Z486" s="38">
        <f t="shared" si="201"/>
        <v>710</v>
      </c>
      <c r="AA486" s="38">
        <f>SUM(T$414:T486)</f>
        <v>12861</v>
      </c>
      <c r="AB486" s="38">
        <f>SUM(U$414:U486)</f>
        <v>5863</v>
      </c>
      <c r="AC486" s="38">
        <f>SUM(V$414:V486)</f>
        <v>438</v>
      </c>
      <c r="AD486" s="38">
        <f t="shared" si="202"/>
        <v>1095578</v>
      </c>
    </row>
    <row r="487" spans="1:30" x14ac:dyDescent="0.25">
      <c r="A487" s="86" t="s">
        <v>255</v>
      </c>
      <c r="B487" s="14">
        <v>74</v>
      </c>
      <c r="C487" s="14">
        <f t="shared" si="190"/>
        <v>145</v>
      </c>
      <c r="D487" s="14">
        <f t="shared" si="190"/>
        <v>73</v>
      </c>
      <c r="E487" s="14">
        <f t="shared" si="190"/>
        <v>35</v>
      </c>
      <c r="F487" s="14">
        <f t="shared" si="190"/>
        <v>1975</v>
      </c>
      <c r="G487" s="74">
        <f t="shared" si="195"/>
        <v>2480</v>
      </c>
      <c r="H487" s="14">
        <f t="shared" si="193"/>
        <v>35250</v>
      </c>
      <c r="I487" s="14">
        <v>1</v>
      </c>
      <c r="J487" s="14">
        <f t="shared" si="191"/>
        <v>70000</v>
      </c>
      <c r="K487" s="14">
        <f t="shared" si="191"/>
        <v>6</v>
      </c>
      <c r="L487" s="14">
        <v>1</v>
      </c>
      <c r="M487" s="14">
        <f t="shared" si="192"/>
        <v>720</v>
      </c>
      <c r="N487" s="14">
        <f t="shared" si="192"/>
        <v>360</v>
      </c>
      <c r="O487" s="14">
        <f t="shared" si="192"/>
        <v>173</v>
      </c>
      <c r="P487" s="14">
        <f t="shared" si="196"/>
        <v>500</v>
      </c>
      <c r="Q487" s="38">
        <f t="shared" si="194"/>
        <v>500</v>
      </c>
      <c r="R487" s="38">
        <f t="shared" si="197"/>
        <v>105250</v>
      </c>
      <c r="S487" s="38">
        <f t="shared" si="198"/>
        <v>720</v>
      </c>
      <c r="T487" s="38">
        <f t="shared" si="199"/>
        <v>360</v>
      </c>
      <c r="U487" s="42">
        <f t="shared" si="203"/>
        <v>208</v>
      </c>
      <c r="V487" s="42">
        <f t="shared" si="188"/>
        <v>6</v>
      </c>
      <c r="W487" s="38">
        <f t="shared" si="200"/>
        <v>33466</v>
      </c>
      <c r="X487" s="38">
        <f>SUM(Q$414:Q487)</f>
        <v>33250</v>
      </c>
      <c r="Y487" s="38">
        <f>SUM(R$414:R487)</f>
        <v>3762000</v>
      </c>
      <c r="Z487" s="38">
        <f t="shared" si="201"/>
        <v>720</v>
      </c>
      <c r="AA487" s="38">
        <f>SUM(T$414:T487)</f>
        <v>13221</v>
      </c>
      <c r="AB487" s="38">
        <f>SUM(U$414:U487)</f>
        <v>6071</v>
      </c>
      <c r="AC487" s="38">
        <f>SUM(V$414:V487)</f>
        <v>444</v>
      </c>
      <c r="AD487" s="38">
        <f t="shared" si="202"/>
        <v>1128334</v>
      </c>
    </row>
    <row r="488" spans="1:30" x14ac:dyDescent="0.25">
      <c r="A488" s="86" t="s">
        <v>255</v>
      </c>
      <c r="B488" s="14">
        <v>75</v>
      </c>
      <c r="C488" s="14">
        <f t="shared" si="190"/>
        <v>145</v>
      </c>
      <c r="D488" s="14">
        <f t="shared" si="190"/>
        <v>73</v>
      </c>
      <c r="E488" s="14">
        <f t="shared" si="190"/>
        <v>35</v>
      </c>
      <c r="F488" s="14">
        <f t="shared" si="190"/>
        <v>2025</v>
      </c>
      <c r="G488" s="74">
        <f t="shared" si="195"/>
        <v>2490</v>
      </c>
      <c r="H488" s="14">
        <f t="shared" si="193"/>
        <v>35750</v>
      </c>
      <c r="I488" s="14">
        <v>1</v>
      </c>
      <c r="J488" s="14">
        <f t="shared" si="191"/>
        <v>71000</v>
      </c>
      <c r="K488" s="14">
        <f t="shared" si="191"/>
        <v>6</v>
      </c>
      <c r="L488" s="14">
        <v>1</v>
      </c>
      <c r="M488" s="14">
        <f t="shared" si="192"/>
        <v>730</v>
      </c>
      <c r="N488" s="14">
        <f t="shared" si="192"/>
        <v>365</v>
      </c>
      <c r="O488" s="14">
        <f t="shared" si="192"/>
        <v>175</v>
      </c>
      <c r="P488" s="14">
        <f t="shared" si="196"/>
        <v>500</v>
      </c>
      <c r="Q488" s="38">
        <f t="shared" si="194"/>
        <v>500</v>
      </c>
      <c r="R488" s="38">
        <f t="shared" si="197"/>
        <v>106750</v>
      </c>
      <c r="S488" s="38">
        <f t="shared" si="198"/>
        <v>730</v>
      </c>
      <c r="T488" s="38">
        <f t="shared" si="199"/>
        <v>365</v>
      </c>
      <c r="U488" s="38">
        <f t="shared" si="203"/>
        <v>210</v>
      </c>
      <c r="V488" s="38">
        <f t="shared" si="188"/>
        <v>6</v>
      </c>
      <c r="W488" s="38">
        <f t="shared" si="200"/>
        <v>33891</v>
      </c>
      <c r="X488" s="38">
        <f>SUM(Q$414:Q488)</f>
        <v>33750</v>
      </c>
      <c r="Y488" s="38">
        <f>SUM(R$414:R488)</f>
        <v>3868750</v>
      </c>
      <c r="Z488" s="38">
        <f t="shared" si="201"/>
        <v>730</v>
      </c>
      <c r="AA488" s="38">
        <f>SUM(T$414:T488)</f>
        <v>13586</v>
      </c>
      <c r="AB488" s="38">
        <f>SUM(U$414:U488)</f>
        <v>6281</v>
      </c>
      <c r="AC488" s="38">
        <f>SUM(V$414:V488)</f>
        <v>450</v>
      </c>
      <c r="AD488" s="38">
        <f t="shared" si="202"/>
        <v>1161505</v>
      </c>
    </row>
    <row r="489" spans="1:30" x14ac:dyDescent="0.25">
      <c r="A489" s="86" t="s">
        <v>255</v>
      </c>
      <c r="B489" s="14">
        <v>76</v>
      </c>
      <c r="C489" s="14">
        <f t="shared" si="190"/>
        <v>148</v>
      </c>
      <c r="D489" s="14">
        <f t="shared" si="190"/>
        <v>73</v>
      </c>
      <c r="E489" s="14">
        <f t="shared" si="190"/>
        <v>35</v>
      </c>
      <c r="F489" s="14">
        <f t="shared" si="190"/>
        <v>2025</v>
      </c>
      <c r="G489" s="74">
        <f t="shared" si="195"/>
        <v>2493</v>
      </c>
      <c r="H489" s="14">
        <f t="shared" si="193"/>
        <v>36250</v>
      </c>
      <c r="I489" s="14">
        <v>1</v>
      </c>
      <c r="J489" s="14">
        <f t="shared" si="191"/>
        <v>72000</v>
      </c>
      <c r="K489" s="14">
        <f t="shared" si="191"/>
        <v>6</v>
      </c>
      <c r="L489" s="14">
        <v>1</v>
      </c>
      <c r="M489" s="14">
        <f t="shared" si="192"/>
        <v>740</v>
      </c>
      <c r="N489" s="14">
        <f t="shared" si="192"/>
        <v>370</v>
      </c>
      <c r="O489" s="14">
        <f t="shared" si="192"/>
        <v>178</v>
      </c>
      <c r="P489" s="14">
        <f t="shared" si="196"/>
        <v>500</v>
      </c>
      <c r="Q489" s="38">
        <f t="shared" si="194"/>
        <v>500</v>
      </c>
      <c r="R489" s="38">
        <f t="shared" si="197"/>
        <v>108250</v>
      </c>
      <c r="S489" s="38">
        <f t="shared" si="198"/>
        <v>740</v>
      </c>
      <c r="T489" s="38">
        <f t="shared" si="199"/>
        <v>370</v>
      </c>
      <c r="U489" s="38">
        <f t="shared" si="203"/>
        <v>213</v>
      </c>
      <c r="V489" s="38">
        <f t="shared" si="188"/>
        <v>6</v>
      </c>
      <c r="W489" s="38">
        <f t="shared" si="200"/>
        <v>34361</v>
      </c>
      <c r="X489" s="38">
        <f>SUM(Q$414:Q489)</f>
        <v>34250</v>
      </c>
      <c r="Y489" s="38">
        <f>SUM(R$414:R489)</f>
        <v>3977000</v>
      </c>
      <c r="Z489" s="38">
        <f t="shared" si="201"/>
        <v>740</v>
      </c>
      <c r="AA489" s="38">
        <f>SUM(T$414:T489)</f>
        <v>13956</v>
      </c>
      <c r="AB489" s="38">
        <f>SUM(U$414:U489)</f>
        <v>6494</v>
      </c>
      <c r="AC489" s="38">
        <f>SUM(V$414:V489)</f>
        <v>456</v>
      </c>
      <c r="AD489" s="38">
        <f t="shared" si="202"/>
        <v>1195136</v>
      </c>
    </row>
    <row r="490" spans="1:30" x14ac:dyDescent="0.25">
      <c r="A490" s="86" t="s">
        <v>255</v>
      </c>
      <c r="B490" s="14">
        <v>77</v>
      </c>
      <c r="C490" s="14">
        <f t="shared" si="190"/>
        <v>150</v>
      </c>
      <c r="D490" s="14">
        <f t="shared" si="190"/>
        <v>75</v>
      </c>
      <c r="E490" s="14">
        <f t="shared" si="190"/>
        <v>35</v>
      </c>
      <c r="F490" s="14">
        <f t="shared" si="190"/>
        <v>2075</v>
      </c>
      <c r="G490" s="74">
        <f t="shared" si="195"/>
        <v>2515</v>
      </c>
      <c r="H490" s="14">
        <f t="shared" si="193"/>
        <v>36750</v>
      </c>
      <c r="I490" s="14">
        <v>1</v>
      </c>
      <c r="J490" s="14">
        <f t="shared" si="191"/>
        <v>73000</v>
      </c>
      <c r="K490" s="14">
        <f t="shared" si="191"/>
        <v>6</v>
      </c>
      <c r="L490" s="14">
        <v>1</v>
      </c>
      <c r="M490" s="14">
        <f t="shared" si="192"/>
        <v>750</v>
      </c>
      <c r="N490" s="14">
        <f t="shared" si="192"/>
        <v>375</v>
      </c>
      <c r="O490" s="14">
        <f t="shared" si="192"/>
        <v>180</v>
      </c>
      <c r="P490" s="14">
        <f t="shared" si="196"/>
        <v>500</v>
      </c>
      <c r="Q490" s="38">
        <f t="shared" si="194"/>
        <v>500</v>
      </c>
      <c r="R490" s="38">
        <f t="shared" si="197"/>
        <v>109750</v>
      </c>
      <c r="S490" s="38">
        <f t="shared" si="198"/>
        <v>750</v>
      </c>
      <c r="T490" s="38">
        <f t="shared" si="199"/>
        <v>375</v>
      </c>
      <c r="U490" s="38">
        <f t="shared" si="203"/>
        <v>215</v>
      </c>
      <c r="V490" s="38">
        <f t="shared" si="188"/>
        <v>6</v>
      </c>
      <c r="W490" s="38">
        <f t="shared" si="200"/>
        <v>34786</v>
      </c>
      <c r="X490" s="38">
        <f>SUM(Q$414:Q490)</f>
        <v>34750</v>
      </c>
      <c r="Y490" s="38">
        <f>SUM(R$414:R490)</f>
        <v>4086750</v>
      </c>
      <c r="Z490" s="38">
        <f t="shared" si="201"/>
        <v>750</v>
      </c>
      <c r="AA490" s="38">
        <f>SUM(T$414:T490)</f>
        <v>14331</v>
      </c>
      <c r="AB490" s="38">
        <f>SUM(U$414:U490)</f>
        <v>6709</v>
      </c>
      <c r="AC490" s="38">
        <f>SUM(V$414:V490)</f>
        <v>462</v>
      </c>
      <c r="AD490" s="38">
        <f t="shared" si="202"/>
        <v>1229182</v>
      </c>
    </row>
    <row r="491" spans="1:30" x14ac:dyDescent="0.25">
      <c r="A491" s="86" t="s">
        <v>255</v>
      </c>
      <c r="B491" s="14">
        <v>78</v>
      </c>
      <c r="C491" s="14">
        <f t="shared" si="190"/>
        <v>153</v>
      </c>
      <c r="D491" s="14">
        <f t="shared" si="190"/>
        <v>75</v>
      </c>
      <c r="E491" s="14">
        <f t="shared" si="190"/>
        <v>38</v>
      </c>
      <c r="F491" s="14">
        <f t="shared" si="190"/>
        <v>2075</v>
      </c>
      <c r="G491" s="74">
        <f t="shared" si="195"/>
        <v>2653</v>
      </c>
      <c r="H491" s="14">
        <f t="shared" si="193"/>
        <v>37250</v>
      </c>
      <c r="I491" s="14">
        <v>1</v>
      </c>
      <c r="J491" s="14">
        <f t="shared" si="191"/>
        <v>74000</v>
      </c>
      <c r="K491" s="14">
        <f t="shared" si="191"/>
        <v>6</v>
      </c>
      <c r="L491" s="14">
        <v>1</v>
      </c>
      <c r="M491" s="14">
        <f t="shared" si="192"/>
        <v>760</v>
      </c>
      <c r="N491" s="14">
        <f t="shared" si="192"/>
        <v>380</v>
      </c>
      <c r="O491" s="14">
        <f t="shared" si="192"/>
        <v>183</v>
      </c>
      <c r="P491" s="14">
        <f t="shared" si="196"/>
        <v>500</v>
      </c>
      <c r="Q491" s="38">
        <f t="shared" si="194"/>
        <v>500</v>
      </c>
      <c r="R491" s="38">
        <f t="shared" si="197"/>
        <v>111250</v>
      </c>
      <c r="S491" s="38">
        <f t="shared" si="198"/>
        <v>760</v>
      </c>
      <c r="T491" s="38">
        <f t="shared" si="199"/>
        <v>380</v>
      </c>
      <c r="U491" s="38">
        <f t="shared" si="203"/>
        <v>221</v>
      </c>
      <c r="V491" s="38">
        <f t="shared" si="188"/>
        <v>6</v>
      </c>
      <c r="W491" s="38">
        <f t="shared" si="200"/>
        <v>35391</v>
      </c>
      <c r="X491" s="38">
        <f>SUM(Q$414:Q491)</f>
        <v>35250</v>
      </c>
      <c r="Y491" s="38">
        <f>SUM(R$414:R491)</f>
        <v>4198000</v>
      </c>
      <c r="Z491" s="38">
        <f t="shared" si="201"/>
        <v>760</v>
      </c>
      <c r="AA491" s="38">
        <f>SUM(T$414:T491)</f>
        <v>14711</v>
      </c>
      <c r="AB491" s="38">
        <f>SUM(U$414:U491)</f>
        <v>6930</v>
      </c>
      <c r="AC491" s="38">
        <f>SUM(V$414:V491)</f>
        <v>468</v>
      </c>
      <c r="AD491" s="38">
        <f t="shared" si="202"/>
        <v>1263823</v>
      </c>
    </row>
    <row r="492" spans="1:30" x14ac:dyDescent="0.25">
      <c r="A492" s="86" t="s">
        <v>255</v>
      </c>
      <c r="B492" s="14">
        <v>79</v>
      </c>
      <c r="C492" s="14">
        <f t="shared" si="190"/>
        <v>155</v>
      </c>
      <c r="D492" s="14">
        <f t="shared" si="190"/>
        <v>78</v>
      </c>
      <c r="E492" s="14">
        <f t="shared" si="190"/>
        <v>38</v>
      </c>
      <c r="F492" s="14">
        <f t="shared" si="190"/>
        <v>2125</v>
      </c>
      <c r="G492" s="74">
        <f t="shared" si="195"/>
        <v>2680</v>
      </c>
      <c r="H492" s="14">
        <f t="shared" si="193"/>
        <v>37750</v>
      </c>
      <c r="I492" s="14">
        <v>1</v>
      </c>
      <c r="J492" s="14">
        <f t="shared" si="191"/>
        <v>75000</v>
      </c>
      <c r="K492" s="14">
        <f t="shared" si="191"/>
        <v>6</v>
      </c>
      <c r="L492" s="14">
        <v>1</v>
      </c>
      <c r="M492" s="14">
        <f t="shared" si="192"/>
        <v>770</v>
      </c>
      <c r="N492" s="14">
        <f t="shared" si="192"/>
        <v>385</v>
      </c>
      <c r="O492" s="14">
        <f t="shared" si="192"/>
        <v>185</v>
      </c>
      <c r="P492" s="14">
        <f t="shared" si="196"/>
        <v>500</v>
      </c>
      <c r="Q492" s="38">
        <f t="shared" si="194"/>
        <v>500</v>
      </c>
      <c r="R492" s="38">
        <f t="shared" si="197"/>
        <v>112750</v>
      </c>
      <c r="S492" s="38">
        <f t="shared" si="198"/>
        <v>770</v>
      </c>
      <c r="T492" s="38">
        <f t="shared" si="199"/>
        <v>385</v>
      </c>
      <c r="U492" s="38">
        <f t="shared" si="203"/>
        <v>223</v>
      </c>
      <c r="V492" s="38">
        <f t="shared" si="188"/>
        <v>6</v>
      </c>
      <c r="W492" s="38">
        <f t="shared" si="200"/>
        <v>35816</v>
      </c>
      <c r="X492" s="38">
        <f>SUM(Q$414:Q492)</f>
        <v>35750</v>
      </c>
      <c r="Y492" s="38">
        <f>SUM(R$414:R492)</f>
        <v>4310750</v>
      </c>
      <c r="Z492" s="38">
        <f t="shared" si="201"/>
        <v>770</v>
      </c>
      <c r="AA492" s="38">
        <f>SUM(T$414:T492)</f>
        <v>15096</v>
      </c>
      <c r="AB492" s="38">
        <f>SUM(U$414:U492)</f>
        <v>7153</v>
      </c>
      <c r="AC492" s="38">
        <f>SUM(V$414:V492)</f>
        <v>474</v>
      </c>
      <c r="AD492" s="38">
        <f t="shared" si="202"/>
        <v>1298879</v>
      </c>
    </row>
    <row r="493" spans="1:30" x14ac:dyDescent="0.25">
      <c r="A493" s="86" t="s">
        <v>255</v>
      </c>
      <c r="B493" s="14">
        <v>80</v>
      </c>
      <c r="C493" s="14">
        <f t="shared" si="190"/>
        <v>155</v>
      </c>
      <c r="D493" s="14">
        <f t="shared" si="190"/>
        <v>78</v>
      </c>
      <c r="E493" s="14">
        <f t="shared" si="190"/>
        <v>38</v>
      </c>
      <c r="F493" s="14">
        <f t="shared" si="190"/>
        <v>2125</v>
      </c>
      <c r="G493" s="74">
        <f t="shared" si="195"/>
        <v>2680</v>
      </c>
      <c r="H493" s="14">
        <f t="shared" si="193"/>
        <v>38250</v>
      </c>
      <c r="I493" s="14">
        <v>1</v>
      </c>
      <c r="J493" s="14">
        <f t="shared" si="191"/>
        <v>76000</v>
      </c>
      <c r="K493" s="14">
        <f t="shared" si="191"/>
        <v>6</v>
      </c>
      <c r="L493" s="14">
        <v>1</v>
      </c>
      <c r="M493" s="14">
        <f t="shared" si="192"/>
        <v>780</v>
      </c>
      <c r="N493" s="14">
        <f t="shared" si="192"/>
        <v>390</v>
      </c>
      <c r="O493" s="14">
        <f t="shared" si="192"/>
        <v>188</v>
      </c>
      <c r="P493" s="14">
        <f t="shared" si="196"/>
        <v>500</v>
      </c>
      <c r="Q493" s="38">
        <f t="shared" si="194"/>
        <v>500</v>
      </c>
      <c r="R493" s="38">
        <f t="shared" si="197"/>
        <v>114250</v>
      </c>
      <c r="S493" s="38">
        <f t="shared" si="198"/>
        <v>780</v>
      </c>
      <c r="T493" s="38">
        <f t="shared" si="199"/>
        <v>390</v>
      </c>
      <c r="U493" s="38">
        <f t="shared" si="203"/>
        <v>226</v>
      </c>
      <c r="V493" s="38">
        <f t="shared" si="188"/>
        <v>6</v>
      </c>
      <c r="W493" s="38">
        <f t="shared" si="200"/>
        <v>36286</v>
      </c>
      <c r="X493" s="38">
        <f>SUM(Q$414:Q493)</f>
        <v>36250</v>
      </c>
      <c r="Y493" s="38">
        <f>SUM(R$414:R493)</f>
        <v>4425000</v>
      </c>
      <c r="Z493" s="38">
        <f t="shared" si="201"/>
        <v>780</v>
      </c>
      <c r="AA493" s="38">
        <f>SUM(T$414:T493)</f>
        <v>15486</v>
      </c>
      <c r="AB493" s="38">
        <f>SUM(U$414:U493)</f>
        <v>7379</v>
      </c>
      <c r="AC493" s="38">
        <f>SUM(V$414:V493)</f>
        <v>480</v>
      </c>
      <c r="AD493" s="38">
        <f t="shared" si="202"/>
        <v>1334395</v>
      </c>
    </row>
    <row r="494" spans="1:30" x14ac:dyDescent="0.25">
      <c r="A494" s="86" t="s">
        <v>255</v>
      </c>
      <c r="B494" s="14">
        <v>81</v>
      </c>
      <c r="C494" s="14">
        <f t="shared" ref="C494:F513" si="204">MAX(1,ROUND(C88*INDEX($O$1:$U$4,MATCH($A494,$O$1:$O$4,0),MATCH(C$413,$O$1:$U$1,0)),0))</f>
        <v>158</v>
      </c>
      <c r="D494" s="14">
        <f t="shared" si="204"/>
        <v>78</v>
      </c>
      <c r="E494" s="14">
        <f t="shared" si="204"/>
        <v>38</v>
      </c>
      <c r="F494" s="14">
        <f t="shared" si="204"/>
        <v>2175</v>
      </c>
      <c r="G494" s="74">
        <f t="shared" si="195"/>
        <v>2693</v>
      </c>
      <c r="H494" s="14">
        <f t="shared" si="193"/>
        <v>38750</v>
      </c>
      <c r="I494" s="14">
        <v>1</v>
      </c>
      <c r="J494" s="14">
        <f t="shared" ref="J494:K513" si="205">MAX(1,ROUND(J88*INDEX($O$1:$U$4,MATCH($A494,$O$1:$O$4,0),MATCH(J$413,$O$1:$U$1,0)),0))</f>
        <v>77000</v>
      </c>
      <c r="K494" s="14">
        <f t="shared" si="205"/>
        <v>6</v>
      </c>
      <c r="L494" s="14">
        <v>1</v>
      </c>
      <c r="M494" s="14">
        <f t="shared" si="192"/>
        <v>790</v>
      </c>
      <c r="N494" s="14">
        <f t="shared" si="192"/>
        <v>395</v>
      </c>
      <c r="O494" s="14">
        <f t="shared" si="192"/>
        <v>190</v>
      </c>
      <c r="P494" s="14">
        <f t="shared" si="196"/>
        <v>500</v>
      </c>
      <c r="Q494" s="38">
        <f t="shared" si="194"/>
        <v>500</v>
      </c>
      <c r="R494" s="38">
        <f t="shared" si="197"/>
        <v>115750</v>
      </c>
      <c r="S494" s="38">
        <f t="shared" si="198"/>
        <v>790</v>
      </c>
      <c r="T494" s="38">
        <f t="shared" si="199"/>
        <v>395</v>
      </c>
      <c r="U494" s="38">
        <f t="shared" si="203"/>
        <v>228</v>
      </c>
      <c r="V494" s="38">
        <f t="shared" si="188"/>
        <v>6</v>
      </c>
      <c r="W494" s="38">
        <f t="shared" si="200"/>
        <v>36711</v>
      </c>
      <c r="X494" s="38">
        <f>SUM(Q$414:Q494)</f>
        <v>36750</v>
      </c>
      <c r="Y494" s="38">
        <f>SUM(R$414:R494)</f>
        <v>4540750</v>
      </c>
      <c r="Z494" s="38">
        <f t="shared" si="201"/>
        <v>790</v>
      </c>
      <c r="AA494" s="38">
        <f>SUM(T$414:T494)</f>
        <v>15881</v>
      </c>
      <c r="AB494" s="38">
        <f>SUM(U$414:U494)</f>
        <v>7607</v>
      </c>
      <c r="AC494" s="38">
        <f>SUM(V$414:V494)</f>
        <v>486</v>
      </c>
      <c r="AD494" s="38">
        <f t="shared" si="202"/>
        <v>1370326</v>
      </c>
    </row>
    <row r="495" spans="1:30" x14ac:dyDescent="0.25">
      <c r="A495" s="86" t="s">
        <v>255</v>
      </c>
      <c r="B495" s="14">
        <v>82</v>
      </c>
      <c r="C495" s="14">
        <f t="shared" si="204"/>
        <v>160</v>
      </c>
      <c r="D495" s="14">
        <f t="shared" si="204"/>
        <v>80</v>
      </c>
      <c r="E495" s="14">
        <f t="shared" si="204"/>
        <v>38</v>
      </c>
      <c r="F495" s="14">
        <f t="shared" si="204"/>
        <v>2175</v>
      </c>
      <c r="G495" s="74">
        <f t="shared" si="195"/>
        <v>2705</v>
      </c>
      <c r="H495" s="14">
        <f t="shared" si="193"/>
        <v>39250</v>
      </c>
      <c r="I495" s="14">
        <v>1</v>
      </c>
      <c r="J495" s="14">
        <f t="shared" si="205"/>
        <v>78000</v>
      </c>
      <c r="K495" s="14">
        <f t="shared" si="205"/>
        <v>6</v>
      </c>
      <c r="L495" s="14">
        <v>1</v>
      </c>
      <c r="M495" s="14">
        <f t="shared" ref="M495:O514" si="206">MAX(1,ROUND(M89*INDEX($O$1:$U$4,MATCH($A495,$O$1:$O$4,0),MATCH(M$413,$O$1:$U$1,0)),0))</f>
        <v>800</v>
      </c>
      <c r="N495" s="14">
        <f t="shared" si="206"/>
        <v>400</v>
      </c>
      <c r="O495" s="14">
        <f t="shared" si="206"/>
        <v>193</v>
      </c>
      <c r="P495" s="14">
        <f t="shared" si="196"/>
        <v>500</v>
      </c>
      <c r="Q495" s="38">
        <f t="shared" si="194"/>
        <v>500</v>
      </c>
      <c r="R495" s="38">
        <f t="shared" si="197"/>
        <v>117250</v>
      </c>
      <c r="S495" s="38">
        <f t="shared" si="198"/>
        <v>800</v>
      </c>
      <c r="T495" s="38">
        <f t="shared" si="199"/>
        <v>400</v>
      </c>
      <c r="U495" s="38">
        <f t="shared" si="203"/>
        <v>231</v>
      </c>
      <c r="V495" s="38">
        <f t="shared" si="188"/>
        <v>6</v>
      </c>
      <c r="W495" s="38">
        <f t="shared" si="200"/>
        <v>37181</v>
      </c>
      <c r="X495" s="38">
        <f>SUM(Q$414:Q495)</f>
        <v>37250</v>
      </c>
      <c r="Y495" s="38">
        <f>SUM(R$414:R495)</f>
        <v>4658000</v>
      </c>
      <c r="Z495" s="38">
        <f t="shared" si="201"/>
        <v>800</v>
      </c>
      <c r="AA495" s="38">
        <f>SUM(T$414:T495)</f>
        <v>16281</v>
      </c>
      <c r="AB495" s="38">
        <f>SUM(U$414:U495)</f>
        <v>7838</v>
      </c>
      <c r="AC495" s="38">
        <f>SUM(V$414:V495)</f>
        <v>492</v>
      </c>
      <c r="AD495" s="38">
        <f t="shared" si="202"/>
        <v>1406717</v>
      </c>
    </row>
    <row r="496" spans="1:30" x14ac:dyDescent="0.25">
      <c r="A496" s="86" t="s">
        <v>255</v>
      </c>
      <c r="B496" s="14">
        <v>83</v>
      </c>
      <c r="C496" s="14">
        <f t="shared" si="204"/>
        <v>163</v>
      </c>
      <c r="D496" s="14">
        <f t="shared" si="204"/>
        <v>80</v>
      </c>
      <c r="E496" s="14">
        <f t="shared" si="204"/>
        <v>40</v>
      </c>
      <c r="F496" s="14">
        <f t="shared" si="204"/>
        <v>2225</v>
      </c>
      <c r="G496" s="74">
        <f t="shared" si="195"/>
        <v>2808</v>
      </c>
      <c r="H496" s="14">
        <f t="shared" si="193"/>
        <v>39750</v>
      </c>
      <c r="I496" s="14">
        <v>1</v>
      </c>
      <c r="J496" s="14">
        <f t="shared" si="205"/>
        <v>79000</v>
      </c>
      <c r="K496" s="14">
        <f t="shared" si="205"/>
        <v>6</v>
      </c>
      <c r="L496" s="14">
        <v>1</v>
      </c>
      <c r="M496" s="14">
        <f t="shared" si="206"/>
        <v>810</v>
      </c>
      <c r="N496" s="14">
        <f t="shared" si="206"/>
        <v>405</v>
      </c>
      <c r="O496" s="14">
        <f t="shared" si="206"/>
        <v>195</v>
      </c>
      <c r="P496" s="14">
        <f t="shared" si="196"/>
        <v>500</v>
      </c>
      <c r="Q496" s="38">
        <f t="shared" si="194"/>
        <v>500</v>
      </c>
      <c r="R496" s="38">
        <f t="shared" si="197"/>
        <v>118750</v>
      </c>
      <c r="S496" s="38">
        <f t="shared" si="198"/>
        <v>810</v>
      </c>
      <c r="T496" s="38">
        <f t="shared" si="199"/>
        <v>405</v>
      </c>
      <c r="U496" s="38">
        <f t="shared" si="203"/>
        <v>235</v>
      </c>
      <c r="V496" s="38">
        <f t="shared" si="188"/>
        <v>6</v>
      </c>
      <c r="W496" s="38">
        <f t="shared" si="200"/>
        <v>37696</v>
      </c>
      <c r="X496" s="38">
        <f>SUM(Q$414:Q496)</f>
        <v>37750</v>
      </c>
      <c r="Y496" s="38">
        <f>SUM(R$414:R496)</f>
        <v>4776750</v>
      </c>
      <c r="Z496" s="38">
        <f t="shared" si="201"/>
        <v>810</v>
      </c>
      <c r="AA496" s="38">
        <f>SUM(T$414:T496)</f>
        <v>16686</v>
      </c>
      <c r="AB496" s="38">
        <f>SUM(U$414:U496)</f>
        <v>8073</v>
      </c>
      <c r="AC496" s="38">
        <f>SUM(V$414:V496)</f>
        <v>498</v>
      </c>
      <c r="AD496" s="38">
        <f t="shared" si="202"/>
        <v>1443613</v>
      </c>
    </row>
    <row r="497" spans="1:30" x14ac:dyDescent="0.25">
      <c r="A497" s="86" t="s">
        <v>255</v>
      </c>
      <c r="B497" s="14">
        <v>84</v>
      </c>
      <c r="C497" s="14">
        <f t="shared" si="204"/>
        <v>165</v>
      </c>
      <c r="D497" s="14">
        <f t="shared" si="204"/>
        <v>83</v>
      </c>
      <c r="E497" s="14">
        <f t="shared" si="204"/>
        <v>40</v>
      </c>
      <c r="F497" s="14">
        <f t="shared" si="204"/>
        <v>2225</v>
      </c>
      <c r="G497" s="74">
        <f t="shared" si="195"/>
        <v>2825</v>
      </c>
      <c r="H497" s="14">
        <f t="shared" si="193"/>
        <v>40250</v>
      </c>
      <c r="I497" s="14">
        <v>1</v>
      </c>
      <c r="J497" s="14">
        <f t="shared" si="205"/>
        <v>80000</v>
      </c>
      <c r="K497" s="14">
        <f t="shared" si="205"/>
        <v>6</v>
      </c>
      <c r="L497" s="14">
        <v>1</v>
      </c>
      <c r="M497" s="14">
        <f t="shared" si="206"/>
        <v>820</v>
      </c>
      <c r="N497" s="14">
        <f t="shared" si="206"/>
        <v>410</v>
      </c>
      <c r="O497" s="14">
        <f t="shared" si="206"/>
        <v>198</v>
      </c>
      <c r="P497" s="14">
        <f t="shared" si="196"/>
        <v>500</v>
      </c>
      <c r="Q497" s="38">
        <f t="shared" si="194"/>
        <v>500</v>
      </c>
      <c r="R497" s="38">
        <f t="shared" si="197"/>
        <v>120250</v>
      </c>
      <c r="S497" s="38">
        <f t="shared" si="198"/>
        <v>820</v>
      </c>
      <c r="T497" s="38">
        <f t="shared" si="199"/>
        <v>410</v>
      </c>
      <c r="U497" s="38">
        <f t="shared" si="203"/>
        <v>238</v>
      </c>
      <c r="V497" s="38">
        <f t="shared" ref="V497:V514" si="207">K497</f>
        <v>6</v>
      </c>
      <c r="W497" s="38">
        <f t="shared" si="200"/>
        <v>38166</v>
      </c>
      <c r="X497" s="38">
        <f>SUM(Q$414:Q497)</f>
        <v>38250</v>
      </c>
      <c r="Y497" s="38">
        <f>SUM(R$414:R497)</f>
        <v>4897000</v>
      </c>
      <c r="Z497" s="38">
        <f t="shared" si="201"/>
        <v>820</v>
      </c>
      <c r="AA497" s="38">
        <f>SUM(T$414:T497)</f>
        <v>17096</v>
      </c>
      <c r="AB497" s="38">
        <f>SUM(U$414:U497)</f>
        <v>8311</v>
      </c>
      <c r="AC497" s="38">
        <f>SUM(V$414:V497)</f>
        <v>504</v>
      </c>
      <c r="AD497" s="38">
        <f t="shared" si="202"/>
        <v>1480969</v>
      </c>
    </row>
    <row r="498" spans="1:30" x14ac:dyDescent="0.25">
      <c r="A498" s="86" t="s">
        <v>255</v>
      </c>
      <c r="B498" s="14">
        <v>85</v>
      </c>
      <c r="C498" s="14">
        <f t="shared" si="204"/>
        <v>165</v>
      </c>
      <c r="D498" s="14">
        <f t="shared" si="204"/>
        <v>83</v>
      </c>
      <c r="E498" s="14">
        <f t="shared" si="204"/>
        <v>40</v>
      </c>
      <c r="F498" s="14">
        <f t="shared" si="204"/>
        <v>2275</v>
      </c>
      <c r="G498" s="74">
        <f t="shared" si="195"/>
        <v>2835</v>
      </c>
      <c r="H498" s="14">
        <f t="shared" si="193"/>
        <v>40750</v>
      </c>
      <c r="I498" s="14">
        <v>1</v>
      </c>
      <c r="J498" s="14">
        <f t="shared" si="205"/>
        <v>81000</v>
      </c>
      <c r="K498" s="14">
        <f t="shared" si="205"/>
        <v>6</v>
      </c>
      <c r="L498" s="14">
        <v>1</v>
      </c>
      <c r="M498" s="14">
        <f t="shared" si="206"/>
        <v>830</v>
      </c>
      <c r="N498" s="14">
        <f t="shared" si="206"/>
        <v>415</v>
      </c>
      <c r="O498" s="14">
        <f t="shared" si="206"/>
        <v>200</v>
      </c>
      <c r="P498" s="14">
        <f t="shared" si="196"/>
        <v>500</v>
      </c>
      <c r="Q498" s="38">
        <f t="shared" si="194"/>
        <v>500</v>
      </c>
      <c r="R498" s="38">
        <f t="shared" si="197"/>
        <v>121750</v>
      </c>
      <c r="S498" s="38">
        <f t="shared" si="198"/>
        <v>830</v>
      </c>
      <c r="T498" s="38">
        <f t="shared" si="199"/>
        <v>415</v>
      </c>
      <c r="U498" s="38">
        <f t="shared" si="203"/>
        <v>240</v>
      </c>
      <c r="V498" s="38">
        <f t="shared" si="207"/>
        <v>6</v>
      </c>
      <c r="W498" s="38">
        <f t="shared" si="200"/>
        <v>38591</v>
      </c>
      <c r="X498" s="38">
        <f>SUM(Q$414:Q498)</f>
        <v>38750</v>
      </c>
      <c r="Y498" s="38">
        <f>SUM(R$414:R498)</f>
        <v>5018750</v>
      </c>
      <c r="Z498" s="38">
        <f t="shared" si="201"/>
        <v>830</v>
      </c>
      <c r="AA498" s="38">
        <f>SUM(T$414:T498)</f>
        <v>17511</v>
      </c>
      <c r="AB498" s="38">
        <f>SUM(U$414:U498)</f>
        <v>8551</v>
      </c>
      <c r="AC498" s="38">
        <f>SUM(V$414:V498)</f>
        <v>510</v>
      </c>
      <c r="AD498" s="38">
        <f t="shared" si="202"/>
        <v>1518740</v>
      </c>
    </row>
    <row r="499" spans="1:30" x14ac:dyDescent="0.25">
      <c r="A499" s="86" t="s">
        <v>255</v>
      </c>
      <c r="B499" s="14">
        <v>86</v>
      </c>
      <c r="C499" s="14">
        <f t="shared" si="204"/>
        <v>168</v>
      </c>
      <c r="D499" s="14">
        <f t="shared" si="204"/>
        <v>83</v>
      </c>
      <c r="E499" s="14">
        <f t="shared" si="204"/>
        <v>40</v>
      </c>
      <c r="F499" s="14">
        <f t="shared" si="204"/>
        <v>2275</v>
      </c>
      <c r="G499" s="74">
        <f t="shared" si="195"/>
        <v>2838</v>
      </c>
      <c r="H499" s="14">
        <f t="shared" si="193"/>
        <v>41250</v>
      </c>
      <c r="I499" s="14">
        <v>1</v>
      </c>
      <c r="J499" s="14">
        <f t="shared" si="205"/>
        <v>82000</v>
      </c>
      <c r="K499" s="14">
        <f t="shared" si="205"/>
        <v>6</v>
      </c>
      <c r="L499" s="14">
        <v>1</v>
      </c>
      <c r="M499" s="14">
        <f t="shared" si="206"/>
        <v>840</v>
      </c>
      <c r="N499" s="14">
        <f t="shared" si="206"/>
        <v>420</v>
      </c>
      <c r="O499" s="14">
        <f t="shared" si="206"/>
        <v>203</v>
      </c>
      <c r="P499" s="14">
        <f t="shared" si="196"/>
        <v>500</v>
      </c>
      <c r="Q499" s="38">
        <f t="shared" si="194"/>
        <v>500</v>
      </c>
      <c r="R499" s="38">
        <f t="shared" si="197"/>
        <v>123250</v>
      </c>
      <c r="S499" s="38">
        <f t="shared" si="198"/>
        <v>840</v>
      </c>
      <c r="T499" s="38">
        <f t="shared" si="199"/>
        <v>420</v>
      </c>
      <c r="U499" s="38">
        <f t="shared" si="203"/>
        <v>243</v>
      </c>
      <c r="V499" s="38">
        <f t="shared" si="207"/>
        <v>6</v>
      </c>
      <c r="W499" s="38">
        <f t="shared" si="200"/>
        <v>39061</v>
      </c>
      <c r="X499" s="38">
        <f>SUM(Q$414:Q499)</f>
        <v>39250</v>
      </c>
      <c r="Y499" s="38">
        <f>SUM(R$414:R499)</f>
        <v>5142000</v>
      </c>
      <c r="Z499" s="38">
        <f t="shared" si="201"/>
        <v>840</v>
      </c>
      <c r="AA499" s="38">
        <f>SUM(T$414:T499)</f>
        <v>17931</v>
      </c>
      <c r="AB499" s="38">
        <f>SUM(U$414:U499)</f>
        <v>8794</v>
      </c>
      <c r="AC499" s="38">
        <f>SUM(V$414:V499)</f>
        <v>516</v>
      </c>
      <c r="AD499" s="38">
        <f t="shared" si="202"/>
        <v>1556971</v>
      </c>
    </row>
    <row r="500" spans="1:30" x14ac:dyDescent="0.25">
      <c r="A500" s="86" t="s">
        <v>255</v>
      </c>
      <c r="B500" s="14">
        <v>87</v>
      </c>
      <c r="C500" s="14">
        <f t="shared" si="204"/>
        <v>170</v>
      </c>
      <c r="D500" s="14">
        <f t="shared" si="204"/>
        <v>85</v>
      </c>
      <c r="E500" s="14">
        <f t="shared" si="204"/>
        <v>40</v>
      </c>
      <c r="F500" s="14">
        <f t="shared" si="204"/>
        <v>2325</v>
      </c>
      <c r="G500" s="74">
        <f t="shared" si="195"/>
        <v>2860</v>
      </c>
      <c r="H500" s="14">
        <f t="shared" si="193"/>
        <v>41750</v>
      </c>
      <c r="I500" s="14">
        <v>1</v>
      </c>
      <c r="J500" s="14">
        <f t="shared" si="205"/>
        <v>83000</v>
      </c>
      <c r="K500" s="14">
        <f t="shared" si="205"/>
        <v>6</v>
      </c>
      <c r="L500" s="14">
        <v>1</v>
      </c>
      <c r="M500" s="14">
        <f t="shared" si="206"/>
        <v>850</v>
      </c>
      <c r="N500" s="14">
        <f t="shared" si="206"/>
        <v>425</v>
      </c>
      <c r="O500" s="14">
        <f t="shared" si="206"/>
        <v>205</v>
      </c>
      <c r="P500" s="14">
        <f t="shared" si="196"/>
        <v>500</v>
      </c>
      <c r="Q500" s="38">
        <f t="shared" si="194"/>
        <v>500</v>
      </c>
      <c r="R500" s="38">
        <f t="shared" si="197"/>
        <v>124750</v>
      </c>
      <c r="S500" s="38">
        <f t="shared" si="198"/>
        <v>850</v>
      </c>
      <c r="T500" s="38">
        <f t="shared" si="199"/>
        <v>425</v>
      </c>
      <c r="U500" s="38">
        <f t="shared" si="203"/>
        <v>245</v>
      </c>
      <c r="V500" s="38">
        <f t="shared" si="207"/>
        <v>6</v>
      </c>
      <c r="W500" s="38">
        <f t="shared" si="200"/>
        <v>39486</v>
      </c>
      <c r="X500" s="38">
        <f>SUM(Q$414:Q500)</f>
        <v>39750</v>
      </c>
      <c r="Y500" s="38">
        <f>SUM(R$414:R500)</f>
        <v>5266750</v>
      </c>
      <c r="Z500" s="38">
        <f t="shared" si="201"/>
        <v>850</v>
      </c>
      <c r="AA500" s="38">
        <f>SUM(T$414:T500)</f>
        <v>18356</v>
      </c>
      <c r="AB500" s="38">
        <f>SUM(U$414:U500)</f>
        <v>9039</v>
      </c>
      <c r="AC500" s="38">
        <f>SUM(V$414:V500)</f>
        <v>522</v>
      </c>
      <c r="AD500" s="38">
        <f t="shared" si="202"/>
        <v>1595617</v>
      </c>
    </row>
    <row r="501" spans="1:30" x14ac:dyDescent="0.25">
      <c r="A501" s="86" t="s">
        <v>255</v>
      </c>
      <c r="B501" s="14">
        <v>88</v>
      </c>
      <c r="C501" s="14">
        <f t="shared" si="204"/>
        <v>173</v>
      </c>
      <c r="D501" s="14">
        <f t="shared" si="204"/>
        <v>85</v>
      </c>
      <c r="E501" s="14">
        <f t="shared" si="204"/>
        <v>43</v>
      </c>
      <c r="F501" s="14">
        <f t="shared" si="204"/>
        <v>2325</v>
      </c>
      <c r="G501" s="74">
        <f t="shared" si="195"/>
        <v>2998</v>
      </c>
      <c r="H501" s="14">
        <f t="shared" si="193"/>
        <v>42250</v>
      </c>
      <c r="I501" s="14">
        <v>1</v>
      </c>
      <c r="J501" s="14">
        <f t="shared" si="205"/>
        <v>84000</v>
      </c>
      <c r="K501" s="14">
        <f t="shared" si="205"/>
        <v>6</v>
      </c>
      <c r="L501" s="14">
        <v>1</v>
      </c>
      <c r="M501" s="14">
        <f t="shared" si="206"/>
        <v>860</v>
      </c>
      <c r="N501" s="14">
        <f t="shared" si="206"/>
        <v>430</v>
      </c>
      <c r="O501" s="14">
        <f t="shared" si="206"/>
        <v>208</v>
      </c>
      <c r="P501" s="14">
        <f t="shared" si="196"/>
        <v>500</v>
      </c>
      <c r="Q501" s="38">
        <f t="shared" si="194"/>
        <v>500</v>
      </c>
      <c r="R501" s="38">
        <f t="shared" si="197"/>
        <v>126250</v>
      </c>
      <c r="S501" s="38">
        <f t="shared" si="198"/>
        <v>860</v>
      </c>
      <c r="T501" s="38">
        <f t="shared" si="199"/>
        <v>430</v>
      </c>
      <c r="U501" s="38">
        <f t="shared" si="203"/>
        <v>251</v>
      </c>
      <c r="V501" s="38">
        <f t="shared" si="207"/>
        <v>6</v>
      </c>
      <c r="W501" s="38">
        <f t="shared" si="200"/>
        <v>40091</v>
      </c>
      <c r="X501" s="38">
        <f>SUM(Q$414:Q501)</f>
        <v>40250</v>
      </c>
      <c r="Y501" s="38">
        <f>SUM(R$414:R501)</f>
        <v>5393000</v>
      </c>
      <c r="Z501" s="38">
        <f t="shared" si="201"/>
        <v>860</v>
      </c>
      <c r="AA501" s="38">
        <f>SUM(T$414:T501)</f>
        <v>18786</v>
      </c>
      <c r="AB501" s="38">
        <f>SUM(U$414:U501)</f>
        <v>9290</v>
      </c>
      <c r="AC501" s="38">
        <f>SUM(V$414:V501)</f>
        <v>528</v>
      </c>
      <c r="AD501" s="38">
        <f t="shared" si="202"/>
        <v>1634858</v>
      </c>
    </row>
    <row r="502" spans="1:30" x14ac:dyDescent="0.25">
      <c r="A502" s="86" t="s">
        <v>255</v>
      </c>
      <c r="B502" s="14">
        <v>89</v>
      </c>
      <c r="C502" s="14">
        <f t="shared" si="204"/>
        <v>175</v>
      </c>
      <c r="D502" s="14">
        <f t="shared" si="204"/>
        <v>88</v>
      </c>
      <c r="E502" s="14">
        <f t="shared" si="204"/>
        <v>43</v>
      </c>
      <c r="F502" s="14">
        <f t="shared" si="204"/>
        <v>2375</v>
      </c>
      <c r="G502" s="74">
        <f t="shared" si="195"/>
        <v>3025</v>
      </c>
      <c r="H502" s="14">
        <f t="shared" si="193"/>
        <v>42750</v>
      </c>
      <c r="I502" s="14">
        <v>1</v>
      </c>
      <c r="J502" s="14">
        <f t="shared" si="205"/>
        <v>85000</v>
      </c>
      <c r="K502" s="14">
        <f t="shared" si="205"/>
        <v>6</v>
      </c>
      <c r="L502" s="14">
        <v>1</v>
      </c>
      <c r="M502" s="14">
        <f t="shared" si="206"/>
        <v>870</v>
      </c>
      <c r="N502" s="14">
        <f t="shared" si="206"/>
        <v>435</v>
      </c>
      <c r="O502" s="14">
        <f t="shared" si="206"/>
        <v>210</v>
      </c>
      <c r="P502" s="14">
        <f t="shared" si="196"/>
        <v>500</v>
      </c>
      <c r="Q502" s="38">
        <f t="shared" si="194"/>
        <v>500</v>
      </c>
      <c r="R502" s="38">
        <f t="shared" si="197"/>
        <v>127750</v>
      </c>
      <c r="S502" s="38">
        <f t="shared" si="198"/>
        <v>870</v>
      </c>
      <c r="T502" s="38">
        <f t="shared" si="199"/>
        <v>435</v>
      </c>
      <c r="U502" s="38">
        <f t="shared" si="203"/>
        <v>253</v>
      </c>
      <c r="V502" s="38">
        <f t="shared" si="207"/>
        <v>6</v>
      </c>
      <c r="W502" s="38">
        <f t="shared" si="200"/>
        <v>40516</v>
      </c>
      <c r="X502" s="38">
        <f>SUM(Q$414:Q502)</f>
        <v>40750</v>
      </c>
      <c r="Y502" s="38">
        <f>SUM(R$414:R502)</f>
        <v>5520750</v>
      </c>
      <c r="Z502" s="38">
        <f t="shared" si="201"/>
        <v>870</v>
      </c>
      <c r="AA502" s="38">
        <f>SUM(T$414:T502)</f>
        <v>19221</v>
      </c>
      <c r="AB502" s="38">
        <f>SUM(U$414:U502)</f>
        <v>9543</v>
      </c>
      <c r="AC502" s="38">
        <f>SUM(V$414:V502)</f>
        <v>534</v>
      </c>
      <c r="AD502" s="38">
        <f t="shared" si="202"/>
        <v>1674514</v>
      </c>
    </row>
    <row r="503" spans="1:30" x14ac:dyDescent="0.25">
      <c r="A503" s="86" t="s">
        <v>255</v>
      </c>
      <c r="B503" s="14">
        <v>90</v>
      </c>
      <c r="C503" s="14">
        <f t="shared" si="204"/>
        <v>175</v>
      </c>
      <c r="D503" s="14">
        <f t="shared" si="204"/>
        <v>88</v>
      </c>
      <c r="E503" s="14">
        <f t="shared" si="204"/>
        <v>43</v>
      </c>
      <c r="F503" s="14">
        <f t="shared" si="204"/>
        <v>2375</v>
      </c>
      <c r="G503" s="74">
        <f t="shared" si="195"/>
        <v>3025</v>
      </c>
      <c r="H503" s="14">
        <f t="shared" si="193"/>
        <v>43250</v>
      </c>
      <c r="I503" s="14">
        <v>1</v>
      </c>
      <c r="J503" s="14">
        <f t="shared" si="205"/>
        <v>86000</v>
      </c>
      <c r="K503" s="14">
        <f t="shared" si="205"/>
        <v>6</v>
      </c>
      <c r="L503" s="14">
        <v>1</v>
      </c>
      <c r="M503" s="14">
        <f t="shared" si="206"/>
        <v>880</v>
      </c>
      <c r="N503" s="14">
        <f t="shared" si="206"/>
        <v>440</v>
      </c>
      <c r="O503" s="14">
        <f t="shared" si="206"/>
        <v>213</v>
      </c>
      <c r="P503" s="14">
        <f t="shared" si="196"/>
        <v>500</v>
      </c>
      <c r="Q503" s="38">
        <f t="shared" si="194"/>
        <v>500</v>
      </c>
      <c r="R503" s="38">
        <f t="shared" si="197"/>
        <v>129250</v>
      </c>
      <c r="S503" s="38">
        <f t="shared" si="198"/>
        <v>880</v>
      </c>
      <c r="T503" s="38">
        <f t="shared" si="199"/>
        <v>440</v>
      </c>
      <c r="U503" s="38">
        <f t="shared" si="203"/>
        <v>256</v>
      </c>
      <c r="V503" s="38">
        <f t="shared" si="207"/>
        <v>6</v>
      </c>
      <c r="W503" s="38">
        <f t="shared" si="200"/>
        <v>40986</v>
      </c>
      <c r="X503" s="38">
        <f>SUM(Q$414:Q503)</f>
        <v>41250</v>
      </c>
      <c r="Y503" s="38">
        <f>SUM(R$414:R503)</f>
        <v>5650000</v>
      </c>
      <c r="Z503" s="38">
        <f t="shared" si="201"/>
        <v>880</v>
      </c>
      <c r="AA503" s="38">
        <f>SUM(T$414:T503)</f>
        <v>19661</v>
      </c>
      <c r="AB503" s="38">
        <f>SUM(U$414:U503)</f>
        <v>9799</v>
      </c>
      <c r="AC503" s="38">
        <f>SUM(V$414:V503)</f>
        <v>540</v>
      </c>
      <c r="AD503" s="38">
        <f t="shared" si="202"/>
        <v>1714630</v>
      </c>
    </row>
    <row r="504" spans="1:30" x14ac:dyDescent="0.25">
      <c r="A504" s="86" t="s">
        <v>255</v>
      </c>
      <c r="B504" s="14">
        <v>91</v>
      </c>
      <c r="C504" s="14">
        <f t="shared" si="204"/>
        <v>178</v>
      </c>
      <c r="D504" s="14">
        <f t="shared" si="204"/>
        <v>88</v>
      </c>
      <c r="E504" s="14">
        <f t="shared" si="204"/>
        <v>43</v>
      </c>
      <c r="F504" s="14">
        <f t="shared" si="204"/>
        <v>2425</v>
      </c>
      <c r="G504" s="74">
        <f t="shared" si="195"/>
        <v>3038</v>
      </c>
      <c r="H504" s="14">
        <f t="shared" si="193"/>
        <v>43750</v>
      </c>
      <c r="I504" s="14">
        <v>1</v>
      </c>
      <c r="J504" s="14">
        <f t="shared" si="205"/>
        <v>87000</v>
      </c>
      <c r="K504" s="14">
        <f t="shared" si="205"/>
        <v>6</v>
      </c>
      <c r="L504" s="14">
        <v>1</v>
      </c>
      <c r="M504" s="14">
        <f t="shared" si="206"/>
        <v>890</v>
      </c>
      <c r="N504" s="14">
        <f t="shared" si="206"/>
        <v>445</v>
      </c>
      <c r="O504" s="14">
        <f t="shared" si="206"/>
        <v>215</v>
      </c>
      <c r="P504" s="14">
        <f t="shared" si="196"/>
        <v>500</v>
      </c>
      <c r="Q504" s="38">
        <f t="shared" si="194"/>
        <v>500</v>
      </c>
      <c r="R504" s="38">
        <f t="shared" si="197"/>
        <v>130750</v>
      </c>
      <c r="S504" s="38">
        <f t="shared" si="198"/>
        <v>890</v>
      </c>
      <c r="T504" s="38">
        <f t="shared" si="199"/>
        <v>445</v>
      </c>
      <c r="U504" s="38">
        <f t="shared" si="203"/>
        <v>258</v>
      </c>
      <c r="V504" s="38">
        <f t="shared" si="207"/>
        <v>6</v>
      </c>
      <c r="W504" s="38">
        <f t="shared" si="200"/>
        <v>41411</v>
      </c>
      <c r="X504" s="38">
        <f>SUM(Q$414:Q504)</f>
        <v>41750</v>
      </c>
      <c r="Y504" s="38">
        <f>SUM(R$414:R504)</f>
        <v>5780750</v>
      </c>
      <c r="Z504" s="38">
        <f t="shared" si="201"/>
        <v>890</v>
      </c>
      <c r="AA504" s="38">
        <f>SUM(T$414:T504)</f>
        <v>20106</v>
      </c>
      <c r="AB504" s="38">
        <f>SUM(U$414:U504)</f>
        <v>10057</v>
      </c>
      <c r="AC504" s="38">
        <f>SUM(V$414:V504)</f>
        <v>546</v>
      </c>
      <c r="AD504" s="38">
        <f t="shared" si="202"/>
        <v>1755161</v>
      </c>
    </row>
    <row r="505" spans="1:30" x14ac:dyDescent="0.25">
      <c r="A505" s="86" t="s">
        <v>255</v>
      </c>
      <c r="B505" s="14">
        <v>92</v>
      </c>
      <c r="C505" s="14">
        <f t="shared" si="204"/>
        <v>180</v>
      </c>
      <c r="D505" s="14">
        <f t="shared" si="204"/>
        <v>90</v>
      </c>
      <c r="E505" s="14">
        <f t="shared" si="204"/>
        <v>43</v>
      </c>
      <c r="F505" s="14">
        <f t="shared" si="204"/>
        <v>2425</v>
      </c>
      <c r="G505" s="74">
        <f t="shared" si="195"/>
        <v>3050</v>
      </c>
      <c r="H505" s="14">
        <f t="shared" si="193"/>
        <v>44250</v>
      </c>
      <c r="I505" s="14">
        <v>1</v>
      </c>
      <c r="J505" s="14">
        <f t="shared" si="205"/>
        <v>88000</v>
      </c>
      <c r="K505" s="14">
        <f t="shared" si="205"/>
        <v>6</v>
      </c>
      <c r="L505" s="14">
        <v>1</v>
      </c>
      <c r="M505" s="14">
        <f t="shared" si="206"/>
        <v>900</v>
      </c>
      <c r="N505" s="14">
        <f t="shared" si="206"/>
        <v>450</v>
      </c>
      <c r="O505" s="14">
        <f t="shared" si="206"/>
        <v>218</v>
      </c>
      <c r="P505" s="14">
        <f t="shared" si="196"/>
        <v>500</v>
      </c>
      <c r="Q505" s="38">
        <f t="shared" si="194"/>
        <v>500</v>
      </c>
      <c r="R505" s="38">
        <f t="shared" si="197"/>
        <v>132250</v>
      </c>
      <c r="S505" s="38">
        <f t="shared" si="198"/>
        <v>900</v>
      </c>
      <c r="T505" s="38">
        <f t="shared" si="199"/>
        <v>450</v>
      </c>
      <c r="U505" s="38">
        <f t="shared" si="203"/>
        <v>261</v>
      </c>
      <c r="V505" s="38">
        <f t="shared" si="207"/>
        <v>6</v>
      </c>
      <c r="W505" s="38">
        <f t="shared" si="200"/>
        <v>41881</v>
      </c>
      <c r="X505" s="38">
        <f>SUM(Q$414:Q505)</f>
        <v>42250</v>
      </c>
      <c r="Y505" s="38">
        <f>SUM(R$414:R505)</f>
        <v>5913000</v>
      </c>
      <c r="Z505" s="38">
        <f t="shared" si="201"/>
        <v>900</v>
      </c>
      <c r="AA505" s="38">
        <f>SUM(T$414:T505)</f>
        <v>20556</v>
      </c>
      <c r="AB505" s="38">
        <f>SUM(U$414:U505)</f>
        <v>10318</v>
      </c>
      <c r="AC505" s="38">
        <f>SUM(V$414:V505)</f>
        <v>552</v>
      </c>
      <c r="AD505" s="38">
        <f t="shared" si="202"/>
        <v>1796152</v>
      </c>
    </row>
    <row r="506" spans="1:30" x14ac:dyDescent="0.25">
      <c r="A506" s="86" t="s">
        <v>255</v>
      </c>
      <c r="B506" s="14">
        <v>93</v>
      </c>
      <c r="C506" s="14">
        <f t="shared" si="204"/>
        <v>183</v>
      </c>
      <c r="D506" s="14">
        <f t="shared" si="204"/>
        <v>90</v>
      </c>
      <c r="E506" s="14">
        <f t="shared" si="204"/>
        <v>45</v>
      </c>
      <c r="F506" s="14">
        <f t="shared" si="204"/>
        <v>2475</v>
      </c>
      <c r="G506" s="74">
        <f t="shared" si="195"/>
        <v>3153</v>
      </c>
      <c r="H506" s="14">
        <f t="shared" si="193"/>
        <v>44750</v>
      </c>
      <c r="I506" s="14">
        <v>1</v>
      </c>
      <c r="J506" s="14">
        <f t="shared" si="205"/>
        <v>89000</v>
      </c>
      <c r="K506" s="14">
        <f t="shared" si="205"/>
        <v>6</v>
      </c>
      <c r="L506" s="14">
        <v>1</v>
      </c>
      <c r="M506" s="14">
        <f t="shared" si="206"/>
        <v>910</v>
      </c>
      <c r="N506" s="14">
        <f t="shared" si="206"/>
        <v>455</v>
      </c>
      <c r="O506" s="14">
        <f t="shared" si="206"/>
        <v>220</v>
      </c>
      <c r="P506" s="14">
        <f t="shared" si="196"/>
        <v>500</v>
      </c>
      <c r="Q506" s="38">
        <f t="shared" si="194"/>
        <v>500</v>
      </c>
      <c r="R506" s="38">
        <f t="shared" si="197"/>
        <v>133750</v>
      </c>
      <c r="S506" s="38">
        <f t="shared" si="198"/>
        <v>910</v>
      </c>
      <c r="T506" s="38">
        <f t="shared" si="199"/>
        <v>455</v>
      </c>
      <c r="U506" s="38">
        <f t="shared" si="203"/>
        <v>265</v>
      </c>
      <c r="V506" s="38">
        <f t="shared" si="207"/>
        <v>6</v>
      </c>
      <c r="W506" s="38">
        <f t="shared" si="200"/>
        <v>42396</v>
      </c>
      <c r="X506" s="38">
        <f>SUM(Q$414:Q506)</f>
        <v>42750</v>
      </c>
      <c r="Y506" s="38">
        <f>SUM(R$414:R506)</f>
        <v>6046750</v>
      </c>
      <c r="Z506" s="38">
        <f t="shared" si="201"/>
        <v>910</v>
      </c>
      <c r="AA506" s="38">
        <f>SUM(T$414:T506)</f>
        <v>21011</v>
      </c>
      <c r="AB506" s="38">
        <f>SUM(U$414:U506)</f>
        <v>10583</v>
      </c>
      <c r="AC506" s="38">
        <f>SUM(V$414:V506)</f>
        <v>558</v>
      </c>
      <c r="AD506" s="38">
        <f t="shared" si="202"/>
        <v>1837648</v>
      </c>
    </row>
    <row r="507" spans="1:30" x14ac:dyDescent="0.25">
      <c r="A507" s="86" t="s">
        <v>255</v>
      </c>
      <c r="B507" s="14">
        <v>94</v>
      </c>
      <c r="C507" s="14">
        <f t="shared" si="204"/>
        <v>185</v>
      </c>
      <c r="D507" s="14">
        <f t="shared" si="204"/>
        <v>93</v>
      </c>
      <c r="E507" s="14">
        <f t="shared" si="204"/>
        <v>45</v>
      </c>
      <c r="F507" s="14">
        <f t="shared" si="204"/>
        <v>2475</v>
      </c>
      <c r="G507" s="74">
        <f t="shared" si="195"/>
        <v>3170</v>
      </c>
      <c r="H507" s="14">
        <f t="shared" si="193"/>
        <v>45250</v>
      </c>
      <c r="I507" s="14">
        <v>1</v>
      </c>
      <c r="J507" s="14">
        <f t="shared" si="205"/>
        <v>90000</v>
      </c>
      <c r="K507" s="14">
        <f t="shared" si="205"/>
        <v>6</v>
      </c>
      <c r="L507" s="14">
        <v>1</v>
      </c>
      <c r="M507" s="14">
        <f t="shared" si="206"/>
        <v>920</v>
      </c>
      <c r="N507" s="14">
        <f t="shared" si="206"/>
        <v>460</v>
      </c>
      <c r="O507" s="14">
        <f t="shared" si="206"/>
        <v>223</v>
      </c>
      <c r="P507" s="14">
        <f t="shared" si="196"/>
        <v>500</v>
      </c>
      <c r="Q507" s="38">
        <f t="shared" si="194"/>
        <v>500</v>
      </c>
      <c r="R507" s="38">
        <f t="shared" si="197"/>
        <v>135250</v>
      </c>
      <c r="S507" s="38">
        <f t="shared" si="198"/>
        <v>920</v>
      </c>
      <c r="T507" s="38">
        <f t="shared" si="199"/>
        <v>460</v>
      </c>
      <c r="U507" s="38">
        <f t="shared" si="203"/>
        <v>268</v>
      </c>
      <c r="V507" s="38">
        <f t="shared" si="207"/>
        <v>6</v>
      </c>
      <c r="W507" s="38">
        <f t="shared" si="200"/>
        <v>42866</v>
      </c>
      <c r="X507" s="38">
        <f>SUM(Q$414:Q507)</f>
        <v>43250</v>
      </c>
      <c r="Y507" s="38">
        <f>SUM(R$414:R507)</f>
        <v>6182000</v>
      </c>
      <c r="Z507" s="38">
        <f t="shared" si="201"/>
        <v>920</v>
      </c>
      <c r="AA507" s="38">
        <f>SUM(T$414:T507)</f>
        <v>21471</v>
      </c>
      <c r="AB507" s="38">
        <f>SUM(U$414:U507)</f>
        <v>10851</v>
      </c>
      <c r="AC507" s="38">
        <f>SUM(V$414:V507)</f>
        <v>564</v>
      </c>
      <c r="AD507" s="38">
        <f t="shared" si="202"/>
        <v>1879604</v>
      </c>
    </row>
    <row r="508" spans="1:30" x14ac:dyDescent="0.25">
      <c r="A508" s="86" t="s">
        <v>255</v>
      </c>
      <c r="B508" s="14">
        <v>95</v>
      </c>
      <c r="C508" s="14">
        <f t="shared" si="204"/>
        <v>185</v>
      </c>
      <c r="D508" s="14">
        <f t="shared" si="204"/>
        <v>93</v>
      </c>
      <c r="E508" s="14">
        <f t="shared" si="204"/>
        <v>45</v>
      </c>
      <c r="F508" s="14">
        <f t="shared" si="204"/>
        <v>2525</v>
      </c>
      <c r="G508" s="74">
        <f t="shared" si="195"/>
        <v>3180</v>
      </c>
      <c r="H508" s="14">
        <f t="shared" si="193"/>
        <v>45750</v>
      </c>
      <c r="I508" s="14">
        <v>1</v>
      </c>
      <c r="J508" s="14">
        <f t="shared" si="205"/>
        <v>91000</v>
      </c>
      <c r="K508" s="14">
        <f t="shared" si="205"/>
        <v>6</v>
      </c>
      <c r="L508" s="14">
        <v>1</v>
      </c>
      <c r="M508" s="14">
        <f t="shared" si="206"/>
        <v>930</v>
      </c>
      <c r="N508" s="14">
        <f t="shared" si="206"/>
        <v>465</v>
      </c>
      <c r="O508" s="14">
        <f t="shared" si="206"/>
        <v>225</v>
      </c>
      <c r="P508" s="14">
        <f t="shared" si="196"/>
        <v>500</v>
      </c>
      <c r="Q508" s="38">
        <f t="shared" si="194"/>
        <v>500</v>
      </c>
      <c r="R508" s="38">
        <f t="shared" si="197"/>
        <v>136750</v>
      </c>
      <c r="S508" s="38">
        <f t="shared" si="198"/>
        <v>930</v>
      </c>
      <c r="T508" s="38">
        <f t="shared" si="199"/>
        <v>465</v>
      </c>
      <c r="U508" s="38">
        <f t="shared" si="203"/>
        <v>270</v>
      </c>
      <c r="V508" s="38">
        <f t="shared" si="207"/>
        <v>6</v>
      </c>
      <c r="W508" s="38">
        <f t="shared" si="200"/>
        <v>43291</v>
      </c>
      <c r="X508" s="38">
        <f>SUM(Q$414:Q508)</f>
        <v>43750</v>
      </c>
      <c r="Y508" s="38">
        <f>SUM(R$414:R508)</f>
        <v>6318750</v>
      </c>
      <c r="Z508" s="38">
        <f t="shared" si="201"/>
        <v>930</v>
      </c>
      <c r="AA508" s="38">
        <f>SUM(T$414:T508)</f>
        <v>21936</v>
      </c>
      <c r="AB508" s="38">
        <f>SUM(U$414:U508)</f>
        <v>11121</v>
      </c>
      <c r="AC508" s="38">
        <f>SUM(V$414:V508)</f>
        <v>570</v>
      </c>
      <c r="AD508" s="38">
        <f t="shared" si="202"/>
        <v>1921975</v>
      </c>
    </row>
    <row r="509" spans="1:30" x14ac:dyDescent="0.25">
      <c r="A509" s="86" t="s">
        <v>255</v>
      </c>
      <c r="B509" s="14">
        <v>96</v>
      </c>
      <c r="C509" s="14">
        <f t="shared" si="204"/>
        <v>188</v>
      </c>
      <c r="D509" s="14">
        <f t="shared" si="204"/>
        <v>93</v>
      </c>
      <c r="E509" s="14">
        <f t="shared" si="204"/>
        <v>45</v>
      </c>
      <c r="F509" s="14">
        <f t="shared" si="204"/>
        <v>2525</v>
      </c>
      <c r="G509" s="74">
        <f t="shared" si="195"/>
        <v>3183</v>
      </c>
      <c r="H509" s="14">
        <f t="shared" si="193"/>
        <v>46250</v>
      </c>
      <c r="I509" s="14">
        <v>1</v>
      </c>
      <c r="J509" s="14">
        <f t="shared" si="205"/>
        <v>92000</v>
      </c>
      <c r="K509" s="14">
        <f t="shared" si="205"/>
        <v>6</v>
      </c>
      <c r="L509" s="14">
        <v>1</v>
      </c>
      <c r="M509" s="14">
        <f t="shared" si="206"/>
        <v>940</v>
      </c>
      <c r="N509" s="14">
        <f t="shared" si="206"/>
        <v>470</v>
      </c>
      <c r="O509" s="14">
        <f t="shared" si="206"/>
        <v>228</v>
      </c>
      <c r="P509" s="14">
        <f t="shared" si="196"/>
        <v>500</v>
      </c>
      <c r="Q509" s="38">
        <f t="shared" si="194"/>
        <v>500</v>
      </c>
      <c r="R509" s="38">
        <f t="shared" si="197"/>
        <v>138250</v>
      </c>
      <c r="S509" s="38">
        <f t="shared" si="198"/>
        <v>940</v>
      </c>
      <c r="T509" s="38">
        <f t="shared" si="199"/>
        <v>470</v>
      </c>
      <c r="U509" s="38">
        <f t="shared" si="203"/>
        <v>273</v>
      </c>
      <c r="V509" s="38">
        <f t="shared" si="207"/>
        <v>6</v>
      </c>
      <c r="W509" s="38">
        <f t="shared" si="200"/>
        <v>43761</v>
      </c>
      <c r="X509" s="38">
        <f>SUM(Q$414:Q509)</f>
        <v>44250</v>
      </c>
      <c r="Y509" s="38">
        <f>SUM(R$414:R509)</f>
        <v>6457000</v>
      </c>
      <c r="Z509" s="38">
        <f t="shared" si="201"/>
        <v>940</v>
      </c>
      <c r="AA509" s="38">
        <f>SUM(T$414:T509)</f>
        <v>22406</v>
      </c>
      <c r="AB509" s="38">
        <f>SUM(U$414:U509)</f>
        <v>11394</v>
      </c>
      <c r="AC509" s="38">
        <f>SUM(V$414:V509)</f>
        <v>576</v>
      </c>
      <c r="AD509" s="38">
        <f t="shared" si="202"/>
        <v>1964806</v>
      </c>
    </row>
    <row r="510" spans="1:30" x14ac:dyDescent="0.25">
      <c r="A510" s="86" t="s">
        <v>255</v>
      </c>
      <c r="B510" s="14">
        <v>97</v>
      </c>
      <c r="C510" s="14">
        <f t="shared" si="204"/>
        <v>190</v>
      </c>
      <c r="D510" s="14">
        <f t="shared" si="204"/>
        <v>95</v>
      </c>
      <c r="E510" s="14">
        <f t="shared" si="204"/>
        <v>45</v>
      </c>
      <c r="F510" s="14">
        <f t="shared" si="204"/>
        <v>2575</v>
      </c>
      <c r="G510" s="74">
        <f t="shared" si="195"/>
        <v>3205</v>
      </c>
      <c r="H510" s="14">
        <f t="shared" ref="H510:H541" si="208">MAX(1,ROUND(H104*INDEX($O$1:$U$4,MATCH($A510,$O$1:$O$4,0),MATCH(H$413,$O$1:$U$1,0)),0))</f>
        <v>46750</v>
      </c>
      <c r="I510" s="14">
        <v>1</v>
      </c>
      <c r="J510" s="14">
        <f t="shared" si="205"/>
        <v>93000</v>
      </c>
      <c r="K510" s="14">
        <f t="shared" si="205"/>
        <v>6</v>
      </c>
      <c r="L510" s="14">
        <v>1</v>
      </c>
      <c r="M510" s="14">
        <f t="shared" si="206"/>
        <v>950</v>
      </c>
      <c r="N510" s="14">
        <f t="shared" si="206"/>
        <v>475</v>
      </c>
      <c r="O510" s="14">
        <f t="shared" si="206"/>
        <v>230</v>
      </c>
      <c r="P510" s="14">
        <f t="shared" si="196"/>
        <v>500</v>
      </c>
      <c r="Q510" s="38">
        <f t="shared" si="194"/>
        <v>500</v>
      </c>
      <c r="R510" s="38">
        <f t="shared" si="197"/>
        <v>139750</v>
      </c>
      <c r="S510" s="38">
        <f t="shared" si="198"/>
        <v>950</v>
      </c>
      <c r="T510" s="38">
        <f t="shared" si="199"/>
        <v>475</v>
      </c>
      <c r="U510" s="38">
        <f t="shared" si="203"/>
        <v>275</v>
      </c>
      <c r="V510" s="38">
        <f t="shared" si="207"/>
        <v>6</v>
      </c>
      <c r="W510" s="38">
        <f t="shared" si="200"/>
        <v>44186</v>
      </c>
      <c r="X510" s="38">
        <f>SUM(Q$414:Q510)</f>
        <v>44750</v>
      </c>
      <c r="Y510" s="38">
        <f>SUM(R$414:R510)</f>
        <v>6596750</v>
      </c>
      <c r="Z510" s="38">
        <f t="shared" si="201"/>
        <v>950</v>
      </c>
      <c r="AA510" s="38">
        <f>SUM(T$414:T510)</f>
        <v>22881</v>
      </c>
      <c r="AB510" s="38">
        <f>SUM(U$414:U510)</f>
        <v>11669</v>
      </c>
      <c r="AC510" s="38">
        <f>SUM(V$414:V510)</f>
        <v>582</v>
      </c>
      <c r="AD510" s="38">
        <f t="shared" si="202"/>
        <v>2008052</v>
      </c>
    </row>
    <row r="511" spans="1:30" x14ac:dyDescent="0.25">
      <c r="A511" s="86" t="s">
        <v>255</v>
      </c>
      <c r="B511" s="14">
        <v>98</v>
      </c>
      <c r="C511" s="14">
        <f t="shared" si="204"/>
        <v>193</v>
      </c>
      <c r="D511" s="14">
        <f t="shared" si="204"/>
        <v>95</v>
      </c>
      <c r="E511" s="14">
        <f t="shared" si="204"/>
        <v>48</v>
      </c>
      <c r="F511" s="14">
        <f t="shared" si="204"/>
        <v>2575</v>
      </c>
      <c r="G511" s="74">
        <f t="shared" si="195"/>
        <v>3343</v>
      </c>
      <c r="H511" s="14">
        <f t="shared" si="208"/>
        <v>47250</v>
      </c>
      <c r="I511" s="14">
        <v>1</v>
      </c>
      <c r="J511" s="14">
        <f t="shared" si="205"/>
        <v>94000</v>
      </c>
      <c r="K511" s="14">
        <f t="shared" si="205"/>
        <v>6</v>
      </c>
      <c r="L511" s="14">
        <v>1</v>
      </c>
      <c r="M511" s="14">
        <f t="shared" si="206"/>
        <v>960</v>
      </c>
      <c r="N511" s="14">
        <f t="shared" si="206"/>
        <v>480</v>
      </c>
      <c r="O511" s="14">
        <f t="shared" si="206"/>
        <v>233</v>
      </c>
      <c r="P511" s="14">
        <f t="shared" si="196"/>
        <v>500</v>
      </c>
      <c r="Q511" s="38">
        <f t="shared" si="194"/>
        <v>500</v>
      </c>
      <c r="R511" s="38">
        <f t="shared" si="197"/>
        <v>141250</v>
      </c>
      <c r="S511" s="38">
        <f t="shared" si="198"/>
        <v>960</v>
      </c>
      <c r="T511" s="38">
        <f t="shared" si="199"/>
        <v>480</v>
      </c>
      <c r="U511" s="38">
        <f t="shared" si="203"/>
        <v>281</v>
      </c>
      <c r="V511" s="38">
        <f t="shared" si="207"/>
        <v>6</v>
      </c>
      <c r="W511" s="38">
        <f t="shared" si="200"/>
        <v>44791</v>
      </c>
      <c r="X511" s="38">
        <f>SUM(Q$414:Q511)</f>
        <v>45250</v>
      </c>
      <c r="Y511" s="38">
        <f>SUM(R$414:R511)</f>
        <v>6738000</v>
      </c>
      <c r="Z511" s="38">
        <f t="shared" si="201"/>
        <v>960</v>
      </c>
      <c r="AA511" s="38">
        <f>SUM(T$414:T511)</f>
        <v>23361</v>
      </c>
      <c r="AB511" s="38">
        <f>SUM(U$414:U511)</f>
        <v>11950</v>
      </c>
      <c r="AC511" s="38">
        <f>SUM(V$414:V511)</f>
        <v>588</v>
      </c>
      <c r="AD511" s="38">
        <f t="shared" si="202"/>
        <v>2051893</v>
      </c>
    </row>
    <row r="512" spans="1:30" x14ac:dyDescent="0.25">
      <c r="A512" s="86" t="s">
        <v>255</v>
      </c>
      <c r="B512" s="14">
        <v>99</v>
      </c>
      <c r="C512" s="14">
        <f t="shared" si="204"/>
        <v>195</v>
      </c>
      <c r="D512" s="14">
        <f t="shared" si="204"/>
        <v>98</v>
      </c>
      <c r="E512" s="14">
        <f t="shared" si="204"/>
        <v>48</v>
      </c>
      <c r="F512" s="14">
        <f t="shared" si="204"/>
        <v>2625</v>
      </c>
      <c r="G512" s="74">
        <f t="shared" si="195"/>
        <v>3370</v>
      </c>
      <c r="H512" s="14">
        <f t="shared" si="208"/>
        <v>47750</v>
      </c>
      <c r="I512" s="14">
        <v>1</v>
      </c>
      <c r="J512" s="14">
        <f t="shared" si="205"/>
        <v>95000</v>
      </c>
      <c r="K512" s="14">
        <f t="shared" si="205"/>
        <v>6</v>
      </c>
      <c r="L512" s="14">
        <v>1</v>
      </c>
      <c r="M512" s="14">
        <f t="shared" si="206"/>
        <v>970</v>
      </c>
      <c r="N512" s="14">
        <f t="shared" si="206"/>
        <v>485</v>
      </c>
      <c r="O512" s="14">
        <f t="shared" si="206"/>
        <v>235</v>
      </c>
      <c r="P512" s="14">
        <f t="shared" si="196"/>
        <v>500</v>
      </c>
      <c r="Q512" s="38">
        <f t="shared" si="194"/>
        <v>500</v>
      </c>
      <c r="R512" s="38">
        <f t="shared" si="197"/>
        <v>142750</v>
      </c>
      <c r="S512" s="38">
        <f t="shared" si="198"/>
        <v>970</v>
      </c>
      <c r="T512" s="38">
        <f t="shared" si="199"/>
        <v>485</v>
      </c>
      <c r="U512" s="38">
        <f t="shared" si="203"/>
        <v>283</v>
      </c>
      <c r="V512" s="38">
        <f t="shared" si="207"/>
        <v>6</v>
      </c>
      <c r="W512" s="38">
        <f t="shared" si="200"/>
        <v>45216</v>
      </c>
      <c r="X512" s="38">
        <f>SUM(Q$414:Q512)</f>
        <v>45750</v>
      </c>
      <c r="Y512" s="38">
        <f>SUM(R$414:R512)</f>
        <v>6880750</v>
      </c>
      <c r="Z512" s="38">
        <f t="shared" si="201"/>
        <v>970</v>
      </c>
      <c r="AA512" s="38">
        <f>SUM(T$414:T512)</f>
        <v>23846</v>
      </c>
      <c r="AB512" s="38">
        <f>SUM(U$414:U512)</f>
        <v>12233</v>
      </c>
      <c r="AC512" s="38">
        <f>SUM(V$414:V512)</f>
        <v>594</v>
      </c>
      <c r="AD512" s="38">
        <f t="shared" si="202"/>
        <v>2096149</v>
      </c>
    </row>
    <row r="513" spans="1:30" x14ac:dyDescent="0.25">
      <c r="A513" s="86" t="s">
        <v>255</v>
      </c>
      <c r="B513" s="14">
        <v>100</v>
      </c>
      <c r="C513" s="14">
        <f t="shared" si="204"/>
        <v>195</v>
      </c>
      <c r="D513" s="14">
        <f t="shared" si="204"/>
        <v>98</v>
      </c>
      <c r="E513" s="14">
        <f t="shared" si="204"/>
        <v>48</v>
      </c>
      <c r="F513" s="14">
        <f t="shared" si="204"/>
        <v>2625</v>
      </c>
      <c r="G513" s="74">
        <f t="shared" si="195"/>
        <v>3370</v>
      </c>
      <c r="H513" s="14">
        <f t="shared" si="208"/>
        <v>48250</v>
      </c>
      <c r="I513" s="14">
        <v>1</v>
      </c>
      <c r="J513" s="14">
        <f t="shared" si="205"/>
        <v>96000</v>
      </c>
      <c r="K513" s="14">
        <f t="shared" si="205"/>
        <v>6</v>
      </c>
      <c r="L513" s="14">
        <v>1</v>
      </c>
      <c r="M513" s="14">
        <f t="shared" si="206"/>
        <v>980</v>
      </c>
      <c r="N513" s="14">
        <f t="shared" si="206"/>
        <v>490</v>
      </c>
      <c r="O513" s="14">
        <f t="shared" si="206"/>
        <v>238</v>
      </c>
      <c r="P513" s="14">
        <f t="shared" si="196"/>
        <v>500</v>
      </c>
      <c r="Q513" s="38">
        <f t="shared" si="194"/>
        <v>500</v>
      </c>
      <c r="R513" s="38">
        <f t="shared" si="197"/>
        <v>144250</v>
      </c>
      <c r="S513" s="38">
        <f t="shared" si="198"/>
        <v>980</v>
      </c>
      <c r="T513" s="38">
        <f t="shared" si="199"/>
        <v>490</v>
      </c>
      <c r="U513" s="38">
        <f t="shared" si="203"/>
        <v>286</v>
      </c>
      <c r="V513" s="38">
        <f t="shared" si="207"/>
        <v>6</v>
      </c>
      <c r="W513" s="38">
        <f t="shared" si="200"/>
        <v>45686</v>
      </c>
      <c r="X513" s="38">
        <f>SUM(Q$414:Q513)</f>
        <v>46250</v>
      </c>
      <c r="Y513" s="38">
        <f>SUM(R$414:R513)</f>
        <v>7025000</v>
      </c>
      <c r="Z513" s="38">
        <f t="shared" si="201"/>
        <v>980</v>
      </c>
      <c r="AA513" s="38">
        <f>SUM(T$414:T513)</f>
        <v>24336</v>
      </c>
      <c r="AB513" s="38">
        <f>SUM(U$414:U513)</f>
        <v>12519</v>
      </c>
      <c r="AC513" s="38">
        <f>SUM(V$414:V513)</f>
        <v>600</v>
      </c>
      <c r="AD513" s="38">
        <f t="shared" si="202"/>
        <v>2140865</v>
      </c>
    </row>
    <row r="514" spans="1:30" x14ac:dyDescent="0.25">
      <c r="A514" s="86" t="s">
        <v>255</v>
      </c>
      <c r="B514" s="14">
        <v>101</v>
      </c>
      <c r="C514" s="14">
        <f t="shared" ref="C514:C545" si="209">MAX(1,ROUND(C108*INDEX($O$1:$U$4,MATCH($A514,$O$1:$O$4,0),MATCH(C$413,$O$1:$U$1,0)),0))</f>
        <v>198</v>
      </c>
      <c r="D514" s="14">
        <f t="shared" ref="D514" si="210">MAX(1,ROUND(D108*INDEX($O$1:$U$4,MATCH($A514,$O$1:$O$4,0),MATCH(D$413,$O$1:$U$1,0)),0))</f>
        <v>98</v>
      </c>
      <c r="E514" s="14">
        <f t="shared" ref="E514:E545" si="211">MAX(1,ROUND(E108*INDEX($O$1:$U$4,MATCH($A514,$O$1:$O$4,0),MATCH(E$413,$O$1:$U$1,0)),0))</f>
        <v>48</v>
      </c>
      <c r="F514" s="14">
        <f t="shared" ref="F514" si="212">MAX(1,ROUND(F108*INDEX($O$1:$U$4,MATCH($A514,$O$1:$O$4,0),MATCH(F$413,$O$1:$U$1,0)),0))</f>
        <v>2675</v>
      </c>
      <c r="G514" s="74">
        <f>SUMPRODUCT($C$6:$F$6,C514:F514)</f>
        <v>3383</v>
      </c>
      <c r="H514" s="14">
        <f t="shared" si="208"/>
        <v>48750</v>
      </c>
      <c r="I514" s="14">
        <v>1</v>
      </c>
      <c r="J514" s="14">
        <f t="shared" ref="J514:K533" si="213">MAX(1,ROUND(J108*INDEX($O$1:$U$4,MATCH($A514,$O$1:$O$4,0),MATCH(J$413,$O$1:$U$1,0)),0))</f>
        <v>97000</v>
      </c>
      <c r="K514" s="14">
        <f t="shared" si="213"/>
        <v>6</v>
      </c>
      <c r="L514" s="14">
        <v>1</v>
      </c>
      <c r="M514" s="14">
        <f t="shared" si="206"/>
        <v>990</v>
      </c>
      <c r="N514" s="14">
        <f t="shared" si="206"/>
        <v>495</v>
      </c>
      <c r="O514" s="14">
        <f t="shared" si="206"/>
        <v>240</v>
      </c>
      <c r="P514" s="14">
        <f t="shared" si="196"/>
        <v>500</v>
      </c>
      <c r="Q514" s="38">
        <f t="shared" si="194"/>
        <v>500</v>
      </c>
      <c r="R514" s="38">
        <f t="shared" si="197"/>
        <v>145750</v>
      </c>
      <c r="S514" s="38">
        <f t="shared" si="198"/>
        <v>990</v>
      </c>
      <c r="T514" s="38">
        <f t="shared" si="199"/>
        <v>495</v>
      </c>
      <c r="U514" s="38">
        <f t="shared" si="203"/>
        <v>288</v>
      </c>
      <c r="V514" s="38">
        <f t="shared" si="207"/>
        <v>6</v>
      </c>
      <c r="W514" s="38">
        <f>SUMPRODUCT($Q$6:$V$6,Q514:V514)</f>
        <v>46111</v>
      </c>
      <c r="X514" s="38">
        <f>SUM(Q$414:Q514)</f>
        <v>46750</v>
      </c>
      <c r="Y514" s="38">
        <f>SUM(R$414:R514)</f>
        <v>7170750</v>
      </c>
      <c r="Z514" s="38">
        <f>SUM(S514:S514)</f>
        <v>990</v>
      </c>
      <c r="AA514" s="38">
        <f>SUM(T$414:T514)</f>
        <v>24831</v>
      </c>
      <c r="AB514" s="38">
        <f>SUM(U$414:U514)</f>
        <v>12807</v>
      </c>
      <c r="AC514" s="38">
        <f>SUM(V$414:V514)</f>
        <v>606</v>
      </c>
      <c r="AD514" s="38">
        <f>SUMPRODUCT($X$6:$AC$6,X514:AC514)</f>
        <v>2185996</v>
      </c>
    </row>
    <row r="515" spans="1:30" x14ac:dyDescent="0.25">
      <c r="A515" s="86" t="s">
        <v>255</v>
      </c>
      <c r="B515" s="14">
        <v>102</v>
      </c>
      <c r="C515" s="14">
        <f t="shared" si="209"/>
        <v>200</v>
      </c>
      <c r="D515" s="14">
        <f t="shared" ref="D515:D546" si="214">MAX(1,ROUND(D109*INDEX($O$1:$U$4,MATCH($A515,$O$1:$O$4,0),MATCH(D$413,$O$1:$U$1,0)),0))</f>
        <v>100</v>
      </c>
      <c r="E515" s="14">
        <f t="shared" si="211"/>
        <v>48</v>
      </c>
      <c r="F515" s="14">
        <f t="shared" ref="F515:F546" si="215">MAX(1,ROUND(F109*INDEX($O$1:$U$4,MATCH($A515,$O$1:$O$4,0),MATCH(F$413,$O$1:$U$1,0)),0))</f>
        <v>2675</v>
      </c>
      <c r="G515" s="74">
        <f t="shared" ref="G515:G578" si="216">SUMPRODUCT($C$6:$F$6,C515:F515)</f>
        <v>3395</v>
      </c>
      <c r="H515" s="14">
        <f t="shared" si="208"/>
        <v>49250</v>
      </c>
      <c r="I515" s="14">
        <v>1</v>
      </c>
      <c r="J515" s="14">
        <f t="shared" si="213"/>
        <v>98000</v>
      </c>
      <c r="K515" s="14">
        <f t="shared" si="213"/>
        <v>6</v>
      </c>
      <c r="L515" s="14">
        <v>1</v>
      </c>
      <c r="M515" s="14">
        <f t="shared" ref="M515:O534" si="217">MAX(1,ROUND(M109*INDEX($O$1:$U$4,MATCH($A515,$O$1:$O$4,0),MATCH(M$413,$O$1:$U$1,0)),0))</f>
        <v>1000</v>
      </c>
      <c r="N515" s="14">
        <f t="shared" si="217"/>
        <v>500</v>
      </c>
      <c r="O515" s="14">
        <f t="shared" si="217"/>
        <v>243</v>
      </c>
      <c r="P515" s="14">
        <f t="shared" si="196"/>
        <v>500</v>
      </c>
      <c r="Q515" s="38">
        <f t="shared" si="194"/>
        <v>500</v>
      </c>
      <c r="R515" s="38">
        <f t="shared" si="197"/>
        <v>147250</v>
      </c>
      <c r="S515" s="38">
        <f t="shared" si="198"/>
        <v>1000</v>
      </c>
      <c r="T515" s="38">
        <f t="shared" si="199"/>
        <v>500</v>
      </c>
      <c r="U515" s="38">
        <f t="shared" ref="U515:U532" si="218">E515+O515</f>
        <v>291</v>
      </c>
      <c r="V515" s="38">
        <f t="shared" ref="V515:V532" si="219">K515</f>
        <v>6</v>
      </c>
      <c r="W515" s="38">
        <f t="shared" ref="W515:W578" si="220">SUMPRODUCT($Q$6:$V$6,Q515:V515)</f>
        <v>46581</v>
      </c>
      <c r="X515" s="38">
        <f>SUM(Q$414:Q515)</f>
        <v>47250</v>
      </c>
      <c r="Y515" s="38">
        <f>SUM(R$414:R515)</f>
        <v>7318000</v>
      </c>
      <c r="Z515" s="38">
        <f t="shared" ref="Z515:Z578" si="221">SUM(S515:S515)</f>
        <v>1000</v>
      </c>
      <c r="AA515" s="38">
        <f>SUM(T$414:T515)</f>
        <v>25331</v>
      </c>
      <c r="AB515" s="38">
        <f>SUM(U$414:U515)</f>
        <v>13098</v>
      </c>
      <c r="AC515" s="38">
        <f>SUM(V$414:V515)</f>
        <v>612</v>
      </c>
      <c r="AD515" s="38">
        <f t="shared" ref="AD515:AD578" si="222">SUMPRODUCT($X$6:$AC$6,X515:AC515)</f>
        <v>2231587</v>
      </c>
    </row>
    <row r="516" spans="1:30" x14ac:dyDescent="0.25">
      <c r="A516" s="86" t="s">
        <v>255</v>
      </c>
      <c r="B516" s="14">
        <v>103</v>
      </c>
      <c r="C516" s="14">
        <f t="shared" si="209"/>
        <v>203</v>
      </c>
      <c r="D516" s="14">
        <f t="shared" si="214"/>
        <v>100</v>
      </c>
      <c r="E516" s="14">
        <f t="shared" si="211"/>
        <v>50</v>
      </c>
      <c r="F516" s="14">
        <f t="shared" si="215"/>
        <v>2725</v>
      </c>
      <c r="G516" s="74">
        <f t="shared" si="216"/>
        <v>3498</v>
      </c>
      <c r="H516" s="14">
        <f t="shared" si="208"/>
        <v>49750</v>
      </c>
      <c r="I516" s="14">
        <v>1</v>
      </c>
      <c r="J516" s="14">
        <f t="shared" si="213"/>
        <v>99000</v>
      </c>
      <c r="K516" s="14">
        <f t="shared" si="213"/>
        <v>6</v>
      </c>
      <c r="L516" s="14">
        <v>1</v>
      </c>
      <c r="M516" s="14">
        <f t="shared" si="217"/>
        <v>1010</v>
      </c>
      <c r="N516" s="14">
        <f t="shared" si="217"/>
        <v>505</v>
      </c>
      <c r="O516" s="14">
        <f t="shared" si="217"/>
        <v>245</v>
      </c>
      <c r="P516" s="14">
        <f t="shared" si="196"/>
        <v>500</v>
      </c>
      <c r="Q516" s="38">
        <f t="shared" si="194"/>
        <v>500</v>
      </c>
      <c r="R516" s="38">
        <f t="shared" si="197"/>
        <v>148750</v>
      </c>
      <c r="S516" s="38">
        <f t="shared" si="198"/>
        <v>1010</v>
      </c>
      <c r="T516" s="38">
        <f t="shared" si="199"/>
        <v>505</v>
      </c>
      <c r="U516" s="38">
        <f t="shared" si="218"/>
        <v>295</v>
      </c>
      <c r="V516" s="38">
        <f t="shared" si="219"/>
        <v>6</v>
      </c>
      <c r="W516" s="38">
        <f t="shared" si="220"/>
        <v>47096</v>
      </c>
      <c r="X516" s="38">
        <f>SUM(Q$414:Q516)</f>
        <v>47750</v>
      </c>
      <c r="Y516" s="38">
        <f>SUM(R$414:R516)</f>
        <v>7466750</v>
      </c>
      <c r="Z516" s="38">
        <f t="shared" si="221"/>
        <v>1010</v>
      </c>
      <c r="AA516" s="38">
        <f>SUM(T$414:T516)</f>
        <v>25836</v>
      </c>
      <c r="AB516" s="38">
        <f>SUM(U$414:U516)</f>
        <v>13393</v>
      </c>
      <c r="AC516" s="38">
        <f>SUM(V$414:V516)</f>
        <v>618</v>
      </c>
      <c r="AD516" s="38">
        <f t="shared" si="222"/>
        <v>2277683</v>
      </c>
    </row>
    <row r="517" spans="1:30" x14ac:dyDescent="0.25">
      <c r="A517" s="86" t="s">
        <v>255</v>
      </c>
      <c r="B517" s="14">
        <v>104</v>
      </c>
      <c r="C517" s="14">
        <f t="shared" si="209"/>
        <v>205</v>
      </c>
      <c r="D517" s="14">
        <f t="shared" si="214"/>
        <v>103</v>
      </c>
      <c r="E517" s="14">
        <f t="shared" si="211"/>
        <v>50</v>
      </c>
      <c r="F517" s="14">
        <f t="shared" si="215"/>
        <v>2725</v>
      </c>
      <c r="G517" s="74">
        <f t="shared" si="216"/>
        <v>3515</v>
      </c>
      <c r="H517" s="14">
        <f t="shared" si="208"/>
        <v>50250</v>
      </c>
      <c r="I517" s="14">
        <v>1</v>
      </c>
      <c r="J517" s="14">
        <f t="shared" si="213"/>
        <v>100000</v>
      </c>
      <c r="K517" s="14">
        <f t="shared" si="213"/>
        <v>6</v>
      </c>
      <c r="L517" s="14">
        <v>1</v>
      </c>
      <c r="M517" s="14">
        <f t="shared" si="217"/>
        <v>1020</v>
      </c>
      <c r="N517" s="14">
        <f t="shared" si="217"/>
        <v>510</v>
      </c>
      <c r="O517" s="14">
        <f t="shared" si="217"/>
        <v>248</v>
      </c>
      <c r="P517" s="14">
        <f t="shared" si="196"/>
        <v>500</v>
      </c>
      <c r="Q517" s="38">
        <f t="shared" si="194"/>
        <v>500</v>
      </c>
      <c r="R517" s="38">
        <f t="shared" si="197"/>
        <v>150250</v>
      </c>
      <c r="S517" s="38">
        <f t="shared" si="198"/>
        <v>1020</v>
      </c>
      <c r="T517" s="38">
        <f t="shared" si="199"/>
        <v>510</v>
      </c>
      <c r="U517" s="38">
        <f t="shared" si="218"/>
        <v>298</v>
      </c>
      <c r="V517" s="38">
        <f t="shared" si="219"/>
        <v>6</v>
      </c>
      <c r="W517" s="38">
        <f t="shared" si="220"/>
        <v>47566</v>
      </c>
      <c r="X517" s="38">
        <f>SUM(Q$414:Q517)</f>
        <v>48250</v>
      </c>
      <c r="Y517" s="38">
        <f>SUM(R$414:R517)</f>
        <v>7617000</v>
      </c>
      <c r="Z517" s="38">
        <f t="shared" si="221"/>
        <v>1020</v>
      </c>
      <c r="AA517" s="38">
        <f>SUM(T$414:T517)</f>
        <v>26346</v>
      </c>
      <c r="AB517" s="38">
        <f>SUM(U$414:U517)</f>
        <v>13691</v>
      </c>
      <c r="AC517" s="38">
        <f>SUM(V$414:V517)</f>
        <v>624</v>
      </c>
      <c r="AD517" s="38">
        <f t="shared" si="222"/>
        <v>2324239</v>
      </c>
    </row>
    <row r="518" spans="1:30" x14ac:dyDescent="0.25">
      <c r="A518" s="86" t="s">
        <v>255</v>
      </c>
      <c r="B518" s="14">
        <v>105</v>
      </c>
      <c r="C518" s="14">
        <f t="shared" si="209"/>
        <v>205</v>
      </c>
      <c r="D518" s="14">
        <f t="shared" si="214"/>
        <v>103</v>
      </c>
      <c r="E518" s="14">
        <f t="shared" si="211"/>
        <v>50</v>
      </c>
      <c r="F518" s="14">
        <f t="shared" si="215"/>
        <v>2775</v>
      </c>
      <c r="G518" s="74">
        <f t="shared" si="216"/>
        <v>3525</v>
      </c>
      <c r="H518" s="14">
        <f t="shared" si="208"/>
        <v>50750</v>
      </c>
      <c r="I518" s="14">
        <v>1</v>
      </c>
      <c r="J518" s="14">
        <f t="shared" si="213"/>
        <v>101000</v>
      </c>
      <c r="K518" s="14">
        <f t="shared" si="213"/>
        <v>6</v>
      </c>
      <c r="L518" s="14">
        <v>1</v>
      </c>
      <c r="M518" s="14">
        <f t="shared" si="217"/>
        <v>1030</v>
      </c>
      <c r="N518" s="14">
        <f t="shared" si="217"/>
        <v>515</v>
      </c>
      <c r="O518" s="14">
        <f t="shared" si="217"/>
        <v>250</v>
      </c>
      <c r="P518" s="14">
        <f t="shared" si="196"/>
        <v>500</v>
      </c>
      <c r="Q518" s="38">
        <f t="shared" si="194"/>
        <v>500</v>
      </c>
      <c r="R518" s="38">
        <f t="shared" si="197"/>
        <v>151750</v>
      </c>
      <c r="S518" s="38">
        <f t="shared" si="198"/>
        <v>1030</v>
      </c>
      <c r="T518" s="38">
        <f t="shared" si="199"/>
        <v>515</v>
      </c>
      <c r="U518" s="38">
        <f t="shared" si="218"/>
        <v>300</v>
      </c>
      <c r="V518" s="38">
        <f t="shared" si="219"/>
        <v>6</v>
      </c>
      <c r="W518" s="38">
        <f t="shared" si="220"/>
        <v>47991</v>
      </c>
      <c r="X518" s="38">
        <f>SUM(Q$414:Q518)</f>
        <v>48750</v>
      </c>
      <c r="Y518" s="38">
        <f>SUM(R$414:R518)</f>
        <v>7768750</v>
      </c>
      <c r="Z518" s="38">
        <f t="shared" si="221"/>
        <v>1030</v>
      </c>
      <c r="AA518" s="38">
        <f>SUM(T$414:T518)</f>
        <v>26861</v>
      </c>
      <c r="AB518" s="38">
        <f>SUM(U$414:U518)</f>
        <v>13991</v>
      </c>
      <c r="AC518" s="38">
        <f>SUM(V$414:V518)</f>
        <v>630</v>
      </c>
      <c r="AD518" s="38">
        <f t="shared" si="222"/>
        <v>2371210</v>
      </c>
    </row>
    <row r="519" spans="1:30" x14ac:dyDescent="0.25">
      <c r="A519" s="86" t="s">
        <v>255</v>
      </c>
      <c r="B519" s="14">
        <v>106</v>
      </c>
      <c r="C519" s="14">
        <f t="shared" si="209"/>
        <v>208</v>
      </c>
      <c r="D519" s="14">
        <f t="shared" si="214"/>
        <v>103</v>
      </c>
      <c r="E519" s="14">
        <f t="shared" si="211"/>
        <v>50</v>
      </c>
      <c r="F519" s="14">
        <f t="shared" si="215"/>
        <v>2775</v>
      </c>
      <c r="G519" s="74">
        <f t="shared" si="216"/>
        <v>3528</v>
      </c>
      <c r="H519" s="14">
        <f t="shared" si="208"/>
        <v>51250</v>
      </c>
      <c r="I519" s="14">
        <v>1</v>
      </c>
      <c r="J519" s="14">
        <f t="shared" si="213"/>
        <v>102000</v>
      </c>
      <c r="K519" s="14">
        <f t="shared" si="213"/>
        <v>6</v>
      </c>
      <c r="L519" s="14">
        <v>1</v>
      </c>
      <c r="M519" s="14">
        <f t="shared" si="217"/>
        <v>1040</v>
      </c>
      <c r="N519" s="14">
        <f t="shared" si="217"/>
        <v>520</v>
      </c>
      <c r="O519" s="14">
        <f t="shared" si="217"/>
        <v>253</v>
      </c>
      <c r="P519" s="14">
        <f t="shared" si="196"/>
        <v>500</v>
      </c>
      <c r="Q519" s="38">
        <f t="shared" si="194"/>
        <v>500</v>
      </c>
      <c r="R519" s="38">
        <f t="shared" si="197"/>
        <v>153250</v>
      </c>
      <c r="S519" s="38">
        <f t="shared" si="198"/>
        <v>1040</v>
      </c>
      <c r="T519" s="38">
        <f t="shared" si="199"/>
        <v>520</v>
      </c>
      <c r="U519" s="38">
        <f t="shared" si="218"/>
        <v>303</v>
      </c>
      <c r="V519" s="38">
        <f t="shared" si="219"/>
        <v>6</v>
      </c>
      <c r="W519" s="38">
        <f t="shared" si="220"/>
        <v>48461</v>
      </c>
      <c r="X519" s="38">
        <f>SUM(Q$414:Q519)</f>
        <v>49250</v>
      </c>
      <c r="Y519" s="38">
        <f>SUM(R$414:R519)</f>
        <v>7922000</v>
      </c>
      <c r="Z519" s="38">
        <f t="shared" si="221"/>
        <v>1040</v>
      </c>
      <c r="AA519" s="38">
        <f>SUM(T$414:T519)</f>
        <v>27381</v>
      </c>
      <c r="AB519" s="38">
        <f>SUM(U$414:U519)</f>
        <v>14294</v>
      </c>
      <c r="AC519" s="38">
        <f>SUM(V$414:V519)</f>
        <v>636</v>
      </c>
      <c r="AD519" s="38">
        <f t="shared" si="222"/>
        <v>2418641</v>
      </c>
    </row>
    <row r="520" spans="1:30" x14ac:dyDescent="0.25">
      <c r="A520" s="86" t="s">
        <v>255</v>
      </c>
      <c r="B520" s="14">
        <v>107</v>
      </c>
      <c r="C520" s="14">
        <f t="shared" si="209"/>
        <v>210</v>
      </c>
      <c r="D520" s="14">
        <f t="shared" si="214"/>
        <v>105</v>
      </c>
      <c r="E520" s="14">
        <f t="shared" si="211"/>
        <v>50</v>
      </c>
      <c r="F520" s="14">
        <f t="shared" si="215"/>
        <v>2825</v>
      </c>
      <c r="G520" s="74">
        <f t="shared" si="216"/>
        <v>3550</v>
      </c>
      <c r="H520" s="14">
        <f t="shared" si="208"/>
        <v>51750</v>
      </c>
      <c r="I520" s="14">
        <v>1</v>
      </c>
      <c r="J520" s="14">
        <f t="shared" si="213"/>
        <v>103000</v>
      </c>
      <c r="K520" s="14">
        <f t="shared" si="213"/>
        <v>6</v>
      </c>
      <c r="L520" s="14">
        <v>1</v>
      </c>
      <c r="M520" s="14">
        <f t="shared" si="217"/>
        <v>1050</v>
      </c>
      <c r="N520" s="14">
        <f t="shared" si="217"/>
        <v>525</v>
      </c>
      <c r="O520" s="14">
        <f t="shared" si="217"/>
        <v>255</v>
      </c>
      <c r="P520" s="14">
        <f t="shared" si="196"/>
        <v>500</v>
      </c>
      <c r="Q520" s="38">
        <f t="shared" si="194"/>
        <v>500</v>
      </c>
      <c r="R520" s="38">
        <f t="shared" si="197"/>
        <v>154750</v>
      </c>
      <c r="S520" s="38">
        <f t="shared" si="198"/>
        <v>1050</v>
      </c>
      <c r="T520" s="38">
        <f t="shared" si="199"/>
        <v>525</v>
      </c>
      <c r="U520" s="38">
        <f t="shared" si="218"/>
        <v>305</v>
      </c>
      <c r="V520" s="38">
        <f t="shared" si="219"/>
        <v>6</v>
      </c>
      <c r="W520" s="38">
        <f t="shared" si="220"/>
        <v>48886</v>
      </c>
      <c r="X520" s="38">
        <f>SUM(Q$414:Q520)</f>
        <v>49750</v>
      </c>
      <c r="Y520" s="38">
        <f>SUM(R$414:R520)</f>
        <v>8076750</v>
      </c>
      <c r="Z520" s="38">
        <f t="shared" si="221"/>
        <v>1050</v>
      </c>
      <c r="AA520" s="38">
        <f>SUM(T$414:T520)</f>
        <v>27906</v>
      </c>
      <c r="AB520" s="38">
        <f>SUM(U$414:U520)</f>
        <v>14599</v>
      </c>
      <c r="AC520" s="38">
        <f>SUM(V$414:V520)</f>
        <v>642</v>
      </c>
      <c r="AD520" s="38">
        <f t="shared" si="222"/>
        <v>2466487</v>
      </c>
    </row>
    <row r="521" spans="1:30" x14ac:dyDescent="0.25">
      <c r="A521" s="86" t="s">
        <v>255</v>
      </c>
      <c r="B521" s="14">
        <v>108</v>
      </c>
      <c r="C521" s="14">
        <f t="shared" si="209"/>
        <v>213</v>
      </c>
      <c r="D521" s="14">
        <f t="shared" si="214"/>
        <v>105</v>
      </c>
      <c r="E521" s="14">
        <f t="shared" si="211"/>
        <v>53</v>
      </c>
      <c r="F521" s="14">
        <f t="shared" si="215"/>
        <v>2825</v>
      </c>
      <c r="G521" s="74">
        <f t="shared" si="216"/>
        <v>3688</v>
      </c>
      <c r="H521" s="14">
        <f t="shared" si="208"/>
        <v>52250</v>
      </c>
      <c r="I521" s="14">
        <v>1</v>
      </c>
      <c r="J521" s="14">
        <f t="shared" si="213"/>
        <v>104000</v>
      </c>
      <c r="K521" s="14">
        <f t="shared" si="213"/>
        <v>6</v>
      </c>
      <c r="L521" s="14">
        <v>1</v>
      </c>
      <c r="M521" s="14">
        <f t="shared" si="217"/>
        <v>1060</v>
      </c>
      <c r="N521" s="14">
        <f t="shared" si="217"/>
        <v>530</v>
      </c>
      <c r="O521" s="14">
        <f t="shared" si="217"/>
        <v>258</v>
      </c>
      <c r="P521" s="14">
        <f t="shared" si="196"/>
        <v>500</v>
      </c>
      <c r="Q521" s="38">
        <f t="shared" si="194"/>
        <v>500</v>
      </c>
      <c r="R521" s="38">
        <f t="shared" si="197"/>
        <v>156250</v>
      </c>
      <c r="S521" s="38">
        <f t="shared" si="198"/>
        <v>1060</v>
      </c>
      <c r="T521" s="38">
        <f t="shared" si="199"/>
        <v>530</v>
      </c>
      <c r="U521" s="38">
        <f t="shared" si="218"/>
        <v>311</v>
      </c>
      <c r="V521" s="38">
        <f t="shared" si="219"/>
        <v>6</v>
      </c>
      <c r="W521" s="38">
        <f t="shared" si="220"/>
        <v>49491</v>
      </c>
      <c r="X521" s="38">
        <f>SUM(Q$414:Q521)</f>
        <v>50250</v>
      </c>
      <c r="Y521" s="38">
        <f>SUM(R$414:R521)</f>
        <v>8233000</v>
      </c>
      <c r="Z521" s="38">
        <f t="shared" si="221"/>
        <v>1060</v>
      </c>
      <c r="AA521" s="38">
        <f>SUM(T$414:T521)</f>
        <v>28436</v>
      </c>
      <c r="AB521" s="38">
        <f>SUM(U$414:U521)</f>
        <v>14910</v>
      </c>
      <c r="AC521" s="38">
        <f>SUM(V$414:V521)</f>
        <v>648</v>
      </c>
      <c r="AD521" s="38">
        <f t="shared" si="222"/>
        <v>2514928</v>
      </c>
    </row>
    <row r="522" spans="1:30" x14ac:dyDescent="0.25">
      <c r="A522" s="86" t="s">
        <v>255</v>
      </c>
      <c r="B522" s="14">
        <v>109</v>
      </c>
      <c r="C522" s="14">
        <f t="shared" si="209"/>
        <v>215</v>
      </c>
      <c r="D522" s="14">
        <f t="shared" si="214"/>
        <v>108</v>
      </c>
      <c r="E522" s="14">
        <f t="shared" si="211"/>
        <v>53</v>
      </c>
      <c r="F522" s="14">
        <f t="shared" si="215"/>
        <v>2875</v>
      </c>
      <c r="G522" s="74">
        <f t="shared" si="216"/>
        <v>3715</v>
      </c>
      <c r="H522" s="14">
        <f t="shared" si="208"/>
        <v>52750</v>
      </c>
      <c r="I522" s="14">
        <v>1</v>
      </c>
      <c r="J522" s="14">
        <f t="shared" si="213"/>
        <v>105000</v>
      </c>
      <c r="K522" s="14">
        <f t="shared" si="213"/>
        <v>6</v>
      </c>
      <c r="L522" s="14">
        <v>1</v>
      </c>
      <c r="M522" s="14">
        <f t="shared" si="217"/>
        <v>1070</v>
      </c>
      <c r="N522" s="14">
        <f t="shared" si="217"/>
        <v>535</v>
      </c>
      <c r="O522" s="14">
        <f t="shared" si="217"/>
        <v>260</v>
      </c>
      <c r="P522" s="14">
        <f t="shared" si="196"/>
        <v>500</v>
      </c>
      <c r="Q522" s="38">
        <f t="shared" si="194"/>
        <v>500</v>
      </c>
      <c r="R522" s="38">
        <f t="shared" si="197"/>
        <v>157750</v>
      </c>
      <c r="S522" s="38">
        <f t="shared" si="198"/>
        <v>1070</v>
      </c>
      <c r="T522" s="38">
        <f t="shared" si="199"/>
        <v>535</v>
      </c>
      <c r="U522" s="38">
        <f t="shared" si="218"/>
        <v>313</v>
      </c>
      <c r="V522" s="38">
        <f t="shared" si="219"/>
        <v>6</v>
      </c>
      <c r="W522" s="38">
        <f t="shared" si="220"/>
        <v>49916</v>
      </c>
      <c r="X522" s="38">
        <f>SUM(Q$414:Q522)</f>
        <v>50750</v>
      </c>
      <c r="Y522" s="38">
        <f>SUM(R$414:R522)</f>
        <v>8390750</v>
      </c>
      <c r="Z522" s="38">
        <f t="shared" si="221"/>
        <v>1070</v>
      </c>
      <c r="AA522" s="38">
        <f>SUM(T$414:T522)</f>
        <v>28971</v>
      </c>
      <c r="AB522" s="38">
        <f>SUM(U$414:U522)</f>
        <v>15223</v>
      </c>
      <c r="AC522" s="38">
        <f>SUM(V$414:V522)</f>
        <v>654</v>
      </c>
      <c r="AD522" s="38">
        <f t="shared" si="222"/>
        <v>2563784</v>
      </c>
    </row>
    <row r="523" spans="1:30" x14ac:dyDescent="0.25">
      <c r="A523" s="86" t="s">
        <v>255</v>
      </c>
      <c r="B523" s="14">
        <v>110</v>
      </c>
      <c r="C523" s="14">
        <f t="shared" si="209"/>
        <v>215</v>
      </c>
      <c r="D523" s="14">
        <f t="shared" si="214"/>
        <v>108</v>
      </c>
      <c r="E523" s="14">
        <f t="shared" si="211"/>
        <v>53</v>
      </c>
      <c r="F523" s="14">
        <f t="shared" si="215"/>
        <v>2875</v>
      </c>
      <c r="G523" s="74">
        <f t="shared" si="216"/>
        <v>3715</v>
      </c>
      <c r="H523" s="14">
        <f t="shared" si="208"/>
        <v>53250</v>
      </c>
      <c r="I523" s="14">
        <v>1</v>
      </c>
      <c r="J523" s="14">
        <f t="shared" si="213"/>
        <v>106000</v>
      </c>
      <c r="K523" s="14">
        <f t="shared" si="213"/>
        <v>6</v>
      </c>
      <c r="L523" s="14">
        <v>1</v>
      </c>
      <c r="M523" s="14">
        <f t="shared" si="217"/>
        <v>1080</v>
      </c>
      <c r="N523" s="14">
        <f t="shared" si="217"/>
        <v>540</v>
      </c>
      <c r="O523" s="14">
        <f t="shared" si="217"/>
        <v>263</v>
      </c>
      <c r="P523" s="14">
        <f t="shared" si="196"/>
        <v>500</v>
      </c>
      <c r="Q523" s="38">
        <f t="shared" si="194"/>
        <v>500</v>
      </c>
      <c r="R523" s="38">
        <f t="shared" si="197"/>
        <v>159250</v>
      </c>
      <c r="S523" s="38">
        <f t="shared" si="198"/>
        <v>1080</v>
      </c>
      <c r="T523" s="38">
        <f t="shared" si="199"/>
        <v>540</v>
      </c>
      <c r="U523" s="38">
        <f t="shared" si="218"/>
        <v>316</v>
      </c>
      <c r="V523" s="38">
        <f t="shared" si="219"/>
        <v>6</v>
      </c>
      <c r="W523" s="38">
        <f t="shared" si="220"/>
        <v>50386</v>
      </c>
      <c r="X523" s="38">
        <f>SUM(Q$414:Q523)</f>
        <v>51250</v>
      </c>
      <c r="Y523" s="38">
        <f>SUM(R$414:R523)</f>
        <v>8550000</v>
      </c>
      <c r="Z523" s="38">
        <f t="shared" si="221"/>
        <v>1080</v>
      </c>
      <c r="AA523" s="38">
        <f>SUM(T$414:T523)</f>
        <v>29511</v>
      </c>
      <c r="AB523" s="38">
        <f>SUM(U$414:U523)</f>
        <v>15539</v>
      </c>
      <c r="AC523" s="38">
        <f>SUM(V$414:V523)</f>
        <v>660</v>
      </c>
      <c r="AD523" s="38">
        <f t="shared" si="222"/>
        <v>2613100</v>
      </c>
    </row>
    <row r="524" spans="1:30" x14ac:dyDescent="0.25">
      <c r="A524" s="86" t="s">
        <v>255</v>
      </c>
      <c r="B524" s="14">
        <v>111</v>
      </c>
      <c r="C524" s="14">
        <f t="shared" si="209"/>
        <v>218</v>
      </c>
      <c r="D524" s="14">
        <f t="shared" si="214"/>
        <v>108</v>
      </c>
      <c r="E524" s="14">
        <f t="shared" si="211"/>
        <v>53</v>
      </c>
      <c r="F524" s="14">
        <f t="shared" si="215"/>
        <v>2925</v>
      </c>
      <c r="G524" s="74">
        <f t="shared" si="216"/>
        <v>3728</v>
      </c>
      <c r="H524" s="14">
        <f t="shared" si="208"/>
        <v>53750</v>
      </c>
      <c r="I524" s="14">
        <v>1</v>
      </c>
      <c r="J524" s="14">
        <f t="shared" si="213"/>
        <v>107000</v>
      </c>
      <c r="K524" s="14">
        <f t="shared" si="213"/>
        <v>6</v>
      </c>
      <c r="L524" s="14">
        <v>1</v>
      </c>
      <c r="M524" s="14">
        <f t="shared" si="217"/>
        <v>1090</v>
      </c>
      <c r="N524" s="14">
        <f t="shared" si="217"/>
        <v>545</v>
      </c>
      <c r="O524" s="14">
        <f t="shared" si="217"/>
        <v>265</v>
      </c>
      <c r="P524" s="14">
        <f t="shared" si="196"/>
        <v>500</v>
      </c>
      <c r="Q524" s="38">
        <f t="shared" si="194"/>
        <v>500</v>
      </c>
      <c r="R524" s="38">
        <f t="shared" si="197"/>
        <v>160750</v>
      </c>
      <c r="S524" s="38">
        <f t="shared" si="198"/>
        <v>1090</v>
      </c>
      <c r="T524" s="38">
        <f t="shared" si="199"/>
        <v>545</v>
      </c>
      <c r="U524" s="38">
        <f t="shared" si="218"/>
        <v>318</v>
      </c>
      <c r="V524" s="38">
        <f t="shared" si="219"/>
        <v>6</v>
      </c>
      <c r="W524" s="38">
        <f t="shared" si="220"/>
        <v>50811</v>
      </c>
      <c r="X524" s="38">
        <f>SUM(Q$414:Q524)</f>
        <v>51750</v>
      </c>
      <c r="Y524" s="38">
        <f>SUM(R$414:R524)</f>
        <v>8710750</v>
      </c>
      <c r="Z524" s="38">
        <f t="shared" si="221"/>
        <v>1090</v>
      </c>
      <c r="AA524" s="38">
        <f>SUM(T$414:T524)</f>
        <v>30056</v>
      </c>
      <c r="AB524" s="38">
        <f>SUM(U$414:U524)</f>
        <v>15857</v>
      </c>
      <c r="AC524" s="38">
        <f>SUM(V$414:V524)</f>
        <v>666</v>
      </c>
      <c r="AD524" s="38">
        <f t="shared" si="222"/>
        <v>2662831</v>
      </c>
    </row>
    <row r="525" spans="1:30" x14ac:dyDescent="0.25">
      <c r="A525" s="86" t="s">
        <v>255</v>
      </c>
      <c r="B525" s="14">
        <v>112</v>
      </c>
      <c r="C525" s="14">
        <f t="shared" si="209"/>
        <v>220</v>
      </c>
      <c r="D525" s="14">
        <f t="shared" si="214"/>
        <v>110</v>
      </c>
      <c r="E525" s="14">
        <f t="shared" si="211"/>
        <v>53</v>
      </c>
      <c r="F525" s="14">
        <f t="shared" si="215"/>
        <v>2925</v>
      </c>
      <c r="G525" s="74">
        <f t="shared" si="216"/>
        <v>3740</v>
      </c>
      <c r="H525" s="14">
        <f t="shared" si="208"/>
        <v>54250</v>
      </c>
      <c r="I525" s="14">
        <v>1</v>
      </c>
      <c r="J525" s="14">
        <f t="shared" si="213"/>
        <v>108000</v>
      </c>
      <c r="K525" s="14">
        <f t="shared" si="213"/>
        <v>6</v>
      </c>
      <c r="L525" s="14">
        <v>1</v>
      </c>
      <c r="M525" s="14">
        <f t="shared" si="217"/>
        <v>1100</v>
      </c>
      <c r="N525" s="14">
        <f t="shared" si="217"/>
        <v>550</v>
      </c>
      <c r="O525" s="14">
        <f t="shared" si="217"/>
        <v>268</v>
      </c>
      <c r="P525" s="14">
        <f t="shared" si="196"/>
        <v>500</v>
      </c>
      <c r="Q525" s="38">
        <f t="shared" si="194"/>
        <v>500</v>
      </c>
      <c r="R525" s="38">
        <f t="shared" si="197"/>
        <v>162250</v>
      </c>
      <c r="S525" s="38">
        <f t="shared" si="198"/>
        <v>1100</v>
      </c>
      <c r="T525" s="38">
        <f t="shared" si="199"/>
        <v>550</v>
      </c>
      <c r="U525" s="38">
        <f t="shared" si="218"/>
        <v>321</v>
      </c>
      <c r="V525" s="38">
        <f t="shared" si="219"/>
        <v>6</v>
      </c>
      <c r="W525" s="38">
        <f t="shared" si="220"/>
        <v>51281</v>
      </c>
      <c r="X525" s="38">
        <f>SUM(Q$414:Q525)</f>
        <v>52250</v>
      </c>
      <c r="Y525" s="38">
        <f>SUM(R$414:R525)</f>
        <v>8873000</v>
      </c>
      <c r="Z525" s="38">
        <f t="shared" si="221"/>
        <v>1100</v>
      </c>
      <c r="AA525" s="38">
        <f>SUM(T$414:T525)</f>
        <v>30606</v>
      </c>
      <c r="AB525" s="38">
        <f>SUM(U$414:U525)</f>
        <v>16178</v>
      </c>
      <c r="AC525" s="38">
        <f>SUM(V$414:V525)</f>
        <v>672</v>
      </c>
      <c r="AD525" s="38">
        <f t="shared" si="222"/>
        <v>2713022</v>
      </c>
    </row>
    <row r="526" spans="1:30" x14ac:dyDescent="0.25">
      <c r="A526" s="86" t="s">
        <v>255</v>
      </c>
      <c r="B526" s="14">
        <v>113</v>
      </c>
      <c r="C526" s="14">
        <f t="shared" si="209"/>
        <v>223</v>
      </c>
      <c r="D526" s="14">
        <f t="shared" si="214"/>
        <v>110</v>
      </c>
      <c r="E526" s="14">
        <f t="shared" si="211"/>
        <v>55</v>
      </c>
      <c r="F526" s="14">
        <f t="shared" si="215"/>
        <v>2975</v>
      </c>
      <c r="G526" s="74">
        <f t="shared" si="216"/>
        <v>3843</v>
      </c>
      <c r="H526" s="14">
        <f t="shared" si="208"/>
        <v>54750</v>
      </c>
      <c r="I526" s="14">
        <v>1</v>
      </c>
      <c r="J526" s="14">
        <f t="shared" si="213"/>
        <v>109000</v>
      </c>
      <c r="K526" s="14">
        <f t="shared" si="213"/>
        <v>6</v>
      </c>
      <c r="L526" s="14">
        <v>1</v>
      </c>
      <c r="M526" s="14">
        <f t="shared" si="217"/>
        <v>1110</v>
      </c>
      <c r="N526" s="14">
        <f t="shared" si="217"/>
        <v>555</v>
      </c>
      <c r="O526" s="14">
        <f t="shared" si="217"/>
        <v>270</v>
      </c>
      <c r="P526" s="14">
        <f t="shared" si="196"/>
        <v>500</v>
      </c>
      <c r="Q526" s="38">
        <f t="shared" si="194"/>
        <v>500</v>
      </c>
      <c r="R526" s="38">
        <f t="shared" si="197"/>
        <v>163750</v>
      </c>
      <c r="S526" s="38">
        <f t="shared" si="198"/>
        <v>1110</v>
      </c>
      <c r="T526" s="38">
        <f t="shared" si="199"/>
        <v>555</v>
      </c>
      <c r="U526" s="38">
        <f t="shared" si="218"/>
        <v>325</v>
      </c>
      <c r="V526" s="38">
        <f t="shared" si="219"/>
        <v>6</v>
      </c>
      <c r="W526" s="38">
        <f t="shared" si="220"/>
        <v>51796</v>
      </c>
      <c r="X526" s="38">
        <f>SUM(Q$414:Q526)</f>
        <v>52750</v>
      </c>
      <c r="Y526" s="38">
        <f>SUM(R$414:R526)</f>
        <v>9036750</v>
      </c>
      <c r="Z526" s="38">
        <f t="shared" si="221"/>
        <v>1110</v>
      </c>
      <c r="AA526" s="38">
        <f>SUM(T$414:T526)</f>
        <v>31161</v>
      </c>
      <c r="AB526" s="38">
        <f>SUM(U$414:U526)</f>
        <v>16503</v>
      </c>
      <c r="AC526" s="38">
        <f>SUM(V$414:V526)</f>
        <v>678</v>
      </c>
      <c r="AD526" s="38">
        <f t="shared" si="222"/>
        <v>2763718</v>
      </c>
    </row>
    <row r="527" spans="1:30" x14ac:dyDescent="0.25">
      <c r="A527" s="86" t="s">
        <v>255</v>
      </c>
      <c r="B527" s="14">
        <v>114</v>
      </c>
      <c r="C527" s="14">
        <f t="shared" si="209"/>
        <v>225</v>
      </c>
      <c r="D527" s="14">
        <f t="shared" si="214"/>
        <v>113</v>
      </c>
      <c r="E527" s="14">
        <f t="shared" si="211"/>
        <v>55</v>
      </c>
      <c r="F527" s="14">
        <f t="shared" si="215"/>
        <v>2975</v>
      </c>
      <c r="G527" s="74">
        <f t="shared" si="216"/>
        <v>3860</v>
      </c>
      <c r="H527" s="14">
        <f t="shared" si="208"/>
        <v>55250</v>
      </c>
      <c r="I527" s="14">
        <v>1</v>
      </c>
      <c r="J527" s="14">
        <f t="shared" si="213"/>
        <v>110000</v>
      </c>
      <c r="K527" s="14">
        <f t="shared" si="213"/>
        <v>6</v>
      </c>
      <c r="L527" s="14">
        <v>1</v>
      </c>
      <c r="M527" s="14">
        <f t="shared" si="217"/>
        <v>1120</v>
      </c>
      <c r="N527" s="14">
        <f t="shared" si="217"/>
        <v>560</v>
      </c>
      <c r="O527" s="14">
        <f t="shared" si="217"/>
        <v>273</v>
      </c>
      <c r="P527" s="14">
        <f t="shared" si="196"/>
        <v>500</v>
      </c>
      <c r="Q527" s="38">
        <f t="shared" si="194"/>
        <v>500</v>
      </c>
      <c r="R527" s="38">
        <f t="shared" si="197"/>
        <v>165250</v>
      </c>
      <c r="S527" s="38">
        <f t="shared" si="198"/>
        <v>1120</v>
      </c>
      <c r="T527" s="38">
        <f t="shared" si="199"/>
        <v>560</v>
      </c>
      <c r="U527" s="38">
        <f t="shared" si="218"/>
        <v>328</v>
      </c>
      <c r="V527" s="38">
        <f t="shared" si="219"/>
        <v>6</v>
      </c>
      <c r="W527" s="38">
        <f t="shared" si="220"/>
        <v>52266</v>
      </c>
      <c r="X527" s="38">
        <f>SUM(Q$414:Q527)</f>
        <v>53250</v>
      </c>
      <c r="Y527" s="38">
        <f>SUM(R$414:R527)</f>
        <v>9202000</v>
      </c>
      <c r="Z527" s="38">
        <f t="shared" si="221"/>
        <v>1120</v>
      </c>
      <c r="AA527" s="38">
        <f>SUM(T$414:T527)</f>
        <v>31721</v>
      </c>
      <c r="AB527" s="38">
        <f>SUM(U$414:U527)</f>
        <v>16831</v>
      </c>
      <c r="AC527" s="38">
        <f>SUM(V$414:V527)</f>
        <v>684</v>
      </c>
      <c r="AD527" s="38">
        <f t="shared" si="222"/>
        <v>2814874</v>
      </c>
    </row>
    <row r="528" spans="1:30" x14ac:dyDescent="0.25">
      <c r="A528" s="86" t="s">
        <v>255</v>
      </c>
      <c r="B528" s="14">
        <v>115</v>
      </c>
      <c r="C528" s="14">
        <f t="shared" si="209"/>
        <v>225</v>
      </c>
      <c r="D528" s="14">
        <f t="shared" si="214"/>
        <v>113</v>
      </c>
      <c r="E528" s="14">
        <f t="shared" si="211"/>
        <v>55</v>
      </c>
      <c r="F528" s="14">
        <f t="shared" si="215"/>
        <v>3025</v>
      </c>
      <c r="G528" s="74">
        <f t="shared" si="216"/>
        <v>3870</v>
      </c>
      <c r="H528" s="14">
        <f t="shared" si="208"/>
        <v>55750</v>
      </c>
      <c r="I528" s="14">
        <v>1</v>
      </c>
      <c r="J528" s="14">
        <f t="shared" si="213"/>
        <v>111000</v>
      </c>
      <c r="K528" s="14">
        <f t="shared" si="213"/>
        <v>6</v>
      </c>
      <c r="L528" s="14">
        <v>1</v>
      </c>
      <c r="M528" s="14">
        <f t="shared" si="217"/>
        <v>1130</v>
      </c>
      <c r="N528" s="14">
        <f t="shared" si="217"/>
        <v>565</v>
      </c>
      <c r="O528" s="14">
        <f t="shared" si="217"/>
        <v>275</v>
      </c>
      <c r="P528" s="14">
        <f t="shared" si="196"/>
        <v>500</v>
      </c>
      <c r="Q528" s="38">
        <f t="shared" si="194"/>
        <v>500</v>
      </c>
      <c r="R528" s="38">
        <f t="shared" si="197"/>
        <v>166750</v>
      </c>
      <c r="S528" s="38">
        <f t="shared" si="198"/>
        <v>1130</v>
      </c>
      <c r="T528" s="38">
        <f t="shared" si="199"/>
        <v>565</v>
      </c>
      <c r="U528" s="38">
        <f t="shared" si="218"/>
        <v>330</v>
      </c>
      <c r="V528" s="38">
        <f t="shared" si="219"/>
        <v>6</v>
      </c>
      <c r="W528" s="38">
        <f t="shared" si="220"/>
        <v>52691</v>
      </c>
      <c r="X528" s="38">
        <f>SUM(Q$414:Q528)</f>
        <v>53750</v>
      </c>
      <c r="Y528" s="38">
        <f>SUM(R$414:R528)</f>
        <v>9368750</v>
      </c>
      <c r="Z528" s="38">
        <f t="shared" si="221"/>
        <v>1130</v>
      </c>
      <c r="AA528" s="38">
        <f>SUM(T$414:T528)</f>
        <v>32286</v>
      </c>
      <c r="AB528" s="38">
        <f>SUM(U$414:U528)</f>
        <v>17161</v>
      </c>
      <c r="AC528" s="38">
        <f>SUM(V$414:V528)</f>
        <v>690</v>
      </c>
      <c r="AD528" s="38">
        <f t="shared" si="222"/>
        <v>2866445</v>
      </c>
    </row>
    <row r="529" spans="1:30" x14ac:dyDescent="0.25">
      <c r="A529" s="86" t="s">
        <v>255</v>
      </c>
      <c r="B529" s="14">
        <v>116</v>
      </c>
      <c r="C529" s="14">
        <f t="shared" si="209"/>
        <v>228</v>
      </c>
      <c r="D529" s="14">
        <f t="shared" si="214"/>
        <v>113</v>
      </c>
      <c r="E529" s="14">
        <f t="shared" si="211"/>
        <v>55</v>
      </c>
      <c r="F529" s="14">
        <f t="shared" si="215"/>
        <v>3025</v>
      </c>
      <c r="G529" s="74">
        <f t="shared" si="216"/>
        <v>3873</v>
      </c>
      <c r="H529" s="14">
        <f t="shared" si="208"/>
        <v>56250</v>
      </c>
      <c r="I529" s="14">
        <v>1</v>
      </c>
      <c r="J529" s="14">
        <f t="shared" si="213"/>
        <v>112000</v>
      </c>
      <c r="K529" s="14">
        <f t="shared" si="213"/>
        <v>6</v>
      </c>
      <c r="L529" s="14">
        <v>1</v>
      </c>
      <c r="M529" s="14">
        <f t="shared" si="217"/>
        <v>1140</v>
      </c>
      <c r="N529" s="14">
        <f t="shared" si="217"/>
        <v>570</v>
      </c>
      <c r="O529" s="14">
        <f t="shared" si="217"/>
        <v>278</v>
      </c>
      <c r="P529" s="14">
        <f t="shared" si="196"/>
        <v>500</v>
      </c>
      <c r="Q529" s="38">
        <f t="shared" si="194"/>
        <v>500</v>
      </c>
      <c r="R529" s="38">
        <f t="shared" si="197"/>
        <v>168250</v>
      </c>
      <c r="S529" s="38">
        <f t="shared" si="198"/>
        <v>1140</v>
      </c>
      <c r="T529" s="38">
        <f t="shared" si="199"/>
        <v>570</v>
      </c>
      <c r="U529" s="38">
        <f t="shared" si="218"/>
        <v>333</v>
      </c>
      <c r="V529" s="38">
        <f t="shared" si="219"/>
        <v>6</v>
      </c>
      <c r="W529" s="38">
        <f t="shared" si="220"/>
        <v>53161</v>
      </c>
      <c r="X529" s="38">
        <f>SUM(Q$414:Q529)</f>
        <v>54250</v>
      </c>
      <c r="Y529" s="38">
        <f>SUM(R$414:R529)</f>
        <v>9537000</v>
      </c>
      <c r="Z529" s="38">
        <f t="shared" si="221"/>
        <v>1140</v>
      </c>
      <c r="AA529" s="38">
        <f>SUM(T$414:T529)</f>
        <v>32856</v>
      </c>
      <c r="AB529" s="38">
        <f>SUM(U$414:U529)</f>
        <v>17494</v>
      </c>
      <c r="AC529" s="38">
        <f>SUM(V$414:V529)</f>
        <v>696</v>
      </c>
      <c r="AD529" s="38">
        <f t="shared" si="222"/>
        <v>2918476</v>
      </c>
    </row>
    <row r="530" spans="1:30" x14ac:dyDescent="0.25">
      <c r="A530" s="86" t="s">
        <v>255</v>
      </c>
      <c r="B530" s="14">
        <v>117</v>
      </c>
      <c r="C530" s="14">
        <f t="shared" si="209"/>
        <v>230</v>
      </c>
      <c r="D530" s="14">
        <f t="shared" si="214"/>
        <v>115</v>
      </c>
      <c r="E530" s="14">
        <f t="shared" si="211"/>
        <v>55</v>
      </c>
      <c r="F530" s="14">
        <f t="shared" si="215"/>
        <v>3075</v>
      </c>
      <c r="G530" s="74">
        <f t="shared" si="216"/>
        <v>3895</v>
      </c>
      <c r="H530" s="14">
        <f t="shared" si="208"/>
        <v>56750</v>
      </c>
      <c r="I530" s="14">
        <v>1</v>
      </c>
      <c r="J530" s="14">
        <f t="shared" si="213"/>
        <v>113000</v>
      </c>
      <c r="K530" s="14">
        <f t="shared" si="213"/>
        <v>6</v>
      </c>
      <c r="L530" s="14">
        <v>1</v>
      </c>
      <c r="M530" s="14">
        <f t="shared" si="217"/>
        <v>1150</v>
      </c>
      <c r="N530" s="14">
        <f t="shared" si="217"/>
        <v>575</v>
      </c>
      <c r="O530" s="14">
        <f t="shared" si="217"/>
        <v>280</v>
      </c>
      <c r="P530" s="14">
        <f t="shared" si="196"/>
        <v>500</v>
      </c>
      <c r="Q530" s="38">
        <f t="shared" si="194"/>
        <v>500</v>
      </c>
      <c r="R530" s="38">
        <f t="shared" si="197"/>
        <v>169750</v>
      </c>
      <c r="S530" s="38">
        <f t="shared" si="198"/>
        <v>1150</v>
      </c>
      <c r="T530" s="38">
        <f t="shared" si="199"/>
        <v>575</v>
      </c>
      <c r="U530" s="38">
        <f t="shared" si="218"/>
        <v>335</v>
      </c>
      <c r="V530" s="38">
        <f t="shared" si="219"/>
        <v>6</v>
      </c>
      <c r="W530" s="38">
        <f t="shared" si="220"/>
        <v>53586</v>
      </c>
      <c r="X530" s="38">
        <f>SUM(Q$414:Q530)</f>
        <v>54750</v>
      </c>
      <c r="Y530" s="38">
        <f>SUM(R$414:R530)</f>
        <v>9706750</v>
      </c>
      <c r="Z530" s="38">
        <f t="shared" si="221"/>
        <v>1150</v>
      </c>
      <c r="AA530" s="38">
        <f>SUM(T$414:T530)</f>
        <v>33431</v>
      </c>
      <c r="AB530" s="38">
        <f>SUM(U$414:U530)</f>
        <v>17829</v>
      </c>
      <c r="AC530" s="38">
        <f>SUM(V$414:V530)</f>
        <v>702</v>
      </c>
      <c r="AD530" s="38">
        <f t="shared" si="222"/>
        <v>2970922</v>
      </c>
    </row>
    <row r="531" spans="1:30" x14ac:dyDescent="0.25">
      <c r="A531" s="86" t="s">
        <v>255</v>
      </c>
      <c r="B531" s="14">
        <v>118</v>
      </c>
      <c r="C531" s="14">
        <f t="shared" si="209"/>
        <v>233</v>
      </c>
      <c r="D531" s="14">
        <f t="shared" si="214"/>
        <v>115</v>
      </c>
      <c r="E531" s="14">
        <f t="shared" si="211"/>
        <v>58</v>
      </c>
      <c r="F531" s="14">
        <f t="shared" si="215"/>
        <v>3075</v>
      </c>
      <c r="G531" s="74">
        <f t="shared" si="216"/>
        <v>4033</v>
      </c>
      <c r="H531" s="14">
        <f t="shared" si="208"/>
        <v>57250</v>
      </c>
      <c r="I531" s="14">
        <v>1</v>
      </c>
      <c r="J531" s="14">
        <f t="shared" si="213"/>
        <v>114000</v>
      </c>
      <c r="K531" s="14">
        <f t="shared" si="213"/>
        <v>6</v>
      </c>
      <c r="L531" s="14">
        <v>1</v>
      </c>
      <c r="M531" s="14">
        <f t="shared" si="217"/>
        <v>1160</v>
      </c>
      <c r="N531" s="14">
        <f t="shared" si="217"/>
        <v>580</v>
      </c>
      <c r="O531" s="14">
        <f t="shared" si="217"/>
        <v>283</v>
      </c>
      <c r="P531" s="14">
        <f t="shared" si="196"/>
        <v>500</v>
      </c>
      <c r="Q531" s="38">
        <f t="shared" si="194"/>
        <v>500</v>
      </c>
      <c r="R531" s="38">
        <f t="shared" si="197"/>
        <v>171250</v>
      </c>
      <c r="S531" s="38">
        <f t="shared" si="198"/>
        <v>1160</v>
      </c>
      <c r="T531" s="38">
        <f t="shared" si="199"/>
        <v>580</v>
      </c>
      <c r="U531" s="38">
        <f t="shared" si="218"/>
        <v>341</v>
      </c>
      <c r="V531" s="38">
        <f t="shared" si="219"/>
        <v>6</v>
      </c>
      <c r="W531" s="38">
        <f t="shared" si="220"/>
        <v>54191</v>
      </c>
      <c r="X531" s="38">
        <f>SUM(Q$414:Q531)</f>
        <v>55250</v>
      </c>
      <c r="Y531" s="38">
        <f>SUM(R$414:R531)</f>
        <v>9878000</v>
      </c>
      <c r="Z531" s="38">
        <f t="shared" si="221"/>
        <v>1160</v>
      </c>
      <c r="AA531" s="38">
        <f>SUM(T$414:T531)</f>
        <v>34011</v>
      </c>
      <c r="AB531" s="38">
        <f>SUM(U$414:U531)</f>
        <v>18170</v>
      </c>
      <c r="AC531" s="38">
        <f>SUM(V$414:V531)</f>
        <v>708</v>
      </c>
      <c r="AD531" s="38">
        <f t="shared" si="222"/>
        <v>3023963</v>
      </c>
    </row>
    <row r="532" spans="1:30" x14ac:dyDescent="0.25">
      <c r="A532" s="86" t="s">
        <v>255</v>
      </c>
      <c r="B532" s="14">
        <v>119</v>
      </c>
      <c r="C532" s="14">
        <f t="shared" si="209"/>
        <v>235</v>
      </c>
      <c r="D532" s="14">
        <f t="shared" si="214"/>
        <v>118</v>
      </c>
      <c r="E532" s="14">
        <f t="shared" si="211"/>
        <v>58</v>
      </c>
      <c r="F532" s="14">
        <f t="shared" si="215"/>
        <v>3125</v>
      </c>
      <c r="G532" s="74">
        <f t="shared" si="216"/>
        <v>4060</v>
      </c>
      <c r="H532" s="14">
        <f t="shared" si="208"/>
        <v>57750</v>
      </c>
      <c r="I532" s="14">
        <v>1</v>
      </c>
      <c r="J532" s="14">
        <f t="shared" si="213"/>
        <v>115000</v>
      </c>
      <c r="K532" s="14">
        <f t="shared" si="213"/>
        <v>6</v>
      </c>
      <c r="L532" s="14">
        <v>1</v>
      </c>
      <c r="M532" s="14">
        <f t="shared" si="217"/>
        <v>1170</v>
      </c>
      <c r="N532" s="14">
        <f t="shared" si="217"/>
        <v>585</v>
      </c>
      <c r="O532" s="14">
        <f t="shared" si="217"/>
        <v>285</v>
      </c>
      <c r="P532" s="14">
        <f t="shared" si="196"/>
        <v>500</v>
      </c>
      <c r="Q532" s="38">
        <f t="shared" si="194"/>
        <v>500</v>
      </c>
      <c r="R532" s="38">
        <f t="shared" si="197"/>
        <v>172750</v>
      </c>
      <c r="S532" s="38">
        <f t="shared" si="198"/>
        <v>1170</v>
      </c>
      <c r="T532" s="38">
        <f t="shared" si="199"/>
        <v>585</v>
      </c>
      <c r="U532" s="38">
        <f t="shared" si="218"/>
        <v>343</v>
      </c>
      <c r="V532" s="38">
        <f t="shared" si="219"/>
        <v>6</v>
      </c>
      <c r="W532" s="38">
        <f t="shared" si="220"/>
        <v>54616</v>
      </c>
      <c r="X532" s="38">
        <f>SUM(Q$414:Q532)</f>
        <v>55750</v>
      </c>
      <c r="Y532" s="38">
        <f>SUM(R$414:R532)</f>
        <v>10050750</v>
      </c>
      <c r="Z532" s="38">
        <f t="shared" si="221"/>
        <v>1170</v>
      </c>
      <c r="AA532" s="38">
        <f>SUM(T$414:T532)</f>
        <v>34596</v>
      </c>
      <c r="AB532" s="38">
        <f>SUM(U$414:U532)</f>
        <v>18513</v>
      </c>
      <c r="AC532" s="38">
        <f>SUM(V$414:V532)</f>
        <v>714</v>
      </c>
      <c r="AD532" s="38">
        <f t="shared" si="222"/>
        <v>3077419</v>
      </c>
    </row>
    <row r="533" spans="1:30" x14ac:dyDescent="0.25">
      <c r="A533" s="86" t="s">
        <v>255</v>
      </c>
      <c r="B533" s="14">
        <v>120</v>
      </c>
      <c r="C533" s="14">
        <f t="shared" si="209"/>
        <v>235</v>
      </c>
      <c r="D533" s="14">
        <f t="shared" si="214"/>
        <v>118</v>
      </c>
      <c r="E533" s="14">
        <f t="shared" si="211"/>
        <v>58</v>
      </c>
      <c r="F533" s="14">
        <f t="shared" si="215"/>
        <v>3125</v>
      </c>
      <c r="G533" s="74">
        <f t="shared" si="216"/>
        <v>4060</v>
      </c>
      <c r="H533" s="14">
        <f t="shared" si="208"/>
        <v>58250</v>
      </c>
      <c r="I533" s="14">
        <v>1</v>
      </c>
      <c r="J533" s="14">
        <f t="shared" si="213"/>
        <v>116000</v>
      </c>
      <c r="K533" s="14">
        <f t="shared" si="213"/>
        <v>6</v>
      </c>
      <c r="L533" s="14">
        <v>1</v>
      </c>
      <c r="M533" s="14">
        <f t="shared" si="217"/>
        <v>1180</v>
      </c>
      <c r="N533" s="14">
        <f t="shared" si="217"/>
        <v>590</v>
      </c>
      <c r="O533" s="14">
        <f t="shared" si="217"/>
        <v>288</v>
      </c>
      <c r="P533" s="14">
        <f t="shared" si="196"/>
        <v>500</v>
      </c>
      <c r="Q533" s="38">
        <f t="shared" si="194"/>
        <v>500</v>
      </c>
      <c r="R533" s="38">
        <f t="shared" si="197"/>
        <v>174250</v>
      </c>
      <c r="S533" s="38">
        <f t="shared" si="198"/>
        <v>1180</v>
      </c>
      <c r="T533" s="38">
        <f t="shared" si="199"/>
        <v>590</v>
      </c>
      <c r="U533" s="38"/>
      <c r="V533" s="38">
        <f t="shared" ref="V533:V564" si="223">K533</f>
        <v>6</v>
      </c>
      <c r="W533" s="38">
        <f t="shared" si="220"/>
        <v>39516</v>
      </c>
      <c r="X533" s="38">
        <f>SUM(Q$414:Q533)</f>
        <v>56250</v>
      </c>
      <c r="Y533" s="38">
        <f>SUM(R$414:R533)</f>
        <v>10225000</v>
      </c>
      <c r="Z533" s="38">
        <f t="shared" si="221"/>
        <v>1180</v>
      </c>
      <c r="AA533" s="38">
        <f>SUM(T$414:T533)</f>
        <v>35186</v>
      </c>
      <c r="AB533" s="38">
        <f>SUM(U$414:U533)</f>
        <v>18513</v>
      </c>
      <c r="AC533" s="38">
        <f>SUM(V$414:V533)</f>
        <v>720</v>
      </c>
      <c r="AD533" s="38">
        <f t="shared" si="222"/>
        <v>3115765</v>
      </c>
    </row>
    <row r="534" spans="1:30" x14ac:dyDescent="0.25">
      <c r="A534" s="86" t="s">
        <v>255</v>
      </c>
      <c r="B534" s="14">
        <v>121</v>
      </c>
      <c r="C534" s="14">
        <f t="shared" si="209"/>
        <v>238</v>
      </c>
      <c r="D534" s="14">
        <f t="shared" si="214"/>
        <v>118</v>
      </c>
      <c r="E534" s="14">
        <f t="shared" si="211"/>
        <v>58</v>
      </c>
      <c r="F534" s="14">
        <f t="shared" si="215"/>
        <v>3175</v>
      </c>
      <c r="G534" s="74">
        <f t="shared" si="216"/>
        <v>4073</v>
      </c>
      <c r="H534" s="14">
        <f t="shared" si="208"/>
        <v>58750</v>
      </c>
      <c r="I534" s="14">
        <v>1</v>
      </c>
      <c r="J534" s="14">
        <f t="shared" ref="J534:K553" si="224">MAX(1,ROUND(J128*INDEX($O$1:$U$4,MATCH($A534,$O$1:$O$4,0),MATCH(J$413,$O$1:$U$1,0)),0))</f>
        <v>117000</v>
      </c>
      <c r="K534" s="14">
        <f t="shared" si="224"/>
        <v>6</v>
      </c>
      <c r="L534" s="14">
        <v>1</v>
      </c>
      <c r="M534" s="14">
        <f t="shared" si="217"/>
        <v>1190</v>
      </c>
      <c r="N534" s="14">
        <f t="shared" si="217"/>
        <v>595</v>
      </c>
      <c r="O534" s="14">
        <f t="shared" si="217"/>
        <v>290</v>
      </c>
      <c r="P534" s="14">
        <f t="shared" si="196"/>
        <v>500</v>
      </c>
      <c r="Q534" s="38">
        <f t="shared" si="194"/>
        <v>500</v>
      </c>
      <c r="R534" s="38">
        <f t="shared" si="197"/>
        <v>175750</v>
      </c>
      <c r="S534" s="38">
        <f t="shared" si="198"/>
        <v>1190</v>
      </c>
      <c r="T534" s="38">
        <f t="shared" si="199"/>
        <v>595</v>
      </c>
      <c r="U534" s="38"/>
      <c r="V534" s="38">
        <f t="shared" si="223"/>
        <v>6</v>
      </c>
      <c r="W534" s="38">
        <f t="shared" si="220"/>
        <v>39851</v>
      </c>
      <c r="X534" s="38">
        <f>SUM(Q$414:Q534)</f>
        <v>56750</v>
      </c>
      <c r="Y534" s="38">
        <f>SUM(R$414:R534)</f>
        <v>10400750</v>
      </c>
      <c r="Z534" s="38">
        <f t="shared" si="221"/>
        <v>1190</v>
      </c>
      <c r="AA534" s="38">
        <f>SUM(T$414:T534)</f>
        <v>35781</v>
      </c>
      <c r="AB534" s="38">
        <f>SUM(U$414:U534)</f>
        <v>18513</v>
      </c>
      <c r="AC534" s="38">
        <f>SUM(V$414:V534)</f>
        <v>726</v>
      </c>
      <c r="AD534" s="38">
        <f t="shared" si="222"/>
        <v>3154436</v>
      </c>
    </row>
    <row r="535" spans="1:30" x14ac:dyDescent="0.25">
      <c r="A535" s="86" t="s">
        <v>255</v>
      </c>
      <c r="B535" s="14">
        <v>122</v>
      </c>
      <c r="C535" s="14">
        <f t="shared" si="209"/>
        <v>240</v>
      </c>
      <c r="D535" s="14">
        <f t="shared" si="214"/>
        <v>120</v>
      </c>
      <c r="E535" s="14">
        <f t="shared" si="211"/>
        <v>58</v>
      </c>
      <c r="F535" s="14">
        <f t="shared" si="215"/>
        <v>3175</v>
      </c>
      <c r="G535" s="74">
        <f t="shared" si="216"/>
        <v>4085</v>
      </c>
      <c r="H535" s="14">
        <f t="shared" si="208"/>
        <v>59250</v>
      </c>
      <c r="I535" s="14">
        <v>1</v>
      </c>
      <c r="J535" s="14">
        <f t="shared" si="224"/>
        <v>118000</v>
      </c>
      <c r="K535" s="14">
        <f t="shared" si="224"/>
        <v>6</v>
      </c>
      <c r="L535" s="14">
        <v>1</v>
      </c>
      <c r="M535" s="14">
        <f t="shared" ref="M535:O554" si="225">MAX(1,ROUND(M129*INDEX($O$1:$U$4,MATCH($A535,$O$1:$O$4,0),MATCH(M$413,$O$1:$U$1,0)),0))</f>
        <v>1200</v>
      </c>
      <c r="N535" s="14">
        <f t="shared" si="225"/>
        <v>600</v>
      </c>
      <c r="O535" s="14">
        <f t="shared" si="225"/>
        <v>293</v>
      </c>
      <c r="P535" s="14">
        <f t="shared" si="196"/>
        <v>500</v>
      </c>
      <c r="Q535" s="38">
        <f t="shared" si="194"/>
        <v>500</v>
      </c>
      <c r="R535" s="38">
        <f t="shared" si="197"/>
        <v>177250</v>
      </c>
      <c r="S535" s="38">
        <f t="shared" si="198"/>
        <v>1200</v>
      </c>
      <c r="T535" s="38">
        <f t="shared" si="199"/>
        <v>600</v>
      </c>
      <c r="U535" s="38"/>
      <c r="V535" s="38">
        <f t="shared" si="223"/>
        <v>6</v>
      </c>
      <c r="W535" s="38">
        <f t="shared" si="220"/>
        <v>40186</v>
      </c>
      <c r="X535" s="38">
        <f>SUM(Q$414:Q535)</f>
        <v>57250</v>
      </c>
      <c r="Y535" s="38">
        <f>SUM(R$414:R535)</f>
        <v>10578000</v>
      </c>
      <c r="Z535" s="38">
        <f t="shared" si="221"/>
        <v>1200</v>
      </c>
      <c r="AA535" s="38">
        <f>SUM(T$414:T535)</f>
        <v>36381</v>
      </c>
      <c r="AB535" s="38">
        <f>SUM(U$414:U535)</f>
        <v>18513</v>
      </c>
      <c r="AC535" s="38">
        <f>SUM(V$414:V535)</f>
        <v>732</v>
      </c>
      <c r="AD535" s="38">
        <f t="shared" si="222"/>
        <v>3193432</v>
      </c>
    </row>
    <row r="536" spans="1:30" x14ac:dyDescent="0.25">
      <c r="A536" s="86" t="s">
        <v>255</v>
      </c>
      <c r="B536" s="14">
        <v>123</v>
      </c>
      <c r="C536" s="14">
        <f t="shared" si="209"/>
        <v>243</v>
      </c>
      <c r="D536" s="14">
        <f t="shared" si="214"/>
        <v>120</v>
      </c>
      <c r="E536" s="14">
        <f t="shared" si="211"/>
        <v>60</v>
      </c>
      <c r="F536" s="14">
        <f t="shared" si="215"/>
        <v>3225</v>
      </c>
      <c r="G536" s="74">
        <f t="shared" si="216"/>
        <v>4188</v>
      </c>
      <c r="H536" s="14">
        <f t="shared" si="208"/>
        <v>59750</v>
      </c>
      <c r="I536" s="14">
        <v>1</v>
      </c>
      <c r="J536" s="14">
        <f t="shared" si="224"/>
        <v>119000</v>
      </c>
      <c r="K536" s="14">
        <f t="shared" si="224"/>
        <v>6</v>
      </c>
      <c r="L536" s="14">
        <v>1</v>
      </c>
      <c r="M536" s="14">
        <f t="shared" si="225"/>
        <v>1210</v>
      </c>
      <c r="N536" s="14">
        <f t="shared" si="225"/>
        <v>605</v>
      </c>
      <c r="O536" s="14">
        <f t="shared" si="225"/>
        <v>295</v>
      </c>
      <c r="P536" s="14">
        <f t="shared" si="196"/>
        <v>500</v>
      </c>
      <c r="Q536" s="38">
        <f t="shared" si="194"/>
        <v>500</v>
      </c>
      <c r="R536" s="38">
        <f t="shared" si="197"/>
        <v>178750</v>
      </c>
      <c r="S536" s="38">
        <f t="shared" si="198"/>
        <v>1210</v>
      </c>
      <c r="T536" s="38">
        <f t="shared" si="199"/>
        <v>605</v>
      </c>
      <c r="U536" s="38">
        <f t="shared" ref="U536:U563" si="226">E536+O536</f>
        <v>355</v>
      </c>
      <c r="V536" s="38">
        <f t="shared" si="223"/>
        <v>6</v>
      </c>
      <c r="W536" s="38">
        <f t="shared" si="220"/>
        <v>56496</v>
      </c>
      <c r="X536" s="38">
        <f>SUM(Q$414:Q536)</f>
        <v>57750</v>
      </c>
      <c r="Y536" s="38">
        <f>SUM(R$414:R536)</f>
        <v>10756750</v>
      </c>
      <c r="Z536" s="38">
        <f t="shared" si="221"/>
        <v>1210</v>
      </c>
      <c r="AA536" s="38">
        <f>SUM(T$414:T536)</f>
        <v>36986</v>
      </c>
      <c r="AB536" s="38">
        <f>SUM(U$414:U536)</f>
        <v>18868</v>
      </c>
      <c r="AC536" s="38">
        <f>SUM(V$414:V536)</f>
        <v>738</v>
      </c>
      <c r="AD536" s="38">
        <f t="shared" si="222"/>
        <v>3248728</v>
      </c>
    </row>
    <row r="537" spans="1:30" x14ac:dyDescent="0.25">
      <c r="A537" s="86" t="s">
        <v>255</v>
      </c>
      <c r="B537" s="14">
        <v>124</v>
      </c>
      <c r="C537" s="14">
        <f t="shared" si="209"/>
        <v>245</v>
      </c>
      <c r="D537" s="14">
        <f t="shared" si="214"/>
        <v>123</v>
      </c>
      <c r="E537" s="14">
        <f t="shared" si="211"/>
        <v>60</v>
      </c>
      <c r="F537" s="14">
        <f t="shared" si="215"/>
        <v>3225</v>
      </c>
      <c r="G537" s="74">
        <f t="shared" si="216"/>
        <v>4205</v>
      </c>
      <c r="H537" s="14">
        <f t="shared" si="208"/>
        <v>60250</v>
      </c>
      <c r="I537" s="14">
        <v>1</v>
      </c>
      <c r="J537" s="14">
        <f t="shared" si="224"/>
        <v>120000</v>
      </c>
      <c r="K537" s="14">
        <f t="shared" si="224"/>
        <v>6</v>
      </c>
      <c r="L537" s="14">
        <v>1</v>
      </c>
      <c r="M537" s="14">
        <f t="shared" si="225"/>
        <v>1220</v>
      </c>
      <c r="N537" s="14">
        <f t="shared" si="225"/>
        <v>610</v>
      </c>
      <c r="O537" s="14">
        <f t="shared" si="225"/>
        <v>298</v>
      </c>
      <c r="P537" s="14">
        <f t="shared" si="196"/>
        <v>500</v>
      </c>
      <c r="Q537" s="38">
        <f t="shared" si="194"/>
        <v>500</v>
      </c>
      <c r="R537" s="38">
        <f t="shared" si="197"/>
        <v>180250</v>
      </c>
      <c r="S537" s="38">
        <f t="shared" si="198"/>
        <v>1220</v>
      </c>
      <c r="T537" s="38">
        <f t="shared" si="199"/>
        <v>610</v>
      </c>
      <c r="U537" s="42">
        <f t="shared" si="226"/>
        <v>358</v>
      </c>
      <c r="V537" s="42">
        <f t="shared" si="223"/>
        <v>6</v>
      </c>
      <c r="W537" s="38">
        <f t="shared" si="220"/>
        <v>56966</v>
      </c>
      <c r="X537" s="38">
        <f>SUM(Q$414:Q537)</f>
        <v>58250</v>
      </c>
      <c r="Y537" s="38">
        <f>SUM(R$414:R537)</f>
        <v>10937000</v>
      </c>
      <c r="Z537" s="38">
        <f t="shared" si="221"/>
        <v>1220</v>
      </c>
      <c r="AA537" s="38">
        <f>SUM(T$414:T537)</f>
        <v>37596</v>
      </c>
      <c r="AB537" s="38">
        <f>SUM(U$414:U537)</f>
        <v>19226</v>
      </c>
      <c r="AC537" s="38">
        <f>SUM(V$414:V537)</f>
        <v>744</v>
      </c>
      <c r="AD537" s="38">
        <f t="shared" si="222"/>
        <v>3304484</v>
      </c>
    </row>
    <row r="538" spans="1:30" x14ac:dyDescent="0.25">
      <c r="A538" s="86" t="s">
        <v>255</v>
      </c>
      <c r="B538" s="14">
        <v>125</v>
      </c>
      <c r="C538" s="14">
        <f t="shared" si="209"/>
        <v>245</v>
      </c>
      <c r="D538" s="14">
        <f t="shared" si="214"/>
        <v>123</v>
      </c>
      <c r="E538" s="14">
        <f t="shared" si="211"/>
        <v>60</v>
      </c>
      <c r="F538" s="14">
        <f t="shared" si="215"/>
        <v>3275</v>
      </c>
      <c r="G538" s="74">
        <f t="shared" si="216"/>
        <v>4215</v>
      </c>
      <c r="H538" s="14">
        <f t="shared" si="208"/>
        <v>60750</v>
      </c>
      <c r="I538" s="14">
        <v>1</v>
      </c>
      <c r="J538" s="14">
        <f t="shared" si="224"/>
        <v>121000</v>
      </c>
      <c r="K538" s="14">
        <f t="shared" si="224"/>
        <v>6</v>
      </c>
      <c r="L538" s="14">
        <v>1</v>
      </c>
      <c r="M538" s="14">
        <f t="shared" si="225"/>
        <v>1230</v>
      </c>
      <c r="N538" s="14">
        <f t="shared" si="225"/>
        <v>615</v>
      </c>
      <c r="O538" s="14">
        <f t="shared" si="225"/>
        <v>300</v>
      </c>
      <c r="P538" s="14">
        <f t="shared" si="196"/>
        <v>500</v>
      </c>
      <c r="Q538" s="38">
        <f t="shared" si="194"/>
        <v>500</v>
      </c>
      <c r="R538" s="38">
        <f t="shared" si="197"/>
        <v>181750</v>
      </c>
      <c r="S538" s="38">
        <f t="shared" si="198"/>
        <v>1230</v>
      </c>
      <c r="T538" s="38">
        <f t="shared" si="199"/>
        <v>615</v>
      </c>
      <c r="U538" s="38">
        <f t="shared" si="226"/>
        <v>360</v>
      </c>
      <c r="V538" s="38">
        <f t="shared" si="223"/>
        <v>6</v>
      </c>
      <c r="W538" s="38">
        <f t="shared" si="220"/>
        <v>57391</v>
      </c>
      <c r="X538" s="38">
        <f>SUM(Q$414:Q538)</f>
        <v>58750</v>
      </c>
      <c r="Y538" s="38">
        <f>SUM(R$414:R538)</f>
        <v>11118750</v>
      </c>
      <c r="Z538" s="38">
        <f t="shared" si="221"/>
        <v>1230</v>
      </c>
      <c r="AA538" s="38">
        <f>SUM(T$414:T538)</f>
        <v>38211</v>
      </c>
      <c r="AB538" s="38">
        <f>SUM(U$414:U538)</f>
        <v>19586</v>
      </c>
      <c r="AC538" s="38">
        <f>SUM(V$414:V538)</f>
        <v>750</v>
      </c>
      <c r="AD538" s="38">
        <f t="shared" si="222"/>
        <v>3360655</v>
      </c>
    </row>
    <row r="539" spans="1:30" x14ac:dyDescent="0.25">
      <c r="A539" s="86" t="s">
        <v>255</v>
      </c>
      <c r="B539" s="14">
        <v>126</v>
      </c>
      <c r="C539" s="14">
        <f t="shared" si="209"/>
        <v>248</v>
      </c>
      <c r="D539" s="14">
        <f t="shared" si="214"/>
        <v>123</v>
      </c>
      <c r="E539" s="14">
        <f t="shared" si="211"/>
        <v>60</v>
      </c>
      <c r="F539" s="14">
        <f t="shared" si="215"/>
        <v>3275</v>
      </c>
      <c r="G539" s="74">
        <f t="shared" si="216"/>
        <v>4218</v>
      </c>
      <c r="H539" s="14">
        <f t="shared" si="208"/>
        <v>61250</v>
      </c>
      <c r="I539" s="14">
        <v>1</v>
      </c>
      <c r="J539" s="14">
        <f t="shared" si="224"/>
        <v>122000</v>
      </c>
      <c r="K539" s="14">
        <f t="shared" si="224"/>
        <v>6</v>
      </c>
      <c r="L539" s="14">
        <v>1</v>
      </c>
      <c r="M539" s="14">
        <f t="shared" si="225"/>
        <v>1240</v>
      </c>
      <c r="N539" s="14">
        <f t="shared" si="225"/>
        <v>620</v>
      </c>
      <c r="O539" s="14">
        <f t="shared" si="225"/>
        <v>303</v>
      </c>
      <c r="P539" s="14">
        <f t="shared" si="196"/>
        <v>500</v>
      </c>
      <c r="Q539" s="38">
        <f t="shared" si="194"/>
        <v>500</v>
      </c>
      <c r="R539" s="38">
        <f t="shared" si="197"/>
        <v>183250</v>
      </c>
      <c r="S539" s="38">
        <f t="shared" si="198"/>
        <v>1240</v>
      </c>
      <c r="T539" s="38">
        <f t="shared" si="199"/>
        <v>620</v>
      </c>
      <c r="U539" s="38">
        <f t="shared" si="226"/>
        <v>363</v>
      </c>
      <c r="V539" s="38">
        <f t="shared" si="223"/>
        <v>6</v>
      </c>
      <c r="W539" s="38">
        <f t="shared" si="220"/>
        <v>57861</v>
      </c>
      <c r="X539" s="38">
        <f>SUM(Q$414:Q539)</f>
        <v>59250</v>
      </c>
      <c r="Y539" s="38">
        <f>SUM(R$414:R539)</f>
        <v>11302000</v>
      </c>
      <c r="Z539" s="38">
        <f t="shared" si="221"/>
        <v>1240</v>
      </c>
      <c r="AA539" s="38">
        <f>SUM(T$414:T539)</f>
        <v>38831</v>
      </c>
      <c r="AB539" s="38">
        <f>SUM(U$414:U539)</f>
        <v>19949</v>
      </c>
      <c r="AC539" s="38">
        <f>SUM(V$414:V539)</f>
        <v>756</v>
      </c>
      <c r="AD539" s="38">
        <f t="shared" si="222"/>
        <v>3417286</v>
      </c>
    </row>
    <row r="540" spans="1:30" x14ac:dyDescent="0.25">
      <c r="A540" s="86" t="s">
        <v>255</v>
      </c>
      <c r="B540" s="14">
        <v>127</v>
      </c>
      <c r="C540" s="14">
        <f t="shared" si="209"/>
        <v>250</v>
      </c>
      <c r="D540" s="14">
        <f t="shared" si="214"/>
        <v>125</v>
      </c>
      <c r="E540" s="14">
        <f t="shared" si="211"/>
        <v>60</v>
      </c>
      <c r="F540" s="14">
        <f t="shared" si="215"/>
        <v>3325</v>
      </c>
      <c r="G540" s="74">
        <f t="shared" si="216"/>
        <v>4240</v>
      </c>
      <c r="H540" s="14">
        <f t="shared" si="208"/>
        <v>61750</v>
      </c>
      <c r="I540" s="14">
        <v>1</v>
      </c>
      <c r="J540" s="14">
        <f t="shared" si="224"/>
        <v>123000</v>
      </c>
      <c r="K540" s="14">
        <f t="shared" si="224"/>
        <v>6</v>
      </c>
      <c r="L540" s="14">
        <v>1</v>
      </c>
      <c r="M540" s="14">
        <f t="shared" si="225"/>
        <v>1250</v>
      </c>
      <c r="N540" s="14">
        <f t="shared" si="225"/>
        <v>625</v>
      </c>
      <c r="O540" s="14">
        <f t="shared" si="225"/>
        <v>305</v>
      </c>
      <c r="P540" s="14">
        <f t="shared" si="196"/>
        <v>500</v>
      </c>
      <c r="Q540" s="38">
        <f t="shared" si="194"/>
        <v>500</v>
      </c>
      <c r="R540" s="38">
        <f t="shared" si="197"/>
        <v>184750</v>
      </c>
      <c r="S540" s="38">
        <f t="shared" si="198"/>
        <v>1250</v>
      </c>
      <c r="T540" s="38">
        <f t="shared" si="199"/>
        <v>625</v>
      </c>
      <c r="U540" s="38">
        <f t="shared" si="226"/>
        <v>365</v>
      </c>
      <c r="V540" s="38">
        <f t="shared" si="223"/>
        <v>6</v>
      </c>
      <c r="W540" s="38">
        <f t="shared" si="220"/>
        <v>58286</v>
      </c>
      <c r="X540" s="38">
        <f>SUM(Q$414:Q540)</f>
        <v>59750</v>
      </c>
      <c r="Y540" s="38">
        <f>SUM(R$414:R540)</f>
        <v>11486750</v>
      </c>
      <c r="Z540" s="38">
        <f t="shared" si="221"/>
        <v>1250</v>
      </c>
      <c r="AA540" s="38">
        <f>SUM(T$414:T540)</f>
        <v>39456</v>
      </c>
      <c r="AB540" s="38">
        <f>SUM(U$414:U540)</f>
        <v>20314</v>
      </c>
      <c r="AC540" s="38">
        <f>SUM(V$414:V540)</f>
        <v>762</v>
      </c>
      <c r="AD540" s="38">
        <f t="shared" si="222"/>
        <v>3474332</v>
      </c>
    </row>
    <row r="541" spans="1:30" x14ac:dyDescent="0.25">
      <c r="A541" s="86" t="s">
        <v>255</v>
      </c>
      <c r="B541" s="14">
        <v>128</v>
      </c>
      <c r="C541" s="14">
        <f t="shared" si="209"/>
        <v>253</v>
      </c>
      <c r="D541" s="14">
        <f t="shared" si="214"/>
        <v>125</v>
      </c>
      <c r="E541" s="14">
        <f t="shared" si="211"/>
        <v>63</v>
      </c>
      <c r="F541" s="14">
        <f t="shared" si="215"/>
        <v>3325</v>
      </c>
      <c r="G541" s="74">
        <f t="shared" si="216"/>
        <v>4378</v>
      </c>
      <c r="H541" s="14">
        <f t="shared" si="208"/>
        <v>62250</v>
      </c>
      <c r="I541" s="14">
        <v>1</v>
      </c>
      <c r="J541" s="14">
        <f t="shared" si="224"/>
        <v>124000</v>
      </c>
      <c r="K541" s="14">
        <f t="shared" si="224"/>
        <v>6</v>
      </c>
      <c r="L541" s="14">
        <v>1</v>
      </c>
      <c r="M541" s="14">
        <f t="shared" si="225"/>
        <v>1260</v>
      </c>
      <c r="N541" s="14">
        <f t="shared" si="225"/>
        <v>630</v>
      </c>
      <c r="O541" s="14">
        <f t="shared" si="225"/>
        <v>308</v>
      </c>
      <c r="P541" s="14">
        <f t="shared" si="196"/>
        <v>500</v>
      </c>
      <c r="Q541" s="38">
        <f t="shared" si="194"/>
        <v>500</v>
      </c>
      <c r="R541" s="38">
        <f t="shared" si="197"/>
        <v>186250</v>
      </c>
      <c r="S541" s="38">
        <f t="shared" si="198"/>
        <v>1260</v>
      </c>
      <c r="T541" s="38">
        <f t="shared" si="199"/>
        <v>630</v>
      </c>
      <c r="U541" s="38">
        <f t="shared" si="226"/>
        <v>371</v>
      </c>
      <c r="V541" s="38">
        <f t="shared" si="223"/>
        <v>6</v>
      </c>
      <c r="W541" s="38">
        <f t="shared" si="220"/>
        <v>58891</v>
      </c>
      <c r="X541" s="38">
        <f>SUM(Q$414:Q541)</f>
        <v>60250</v>
      </c>
      <c r="Y541" s="38">
        <f>SUM(R$414:R541)</f>
        <v>11673000</v>
      </c>
      <c r="Z541" s="38">
        <f t="shared" si="221"/>
        <v>1260</v>
      </c>
      <c r="AA541" s="38">
        <f>SUM(T$414:T541)</f>
        <v>40086</v>
      </c>
      <c r="AB541" s="38">
        <f>SUM(U$414:U541)</f>
        <v>20685</v>
      </c>
      <c r="AC541" s="38">
        <f>SUM(V$414:V541)</f>
        <v>768</v>
      </c>
      <c r="AD541" s="38">
        <f t="shared" si="222"/>
        <v>3531973</v>
      </c>
    </row>
    <row r="542" spans="1:30" x14ac:dyDescent="0.25">
      <c r="A542" s="86" t="s">
        <v>255</v>
      </c>
      <c r="B542" s="14">
        <v>129</v>
      </c>
      <c r="C542" s="14">
        <f t="shared" si="209"/>
        <v>255</v>
      </c>
      <c r="D542" s="14">
        <f t="shared" si="214"/>
        <v>128</v>
      </c>
      <c r="E542" s="14">
        <f t="shared" si="211"/>
        <v>63</v>
      </c>
      <c r="F542" s="14">
        <f t="shared" si="215"/>
        <v>3375</v>
      </c>
      <c r="G542" s="74">
        <f t="shared" si="216"/>
        <v>4405</v>
      </c>
      <c r="H542" s="14">
        <f t="shared" ref="H542:H573" si="227">MAX(1,ROUND(H136*INDEX($O$1:$U$4,MATCH($A542,$O$1:$O$4,0),MATCH(H$413,$O$1:$U$1,0)),0))</f>
        <v>62750</v>
      </c>
      <c r="I542" s="14">
        <v>1</v>
      </c>
      <c r="J542" s="14">
        <f t="shared" si="224"/>
        <v>125000</v>
      </c>
      <c r="K542" s="14">
        <f t="shared" si="224"/>
        <v>6</v>
      </c>
      <c r="L542" s="14">
        <v>1</v>
      </c>
      <c r="M542" s="14">
        <f t="shared" si="225"/>
        <v>1270</v>
      </c>
      <c r="N542" s="14">
        <f t="shared" si="225"/>
        <v>635</v>
      </c>
      <c r="O542" s="14">
        <f t="shared" si="225"/>
        <v>310</v>
      </c>
      <c r="P542" s="14">
        <f t="shared" si="196"/>
        <v>500</v>
      </c>
      <c r="Q542" s="38">
        <f t="shared" ref="Q542:Q605" si="228">P542</f>
        <v>500</v>
      </c>
      <c r="R542" s="38">
        <f t="shared" si="197"/>
        <v>187750</v>
      </c>
      <c r="S542" s="38">
        <f t="shared" si="198"/>
        <v>1270</v>
      </c>
      <c r="T542" s="38">
        <f t="shared" si="199"/>
        <v>635</v>
      </c>
      <c r="U542" s="38">
        <f t="shared" si="226"/>
        <v>373</v>
      </c>
      <c r="V542" s="38">
        <f t="shared" si="223"/>
        <v>6</v>
      </c>
      <c r="W542" s="38">
        <f t="shared" si="220"/>
        <v>59316</v>
      </c>
      <c r="X542" s="38">
        <f>SUM(Q$414:Q542)</f>
        <v>60750</v>
      </c>
      <c r="Y542" s="38">
        <f>SUM(R$414:R542)</f>
        <v>11860750</v>
      </c>
      <c r="Z542" s="38">
        <f t="shared" si="221"/>
        <v>1270</v>
      </c>
      <c r="AA542" s="38">
        <f>SUM(T$414:T542)</f>
        <v>40721</v>
      </c>
      <c r="AB542" s="38">
        <f>SUM(U$414:U542)</f>
        <v>21058</v>
      </c>
      <c r="AC542" s="38">
        <f>SUM(V$414:V542)</f>
        <v>774</v>
      </c>
      <c r="AD542" s="38">
        <f t="shared" si="222"/>
        <v>3590029</v>
      </c>
    </row>
    <row r="543" spans="1:30" x14ac:dyDescent="0.25">
      <c r="A543" s="86" t="s">
        <v>255</v>
      </c>
      <c r="B543" s="14">
        <v>130</v>
      </c>
      <c r="C543" s="14">
        <f t="shared" si="209"/>
        <v>255</v>
      </c>
      <c r="D543" s="14">
        <f t="shared" si="214"/>
        <v>128</v>
      </c>
      <c r="E543" s="14">
        <f t="shared" si="211"/>
        <v>63</v>
      </c>
      <c r="F543" s="14">
        <f t="shared" si="215"/>
        <v>3375</v>
      </c>
      <c r="G543" s="74">
        <f t="shared" si="216"/>
        <v>4405</v>
      </c>
      <c r="H543" s="14">
        <f t="shared" si="227"/>
        <v>63250</v>
      </c>
      <c r="I543" s="14">
        <v>1</v>
      </c>
      <c r="J543" s="14">
        <f t="shared" si="224"/>
        <v>126000</v>
      </c>
      <c r="K543" s="14">
        <f t="shared" si="224"/>
        <v>6</v>
      </c>
      <c r="L543" s="14">
        <v>1</v>
      </c>
      <c r="M543" s="14">
        <f t="shared" si="225"/>
        <v>1280</v>
      </c>
      <c r="N543" s="14">
        <f t="shared" si="225"/>
        <v>640</v>
      </c>
      <c r="O543" s="14">
        <f t="shared" si="225"/>
        <v>313</v>
      </c>
      <c r="P543" s="14">
        <f t="shared" ref="P543:P606" si="229">MAX(1,ROUND(P137*INDEX($O$1:$U$4,MATCH($A543,$O$1:$O$4,0),MATCH(P$413,$O$1:$U$1,0)),0))</f>
        <v>500</v>
      </c>
      <c r="Q543" s="38">
        <f t="shared" si="228"/>
        <v>500</v>
      </c>
      <c r="R543" s="38">
        <f t="shared" ref="R543:R606" si="230">H543+J543</f>
        <v>189250</v>
      </c>
      <c r="S543" s="38">
        <f t="shared" ref="S543:S606" si="231">M543</f>
        <v>1280</v>
      </c>
      <c r="T543" s="38">
        <f t="shared" ref="T543:T606" si="232">N543</f>
        <v>640</v>
      </c>
      <c r="U543" s="38">
        <f t="shared" si="226"/>
        <v>376</v>
      </c>
      <c r="V543" s="38">
        <f t="shared" si="223"/>
        <v>6</v>
      </c>
      <c r="W543" s="38">
        <f t="shared" si="220"/>
        <v>59786</v>
      </c>
      <c r="X543" s="38">
        <f>SUM(Q$414:Q543)</f>
        <v>61250</v>
      </c>
      <c r="Y543" s="38">
        <f>SUM(R$414:R543)</f>
        <v>12050000</v>
      </c>
      <c r="Z543" s="38">
        <f t="shared" si="221"/>
        <v>1280</v>
      </c>
      <c r="AA543" s="38">
        <f>SUM(T$414:T543)</f>
        <v>41361</v>
      </c>
      <c r="AB543" s="38">
        <f>SUM(U$414:U543)</f>
        <v>21434</v>
      </c>
      <c r="AC543" s="38">
        <f>SUM(V$414:V543)</f>
        <v>780</v>
      </c>
      <c r="AD543" s="38">
        <f t="shared" si="222"/>
        <v>3648545</v>
      </c>
    </row>
    <row r="544" spans="1:30" x14ac:dyDescent="0.25">
      <c r="A544" s="86" t="s">
        <v>255</v>
      </c>
      <c r="B544" s="14">
        <v>131</v>
      </c>
      <c r="C544" s="14">
        <f t="shared" si="209"/>
        <v>258</v>
      </c>
      <c r="D544" s="14">
        <f t="shared" si="214"/>
        <v>128</v>
      </c>
      <c r="E544" s="14">
        <f t="shared" si="211"/>
        <v>63</v>
      </c>
      <c r="F544" s="14">
        <f t="shared" si="215"/>
        <v>3425</v>
      </c>
      <c r="G544" s="74">
        <f t="shared" si="216"/>
        <v>4418</v>
      </c>
      <c r="H544" s="14">
        <f t="shared" si="227"/>
        <v>63750</v>
      </c>
      <c r="I544" s="14">
        <v>1</v>
      </c>
      <c r="J544" s="14">
        <f t="shared" si="224"/>
        <v>127000</v>
      </c>
      <c r="K544" s="14">
        <f t="shared" si="224"/>
        <v>6</v>
      </c>
      <c r="L544" s="14">
        <v>1</v>
      </c>
      <c r="M544" s="14">
        <f t="shared" si="225"/>
        <v>1290</v>
      </c>
      <c r="N544" s="14">
        <f t="shared" si="225"/>
        <v>645</v>
      </c>
      <c r="O544" s="14">
        <f t="shared" si="225"/>
        <v>315</v>
      </c>
      <c r="P544" s="14">
        <f t="shared" si="229"/>
        <v>500</v>
      </c>
      <c r="Q544" s="38">
        <f t="shared" si="228"/>
        <v>500</v>
      </c>
      <c r="R544" s="38">
        <f t="shared" si="230"/>
        <v>190750</v>
      </c>
      <c r="S544" s="38">
        <f t="shared" si="231"/>
        <v>1290</v>
      </c>
      <c r="T544" s="38">
        <f t="shared" si="232"/>
        <v>645</v>
      </c>
      <c r="U544" s="38">
        <f t="shared" si="226"/>
        <v>378</v>
      </c>
      <c r="V544" s="38">
        <f t="shared" si="223"/>
        <v>6</v>
      </c>
      <c r="W544" s="38">
        <f t="shared" si="220"/>
        <v>60211</v>
      </c>
      <c r="X544" s="38">
        <f>SUM(Q$414:Q544)</f>
        <v>61750</v>
      </c>
      <c r="Y544" s="38">
        <f>SUM(R$414:R544)</f>
        <v>12240750</v>
      </c>
      <c r="Z544" s="38">
        <f t="shared" si="221"/>
        <v>1290</v>
      </c>
      <c r="AA544" s="38">
        <f>SUM(T$414:T544)</f>
        <v>42006</v>
      </c>
      <c r="AB544" s="38">
        <f>SUM(U$414:U544)</f>
        <v>21812</v>
      </c>
      <c r="AC544" s="38">
        <f>SUM(V$414:V544)</f>
        <v>786</v>
      </c>
      <c r="AD544" s="38">
        <f t="shared" si="222"/>
        <v>3707476</v>
      </c>
    </row>
    <row r="545" spans="1:30" x14ac:dyDescent="0.25">
      <c r="A545" s="86" t="s">
        <v>255</v>
      </c>
      <c r="B545" s="14">
        <v>132</v>
      </c>
      <c r="C545" s="14">
        <f t="shared" si="209"/>
        <v>260</v>
      </c>
      <c r="D545" s="14">
        <f t="shared" si="214"/>
        <v>130</v>
      </c>
      <c r="E545" s="14">
        <f t="shared" si="211"/>
        <v>63</v>
      </c>
      <c r="F545" s="14">
        <f t="shared" si="215"/>
        <v>3425</v>
      </c>
      <c r="G545" s="74">
        <f t="shared" si="216"/>
        <v>4430</v>
      </c>
      <c r="H545" s="14">
        <f t="shared" si="227"/>
        <v>64250</v>
      </c>
      <c r="I545" s="14">
        <v>1</v>
      </c>
      <c r="J545" s="14">
        <f t="shared" si="224"/>
        <v>128000</v>
      </c>
      <c r="K545" s="14">
        <f t="shared" si="224"/>
        <v>6</v>
      </c>
      <c r="L545" s="14">
        <v>1</v>
      </c>
      <c r="M545" s="14">
        <f t="shared" si="225"/>
        <v>1300</v>
      </c>
      <c r="N545" s="14">
        <f t="shared" si="225"/>
        <v>650</v>
      </c>
      <c r="O545" s="14">
        <f t="shared" si="225"/>
        <v>318</v>
      </c>
      <c r="P545" s="14">
        <f t="shared" si="229"/>
        <v>500</v>
      </c>
      <c r="Q545" s="38">
        <f t="shared" si="228"/>
        <v>500</v>
      </c>
      <c r="R545" s="38">
        <f t="shared" si="230"/>
        <v>192250</v>
      </c>
      <c r="S545" s="38">
        <f t="shared" si="231"/>
        <v>1300</v>
      </c>
      <c r="T545" s="38">
        <f t="shared" si="232"/>
        <v>650</v>
      </c>
      <c r="U545" s="38">
        <f t="shared" si="226"/>
        <v>381</v>
      </c>
      <c r="V545" s="38">
        <f t="shared" si="223"/>
        <v>6</v>
      </c>
      <c r="W545" s="38">
        <f t="shared" si="220"/>
        <v>60681</v>
      </c>
      <c r="X545" s="38">
        <f>SUM(Q$414:Q545)</f>
        <v>62250</v>
      </c>
      <c r="Y545" s="38">
        <f>SUM(R$414:R545)</f>
        <v>12433000</v>
      </c>
      <c r="Z545" s="38">
        <f t="shared" si="221"/>
        <v>1300</v>
      </c>
      <c r="AA545" s="38">
        <f>SUM(T$414:T545)</f>
        <v>42656</v>
      </c>
      <c r="AB545" s="38">
        <f>SUM(U$414:U545)</f>
        <v>22193</v>
      </c>
      <c r="AC545" s="38">
        <f>SUM(V$414:V545)</f>
        <v>792</v>
      </c>
      <c r="AD545" s="38">
        <f t="shared" si="222"/>
        <v>3766867</v>
      </c>
    </row>
    <row r="546" spans="1:30" x14ac:dyDescent="0.25">
      <c r="A546" s="86" t="s">
        <v>255</v>
      </c>
      <c r="B546" s="14">
        <v>133</v>
      </c>
      <c r="C546" s="14">
        <f t="shared" ref="C546:C577" si="233">MAX(1,ROUND(C140*INDEX($O$1:$U$4,MATCH($A546,$O$1:$O$4,0),MATCH(C$413,$O$1:$U$1,0)),0))</f>
        <v>263</v>
      </c>
      <c r="D546" s="14">
        <f t="shared" si="214"/>
        <v>130</v>
      </c>
      <c r="E546" s="14">
        <f t="shared" ref="E546:E577" si="234">MAX(1,ROUND(E140*INDEX($O$1:$U$4,MATCH($A546,$O$1:$O$4,0),MATCH(E$413,$O$1:$U$1,0)),0))</f>
        <v>65</v>
      </c>
      <c r="F546" s="14">
        <f t="shared" si="215"/>
        <v>3475</v>
      </c>
      <c r="G546" s="74">
        <f t="shared" si="216"/>
        <v>4533</v>
      </c>
      <c r="H546" s="14">
        <f t="shared" si="227"/>
        <v>64750</v>
      </c>
      <c r="I546" s="14">
        <v>1</v>
      </c>
      <c r="J546" s="14">
        <f t="shared" si="224"/>
        <v>129000</v>
      </c>
      <c r="K546" s="14">
        <f t="shared" si="224"/>
        <v>6</v>
      </c>
      <c r="L546" s="14">
        <v>1</v>
      </c>
      <c r="M546" s="14">
        <f t="shared" si="225"/>
        <v>1310</v>
      </c>
      <c r="N546" s="14">
        <f t="shared" si="225"/>
        <v>655</v>
      </c>
      <c r="O546" s="14">
        <f t="shared" si="225"/>
        <v>320</v>
      </c>
      <c r="P546" s="14">
        <f t="shared" si="229"/>
        <v>500</v>
      </c>
      <c r="Q546" s="38">
        <f t="shared" si="228"/>
        <v>500</v>
      </c>
      <c r="R546" s="38">
        <f t="shared" si="230"/>
        <v>193750</v>
      </c>
      <c r="S546" s="38">
        <f t="shared" si="231"/>
        <v>1310</v>
      </c>
      <c r="T546" s="38">
        <f t="shared" si="232"/>
        <v>655</v>
      </c>
      <c r="U546" s="38">
        <f t="shared" si="226"/>
        <v>385</v>
      </c>
      <c r="V546" s="38">
        <f t="shared" si="223"/>
        <v>6</v>
      </c>
      <c r="W546" s="38">
        <f t="shared" si="220"/>
        <v>61196</v>
      </c>
      <c r="X546" s="38">
        <f>SUM(Q$414:Q546)</f>
        <v>62750</v>
      </c>
      <c r="Y546" s="38">
        <f>SUM(R$414:R546)</f>
        <v>12626750</v>
      </c>
      <c r="Z546" s="38">
        <f t="shared" si="221"/>
        <v>1310</v>
      </c>
      <c r="AA546" s="38">
        <f>SUM(T$414:T546)</f>
        <v>43311</v>
      </c>
      <c r="AB546" s="38">
        <f>SUM(U$414:U546)</f>
        <v>22578</v>
      </c>
      <c r="AC546" s="38">
        <f>SUM(V$414:V546)</f>
        <v>798</v>
      </c>
      <c r="AD546" s="38">
        <f t="shared" si="222"/>
        <v>3826763</v>
      </c>
    </row>
    <row r="547" spans="1:30" x14ac:dyDescent="0.25">
      <c r="A547" s="86" t="s">
        <v>255</v>
      </c>
      <c r="B547" s="14">
        <v>134</v>
      </c>
      <c r="C547" s="14">
        <f t="shared" si="233"/>
        <v>265</v>
      </c>
      <c r="D547" s="14">
        <f t="shared" ref="D547:D578" si="235">MAX(1,ROUND(D141*INDEX($O$1:$U$4,MATCH($A547,$O$1:$O$4,0),MATCH(D$413,$O$1:$U$1,0)),0))</f>
        <v>133</v>
      </c>
      <c r="E547" s="14">
        <f t="shared" si="234"/>
        <v>65</v>
      </c>
      <c r="F547" s="14">
        <f t="shared" ref="F547:F578" si="236">MAX(1,ROUND(F141*INDEX($O$1:$U$4,MATCH($A547,$O$1:$O$4,0),MATCH(F$413,$O$1:$U$1,0)),0))</f>
        <v>3475</v>
      </c>
      <c r="G547" s="74">
        <f t="shared" si="216"/>
        <v>4550</v>
      </c>
      <c r="H547" s="14">
        <f t="shared" si="227"/>
        <v>65250</v>
      </c>
      <c r="I547" s="14">
        <v>1</v>
      </c>
      <c r="J547" s="14">
        <f t="shared" si="224"/>
        <v>130000</v>
      </c>
      <c r="K547" s="14">
        <f t="shared" si="224"/>
        <v>6</v>
      </c>
      <c r="L547" s="14">
        <v>1</v>
      </c>
      <c r="M547" s="14">
        <f t="shared" si="225"/>
        <v>1320</v>
      </c>
      <c r="N547" s="14">
        <f t="shared" si="225"/>
        <v>660</v>
      </c>
      <c r="O547" s="14">
        <f t="shared" si="225"/>
        <v>323</v>
      </c>
      <c r="P547" s="14">
        <f t="shared" si="229"/>
        <v>500</v>
      </c>
      <c r="Q547" s="38">
        <f t="shared" si="228"/>
        <v>500</v>
      </c>
      <c r="R547" s="38">
        <f t="shared" si="230"/>
        <v>195250</v>
      </c>
      <c r="S547" s="38">
        <f t="shared" si="231"/>
        <v>1320</v>
      </c>
      <c r="T547" s="38">
        <f t="shared" si="232"/>
        <v>660</v>
      </c>
      <c r="U547" s="38">
        <f t="shared" si="226"/>
        <v>388</v>
      </c>
      <c r="V547" s="38">
        <f t="shared" si="223"/>
        <v>6</v>
      </c>
      <c r="W547" s="38">
        <f t="shared" si="220"/>
        <v>61666</v>
      </c>
      <c r="X547" s="38">
        <f>SUM(Q$414:Q547)</f>
        <v>63250</v>
      </c>
      <c r="Y547" s="38">
        <f>SUM(R$414:R547)</f>
        <v>12822000</v>
      </c>
      <c r="Z547" s="38">
        <f t="shared" si="221"/>
        <v>1320</v>
      </c>
      <c r="AA547" s="38">
        <f>SUM(T$414:T547)</f>
        <v>43971</v>
      </c>
      <c r="AB547" s="38">
        <f>SUM(U$414:U547)</f>
        <v>22966</v>
      </c>
      <c r="AC547" s="38">
        <f>SUM(V$414:V547)</f>
        <v>804</v>
      </c>
      <c r="AD547" s="38">
        <f t="shared" si="222"/>
        <v>3887119</v>
      </c>
    </row>
    <row r="548" spans="1:30" x14ac:dyDescent="0.25">
      <c r="A548" s="86" t="s">
        <v>255</v>
      </c>
      <c r="B548" s="14">
        <v>135</v>
      </c>
      <c r="C548" s="14">
        <f t="shared" si="233"/>
        <v>265</v>
      </c>
      <c r="D548" s="14">
        <f t="shared" si="235"/>
        <v>133</v>
      </c>
      <c r="E548" s="14">
        <f t="shared" si="234"/>
        <v>65</v>
      </c>
      <c r="F548" s="14">
        <f t="shared" si="236"/>
        <v>3525</v>
      </c>
      <c r="G548" s="74">
        <f t="shared" si="216"/>
        <v>4560</v>
      </c>
      <c r="H548" s="14">
        <f t="shared" si="227"/>
        <v>65750</v>
      </c>
      <c r="I548" s="14">
        <v>1</v>
      </c>
      <c r="J548" s="14">
        <f t="shared" si="224"/>
        <v>131000</v>
      </c>
      <c r="K548" s="14">
        <f t="shared" si="224"/>
        <v>6</v>
      </c>
      <c r="L548" s="14">
        <v>1</v>
      </c>
      <c r="M548" s="14">
        <f t="shared" si="225"/>
        <v>1330</v>
      </c>
      <c r="N548" s="14">
        <f t="shared" si="225"/>
        <v>665</v>
      </c>
      <c r="O548" s="14">
        <f t="shared" si="225"/>
        <v>325</v>
      </c>
      <c r="P548" s="14">
        <f t="shared" si="229"/>
        <v>500</v>
      </c>
      <c r="Q548" s="38">
        <f t="shared" si="228"/>
        <v>500</v>
      </c>
      <c r="R548" s="38">
        <f t="shared" si="230"/>
        <v>196750</v>
      </c>
      <c r="S548" s="38">
        <f t="shared" si="231"/>
        <v>1330</v>
      </c>
      <c r="T548" s="38">
        <f t="shared" si="232"/>
        <v>665</v>
      </c>
      <c r="U548" s="38">
        <f t="shared" si="226"/>
        <v>390</v>
      </c>
      <c r="V548" s="38">
        <f t="shared" si="223"/>
        <v>6</v>
      </c>
      <c r="W548" s="38">
        <f t="shared" si="220"/>
        <v>62091</v>
      </c>
      <c r="X548" s="38">
        <f>SUM(Q$414:Q548)</f>
        <v>63750</v>
      </c>
      <c r="Y548" s="38">
        <f>SUM(R$414:R548)</f>
        <v>13018750</v>
      </c>
      <c r="Z548" s="38">
        <f t="shared" si="221"/>
        <v>1330</v>
      </c>
      <c r="AA548" s="38">
        <f>SUM(T$414:T548)</f>
        <v>44636</v>
      </c>
      <c r="AB548" s="38">
        <f>SUM(U$414:U548)</f>
        <v>23356</v>
      </c>
      <c r="AC548" s="38">
        <f>SUM(V$414:V548)</f>
        <v>810</v>
      </c>
      <c r="AD548" s="38">
        <f t="shared" si="222"/>
        <v>3947890</v>
      </c>
    </row>
    <row r="549" spans="1:30" x14ac:dyDescent="0.25">
      <c r="A549" s="86" t="s">
        <v>255</v>
      </c>
      <c r="B549" s="14">
        <v>136</v>
      </c>
      <c r="C549" s="14">
        <f t="shared" si="233"/>
        <v>268</v>
      </c>
      <c r="D549" s="14">
        <f t="shared" si="235"/>
        <v>133</v>
      </c>
      <c r="E549" s="14">
        <f t="shared" si="234"/>
        <v>65</v>
      </c>
      <c r="F549" s="14">
        <f t="shared" si="236"/>
        <v>3525</v>
      </c>
      <c r="G549" s="74">
        <f t="shared" si="216"/>
        <v>4563</v>
      </c>
      <c r="H549" s="14">
        <f t="shared" si="227"/>
        <v>66250</v>
      </c>
      <c r="I549" s="14">
        <v>1</v>
      </c>
      <c r="J549" s="14">
        <f t="shared" si="224"/>
        <v>132000</v>
      </c>
      <c r="K549" s="14">
        <f t="shared" si="224"/>
        <v>6</v>
      </c>
      <c r="L549" s="14">
        <v>1</v>
      </c>
      <c r="M549" s="14">
        <f t="shared" si="225"/>
        <v>1340</v>
      </c>
      <c r="N549" s="14">
        <f t="shared" si="225"/>
        <v>670</v>
      </c>
      <c r="O549" s="14">
        <f t="shared" si="225"/>
        <v>328</v>
      </c>
      <c r="P549" s="14">
        <f t="shared" si="229"/>
        <v>500</v>
      </c>
      <c r="Q549" s="38">
        <f t="shared" si="228"/>
        <v>500</v>
      </c>
      <c r="R549" s="38">
        <f t="shared" si="230"/>
        <v>198250</v>
      </c>
      <c r="S549" s="38">
        <f t="shared" si="231"/>
        <v>1340</v>
      </c>
      <c r="T549" s="38">
        <f t="shared" si="232"/>
        <v>670</v>
      </c>
      <c r="U549" s="38">
        <f t="shared" si="226"/>
        <v>393</v>
      </c>
      <c r="V549" s="38">
        <f t="shared" si="223"/>
        <v>6</v>
      </c>
      <c r="W549" s="38">
        <f t="shared" si="220"/>
        <v>62561</v>
      </c>
      <c r="X549" s="38">
        <f>SUM(Q$414:Q549)</f>
        <v>64250</v>
      </c>
      <c r="Y549" s="38">
        <f>SUM(R$414:R549)</f>
        <v>13217000</v>
      </c>
      <c r="Z549" s="38">
        <f t="shared" si="221"/>
        <v>1340</v>
      </c>
      <c r="AA549" s="38">
        <f>SUM(T$414:T549)</f>
        <v>45306</v>
      </c>
      <c r="AB549" s="38">
        <f>SUM(U$414:U549)</f>
        <v>23749</v>
      </c>
      <c r="AC549" s="38">
        <f>SUM(V$414:V549)</f>
        <v>816</v>
      </c>
      <c r="AD549" s="38">
        <f t="shared" si="222"/>
        <v>4009121</v>
      </c>
    </row>
    <row r="550" spans="1:30" x14ac:dyDescent="0.25">
      <c r="A550" s="86" t="s">
        <v>255</v>
      </c>
      <c r="B550" s="14">
        <v>137</v>
      </c>
      <c r="C550" s="14">
        <f t="shared" si="233"/>
        <v>270</v>
      </c>
      <c r="D550" s="14">
        <f t="shared" si="235"/>
        <v>135</v>
      </c>
      <c r="E550" s="14">
        <f t="shared" si="234"/>
        <v>65</v>
      </c>
      <c r="F550" s="14">
        <f t="shared" si="236"/>
        <v>3575</v>
      </c>
      <c r="G550" s="74">
        <f t="shared" si="216"/>
        <v>4585</v>
      </c>
      <c r="H550" s="14">
        <f t="shared" si="227"/>
        <v>66750</v>
      </c>
      <c r="I550" s="14">
        <v>1</v>
      </c>
      <c r="J550" s="14">
        <f t="shared" si="224"/>
        <v>133000</v>
      </c>
      <c r="K550" s="14">
        <f t="shared" si="224"/>
        <v>6</v>
      </c>
      <c r="L550" s="14">
        <v>1</v>
      </c>
      <c r="M550" s="14">
        <f t="shared" si="225"/>
        <v>1350</v>
      </c>
      <c r="N550" s="14">
        <f t="shared" si="225"/>
        <v>675</v>
      </c>
      <c r="O550" s="14">
        <f t="shared" si="225"/>
        <v>330</v>
      </c>
      <c r="P550" s="14">
        <f t="shared" si="229"/>
        <v>500</v>
      </c>
      <c r="Q550" s="38">
        <f t="shared" si="228"/>
        <v>500</v>
      </c>
      <c r="R550" s="38">
        <f t="shared" si="230"/>
        <v>199750</v>
      </c>
      <c r="S550" s="38">
        <f t="shared" si="231"/>
        <v>1350</v>
      </c>
      <c r="T550" s="38">
        <f t="shared" si="232"/>
        <v>675</v>
      </c>
      <c r="U550" s="38">
        <f t="shared" si="226"/>
        <v>395</v>
      </c>
      <c r="V550" s="38">
        <f t="shared" si="223"/>
        <v>6</v>
      </c>
      <c r="W550" s="38">
        <f t="shared" si="220"/>
        <v>62986</v>
      </c>
      <c r="X550" s="38">
        <f>SUM(Q$414:Q550)</f>
        <v>64750</v>
      </c>
      <c r="Y550" s="38">
        <f>SUM(R$414:R550)</f>
        <v>13416750</v>
      </c>
      <c r="Z550" s="38">
        <f t="shared" si="221"/>
        <v>1350</v>
      </c>
      <c r="AA550" s="38">
        <f>SUM(T$414:T550)</f>
        <v>45981</v>
      </c>
      <c r="AB550" s="38">
        <f>SUM(U$414:U550)</f>
        <v>24144</v>
      </c>
      <c r="AC550" s="38">
        <f>SUM(V$414:V550)</f>
        <v>822</v>
      </c>
      <c r="AD550" s="38">
        <f t="shared" si="222"/>
        <v>4070767</v>
      </c>
    </row>
    <row r="551" spans="1:30" x14ac:dyDescent="0.25">
      <c r="A551" s="86" t="s">
        <v>255</v>
      </c>
      <c r="B551" s="14">
        <v>138</v>
      </c>
      <c r="C551" s="14">
        <f t="shared" si="233"/>
        <v>273</v>
      </c>
      <c r="D551" s="14">
        <f t="shared" si="235"/>
        <v>135</v>
      </c>
      <c r="E551" s="14">
        <f t="shared" si="234"/>
        <v>68</v>
      </c>
      <c r="F551" s="14">
        <f t="shared" si="236"/>
        <v>3575</v>
      </c>
      <c r="G551" s="74">
        <f t="shared" si="216"/>
        <v>4723</v>
      </c>
      <c r="H551" s="14">
        <f t="shared" si="227"/>
        <v>67250</v>
      </c>
      <c r="I551" s="14">
        <v>1</v>
      </c>
      <c r="J551" s="14">
        <f t="shared" si="224"/>
        <v>134000</v>
      </c>
      <c r="K551" s="14">
        <f t="shared" si="224"/>
        <v>6</v>
      </c>
      <c r="L551" s="14">
        <v>1</v>
      </c>
      <c r="M551" s="14">
        <f t="shared" si="225"/>
        <v>1360</v>
      </c>
      <c r="N551" s="14">
        <f t="shared" si="225"/>
        <v>680</v>
      </c>
      <c r="O551" s="14">
        <f t="shared" si="225"/>
        <v>333</v>
      </c>
      <c r="P551" s="14">
        <f t="shared" si="229"/>
        <v>500</v>
      </c>
      <c r="Q551" s="38">
        <f t="shared" si="228"/>
        <v>500</v>
      </c>
      <c r="R551" s="38">
        <f t="shared" si="230"/>
        <v>201250</v>
      </c>
      <c r="S551" s="38">
        <f t="shared" si="231"/>
        <v>1360</v>
      </c>
      <c r="T551" s="38">
        <f t="shared" si="232"/>
        <v>680</v>
      </c>
      <c r="U551" s="38">
        <f t="shared" si="226"/>
        <v>401</v>
      </c>
      <c r="V551" s="38">
        <f t="shared" si="223"/>
        <v>6</v>
      </c>
      <c r="W551" s="38">
        <f t="shared" si="220"/>
        <v>63591</v>
      </c>
      <c r="X551" s="38">
        <f>SUM(Q$414:Q551)</f>
        <v>65250</v>
      </c>
      <c r="Y551" s="38">
        <f>SUM(R$414:R551)</f>
        <v>13618000</v>
      </c>
      <c r="Z551" s="38">
        <f t="shared" si="221"/>
        <v>1360</v>
      </c>
      <c r="AA551" s="38">
        <f>SUM(T$414:T551)</f>
        <v>46661</v>
      </c>
      <c r="AB551" s="38">
        <f>SUM(U$414:U551)</f>
        <v>24545</v>
      </c>
      <c r="AC551" s="38">
        <f>SUM(V$414:V551)</f>
        <v>828</v>
      </c>
      <c r="AD551" s="38">
        <f t="shared" si="222"/>
        <v>4133008</v>
      </c>
    </row>
    <row r="552" spans="1:30" x14ac:dyDescent="0.25">
      <c r="A552" s="86" t="s">
        <v>255</v>
      </c>
      <c r="B552" s="14">
        <v>139</v>
      </c>
      <c r="C552" s="14">
        <f t="shared" si="233"/>
        <v>275</v>
      </c>
      <c r="D552" s="14">
        <f t="shared" si="235"/>
        <v>138</v>
      </c>
      <c r="E552" s="14">
        <f t="shared" si="234"/>
        <v>68</v>
      </c>
      <c r="F552" s="14">
        <f t="shared" si="236"/>
        <v>3625</v>
      </c>
      <c r="G552" s="74">
        <f t="shared" si="216"/>
        <v>4750</v>
      </c>
      <c r="H552" s="14">
        <f t="shared" si="227"/>
        <v>67750</v>
      </c>
      <c r="I552" s="14">
        <v>1</v>
      </c>
      <c r="J552" s="14">
        <f t="shared" si="224"/>
        <v>135000</v>
      </c>
      <c r="K552" s="14">
        <f t="shared" si="224"/>
        <v>6</v>
      </c>
      <c r="L552" s="14">
        <v>1</v>
      </c>
      <c r="M552" s="14">
        <f t="shared" si="225"/>
        <v>1370</v>
      </c>
      <c r="N552" s="14">
        <f t="shared" si="225"/>
        <v>685</v>
      </c>
      <c r="O552" s="14">
        <f t="shared" si="225"/>
        <v>335</v>
      </c>
      <c r="P552" s="14">
        <f t="shared" si="229"/>
        <v>500</v>
      </c>
      <c r="Q552" s="38">
        <f t="shared" si="228"/>
        <v>500</v>
      </c>
      <c r="R552" s="38">
        <f t="shared" si="230"/>
        <v>202750</v>
      </c>
      <c r="S552" s="38">
        <f t="shared" si="231"/>
        <v>1370</v>
      </c>
      <c r="T552" s="38">
        <f t="shared" si="232"/>
        <v>685</v>
      </c>
      <c r="U552" s="38">
        <f t="shared" si="226"/>
        <v>403</v>
      </c>
      <c r="V552" s="38">
        <f t="shared" si="223"/>
        <v>6</v>
      </c>
      <c r="W552" s="38">
        <f t="shared" si="220"/>
        <v>64016</v>
      </c>
      <c r="X552" s="38">
        <f>SUM(Q$414:Q552)</f>
        <v>65750</v>
      </c>
      <c r="Y552" s="38">
        <f>SUM(R$414:R552)</f>
        <v>13820750</v>
      </c>
      <c r="Z552" s="38">
        <f t="shared" si="221"/>
        <v>1370</v>
      </c>
      <c r="AA552" s="38">
        <f>SUM(T$414:T552)</f>
        <v>47346</v>
      </c>
      <c r="AB552" s="38">
        <f>SUM(U$414:U552)</f>
        <v>24948</v>
      </c>
      <c r="AC552" s="38">
        <f>SUM(V$414:V552)</f>
        <v>834</v>
      </c>
      <c r="AD552" s="38">
        <f t="shared" si="222"/>
        <v>4195664</v>
      </c>
    </row>
    <row r="553" spans="1:30" x14ac:dyDescent="0.25">
      <c r="A553" s="86" t="s">
        <v>255</v>
      </c>
      <c r="B553" s="14">
        <v>140</v>
      </c>
      <c r="C553" s="14">
        <f t="shared" si="233"/>
        <v>275</v>
      </c>
      <c r="D553" s="14">
        <f t="shared" si="235"/>
        <v>138</v>
      </c>
      <c r="E553" s="14">
        <f t="shared" si="234"/>
        <v>68</v>
      </c>
      <c r="F553" s="14">
        <f t="shared" si="236"/>
        <v>3625</v>
      </c>
      <c r="G553" s="74">
        <f t="shared" si="216"/>
        <v>4750</v>
      </c>
      <c r="H553" s="14">
        <f t="shared" si="227"/>
        <v>68250</v>
      </c>
      <c r="I553" s="14">
        <v>1</v>
      </c>
      <c r="J553" s="14">
        <f t="shared" si="224"/>
        <v>136000</v>
      </c>
      <c r="K553" s="14">
        <f t="shared" si="224"/>
        <v>6</v>
      </c>
      <c r="L553" s="14">
        <v>1</v>
      </c>
      <c r="M553" s="14">
        <f t="shared" si="225"/>
        <v>1380</v>
      </c>
      <c r="N553" s="14">
        <f t="shared" si="225"/>
        <v>690</v>
      </c>
      <c r="O553" s="14">
        <f t="shared" si="225"/>
        <v>338</v>
      </c>
      <c r="P553" s="14">
        <f t="shared" si="229"/>
        <v>500</v>
      </c>
      <c r="Q553" s="38">
        <f t="shared" si="228"/>
        <v>500</v>
      </c>
      <c r="R553" s="38">
        <f t="shared" si="230"/>
        <v>204250</v>
      </c>
      <c r="S553" s="38">
        <f t="shared" si="231"/>
        <v>1380</v>
      </c>
      <c r="T553" s="38">
        <f t="shared" si="232"/>
        <v>690</v>
      </c>
      <c r="U553" s="38">
        <f t="shared" si="226"/>
        <v>406</v>
      </c>
      <c r="V553" s="38">
        <f t="shared" si="223"/>
        <v>6</v>
      </c>
      <c r="W553" s="38">
        <f t="shared" si="220"/>
        <v>64486</v>
      </c>
      <c r="X553" s="38">
        <f>SUM(Q$414:Q553)</f>
        <v>66250</v>
      </c>
      <c r="Y553" s="38">
        <f>SUM(R$414:R553)</f>
        <v>14025000</v>
      </c>
      <c r="Z553" s="38">
        <f t="shared" si="221"/>
        <v>1380</v>
      </c>
      <c r="AA553" s="38">
        <f>SUM(T$414:T553)</f>
        <v>48036</v>
      </c>
      <c r="AB553" s="38">
        <f>SUM(U$414:U553)</f>
        <v>25354</v>
      </c>
      <c r="AC553" s="38">
        <f>SUM(V$414:V553)</f>
        <v>840</v>
      </c>
      <c r="AD553" s="38">
        <f t="shared" si="222"/>
        <v>4258780</v>
      </c>
    </row>
    <row r="554" spans="1:30" x14ac:dyDescent="0.25">
      <c r="A554" s="86" t="s">
        <v>255</v>
      </c>
      <c r="B554" s="14">
        <v>141</v>
      </c>
      <c r="C554" s="14">
        <f t="shared" si="233"/>
        <v>278</v>
      </c>
      <c r="D554" s="14">
        <f t="shared" si="235"/>
        <v>138</v>
      </c>
      <c r="E554" s="14">
        <f t="shared" si="234"/>
        <v>68</v>
      </c>
      <c r="F554" s="14">
        <f t="shared" si="236"/>
        <v>3675</v>
      </c>
      <c r="G554" s="74">
        <f t="shared" si="216"/>
        <v>4763</v>
      </c>
      <c r="H554" s="14">
        <f t="shared" si="227"/>
        <v>68750</v>
      </c>
      <c r="I554" s="14">
        <v>1</v>
      </c>
      <c r="J554" s="14">
        <f t="shared" ref="J554:K573" si="237">MAX(1,ROUND(J148*INDEX($O$1:$U$4,MATCH($A554,$O$1:$O$4,0),MATCH(J$413,$O$1:$U$1,0)),0))</f>
        <v>137000</v>
      </c>
      <c r="K554" s="14">
        <f t="shared" si="237"/>
        <v>6</v>
      </c>
      <c r="L554" s="14">
        <v>1</v>
      </c>
      <c r="M554" s="14">
        <f t="shared" si="225"/>
        <v>1390</v>
      </c>
      <c r="N554" s="14">
        <f t="shared" si="225"/>
        <v>695</v>
      </c>
      <c r="O554" s="14">
        <f t="shared" si="225"/>
        <v>340</v>
      </c>
      <c r="P554" s="14">
        <f t="shared" si="229"/>
        <v>500</v>
      </c>
      <c r="Q554" s="38">
        <f t="shared" si="228"/>
        <v>500</v>
      </c>
      <c r="R554" s="38">
        <f t="shared" si="230"/>
        <v>205750</v>
      </c>
      <c r="S554" s="38">
        <f t="shared" si="231"/>
        <v>1390</v>
      </c>
      <c r="T554" s="38">
        <f t="shared" si="232"/>
        <v>695</v>
      </c>
      <c r="U554" s="38">
        <f t="shared" si="226"/>
        <v>408</v>
      </c>
      <c r="V554" s="38">
        <f t="shared" si="223"/>
        <v>6</v>
      </c>
      <c r="W554" s="38">
        <f t="shared" si="220"/>
        <v>64911</v>
      </c>
      <c r="X554" s="38">
        <f>SUM(Q$414:Q554)</f>
        <v>66750</v>
      </c>
      <c r="Y554" s="38">
        <f>SUM(R$414:R554)</f>
        <v>14230750</v>
      </c>
      <c r="Z554" s="38">
        <f t="shared" si="221"/>
        <v>1390</v>
      </c>
      <c r="AA554" s="38">
        <f>SUM(T$414:T554)</f>
        <v>48731</v>
      </c>
      <c r="AB554" s="38">
        <f>SUM(U$414:U554)</f>
        <v>25762</v>
      </c>
      <c r="AC554" s="38">
        <f>SUM(V$414:V554)</f>
        <v>846</v>
      </c>
      <c r="AD554" s="38">
        <f t="shared" si="222"/>
        <v>4322311</v>
      </c>
    </row>
    <row r="555" spans="1:30" x14ac:dyDescent="0.25">
      <c r="A555" s="86" t="s">
        <v>255</v>
      </c>
      <c r="B555" s="14">
        <v>142</v>
      </c>
      <c r="C555" s="14">
        <f t="shared" si="233"/>
        <v>280</v>
      </c>
      <c r="D555" s="14">
        <f t="shared" si="235"/>
        <v>140</v>
      </c>
      <c r="E555" s="14">
        <f t="shared" si="234"/>
        <v>68</v>
      </c>
      <c r="F555" s="14">
        <f t="shared" si="236"/>
        <v>3675</v>
      </c>
      <c r="G555" s="74">
        <f t="shared" si="216"/>
        <v>4775</v>
      </c>
      <c r="H555" s="14">
        <f t="shared" si="227"/>
        <v>69250</v>
      </c>
      <c r="I555" s="14">
        <v>1</v>
      </c>
      <c r="J555" s="14">
        <f t="shared" si="237"/>
        <v>138000</v>
      </c>
      <c r="K555" s="14">
        <f t="shared" si="237"/>
        <v>6</v>
      </c>
      <c r="L555" s="14">
        <v>1</v>
      </c>
      <c r="M555" s="14">
        <f t="shared" ref="M555:O574" si="238">MAX(1,ROUND(M149*INDEX($O$1:$U$4,MATCH($A555,$O$1:$O$4,0),MATCH(M$413,$O$1:$U$1,0)),0))</f>
        <v>1400</v>
      </c>
      <c r="N555" s="14">
        <f t="shared" si="238"/>
        <v>700</v>
      </c>
      <c r="O555" s="14">
        <f t="shared" si="238"/>
        <v>343</v>
      </c>
      <c r="P555" s="14">
        <f t="shared" si="229"/>
        <v>500</v>
      </c>
      <c r="Q555" s="38">
        <f t="shared" si="228"/>
        <v>500</v>
      </c>
      <c r="R555" s="38">
        <f t="shared" si="230"/>
        <v>207250</v>
      </c>
      <c r="S555" s="38">
        <f t="shared" si="231"/>
        <v>1400</v>
      </c>
      <c r="T555" s="38">
        <f t="shared" si="232"/>
        <v>700</v>
      </c>
      <c r="U555" s="38">
        <f t="shared" si="226"/>
        <v>411</v>
      </c>
      <c r="V555" s="38">
        <f t="shared" si="223"/>
        <v>6</v>
      </c>
      <c r="W555" s="38">
        <f t="shared" si="220"/>
        <v>65381</v>
      </c>
      <c r="X555" s="38">
        <f>SUM(Q$414:Q555)</f>
        <v>67250</v>
      </c>
      <c r="Y555" s="38">
        <f>SUM(R$414:R555)</f>
        <v>14438000</v>
      </c>
      <c r="Z555" s="38">
        <f t="shared" si="221"/>
        <v>1400</v>
      </c>
      <c r="AA555" s="38">
        <f>SUM(T$414:T555)</f>
        <v>49431</v>
      </c>
      <c r="AB555" s="38">
        <f>SUM(U$414:U555)</f>
        <v>26173</v>
      </c>
      <c r="AC555" s="38">
        <f>SUM(V$414:V555)</f>
        <v>852</v>
      </c>
      <c r="AD555" s="38">
        <f t="shared" si="222"/>
        <v>4386302</v>
      </c>
    </row>
    <row r="556" spans="1:30" x14ac:dyDescent="0.25">
      <c r="A556" s="86" t="s">
        <v>255</v>
      </c>
      <c r="B556" s="14">
        <v>143</v>
      </c>
      <c r="C556" s="14">
        <f t="shared" si="233"/>
        <v>283</v>
      </c>
      <c r="D556" s="14">
        <f t="shared" si="235"/>
        <v>140</v>
      </c>
      <c r="E556" s="14">
        <f t="shared" si="234"/>
        <v>70</v>
      </c>
      <c r="F556" s="14">
        <f t="shared" si="236"/>
        <v>3725</v>
      </c>
      <c r="G556" s="74">
        <f t="shared" si="216"/>
        <v>4878</v>
      </c>
      <c r="H556" s="14">
        <f t="shared" si="227"/>
        <v>69750</v>
      </c>
      <c r="I556" s="14">
        <v>1</v>
      </c>
      <c r="J556" s="14">
        <f t="shared" si="237"/>
        <v>139000</v>
      </c>
      <c r="K556" s="14">
        <f t="shared" si="237"/>
        <v>6</v>
      </c>
      <c r="L556" s="14">
        <v>1</v>
      </c>
      <c r="M556" s="14">
        <f t="shared" si="238"/>
        <v>1410</v>
      </c>
      <c r="N556" s="14">
        <f t="shared" si="238"/>
        <v>705</v>
      </c>
      <c r="O556" s="14">
        <f t="shared" si="238"/>
        <v>345</v>
      </c>
      <c r="P556" s="14">
        <f t="shared" si="229"/>
        <v>500</v>
      </c>
      <c r="Q556" s="38">
        <f t="shared" si="228"/>
        <v>500</v>
      </c>
      <c r="R556" s="38">
        <f t="shared" si="230"/>
        <v>208750</v>
      </c>
      <c r="S556" s="38">
        <f t="shared" si="231"/>
        <v>1410</v>
      </c>
      <c r="T556" s="38">
        <f t="shared" si="232"/>
        <v>705</v>
      </c>
      <c r="U556" s="38">
        <f t="shared" si="226"/>
        <v>415</v>
      </c>
      <c r="V556" s="38">
        <f t="shared" si="223"/>
        <v>6</v>
      </c>
      <c r="W556" s="38">
        <f t="shared" si="220"/>
        <v>65896</v>
      </c>
      <c r="X556" s="38">
        <f>SUM(Q$414:Q556)</f>
        <v>67750</v>
      </c>
      <c r="Y556" s="38">
        <f>SUM(R$414:R556)</f>
        <v>14646750</v>
      </c>
      <c r="Z556" s="38">
        <f t="shared" si="221"/>
        <v>1410</v>
      </c>
      <c r="AA556" s="38">
        <f>SUM(T$414:T556)</f>
        <v>50136</v>
      </c>
      <c r="AB556" s="38">
        <f>SUM(U$414:U556)</f>
        <v>26588</v>
      </c>
      <c r="AC556" s="38">
        <f>SUM(V$414:V556)</f>
        <v>858</v>
      </c>
      <c r="AD556" s="38">
        <f t="shared" si="222"/>
        <v>4450798</v>
      </c>
    </row>
    <row r="557" spans="1:30" x14ac:dyDescent="0.25">
      <c r="A557" s="86" t="s">
        <v>255</v>
      </c>
      <c r="B557" s="14">
        <v>144</v>
      </c>
      <c r="C557" s="14">
        <f t="shared" si="233"/>
        <v>285</v>
      </c>
      <c r="D557" s="14">
        <f t="shared" si="235"/>
        <v>143</v>
      </c>
      <c r="E557" s="14">
        <f t="shared" si="234"/>
        <v>70</v>
      </c>
      <c r="F557" s="14">
        <f t="shared" si="236"/>
        <v>3725</v>
      </c>
      <c r="G557" s="74">
        <f t="shared" si="216"/>
        <v>4895</v>
      </c>
      <c r="H557" s="14">
        <f t="shared" si="227"/>
        <v>70250</v>
      </c>
      <c r="I557" s="14">
        <v>1</v>
      </c>
      <c r="J557" s="14">
        <f t="shared" si="237"/>
        <v>140000</v>
      </c>
      <c r="K557" s="14">
        <f t="shared" si="237"/>
        <v>6</v>
      </c>
      <c r="L557" s="14">
        <v>1</v>
      </c>
      <c r="M557" s="14">
        <f t="shared" si="238"/>
        <v>1420</v>
      </c>
      <c r="N557" s="14">
        <f t="shared" si="238"/>
        <v>710</v>
      </c>
      <c r="O557" s="14">
        <f t="shared" si="238"/>
        <v>348</v>
      </c>
      <c r="P557" s="14">
        <f t="shared" si="229"/>
        <v>500</v>
      </c>
      <c r="Q557" s="38">
        <f t="shared" si="228"/>
        <v>500</v>
      </c>
      <c r="R557" s="38">
        <f t="shared" si="230"/>
        <v>210250</v>
      </c>
      <c r="S557" s="38">
        <f t="shared" si="231"/>
        <v>1420</v>
      </c>
      <c r="T557" s="38">
        <f t="shared" si="232"/>
        <v>710</v>
      </c>
      <c r="U557" s="38">
        <f t="shared" si="226"/>
        <v>418</v>
      </c>
      <c r="V557" s="38">
        <f t="shared" si="223"/>
        <v>6</v>
      </c>
      <c r="W557" s="38">
        <f t="shared" si="220"/>
        <v>66366</v>
      </c>
      <c r="X557" s="38">
        <f>SUM(Q$414:Q557)</f>
        <v>68250</v>
      </c>
      <c r="Y557" s="38">
        <f>SUM(R$414:R557)</f>
        <v>14857000</v>
      </c>
      <c r="Z557" s="38">
        <f t="shared" si="221"/>
        <v>1420</v>
      </c>
      <c r="AA557" s="38">
        <f>SUM(T$414:T557)</f>
        <v>50846</v>
      </c>
      <c r="AB557" s="38">
        <f>SUM(U$414:U557)</f>
        <v>27006</v>
      </c>
      <c r="AC557" s="38">
        <f>SUM(V$414:V557)</f>
        <v>864</v>
      </c>
      <c r="AD557" s="38">
        <f t="shared" si="222"/>
        <v>4515754</v>
      </c>
    </row>
    <row r="558" spans="1:30" x14ac:dyDescent="0.25">
      <c r="A558" s="86" t="s">
        <v>255</v>
      </c>
      <c r="B558" s="14">
        <v>145</v>
      </c>
      <c r="C558" s="14">
        <f t="shared" si="233"/>
        <v>285</v>
      </c>
      <c r="D558" s="14">
        <f t="shared" si="235"/>
        <v>143</v>
      </c>
      <c r="E558" s="14">
        <f t="shared" si="234"/>
        <v>70</v>
      </c>
      <c r="F558" s="14">
        <f t="shared" si="236"/>
        <v>3775</v>
      </c>
      <c r="G558" s="74">
        <f t="shared" si="216"/>
        <v>4905</v>
      </c>
      <c r="H558" s="14">
        <f t="shared" si="227"/>
        <v>70750</v>
      </c>
      <c r="I558" s="14">
        <v>1</v>
      </c>
      <c r="J558" s="14">
        <f t="shared" si="237"/>
        <v>141000</v>
      </c>
      <c r="K558" s="14">
        <f t="shared" si="237"/>
        <v>6</v>
      </c>
      <c r="L558" s="14">
        <v>1</v>
      </c>
      <c r="M558" s="14">
        <f t="shared" si="238"/>
        <v>1430</v>
      </c>
      <c r="N558" s="14">
        <f t="shared" si="238"/>
        <v>715</v>
      </c>
      <c r="O558" s="14">
        <f t="shared" si="238"/>
        <v>350</v>
      </c>
      <c r="P558" s="14">
        <f t="shared" si="229"/>
        <v>500</v>
      </c>
      <c r="Q558" s="38">
        <f t="shared" si="228"/>
        <v>500</v>
      </c>
      <c r="R558" s="38">
        <f t="shared" si="230"/>
        <v>211750</v>
      </c>
      <c r="S558" s="38">
        <f t="shared" si="231"/>
        <v>1430</v>
      </c>
      <c r="T558" s="38">
        <f t="shared" si="232"/>
        <v>715</v>
      </c>
      <c r="U558" s="38">
        <f t="shared" si="226"/>
        <v>420</v>
      </c>
      <c r="V558" s="38">
        <f t="shared" si="223"/>
        <v>6</v>
      </c>
      <c r="W558" s="38">
        <f t="shared" si="220"/>
        <v>66791</v>
      </c>
      <c r="X558" s="38">
        <f>SUM(Q$414:Q558)</f>
        <v>68750</v>
      </c>
      <c r="Y558" s="38">
        <f>SUM(R$414:R558)</f>
        <v>15068750</v>
      </c>
      <c r="Z558" s="38">
        <f t="shared" si="221"/>
        <v>1430</v>
      </c>
      <c r="AA558" s="38">
        <f>SUM(T$414:T558)</f>
        <v>51561</v>
      </c>
      <c r="AB558" s="38">
        <f>SUM(U$414:U558)</f>
        <v>27426</v>
      </c>
      <c r="AC558" s="38">
        <f>SUM(V$414:V558)</f>
        <v>870</v>
      </c>
      <c r="AD558" s="38">
        <f t="shared" si="222"/>
        <v>4581125</v>
      </c>
    </row>
    <row r="559" spans="1:30" x14ac:dyDescent="0.25">
      <c r="A559" s="86" t="s">
        <v>255</v>
      </c>
      <c r="B559" s="14">
        <v>146</v>
      </c>
      <c r="C559" s="14">
        <f t="shared" si="233"/>
        <v>288</v>
      </c>
      <c r="D559" s="14">
        <f t="shared" si="235"/>
        <v>143</v>
      </c>
      <c r="E559" s="14">
        <f t="shared" si="234"/>
        <v>70</v>
      </c>
      <c r="F559" s="14">
        <f t="shared" si="236"/>
        <v>3775</v>
      </c>
      <c r="G559" s="74">
        <f t="shared" si="216"/>
        <v>4908</v>
      </c>
      <c r="H559" s="14">
        <f t="shared" si="227"/>
        <v>71250</v>
      </c>
      <c r="I559" s="14">
        <v>1</v>
      </c>
      <c r="J559" s="14">
        <f t="shared" si="237"/>
        <v>142000</v>
      </c>
      <c r="K559" s="14">
        <f t="shared" si="237"/>
        <v>6</v>
      </c>
      <c r="L559" s="14">
        <v>1</v>
      </c>
      <c r="M559" s="14">
        <f t="shared" si="238"/>
        <v>1440</v>
      </c>
      <c r="N559" s="14">
        <f t="shared" si="238"/>
        <v>720</v>
      </c>
      <c r="O559" s="14">
        <f t="shared" si="238"/>
        <v>353</v>
      </c>
      <c r="P559" s="14">
        <f t="shared" si="229"/>
        <v>500</v>
      </c>
      <c r="Q559" s="38">
        <f t="shared" si="228"/>
        <v>500</v>
      </c>
      <c r="R559" s="38">
        <f t="shared" si="230"/>
        <v>213250</v>
      </c>
      <c r="S559" s="38">
        <f t="shared" si="231"/>
        <v>1440</v>
      </c>
      <c r="T559" s="38">
        <f t="shared" si="232"/>
        <v>720</v>
      </c>
      <c r="U559" s="38">
        <f t="shared" si="226"/>
        <v>423</v>
      </c>
      <c r="V559" s="38">
        <f t="shared" si="223"/>
        <v>6</v>
      </c>
      <c r="W559" s="38">
        <f t="shared" si="220"/>
        <v>67261</v>
      </c>
      <c r="X559" s="38">
        <f>SUM(Q$414:Q559)</f>
        <v>69250</v>
      </c>
      <c r="Y559" s="38">
        <f>SUM(R$414:R559)</f>
        <v>15282000</v>
      </c>
      <c r="Z559" s="38">
        <f t="shared" si="221"/>
        <v>1440</v>
      </c>
      <c r="AA559" s="38">
        <f>SUM(T$414:T559)</f>
        <v>52281</v>
      </c>
      <c r="AB559" s="38">
        <f>SUM(U$414:U559)</f>
        <v>27849</v>
      </c>
      <c r="AC559" s="38">
        <f>SUM(V$414:V559)</f>
        <v>876</v>
      </c>
      <c r="AD559" s="38">
        <f t="shared" si="222"/>
        <v>4646956</v>
      </c>
    </row>
    <row r="560" spans="1:30" x14ac:dyDescent="0.25">
      <c r="A560" s="86" t="s">
        <v>255</v>
      </c>
      <c r="B560" s="14">
        <v>147</v>
      </c>
      <c r="C560" s="14">
        <f t="shared" si="233"/>
        <v>290</v>
      </c>
      <c r="D560" s="14">
        <f t="shared" si="235"/>
        <v>145</v>
      </c>
      <c r="E560" s="14">
        <f t="shared" si="234"/>
        <v>70</v>
      </c>
      <c r="F560" s="14">
        <f t="shared" si="236"/>
        <v>3825</v>
      </c>
      <c r="G560" s="74">
        <f t="shared" si="216"/>
        <v>4930</v>
      </c>
      <c r="H560" s="14">
        <f t="shared" si="227"/>
        <v>71750</v>
      </c>
      <c r="I560" s="14">
        <v>1</v>
      </c>
      <c r="J560" s="14">
        <f t="shared" si="237"/>
        <v>143000</v>
      </c>
      <c r="K560" s="14">
        <f t="shared" si="237"/>
        <v>6</v>
      </c>
      <c r="L560" s="14">
        <v>1</v>
      </c>
      <c r="M560" s="14">
        <f t="shared" si="238"/>
        <v>1450</v>
      </c>
      <c r="N560" s="14">
        <f t="shared" si="238"/>
        <v>725</v>
      </c>
      <c r="O560" s="14">
        <f t="shared" si="238"/>
        <v>355</v>
      </c>
      <c r="P560" s="14">
        <f t="shared" si="229"/>
        <v>500</v>
      </c>
      <c r="Q560" s="38">
        <f t="shared" si="228"/>
        <v>500</v>
      </c>
      <c r="R560" s="38">
        <f t="shared" si="230"/>
        <v>214750</v>
      </c>
      <c r="S560" s="38">
        <f t="shared" si="231"/>
        <v>1450</v>
      </c>
      <c r="T560" s="38">
        <f t="shared" si="232"/>
        <v>725</v>
      </c>
      <c r="U560" s="38">
        <f t="shared" si="226"/>
        <v>425</v>
      </c>
      <c r="V560" s="38">
        <f t="shared" si="223"/>
        <v>6</v>
      </c>
      <c r="W560" s="38">
        <f t="shared" si="220"/>
        <v>67686</v>
      </c>
      <c r="X560" s="38">
        <f>SUM(Q$414:Q560)</f>
        <v>69750</v>
      </c>
      <c r="Y560" s="38">
        <f>SUM(R$414:R560)</f>
        <v>15496750</v>
      </c>
      <c r="Z560" s="38">
        <f t="shared" si="221"/>
        <v>1450</v>
      </c>
      <c r="AA560" s="38">
        <f>SUM(T$414:T560)</f>
        <v>53006</v>
      </c>
      <c r="AB560" s="38">
        <f>SUM(U$414:U560)</f>
        <v>28274</v>
      </c>
      <c r="AC560" s="38">
        <f>SUM(V$414:V560)</f>
        <v>882</v>
      </c>
      <c r="AD560" s="38">
        <f t="shared" si="222"/>
        <v>4713202</v>
      </c>
    </row>
    <row r="561" spans="1:30" x14ac:dyDescent="0.25">
      <c r="A561" s="86" t="s">
        <v>255</v>
      </c>
      <c r="B561" s="14">
        <v>148</v>
      </c>
      <c r="C561" s="14">
        <f t="shared" si="233"/>
        <v>293</v>
      </c>
      <c r="D561" s="14">
        <f t="shared" si="235"/>
        <v>145</v>
      </c>
      <c r="E561" s="14">
        <f t="shared" si="234"/>
        <v>73</v>
      </c>
      <c r="F561" s="14">
        <f t="shared" si="236"/>
        <v>3825</v>
      </c>
      <c r="G561" s="74">
        <f t="shared" si="216"/>
        <v>5068</v>
      </c>
      <c r="H561" s="14">
        <f t="shared" si="227"/>
        <v>72250</v>
      </c>
      <c r="I561" s="14">
        <v>1</v>
      </c>
      <c r="J561" s="14">
        <f t="shared" si="237"/>
        <v>144000</v>
      </c>
      <c r="K561" s="14">
        <f t="shared" si="237"/>
        <v>6</v>
      </c>
      <c r="L561" s="14">
        <v>1</v>
      </c>
      <c r="M561" s="14">
        <f t="shared" si="238"/>
        <v>1460</v>
      </c>
      <c r="N561" s="14">
        <f t="shared" si="238"/>
        <v>730</v>
      </c>
      <c r="O561" s="14">
        <f t="shared" si="238"/>
        <v>358</v>
      </c>
      <c r="P561" s="14">
        <f t="shared" si="229"/>
        <v>500</v>
      </c>
      <c r="Q561" s="38">
        <f t="shared" si="228"/>
        <v>500</v>
      </c>
      <c r="R561" s="38">
        <f t="shared" si="230"/>
        <v>216250</v>
      </c>
      <c r="S561" s="38">
        <f t="shared" si="231"/>
        <v>1460</v>
      </c>
      <c r="T561" s="38">
        <f t="shared" si="232"/>
        <v>730</v>
      </c>
      <c r="U561" s="38">
        <f t="shared" si="226"/>
        <v>431</v>
      </c>
      <c r="V561" s="38">
        <f t="shared" si="223"/>
        <v>6</v>
      </c>
      <c r="W561" s="38">
        <f t="shared" si="220"/>
        <v>68291</v>
      </c>
      <c r="X561" s="38">
        <f>SUM(Q$414:Q561)</f>
        <v>70250</v>
      </c>
      <c r="Y561" s="38">
        <f>SUM(R$414:R561)</f>
        <v>15713000</v>
      </c>
      <c r="Z561" s="38">
        <f t="shared" si="221"/>
        <v>1460</v>
      </c>
      <c r="AA561" s="38">
        <f>SUM(T$414:T561)</f>
        <v>53736</v>
      </c>
      <c r="AB561" s="38">
        <f>SUM(U$414:U561)</f>
        <v>28705</v>
      </c>
      <c r="AC561" s="38">
        <f>SUM(V$414:V561)</f>
        <v>888</v>
      </c>
      <c r="AD561" s="38">
        <f t="shared" si="222"/>
        <v>4780043</v>
      </c>
    </row>
    <row r="562" spans="1:30" x14ac:dyDescent="0.25">
      <c r="A562" s="86" t="s">
        <v>255</v>
      </c>
      <c r="B562" s="14">
        <v>149</v>
      </c>
      <c r="C562" s="14">
        <f t="shared" si="233"/>
        <v>295</v>
      </c>
      <c r="D562" s="14">
        <f t="shared" si="235"/>
        <v>148</v>
      </c>
      <c r="E562" s="14">
        <f t="shared" si="234"/>
        <v>73</v>
      </c>
      <c r="F562" s="14">
        <f t="shared" si="236"/>
        <v>3875</v>
      </c>
      <c r="G562" s="74">
        <f t="shared" si="216"/>
        <v>5095</v>
      </c>
      <c r="H562" s="14">
        <f t="shared" si="227"/>
        <v>72750</v>
      </c>
      <c r="I562" s="14">
        <v>1</v>
      </c>
      <c r="J562" s="14">
        <f t="shared" si="237"/>
        <v>145000</v>
      </c>
      <c r="K562" s="14">
        <f t="shared" si="237"/>
        <v>6</v>
      </c>
      <c r="L562" s="14">
        <v>1</v>
      </c>
      <c r="M562" s="14">
        <f t="shared" si="238"/>
        <v>1470</v>
      </c>
      <c r="N562" s="14">
        <f t="shared" si="238"/>
        <v>735</v>
      </c>
      <c r="O562" s="14">
        <f t="shared" si="238"/>
        <v>360</v>
      </c>
      <c r="P562" s="14">
        <f t="shared" si="229"/>
        <v>500</v>
      </c>
      <c r="Q562" s="38">
        <f t="shared" si="228"/>
        <v>500</v>
      </c>
      <c r="R562" s="38">
        <f t="shared" si="230"/>
        <v>217750</v>
      </c>
      <c r="S562" s="38">
        <f t="shared" si="231"/>
        <v>1470</v>
      </c>
      <c r="T562" s="38">
        <f t="shared" si="232"/>
        <v>735</v>
      </c>
      <c r="U562" s="38">
        <f t="shared" si="226"/>
        <v>433</v>
      </c>
      <c r="V562" s="38">
        <f t="shared" si="223"/>
        <v>6</v>
      </c>
      <c r="W562" s="38">
        <f t="shared" si="220"/>
        <v>68716</v>
      </c>
      <c r="X562" s="38">
        <f>SUM(Q$414:Q562)</f>
        <v>70750</v>
      </c>
      <c r="Y562" s="38">
        <f>SUM(R$414:R562)</f>
        <v>15930750</v>
      </c>
      <c r="Z562" s="38">
        <f t="shared" si="221"/>
        <v>1470</v>
      </c>
      <c r="AA562" s="38">
        <f>SUM(T$414:T562)</f>
        <v>54471</v>
      </c>
      <c r="AB562" s="38">
        <f>SUM(U$414:U562)</f>
        <v>29138</v>
      </c>
      <c r="AC562" s="38">
        <f>SUM(V$414:V562)</f>
        <v>894</v>
      </c>
      <c r="AD562" s="38">
        <f t="shared" si="222"/>
        <v>4847299</v>
      </c>
    </row>
    <row r="563" spans="1:30" x14ac:dyDescent="0.25">
      <c r="A563" s="86" t="s">
        <v>255</v>
      </c>
      <c r="B563" s="14">
        <v>150</v>
      </c>
      <c r="C563" s="14">
        <f t="shared" si="233"/>
        <v>295</v>
      </c>
      <c r="D563" s="14">
        <f t="shared" si="235"/>
        <v>148</v>
      </c>
      <c r="E563" s="14">
        <f t="shared" si="234"/>
        <v>73</v>
      </c>
      <c r="F563" s="14">
        <f t="shared" si="236"/>
        <v>3875</v>
      </c>
      <c r="G563" s="74">
        <f t="shared" si="216"/>
        <v>5095</v>
      </c>
      <c r="H563" s="14">
        <f t="shared" si="227"/>
        <v>73250</v>
      </c>
      <c r="I563" s="14">
        <v>1</v>
      </c>
      <c r="J563" s="14">
        <f t="shared" si="237"/>
        <v>146000</v>
      </c>
      <c r="K563" s="14">
        <f t="shared" si="237"/>
        <v>6</v>
      </c>
      <c r="L563" s="14">
        <v>1</v>
      </c>
      <c r="M563" s="14">
        <f t="shared" si="238"/>
        <v>1480</v>
      </c>
      <c r="N563" s="14">
        <f t="shared" si="238"/>
        <v>740</v>
      </c>
      <c r="O563" s="14">
        <f t="shared" si="238"/>
        <v>363</v>
      </c>
      <c r="P563" s="14">
        <f t="shared" si="229"/>
        <v>500</v>
      </c>
      <c r="Q563" s="38">
        <f t="shared" si="228"/>
        <v>500</v>
      </c>
      <c r="R563" s="38">
        <f t="shared" si="230"/>
        <v>219250</v>
      </c>
      <c r="S563" s="38">
        <f t="shared" si="231"/>
        <v>1480</v>
      </c>
      <c r="T563" s="38">
        <f t="shared" si="232"/>
        <v>740</v>
      </c>
      <c r="U563" s="38">
        <f t="shared" si="226"/>
        <v>436</v>
      </c>
      <c r="V563" s="38">
        <f t="shared" si="223"/>
        <v>6</v>
      </c>
      <c r="W563" s="38">
        <f t="shared" si="220"/>
        <v>69186</v>
      </c>
      <c r="X563" s="38">
        <f>SUM(Q$414:Q563)</f>
        <v>71250</v>
      </c>
      <c r="Y563" s="38">
        <f>SUM(R$414:R563)</f>
        <v>16150000</v>
      </c>
      <c r="Z563" s="38">
        <f t="shared" si="221"/>
        <v>1480</v>
      </c>
      <c r="AA563" s="38">
        <f>SUM(T$414:T563)</f>
        <v>55211</v>
      </c>
      <c r="AB563" s="38">
        <f>SUM(U$414:U563)</f>
        <v>29574</v>
      </c>
      <c r="AC563" s="38">
        <f>SUM(V$414:V563)</f>
        <v>900</v>
      </c>
      <c r="AD563" s="38">
        <f t="shared" si="222"/>
        <v>4915015</v>
      </c>
    </row>
    <row r="564" spans="1:30" x14ac:dyDescent="0.25">
      <c r="A564" s="86" t="s">
        <v>255</v>
      </c>
      <c r="B564" s="14">
        <v>151</v>
      </c>
      <c r="C564" s="14">
        <f t="shared" si="233"/>
        <v>298</v>
      </c>
      <c r="D564" s="14">
        <f t="shared" si="235"/>
        <v>148</v>
      </c>
      <c r="E564" s="14">
        <f t="shared" si="234"/>
        <v>73</v>
      </c>
      <c r="F564" s="14">
        <f t="shared" si="236"/>
        <v>3925</v>
      </c>
      <c r="G564" s="74">
        <f t="shared" si="216"/>
        <v>5108</v>
      </c>
      <c r="H564" s="14">
        <f t="shared" si="227"/>
        <v>73750</v>
      </c>
      <c r="I564" s="14">
        <v>1</v>
      </c>
      <c r="J564" s="14">
        <f t="shared" si="237"/>
        <v>147000</v>
      </c>
      <c r="K564" s="14">
        <f t="shared" si="237"/>
        <v>6</v>
      </c>
      <c r="L564" s="14">
        <v>1</v>
      </c>
      <c r="M564" s="14">
        <f t="shared" si="238"/>
        <v>1490</v>
      </c>
      <c r="N564" s="14">
        <f t="shared" si="238"/>
        <v>745</v>
      </c>
      <c r="O564" s="14">
        <f t="shared" si="238"/>
        <v>365</v>
      </c>
      <c r="P564" s="14">
        <f t="shared" si="229"/>
        <v>500</v>
      </c>
      <c r="Q564" s="38">
        <f t="shared" si="228"/>
        <v>500</v>
      </c>
      <c r="R564" s="38">
        <f t="shared" si="230"/>
        <v>220750</v>
      </c>
      <c r="S564" s="38">
        <f t="shared" si="231"/>
        <v>1490</v>
      </c>
      <c r="T564" s="38">
        <f t="shared" si="232"/>
        <v>745</v>
      </c>
      <c r="U564" s="38"/>
      <c r="V564" s="38">
        <f t="shared" si="223"/>
        <v>6</v>
      </c>
      <c r="W564" s="38">
        <f t="shared" si="220"/>
        <v>49901</v>
      </c>
      <c r="X564" s="38">
        <f>SUM(Q$414:Q564)</f>
        <v>71750</v>
      </c>
      <c r="Y564" s="38">
        <f>SUM(R$414:R564)</f>
        <v>16370750</v>
      </c>
      <c r="Z564" s="38">
        <f t="shared" si="221"/>
        <v>1490</v>
      </c>
      <c r="AA564" s="38">
        <f>SUM(T$414:T564)</f>
        <v>55956</v>
      </c>
      <c r="AB564" s="38">
        <f>SUM(U$414:U564)</f>
        <v>29574</v>
      </c>
      <c r="AC564" s="38">
        <f>SUM(V$414:V564)</f>
        <v>906</v>
      </c>
      <c r="AD564" s="38">
        <f t="shared" si="222"/>
        <v>4963436</v>
      </c>
    </row>
    <row r="565" spans="1:30" x14ac:dyDescent="0.25">
      <c r="A565" s="86" t="s">
        <v>255</v>
      </c>
      <c r="B565" s="14">
        <v>152</v>
      </c>
      <c r="C565" s="14">
        <f t="shared" si="233"/>
        <v>300</v>
      </c>
      <c r="D565" s="14">
        <f t="shared" si="235"/>
        <v>150</v>
      </c>
      <c r="E565" s="14">
        <f t="shared" si="234"/>
        <v>73</v>
      </c>
      <c r="F565" s="14">
        <f t="shared" si="236"/>
        <v>3925</v>
      </c>
      <c r="G565" s="74">
        <f t="shared" si="216"/>
        <v>5120</v>
      </c>
      <c r="H565" s="14">
        <f t="shared" si="227"/>
        <v>74250</v>
      </c>
      <c r="I565" s="14">
        <v>1</v>
      </c>
      <c r="J565" s="14">
        <f t="shared" si="237"/>
        <v>148000</v>
      </c>
      <c r="K565" s="14">
        <f t="shared" si="237"/>
        <v>6</v>
      </c>
      <c r="L565" s="14">
        <v>1</v>
      </c>
      <c r="M565" s="14">
        <f t="shared" si="238"/>
        <v>1500</v>
      </c>
      <c r="N565" s="14">
        <f t="shared" si="238"/>
        <v>750</v>
      </c>
      <c r="O565" s="14">
        <f t="shared" si="238"/>
        <v>368</v>
      </c>
      <c r="P565" s="14">
        <f t="shared" si="229"/>
        <v>500</v>
      </c>
      <c r="Q565" s="38">
        <f t="shared" si="228"/>
        <v>500</v>
      </c>
      <c r="R565" s="38">
        <f t="shared" si="230"/>
        <v>222250</v>
      </c>
      <c r="S565" s="38">
        <f t="shared" si="231"/>
        <v>1500</v>
      </c>
      <c r="T565" s="38">
        <f t="shared" si="232"/>
        <v>750</v>
      </c>
      <c r="U565" s="38"/>
      <c r="V565" s="38">
        <f t="shared" ref="V565:V596" si="239">K565</f>
        <v>6</v>
      </c>
      <c r="W565" s="38">
        <f t="shared" si="220"/>
        <v>50236</v>
      </c>
      <c r="X565" s="38">
        <f>SUM(Q$414:Q565)</f>
        <v>72250</v>
      </c>
      <c r="Y565" s="38">
        <f>SUM(R$414:R565)</f>
        <v>16593000</v>
      </c>
      <c r="Z565" s="38">
        <f t="shared" si="221"/>
        <v>1500</v>
      </c>
      <c r="AA565" s="38">
        <f>SUM(T$414:T565)</f>
        <v>56706</v>
      </c>
      <c r="AB565" s="38">
        <f>SUM(U$414:U565)</f>
        <v>29574</v>
      </c>
      <c r="AC565" s="38">
        <f>SUM(V$414:V565)</f>
        <v>912</v>
      </c>
      <c r="AD565" s="38">
        <f t="shared" si="222"/>
        <v>5012182</v>
      </c>
    </row>
    <row r="566" spans="1:30" x14ac:dyDescent="0.25">
      <c r="A566" s="86" t="s">
        <v>255</v>
      </c>
      <c r="B566" s="14">
        <v>153</v>
      </c>
      <c r="C566" s="14">
        <f t="shared" si="233"/>
        <v>303</v>
      </c>
      <c r="D566" s="14">
        <f t="shared" si="235"/>
        <v>150</v>
      </c>
      <c r="E566" s="14">
        <f t="shared" si="234"/>
        <v>75</v>
      </c>
      <c r="F566" s="14">
        <f t="shared" si="236"/>
        <v>3975</v>
      </c>
      <c r="G566" s="74">
        <f t="shared" si="216"/>
        <v>5223</v>
      </c>
      <c r="H566" s="14">
        <f t="shared" si="227"/>
        <v>74750</v>
      </c>
      <c r="I566" s="14">
        <v>1</v>
      </c>
      <c r="J566" s="14">
        <f t="shared" si="237"/>
        <v>149000</v>
      </c>
      <c r="K566" s="14">
        <f t="shared" si="237"/>
        <v>6</v>
      </c>
      <c r="L566" s="14">
        <v>1</v>
      </c>
      <c r="M566" s="14">
        <f t="shared" si="238"/>
        <v>1510</v>
      </c>
      <c r="N566" s="14">
        <f t="shared" si="238"/>
        <v>755</v>
      </c>
      <c r="O566" s="14">
        <f t="shared" si="238"/>
        <v>370</v>
      </c>
      <c r="P566" s="14">
        <f t="shared" si="229"/>
        <v>500</v>
      </c>
      <c r="Q566" s="38">
        <f t="shared" si="228"/>
        <v>500</v>
      </c>
      <c r="R566" s="38">
        <f t="shared" si="230"/>
        <v>223750</v>
      </c>
      <c r="S566" s="38">
        <f t="shared" si="231"/>
        <v>1510</v>
      </c>
      <c r="T566" s="38">
        <f t="shared" si="232"/>
        <v>755</v>
      </c>
      <c r="U566" s="38"/>
      <c r="V566" s="38">
        <f t="shared" si="239"/>
        <v>6</v>
      </c>
      <c r="W566" s="38">
        <f t="shared" si="220"/>
        <v>50571</v>
      </c>
      <c r="X566" s="38">
        <f>SUM(Q$414:Q566)</f>
        <v>72750</v>
      </c>
      <c r="Y566" s="38">
        <f>SUM(R$414:R566)</f>
        <v>16816750</v>
      </c>
      <c r="Z566" s="38">
        <f t="shared" si="221"/>
        <v>1510</v>
      </c>
      <c r="AA566" s="38">
        <f>SUM(T$414:T566)</f>
        <v>57461</v>
      </c>
      <c r="AB566" s="38">
        <f>SUM(U$414:U566)</f>
        <v>29574</v>
      </c>
      <c r="AC566" s="38">
        <f>SUM(V$414:V566)</f>
        <v>918</v>
      </c>
      <c r="AD566" s="38">
        <f t="shared" si="222"/>
        <v>5061253</v>
      </c>
    </row>
    <row r="567" spans="1:30" x14ac:dyDescent="0.25">
      <c r="A567" s="86" t="s">
        <v>255</v>
      </c>
      <c r="B567" s="14">
        <v>154</v>
      </c>
      <c r="C567" s="14">
        <f t="shared" si="233"/>
        <v>305</v>
      </c>
      <c r="D567" s="14">
        <f t="shared" si="235"/>
        <v>153</v>
      </c>
      <c r="E567" s="14">
        <f t="shared" si="234"/>
        <v>75</v>
      </c>
      <c r="F567" s="14">
        <f t="shared" si="236"/>
        <v>3975</v>
      </c>
      <c r="G567" s="74">
        <f t="shared" si="216"/>
        <v>5240</v>
      </c>
      <c r="H567" s="14">
        <f t="shared" si="227"/>
        <v>75250</v>
      </c>
      <c r="I567" s="14">
        <v>1</v>
      </c>
      <c r="J567" s="14">
        <f t="shared" si="237"/>
        <v>150000</v>
      </c>
      <c r="K567" s="14">
        <f t="shared" si="237"/>
        <v>6</v>
      </c>
      <c r="L567" s="14">
        <v>1</v>
      </c>
      <c r="M567" s="14">
        <f t="shared" si="238"/>
        <v>1520</v>
      </c>
      <c r="N567" s="14">
        <f t="shared" si="238"/>
        <v>760</v>
      </c>
      <c r="O567" s="14">
        <f t="shared" si="238"/>
        <v>373</v>
      </c>
      <c r="P567" s="14">
        <f t="shared" si="229"/>
        <v>500</v>
      </c>
      <c r="Q567" s="38">
        <f t="shared" si="228"/>
        <v>500</v>
      </c>
      <c r="R567" s="38">
        <f t="shared" si="230"/>
        <v>225250</v>
      </c>
      <c r="S567" s="38">
        <f t="shared" si="231"/>
        <v>1520</v>
      </c>
      <c r="T567" s="38">
        <f t="shared" si="232"/>
        <v>760</v>
      </c>
      <c r="U567" s="38">
        <f t="shared" ref="U567:U582" si="240">E567+O567</f>
        <v>448</v>
      </c>
      <c r="V567" s="38">
        <f t="shared" si="239"/>
        <v>6</v>
      </c>
      <c r="W567" s="38">
        <f t="shared" si="220"/>
        <v>71066</v>
      </c>
      <c r="X567" s="38">
        <f>SUM(Q$414:Q567)</f>
        <v>73250</v>
      </c>
      <c r="Y567" s="38">
        <f>SUM(R$414:R567)</f>
        <v>17042000</v>
      </c>
      <c r="Z567" s="38">
        <f t="shared" si="221"/>
        <v>1520</v>
      </c>
      <c r="AA567" s="38">
        <f>SUM(T$414:T567)</f>
        <v>58221</v>
      </c>
      <c r="AB567" s="38">
        <f>SUM(U$414:U567)</f>
        <v>30022</v>
      </c>
      <c r="AC567" s="38">
        <f>SUM(V$414:V567)</f>
        <v>924</v>
      </c>
      <c r="AD567" s="38">
        <f t="shared" si="222"/>
        <v>5130809</v>
      </c>
    </row>
    <row r="568" spans="1:30" x14ac:dyDescent="0.25">
      <c r="A568" s="86" t="s">
        <v>255</v>
      </c>
      <c r="B568" s="14">
        <v>155</v>
      </c>
      <c r="C568" s="14">
        <f t="shared" si="233"/>
        <v>305</v>
      </c>
      <c r="D568" s="14">
        <f t="shared" si="235"/>
        <v>153</v>
      </c>
      <c r="E568" s="14">
        <f t="shared" si="234"/>
        <v>75</v>
      </c>
      <c r="F568" s="14">
        <f t="shared" si="236"/>
        <v>4025</v>
      </c>
      <c r="G568" s="74">
        <f t="shared" si="216"/>
        <v>5250</v>
      </c>
      <c r="H568" s="14">
        <f t="shared" si="227"/>
        <v>75750</v>
      </c>
      <c r="I568" s="14">
        <v>1</v>
      </c>
      <c r="J568" s="14">
        <f t="shared" si="237"/>
        <v>151000</v>
      </c>
      <c r="K568" s="14">
        <f t="shared" si="237"/>
        <v>6</v>
      </c>
      <c r="L568" s="14">
        <v>1</v>
      </c>
      <c r="M568" s="14">
        <f t="shared" si="238"/>
        <v>1530</v>
      </c>
      <c r="N568" s="14">
        <f t="shared" si="238"/>
        <v>765</v>
      </c>
      <c r="O568" s="14">
        <f t="shared" si="238"/>
        <v>375</v>
      </c>
      <c r="P568" s="14">
        <f t="shared" si="229"/>
        <v>500</v>
      </c>
      <c r="Q568" s="38">
        <f t="shared" si="228"/>
        <v>500</v>
      </c>
      <c r="R568" s="38">
        <f t="shared" si="230"/>
        <v>226750</v>
      </c>
      <c r="S568" s="38">
        <f t="shared" si="231"/>
        <v>1530</v>
      </c>
      <c r="T568" s="38">
        <f t="shared" si="232"/>
        <v>765</v>
      </c>
      <c r="U568" s="42">
        <f t="shared" si="240"/>
        <v>450</v>
      </c>
      <c r="V568" s="42">
        <f t="shared" si="239"/>
        <v>6</v>
      </c>
      <c r="W568" s="38">
        <f t="shared" si="220"/>
        <v>71491</v>
      </c>
      <c r="X568" s="38">
        <f>SUM(Q$414:Q568)</f>
        <v>73750</v>
      </c>
      <c r="Y568" s="38">
        <f>SUM(R$414:R568)</f>
        <v>17268750</v>
      </c>
      <c r="Z568" s="38">
        <f t="shared" si="221"/>
        <v>1530</v>
      </c>
      <c r="AA568" s="38">
        <f>SUM(T$414:T568)</f>
        <v>58986</v>
      </c>
      <c r="AB568" s="38">
        <f>SUM(U$414:U568)</f>
        <v>30472</v>
      </c>
      <c r="AC568" s="38">
        <f>SUM(V$414:V568)</f>
        <v>930</v>
      </c>
      <c r="AD568" s="38">
        <f t="shared" si="222"/>
        <v>5200780</v>
      </c>
    </row>
    <row r="569" spans="1:30" x14ac:dyDescent="0.25">
      <c r="A569" s="86" t="s">
        <v>255</v>
      </c>
      <c r="B569" s="14">
        <v>156</v>
      </c>
      <c r="C569" s="14">
        <f t="shared" si="233"/>
        <v>308</v>
      </c>
      <c r="D569" s="14">
        <f t="shared" si="235"/>
        <v>153</v>
      </c>
      <c r="E569" s="14">
        <f t="shared" si="234"/>
        <v>75</v>
      </c>
      <c r="F569" s="14">
        <f t="shared" si="236"/>
        <v>4025</v>
      </c>
      <c r="G569" s="74">
        <f t="shared" si="216"/>
        <v>5253</v>
      </c>
      <c r="H569" s="14">
        <f t="shared" si="227"/>
        <v>76250</v>
      </c>
      <c r="I569" s="14">
        <v>1</v>
      </c>
      <c r="J569" s="14">
        <f t="shared" si="237"/>
        <v>152000</v>
      </c>
      <c r="K569" s="14">
        <f t="shared" si="237"/>
        <v>6</v>
      </c>
      <c r="L569" s="14">
        <v>1</v>
      </c>
      <c r="M569" s="14">
        <f t="shared" si="238"/>
        <v>1540</v>
      </c>
      <c r="N569" s="14">
        <f t="shared" si="238"/>
        <v>770</v>
      </c>
      <c r="O569" s="14">
        <f t="shared" si="238"/>
        <v>378</v>
      </c>
      <c r="P569" s="14">
        <f t="shared" si="229"/>
        <v>500</v>
      </c>
      <c r="Q569" s="38">
        <f t="shared" si="228"/>
        <v>500</v>
      </c>
      <c r="R569" s="38">
        <f t="shared" si="230"/>
        <v>228250</v>
      </c>
      <c r="S569" s="38">
        <f t="shared" si="231"/>
        <v>1540</v>
      </c>
      <c r="T569" s="38">
        <f t="shared" si="232"/>
        <v>770</v>
      </c>
      <c r="U569" s="38">
        <f t="shared" si="240"/>
        <v>453</v>
      </c>
      <c r="V569" s="38">
        <f t="shared" si="239"/>
        <v>6</v>
      </c>
      <c r="W569" s="38">
        <f t="shared" si="220"/>
        <v>71961</v>
      </c>
      <c r="X569" s="38">
        <f>SUM(Q$414:Q569)</f>
        <v>74250</v>
      </c>
      <c r="Y569" s="38">
        <f>SUM(R$414:R569)</f>
        <v>17497000</v>
      </c>
      <c r="Z569" s="38">
        <f t="shared" si="221"/>
        <v>1540</v>
      </c>
      <c r="AA569" s="38">
        <f>SUM(T$414:T569)</f>
        <v>59756</v>
      </c>
      <c r="AB569" s="38">
        <f>SUM(U$414:U569)</f>
        <v>30925</v>
      </c>
      <c r="AC569" s="38">
        <f>SUM(V$414:V569)</f>
        <v>936</v>
      </c>
      <c r="AD569" s="38">
        <f t="shared" si="222"/>
        <v>5271211</v>
      </c>
    </row>
    <row r="570" spans="1:30" x14ac:dyDescent="0.25">
      <c r="A570" s="86" t="s">
        <v>255</v>
      </c>
      <c r="B570" s="14">
        <v>157</v>
      </c>
      <c r="C570" s="14">
        <f t="shared" si="233"/>
        <v>310</v>
      </c>
      <c r="D570" s="14">
        <f t="shared" si="235"/>
        <v>155</v>
      </c>
      <c r="E570" s="14">
        <f t="shared" si="234"/>
        <v>75</v>
      </c>
      <c r="F570" s="14">
        <f t="shared" si="236"/>
        <v>4075</v>
      </c>
      <c r="G570" s="74">
        <f t="shared" si="216"/>
        <v>5275</v>
      </c>
      <c r="H570" s="14">
        <f t="shared" si="227"/>
        <v>76750</v>
      </c>
      <c r="I570" s="14">
        <v>1</v>
      </c>
      <c r="J570" s="14">
        <f t="shared" si="237"/>
        <v>153000</v>
      </c>
      <c r="K570" s="14">
        <f t="shared" si="237"/>
        <v>6</v>
      </c>
      <c r="L570" s="14">
        <v>1</v>
      </c>
      <c r="M570" s="14">
        <f t="shared" si="238"/>
        <v>1550</v>
      </c>
      <c r="N570" s="14">
        <f t="shared" si="238"/>
        <v>775</v>
      </c>
      <c r="O570" s="14">
        <f t="shared" si="238"/>
        <v>380</v>
      </c>
      <c r="P570" s="14">
        <f t="shared" si="229"/>
        <v>500</v>
      </c>
      <c r="Q570" s="38">
        <f t="shared" si="228"/>
        <v>500</v>
      </c>
      <c r="R570" s="38">
        <f t="shared" si="230"/>
        <v>229750</v>
      </c>
      <c r="S570" s="38">
        <f t="shared" si="231"/>
        <v>1550</v>
      </c>
      <c r="T570" s="38">
        <f t="shared" si="232"/>
        <v>775</v>
      </c>
      <c r="U570" s="38">
        <f t="shared" si="240"/>
        <v>455</v>
      </c>
      <c r="V570" s="38">
        <f t="shared" si="239"/>
        <v>6</v>
      </c>
      <c r="W570" s="38">
        <f t="shared" si="220"/>
        <v>72386</v>
      </c>
      <c r="X570" s="38">
        <f>SUM(Q$414:Q570)</f>
        <v>74750</v>
      </c>
      <c r="Y570" s="38">
        <f>SUM(R$414:R570)</f>
        <v>17726750</v>
      </c>
      <c r="Z570" s="38">
        <f t="shared" si="221"/>
        <v>1550</v>
      </c>
      <c r="AA570" s="38">
        <f>SUM(T$414:T570)</f>
        <v>60531</v>
      </c>
      <c r="AB570" s="38">
        <f>SUM(U$414:U570)</f>
        <v>31380</v>
      </c>
      <c r="AC570" s="38">
        <f>SUM(V$414:V570)</f>
        <v>942</v>
      </c>
      <c r="AD570" s="38">
        <f t="shared" si="222"/>
        <v>5342057</v>
      </c>
    </row>
    <row r="571" spans="1:30" x14ac:dyDescent="0.25">
      <c r="A571" s="86" t="s">
        <v>255</v>
      </c>
      <c r="B571" s="14">
        <v>158</v>
      </c>
      <c r="C571" s="14">
        <f t="shared" si="233"/>
        <v>313</v>
      </c>
      <c r="D571" s="14">
        <f t="shared" si="235"/>
        <v>155</v>
      </c>
      <c r="E571" s="14">
        <f t="shared" si="234"/>
        <v>78</v>
      </c>
      <c r="F571" s="14">
        <f t="shared" si="236"/>
        <v>4075</v>
      </c>
      <c r="G571" s="74">
        <f t="shared" si="216"/>
        <v>5413</v>
      </c>
      <c r="H571" s="14">
        <f t="shared" si="227"/>
        <v>77250</v>
      </c>
      <c r="I571" s="14">
        <v>1</v>
      </c>
      <c r="J571" s="14">
        <f t="shared" si="237"/>
        <v>154000</v>
      </c>
      <c r="K571" s="14">
        <f t="shared" si="237"/>
        <v>6</v>
      </c>
      <c r="L571" s="14">
        <v>1</v>
      </c>
      <c r="M571" s="14">
        <f t="shared" si="238"/>
        <v>1560</v>
      </c>
      <c r="N571" s="14">
        <f t="shared" si="238"/>
        <v>780</v>
      </c>
      <c r="O571" s="14">
        <f t="shared" si="238"/>
        <v>383</v>
      </c>
      <c r="P571" s="14">
        <f t="shared" si="229"/>
        <v>500</v>
      </c>
      <c r="Q571" s="38">
        <f t="shared" si="228"/>
        <v>500</v>
      </c>
      <c r="R571" s="38">
        <f t="shared" si="230"/>
        <v>231250</v>
      </c>
      <c r="S571" s="38">
        <f t="shared" si="231"/>
        <v>1560</v>
      </c>
      <c r="T571" s="38">
        <f t="shared" si="232"/>
        <v>780</v>
      </c>
      <c r="U571" s="38">
        <f t="shared" si="240"/>
        <v>461</v>
      </c>
      <c r="V571" s="38">
        <f t="shared" si="239"/>
        <v>6</v>
      </c>
      <c r="W571" s="38">
        <f t="shared" si="220"/>
        <v>72991</v>
      </c>
      <c r="X571" s="38">
        <f>SUM(Q$414:Q571)</f>
        <v>75250</v>
      </c>
      <c r="Y571" s="38">
        <f>SUM(R$414:R571)</f>
        <v>17958000</v>
      </c>
      <c r="Z571" s="38">
        <f t="shared" si="221"/>
        <v>1560</v>
      </c>
      <c r="AA571" s="38">
        <f>SUM(T$414:T571)</f>
        <v>61311</v>
      </c>
      <c r="AB571" s="38">
        <f>SUM(U$414:U571)</f>
        <v>31841</v>
      </c>
      <c r="AC571" s="38">
        <f>SUM(V$414:V571)</f>
        <v>948</v>
      </c>
      <c r="AD571" s="38">
        <f t="shared" si="222"/>
        <v>5413498</v>
      </c>
    </row>
    <row r="572" spans="1:30" x14ac:dyDescent="0.25">
      <c r="A572" s="86" t="s">
        <v>255</v>
      </c>
      <c r="B572" s="14">
        <v>159</v>
      </c>
      <c r="C572" s="14">
        <f t="shared" si="233"/>
        <v>315</v>
      </c>
      <c r="D572" s="14">
        <f t="shared" si="235"/>
        <v>158</v>
      </c>
      <c r="E572" s="14">
        <f t="shared" si="234"/>
        <v>78</v>
      </c>
      <c r="F572" s="14">
        <f t="shared" si="236"/>
        <v>4125</v>
      </c>
      <c r="G572" s="74">
        <f t="shared" si="216"/>
        <v>5440</v>
      </c>
      <c r="H572" s="14">
        <f t="shared" si="227"/>
        <v>77750</v>
      </c>
      <c r="I572" s="14">
        <v>1</v>
      </c>
      <c r="J572" s="14">
        <f t="shared" si="237"/>
        <v>155000</v>
      </c>
      <c r="K572" s="14">
        <f t="shared" si="237"/>
        <v>6</v>
      </c>
      <c r="L572" s="14">
        <v>1</v>
      </c>
      <c r="M572" s="14">
        <f t="shared" si="238"/>
        <v>1570</v>
      </c>
      <c r="N572" s="14">
        <f t="shared" si="238"/>
        <v>785</v>
      </c>
      <c r="O572" s="14">
        <f t="shared" si="238"/>
        <v>385</v>
      </c>
      <c r="P572" s="14">
        <f t="shared" si="229"/>
        <v>500</v>
      </c>
      <c r="Q572" s="38">
        <f t="shared" si="228"/>
        <v>500</v>
      </c>
      <c r="R572" s="38">
        <f t="shared" si="230"/>
        <v>232750</v>
      </c>
      <c r="S572" s="38">
        <f t="shared" si="231"/>
        <v>1570</v>
      </c>
      <c r="T572" s="38">
        <f t="shared" si="232"/>
        <v>785</v>
      </c>
      <c r="U572" s="38">
        <f t="shared" si="240"/>
        <v>463</v>
      </c>
      <c r="V572" s="38">
        <f t="shared" si="239"/>
        <v>6</v>
      </c>
      <c r="W572" s="38">
        <f t="shared" si="220"/>
        <v>73416</v>
      </c>
      <c r="X572" s="38">
        <f>SUM(Q$414:Q572)</f>
        <v>75750</v>
      </c>
      <c r="Y572" s="38">
        <f>SUM(R$414:R572)</f>
        <v>18190750</v>
      </c>
      <c r="Z572" s="38">
        <f t="shared" si="221"/>
        <v>1570</v>
      </c>
      <c r="AA572" s="38">
        <f>SUM(T$414:T572)</f>
        <v>62096</v>
      </c>
      <c r="AB572" s="38">
        <f>SUM(U$414:U572)</f>
        <v>32304</v>
      </c>
      <c r="AC572" s="38">
        <f>SUM(V$414:V572)</f>
        <v>954</v>
      </c>
      <c r="AD572" s="38">
        <f t="shared" si="222"/>
        <v>5485354</v>
      </c>
    </row>
    <row r="573" spans="1:30" x14ac:dyDescent="0.25">
      <c r="A573" s="86" t="s">
        <v>255</v>
      </c>
      <c r="B573" s="14">
        <v>160</v>
      </c>
      <c r="C573" s="14">
        <f t="shared" si="233"/>
        <v>315</v>
      </c>
      <c r="D573" s="14">
        <f t="shared" si="235"/>
        <v>158</v>
      </c>
      <c r="E573" s="14">
        <f t="shared" si="234"/>
        <v>78</v>
      </c>
      <c r="F573" s="14">
        <f t="shared" si="236"/>
        <v>4125</v>
      </c>
      <c r="G573" s="74">
        <f t="shared" si="216"/>
        <v>5440</v>
      </c>
      <c r="H573" s="14">
        <f t="shared" si="227"/>
        <v>78250</v>
      </c>
      <c r="I573" s="14">
        <v>1</v>
      </c>
      <c r="J573" s="14">
        <f t="shared" si="237"/>
        <v>156000</v>
      </c>
      <c r="K573" s="14">
        <f t="shared" si="237"/>
        <v>6</v>
      </c>
      <c r="L573" s="14">
        <v>1</v>
      </c>
      <c r="M573" s="14">
        <f t="shared" si="238"/>
        <v>1580</v>
      </c>
      <c r="N573" s="14">
        <f t="shared" si="238"/>
        <v>790</v>
      </c>
      <c r="O573" s="14">
        <f t="shared" si="238"/>
        <v>388</v>
      </c>
      <c r="P573" s="14">
        <f t="shared" si="229"/>
        <v>500</v>
      </c>
      <c r="Q573" s="38">
        <f t="shared" si="228"/>
        <v>500</v>
      </c>
      <c r="R573" s="38">
        <f t="shared" si="230"/>
        <v>234250</v>
      </c>
      <c r="S573" s="38">
        <f t="shared" si="231"/>
        <v>1580</v>
      </c>
      <c r="T573" s="38">
        <f t="shared" si="232"/>
        <v>790</v>
      </c>
      <c r="U573" s="38">
        <f t="shared" si="240"/>
        <v>466</v>
      </c>
      <c r="V573" s="38">
        <f t="shared" si="239"/>
        <v>6</v>
      </c>
      <c r="W573" s="38">
        <f t="shared" si="220"/>
        <v>73886</v>
      </c>
      <c r="X573" s="38">
        <f>SUM(Q$414:Q573)</f>
        <v>76250</v>
      </c>
      <c r="Y573" s="38">
        <f>SUM(R$414:R573)</f>
        <v>18425000</v>
      </c>
      <c r="Z573" s="38">
        <f t="shared" si="221"/>
        <v>1580</v>
      </c>
      <c r="AA573" s="38">
        <f>SUM(T$414:T573)</f>
        <v>62886</v>
      </c>
      <c r="AB573" s="38">
        <f>SUM(U$414:U573)</f>
        <v>32770</v>
      </c>
      <c r="AC573" s="38">
        <f>SUM(V$414:V573)</f>
        <v>960</v>
      </c>
      <c r="AD573" s="38">
        <f t="shared" si="222"/>
        <v>5557670</v>
      </c>
    </row>
    <row r="574" spans="1:30" x14ac:dyDescent="0.25">
      <c r="A574" s="86" t="s">
        <v>255</v>
      </c>
      <c r="B574" s="14">
        <v>161</v>
      </c>
      <c r="C574" s="14">
        <f t="shared" si="233"/>
        <v>318</v>
      </c>
      <c r="D574" s="14">
        <f t="shared" si="235"/>
        <v>158</v>
      </c>
      <c r="E574" s="14">
        <f t="shared" si="234"/>
        <v>78</v>
      </c>
      <c r="F574" s="14">
        <f t="shared" si="236"/>
        <v>4175</v>
      </c>
      <c r="G574" s="74">
        <f t="shared" si="216"/>
        <v>5453</v>
      </c>
      <c r="H574" s="14">
        <f t="shared" ref="H574:H605" si="241">MAX(1,ROUND(H168*INDEX($O$1:$U$4,MATCH($A574,$O$1:$O$4,0),MATCH(H$413,$O$1:$U$1,0)),0))</f>
        <v>78750</v>
      </c>
      <c r="I574" s="14">
        <v>1</v>
      </c>
      <c r="J574" s="14">
        <f t="shared" ref="J574:K593" si="242">MAX(1,ROUND(J168*INDEX($O$1:$U$4,MATCH($A574,$O$1:$O$4,0),MATCH(J$413,$O$1:$U$1,0)),0))</f>
        <v>157000</v>
      </c>
      <c r="K574" s="14">
        <f t="shared" si="242"/>
        <v>6</v>
      </c>
      <c r="L574" s="14">
        <v>1</v>
      </c>
      <c r="M574" s="14">
        <f t="shared" si="238"/>
        <v>1590</v>
      </c>
      <c r="N574" s="14">
        <f t="shared" si="238"/>
        <v>795</v>
      </c>
      <c r="O574" s="14">
        <f t="shared" si="238"/>
        <v>390</v>
      </c>
      <c r="P574" s="14">
        <f t="shared" si="229"/>
        <v>500</v>
      </c>
      <c r="Q574" s="38">
        <f t="shared" si="228"/>
        <v>500</v>
      </c>
      <c r="R574" s="38">
        <f t="shared" si="230"/>
        <v>235750</v>
      </c>
      <c r="S574" s="38">
        <f t="shared" si="231"/>
        <v>1590</v>
      </c>
      <c r="T574" s="38">
        <f t="shared" si="232"/>
        <v>795</v>
      </c>
      <c r="U574" s="38">
        <f t="shared" si="240"/>
        <v>468</v>
      </c>
      <c r="V574" s="38">
        <f t="shared" si="239"/>
        <v>6</v>
      </c>
      <c r="W574" s="38">
        <f t="shared" si="220"/>
        <v>74311</v>
      </c>
      <c r="X574" s="38">
        <f>SUM(Q$414:Q574)</f>
        <v>76750</v>
      </c>
      <c r="Y574" s="38">
        <f>SUM(R$414:R574)</f>
        <v>18660750</v>
      </c>
      <c r="Z574" s="38">
        <f t="shared" si="221"/>
        <v>1590</v>
      </c>
      <c r="AA574" s="38">
        <f>SUM(T$414:T574)</f>
        <v>63681</v>
      </c>
      <c r="AB574" s="38">
        <f>SUM(U$414:U574)</f>
        <v>33238</v>
      </c>
      <c r="AC574" s="38">
        <f>SUM(V$414:V574)</f>
        <v>966</v>
      </c>
      <c r="AD574" s="38">
        <f t="shared" si="222"/>
        <v>5630401</v>
      </c>
    </row>
    <row r="575" spans="1:30" x14ac:dyDescent="0.25">
      <c r="A575" s="86" t="s">
        <v>255</v>
      </c>
      <c r="B575" s="14">
        <v>162</v>
      </c>
      <c r="C575" s="14">
        <f t="shared" si="233"/>
        <v>320</v>
      </c>
      <c r="D575" s="14">
        <f t="shared" si="235"/>
        <v>160</v>
      </c>
      <c r="E575" s="14">
        <f t="shared" si="234"/>
        <v>78</v>
      </c>
      <c r="F575" s="14">
        <f t="shared" si="236"/>
        <v>4175</v>
      </c>
      <c r="G575" s="74">
        <f t="shared" si="216"/>
        <v>5465</v>
      </c>
      <c r="H575" s="14">
        <f t="shared" si="241"/>
        <v>79250</v>
      </c>
      <c r="I575" s="14">
        <v>1</v>
      </c>
      <c r="J575" s="14">
        <f t="shared" si="242"/>
        <v>158000</v>
      </c>
      <c r="K575" s="14">
        <f t="shared" si="242"/>
        <v>6</v>
      </c>
      <c r="L575" s="14">
        <v>1</v>
      </c>
      <c r="M575" s="14">
        <f t="shared" ref="M575:O594" si="243">MAX(1,ROUND(M169*INDEX($O$1:$U$4,MATCH($A575,$O$1:$O$4,0),MATCH(M$413,$O$1:$U$1,0)),0))</f>
        <v>1600</v>
      </c>
      <c r="N575" s="14">
        <f t="shared" si="243"/>
        <v>800</v>
      </c>
      <c r="O575" s="14">
        <f t="shared" si="243"/>
        <v>393</v>
      </c>
      <c r="P575" s="14">
        <f t="shared" si="229"/>
        <v>500</v>
      </c>
      <c r="Q575" s="38">
        <f t="shared" si="228"/>
        <v>500</v>
      </c>
      <c r="R575" s="38">
        <f t="shared" si="230"/>
        <v>237250</v>
      </c>
      <c r="S575" s="38">
        <f t="shared" si="231"/>
        <v>1600</v>
      </c>
      <c r="T575" s="38">
        <f t="shared" si="232"/>
        <v>800</v>
      </c>
      <c r="U575" s="38">
        <f t="shared" si="240"/>
        <v>471</v>
      </c>
      <c r="V575" s="38">
        <f t="shared" si="239"/>
        <v>6</v>
      </c>
      <c r="W575" s="38">
        <f t="shared" si="220"/>
        <v>74781</v>
      </c>
      <c r="X575" s="38">
        <f>SUM(Q$414:Q575)</f>
        <v>77250</v>
      </c>
      <c r="Y575" s="38">
        <f>SUM(R$414:R575)</f>
        <v>18898000</v>
      </c>
      <c r="Z575" s="38">
        <f t="shared" si="221"/>
        <v>1600</v>
      </c>
      <c r="AA575" s="38">
        <f>SUM(T$414:T575)</f>
        <v>64481</v>
      </c>
      <c r="AB575" s="38">
        <f>SUM(U$414:U575)</f>
        <v>33709</v>
      </c>
      <c r="AC575" s="38">
        <f>SUM(V$414:V575)</f>
        <v>972</v>
      </c>
      <c r="AD575" s="38">
        <f t="shared" si="222"/>
        <v>5703592</v>
      </c>
    </row>
    <row r="576" spans="1:30" x14ac:dyDescent="0.25">
      <c r="A576" s="86" t="s">
        <v>255</v>
      </c>
      <c r="B576" s="14">
        <v>163</v>
      </c>
      <c r="C576" s="14">
        <f t="shared" si="233"/>
        <v>323</v>
      </c>
      <c r="D576" s="14">
        <f t="shared" si="235"/>
        <v>160</v>
      </c>
      <c r="E576" s="14">
        <f t="shared" si="234"/>
        <v>80</v>
      </c>
      <c r="F576" s="14">
        <f t="shared" si="236"/>
        <v>4225</v>
      </c>
      <c r="G576" s="74">
        <f t="shared" si="216"/>
        <v>5568</v>
      </c>
      <c r="H576" s="14">
        <f t="shared" si="241"/>
        <v>79750</v>
      </c>
      <c r="I576" s="14">
        <v>1</v>
      </c>
      <c r="J576" s="14">
        <f t="shared" si="242"/>
        <v>159000</v>
      </c>
      <c r="K576" s="14">
        <f t="shared" si="242"/>
        <v>6</v>
      </c>
      <c r="L576" s="14">
        <v>1</v>
      </c>
      <c r="M576" s="14">
        <f t="shared" si="243"/>
        <v>1610</v>
      </c>
      <c r="N576" s="14">
        <f t="shared" si="243"/>
        <v>805</v>
      </c>
      <c r="O576" s="14">
        <f t="shared" si="243"/>
        <v>395</v>
      </c>
      <c r="P576" s="14">
        <f t="shared" si="229"/>
        <v>500</v>
      </c>
      <c r="Q576" s="38">
        <f t="shared" si="228"/>
        <v>500</v>
      </c>
      <c r="R576" s="38">
        <f t="shared" si="230"/>
        <v>238750</v>
      </c>
      <c r="S576" s="38">
        <f t="shared" si="231"/>
        <v>1610</v>
      </c>
      <c r="T576" s="38">
        <f t="shared" si="232"/>
        <v>805</v>
      </c>
      <c r="U576" s="38">
        <f t="shared" si="240"/>
        <v>475</v>
      </c>
      <c r="V576" s="38">
        <f t="shared" si="239"/>
        <v>6</v>
      </c>
      <c r="W576" s="38">
        <f t="shared" si="220"/>
        <v>75296</v>
      </c>
      <c r="X576" s="38">
        <f>SUM(Q$414:Q576)</f>
        <v>77750</v>
      </c>
      <c r="Y576" s="38">
        <f>SUM(R$414:R576)</f>
        <v>19136750</v>
      </c>
      <c r="Z576" s="38">
        <f t="shared" si="221"/>
        <v>1610</v>
      </c>
      <c r="AA576" s="38">
        <f>SUM(T$414:T576)</f>
        <v>65286</v>
      </c>
      <c r="AB576" s="38">
        <f>SUM(U$414:U576)</f>
        <v>34184</v>
      </c>
      <c r="AC576" s="38">
        <f>SUM(V$414:V576)</f>
        <v>978</v>
      </c>
      <c r="AD576" s="38">
        <f t="shared" si="222"/>
        <v>5777288</v>
      </c>
    </row>
    <row r="577" spans="1:30" x14ac:dyDescent="0.25">
      <c r="A577" s="86" t="s">
        <v>255</v>
      </c>
      <c r="B577" s="14">
        <v>164</v>
      </c>
      <c r="C577" s="14">
        <f t="shared" si="233"/>
        <v>325</v>
      </c>
      <c r="D577" s="14">
        <f t="shared" si="235"/>
        <v>163</v>
      </c>
      <c r="E577" s="14">
        <f t="shared" si="234"/>
        <v>80</v>
      </c>
      <c r="F577" s="14">
        <f t="shared" si="236"/>
        <v>4225</v>
      </c>
      <c r="G577" s="74">
        <f t="shared" si="216"/>
        <v>5585</v>
      </c>
      <c r="H577" s="14">
        <f t="shared" si="241"/>
        <v>80250</v>
      </c>
      <c r="I577" s="14">
        <v>1</v>
      </c>
      <c r="J577" s="14">
        <f t="shared" si="242"/>
        <v>160000</v>
      </c>
      <c r="K577" s="14">
        <f t="shared" si="242"/>
        <v>6</v>
      </c>
      <c r="L577" s="14">
        <v>1</v>
      </c>
      <c r="M577" s="14">
        <f t="shared" si="243"/>
        <v>1620</v>
      </c>
      <c r="N577" s="14">
        <f t="shared" si="243"/>
        <v>810</v>
      </c>
      <c r="O577" s="14">
        <f t="shared" si="243"/>
        <v>398</v>
      </c>
      <c r="P577" s="14">
        <f t="shared" si="229"/>
        <v>500</v>
      </c>
      <c r="Q577" s="38">
        <f t="shared" si="228"/>
        <v>500</v>
      </c>
      <c r="R577" s="38">
        <f t="shared" si="230"/>
        <v>240250</v>
      </c>
      <c r="S577" s="38">
        <f t="shared" si="231"/>
        <v>1620</v>
      </c>
      <c r="T577" s="38">
        <f t="shared" si="232"/>
        <v>810</v>
      </c>
      <c r="U577" s="38">
        <f t="shared" si="240"/>
        <v>478</v>
      </c>
      <c r="V577" s="38">
        <f t="shared" si="239"/>
        <v>6</v>
      </c>
      <c r="W577" s="38">
        <f t="shared" si="220"/>
        <v>75766</v>
      </c>
      <c r="X577" s="38">
        <f>SUM(Q$414:Q577)</f>
        <v>78250</v>
      </c>
      <c r="Y577" s="38">
        <f>SUM(R$414:R577)</f>
        <v>19377000</v>
      </c>
      <c r="Z577" s="38">
        <f t="shared" si="221"/>
        <v>1620</v>
      </c>
      <c r="AA577" s="38">
        <f>SUM(T$414:T577)</f>
        <v>66096</v>
      </c>
      <c r="AB577" s="38">
        <f>SUM(U$414:U577)</f>
        <v>34662</v>
      </c>
      <c r="AC577" s="38">
        <f>SUM(V$414:V577)</f>
        <v>984</v>
      </c>
      <c r="AD577" s="38">
        <f t="shared" si="222"/>
        <v>5851444</v>
      </c>
    </row>
    <row r="578" spans="1:30" x14ac:dyDescent="0.25">
      <c r="A578" s="86" t="s">
        <v>255</v>
      </c>
      <c r="B578" s="14">
        <v>165</v>
      </c>
      <c r="C578" s="14">
        <f t="shared" ref="C578:C607" si="244">MAX(1,ROUND(C172*INDEX($O$1:$U$4,MATCH($A578,$O$1:$O$4,0),MATCH(C$413,$O$1:$U$1,0)),0))</f>
        <v>325</v>
      </c>
      <c r="D578" s="14">
        <f t="shared" si="235"/>
        <v>163</v>
      </c>
      <c r="E578" s="14">
        <f t="shared" ref="E578:E607" si="245">MAX(1,ROUND(E172*INDEX($O$1:$U$4,MATCH($A578,$O$1:$O$4,0),MATCH(E$413,$O$1:$U$1,0)),0))</f>
        <v>80</v>
      </c>
      <c r="F578" s="14">
        <f t="shared" si="236"/>
        <v>4275</v>
      </c>
      <c r="G578" s="74">
        <f t="shared" si="216"/>
        <v>5595</v>
      </c>
      <c r="H578" s="14">
        <f t="shared" si="241"/>
        <v>80750</v>
      </c>
      <c r="I578" s="14">
        <v>1</v>
      </c>
      <c r="J578" s="14">
        <f t="shared" si="242"/>
        <v>161000</v>
      </c>
      <c r="K578" s="14">
        <f t="shared" si="242"/>
        <v>6</v>
      </c>
      <c r="L578" s="14">
        <v>1</v>
      </c>
      <c r="M578" s="14">
        <f t="shared" si="243"/>
        <v>1630</v>
      </c>
      <c r="N578" s="14">
        <f t="shared" si="243"/>
        <v>815</v>
      </c>
      <c r="O578" s="14">
        <f t="shared" si="243"/>
        <v>400</v>
      </c>
      <c r="P578" s="14">
        <f t="shared" si="229"/>
        <v>500</v>
      </c>
      <c r="Q578" s="38">
        <f t="shared" si="228"/>
        <v>500</v>
      </c>
      <c r="R578" s="38">
        <f t="shared" si="230"/>
        <v>241750</v>
      </c>
      <c r="S578" s="38">
        <f t="shared" si="231"/>
        <v>1630</v>
      </c>
      <c r="T578" s="38">
        <f t="shared" si="232"/>
        <v>815</v>
      </c>
      <c r="U578" s="38">
        <f t="shared" si="240"/>
        <v>480</v>
      </c>
      <c r="V578" s="38">
        <f t="shared" si="239"/>
        <v>6</v>
      </c>
      <c r="W578" s="38">
        <f t="shared" si="220"/>
        <v>76191</v>
      </c>
      <c r="X578" s="38">
        <f>SUM(Q$414:Q578)</f>
        <v>78750</v>
      </c>
      <c r="Y578" s="38">
        <f>SUM(R$414:R578)</f>
        <v>19618750</v>
      </c>
      <c r="Z578" s="38">
        <f t="shared" si="221"/>
        <v>1630</v>
      </c>
      <c r="AA578" s="38">
        <f>SUM(T$414:T578)</f>
        <v>66911</v>
      </c>
      <c r="AB578" s="38">
        <f>SUM(U$414:U578)</f>
        <v>35142</v>
      </c>
      <c r="AC578" s="38">
        <f>SUM(V$414:V578)</f>
        <v>990</v>
      </c>
      <c r="AD578" s="38">
        <f t="shared" si="222"/>
        <v>5926015</v>
      </c>
    </row>
    <row r="579" spans="1:30" x14ac:dyDescent="0.25">
      <c r="A579" s="86" t="s">
        <v>255</v>
      </c>
      <c r="B579" s="14">
        <v>166</v>
      </c>
      <c r="C579" s="14">
        <f t="shared" si="244"/>
        <v>328</v>
      </c>
      <c r="D579" s="14">
        <f t="shared" ref="D579:D607" si="246">MAX(1,ROUND(D173*INDEX($O$1:$U$4,MATCH($A579,$O$1:$O$4,0),MATCH(D$413,$O$1:$U$1,0)),0))</f>
        <v>163</v>
      </c>
      <c r="E579" s="14">
        <f t="shared" si="245"/>
        <v>80</v>
      </c>
      <c r="F579" s="14">
        <f t="shared" ref="F579:F607" si="247">MAX(1,ROUND(F173*INDEX($O$1:$U$4,MATCH($A579,$O$1:$O$4,0),MATCH(F$413,$O$1:$U$1,0)),0))</f>
        <v>4275</v>
      </c>
      <c r="G579" s="74">
        <f t="shared" ref="G579:G613" si="248">SUMPRODUCT($C$6:$F$6,C579:F579)</f>
        <v>5598</v>
      </c>
      <c r="H579" s="14">
        <f t="shared" si="241"/>
        <v>81250</v>
      </c>
      <c r="I579" s="14">
        <v>1</v>
      </c>
      <c r="J579" s="14">
        <f t="shared" si="242"/>
        <v>162000</v>
      </c>
      <c r="K579" s="14">
        <f t="shared" si="242"/>
        <v>6</v>
      </c>
      <c r="L579" s="14">
        <v>1</v>
      </c>
      <c r="M579" s="14">
        <f t="shared" si="243"/>
        <v>1640</v>
      </c>
      <c r="N579" s="14">
        <f t="shared" si="243"/>
        <v>820</v>
      </c>
      <c r="O579" s="14">
        <f t="shared" si="243"/>
        <v>403</v>
      </c>
      <c r="P579" s="14">
        <f t="shared" si="229"/>
        <v>500</v>
      </c>
      <c r="Q579" s="38">
        <f t="shared" si="228"/>
        <v>500</v>
      </c>
      <c r="R579" s="38">
        <f t="shared" si="230"/>
        <v>243250</v>
      </c>
      <c r="S579" s="38">
        <f t="shared" si="231"/>
        <v>1640</v>
      </c>
      <c r="T579" s="38">
        <f t="shared" si="232"/>
        <v>820</v>
      </c>
      <c r="U579" s="38">
        <f t="shared" si="240"/>
        <v>483</v>
      </c>
      <c r="V579" s="38">
        <f t="shared" si="239"/>
        <v>6</v>
      </c>
      <c r="W579" s="38">
        <f t="shared" ref="W579:W613" si="249">SUMPRODUCT($Q$6:$V$6,Q579:V579)</f>
        <v>76661</v>
      </c>
      <c r="X579" s="38">
        <f>SUM(Q$414:Q579)</f>
        <v>79250</v>
      </c>
      <c r="Y579" s="38">
        <f>SUM(R$414:R579)</f>
        <v>19862000</v>
      </c>
      <c r="Z579" s="38">
        <f t="shared" ref="Z579:Z613" si="250">SUM(S579:S579)</f>
        <v>1640</v>
      </c>
      <c r="AA579" s="38">
        <f>SUM(T$414:T579)</f>
        <v>67731</v>
      </c>
      <c r="AB579" s="38">
        <f>SUM(U$414:U579)</f>
        <v>35625</v>
      </c>
      <c r="AC579" s="38">
        <f>SUM(V$414:V579)</f>
        <v>996</v>
      </c>
      <c r="AD579" s="38">
        <f t="shared" ref="AD579:AD613" si="251">SUMPRODUCT($X$6:$AC$6,X579:AC579)</f>
        <v>6001046</v>
      </c>
    </row>
    <row r="580" spans="1:30" x14ac:dyDescent="0.25">
      <c r="A580" s="86" t="s">
        <v>255</v>
      </c>
      <c r="B580" s="14">
        <v>167</v>
      </c>
      <c r="C580" s="14">
        <f t="shared" si="244"/>
        <v>330</v>
      </c>
      <c r="D580" s="14">
        <f t="shared" si="246"/>
        <v>165</v>
      </c>
      <c r="E580" s="14">
        <f t="shared" si="245"/>
        <v>80</v>
      </c>
      <c r="F580" s="14">
        <f t="shared" si="247"/>
        <v>4325</v>
      </c>
      <c r="G580" s="74">
        <f t="shared" si="248"/>
        <v>5620</v>
      </c>
      <c r="H580" s="14">
        <f t="shared" si="241"/>
        <v>81750</v>
      </c>
      <c r="I580" s="14">
        <v>1</v>
      </c>
      <c r="J580" s="14">
        <f t="shared" si="242"/>
        <v>163000</v>
      </c>
      <c r="K580" s="14">
        <f t="shared" si="242"/>
        <v>6</v>
      </c>
      <c r="L580" s="14">
        <v>1</v>
      </c>
      <c r="M580" s="14">
        <f t="shared" si="243"/>
        <v>1650</v>
      </c>
      <c r="N580" s="14">
        <f t="shared" si="243"/>
        <v>825</v>
      </c>
      <c r="O580" s="14">
        <f t="shared" si="243"/>
        <v>405</v>
      </c>
      <c r="P580" s="14">
        <f t="shared" si="229"/>
        <v>500</v>
      </c>
      <c r="Q580" s="38">
        <f t="shared" si="228"/>
        <v>500</v>
      </c>
      <c r="R580" s="38">
        <f t="shared" si="230"/>
        <v>244750</v>
      </c>
      <c r="S580" s="38">
        <f t="shared" si="231"/>
        <v>1650</v>
      </c>
      <c r="T580" s="38">
        <f t="shared" si="232"/>
        <v>825</v>
      </c>
      <c r="U580" s="38">
        <f t="shared" si="240"/>
        <v>485</v>
      </c>
      <c r="V580" s="38">
        <f t="shared" si="239"/>
        <v>6</v>
      </c>
      <c r="W580" s="38">
        <f t="shared" si="249"/>
        <v>77086</v>
      </c>
      <c r="X580" s="38">
        <f>SUM(Q$414:Q580)</f>
        <v>79750</v>
      </c>
      <c r="Y580" s="38">
        <f>SUM(R$414:R580)</f>
        <v>20106750</v>
      </c>
      <c r="Z580" s="38">
        <f t="shared" si="250"/>
        <v>1650</v>
      </c>
      <c r="AA580" s="38">
        <f>SUM(T$414:T580)</f>
        <v>68556</v>
      </c>
      <c r="AB580" s="38">
        <f>SUM(U$414:U580)</f>
        <v>36110</v>
      </c>
      <c r="AC580" s="38">
        <f>SUM(V$414:V580)</f>
        <v>1002</v>
      </c>
      <c r="AD580" s="38">
        <f t="shared" si="251"/>
        <v>6076492</v>
      </c>
    </row>
    <row r="581" spans="1:30" x14ac:dyDescent="0.25">
      <c r="A581" s="86" t="s">
        <v>255</v>
      </c>
      <c r="B581" s="14">
        <v>168</v>
      </c>
      <c r="C581" s="14">
        <f t="shared" si="244"/>
        <v>333</v>
      </c>
      <c r="D581" s="14">
        <f t="shared" si="246"/>
        <v>165</v>
      </c>
      <c r="E581" s="14">
        <f t="shared" si="245"/>
        <v>83</v>
      </c>
      <c r="F581" s="14">
        <f t="shared" si="247"/>
        <v>4325</v>
      </c>
      <c r="G581" s="74">
        <f t="shared" si="248"/>
        <v>5758</v>
      </c>
      <c r="H581" s="14">
        <f t="shared" si="241"/>
        <v>82250</v>
      </c>
      <c r="I581" s="14">
        <v>1</v>
      </c>
      <c r="J581" s="14">
        <f t="shared" si="242"/>
        <v>164000</v>
      </c>
      <c r="K581" s="14">
        <f t="shared" si="242"/>
        <v>6</v>
      </c>
      <c r="L581" s="14">
        <v>1</v>
      </c>
      <c r="M581" s="14">
        <f t="shared" si="243"/>
        <v>1660</v>
      </c>
      <c r="N581" s="14">
        <f t="shared" si="243"/>
        <v>830</v>
      </c>
      <c r="O581" s="14">
        <f t="shared" si="243"/>
        <v>408</v>
      </c>
      <c r="P581" s="14">
        <f t="shared" si="229"/>
        <v>500</v>
      </c>
      <c r="Q581" s="38">
        <f t="shared" si="228"/>
        <v>500</v>
      </c>
      <c r="R581" s="38">
        <f t="shared" si="230"/>
        <v>246250</v>
      </c>
      <c r="S581" s="38">
        <f t="shared" si="231"/>
        <v>1660</v>
      </c>
      <c r="T581" s="38">
        <f t="shared" si="232"/>
        <v>830</v>
      </c>
      <c r="U581" s="38">
        <f t="shared" si="240"/>
        <v>491</v>
      </c>
      <c r="V581" s="38">
        <f t="shared" si="239"/>
        <v>6</v>
      </c>
      <c r="W581" s="38">
        <f t="shared" si="249"/>
        <v>77691</v>
      </c>
      <c r="X581" s="38">
        <f>SUM(Q$414:Q581)</f>
        <v>80250</v>
      </c>
      <c r="Y581" s="38">
        <f>SUM(R$414:R581)</f>
        <v>20353000</v>
      </c>
      <c r="Z581" s="38">
        <f t="shared" si="250"/>
        <v>1660</v>
      </c>
      <c r="AA581" s="38">
        <f>SUM(T$414:T581)</f>
        <v>69386</v>
      </c>
      <c r="AB581" s="38">
        <f>SUM(U$414:U581)</f>
        <v>36601</v>
      </c>
      <c r="AC581" s="38">
        <f>SUM(V$414:V581)</f>
        <v>1008</v>
      </c>
      <c r="AD581" s="38">
        <f t="shared" si="251"/>
        <v>6152533</v>
      </c>
    </row>
    <row r="582" spans="1:30" x14ac:dyDescent="0.25">
      <c r="A582" s="86" t="s">
        <v>255</v>
      </c>
      <c r="B582" s="14">
        <v>169</v>
      </c>
      <c r="C582" s="14">
        <f t="shared" si="244"/>
        <v>335</v>
      </c>
      <c r="D582" s="14">
        <f t="shared" si="246"/>
        <v>168</v>
      </c>
      <c r="E582" s="14">
        <f t="shared" si="245"/>
        <v>83</v>
      </c>
      <c r="F582" s="14">
        <f t="shared" si="247"/>
        <v>4375</v>
      </c>
      <c r="G582" s="74">
        <f t="shared" si="248"/>
        <v>5785</v>
      </c>
      <c r="H582" s="14">
        <f t="shared" si="241"/>
        <v>82750</v>
      </c>
      <c r="I582" s="14">
        <v>1</v>
      </c>
      <c r="J582" s="14">
        <f t="shared" si="242"/>
        <v>165000</v>
      </c>
      <c r="K582" s="14">
        <f t="shared" si="242"/>
        <v>6</v>
      </c>
      <c r="L582" s="14">
        <v>1</v>
      </c>
      <c r="M582" s="14">
        <f t="shared" si="243"/>
        <v>1670</v>
      </c>
      <c r="N582" s="14">
        <f t="shared" si="243"/>
        <v>835</v>
      </c>
      <c r="O582" s="14">
        <f t="shared" si="243"/>
        <v>410</v>
      </c>
      <c r="P582" s="14">
        <f t="shared" si="229"/>
        <v>500</v>
      </c>
      <c r="Q582" s="38">
        <f t="shared" si="228"/>
        <v>500</v>
      </c>
      <c r="R582" s="38">
        <f t="shared" si="230"/>
        <v>247750</v>
      </c>
      <c r="S582" s="38">
        <f t="shared" si="231"/>
        <v>1670</v>
      </c>
      <c r="T582" s="38">
        <f t="shared" si="232"/>
        <v>835</v>
      </c>
      <c r="U582" s="38">
        <f t="shared" si="240"/>
        <v>493</v>
      </c>
      <c r="V582" s="38">
        <f t="shared" si="239"/>
        <v>6</v>
      </c>
      <c r="W582" s="38">
        <f t="shared" si="249"/>
        <v>78116</v>
      </c>
      <c r="X582" s="38">
        <f>SUM(Q$414:Q582)</f>
        <v>80750</v>
      </c>
      <c r="Y582" s="38">
        <f>SUM(R$414:R582)</f>
        <v>20600750</v>
      </c>
      <c r="Z582" s="38">
        <f t="shared" si="250"/>
        <v>1670</v>
      </c>
      <c r="AA582" s="38">
        <f>SUM(T$414:T582)</f>
        <v>70221</v>
      </c>
      <c r="AB582" s="38">
        <f>SUM(U$414:U582)</f>
        <v>37094</v>
      </c>
      <c r="AC582" s="38">
        <f>SUM(V$414:V582)</f>
        <v>1014</v>
      </c>
      <c r="AD582" s="38">
        <f t="shared" si="251"/>
        <v>6228989</v>
      </c>
    </row>
    <row r="583" spans="1:30" x14ac:dyDescent="0.25">
      <c r="A583" s="86" t="s">
        <v>255</v>
      </c>
      <c r="B583" s="14">
        <v>170</v>
      </c>
      <c r="C583" s="14">
        <f t="shared" si="244"/>
        <v>335</v>
      </c>
      <c r="D583" s="14">
        <f t="shared" si="246"/>
        <v>168</v>
      </c>
      <c r="E583" s="14">
        <f t="shared" si="245"/>
        <v>83</v>
      </c>
      <c r="F583" s="14">
        <f t="shared" si="247"/>
        <v>4375</v>
      </c>
      <c r="G583" s="74">
        <f t="shared" si="248"/>
        <v>5785</v>
      </c>
      <c r="H583" s="14">
        <f t="shared" si="241"/>
        <v>83250</v>
      </c>
      <c r="I583" s="14">
        <v>1</v>
      </c>
      <c r="J583" s="14">
        <f t="shared" si="242"/>
        <v>166000</v>
      </c>
      <c r="K583" s="14">
        <f t="shared" si="242"/>
        <v>6</v>
      </c>
      <c r="L583" s="14">
        <v>1</v>
      </c>
      <c r="M583" s="14">
        <f t="shared" si="243"/>
        <v>1680</v>
      </c>
      <c r="N583" s="14">
        <f t="shared" si="243"/>
        <v>840</v>
      </c>
      <c r="O583" s="14">
        <f t="shared" si="243"/>
        <v>413</v>
      </c>
      <c r="P583" s="14">
        <f t="shared" si="229"/>
        <v>500</v>
      </c>
      <c r="Q583" s="38">
        <f t="shared" si="228"/>
        <v>500</v>
      </c>
      <c r="R583" s="38">
        <f t="shared" si="230"/>
        <v>249250</v>
      </c>
      <c r="S583" s="38">
        <f t="shared" si="231"/>
        <v>1680</v>
      </c>
      <c r="T583" s="38">
        <f t="shared" si="232"/>
        <v>840</v>
      </c>
      <c r="U583" s="38"/>
      <c r="V583" s="38">
        <f t="shared" si="239"/>
        <v>6</v>
      </c>
      <c r="W583" s="38">
        <f t="shared" si="249"/>
        <v>56266</v>
      </c>
      <c r="X583" s="38">
        <f>SUM(Q$414:Q583)</f>
        <v>81250</v>
      </c>
      <c r="Y583" s="38">
        <f>SUM(R$414:R583)</f>
        <v>20850000</v>
      </c>
      <c r="Z583" s="38">
        <f t="shared" si="250"/>
        <v>1680</v>
      </c>
      <c r="AA583" s="38">
        <f>SUM(T$414:T583)</f>
        <v>71061</v>
      </c>
      <c r="AB583" s="38">
        <f>SUM(U$414:U583)</f>
        <v>37094</v>
      </c>
      <c r="AC583" s="38">
        <f>SUM(V$414:V583)</f>
        <v>1020</v>
      </c>
      <c r="AD583" s="38">
        <f t="shared" si="251"/>
        <v>6283585</v>
      </c>
    </row>
    <row r="584" spans="1:30" x14ac:dyDescent="0.25">
      <c r="A584" s="86" t="s">
        <v>255</v>
      </c>
      <c r="B584" s="14">
        <v>171</v>
      </c>
      <c r="C584" s="14">
        <f t="shared" si="244"/>
        <v>338</v>
      </c>
      <c r="D584" s="14">
        <f t="shared" si="246"/>
        <v>168</v>
      </c>
      <c r="E584" s="14">
        <f t="shared" si="245"/>
        <v>83</v>
      </c>
      <c r="F584" s="14">
        <f t="shared" si="247"/>
        <v>4425</v>
      </c>
      <c r="G584" s="74">
        <f t="shared" si="248"/>
        <v>5798</v>
      </c>
      <c r="H584" s="14">
        <f t="shared" si="241"/>
        <v>83750</v>
      </c>
      <c r="I584" s="14">
        <v>1</v>
      </c>
      <c r="J584" s="14">
        <f t="shared" si="242"/>
        <v>167000</v>
      </c>
      <c r="K584" s="14">
        <f t="shared" si="242"/>
        <v>6</v>
      </c>
      <c r="L584" s="14">
        <v>1</v>
      </c>
      <c r="M584" s="14">
        <f t="shared" si="243"/>
        <v>1690</v>
      </c>
      <c r="N584" s="14">
        <f t="shared" si="243"/>
        <v>845</v>
      </c>
      <c r="O584" s="14">
        <f t="shared" si="243"/>
        <v>415</v>
      </c>
      <c r="P584" s="14">
        <f t="shared" si="229"/>
        <v>500</v>
      </c>
      <c r="Q584" s="38">
        <f t="shared" si="228"/>
        <v>500</v>
      </c>
      <c r="R584" s="38">
        <f t="shared" si="230"/>
        <v>250750</v>
      </c>
      <c r="S584" s="38">
        <f t="shared" si="231"/>
        <v>1690</v>
      </c>
      <c r="T584" s="38">
        <f t="shared" si="232"/>
        <v>845</v>
      </c>
      <c r="U584" s="38"/>
      <c r="V584" s="38">
        <f t="shared" si="239"/>
        <v>6</v>
      </c>
      <c r="W584" s="38">
        <f t="shared" si="249"/>
        <v>56601</v>
      </c>
      <c r="X584" s="38">
        <f>SUM(Q$414:Q584)</f>
        <v>81750</v>
      </c>
      <c r="Y584" s="38">
        <f>SUM(R$414:R584)</f>
        <v>21100750</v>
      </c>
      <c r="Z584" s="38">
        <f t="shared" si="250"/>
        <v>1690</v>
      </c>
      <c r="AA584" s="38">
        <f>SUM(T$414:T584)</f>
        <v>71906</v>
      </c>
      <c r="AB584" s="38">
        <f>SUM(U$414:U584)</f>
        <v>37094</v>
      </c>
      <c r="AC584" s="38">
        <f>SUM(V$414:V584)</f>
        <v>1026</v>
      </c>
      <c r="AD584" s="38">
        <f t="shared" si="251"/>
        <v>6338506</v>
      </c>
    </row>
    <row r="585" spans="1:30" x14ac:dyDescent="0.25">
      <c r="A585" s="86" t="s">
        <v>255</v>
      </c>
      <c r="B585" s="14">
        <v>172</v>
      </c>
      <c r="C585" s="14">
        <f t="shared" si="244"/>
        <v>340</v>
      </c>
      <c r="D585" s="14">
        <f t="shared" si="246"/>
        <v>170</v>
      </c>
      <c r="E585" s="14">
        <f t="shared" si="245"/>
        <v>83</v>
      </c>
      <c r="F585" s="14">
        <f t="shared" si="247"/>
        <v>4425</v>
      </c>
      <c r="G585" s="74">
        <f t="shared" si="248"/>
        <v>5810</v>
      </c>
      <c r="H585" s="14">
        <f t="shared" si="241"/>
        <v>84250</v>
      </c>
      <c r="I585" s="14">
        <v>1</v>
      </c>
      <c r="J585" s="14">
        <f t="shared" si="242"/>
        <v>168000</v>
      </c>
      <c r="K585" s="14">
        <f t="shared" si="242"/>
        <v>6</v>
      </c>
      <c r="L585" s="14">
        <v>1</v>
      </c>
      <c r="M585" s="14">
        <f t="shared" si="243"/>
        <v>1700</v>
      </c>
      <c r="N585" s="14">
        <f t="shared" si="243"/>
        <v>850</v>
      </c>
      <c r="O585" s="14">
        <f t="shared" si="243"/>
        <v>418</v>
      </c>
      <c r="P585" s="14">
        <f t="shared" si="229"/>
        <v>500</v>
      </c>
      <c r="Q585" s="38">
        <f t="shared" si="228"/>
        <v>500</v>
      </c>
      <c r="R585" s="38">
        <f t="shared" si="230"/>
        <v>252250</v>
      </c>
      <c r="S585" s="38">
        <f t="shared" si="231"/>
        <v>1700</v>
      </c>
      <c r="T585" s="38">
        <f t="shared" si="232"/>
        <v>850</v>
      </c>
      <c r="U585" s="38"/>
      <c r="V585" s="38">
        <f t="shared" si="239"/>
        <v>6</v>
      </c>
      <c r="W585" s="38">
        <f t="shared" si="249"/>
        <v>56936</v>
      </c>
      <c r="X585" s="38">
        <f>SUM(Q$414:Q585)</f>
        <v>82250</v>
      </c>
      <c r="Y585" s="38">
        <f>SUM(R$414:R585)</f>
        <v>21353000</v>
      </c>
      <c r="Z585" s="38">
        <f t="shared" si="250"/>
        <v>1700</v>
      </c>
      <c r="AA585" s="38">
        <f>SUM(T$414:T585)</f>
        <v>72756</v>
      </c>
      <c r="AB585" s="38">
        <f>SUM(U$414:U585)</f>
        <v>37094</v>
      </c>
      <c r="AC585" s="38">
        <f>SUM(V$414:V585)</f>
        <v>1032</v>
      </c>
      <c r="AD585" s="38">
        <f t="shared" si="251"/>
        <v>6393752</v>
      </c>
    </row>
    <row r="586" spans="1:30" x14ac:dyDescent="0.25">
      <c r="A586" s="86" t="s">
        <v>255</v>
      </c>
      <c r="B586" s="14">
        <v>173</v>
      </c>
      <c r="C586" s="14">
        <f t="shared" si="244"/>
        <v>343</v>
      </c>
      <c r="D586" s="14">
        <f t="shared" si="246"/>
        <v>170</v>
      </c>
      <c r="E586" s="14">
        <f t="shared" si="245"/>
        <v>85</v>
      </c>
      <c r="F586" s="14">
        <f t="shared" si="247"/>
        <v>4475</v>
      </c>
      <c r="G586" s="74">
        <f t="shared" si="248"/>
        <v>5913</v>
      </c>
      <c r="H586" s="14">
        <f t="shared" si="241"/>
        <v>84750</v>
      </c>
      <c r="I586" s="14">
        <v>1</v>
      </c>
      <c r="J586" s="14">
        <f t="shared" si="242"/>
        <v>169000</v>
      </c>
      <c r="K586" s="14">
        <f t="shared" si="242"/>
        <v>6</v>
      </c>
      <c r="L586" s="14">
        <v>1</v>
      </c>
      <c r="M586" s="14">
        <f t="shared" si="243"/>
        <v>1710</v>
      </c>
      <c r="N586" s="14">
        <f t="shared" si="243"/>
        <v>855</v>
      </c>
      <c r="O586" s="14">
        <f t="shared" si="243"/>
        <v>420</v>
      </c>
      <c r="P586" s="14">
        <f t="shared" si="229"/>
        <v>500</v>
      </c>
      <c r="Q586" s="38">
        <f t="shared" si="228"/>
        <v>500</v>
      </c>
      <c r="R586" s="38">
        <f t="shared" si="230"/>
        <v>253750</v>
      </c>
      <c r="S586" s="38">
        <f t="shared" si="231"/>
        <v>1710</v>
      </c>
      <c r="T586" s="38">
        <f t="shared" si="232"/>
        <v>855</v>
      </c>
      <c r="U586" s="38">
        <f t="shared" ref="U586:U613" si="252">E586+O586</f>
        <v>505</v>
      </c>
      <c r="V586" s="38">
        <f t="shared" si="239"/>
        <v>6</v>
      </c>
      <c r="W586" s="38">
        <f t="shared" si="249"/>
        <v>79996</v>
      </c>
      <c r="X586" s="38">
        <f>SUM(Q$414:Q586)</f>
        <v>82750</v>
      </c>
      <c r="Y586" s="38">
        <f>SUM(R$414:R586)</f>
        <v>21606750</v>
      </c>
      <c r="Z586" s="38">
        <f t="shared" si="250"/>
        <v>1710</v>
      </c>
      <c r="AA586" s="38">
        <f>SUM(T$414:T586)</f>
        <v>73611</v>
      </c>
      <c r="AB586" s="38">
        <f>SUM(U$414:U586)</f>
        <v>37599</v>
      </c>
      <c r="AC586" s="38">
        <f>SUM(V$414:V586)</f>
        <v>1038</v>
      </c>
      <c r="AD586" s="38">
        <f t="shared" si="251"/>
        <v>6472048</v>
      </c>
    </row>
    <row r="587" spans="1:30" x14ac:dyDescent="0.25">
      <c r="A587" s="86" t="s">
        <v>255</v>
      </c>
      <c r="B587" s="14">
        <v>174</v>
      </c>
      <c r="C587" s="14">
        <f t="shared" si="244"/>
        <v>345</v>
      </c>
      <c r="D587" s="14">
        <f t="shared" si="246"/>
        <v>173</v>
      </c>
      <c r="E587" s="14">
        <f t="shared" si="245"/>
        <v>85</v>
      </c>
      <c r="F587" s="14">
        <f t="shared" si="247"/>
        <v>4475</v>
      </c>
      <c r="G587" s="74">
        <f t="shared" si="248"/>
        <v>5930</v>
      </c>
      <c r="H587" s="14">
        <f t="shared" si="241"/>
        <v>85250</v>
      </c>
      <c r="I587" s="14">
        <v>1</v>
      </c>
      <c r="J587" s="14">
        <f t="shared" si="242"/>
        <v>170000</v>
      </c>
      <c r="K587" s="14">
        <f t="shared" si="242"/>
        <v>6</v>
      </c>
      <c r="L587" s="14">
        <v>1</v>
      </c>
      <c r="M587" s="14">
        <f t="shared" si="243"/>
        <v>1720</v>
      </c>
      <c r="N587" s="14">
        <f t="shared" si="243"/>
        <v>860</v>
      </c>
      <c r="O587" s="14">
        <f t="shared" si="243"/>
        <v>423</v>
      </c>
      <c r="P587" s="14">
        <f t="shared" si="229"/>
        <v>500</v>
      </c>
      <c r="Q587" s="38">
        <f t="shared" si="228"/>
        <v>500</v>
      </c>
      <c r="R587" s="38">
        <f t="shared" si="230"/>
        <v>255250</v>
      </c>
      <c r="S587" s="38">
        <f t="shared" si="231"/>
        <v>1720</v>
      </c>
      <c r="T587" s="38">
        <f t="shared" si="232"/>
        <v>860</v>
      </c>
      <c r="U587" s="42">
        <f t="shared" si="252"/>
        <v>508</v>
      </c>
      <c r="V587" s="42">
        <f t="shared" si="239"/>
        <v>6</v>
      </c>
      <c r="W587" s="38">
        <f t="shared" si="249"/>
        <v>80466</v>
      </c>
      <c r="X587" s="38">
        <f>SUM(Q$414:Q587)</f>
        <v>83250</v>
      </c>
      <c r="Y587" s="38">
        <f>SUM(R$414:R587)</f>
        <v>21862000</v>
      </c>
      <c r="Z587" s="38">
        <f t="shared" si="250"/>
        <v>1720</v>
      </c>
      <c r="AA587" s="38">
        <f>SUM(T$414:T587)</f>
        <v>74471</v>
      </c>
      <c r="AB587" s="38">
        <f>SUM(U$414:U587)</f>
        <v>38107</v>
      </c>
      <c r="AC587" s="38">
        <f>SUM(V$414:V587)</f>
        <v>1044</v>
      </c>
      <c r="AD587" s="38">
        <f t="shared" si="251"/>
        <v>6550804</v>
      </c>
    </row>
    <row r="588" spans="1:30" x14ac:dyDescent="0.25">
      <c r="A588" s="86" t="s">
        <v>255</v>
      </c>
      <c r="B588" s="14">
        <v>175</v>
      </c>
      <c r="C588" s="14">
        <f t="shared" si="244"/>
        <v>345</v>
      </c>
      <c r="D588" s="14">
        <f t="shared" si="246"/>
        <v>173</v>
      </c>
      <c r="E588" s="14">
        <f t="shared" si="245"/>
        <v>85</v>
      </c>
      <c r="F588" s="14">
        <f t="shared" si="247"/>
        <v>4525</v>
      </c>
      <c r="G588" s="74">
        <f t="shared" si="248"/>
        <v>5940</v>
      </c>
      <c r="H588" s="14">
        <f t="shared" si="241"/>
        <v>85750</v>
      </c>
      <c r="I588" s="14">
        <v>1</v>
      </c>
      <c r="J588" s="14">
        <f t="shared" si="242"/>
        <v>171000</v>
      </c>
      <c r="K588" s="14">
        <f t="shared" si="242"/>
        <v>6</v>
      </c>
      <c r="L588" s="14">
        <v>1</v>
      </c>
      <c r="M588" s="14">
        <f t="shared" si="243"/>
        <v>1730</v>
      </c>
      <c r="N588" s="14">
        <f t="shared" si="243"/>
        <v>865</v>
      </c>
      <c r="O588" s="14">
        <f t="shared" si="243"/>
        <v>425</v>
      </c>
      <c r="P588" s="14">
        <f t="shared" si="229"/>
        <v>500</v>
      </c>
      <c r="Q588" s="38">
        <f t="shared" si="228"/>
        <v>500</v>
      </c>
      <c r="R588" s="38">
        <f t="shared" si="230"/>
        <v>256750</v>
      </c>
      <c r="S588" s="38">
        <f t="shared" si="231"/>
        <v>1730</v>
      </c>
      <c r="T588" s="38">
        <f t="shared" si="232"/>
        <v>865</v>
      </c>
      <c r="U588" s="38">
        <f t="shared" si="252"/>
        <v>510</v>
      </c>
      <c r="V588" s="38">
        <f t="shared" si="239"/>
        <v>6</v>
      </c>
      <c r="W588" s="38">
        <f t="shared" si="249"/>
        <v>80891</v>
      </c>
      <c r="X588" s="38">
        <f>SUM(Q$414:Q588)</f>
        <v>83750</v>
      </c>
      <c r="Y588" s="38">
        <f>SUM(R$414:R588)</f>
        <v>22118750</v>
      </c>
      <c r="Z588" s="38">
        <f t="shared" si="250"/>
        <v>1730</v>
      </c>
      <c r="AA588" s="38">
        <f>SUM(T$414:T588)</f>
        <v>75336</v>
      </c>
      <c r="AB588" s="38">
        <f>SUM(U$414:U588)</f>
        <v>38617</v>
      </c>
      <c r="AC588" s="38">
        <f>SUM(V$414:V588)</f>
        <v>1050</v>
      </c>
      <c r="AD588" s="38">
        <f t="shared" si="251"/>
        <v>6629975</v>
      </c>
    </row>
    <row r="589" spans="1:30" x14ac:dyDescent="0.25">
      <c r="A589" s="86" t="s">
        <v>255</v>
      </c>
      <c r="B589" s="14">
        <v>176</v>
      </c>
      <c r="C589" s="14">
        <f t="shared" si="244"/>
        <v>348</v>
      </c>
      <c r="D589" s="14">
        <f t="shared" si="246"/>
        <v>173</v>
      </c>
      <c r="E589" s="14">
        <f t="shared" si="245"/>
        <v>85</v>
      </c>
      <c r="F589" s="14">
        <f t="shared" si="247"/>
        <v>4525</v>
      </c>
      <c r="G589" s="74">
        <f t="shared" si="248"/>
        <v>5943</v>
      </c>
      <c r="H589" s="14">
        <f t="shared" si="241"/>
        <v>86250</v>
      </c>
      <c r="I589" s="14">
        <v>1</v>
      </c>
      <c r="J589" s="14">
        <f t="shared" si="242"/>
        <v>172000</v>
      </c>
      <c r="K589" s="14">
        <f t="shared" si="242"/>
        <v>6</v>
      </c>
      <c r="L589" s="14">
        <v>1</v>
      </c>
      <c r="M589" s="14">
        <f t="shared" si="243"/>
        <v>1740</v>
      </c>
      <c r="N589" s="14">
        <f t="shared" si="243"/>
        <v>870</v>
      </c>
      <c r="O589" s="14">
        <f t="shared" si="243"/>
        <v>428</v>
      </c>
      <c r="P589" s="14">
        <f t="shared" si="229"/>
        <v>500</v>
      </c>
      <c r="Q589" s="38">
        <f t="shared" si="228"/>
        <v>500</v>
      </c>
      <c r="R589" s="38">
        <f t="shared" si="230"/>
        <v>258250</v>
      </c>
      <c r="S589" s="38">
        <f t="shared" si="231"/>
        <v>1740</v>
      </c>
      <c r="T589" s="38">
        <f t="shared" si="232"/>
        <v>870</v>
      </c>
      <c r="U589" s="38">
        <f t="shared" si="252"/>
        <v>513</v>
      </c>
      <c r="V589" s="38">
        <f t="shared" si="239"/>
        <v>6</v>
      </c>
      <c r="W589" s="38">
        <f t="shared" si="249"/>
        <v>81361</v>
      </c>
      <c r="X589" s="38">
        <f>SUM(Q$414:Q589)</f>
        <v>84250</v>
      </c>
      <c r="Y589" s="38">
        <f>SUM(R$414:R589)</f>
        <v>22377000</v>
      </c>
      <c r="Z589" s="38">
        <f t="shared" si="250"/>
        <v>1740</v>
      </c>
      <c r="AA589" s="38">
        <f>SUM(T$414:T589)</f>
        <v>76206</v>
      </c>
      <c r="AB589" s="38">
        <f>SUM(U$414:U589)</f>
        <v>39130</v>
      </c>
      <c r="AC589" s="38">
        <f>SUM(V$414:V589)</f>
        <v>1056</v>
      </c>
      <c r="AD589" s="38">
        <f t="shared" si="251"/>
        <v>6709606</v>
      </c>
    </row>
    <row r="590" spans="1:30" x14ac:dyDescent="0.25">
      <c r="A590" s="86" t="s">
        <v>255</v>
      </c>
      <c r="B590" s="14">
        <v>177</v>
      </c>
      <c r="C590" s="14">
        <f t="shared" si="244"/>
        <v>350</v>
      </c>
      <c r="D590" s="14">
        <f t="shared" si="246"/>
        <v>175</v>
      </c>
      <c r="E590" s="14">
        <f t="shared" si="245"/>
        <v>85</v>
      </c>
      <c r="F590" s="14">
        <f t="shared" si="247"/>
        <v>4575</v>
      </c>
      <c r="G590" s="74">
        <f t="shared" si="248"/>
        <v>5965</v>
      </c>
      <c r="H590" s="14">
        <f t="shared" si="241"/>
        <v>86750</v>
      </c>
      <c r="I590" s="14">
        <v>1</v>
      </c>
      <c r="J590" s="14">
        <f t="shared" si="242"/>
        <v>173000</v>
      </c>
      <c r="K590" s="14">
        <f t="shared" si="242"/>
        <v>6</v>
      </c>
      <c r="L590" s="14">
        <v>1</v>
      </c>
      <c r="M590" s="14">
        <f t="shared" si="243"/>
        <v>1750</v>
      </c>
      <c r="N590" s="14">
        <f t="shared" si="243"/>
        <v>875</v>
      </c>
      <c r="O590" s="14">
        <f t="shared" si="243"/>
        <v>430</v>
      </c>
      <c r="P590" s="14">
        <f t="shared" si="229"/>
        <v>500</v>
      </c>
      <c r="Q590" s="38">
        <f t="shared" si="228"/>
        <v>500</v>
      </c>
      <c r="R590" s="38">
        <f t="shared" si="230"/>
        <v>259750</v>
      </c>
      <c r="S590" s="38">
        <f t="shared" si="231"/>
        <v>1750</v>
      </c>
      <c r="T590" s="38">
        <f t="shared" si="232"/>
        <v>875</v>
      </c>
      <c r="U590" s="38">
        <f t="shared" si="252"/>
        <v>515</v>
      </c>
      <c r="V590" s="38">
        <f t="shared" si="239"/>
        <v>6</v>
      </c>
      <c r="W590" s="38">
        <f t="shared" si="249"/>
        <v>81786</v>
      </c>
      <c r="X590" s="38">
        <f>SUM(Q$414:Q590)</f>
        <v>84750</v>
      </c>
      <c r="Y590" s="38">
        <f>SUM(R$414:R590)</f>
        <v>22636750</v>
      </c>
      <c r="Z590" s="38">
        <f t="shared" si="250"/>
        <v>1750</v>
      </c>
      <c r="AA590" s="38">
        <f>SUM(T$414:T590)</f>
        <v>77081</v>
      </c>
      <c r="AB590" s="38">
        <f>SUM(U$414:U590)</f>
        <v>39645</v>
      </c>
      <c r="AC590" s="38">
        <f>SUM(V$414:V590)</f>
        <v>1062</v>
      </c>
      <c r="AD590" s="38">
        <f t="shared" si="251"/>
        <v>6789652</v>
      </c>
    </row>
    <row r="591" spans="1:30" x14ac:dyDescent="0.25">
      <c r="A591" s="86" t="s">
        <v>255</v>
      </c>
      <c r="B591" s="14">
        <v>178</v>
      </c>
      <c r="C591" s="14">
        <f t="shared" si="244"/>
        <v>353</v>
      </c>
      <c r="D591" s="14">
        <f t="shared" si="246"/>
        <v>175</v>
      </c>
      <c r="E591" s="14">
        <f t="shared" si="245"/>
        <v>88</v>
      </c>
      <c r="F591" s="14">
        <f t="shared" si="247"/>
        <v>4575</v>
      </c>
      <c r="G591" s="74">
        <f t="shared" si="248"/>
        <v>6103</v>
      </c>
      <c r="H591" s="14">
        <f t="shared" si="241"/>
        <v>87250</v>
      </c>
      <c r="I591" s="14">
        <v>1</v>
      </c>
      <c r="J591" s="14">
        <f t="shared" si="242"/>
        <v>174000</v>
      </c>
      <c r="K591" s="14">
        <f t="shared" si="242"/>
        <v>6</v>
      </c>
      <c r="L591" s="14">
        <v>1</v>
      </c>
      <c r="M591" s="14">
        <f t="shared" si="243"/>
        <v>1760</v>
      </c>
      <c r="N591" s="14">
        <f t="shared" si="243"/>
        <v>880</v>
      </c>
      <c r="O591" s="14">
        <f t="shared" si="243"/>
        <v>433</v>
      </c>
      <c r="P591" s="14">
        <f t="shared" si="229"/>
        <v>500</v>
      </c>
      <c r="Q591" s="38">
        <f t="shared" si="228"/>
        <v>500</v>
      </c>
      <c r="R591" s="38">
        <f t="shared" si="230"/>
        <v>261250</v>
      </c>
      <c r="S591" s="38">
        <f t="shared" si="231"/>
        <v>1760</v>
      </c>
      <c r="T591" s="38">
        <f t="shared" si="232"/>
        <v>880</v>
      </c>
      <c r="U591" s="38">
        <f t="shared" si="252"/>
        <v>521</v>
      </c>
      <c r="V591" s="38">
        <f t="shared" si="239"/>
        <v>6</v>
      </c>
      <c r="W591" s="38">
        <f t="shared" si="249"/>
        <v>82391</v>
      </c>
      <c r="X591" s="38">
        <f>SUM(Q$414:Q591)</f>
        <v>85250</v>
      </c>
      <c r="Y591" s="38">
        <f>SUM(R$414:R591)</f>
        <v>22898000</v>
      </c>
      <c r="Z591" s="38">
        <f t="shared" si="250"/>
        <v>1760</v>
      </c>
      <c r="AA591" s="38">
        <f>SUM(T$414:T591)</f>
        <v>77961</v>
      </c>
      <c r="AB591" s="38">
        <f>SUM(U$414:U591)</f>
        <v>40166</v>
      </c>
      <c r="AC591" s="38">
        <f>SUM(V$414:V591)</f>
        <v>1068</v>
      </c>
      <c r="AD591" s="38">
        <f t="shared" si="251"/>
        <v>6870293</v>
      </c>
    </row>
    <row r="592" spans="1:30" x14ac:dyDescent="0.25">
      <c r="A592" s="86" t="s">
        <v>255</v>
      </c>
      <c r="B592" s="14">
        <v>179</v>
      </c>
      <c r="C592" s="14">
        <f t="shared" si="244"/>
        <v>355</v>
      </c>
      <c r="D592" s="14">
        <f t="shared" si="246"/>
        <v>178</v>
      </c>
      <c r="E592" s="14">
        <f t="shared" si="245"/>
        <v>88</v>
      </c>
      <c r="F592" s="14">
        <f t="shared" si="247"/>
        <v>4625</v>
      </c>
      <c r="G592" s="74">
        <f t="shared" si="248"/>
        <v>6130</v>
      </c>
      <c r="H592" s="14">
        <f t="shared" si="241"/>
        <v>87750</v>
      </c>
      <c r="I592" s="14">
        <v>1</v>
      </c>
      <c r="J592" s="14">
        <f t="shared" si="242"/>
        <v>175000</v>
      </c>
      <c r="K592" s="14">
        <f t="shared" si="242"/>
        <v>6</v>
      </c>
      <c r="L592" s="14">
        <v>1</v>
      </c>
      <c r="M592" s="14">
        <f t="shared" si="243"/>
        <v>1770</v>
      </c>
      <c r="N592" s="14">
        <f t="shared" si="243"/>
        <v>885</v>
      </c>
      <c r="O592" s="14">
        <f t="shared" si="243"/>
        <v>435</v>
      </c>
      <c r="P592" s="14">
        <f t="shared" si="229"/>
        <v>500</v>
      </c>
      <c r="Q592" s="38">
        <f t="shared" si="228"/>
        <v>500</v>
      </c>
      <c r="R592" s="38">
        <f t="shared" si="230"/>
        <v>262750</v>
      </c>
      <c r="S592" s="38">
        <f t="shared" si="231"/>
        <v>1770</v>
      </c>
      <c r="T592" s="38">
        <f t="shared" si="232"/>
        <v>885</v>
      </c>
      <c r="U592" s="38">
        <f t="shared" si="252"/>
        <v>523</v>
      </c>
      <c r="V592" s="38">
        <f t="shared" si="239"/>
        <v>6</v>
      </c>
      <c r="W592" s="38">
        <f t="shared" si="249"/>
        <v>82816</v>
      </c>
      <c r="X592" s="38">
        <f>SUM(Q$414:Q592)</f>
        <v>85750</v>
      </c>
      <c r="Y592" s="38">
        <f>SUM(R$414:R592)</f>
        <v>23160750</v>
      </c>
      <c r="Z592" s="38">
        <f t="shared" si="250"/>
        <v>1770</v>
      </c>
      <c r="AA592" s="38">
        <f>SUM(T$414:T592)</f>
        <v>78846</v>
      </c>
      <c r="AB592" s="38">
        <f>SUM(U$414:U592)</f>
        <v>40689</v>
      </c>
      <c r="AC592" s="38">
        <f>SUM(V$414:V592)</f>
        <v>1074</v>
      </c>
      <c r="AD592" s="38">
        <f t="shared" si="251"/>
        <v>6951349</v>
      </c>
    </row>
    <row r="593" spans="1:30" x14ac:dyDescent="0.25">
      <c r="A593" s="86" t="s">
        <v>255</v>
      </c>
      <c r="B593" s="14">
        <v>180</v>
      </c>
      <c r="C593" s="14">
        <f t="shared" si="244"/>
        <v>355</v>
      </c>
      <c r="D593" s="14">
        <f t="shared" si="246"/>
        <v>178</v>
      </c>
      <c r="E593" s="14">
        <f t="shared" si="245"/>
        <v>88</v>
      </c>
      <c r="F593" s="14">
        <f t="shared" si="247"/>
        <v>4625</v>
      </c>
      <c r="G593" s="74">
        <f t="shared" si="248"/>
        <v>6130</v>
      </c>
      <c r="H593" s="14">
        <f t="shared" si="241"/>
        <v>88250</v>
      </c>
      <c r="I593" s="14">
        <v>1</v>
      </c>
      <c r="J593" s="14">
        <f t="shared" si="242"/>
        <v>176000</v>
      </c>
      <c r="K593" s="14">
        <f t="shared" si="242"/>
        <v>6</v>
      </c>
      <c r="L593" s="14">
        <v>1</v>
      </c>
      <c r="M593" s="14">
        <f t="shared" si="243"/>
        <v>1780</v>
      </c>
      <c r="N593" s="14">
        <f t="shared" si="243"/>
        <v>890</v>
      </c>
      <c r="O593" s="14">
        <f t="shared" si="243"/>
        <v>438</v>
      </c>
      <c r="P593" s="14">
        <f t="shared" si="229"/>
        <v>500</v>
      </c>
      <c r="Q593" s="38">
        <f t="shared" si="228"/>
        <v>500</v>
      </c>
      <c r="R593" s="38">
        <f t="shared" si="230"/>
        <v>264250</v>
      </c>
      <c r="S593" s="38">
        <f t="shared" si="231"/>
        <v>1780</v>
      </c>
      <c r="T593" s="38">
        <f t="shared" si="232"/>
        <v>890</v>
      </c>
      <c r="U593" s="38">
        <f t="shared" si="252"/>
        <v>526</v>
      </c>
      <c r="V593" s="38">
        <f t="shared" si="239"/>
        <v>6</v>
      </c>
      <c r="W593" s="38">
        <f t="shared" si="249"/>
        <v>83286</v>
      </c>
      <c r="X593" s="38">
        <f>SUM(Q$414:Q593)</f>
        <v>86250</v>
      </c>
      <c r="Y593" s="38">
        <f>SUM(R$414:R593)</f>
        <v>23425000</v>
      </c>
      <c r="Z593" s="38">
        <f t="shared" si="250"/>
        <v>1780</v>
      </c>
      <c r="AA593" s="38">
        <f>SUM(T$414:T593)</f>
        <v>79736</v>
      </c>
      <c r="AB593" s="38">
        <f>SUM(U$414:U593)</f>
        <v>41215</v>
      </c>
      <c r="AC593" s="38">
        <f>SUM(V$414:V593)</f>
        <v>1080</v>
      </c>
      <c r="AD593" s="38">
        <f t="shared" si="251"/>
        <v>7032865</v>
      </c>
    </row>
    <row r="594" spans="1:30" x14ac:dyDescent="0.25">
      <c r="A594" s="86" t="s">
        <v>255</v>
      </c>
      <c r="B594" s="14">
        <v>181</v>
      </c>
      <c r="C594" s="14">
        <f t="shared" si="244"/>
        <v>358</v>
      </c>
      <c r="D594" s="14">
        <f t="shared" si="246"/>
        <v>178</v>
      </c>
      <c r="E594" s="14">
        <f t="shared" si="245"/>
        <v>88</v>
      </c>
      <c r="F594" s="14">
        <f t="shared" si="247"/>
        <v>4675</v>
      </c>
      <c r="G594" s="74">
        <f t="shared" si="248"/>
        <v>6143</v>
      </c>
      <c r="H594" s="14">
        <f t="shared" si="241"/>
        <v>88750</v>
      </c>
      <c r="I594" s="14">
        <v>1</v>
      </c>
      <c r="J594" s="14">
        <f t="shared" ref="J594:K607" si="253">MAX(1,ROUND(J188*INDEX($O$1:$U$4,MATCH($A594,$O$1:$O$4,0),MATCH(J$413,$O$1:$U$1,0)),0))</f>
        <v>177000</v>
      </c>
      <c r="K594" s="14">
        <f t="shared" si="253"/>
        <v>6</v>
      </c>
      <c r="L594" s="14">
        <v>1</v>
      </c>
      <c r="M594" s="14">
        <f t="shared" si="243"/>
        <v>1790</v>
      </c>
      <c r="N594" s="14">
        <f t="shared" si="243"/>
        <v>895</v>
      </c>
      <c r="O594" s="14">
        <f t="shared" si="243"/>
        <v>440</v>
      </c>
      <c r="P594" s="14">
        <f t="shared" si="229"/>
        <v>500</v>
      </c>
      <c r="Q594" s="38">
        <f t="shared" si="228"/>
        <v>500</v>
      </c>
      <c r="R594" s="38">
        <f t="shared" si="230"/>
        <v>265750</v>
      </c>
      <c r="S594" s="38">
        <f t="shared" si="231"/>
        <v>1790</v>
      </c>
      <c r="T594" s="38">
        <f t="shared" si="232"/>
        <v>895</v>
      </c>
      <c r="U594" s="38">
        <f t="shared" si="252"/>
        <v>528</v>
      </c>
      <c r="V594" s="38">
        <f t="shared" si="239"/>
        <v>6</v>
      </c>
      <c r="W594" s="38">
        <f t="shared" si="249"/>
        <v>83711</v>
      </c>
      <c r="X594" s="38">
        <f>SUM(Q$414:Q594)</f>
        <v>86750</v>
      </c>
      <c r="Y594" s="38">
        <f>SUM(R$414:R594)</f>
        <v>23690750</v>
      </c>
      <c r="Z594" s="38">
        <f t="shared" si="250"/>
        <v>1790</v>
      </c>
      <c r="AA594" s="38">
        <f>SUM(T$414:T594)</f>
        <v>80631</v>
      </c>
      <c r="AB594" s="38">
        <f>SUM(U$414:U594)</f>
        <v>41743</v>
      </c>
      <c r="AC594" s="38">
        <f>SUM(V$414:V594)</f>
        <v>1086</v>
      </c>
      <c r="AD594" s="38">
        <f t="shared" si="251"/>
        <v>7114796</v>
      </c>
    </row>
    <row r="595" spans="1:30" x14ac:dyDescent="0.25">
      <c r="A595" s="86" t="s">
        <v>255</v>
      </c>
      <c r="B595" s="14">
        <v>182</v>
      </c>
      <c r="C595" s="14">
        <f t="shared" si="244"/>
        <v>360</v>
      </c>
      <c r="D595" s="14">
        <f t="shared" si="246"/>
        <v>180</v>
      </c>
      <c r="E595" s="14">
        <f t="shared" si="245"/>
        <v>88</v>
      </c>
      <c r="F595" s="14">
        <f t="shared" si="247"/>
        <v>4675</v>
      </c>
      <c r="G595" s="74">
        <f t="shared" si="248"/>
        <v>6155</v>
      </c>
      <c r="H595" s="14">
        <f t="shared" si="241"/>
        <v>89250</v>
      </c>
      <c r="I595" s="14">
        <v>1</v>
      </c>
      <c r="J595" s="14">
        <f t="shared" si="253"/>
        <v>178000</v>
      </c>
      <c r="K595" s="14">
        <f t="shared" si="253"/>
        <v>6</v>
      </c>
      <c r="L595" s="14">
        <v>1</v>
      </c>
      <c r="M595" s="14">
        <f t="shared" ref="M595:O607" si="254">MAX(1,ROUND(M189*INDEX($O$1:$U$4,MATCH($A595,$O$1:$O$4,0),MATCH(M$413,$O$1:$U$1,0)),0))</f>
        <v>1800</v>
      </c>
      <c r="N595" s="14">
        <f t="shared" si="254"/>
        <v>900</v>
      </c>
      <c r="O595" s="14">
        <f t="shared" si="254"/>
        <v>443</v>
      </c>
      <c r="P595" s="14">
        <f t="shared" si="229"/>
        <v>500</v>
      </c>
      <c r="Q595" s="38">
        <f t="shared" si="228"/>
        <v>500</v>
      </c>
      <c r="R595" s="38">
        <f t="shared" si="230"/>
        <v>267250</v>
      </c>
      <c r="S595" s="38">
        <f t="shared" si="231"/>
        <v>1800</v>
      </c>
      <c r="T595" s="38">
        <f t="shared" si="232"/>
        <v>900</v>
      </c>
      <c r="U595" s="38">
        <f t="shared" si="252"/>
        <v>531</v>
      </c>
      <c r="V595" s="38">
        <f t="shared" si="239"/>
        <v>6</v>
      </c>
      <c r="W595" s="38">
        <f t="shared" si="249"/>
        <v>84181</v>
      </c>
      <c r="X595" s="38">
        <f>SUM(Q$414:Q595)</f>
        <v>87250</v>
      </c>
      <c r="Y595" s="38">
        <f>SUM(R$414:R595)</f>
        <v>23958000</v>
      </c>
      <c r="Z595" s="38">
        <f t="shared" si="250"/>
        <v>1800</v>
      </c>
      <c r="AA595" s="38">
        <f>SUM(T$414:T595)</f>
        <v>81531</v>
      </c>
      <c r="AB595" s="38">
        <f>SUM(U$414:U595)</f>
        <v>42274</v>
      </c>
      <c r="AC595" s="38">
        <f>SUM(V$414:V595)</f>
        <v>1092</v>
      </c>
      <c r="AD595" s="38">
        <f t="shared" si="251"/>
        <v>7197187</v>
      </c>
    </row>
    <row r="596" spans="1:30" x14ac:dyDescent="0.25">
      <c r="A596" s="86" t="s">
        <v>255</v>
      </c>
      <c r="B596" s="14">
        <v>183</v>
      </c>
      <c r="C596" s="14">
        <f t="shared" si="244"/>
        <v>363</v>
      </c>
      <c r="D596" s="14">
        <f t="shared" si="246"/>
        <v>180</v>
      </c>
      <c r="E596" s="14">
        <f t="shared" si="245"/>
        <v>90</v>
      </c>
      <c r="F596" s="14">
        <f t="shared" si="247"/>
        <v>4725</v>
      </c>
      <c r="G596" s="74">
        <f t="shared" si="248"/>
        <v>6258</v>
      </c>
      <c r="H596" s="14">
        <f t="shared" si="241"/>
        <v>89750</v>
      </c>
      <c r="I596" s="14">
        <v>1</v>
      </c>
      <c r="J596" s="14">
        <f t="shared" si="253"/>
        <v>179000</v>
      </c>
      <c r="K596" s="14">
        <f t="shared" si="253"/>
        <v>6</v>
      </c>
      <c r="L596" s="14">
        <v>1</v>
      </c>
      <c r="M596" s="14">
        <f t="shared" si="254"/>
        <v>1810</v>
      </c>
      <c r="N596" s="14">
        <f t="shared" si="254"/>
        <v>905</v>
      </c>
      <c r="O596" s="14">
        <f t="shared" si="254"/>
        <v>445</v>
      </c>
      <c r="P596" s="14">
        <f t="shared" si="229"/>
        <v>500</v>
      </c>
      <c r="Q596" s="38">
        <f t="shared" si="228"/>
        <v>500</v>
      </c>
      <c r="R596" s="38">
        <f t="shared" si="230"/>
        <v>268750</v>
      </c>
      <c r="S596" s="38">
        <f t="shared" si="231"/>
        <v>1810</v>
      </c>
      <c r="T596" s="38">
        <f t="shared" si="232"/>
        <v>905</v>
      </c>
      <c r="U596" s="38">
        <f t="shared" si="252"/>
        <v>535</v>
      </c>
      <c r="V596" s="38">
        <f t="shared" si="239"/>
        <v>6</v>
      </c>
      <c r="W596" s="38">
        <f t="shared" si="249"/>
        <v>84696</v>
      </c>
      <c r="X596" s="38">
        <f>SUM(Q$414:Q596)</f>
        <v>87750</v>
      </c>
      <c r="Y596" s="38">
        <f>SUM(R$414:R596)</f>
        <v>24226750</v>
      </c>
      <c r="Z596" s="38">
        <f t="shared" si="250"/>
        <v>1810</v>
      </c>
      <c r="AA596" s="38">
        <f>SUM(T$414:T596)</f>
        <v>82436</v>
      </c>
      <c r="AB596" s="38">
        <f>SUM(U$414:U596)</f>
        <v>42809</v>
      </c>
      <c r="AC596" s="38">
        <f>SUM(V$414:V596)</f>
        <v>1098</v>
      </c>
      <c r="AD596" s="38">
        <f t="shared" si="251"/>
        <v>7280083</v>
      </c>
    </row>
    <row r="597" spans="1:30" x14ac:dyDescent="0.25">
      <c r="A597" s="86" t="s">
        <v>255</v>
      </c>
      <c r="B597" s="14">
        <v>184</v>
      </c>
      <c r="C597" s="14">
        <f t="shared" si="244"/>
        <v>365</v>
      </c>
      <c r="D597" s="14">
        <f t="shared" si="246"/>
        <v>183</v>
      </c>
      <c r="E597" s="14">
        <f t="shared" si="245"/>
        <v>90</v>
      </c>
      <c r="F597" s="14">
        <f t="shared" si="247"/>
        <v>4725</v>
      </c>
      <c r="G597" s="74">
        <f t="shared" si="248"/>
        <v>6275</v>
      </c>
      <c r="H597" s="14">
        <f t="shared" si="241"/>
        <v>90250</v>
      </c>
      <c r="I597" s="14">
        <v>1</v>
      </c>
      <c r="J597" s="14">
        <f t="shared" si="253"/>
        <v>180000</v>
      </c>
      <c r="K597" s="14">
        <f t="shared" si="253"/>
        <v>6</v>
      </c>
      <c r="L597" s="14">
        <v>1</v>
      </c>
      <c r="M597" s="14">
        <f t="shared" si="254"/>
        <v>1820</v>
      </c>
      <c r="N597" s="14">
        <f t="shared" si="254"/>
        <v>910</v>
      </c>
      <c r="O597" s="14">
        <f t="shared" si="254"/>
        <v>448</v>
      </c>
      <c r="P597" s="14">
        <f t="shared" si="229"/>
        <v>500</v>
      </c>
      <c r="Q597" s="38">
        <f t="shared" si="228"/>
        <v>500</v>
      </c>
      <c r="R597" s="38">
        <f t="shared" si="230"/>
        <v>270250</v>
      </c>
      <c r="S597" s="38">
        <f t="shared" si="231"/>
        <v>1820</v>
      </c>
      <c r="T597" s="38">
        <f t="shared" si="232"/>
        <v>910</v>
      </c>
      <c r="U597" s="38">
        <f t="shared" si="252"/>
        <v>538</v>
      </c>
      <c r="V597" s="38">
        <f t="shared" ref="V597:V613" si="255">K597</f>
        <v>6</v>
      </c>
      <c r="W597" s="38">
        <f t="shared" si="249"/>
        <v>85166</v>
      </c>
      <c r="X597" s="38">
        <f>SUM(Q$414:Q597)</f>
        <v>88250</v>
      </c>
      <c r="Y597" s="38">
        <f>SUM(R$414:R597)</f>
        <v>24497000</v>
      </c>
      <c r="Z597" s="38">
        <f t="shared" si="250"/>
        <v>1820</v>
      </c>
      <c r="AA597" s="38">
        <f>SUM(T$414:T597)</f>
        <v>83346</v>
      </c>
      <c r="AB597" s="38">
        <f>SUM(U$414:U597)</f>
        <v>43347</v>
      </c>
      <c r="AC597" s="38">
        <f>SUM(V$414:V597)</f>
        <v>1104</v>
      </c>
      <c r="AD597" s="38">
        <f t="shared" si="251"/>
        <v>7363439</v>
      </c>
    </row>
    <row r="598" spans="1:30" x14ac:dyDescent="0.25">
      <c r="A598" s="86" t="s">
        <v>255</v>
      </c>
      <c r="B598" s="14">
        <v>185</v>
      </c>
      <c r="C598" s="14">
        <f t="shared" si="244"/>
        <v>365</v>
      </c>
      <c r="D598" s="14">
        <f t="shared" si="246"/>
        <v>183</v>
      </c>
      <c r="E598" s="14">
        <f t="shared" si="245"/>
        <v>90</v>
      </c>
      <c r="F598" s="14">
        <f t="shared" si="247"/>
        <v>4775</v>
      </c>
      <c r="G598" s="74">
        <f t="shared" si="248"/>
        <v>6285</v>
      </c>
      <c r="H598" s="14">
        <f t="shared" si="241"/>
        <v>90750</v>
      </c>
      <c r="I598" s="14">
        <v>1</v>
      </c>
      <c r="J598" s="14">
        <f t="shared" si="253"/>
        <v>181000</v>
      </c>
      <c r="K598" s="14">
        <f t="shared" si="253"/>
        <v>6</v>
      </c>
      <c r="L598" s="14">
        <v>1</v>
      </c>
      <c r="M598" s="14">
        <f t="shared" si="254"/>
        <v>1830</v>
      </c>
      <c r="N598" s="14">
        <f t="shared" si="254"/>
        <v>915</v>
      </c>
      <c r="O598" s="14">
        <f t="shared" si="254"/>
        <v>450</v>
      </c>
      <c r="P598" s="14">
        <f t="shared" si="229"/>
        <v>500</v>
      </c>
      <c r="Q598" s="38">
        <f t="shared" si="228"/>
        <v>500</v>
      </c>
      <c r="R598" s="38">
        <f t="shared" si="230"/>
        <v>271750</v>
      </c>
      <c r="S598" s="38">
        <f t="shared" si="231"/>
        <v>1830</v>
      </c>
      <c r="T598" s="38">
        <f t="shared" si="232"/>
        <v>915</v>
      </c>
      <c r="U598" s="38">
        <f t="shared" si="252"/>
        <v>540</v>
      </c>
      <c r="V598" s="38">
        <f t="shared" si="255"/>
        <v>6</v>
      </c>
      <c r="W598" s="38">
        <f t="shared" si="249"/>
        <v>85591</v>
      </c>
      <c r="X598" s="38">
        <f>SUM(Q$414:Q598)</f>
        <v>88750</v>
      </c>
      <c r="Y598" s="38">
        <f>SUM(R$414:R598)</f>
        <v>24768750</v>
      </c>
      <c r="Z598" s="38">
        <f t="shared" si="250"/>
        <v>1830</v>
      </c>
      <c r="AA598" s="38">
        <f>SUM(T$414:T598)</f>
        <v>84261</v>
      </c>
      <c r="AB598" s="38">
        <f>SUM(U$414:U598)</f>
        <v>43887</v>
      </c>
      <c r="AC598" s="38">
        <f>SUM(V$414:V598)</f>
        <v>1110</v>
      </c>
      <c r="AD598" s="38">
        <f t="shared" si="251"/>
        <v>7447210</v>
      </c>
    </row>
    <row r="599" spans="1:30" x14ac:dyDescent="0.25">
      <c r="A599" s="86" t="s">
        <v>255</v>
      </c>
      <c r="B599" s="14">
        <v>186</v>
      </c>
      <c r="C599" s="14">
        <f t="shared" si="244"/>
        <v>368</v>
      </c>
      <c r="D599" s="14">
        <f t="shared" si="246"/>
        <v>183</v>
      </c>
      <c r="E599" s="14">
        <f t="shared" si="245"/>
        <v>90</v>
      </c>
      <c r="F599" s="14">
        <f t="shared" si="247"/>
        <v>4775</v>
      </c>
      <c r="G599" s="74">
        <f t="shared" si="248"/>
        <v>6288</v>
      </c>
      <c r="H599" s="14">
        <f t="shared" si="241"/>
        <v>91250</v>
      </c>
      <c r="I599" s="14">
        <v>1</v>
      </c>
      <c r="J599" s="14">
        <f t="shared" si="253"/>
        <v>182000</v>
      </c>
      <c r="K599" s="14">
        <f t="shared" si="253"/>
        <v>6</v>
      </c>
      <c r="L599" s="14">
        <v>1</v>
      </c>
      <c r="M599" s="14">
        <f t="shared" si="254"/>
        <v>1840</v>
      </c>
      <c r="N599" s="14">
        <f t="shared" si="254"/>
        <v>920</v>
      </c>
      <c r="O599" s="14">
        <f t="shared" si="254"/>
        <v>453</v>
      </c>
      <c r="P599" s="14">
        <f t="shared" si="229"/>
        <v>500</v>
      </c>
      <c r="Q599" s="38">
        <f t="shared" si="228"/>
        <v>500</v>
      </c>
      <c r="R599" s="38">
        <f t="shared" si="230"/>
        <v>273250</v>
      </c>
      <c r="S599" s="38">
        <f t="shared" si="231"/>
        <v>1840</v>
      </c>
      <c r="T599" s="38">
        <f t="shared" si="232"/>
        <v>920</v>
      </c>
      <c r="U599" s="38">
        <f t="shared" si="252"/>
        <v>543</v>
      </c>
      <c r="V599" s="38">
        <f t="shared" si="255"/>
        <v>6</v>
      </c>
      <c r="W599" s="38">
        <f t="shared" si="249"/>
        <v>86061</v>
      </c>
      <c r="X599" s="38">
        <f>SUM(Q$414:Q599)</f>
        <v>89250</v>
      </c>
      <c r="Y599" s="38">
        <f>SUM(R$414:R599)</f>
        <v>25042000</v>
      </c>
      <c r="Z599" s="38">
        <f t="shared" si="250"/>
        <v>1840</v>
      </c>
      <c r="AA599" s="38">
        <f>SUM(T$414:T599)</f>
        <v>85181</v>
      </c>
      <c r="AB599" s="38">
        <f>SUM(U$414:U599)</f>
        <v>44430</v>
      </c>
      <c r="AC599" s="38">
        <f>SUM(V$414:V599)</f>
        <v>1116</v>
      </c>
      <c r="AD599" s="38">
        <f t="shared" si="251"/>
        <v>7531441</v>
      </c>
    </row>
    <row r="600" spans="1:30" x14ac:dyDescent="0.25">
      <c r="A600" s="86" t="s">
        <v>255</v>
      </c>
      <c r="B600" s="14">
        <v>187</v>
      </c>
      <c r="C600" s="14">
        <f t="shared" si="244"/>
        <v>370</v>
      </c>
      <c r="D600" s="14">
        <f t="shared" si="246"/>
        <v>185</v>
      </c>
      <c r="E600" s="14">
        <f t="shared" si="245"/>
        <v>90</v>
      </c>
      <c r="F600" s="14">
        <f t="shared" si="247"/>
        <v>4825</v>
      </c>
      <c r="G600" s="74">
        <f t="shared" si="248"/>
        <v>6310</v>
      </c>
      <c r="H600" s="14">
        <f t="shared" si="241"/>
        <v>91750</v>
      </c>
      <c r="I600" s="14">
        <v>1</v>
      </c>
      <c r="J600" s="14">
        <f t="shared" si="253"/>
        <v>183000</v>
      </c>
      <c r="K600" s="14">
        <f t="shared" si="253"/>
        <v>6</v>
      </c>
      <c r="L600" s="14">
        <v>1</v>
      </c>
      <c r="M600" s="14">
        <f t="shared" si="254"/>
        <v>1850</v>
      </c>
      <c r="N600" s="14">
        <f t="shared" si="254"/>
        <v>925</v>
      </c>
      <c r="O600" s="14">
        <f t="shared" si="254"/>
        <v>455</v>
      </c>
      <c r="P600" s="14">
        <f t="shared" si="229"/>
        <v>500</v>
      </c>
      <c r="Q600" s="38">
        <f t="shared" si="228"/>
        <v>500</v>
      </c>
      <c r="R600" s="38">
        <f t="shared" si="230"/>
        <v>274750</v>
      </c>
      <c r="S600" s="38">
        <f t="shared" si="231"/>
        <v>1850</v>
      </c>
      <c r="T600" s="38">
        <f t="shared" si="232"/>
        <v>925</v>
      </c>
      <c r="U600" s="38">
        <f t="shared" si="252"/>
        <v>545</v>
      </c>
      <c r="V600" s="38">
        <f t="shared" si="255"/>
        <v>6</v>
      </c>
      <c r="W600" s="38">
        <f t="shared" si="249"/>
        <v>86486</v>
      </c>
      <c r="X600" s="38">
        <f>SUM(Q$414:Q600)</f>
        <v>89750</v>
      </c>
      <c r="Y600" s="38">
        <f>SUM(R$414:R600)</f>
        <v>25316750</v>
      </c>
      <c r="Z600" s="38">
        <f t="shared" si="250"/>
        <v>1850</v>
      </c>
      <c r="AA600" s="38">
        <f>SUM(T$414:T600)</f>
        <v>86106</v>
      </c>
      <c r="AB600" s="38">
        <f>SUM(U$414:U600)</f>
        <v>44975</v>
      </c>
      <c r="AC600" s="38">
        <f>SUM(V$414:V600)</f>
        <v>1122</v>
      </c>
      <c r="AD600" s="38">
        <f t="shared" si="251"/>
        <v>7616087</v>
      </c>
    </row>
    <row r="601" spans="1:30" x14ac:dyDescent="0.25">
      <c r="A601" s="86" t="s">
        <v>255</v>
      </c>
      <c r="B601" s="14">
        <v>188</v>
      </c>
      <c r="C601" s="14">
        <f t="shared" si="244"/>
        <v>373</v>
      </c>
      <c r="D601" s="14">
        <f t="shared" si="246"/>
        <v>185</v>
      </c>
      <c r="E601" s="14">
        <f t="shared" si="245"/>
        <v>93</v>
      </c>
      <c r="F601" s="14">
        <f t="shared" si="247"/>
        <v>4825</v>
      </c>
      <c r="G601" s="74">
        <f t="shared" si="248"/>
        <v>6448</v>
      </c>
      <c r="H601" s="14">
        <f t="shared" si="241"/>
        <v>92250</v>
      </c>
      <c r="I601" s="14">
        <v>1</v>
      </c>
      <c r="J601" s="14">
        <f t="shared" si="253"/>
        <v>184000</v>
      </c>
      <c r="K601" s="14">
        <f t="shared" si="253"/>
        <v>6</v>
      </c>
      <c r="L601" s="14">
        <v>1</v>
      </c>
      <c r="M601" s="14">
        <f t="shared" si="254"/>
        <v>1860</v>
      </c>
      <c r="N601" s="14">
        <f t="shared" si="254"/>
        <v>930</v>
      </c>
      <c r="O601" s="14">
        <f t="shared" si="254"/>
        <v>458</v>
      </c>
      <c r="P601" s="14">
        <f t="shared" si="229"/>
        <v>500</v>
      </c>
      <c r="Q601" s="38">
        <f t="shared" si="228"/>
        <v>500</v>
      </c>
      <c r="R601" s="38">
        <f t="shared" si="230"/>
        <v>276250</v>
      </c>
      <c r="S601" s="38">
        <f t="shared" si="231"/>
        <v>1860</v>
      </c>
      <c r="T601" s="38">
        <f t="shared" si="232"/>
        <v>930</v>
      </c>
      <c r="U601" s="38">
        <f t="shared" si="252"/>
        <v>551</v>
      </c>
      <c r="V601" s="38">
        <f t="shared" si="255"/>
        <v>6</v>
      </c>
      <c r="W601" s="38">
        <f t="shared" si="249"/>
        <v>87091</v>
      </c>
      <c r="X601" s="38">
        <f>SUM(Q$414:Q601)</f>
        <v>90250</v>
      </c>
      <c r="Y601" s="38">
        <f>SUM(R$414:R601)</f>
        <v>25593000</v>
      </c>
      <c r="Z601" s="38">
        <f t="shared" si="250"/>
        <v>1860</v>
      </c>
      <c r="AA601" s="38">
        <f>SUM(T$414:T601)</f>
        <v>87036</v>
      </c>
      <c r="AB601" s="38">
        <f>SUM(U$414:U601)</f>
        <v>45526</v>
      </c>
      <c r="AC601" s="38">
        <f>SUM(V$414:V601)</f>
        <v>1128</v>
      </c>
      <c r="AD601" s="38">
        <f t="shared" si="251"/>
        <v>7701328</v>
      </c>
    </row>
    <row r="602" spans="1:30" x14ac:dyDescent="0.25">
      <c r="A602" s="86" t="s">
        <v>255</v>
      </c>
      <c r="B602" s="14">
        <v>189</v>
      </c>
      <c r="C602" s="14">
        <f t="shared" si="244"/>
        <v>375</v>
      </c>
      <c r="D602" s="14">
        <f t="shared" si="246"/>
        <v>188</v>
      </c>
      <c r="E602" s="14">
        <f t="shared" si="245"/>
        <v>93</v>
      </c>
      <c r="F602" s="14">
        <f t="shared" si="247"/>
        <v>4875</v>
      </c>
      <c r="G602" s="74">
        <f t="shared" si="248"/>
        <v>6475</v>
      </c>
      <c r="H602" s="14">
        <f t="shared" si="241"/>
        <v>92750</v>
      </c>
      <c r="I602" s="14">
        <v>1</v>
      </c>
      <c r="J602" s="14">
        <f t="shared" si="253"/>
        <v>185000</v>
      </c>
      <c r="K602" s="14">
        <f t="shared" si="253"/>
        <v>6</v>
      </c>
      <c r="L602" s="14">
        <v>1</v>
      </c>
      <c r="M602" s="14">
        <f t="shared" si="254"/>
        <v>1870</v>
      </c>
      <c r="N602" s="14">
        <f t="shared" si="254"/>
        <v>935</v>
      </c>
      <c r="O602" s="14">
        <f t="shared" si="254"/>
        <v>460</v>
      </c>
      <c r="P602" s="14">
        <f t="shared" si="229"/>
        <v>500</v>
      </c>
      <c r="Q602" s="38">
        <f t="shared" si="228"/>
        <v>500</v>
      </c>
      <c r="R602" s="38">
        <f t="shared" si="230"/>
        <v>277750</v>
      </c>
      <c r="S602" s="38">
        <f t="shared" si="231"/>
        <v>1870</v>
      </c>
      <c r="T602" s="38">
        <f t="shared" si="232"/>
        <v>935</v>
      </c>
      <c r="U602" s="38">
        <f t="shared" si="252"/>
        <v>553</v>
      </c>
      <c r="V602" s="38">
        <f t="shared" si="255"/>
        <v>6</v>
      </c>
      <c r="W602" s="38">
        <f t="shared" si="249"/>
        <v>87516</v>
      </c>
      <c r="X602" s="38">
        <f>SUM(Q$414:Q602)</f>
        <v>90750</v>
      </c>
      <c r="Y602" s="38">
        <f>SUM(R$414:R602)</f>
        <v>25870750</v>
      </c>
      <c r="Z602" s="38">
        <f t="shared" si="250"/>
        <v>1870</v>
      </c>
      <c r="AA602" s="38">
        <f>SUM(T$414:T602)</f>
        <v>87971</v>
      </c>
      <c r="AB602" s="38">
        <f>SUM(U$414:U602)</f>
        <v>46079</v>
      </c>
      <c r="AC602" s="38">
        <f>SUM(V$414:V602)</f>
        <v>1134</v>
      </c>
      <c r="AD602" s="38">
        <f t="shared" si="251"/>
        <v>7786984</v>
      </c>
    </row>
    <row r="603" spans="1:30" x14ac:dyDescent="0.25">
      <c r="A603" s="86" t="s">
        <v>255</v>
      </c>
      <c r="B603" s="14">
        <v>190</v>
      </c>
      <c r="C603" s="14">
        <f t="shared" si="244"/>
        <v>375</v>
      </c>
      <c r="D603" s="14">
        <f t="shared" si="246"/>
        <v>188</v>
      </c>
      <c r="E603" s="14">
        <f t="shared" si="245"/>
        <v>93</v>
      </c>
      <c r="F603" s="14">
        <f t="shared" si="247"/>
        <v>4875</v>
      </c>
      <c r="G603" s="74">
        <f t="shared" si="248"/>
        <v>6475</v>
      </c>
      <c r="H603" s="14">
        <f t="shared" si="241"/>
        <v>93250</v>
      </c>
      <c r="I603" s="14">
        <v>1</v>
      </c>
      <c r="J603" s="14">
        <f t="shared" si="253"/>
        <v>186000</v>
      </c>
      <c r="K603" s="14">
        <f t="shared" si="253"/>
        <v>6</v>
      </c>
      <c r="L603" s="14">
        <v>1</v>
      </c>
      <c r="M603" s="14">
        <f t="shared" si="254"/>
        <v>1880</v>
      </c>
      <c r="N603" s="14">
        <f t="shared" si="254"/>
        <v>940</v>
      </c>
      <c r="O603" s="14">
        <f t="shared" si="254"/>
        <v>463</v>
      </c>
      <c r="P603" s="14">
        <f t="shared" si="229"/>
        <v>500</v>
      </c>
      <c r="Q603" s="38">
        <f t="shared" si="228"/>
        <v>500</v>
      </c>
      <c r="R603" s="38">
        <f t="shared" si="230"/>
        <v>279250</v>
      </c>
      <c r="S603" s="38">
        <f t="shared" si="231"/>
        <v>1880</v>
      </c>
      <c r="T603" s="38">
        <f t="shared" si="232"/>
        <v>940</v>
      </c>
      <c r="U603" s="38">
        <f t="shared" si="252"/>
        <v>556</v>
      </c>
      <c r="V603" s="38">
        <f t="shared" si="255"/>
        <v>6</v>
      </c>
      <c r="W603" s="38">
        <f t="shared" si="249"/>
        <v>87986</v>
      </c>
      <c r="X603" s="38">
        <f>SUM(Q$414:Q603)</f>
        <v>91250</v>
      </c>
      <c r="Y603" s="38">
        <f>SUM(R$414:R603)</f>
        <v>26150000</v>
      </c>
      <c r="Z603" s="38">
        <f t="shared" si="250"/>
        <v>1880</v>
      </c>
      <c r="AA603" s="38">
        <f>SUM(T$414:T603)</f>
        <v>88911</v>
      </c>
      <c r="AB603" s="38">
        <f>SUM(U$414:U603)</f>
        <v>46635</v>
      </c>
      <c r="AC603" s="38">
        <f>SUM(V$414:V603)</f>
        <v>1140</v>
      </c>
      <c r="AD603" s="38">
        <f t="shared" si="251"/>
        <v>7873100</v>
      </c>
    </row>
    <row r="604" spans="1:30" x14ac:dyDescent="0.25">
      <c r="A604" s="86" t="s">
        <v>255</v>
      </c>
      <c r="B604" s="14">
        <v>191</v>
      </c>
      <c r="C604" s="14">
        <f t="shared" si="244"/>
        <v>378</v>
      </c>
      <c r="D604" s="14">
        <f t="shared" si="246"/>
        <v>188</v>
      </c>
      <c r="E604" s="14">
        <f t="shared" si="245"/>
        <v>93</v>
      </c>
      <c r="F604" s="14">
        <f t="shared" si="247"/>
        <v>4925</v>
      </c>
      <c r="G604" s="74">
        <f t="shared" si="248"/>
        <v>6488</v>
      </c>
      <c r="H604" s="14">
        <f t="shared" si="241"/>
        <v>93750</v>
      </c>
      <c r="I604" s="14">
        <v>1</v>
      </c>
      <c r="J604" s="14">
        <f t="shared" si="253"/>
        <v>187000</v>
      </c>
      <c r="K604" s="14">
        <f t="shared" si="253"/>
        <v>6</v>
      </c>
      <c r="L604" s="14">
        <v>1</v>
      </c>
      <c r="M604" s="14">
        <f t="shared" si="254"/>
        <v>1890</v>
      </c>
      <c r="N604" s="14">
        <f t="shared" si="254"/>
        <v>945</v>
      </c>
      <c r="O604" s="14">
        <f t="shared" si="254"/>
        <v>465</v>
      </c>
      <c r="P604" s="14">
        <f t="shared" si="229"/>
        <v>500</v>
      </c>
      <c r="Q604" s="38">
        <f t="shared" si="228"/>
        <v>500</v>
      </c>
      <c r="R604" s="38">
        <f t="shared" si="230"/>
        <v>280750</v>
      </c>
      <c r="S604" s="38">
        <f t="shared" si="231"/>
        <v>1890</v>
      </c>
      <c r="T604" s="38">
        <f t="shared" si="232"/>
        <v>945</v>
      </c>
      <c r="U604" s="38">
        <f t="shared" si="252"/>
        <v>558</v>
      </c>
      <c r="V604" s="38">
        <f t="shared" si="255"/>
        <v>6</v>
      </c>
      <c r="W604" s="38">
        <f t="shared" si="249"/>
        <v>88411</v>
      </c>
      <c r="X604" s="38">
        <f>SUM(Q$414:Q604)</f>
        <v>91750</v>
      </c>
      <c r="Y604" s="38">
        <f>SUM(R$414:R604)</f>
        <v>26430750</v>
      </c>
      <c r="Z604" s="38">
        <f t="shared" si="250"/>
        <v>1890</v>
      </c>
      <c r="AA604" s="38">
        <f>SUM(T$414:T604)</f>
        <v>89856</v>
      </c>
      <c r="AB604" s="38">
        <f>SUM(U$414:U604)</f>
        <v>47193</v>
      </c>
      <c r="AC604" s="38">
        <f>SUM(V$414:V604)</f>
        <v>1146</v>
      </c>
      <c r="AD604" s="38">
        <f t="shared" si="251"/>
        <v>7959631</v>
      </c>
    </row>
    <row r="605" spans="1:30" x14ac:dyDescent="0.25">
      <c r="A605" s="86" t="s">
        <v>255</v>
      </c>
      <c r="B605" s="14">
        <v>192</v>
      </c>
      <c r="C605" s="14">
        <f t="shared" si="244"/>
        <v>380</v>
      </c>
      <c r="D605" s="14">
        <f t="shared" si="246"/>
        <v>190</v>
      </c>
      <c r="E605" s="14">
        <f t="shared" si="245"/>
        <v>93</v>
      </c>
      <c r="F605" s="14">
        <f t="shared" si="247"/>
        <v>4925</v>
      </c>
      <c r="G605" s="74">
        <f t="shared" si="248"/>
        <v>6500</v>
      </c>
      <c r="H605" s="14">
        <f t="shared" si="241"/>
        <v>94250</v>
      </c>
      <c r="I605" s="14">
        <v>1</v>
      </c>
      <c r="J605" s="14">
        <f t="shared" si="253"/>
        <v>188000</v>
      </c>
      <c r="K605" s="14">
        <f t="shared" si="253"/>
        <v>6</v>
      </c>
      <c r="L605" s="14">
        <v>1</v>
      </c>
      <c r="M605" s="14">
        <f t="shared" si="254"/>
        <v>1900</v>
      </c>
      <c r="N605" s="14">
        <f t="shared" si="254"/>
        <v>950</v>
      </c>
      <c r="O605" s="14">
        <f t="shared" si="254"/>
        <v>468</v>
      </c>
      <c r="P605" s="14">
        <f t="shared" si="229"/>
        <v>500</v>
      </c>
      <c r="Q605" s="38">
        <f t="shared" si="228"/>
        <v>500</v>
      </c>
      <c r="R605" s="38">
        <f t="shared" si="230"/>
        <v>282250</v>
      </c>
      <c r="S605" s="38">
        <f t="shared" si="231"/>
        <v>1900</v>
      </c>
      <c r="T605" s="38">
        <f t="shared" si="232"/>
        <v>950</v>
      </c>
      <c r="U605" s="38">
        <f t="shared" si="252"/>
        <v>561</v>
      </c>
      <c r="V605" s="38">
        <f t="shared" si="255"/>
        <v>6</v>
      </c>
      <c r="W605" s="38">
        <f t="shared" si="249"/>
        <v>88881</v>
      </c>
      <c r="X605" s="38">
        <f>SUM(Q$414:Q605)</f>
        <v>92250</v>
      </c>
      <c r="Y605" s="38">
        <f>SUM(R$414:R605)</f>
        <v>26713000</v>
      </c>
      <c r="Z605" s="38">
        <f t="shared" si="250"/>
        <v>1900</v>
      </c>
      <c r="AA605" s="38">
        <f>SUM(T$414:T605)</f>
        <v>90806</v>
      </c>
      <c r="AB605" s="38">
        <f>SUM(U$414:U605)</f>
        <v>47754</v>
      </c>
      <c r="AC605" s="38">
        <f>SUM(V$414:V605)</f>
        <v>1152</v>
      </c>
      <c r="AD605" s="38">
        <f t="shared" si="251"/>
        <v>8046622</v>
      </c>
    </row>
    <row r="606" spans="1:30" x14ac:dyDescent="0.25">
      <c r="A606" s="86" t="s">
        <v>255</v>
      </c>
      <c r="B606" s="14">
        <v>193</v>
      </c>
      <c r="C606" s="14">
        <f t="shared" si="244"/>
        <v>383</v>
      </c>
      <c r="D606" s="14">
        <f t="shared" si="246"/>
        <v>190</v>
      </c>
      <c r="E606" s="14">
        <f t="shared" si="245"/>
        <v>95</v>
      </c>
      <c r="F606" s="14">
        <f t="shared" si="247"/>
        <v>4975</v>
      </c>
      <c r="G606" s="74">
        <f t="shared" si="248"/>
        <v>6603</v>
      </c>
      <c r="H606" s="14">
        <f t="shared" ref="H606:H607" si="256">MAX(1,ROUND(H200*INDEX($O$1:$U$4,MATCH($A606,$O$1:$O$4,0),MATCH(H$413,$O$1:$U$1,0)),0))</f>
        <v>94750</v>
      </c>
      <c r="I606" s="14">
        <v>1</v>
      </c>
      <c r="J606" s="14">
        <f t="shared" si="253"/>
        <v>189000</v>
      </c>
      <c r="K606" s="14">
        <f t="shared" si="253"/>
        <v>6</v>
      </c>
      <c r="L606" s="14">
        <v>1</v>
      </c>
      <c r="M606" s="14">
        <f t="shared" si="254"/>
        <v>1910</v>
      </c>
      <c r="N606" s="14">
        <f t="shared" si="254"/>
        <v>955</v>
      </c>
      <c r="O606" s="14">
        <f t="shared" si="254"/>
        <v>470</v>
      </c>
      <c r="P606" s="14">
        <f t="shared" si="229"/>
        <v>500</v>
      </c>
      <c r="Q606" s="38">
        <f t="shared" ref="Q606:Q613" si="257">P606</f>
        <v>500</v>
      </c>
      <c r="R606" s="38">
        <f t="shared" si="230"/>
        <v>283750</v>
      </c>
      <c r="S606" s="38">
        <f t="shared" si="231"/>
        <v>1910</v>
      </c>
      <c r="T606" s="38">
        <f t="shared" si="232"/>
        <v>955</v>
      </c>
      <c r="U606" s="38">
        <f t="shared" si="252"/>
        <v>565</v>
      </c>
      <c r="V606" s="38">
        <f t="shared" si="255"/>
        <v>6</v>
      </c>
      <c r="W606" s="38">
        <f t="shared" si="249"/>
        <v>89396</v>
      </c>
      <c r="X606" s="38">
        <f>SUM(Q$414:Q606)</f>
        <v>92750</v>
      </c>
      <c r="Y606" s="38">
        <f>SUM(R$414:R606)</f>
        <v>26996750</v>
      </c>
      <c r="Z606" s="38">
        <f t="shared" si="250"/>
        <v>1910</v>
      </c>
      <c r="AA606" s="38">
        <f>SUM(T$414:T606)</f>
        <v>91761</v>
      </c>
      <c r="AB606" s="38">
        <f>SUM(U$414:U606)</f>
        <v>48319</v>
      </c>
      <c r="AC606" s="38">
        <f>SUM(V$414:V606)</f>
        <v>1158</v>
      </c>
      <c r="AD606" s="38">
        <f t="shared" si="251"/>
        <v>8134118</v>
      </c>
    </row>
    <row r="607" spans="1:30" x14ac:dyDescent="0.25">
      <c r="A607" s="86" t="s">
        <v>255</v>
      </c>
      <c r="B607" s="14">
        <v>194</v>
      </c>
      <c r="C607" s="14">
        <f t="shared" si="244"/>
        <v>385</v>
      </c>
      <c r="D607" s="14">
        <f t="shared" si="246"/>
        <v>193</v>
      </c>
      <c r="E607" s="14">
        <f t="shared" si="245"/>
        <v>95</v>
      </c>
      <c r="F607" s="14">
        <f t="shared" si="247"/>
        <v>4975</v>
      </c>
      <c r="G607" s="74">
        <f t="shared" si="248"/>
        <v>6620</v>
      </c>
      <c r="H607" s="14">
        <f t="shared" si="256"/>
        <v>95250</v>
      </c>
      <c r="I607" s="14">
        <v>1</v>
      </c>
      <c r="J607" s="14">
        <f t="shared" si="253"/>
        <v>190000</v>
      </c>
      <c r="K607" s="14">
        <f t="shared" si="253"/>
        <v>6</v>
      </c>
      <c r="L607" s="14">
        <v>1</v>
      </c>
      <c r="M607" s="14">
        <f t="shared" si="254"/>
        <v>1920</v>
      </c>
      <c r="N607" s="14">
        <f t="shared" si="254"/>
        <v>960</v>
      </c>
      <c r="O607" s="14">
        <f t="shared" si="254"/>
        <v>473</v>
      </c>
      <c r="P607" s="14">
        <f t="shared" ref="P607:P613" si="258">MAX(1,ROUND(P201*INDEX($O$1:$U$4,MATCH($A607,$O$1:$O$4,0),MATCH(P$413,$O$1:$U$1,0)),0))</f>
        <v>500</v>
      </c>
      <c r="Q607" s="38">
        <f t="shared" si="257"/>
        <v>500</v>
      </c>
      <c r="R607" s="38">
        <f t="shared" ref="R607:R613" si="259">H607+J607</f>
        <v>285250</v>
      </c>
      <c r="S607" s="38">
        <f t="shared" ref="S607:S613" si="260">M607</f>
        <v>1920</v>
      </c>
      <c r="T607" s="38">
        <f t="shared" ref="T607:T613" si="261">N607</f>
        <v>960</v>
      </c>
      <c r="U607" s="38">
        <f t="shared" si="252"/>
        <v>568</v>
      </c>
      <c r="V607" s="38">
        <f t="shared" si="255"/>
        <v>6</v>
      </c>
      <c r="W607" s="38">
        <f t="shared" si="249"/>
        <v>89866</v>
      </c>
      <c r="X607" s="38">
        <f>SUM(Q$414:Q607)</f>
        <v>93250</v>
      </c>
      <c r="Y607" s="38">
        <f>SUM(R$414:R607)</f>
        <v>27282000</v>
      </c>
      <c r="Z607" s="38">
        <f t="shared" si="250"/>
        <v>1920</v>
      </c>
      <c r="AA607" s="38">
        <f>SUM(T$414:T607)</f>
        <v>92721</v>
      </c>
      <c r="AB607" s="38">
        <f>SUM(U$414:U607)</f>
        <v>48887</v>
      </c>
      <c r="AC607" s="38">
        <f>SUM(V$414:V607)</f>
        <v>1164</v>
      </c>
      <c r="AD607" s="38">
        <f t="shared" si="251"/>
        <v>8222074</v>
      </c>
    </row>
    <row r="608" spans="1:30" x14ac:dyDescent="0.25">
      <c r="A608" s="86" t="s">
        <v>255</v>
      </c>
      <c r="B608" s="14">
        <v>195</v>
      </c>
      <c r="C608" s="14">
        <f t="shared" ref="C608:F608" si="262">MAX(1,ROUND(C202*INDEX($O$1:$U$4,MATCH($A608,$O$1:$O$4,0),MATCH(C$413,$O$1:$U$1,0)),0))</f>
        <v>385</v>
      </c>
      <c r="D608" s="14">
        <f t="shared" si="262"/>
        <v>193</v>
      </c>
      <c r="E608" s="14">
        <f t="shared" si="262"/>
        <v>95</v>
      </c>
      <c r="F608" s="14">
        <f t="shared" si="262"/>
        <v>5025</v>
      </c>
      <c r="G608" s="74">
        <f t="shared" si="248"/>
        <v>6630</v>
      </c>
      <c r="H608" s="14">
        <f t="shared" ref="H608:K608" si="263">MAX(1,ROUND(H202*INDEX($O$1:$U$4,MATCH($A608,$O$1:$O$4,0),MATCH(H$413,$O$1:$U$1,0)),0))</f>
        <v>95750</v>
      </c>
      <c r="I608" s="14">
        <v>1</v>
      </c>
      <c r="J608" s="14">
        <f t="shared" si="263"/>
        <v>191000</v>
      </c>
      <c r="K608" s="14">
        <f t="shared" si="263"/>
        <v>6</v>
      </c>
      <c r="L608" s="14">
        <v>1</v>
      </c>
      <c r="M608" s="14">
        <f t="shared" ref="M608:O608" si="264">MAX(1,ROUND(M202*INDEX($O$1:$U$4,MATCH($A608,$O$1:$O$4,0),MATCH(M$413,$O$1:$U$1,0)),0))</f>
        <v>1930</v>
      </c>
      <c r="N608" s="14">
        <f t="shared" si="264"/>
        <v>965</v>
      </c>
      <c r="O608" s="14">
        <f t="shared" si="264"/>
        <v>475</v>
      </c>
      <c r="P608" s="14">
        <f t="shared" si="258"/>
        <v>500</v>
      </c>
      <c r="Q608" s="38">
        <f t="shared" si="257"/>
        <v>500</v>
      </c>
      <c r="R608" s="38">
        <f t="shared" si="259"/>
        <v>286750</v>
      </c>
      <c r="S608" s="38">
        <f t="shared" si="260"/>
        <v>1930</v>
      </c>
      <c r="T608" s="38">
        <f t="shared" si="261"/>
        <v>965</v>
      </c>
      <c r="U608" s="38">
        <f t="shared" si="252"/>
        <v>570</v>
      </c>
      <c r="V608" s="38">
        <f t="shared" si="255"/>
        <v>6</v>
      </c>
      <c r="W608" s="38">
        <f t="shared" si="249"/>
        <v>90291</v>
      </c>
      <c r="X608" s="38">
        <f>SUM(Q$414:Q608)</f>
        <v>93750</v>
      </c>
      <c r="Y608" s="38">
        <f>SUM(R$414:R608)</f>
        <v>27568750</v>
      </c>
      <c r="Z608" s="38">
        <f t="shared" si="250"/>
        <v>1930</v>
      </c>
      <c r="AA608" s="38">
        <f>SUM(T$414:T608)</f>
        <v>93686</v>
      </c>
      <c r="AB608" s="38">
        <f>SUM(U$414:U608)</f>
        <v>49457</v>
      </c>
      <c r="AC608" s="38">
        <f>SUM(V$414:V608)</f>
        <v>1170</v>
      </c>
      <c r="AD608" s="38">
        <f t="shared" si="251"/>
        <v>8310445</v>
      </c>
    </row>
    <row r="609" spans="1:30" x14ac:dyDescent="0.25">
      <c r="A609" s="86" t="s">
        <v>255</v>
      </c>
      <c r="B609" s="14">
        <v>196</v>
      </c>
      <c r="C609" s="14">
        <f t="shared" ref="C609:F609" si="265">MAX(1,ROUND(C203*INDEX($O$1:$U$4,MATCH($A609,$O$1:$O$4,0),MATCH(C$413,$O$1:$U$1,0)),0))</f>
        <v>388</v>
      </c>
      <c r="D609" s="14">
        <f t="shared" si="265"/>
        <v>193</v>
      </c>
      <c r="E609" s="14">
        <f t="shared" si="265"/>
        <v>95</v>
      </c>
      <c r="F609" s="14">
        <f t="shared" si="265"/>
        <v>5025</v>
      </c>
      <c r="G609" s="74">
        <f t="shared" si="248"/>
        <v>6633</v>
      </c>
      <c r="H609" s="14">
        <f t="shared" ref="H609:K609" si="266">MAX(1,ROUND(H203*INDEX($O$1:$U$4,MATCH($A609,$O$1:$O$4,0),MATCH(H$413,$O$1:$U$1,0)),0))</f>
        <v>96250</v>
      </c>
      <c r="I609" s="14">
        <v>1</v>
      </c>
      <c r="J609" s="14">
        <f t="shared" si="266"/>
        <v>192000</v>
      </c>
      <c r="K609" s="14">
        <f t="shared" si="266"/>
        <v>6</v>
      </c>
      <c r="L609" s="14">
        <v>1</v>
      </c>
      <c r="M609" s="14">
        <f t="shared" ref="M609:O609" si="267">MAX(1,ROUND(M203*INDEX($O$1:$U$4,MATCH($A609,$O$1:$O$4,0),MATCH(M$413,$O$1:$U$1,0)),0))</f>
        <v>1940</v>
      </c>
      <c r="N609" s="14">
        <f t="shared" si="267"/>
        <v>970</v>
      </c>
      <c r="O609" s="14">
        <f t="shared" si="267"/>
        <v>478</v>
      </c>
      <c r="P609" s="14">
        <f t="shared" si="258"/>
        <v>500</v>
      </c>
      <c r="Q609" s="38">
        <f t="shared" si="257"/>
        <v>500</v>
      </c>
      <c r="R609" s="38">
        <f t="shared" si="259"/>
        <v>288250</v>
      </c>
      <c r="S609" s="38">
        <f t="shared" si="260"/>
        <v>1940</v>
      </c>
      <c r="T609" s="38">
        <f t="shared" si="261"/>
        <v>970</v>
      </c>
      <c r="U609" s="38">
        <f t="shared" si="252"/>
        <v>573</v>
      </c>
      <c r="V609" s="38">
        <f t="shared" si="255"/>
        <v>6</v>
      </c>
      <c r="W609" s="38">
        <f t="shared" si="249"/>
        <v>90761</v>
      </c>
      <c r="X609" s="38">
        <f>SUM(Q$414:Q609)</f>
        <v>94250</v>
      </c>
      <c r="Y609" s="38">
        <f>SUM(R$414:R609)</f>
        <v>27857000</v>
      </c>
      <c r="Z609" s="38">
        <f t="shared" si="250"/>
        <v>1940</v>
      </c>
      <c r="AA609" s="38">
        <f>SUM(T$414:T609)</f>
        <v>94656</v>
      </c>
      <c r="AB609" s="38">
        <f>SUM(U$414:U609)</f>
        <v>50030</v>
      </c>
      <c r="AC609" s="38">
        <f>SUM(V$414:V609)</f>
        <v>1176</v>
      </c>
      <c r="AD609" s="38">
        <f t="shared" si="251"/>
        <v>8399276</v>
      </c>
    </row>
    <row r="610" spans="1:30" x14ac:dyDescent="0.25">
      <c r="A610" s="86" t="s">
        <v>255</v>
      </c>
      <c r="B610" s="14">
        <v>197</v>
      </c>
      <c r="C610" s="14">
        <f t="shared" ref="C610:F610" si="268">MAX(1,ROUND(C204*INDEX($O$1:$U$4,MATCH($A610,$O$1:$O$4,0),MATCH(C$413,$O$1:$U$1,0)),0))</f>
        <v>390</v>
      </c>
      <c r="D610" s="14">
        <f t="shared" si="268"/>
        <v>195</v>
      </c>
      <c r="E610" s="14">
        <f t="shared" si="268"/>
        <v>95</v>
      </c>
      <c r="F610" s="14">
        <f t="shared" si="268"/>
        <v>5075</v>
      </c>
      <c r="G610" s="74">
        <f t="shared" si="248"/>
        <v>6655</v>
      </c>
      <c r="H610" s="14">
        <f t="shared" ref="H610:K610" si="269">MAX(1,ROUND(H204*INDEX($O$1:$U$4,MATCH($A610,$O$1:$O$4,0),MATCH(H$413,$O$1:$U$1,0)),0))</f>
        <v>96750</v>
      </c>
      <c r="I610" s="14">
        <v>1</v>
      </c>
      <c r="J610" s="14">
        <f t="shared" si="269"/>
        <v>193000</v>
      </c>
      <c r="K610" s="14">
        <f t="shared" si="269"/>
        <v>6</v>
      </c>
      <c r="L610" s="14">
        <v>1</v>
      </c>
      <c r="M610" s="14">
        <f t="shared" ref="M610:O610" si="270">MAX(1,ROUND(M204*INDEX($O$1:$U$4,MATCH($A610,$O$1:$O$4,0),MATCH(M$413,$O$1:$U$1,0)),0))</f>
        <v>1950</v>
      </c>
      <c r="N610" s="14">
        <f t="shared" si="270"/>
        <v>975</v>
      </c>
      <c r="O610" s="14">
        <f t="shared" si="270"/>
        <v>480</v>
      </c>
      <c r="P610" s="14">
        <f t="shared" si="258"/>
        <v>500</v>
      </c>
      <c r="Q610" s="38">
        <f t="shared" si="257"/>
        <v>500</v>
      </c>
      <c r="R610" s="38">
        <f t="shared" si="259"/>
        <v>289750</v>
      </c>
      <c r="S610" s="38">
        <f t="shared" si="260"/>
        <v>1950</v>
      </c>
      <c r="T610" s="38">
        <f t="shared" si="261"/>
        <v>975</v>
      </c>
      <c r="U610" s="38">
        <f t="shared" si="252"/>
        <v>575</v>
      </c>
      <c r="V610" s="38">
        <f t="shared" si="255"/>
        <v>6</v>
      </c>
      <c r="W610" s="38">
        <f t="shared" si="249"/>
        <v>91186</v>
      </c>
      <c r="X610" s="38">
        <f>SUM(Q$414:Q610)</f>
        <v>94750</v>
      </c>
      <c r="Y610" s="38">
        <f>SUM(R$414:R610)</f>
        <v>28146750</v>
      </c>
      <c r="Z610" s="38">
        <f t="shared" si="250"/>
        <v>1950</v>
      </c>
      <c r="AA610" s="38">
        <f>SUM(T$414:T610)</f>
        <v>95631</v>
      </c>
      <c r="AB610" s="38">
        <f>SUM(U$414:U610)</f>
        <v>50605</v>
      </c>
      <c r="AC610" s="38">
        <f>SUM(V$414:V610)</f>
        <v>1182</v>
      </c>
      <c r="AD610" s="38">
        <f t="shared" si="251"/>
        <v>8488522</v>
      </c>
    </row>
    <row r="611" spans="1:30" x14ac:dyDescent="0.25">
      <c r="A611" s="86" t="s">
        <v>255</v>
      </c>
      <c r="B611" s="14">
        <v>198</v>
      </c>
      <c r="C611" s="14">
        <f t="shared" ref="C611:F611" si="271">MAX(1,ROUND(C205*INDEX($O$1:$U$4,MATCH($A611,$O$1:$O$4,0),MATCH(C$413,$O$1:$U$1,0)),0))</f>
        <v>393</v>
      </c>
      <c r="D611" s="14">
        <f t="shared" si="271"/>
        <v>195</v>
      </c>
      <c r="E611" s="14">
        <f t="shared" si="271"/>
        <v>98</v>
      </c>
      <c r="F611" s="14">
        <f t="shared" si="271"/>
        <v>5075</v>
      </c>
      <c r="G611" s="74">
        <f t="shared" si="248"/>
        <v>6793</v>
      </c>
      <c r="H611" s="14">
        <f t="shared" ref="H611:K611" si="272">MAX(1,ROUND(H205*INDEX($O$1:$U$4,MATCH($A611,$O$1:$O$4,0),MATCH(H$413,$O$1:$U$1,0)),0))</f>
        <v>97250</v>
      </c>
      <c r="I611" s="14">
        <v>1</v>
      </c>
      <c r="J611" s="14">
        <f t="shared" si="272"/>
        <v>194000</v>
      </c>
      <c r="K611" s="14">
        <f t="shared" si="272"/>
        <v>6</v>
      </c>
      <c r="L611" s="14">
        <v>1</v>
      </c>
      <c r="M611" s="14">
        <f t="shared" ref="M611:O611" si="273">MAX(1,ROUND(M205*INDEX($O$1:$U$4,MATCH($A611,$O$1:$O$4,0),MATCH(M$413,$O$1:$U$1,0)),0))</f>
        <v>1960</v>
      </c>
      <c r="N611" s="14">
        <f t="shared" si="273"/>
        <v>980</v>
      </c>
      <c r="O611" s="14">
        <f t="shared" si="273"/>
        <v>483</v>
      </c>
      <c r="P611" s="14">
        <f t="shared" si="258"/>
        <v>500</v>
      </c>
      <c r="Q611" s="38">
        <f t="shared" si="257"/>
        <v>500</v>
      </c>
      <c r="R611" s="38">
        <f t="shared" si="259"/>
        <v>291250</v>
      </c>
      <c r="S611" s="38">
        <f t="shared" si="260"/>
        <v>1960</v>
      </c>
      <c r="T611" s="38">
        <f t="shared" si="261"/>
        <v>980</v>
      </c>
      <c r="U611" s="38">
        <f t="shared" si="252"/>
        <v>581</v>
      </c>
      <c r="V611" s="38">
        <f t="shared" si="255"/>
        <v>6</v>
      </c>
      <c r="W611" s="38">
        <f t="shared" si="249"/>
        <v>91791</v>
      </c>
      <c r="X611" s="38">
        <f>SUM(Q$414:Q611)</f>
        <v>95250</v>
      </c>
      <c r="Y611" s="38">
        <f>SUM(R$414:R611)</f>
        <v>28438000</v>
      </c>
      <c r="Z611" s="38">
        <f t="shared" si="250"/>
        <v>1960</v>
      </c>
      <c r="AA611" s="38">
        <f>SUM(T$414:T611)</f>
        <v>96611</v>
      </c>
      <c r="AB611" s="38">
        <f>SUM(U$414:U611)</f>
        <v>51186</v>
      </c>
      <c r="AC611" s="38">
        <f>SUM(V$414:V611)</f>
        <v>1188</v>
      </c>
      <c r="AD611" s="38">
        <f t="shared" si="251"/>
        <v>8578363</v>
      </c>
    </row>
    <row r="612" spans="1:30" x14ac:dyDescent="0.25">
      <c r="A612" s="86" t="s">
        <v>255</v>
      </c>
      <c r="B612" s="14">
        <v>199</v>
      </c>
      <c r="C612" s="14">
        <f t="shared" ref="C612:F612" si="274">MAX(1,ROUND(C206*INDEX($O$1:$U$4,MATCH($A612,$O$1:$O$4,0),MATCH(C$413,$O$1:$U$1,0)),0))</f>
        <v>395</v>
      </c>
      <c r="D612" s="14">
        <f t="shared" si="274"/>
        <v>198</v>
      </c>
      <c r="E612" s="14">
        <f t="shared" si="274"/>
        <v>98</v>
      </c>
      <c r="F612" s="14">
        <f t="shared" si="274"/>
        <v>5125</v>
      </c>
      <c r="G612" s="74">
        <f t="shared" si="248"/>
        <v>6820</v>
      </c>
      <c r="H612" s="14">
        <f t="shared" ref="H612:K612" si="275">MAX(1,ROUND(H206*INDEX($O$1:$U$4,MATCH($A612,$O$1:$O$4,0),MATCH(H$413,$O$1:$U$1,0)),0))</f>
        <v>97750</v>
      </c>
      <c r="I612" s="14">
        <v>1</v>
      </c>
      <c r="J612" s="14">
        <f t="shared" si="275"/>
        <v>195000</v>
      </c>
      <c r="K612" s="14">
        <f t="shared" si="275"/>
        <v>6</v>
      </c>
      <c r="L612" s="14">
        <v>1</v>
      </c>
      <c r="M612" s="14">
        <f t="shared" ref="M612:O612" si="276">MAX(1,ROUND(M206*INDEX($O$1:$U$4,MATCH($A612,$O$1:$O$4,0),MATCH(M$413,$O$1:$U$1,0)),0))</f>
        <v>1970</v>
      </c>
      <c r="N612" s="14">
        <f t="shared" si="276"/>
        <v>985</v>
      </c>
      <c r="O612" s="14">
        <f t="shared" si="276"/>
        <v>485</v>
      </c>
      <c r="P612" s="14">
        <f t="shared" si="258"/>
        <v>500</v>
      </c>
      <c r="Q612" s="38">
        <f t="shared" si="257"/>
        <v>500</v>
      </c>
      <c r="R612" s="38">
        <f t="shared" si="259"/>
        <v>292750</v>
      </c>
      <c r="S612" s="38">
        <f t="shared" si="260"/>
        <v>1970</v>
      </c>
      <c r="T612" s="38">
        <f t="shared" si="261"/>
        <v>985</v>
      </c>
      <c r="U612" s="38">
        <f t="shared" si="252"/>
        <v>583</v>
      </c>
      <c r="V612" s="38">
        <f t="shared" si="255"/>
        <v>6</v>
      </c>
      <c r="W612" s="38">
        <f t="shared" si="249"/>
        <v>92216</v>
      </c>
      <c r="X612" s="38">
        <f>SUM(Q$414:Q612)</f>
        <v>95750</v>
      </c>
      <c r="Y612" s="38">
        <f>SUM(R$414:R612)</f>
        <v>28730750</v>
      </c>
      <c r="Z612" s="38">
        <f t="shared" si="250"/>
        <v>1970</v>
      </c>
      <c r="AA612" s="38">
        <f>SUM(T$414:T612)</f>
        <v>97596</v>
      </c>
      <c r="AB612" s="38">
        <f>SUM(U$414:U612)</f>
        <v>51769</v>
      </c>
      <c r="AC612" s="38">
        <f>SUM(V$414:V612)</f>
        <v>1194</v>
      </c>
      <c r="AD612" s="38">
        <f t="shared" si="251"/>
        <v>8668619</v>
      </c>
    </row>
    <row r="613" spans="1:30" x14ac:dyDescent="0.25">
      <c r="A613" s="86" t="s">
        <v>255</v>
      </c>
      <c r="B613" s="14">
        <v>200</v>
      </c>
      <c r="C613" s="14">
        <f t="shared" ref="C613:F613" si="277">MAX(1,ROUND(C207*INDEX($O$1:$U$4,MATCH($A613,$O$1:$O$4,0),MATCH(C$413,$O$1:$U$1,0)),0))</f>
        <v>395</v>
      </c>
      <c r="D613" s="14">
        <f t="shared" si="277"/>
        <v>198</v>
      </c>
      <c r="E613" s="14">
        <f t="shared" si="277"/>
        <v>98</v>
      </c>
      <c r="F613" s="14">
        <f t="shared" si="277"/>
        <v>5125</v>
      </c>
      <c r="G613" s="74">
        <f t="shared" si="248"/>
        <v>6820</v>
      </c>
      <c r="H613" s="14">
        <f t="shared" ref="H613:K613" si="278">MAX(1,ROUND(H207*INDEX($O$1:$U$4,MATCH($A613,$O$1:$O$4,0),MATCH(H$413,$O$1:$U$1,0)),0))</f>
        <v>98250</v>
      </c>
      <c r="I613" s="14">
        <v>1</v>
      </c>
      <c r="J613" s="14">
        <f t="shared" si="278"/>
        <v>196000</v>
      </c>
      <c r="K613" s="14">
        <f t="shared" si="278"/>
        <v>6</v>
      </c>
      <c r="L613" s="14">
        <v>1</v>
      </c>
      <c r="M613" s="14">
        <f t="shared" ref="M613:O613" si="279">MAX(1,ROUND(M207*INDEX($O$1:$U$4,MATCH($A613,$O$1:$O$4,0),MATCH(M$413,$O$1:$U$1,0)),0))</f>
        <v>1980</v>
      </c>
      <c r="N613" s="14">
        <f t="shared" si="279"/>
        <v>990</v>
      </c>
      <c r="O613" s="14">
        <f t="shared" si="279"/>
        <v>488</v>
      </c>
      <c r="P613" s="14">
        <f t="shared" si="258"/>
        <v>500</v>
      </c>
      <c r="Q613" s="38">
        <f t="shared" si="257"/>
        <v>500</v>
      </c>
      <c r="R613" s="38">
        <f t="shared" si="259"/>
        <v>294250</v>
      </c>
      <c r="S613" s="38">
        <f t="shared" si="260"/>
        <v>1980</v>
      </c>
      <c r="T613" s="38">
        <f t="shared" si="261"/>
        <v>990</v>
      </c>
      <c r="U613" s="38">
        <f t="shared" si="252"/>
        <v>586</v>
      </c>
      <c r="V613" s="38">
        <f t="shared" si="255"/>
        <v>6</v>
      </c>
      <c r="W613" s="38">
        <f t="shared" si="249"/>
        <v>92686</v>
      </c>
      <c r="X613" s="38">
        <f>SUM(Q$414:Q613)</f>
        <v>96250</v>
      </c>
      <c r="Y613" s="38">
        <f>SUM(R$414:R613)</f>
        <v>29025000</v>
      </c>
      <c r="Z613" s="38">
        <f t="shared" si="250"/>
        <v>1980</v>
      </c>
      <c r="AA613" s="38">
        <f>SUM(T$414:T613)</f>
        <v>98586</v>
      </c>
      <c r="AB613" s="38">
        <f>SUM(U$414:U613)</f>
        <v>52355</v>
      </c>
      <c r="AC613" s="38">
        <f>SUM(V$414:V613)</f>
        <v>1200</v>
      </c>
      <c r="AD613" s="38">
        <f t="shared" si="251"/>
        <v>8759335</v>
      </c>
    </row>
  </sheetData>
  <phoneticPr fontId="11" type="noConversion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B4642-F34E-4F97-97ED-0BA5AA191076}">
  <sheetPr codeName="Sheet5">
    <tabColor rgb="FF0070C0"/>
  </sheetPr>
  <dimension ref="A1:AM209"/>
  <sheetViews>
    <sheetView topLeftCell="A118" workbookViewId="0">
      <selection activeCell="L151" sqref="L151"/>
    </sheetView>
  </sheetViews>
  <sheetFormatPr defaultRowHeight="13.8" x14ac:dyDescent="0.25"/>
  <cols>
    <col min="1" max="1" width="8.44140625" bestFit="1" customWidth="1"/>
    <col min="2" max="2" width="8.6640625" bestFit="1" customWidth="1"/>
    <col min="3" max="4" width="8.6640625" customWidth="1"/>
    <col min="5" max="5" width="13.21875" bestFit="1" customWidth="1"/>
    <col min="7" max="8" width="10.33203125" bestFit="1" customWidth="1"/>
    <col min="9" max="10" width="9.21875" bestFit="1" customWidth="1"/>
    <col min="14" max="14" width="5" bestFit="1" customWidth="1"/>
    <col min="17" max="17" width="8.6640625" bestFit="1" customWidth="1"/>
    <col min="20" max="20" width="5" bestFit="1" customWidth="1"/>
    <col min="23" max="23" width="15.21875" bestFit="1" customWidth="1"/>
    <col min="34" max="34" width="11.33203125" bestFit="1" customWidth="1"/>
    <col min="35" max="35" width="11.21875" bestFit="1" customWidth="1"/>
    <col min="36" max="36" width="9.33203125" bestFit="1" customWidth="1"/>
  </cols>
  <sheetData>
    <row r="1" spans="1:39" ht="16.2" x14ac:dyDescent="0.25">
      <c r="A1" s="9" t="s">
        <v>253</v>
      </c>
      <c r="B1" s="38">
        <v>1</v>
      </c>
    </row>
    <row r="2" spans="1:39" ht="16.2" x14ac:dyDescent="0.25">
      <c r="A2" s="9" t="s">
        <v>254</v>
      </c>
      <c r="B2" s="38">
        <v>2</v>
      </c>
    </row>
    <row r="3" spans="1:39" ht="16.2" x14ac:dyDescent="0.25">
      <c r="A3" s="9" t="s">
        <v>255</v>
      </c>
      <c r="B3" s="38">
        <v>3</v>
      </c>
    </row>
    <row r="4" spans="1:39" x14ac:dyDescent="0.25">
      <c r="F4">
        <v>300</v>
      </c>
      <c r="P4">
        <v>600</v>
      </c>
      <c r="V4">
        <v>1122</v>
      </c>
    </row>
    <row r="5" spans="1:39" x14ac:dyDescent="0.25">
      <c r="A5" s="44" t="s">
        <v>330</v>
      </c>
      <c r="F5">
        <v>10</v>
      </c>
      <c r="G5" s="44" t="s">
        <v>489</v>
      </c>
      <c r="H5" s="44" t="s">
        <v>490</v>
      </c>
      <c r="I5" s="44"/>
      <c r="J5" s="44" t="s">
        <v>188</v>
      </c>
      <c r="K5" t="s">
        <v>332</v>
      </c>
      <c r="N5" s="44" t="s">
        <v>215</v>
      </c>
      <c r="P5">
        <v>14</v>
      </c>
      <c r="T5" s="44" t="s">
        <v>216</v>
      </c>
      <c r="V5">
        <v>20</v>
      </c>
      <c r="Y5" s="44" t="s">
        <v>334</v>
      </c>
      <c r="Z5" s="44"/>
      <c r="AA5" s="44"/>
      <c r="AB5" s="44"/>
      <c r="AD5" s="44" t="s">
        <v>351</v>
      </c>
      <c r="AE5" s="44"/>
      <c r="AF5" s="44"/>
    </row>
    <row r="6" spans="1:39" ht="16.2" x14ac:dyDescent="0.25">
      <c r="A6" s="9" t="s">
        <v>51</v>
      </c>
      <c r="B6" s="9" t="s">
        <v>329</v>
      </c>
      <c r="C6" s="9" t="s">
        <v>500</v>
      </c>
      <c r="D6" s="73" t="s">
        <v>329</v>
      </c>
      <c r="E6" s="9" t="s">
        <v>492</v>
      </c>
      <c r="F6" s="9" t="s">
        <v>331</v>
      </c>
      <c r="G6" s="9" t="s">
        <v>487</v>
      </c>
      <c r="H6" s="9" t="s">
        <v>488</v>
      </c>
      <c r="I6" s="9" t="s">
        <v>491</v>
      </c>
      <c r="J6" s="9" t="s">
        <v>194</v>
      </c>
      <c r="K6" s="9" t="s">
        <v>333</v>
      </c>
      <c r="N6" s="9" t="s">
        <v>51</v>
      </c>
      <c r="O6" s="9" t="s">
        <v>329</v>
      </c>
      <c r="P6" s="9" t="s">
        <v>331</v>
      </c>
      <c r="Q6" s="9" t="s">
        <v>194</v>
      </c>
      <c r="T6" s="9" t="s">
        <v>51</v>
      </c>
      <c r="U6" s="9" t="s">
        <v>329</v>
      </c>
      <c r="V6" s="9" t="s">
        <v>331</v>
      </c>
      <c r="W6" s="9" t="s">
        <v>333</v>
      </c>
      <c r="Y6" s="9" t="s">
        <v>51</v>
      </c>
      <c r="Z6" s="9" t="s">
        <v>253</v>
      </c>
      <c r="AA6" s="9" t="s">
        <v>254</v>
      </c>
      <c r="AB6" s="9" t="s">
        <v>255</v>
      </c>
      <c r="AD6" s="9" t="s">
        <v>253</v>
      </c>
      <c r="AE6" s="9" t="s">
        <v>254</v>
      </c>
      <c r="AF6" s="9" t="s">
        <v>255</v>
      </c>
      <c r="AH6" s="9" t="s">
        <v>194</v>
      </c>
      <c r="AI6" s="9" t="s">
        <v>493</v>
      </c>
      <c r="AJ6" s="9" t="s">
        <v>494</v>
      </c>
    </row>
    <row r="7" spans="1:39" x14ac:dyDescent="0.25">
      <c r="A7" s="14">
        <v>1</v>
      </c>
      <c r="B7" s="14">
        <v>1.1000000000000001</v>
      </c>
      <c r="C7" s="14">
        <v>0.5</v>
      </c>
      <c r="D7" s="14">
        <f>ROUND(I7^C7,2)</f>
        <v>1</v>
      </c>
      <c r="E7" s="14">
        <v>1.1000000000000001</v>
      </c>
      <c r="F7" s="102">
        <v>1</v>
      </c>
      <c r="G7" s="14">
        <f>_xlfn.IFNA(INDEX(玩家节奏1!$EC:$EC,MATCH(关卡对比!A7,玩家节奏1!$N:$N,1)),1)</f>
        <v>1</v>
      </c>
      <c r="H7" s="14">
        <f>_xlfn.IFNA(INDEX(玩家节奏2!$FG:$FG,MATCH(关卡对比!A7,玩家节奏2!$N:$N,1)),1)</f>
        <v>1</v>
      </c>
      <c r="I7" s="14">
        <v>1</v>
      </c>
      <c r="J7" s="14">
        <v>100</v>
      </c>
      <c r="K7" s="14">
        <f t="shared" ref="K7:K70" si="0">B7*100</f>
        <v>110.00000000000001</v>
      </c>
      <c r="N7" s="14">
        <v>1</v>
      </c>
      <c r="O7" s="14">
        <f>$B$2*E7</f>
        <v>2.2000000000000002</v>
      </c>
      <c r="P7" s="14">
        <v>6</v>
      </c>
      <c r="Q7" s="14">
        <f>J7*$B$2</f>
        <v>200</v>
      </c>
      <c r="T7" s="14">
        <v>1</v>
      </c>
      <c r="U7" s="14">
        <f>E7*$B$3</f>
        <v>3.3000000000000003</v>
      </c>
      <c r="V7" s="14">
        <v>10</v>
      </c>
      <c r="W7" s="14">
        <f>J7*$B$3</f>
        <v>300</v>
      </c>
      <c r="Y7" s="14">
        <v>1</v>
      </c>
      <c r="Z7" s="104">
        <f>J7</f>
        <v>100</v>
      </c>
      <c r="AA7" s="104">
        <f>Q7</f>
        <v>200</v>
      </c>
      <c r="AB7" s="105">
        <f>W7</f>
        <v>300</v>
      </c>
      <c r="AD7" s="14">
        <v>1</v>
      </c>
      <c r="AE7" s="14">
        <f>_xlfn.IFNA(INDEX($Y:$Y,MATCH($Z7,AA:AA,1)),0)</f>
        <v>0</v>
      </c>
      <c r="AF7" s="14">
        <f>_xlfn.IFNA(INDEX($Y:$Y,MATCH($Z7,AB:AB,1)),0)</f>
        <v>0</v>
      </c>
      <c r="AH7" t="str">
        <f>_xlfn.TEXTJOIN(",",TRUE,J7,Q7,W7)</f>
        <v>100,200,300</v>
      </c>
      <c r="AI7" t="str">
        <f>_xlfn.TEXTJOIN(",",TRUE,F7,P7,V7)</f>
        <v>1,6,10</v>
      </c>
      <c r="AJ7" t="str">
        <f>_xlfn.TEXTJOIN(",",TRUE,B7,O7,U7)</f>
        <v>1.1,2.2,3.3</v>
      </c>
      <c r="AM7">
        <v>1</v>
      </c>
    </row>
    <row r="8" spans="1:39" x14ac:dyDescent="0.25">
      <c r="A8" s="14">
        <v>2</v>
      </c>
      <c r="B8" s="14">
        <v>1.2</v>
      </c>
      <c r="C8" s="14">
        <v>0.5</v>
      </c>
      <c r="D8" s="14">
        <f t="shared" ref="D8:D71" si="1">ROUND(I8^C8,2)</f>
        <v>1</v>
      </c>
      <c r="E8" s="14">
        <f t="shared" ref="E8:E71" si="2">ROUND(B8*I8^C8,2)</f>
        <v>1.2</v>
      </c>
      <c r="F8" s="102">
        <v>2</v>
      </c>
      <c r="G8" s="14">
        <f>_xlfn.IFNA(INDEX(玩家节奏1!$EC:$EC,MATCH(关卡对比!A8,玩家节奏1!$N:$N,1)),1)</f>
        <v>1</v>
      </c>
      <c r="H8" s="14">
        <f>_xlfn.IFNA(INDEX(玩家节奏2!$FG:$FG,MATCH(关卡对比!A8,玩家节奏2!$N:$N,1)),1)</f>
        <v>1</v>
      </c>
      <c r="I8" s="14">
        <v>1</v>
      </c>
      <c r="J8" s="14">
        <v>150</v>
      </c>
      <c r="K8" s="14">
        <f t="shared" si="0"/>
        <v>120</v>
      </c>
      <c r="N8" s="14">
        <v>2</v>
      </c>
      <c r="O8" s="14">
        <f t="shared" ref="O8:O71" si="3">$B$2*E8</f>
        <v>2.4</v>
      </c>
      <c r="P8" s="14">
        <v>6</v>
      </c>
      <c r="Q8" s="14">
        <f t="shared" ref="Q8:Q71" si="4">J8*$B$2</f>
        <v>300</v>
      </c>
      <c r="T8" s="14">
        <v>2</v>
      </c>
      <c r="U8" s="14">
        <f t="shared" ref="U8:U71" si="5">E8*$B$3</f>
        <v>3.5999999999999996</v>
      </c>
      <c r="V8" s="14">
        <v>12</v>
      </c>
      <c r="W8" s="14">
        <f t="shared" ref="W8:W71" si="6">J8*$B$3</f>
        <v>450</v>
      </c>
      <c r="Y8" s="14">
        <v>2</v>
      </c>
      <c r="Z8" s="104">
        <f t="shared" ref="Z8:Z71" si="7">J8</f>
        <v>150</v>
      </c>
      <c r="AA8" s="105">
        <f t="shared" ref="AA8:AA71" si="8">Q8</f>
        <v>300</v>
      </c>
      <c r="AB8" s="105">
        <f t="shared" ref="AB8:AB71" si="9">W8</f>
        <v>450</v>
      </c>
      <c r="AD8" s="14">
        <v>2</v>
      </c>
      <c r="AE8" s="14">
        <f t="shared" ref="AE8:AE71" si="10">_xlfn.IFNA(INDEX($Y:$Y,MATCH($Z8,AA:AA,1)),0)</f>
        <v>0</v>
      </c>
      <c r="AF8" s="14">
        <f t="shared" ref="AF8:AF71" si="11">_xlfn.IFNA(INDEX($Y:$Y,MATCH($Z8,AB:AB,1)),0)</f>
        <v>0</v>
      </c>
      <c r="AH8" t="str">
        <f t="shared" ref="AH8:AH71" si="12">_xlfn.TEXTJOIN(",",TRUE,J8,Q8,W8)</f>
        <v>150,300,450</v>
      </c>
      <c r="AI8" t="str">
        <f t="shared" ref="AI8:AI71" si="13">_xlfn.TEXTJOIN(",",TRUE,F8,P8,V8)</f>
        <v>2,6,12</v>
      </c>
      <c r="AJ8" t="str">
        <f t="shared" ref="AJ8:AJ71" si="14">_xlfn.TEXTJOIN(",",TRUE,B8,O8,U8)</f>
        <v>1.2,2.4,3.6</v>
      </c>
      <c r="AM8">
        <v>1</v>
      </c>
    </row>
    <row r="9" spans="1:39" x14ac:dyDescent="0.25">
      <c r="A9" s="14">
        <v>3</v>
      </c>
      <c r="B9" s="14">
        <v>1.8</v>
      </c>
      <c r="C9" s="14">
        <v>0.5</v>
      </c>
      <c r="D9" s="14">
        <f t="shared" si="1"/>
        <v>1</v>
      </c>
      <c r="E9" s="14">
        <f>ROUND(B9*I9^C9,2)</f>
        <v>1.81</v>
      </c>
      <c r="F9" s="102">
        <v>3</v>
      </c>
      <c r="G9" s="14">
        <f>_xlfn.IFNA(INDEX(玩家节奏1!$EC:$EC,MATCH(关卡对比!A9,玩家节奏1!$N:$N,1)),1)</f>
        <v>1</v>
      </c>
      <c r="H9" s="14">
        <f>_xlfn.IFNA(INDEX(玩家节奏2!$FG:$FG,MATCH(关卡对比!A9,玩家节奏2!$N:$N,1)),1)</f>
        <v>1</v>
      </c>
      <c r="I9" s="14">
        <v>1.01</v>
      </c>
      <c r="J9" s="14">
        <v>180</v>
      </c>
      <c r="K9" s="14">
        <f t="shared" si="0"/>
        <v>180</v>
      </c>
      <c r="N9" s="14">
        <v>3</v>
      </c>
      <c r="O9" s="14">
        <f t="shared" si="3"/>
        <v>3.62</v>
      </c>
      <c r="P9" s="14">
        <v>7</v>
      </c>
      <c r="Q9" s="14">
        <f t="shared" si="4"/>
        <v>360</v>
      </c>
      <c r="T9" s="14">
        <v>3</v>
      </c>
      <c r="U9" s="14">
        <f t="shared" si="5"/>
        <v>5.43</v>
      </c>
      <c r="V9" s="14">
        <v>14</v>
      </c>
      <c r="W9" s="14">
        <f t="shared" si="6"/>
        <v>540</v>
      </c>
      <c r="Y9" s="14">
        <v>3</v>
      </c>
      <c r="Z9" s="104">
        <f t="shared" si="7"/>
        <v>180</v>
      </c>
      <c r="AA9" s="105">
        <f t="shared" si="8"/>
        <v>360</v>
      </c>
      <c r="AB9" s="106">
        <f t="shared" si="9"/>
        <v>540</v>
      </c>
      <c r="AD9" s="14">
        <v>3</v>
      </c>
      <c r="AE9" s="14">
        <f t="shared" si="10"/>
        <v>0</v>
      </c>
      <c r="AF9" s="14">
        <f t="shared" si="11"/>
        <v>0</v>
      </c>
      <c r="AH9" t="str">
        <f t="shared" si="12"/>
        <v>180,360,540</v>
      </c>
      <c r="AI9" t="str">
        <f t="shared" si="13"/>
        <v>3,7,14</v>
      </c>
      <c r="AJ9" t="str">
        <f t="shared" si="14"/>
        <v>1.8,3.62,5.43</v>
      </c>
      <c r="AM9">
        <v>1</v>
      </c>
    </row>
    <row r="10" spans="1:39" x14ac:dyDescent="0.25">
      <c r="A10" s="14">
        <v>4</v>
      </c>
      <c r="B10" s="14">
        <v>2.6</v>
      </c>
      <c r="C10" s="14">
        <v>0.5</v>
      </c>
      <c r="D10" s="14">
        <f t="shared" si="1"/>
        <v>1</v>
      </c>
      <c r="E10" s="14">
        <f t="shared" si="2"/>
        <v>2.61</v>
      </c>
      <c r="F10" s="102">
        <v>3</v>
      </c>
      <c r="G10" s="14">
        <f>_xlfn.IFNA(INDEX(玩家节奏1!$EC:$EC,MATCH(关卡对比!A10,玩家节奏1!$N:$N,1)),1)</f>
        <v>1</v>
      </c>
      <c r="H10" s="14">
        <f>_xlfn.IFNA(INDEX(玩家节奏2!$FG:$FG,MATCH(关卡对比!A10,玩家节奏2!$N:$N,1)),1)</f>
        <v>1</v>
      </c>
      <c r="I10" s="14">
        <v>1.01</v>
      </c>
      <c r="J10" s="14">
        <v>200</v>
      </c>
      <c r="K10" s="14">
        <f t="shared" si="0"/>
        <v>260</v>
      </c>
      <c r="N10" s="14">
        <v>4</v>
      </c>
      <c r="O10" s="14">
        <f t="shared" si="3"/>
        <v>5.22</v>
      </c>
      <c r="P10" s="14">
        <v>7</v>
      </c>
      <c r="Q10" s="14">
        <f t="shared" si="4"/>
        <v>400</v>
      </c>
      <c r="T10" s="14">
        <v>4</v>
      </c>
      <c r="U10" s="14">
        <f t="shared" si="5"/>
        <v>7.83</v>
      </c>
      <c r="V10" s="14">
        <v>16</v>
      </c>
      <c r="W10" s="14">
        <f t="shared" si="6"/>
        <v>600</v>
      </c>
      <c r="Y10" s="14">
        <v>4</v>
      </c>
      <c r="Z10" s="104">
        <f t="shared" si="7"/>
        <v>200</v>
      </c>
      <c r="AA10" s="105">
        <f t="shared" si="8"/>
        <v>400</v>
      </c>
      <c r="AB10" s="106">
        <f t="shared" si="9"/>
        <v>600</v>
      </c>
      <c r="AD10" s="14">
        <v>4</v>
      </c>
      <c r="AE10" s="14">
        <f t="shared" si="10"/>
        <v>1</v>
      </c>
      <c r="AF10" s="14">
        <f t="shared" si="11"/>
        <v>0</v>
      </c>
      <c r="AH10" t="str">
        <f t="shared" si="12"/>
        <v>200,400,600</v>
      </c>
      <c r="AI10" t="str">
        <f t="shared" si="13"/>
        <v>3,7,16</v>
      </c>
      <c r="AJ10" t="str">
        <f t="shared" si="14"/>
        <v>2.6,5.22,7.83</v>
      </c>
      <c r="AM10">
        <v>1</v>
      </c>
    </row>
    <row r="11" spans="1:39" x14ac:dyDescent="0.25">
      <c r="A11" s="14">
        <v>5</v>
      </c>
      <c r="B11" s="14">
        <v>3</v>
      </c>
      <c r="C11" s="14">
        <v>0.5</v>
      </c>
      <c r="D11" s="14">
        <f t="shared" si="1"/>
        <v>1.01</v>
      </c>
      <c r="E11" s="14">
        <f t="shared" si="2"/>
        <v>3.04</v>
      </c>
      <c r="F11" s="102">
        <v>4</v>
      </c>
      <c r="G11" s="14">
        <f>_xlfn.IFNA(INDEX(玩家节奏1!$EC:$EC,MATCH(关卡对比!A11,玩家节奏1!$N:$N,1)),1)</f>
        <v>1</v>
      </c>
      <c r="H11" s="14">
        <f>_xlfn.IFNA(INDEX(玩家节奏2!$FG:$FG,MATCH(关卡对比!A11,玩家节奏2!$N:$N,1)),1)</f>
        <v>1</v>
      </c>
      <c r="I11" s="14">
        <v>1.03</v>
      </c>
      <c r="J11" s="14">
        <v>250</v>
      </c>
      <c r="K11" s="14">
        <f t="shared" si="0"/>
        <v>300</v>
      </c>
      <c r="N11" s="14">
        <v>5</v>
      </c>
      <c r="O11" s="14">
        <f t="shared" si="3"/>
        <v>6.08</v>
      </c>
      <c r="P11" s="14">
        <v>8</v>
      </c>
      <c r="Q11" s="14">
        <f t="shared" si="4"/>
        <v>500</v>
      </c>
      <c r="T11" s="14">
        <v>5</v>
      </c>
      <c r="U11" s="14">
        <f t="shared" si="5"/>
        <v>9.120000000000001</v>
      </c>
      <c r="V11" s="14">
        <v>18</v>
      </c>
      <c r="W11" s="14">
        <f t="shared" si="6"/>
        <v>750</v>
      </c>
      <c r="Y11" s="14">
        <v>5</v>
      </c>
      <c r="Z11" s="104">
        <f t="shared" si="7"/>
        <v>250</v>
      </c>
      <c r="AA11" s="105">
        <f t="shared" si="8"/>
        <v>500</v>
      </c>
      <c r="AB11" s="106">
        <f t="shared" si="9"/>
        <v>750</v>
      </c>
      <c r="AD11" s="14">
        <v>5</v>
      </c>
      <c r="AE11" s="14">
        <f t="shared" si="10"/>
        <v>1</v>
      </c>
      <c r="AF11" s="14">
        <f t="shared" si="11"/>
        <v>0</v>
      </c>
      <c r="AH11" t="str">
        <f t="shared" si="12"/>
        <v>250,500,750</v>
      </c>
      <c r="AI11" t="str">
        <f t="shared" si="13"/>
        <v>4,8,18</v>
      </c>
      <c r="AJ11" t="str">
        <f t="shared" si="14"/>
        <v>3,6.08,9.12</v>
      </c>
      <c r="AM11">
        <v>1</v>
      </c>
    </row>
    <row r="12" spans="1:39" x14ac:dyDescent="0.25">
      <c r="A12" s="14">
        <v>6</v>
      </c>
      <c r="B12" s="14">
        <v>3.48</v>
      </c>
      <c r="C12" s="14">
        <v>0.5</v>
      </c>
      <c r="D12" s="14">
        <f t="shared" si="1"/>
        <v>1.02</v>
      </c>
      <c r="E12" s="14">
        <f t="shared" si="2"/>
        <v>3.55</v>
      </c>
      <c r="F12" s="102">
        <v>4</v>
      </c>
      <c r="G12" s="14">
        <f>_xlfn.IFNA(INDEX(玩家节奏1!$EC:$EC,MATCH(关卡对比!A12,玩家节奏1!$N:$N,1)),1)</f>
        <v>1</v>
      </c>
      <c r="H12" s="14">
        <f>_xlfn.IFNA(INDEX(玩家节奏2!$FG:$FG,MATCH(关卡对比!A12,玩家节奏2!$N:$N,1)),1)</f>
        <v>1</v>
      </c>
      <c r="I12" s="14">
        <v>1.04</v>
      </c>
      <c r="J12" s="14">
        <v>300</v>
      </c>
      <c r="K12" s="14">
        <f t="shared" si="0"/>
        <v>348</v>
      </c>
      <c r="N12" s="14">
        <v>6</v>
      </c>
      <c r="O12" s="14">
        <f t="shared" si="3"/>
        <v>7.1</v>
      </c>
      <c r="P12" s="14">
        <v>8</v>
      </c>
      <c r="Q12" s="14">
        <f t="shared" si="4"/>
        <v>600</v>
      </c>
      <c r="T12" s="14">
        <v>6</v>
      </c>
      <c r="U12" s="14">
        <f t="shared" si="5"/>
        <v>10.649999999999999</v>
      </c>
      <c r="V12" s="14">
        <v>20</v>
      </c>
      <c r="W12" s="14">
        <f t="shared" si="6"/>
        <v>900</v>
      </c>
      <c r="Y12" s="14">
        <v>6</v>
      </c>
      <c r="Z12" s="105">
        <f t="shared" si="7"/>
        <v>300</v>
      </c>
      <c r="AA12" s="106">
        <f t="shared" si="8"/>
        <v>600</v>
      </c>
      <c r="AB12" s="107">
        <f t="shared" si="9"/>
        <v>900</v>
      </c>
      <c r="AD12" s="14">
        <v>6</v>
      </c>
      <c r="AE12" s="14">
        <f t="shared" si="10"/>
        <v>2</v>
      </c>
      <c r="AF12" s="14">
        <f t="shared" si="11"/>
        <v>1</v>
      </c>
      <c r="AH12" t="str">
        <f t="shared" si="12"/>
        <v>300,600,900</v>
      </c>
      <c r="AI12" t="str">
        <f t="shared" si="13"/>
        <v>4,8,20</v>
      </c>
      <c r="AJ12" t="str">
        <f t="shared" si="14"/>
        <v>3.48,7.1,10.65</v>
      </c>
      <c r="AM12">
        <v>1</v>
      </c>
    </row>
    <row r="13" spans="1:39" x14ac:dyDescent="0.25">
      <c r="A13" s="14">
        <v>7</v>
      </c>
      <c r="B13" s="14">
        <v>3.8</v>
      </c>
      <c r="C13" s="14">
        <v>0.5</v>
      </c>
      <c r="D13" s="14">
        <f t="shared" si="1"/>
        <v>1.03</v>
      </c>
      <c r="E13" s="14">
        <f t="shared" si="2"/>
        <v>3.91</v>
      </c>
      <c r="F13" s="102">
        <v>4</v>
      </c>
      <c r="G13" s="14">
        <f ca="1">_xlfn.IFNA(INDEX(玩家节奏1!$EC:$EC,MATCH(关卡对比!A13,玩家节奏1!$N:$N,1)),1)</f>
        <v>0</v>
      </c>
      <c r="H13" s="14">
        <f>_xlfn.IFNA(INDEX(玩家节奏2!$FG:$FG,MATCH(关卡对比!A13,玩家节奏2!$N:$N,1)),1)</f>
        <v>0</v>
      </c>
      <c r="I13" s="14">
        <v>1.06</v>
      </c>
      <c r="J13" s="14">
        <v>350</v>
      </c>
      <c r="K13" s="14">
        <f t="shared" si="0"/>
        <v>380</v>
      </c>
      <c r="N13" s="14">
        <v>7</v>
      </c>
      <c r="O13" s="14">
        <f t="shared" si="3"/>
        <v>7.82</v>
      </c>
      <c r="P13" s="14">
        <v>9</v>
      </c>
      <c r="Q13" s="14">
        <f t="shared" si="4"/>
        <v>700</v>
      </c>
      <c r="T13" s="14">
        <v>7</v>
      </c>
      <c r="U13" s="14">
        <f t="shared" si="5"/>
        <v>11.73</v>
      </c>
      <c r="V13" s="14">
        <v>20</v>
      </c>
      <c r="W13" s="14">
        <f t="shared" si="6"/>
        <v>1050</v>
      </c>
      <c r="Y13" s="14">
        <v>7</v>
      </c>
      <c r="Z13" s="105">
        <f t="shared" si="7"/>
        <v>350</v>
      </c>
      <c r="AA13" s="106">
        <f t="shared" si="8"/>
        <v>700</v>
      </c>
      <c r="AB13" s="107">
        <f t="shared" si="9"/>
        <v>1050</v>
      </c>
      <c r="AD13" s="14">
        <v>7</v>
      </c>
      <c r="AE13" s="14">
        <f t="shared" si="10"/>
        <v>2</v>
      </c>
      <c r="AF13" s="14">
        <f t="shared" si="11"/>
        <v>1</v>
      </c>
      <c r="AH13" t="str">
        <f t="shared" si="12"/>
        <v>350,700,1050</v>
      </c>
      <c r="AI13" t="str">
        <f t="shared" si="13"/>
        <v>4,9,20</v>
      </c>
      <c r="AJ13" t="str">
        <f t="shared" si="14"/>
        <v>3.8,7.82,11.73</v>
      </c>
      <c r="AM13">
        <v>1</v>
      </c>
    </row>
    <row r="14" spans="1:39" x14ac:dyDescent="0.25">
      <c r="A14" s="14">
        <v>8</v>
      </c>
      <c r="B14" s="14">
        <v>4.8</v>
      </c>
      <c r="C14" s="14">
        <v>0.5</v>
      </c>
      <c r="D14" s="14">
        <f t="shared" si="1"/>
        <v>1.04</v>
      </c>
      <c r="E14" s="14">
        <f t="shared" si="2"/>
        <v>4.99</v>
      </c>
      <c r="F14" s="102">
        <v>5</v>
      </c>
      <c r="G14" s="14">
        <f ca="1">_xlfn.IFNA(INDEX(玩家节奏1!$EC:$EC,MATCH(关卡对比!A14,玩家节奏1!$N:$N,1)),1)</f>
        <v>0</v>
      </c>
      <c r="H14" s="14">
        <f>_xlfn.IFNA(INDEX(玩家节奏2!$FG:$FG,MATCH(关卡对比!A14,玩家节奏2!$N:$N,1)),1)</f>
        <v>0</v>
      </c>
      <c r="I14" s="14">
        <v>1.08</v>
      </c>
      <c r="J14" s="14">
        <v>400</v>
      </c>
      <c r="K14" s="14">
        <f t="shared" si="0"/>
        <v>480</v>
      </c>
      <c r="N14" s="14">
        <v>8</v>
      </c>
      <c r="O14" s="14">
        <f t="shared" si="3"/>
        <v>9.98</v>
      </c>
      <c r="P14" s="14">
        <v>9</v>
      </c>
      <c r="Q14" s="14">
        <f t="shared" si="4"/>
        <v>800</v>
      </c>
      <c r="T14" s="14">
        <v>8</v>
      </c>
      <c r="U14" s="14">
        <f t="shared" si="5"/>
        <v>14.97</v>
      </c>
      <c r="V14" s="14">
        <v>20</v>
      </c>
      <c r="W14" s="14">
        <f t="shared" si="6"/>
        <v>1200</v>
      </c>
      <c r="Y14" s="14">
        <v>8</v>
      </c>
      <c r="Z14" s="105">
        <f t="shared" si="7"/>
        <v>400</v>
      </c>
      <c r="AA14" s="106">
        <f t="shared" si="8"/>
        <v>800</v>
      </c>
      <c r="AB14" s="107">
        <f t="shared" si="9"/>
        <v>1200</v>
      </c>
      <c r="AD14" s="14">
        <v>8</v>
      </c>
      <c r="AE14" s="14">
        <f t="shared" si="10"/>
        <v>4</v>
      </c>
      <c r="AF14" s="14">
        <f t="shared" si="11"/>
        <v>1</v>
      </c>
      <c r="AH14" t="str">
        <f t="shared" si="12"/>
        <v>400,800,1200</v>
      </c>
      <c r="AI14" t="str">
        <f t="shared" si="13"/>
        <v>5,9,20</v>
      </c>
      <c r="AJ14" t="str">
        <f t="shared" si="14"/>
        <v>4.8,9.98,14.97</v>
      </c>
      <c r="AM14">
        <v>1</v>
      </c>
    </row>
    <row r="15" spans="1:39" x14ac:dyDescent="0.25">
      <c r="A15" s="14">
        <v>9</v>
      </c>
      <c r="B15" s="14">
        <v>5.52</v>
      </c>
      <c r="C15" s="14">
        <v>0.5</v>
      </c>
      <c r="D15" s="14">
        <f t="shared" si="1"/>
        <v>1.05</v>
      </c>
      <c r="E15" s="14">
        <f t="shared" si="2"/>
        <v>5.79</v>
      </c>
      <c r="F15" s="102">
        <v>5</v>
      </c>
      <c r="G15" s="14">
        <f ca="1">_xlfn.IFNA(INDEX(玩家节奏1!$EC:$EC,MATCH(关卡对比!A15,玩家节奏1!$N:$N,1)),1)</f>
        <v>1.1000000000000001</v>
      </c>
      <c r="H15" s="14">
        <f>_xlfn.IFNA(INDEX(玩家节奏2!$FG:$FG,MATCH(关卡对比!A15,玩家节奏2!$N:$N,1)),1)</f>
        <v>0</v>
      </c>
      <c r="I15" s="14">
        <v>1.1000000000000001</v>
      </c>
      <c r="J15" s="14">
        <v>450</v>
      </c>
      <c r="K15" s="14">
        <f t="shared" si="0"/>
        <v>552</v>
      </c>
      <c r="N15" s="14">
        <v>9</v>
      </c>
      <c r="O15" s="14">
        <f t="shared" si="3"/>
        <v>11.58</v>
      </c>
      <c r="P15" s="14">
        <v>10</v>
      </c>
      <c r="Q15" s="14">
        <f t="shared" si="4"/>
        <v>900</v>
      </c>
      <c r="T15" s="14">
        <v>9</v>
      </c>
      <c r="U15" s="14">
        <f t="shared" si="5"/>
        <v>17.37</v>
      </c>
      <c r="V15" s="14">
        <v>20</v>
      </c>
      <c r="W15" s="14">
        <f t="shared" si="6"/>
        <v>1350</v>
      </c>
      <c r="Y15" s="14">
        <v>9</v>
      </c>
      <c r="Z15" s="105">
        <f t="shared" si="7"/>
        <v>450</v>
      </c>
      <c r="AA15" s="107">
        <f t="shared" si="8"/>
        <v>900</v>
      </c>
      <c r="AB15" s="107">
        <f t="shared" si="9"/>
        <v>1350</v>
      </c>
      <c r="AD15" s="14">
        <v>9</v>
      </c>
      <c r="AE15" s="14">
        <f t="shared" si="10"/>
        <v>4</v>
      </c>
      <c r="AF15" s="14">
        <f t="shared" si="11"/>
        <v>2</v>
      </c>
      <c r="AH15" t="str">
        <f t="shared" si="12"/>
        <v>450,900,1350</v>
      </c>
      <c r="AI15" t="str">
        <f t="shared" si="13"/>
        <v>5,10,20</v>
      </c>
      <c r="AJ15" t="str">
        <f t="shared" si="14"/>
        <v>5.52,11.58,17.37</v>
      </c>
      <c r="AM15">
        <v>1.1000000000000001</v>
      </c>
    </row>
    <row r="16" spans="1:39" x14ac:dyDescent="0.25">
      <c r="A16" s="14">
        <v>10</v>
      </c>
      <c r="B16" s="14">
        <v>6.24</v>
      </c>
      <c r="C16" s="14">
        <v>0.5</v>
      </c>
      <c r="D16" s="14">
        <f t="shared" si="1"/>
        <v>1.07</v>
      </c>
      <c r="E16" s="14">
        <f t="shared" si="2"/>
        <v>6.69</v>
      </c>
      <c r="F16" s="102">
        <v>5</v>
      </c>
      <c r="G16" s="14">
        <f ca="1">_xlfn.IFNA(INDEX(玩家节奏1!$EC:$EC,MATCH(关卡对比!A16,玩家节奏1!$N:$N,1)),1)</f>
        <v>1.1000000000000001</v>
      </c>
      <c r="H16" s="14">
        <f>_xlfn.IFNA(INDEX(玩家节奏2!$FG:$FG,MATCH(关卡对比!A16,玩家节奏2!$N:$N,1)),1)</f>
        <v>0</v>
      </c>
      <c r="I16" s="14">
        <v>1.1499999999999999</v>
      </c>
      <c r="J16" s="14">
        <v>500</v>
      </c>
      <c r="K16" s="14">
        <f t="shared" si="0"/>
        <v>624</v>
      </c>
      <c r="N16" s="14">
        <v>10</v>
      </c>
      <c r="O16" s="14">
        <f t="shared" si="3"/>
        <v>13.38</v>
      </c>
      <c r="P16" s="14">
        <v>10</v>
      </c>
      <c r="Q16" s="14">
        <f t="shared" si="4"/>
        <v>1000</v>
      </c>
      <c r="T16" s="14">
        <v>10</v>
      </c>
      <c r="U16" s="14">
        <f t="shared" si="5"/>
        <v>20.07</v>
      </c>
      <c r="V16" s="14">
        <v>20</v>
      </c>
      <c r="W16" s="14">
        <f t="shared" si="6"/>
        <v>1500</v>
      </c>
      <c r="Y16" s="14">
        <v>10</v>
      </c>
      <c r="Z16" s="105">
        <f t="shared" si="7"/>
        <v>500</v>
      </c>
      <c r="AA16" s="107">
        <f t="shared" si="8"/>
        <v>1000</v>
      </c>
      <c r="AB16" s="107">
        <f t="shared" si="9"/>
        <v>1500</v>
      </c>
      <c r="AD16" s="14">
        <v>10</v>
      </c>
      <c r="AE16" s="14">
        <f t="shared" si="10"/>
        <v>5</v>
      </c>
      <c r="AF16" s="14">
        <f t="shared" si="11"/>
        <v>2</v>
      </c>
      <c r="AH16" t="str">
        <f t="shared" si="12"/>
        <v>500,1000,1500</v>
      </c>
      <c r="AI16" t="str">
        <f t="shared" si="13"/>
        <v>5,10,20</v>
      </c>
      <c r="AJ16" t="str">
        <f t="shared" si="14"/>
        <v>6.24,13.38,20.07</v>
      </c>
      <c r="AM16">
        <v>1.1000000000000001</v>
      </c>
    </row>
    <row r="17" spans="1:39" x14ac:dyDescent="0.25">
      <c r="A17" s="14">
        <v>11</v>
      </c>
      <c r="B17" s="14">
        <v>6.96</v>
      </c>
      <c r="C17" s="14">
        <v>0.5</v>
      </c>
      <c r="D17" s="14">
        <f t="shared" si="1"/>
        <v>1.1100000000000001</v>
      </c>
      <c r="E17" s="14">
        <f t="shared" si="2"/>
        <v>7.75</v>
      </c>
      <c r="F17" s="102">
        <v>6</v>
      </c>
      <c r="G17" s="14">
        <f ca="1">_xlfn.IFNA(INDEX(玩家节奏1!$EC:$EC,MATCH(关卡对比!A17,玩家节奏1!$N:$N,1)),1)</f>
        <v>1.1000000000000001</v>
      </c>
      <c r="H17" s="14">
        <f>_xlfn.IFNA(INDEX(玩家节奏2!$FG:$FG,MATCH(关卡对比!A17,玩家节奏2!$N:$N,1)),1)</f>
        <v>0</v>
      </c>
      <c r="I17" s="14">
        <v>1.24</v>
      </c>
      <c r="J17" s="14">
        <v>600</v>
      </c>
      <c r="K17" s="14">
        <f t="shared" si="0"/>
        <v>696</v>
      </c>
      <c r="N17" s="14">
        <v>11</v>
      </c>
      <c r="O17" s="14">
        <f t="shared" si="3"/>
        <v>15.5</v>
      </c>
      <c r="P17" s="14">
        <v>11</v>
      </c>
      <c r="Q17" s="14">
        <f t="shared" si="4"/>
        <v>1200</v>
      </c>
      <c r="T17" s="14">
        <v>11</v>
      </c>
      <c r="U17" s="14">
        <f t="shared" si="5"/>
        <v>23.25</v>
      </c>
      <c r="V17" s="14">
        <v>20</v>
      </c>
      <c r="W17" s="14">
        <f t="shared" si="6"/>
        <v>1800</v>
      </c>
      <c r="Y17" s="14">
        <v>11</v>
      </c>
      <c r="Z17" s="106">
        <f t="shared" si="7"/>
        <v>600</v>
      </c>
      <c r="AA17" s="107">
        <f t="shared" si="8"/>
        <v>1200</v>
      </c>
      <c r="AB17" s="107">
        <f t="shared" si="9"/>
        <v>1800</v>
      </c>
      <c r="AD17" s="14">
        <v>11</v>
      </c>
      <c r="AE17" s="14">
        <f t="shared" si="10"/>
        <v>6</v>
      </c>
      <c r="AF17" s="14">
        <f t="shared" si="11"/>
        <v>4</v>
      </c>
      <c r="AH17" t="str">
        <f t="shared" si="12"/>
        <v>600,1200,1800</v>
      </c>
      <c r="AI17" t="str">
        <f t="shared" si="13"/>
        <v>6,11,20</v>
      </c>
      <c r="AJ17" t="str">
        <f t="shared" si="14"/>
        <v>6.96,15.5,23.25</v>
      </c>
      <c r="AM17">
        <v>1.1100000000000001</v>
      </c>
    </row>
    <row r="18" spans="1:39" x14ac:dyDescent="0.25">
      <c r="A18" s="14">
        <v>12</v>
      </c>
      <c r="B18" s="14">
        <v>7.68</v>
      </c>
      <c r="C18" s="14">
        <v>0.5</v>
      </c>
      <c r="D18" s="14">
        <f t="shared" si="1"/>
        <v>1.1499999999999999</v>
      </c>
      <c r="E18" s="14">
        <f t="shared" si="2"/>
        <v>8.82</v>
      </c>
      <c r="F18" s="102">
        <v>6</v>
      </c>
      <c r="G18" s="14">
        <f ca="1">_xlfn.IFNA(INDEX(玩家节奏1!$EC:$EC,MATCH(关卡对比!A18,玩家节奏1!$N:$N,1)),1)</f>
        <v>1.32</v>
      </c>
      <c r="H18" s="14">
        <f>_xlfn.IFNA(INDEX(玩家节奏2!$FG:$FG,MATCH(关卡对比!A18,玩家节奏2!$N:$N,1)),1)</f>
        <v>0</v>
      </c>
      <c r="I18" s="14">
        <v>1.32</v>
      </c>
      <c r="J18" s="14">
        <v>650</v>
      </c>
      <c r="K18" s="14">
        <f t="shared" si="0"/>
        <v>768</v>
      </c>
      <c r="N18" s="14">
        <v>12</v>
      </c>
      <c r="O18" s="14">
        <f t="shared" si="3"/>
        <v>17.64</v>
      </c>
      <c r="P18" s="14">
        <v>11</v>
      </c>
      <c r="Q18" s="14">
        <f t="shared" si="4"/>
        <v>1300</v>
      </c>
      <c r="T18" s="14">
        <v>12</v>
      </c>
      <c r="U18" s="14">
        <f t="shared" si="5"/>
        <v>26.46</v>
      </c>
      <c r="V18" s="14">
        <v>20</v>
      </c>
      <c r="W18" s="14">
        <f t="shared" si="6"/>
        <v>1950</v>
      </c>
      <c r="Y18" s="14">
        <v>12</v>
      </c>
      <c r="Z18" s="106">
        <f t="shared" si="7"/>
        <v>650</v>
      </c>
      <c r="AA18" s="107">
        <f t="shared" si="8"/>
        <v>1300</v>
      </c>
      <c r="AB18" s="107">
        <f t="shared" si="9"/>
        <v>1950</v>
      </c>
      <c r="AD18" s="14">
        <v>12</v>
      </c>
      <c r="AE18" s="14">
        <f t="shared" si="10"/>
        <v>6</v>
      </c>
      <c r="AF18" s="14">
        <f t="shared" si="11"/>
        <v>4</v>
      </c>
      <c r="AH18" t="str">
        <f t="shared" si="12"/>
        <v>650,1300,1950</v>
      </c>
      <c r="AI18" t="str">
        <f t="shared" si="13"/>
        <v>6,11,20</v>
      </c>
      <c r="AJ18" t="str">
        <f t="shared" si="14"/>
        <v>7.68,17.64,26.46</v>
      </c>
      <c r="AM18">
        <v>1.32</v>
      </c>
    </row>
    <row r="19" spans="1:39" x14ac:dyDescent="0.25">
      <c r="A19" s="14">
        <v>13</v>
      </c>
      <c r="B19" s="14">
        <v>8.4</v>
      </c>
      <c r="C19" s="14">
        <v>0.5</v>
      </c>
      <c r="D19" s="14">
        <f t="shared" si="1"/>
        <v>1.17</v>
      </c>
      <c r="E19" s="14">
        <f t="shared" si="2"/>
        <v>9.8699999999999992</v>
      </c>
      <c r="F19" s="102">
        <v>6</v>
      </c>
      <c r="G19" s="14">
        <f ca="1">_xlfn.IFNA(INDEX(玩家节奏1!$EC:$EC,MATCH(关卡对比!A19,玩家节奏1!$N:$N,1)),1)</f>
        <v>1.32</v>
      </c>
      <c r="H19" s="14">
        <f>_xlfn.IFNA(INDEX(玩家节奏2!$FG:$FG,MATCH(关卡对比!A19,玩家节奏2!$N:$N,1)),1)</f>
        <v>0</v>
      </c>
      <c r="I19" s="14">
        <v>1.38</v>
      </c>
      <c r="J19" s="14">
        <v>700</v>
      </c>
      <c r="K19" s="14">
        <f t="shared" si="0"/>
        <v>840</v>
      </c>
      <c r="N19" s="14">
        <v>13</v>
      </c>
      <c r="O19" s="14">
        <f t="shared" si="3"/>
        <v>19.739999999999998</v>
      </c>
      <c r="P19" s="14">
        <v>12</v>
      </c>
      <c r="Q19" s="14">
        <f t="shared" si="4"/>
        <v>1400</v>
      </c>
      <c r="T19" s="14">
        <v>13</v>
      </c>
      <c r="U19" s="14">
        <f t="shared" si="5"/>
        <v>29.61</v>
      </c>
      <c r="V19" s="14">
        <v>20</v>
      </c>
      <c r="W19" s="14">
        <f t="shared" si="6"/>
        <v>2100</v>
      </c>
      <c r="Y19" s="14">
        <v>13</v>
      </c>
      <c r="Z19" s="106">
        <f t="shared" si="7"/>
        <v>700</v>
      </c>
      <c r="AA19" s="107">
        <f t="shared" si="8"/>
        <v>1400</v>
      </c>
      <c r="AB19" s="108">
        <f t="shared" si="9"/>
        <v>2100</v>
      </c>
      <c r="AD19" s="14">
        <v>13</v>
      </c>
      <c r="AE19" s="14">
        <f t="shared" si="10"/>
        <v>7</v>
      </c>
      <c r="AF19" s="14">
        <f t="shared" si="11"/>
        <v>4</v>
      </c>
      <c r="AH19" t="str">
        <f t="shared" si="12"/>
        <v>700,1400,2100</v>
      </c>
      <c r="AI19" t="str">
        <f t="shared" si="13"/>
        <v>6,12,20</v>
      </c>
      <c r="AJ19" t="str">
        <f t="shared" si="14"/>
        <v>8.4,19.74,29.61</v>
      </c>
      <c r="AM19">
        <v>1.32</v>
      </c>
    </row>
    <row r="20" spans="1:39" x14ac:dyDescent="0.25">
      <c r="A20" s="14">
        <v>14</v>
      </c>
      <c r="B20" s="14">
        <v>7.6</v>
      </c>
      <c r="C20" s="14">
        <v>0.5</v>
      </c>
      <c r="D20" s="14">
        <f t="shared" si="1"/>
        <v>1.2</v>
      </c>
      <c r="E20" s="14">
        <f t="shared" si="2"/>
        <v>9.1199999999999992</v>
      </c>
      <c r="F20" s="102">
        <v>7</v>
      </c>
      <c r="G20" s="14">
        <f ca="1">_xlfn.IFNA(INDEX(玩家节奏1!$EC:$EC,MATCH(关卡对比!A20,玩家节奏1!$N:$N,1)),1)</f>
        <v>1.32</v>
      </c>
      <c r="H20" s="14">
        <f>_xlfn.IFNA(INDEX(玩家节奏2!$FG:$FG,MATCH(关卡对比!A20,玩家节奏2!$N:$N,1)),1)</f>
        <v>0</v>
      </c>
      <c r="I20" s="14">
        <v>1.44</v>
      </c>
      <c r="J20" s="14">
        <v>750</v>
      </c>
      <c r="K20" s="14">
        <f t="shared" si="0"/>
        <v>760</v>
      </c>
      <c r="N20" s="14">
        <v>14</v>
      </c>
      <c r="O20" s="14">
        <f t="shared" si="3"/>
        <v>18.239999999999998</v>
      </c>
      <c r="P20" s="14">
        <v>12</v>
      </c>
      <c r="Q20" s="14">
        <f t="shared" si="4"/>
        <v>1500</v>
      </c>
      <c r="T20" s="14">
        <v>14</v>
      </c>
      <c r="U20" s="14">
        <f t="shared" si="5"/>
        <v>27.36</v>
      </c>
      <c r="V20" s="14">
        <v>20</v>
      </c>
      <c r="W20" s="14">
        <f t="shared" si="6"/>
        <v>2250</v>
      </c>
      <c r="Y20" s="14">
        <v>14</v>
      </c>
      <c r="Z20" s="106">
        <f t="shared" si="7"/>
        <v>750</v>
      </c>
      <c r="AA20" s="107">
        <f t="shared" si="8"/>
        <v>1500</v>
      </c>
      <c r="AB20" s="108">
        <f t="shared" si="9"/>
        <v>2250</v>
      </c>
      <c r="AD20" s="14">
        <v>14</v>
      </c>
      <c r="AE20" s="14">
        <f t="shared" si="10"/>
        <v>7</v>
      </c>
      <c r="AF20" s="14">
        <f t="shared" si="11"/>
        <v>5</v>
      </c>
      <c r="AH20" t="str">
        <f t="shared" si="12"/>
        <v>750,1500,2250</v>
      </c>
      <c r="AI20" t="str">
        <f t="shared" si="13"/>
        <v>7,12,20</v>
      </c>
      <c r="AJ20" t="str">
        <f t="shared" si="14"/>
        <v>7.6,18.24,27.36</v>
      </c>
      <c r="AM20">
        <v>1.32</v>
      </c>
    </row>
    <row r="21" spans="1:39" x14ac:dyDescent="0.25">
      <c r="A21" s="14">
        <v>15</v>
      </c>
      <c r="B21" s="14">
        <v>9</v>
      </c>
      <c r="C21" s="14">
        <v>0.5</v>
      </c>
      <c r="D21" s="14">
        <f t="shared" si="1"/>
        <v>1.22</v>
      </c>
      <c r="E21" s="14">
        <f t="shared" si="2"/>
        <v>10.99</v>
      </c>
      <c r="F21" s="102">
        <v>7</v>
      </c>
      <c r="G21" s="14">
        <f ca="1">_xlfn.IFNA(INDEX(玩家节奏1!$EC:$EC,MATCH(关卡对比!A21,玩家节奏1!$N:$N,1)),1)</f>
        <v>1.32</v>
      </c>
      <c r="H21" s="14">
        <f>_xlfn.IFNA(INDEX(玩家节奏2!$FG:$FG,MATCH(关卡对比!A21,玩家节奏2!$N:$N,1)),1)</f>
        <v>0</v>
      </c>
      <c r="I21" s="14">
        <v>1.49</v>
      </c>
      <c r="J21" s="14">
        <v>900</v>
      </c>
      <c r="K21" s="14">
        <f t="shared" si="0"/>
        <v>900</v>
      </c>
      <c r="N21" s="14">
        <v>15</v>
      </c>
      <c r="O21" s="14">
        <f>$B$2*E21</f>
        <v>21.98</v>
      </c>
      <c r="P21" s="14">
        <v>13</v>
      </c>
      <c r="Q21" s="14">
        <f t="shared" si="4"/>
        <v>1800</v>
      </c>
      <c r="T21" s="14">
        <v>15</v>
      </c>
      <c r="U21" s="14">
        <f t="shared" si="5"/>
        <v>32.97</v>
      </c>
      <c r="V21" s="14">
        <v>20</v>
      </c>
      <c r="W21" s="14">
        <f t="shared" si="6"/>
        <v>2700</v>
      </c>
      <c r="Y21" s="14">
        <v>15</v>
      </c>
      <c r="Z21" s="106">
        <f t="shared" si="7"/>
        <v>900</v>
      </c>
      <c r="AA21" s="107">
        <f t="shared" si="8"/>
        <v>1800</v>
      </c>
      <c r="AB21" s="108">
        <f t="shared" si="9"/>
        <v>2700</v>
      </c>
      <c r="AD21" s="14">
        <v>15</v>
      </c>
      <c r="AE21" s="14">
        <f t="shared" si="10"/>
        <v>9</v>
      </c>
      <c r="AF21" s="14">
        <f t="shared" si="11"/>
        <v>6</v>
      </c>
      <c r="AH21" t="str">
        <f t="shared" si="12"/>
        <v>900,1800,2700</v>
      </c>
      <c r="AI21" t="str">
        <f t="shared" si="13"/>
        <v>7,13,20</v>
      </c>
      <c r="AJ21" t="str">
        <f t="shared" si="14"/>
        <v>9,21.98,32.97</v>
      </c>
      <c r="AM21">
        <v>1.33</v>
      </c>
    </row>
    <row r="22" spans="1:39" x14ac:dyDescent="0.25">
      <c r="A22" s="14">
        <v>16</v>
      </c>
      <c r="B22" s="14">
        <v>11</v>
      </c>
      <c r="C22" s="14">
        <v>0.5</v>
      </c>
      <c r="D22" s="14">
        <f t="shared" si="1"/>
        <v>1.24</v>
      </c>
      <c r="E22" s="14">
        <f t="shared" si="2"/>
        <v>13.65</v>
      </c>
      <c r="F22" s="102">
        <v>7</v>
      </c>
      <c r="G22" s="14">
        <f ca="1">_xlfn.IFNA(INDEX(玩家节奏1!$EC:$EC,MATCH(关卡对比!A22,玩家节奏1!$N:$N,1)),1)</f>
        <v>1.54</v>
      </c>
      <c r="H22" s="14">
        <f ca="1">_xlfn.IFNA(INDEX(玩家节奏2!$FG:$FG,MATCH(关卡对比!A22,玩家节奏2!$N:$N,1)),1)</f>
        <v>1.32</v>
      </c>
      <c r="I22" s="14">
        <v>1.54</v>
      </c>
      <c r="J22" s="14">
        <v>1100</v>
      </c>
      <c r="K22" s="14">
        <f t="shared" si="0"/>
        <v>1100</v>
      </c>
      <c r="N22" s="14">
        <v>16</v>
      </c>
      <c r="O22" s="14">
        <f t="shared" si="3"/>
        <v>27.3</v>
      </c>
      <c r="P22" s="14">
        <v>13</v>
      </c>
      <c r="Q22" s="14">
        <f t="shared" si="4"/>
        <v>2200</v>
      </c>
      <c r="T22" s="14">
        <v>16</v>
      </c>
      <c r="U22" s="14">
        <f t="shared" si="5"/>
        <v>40.950000000000003</v>
      </c>
      <c r="V22" s="14">
        <v>20</v>
      </c>
      <c r="W22" s="14">
        <f t="shared" si="6"/>
        <v>3300</v>
      </c>
      <c r="Y22" s="14">
        <v>16</v>
      </c>
      <c r="Z22" s="107">
        <f t="shared" si="7"/>
        <v>1100</v>
      </c>
      <c r="AA22" s="108">
        <f t="shared" si="8"/>
        <v>2200</v>
      </c>
      <c r="AB22" s="108">
        <f t="shared" si="9"/>
        <v>3300</v>
      </c>
      <c r="AD22" s="14">
        <v>16</v>
      </c>
      <c r="AE22" s="14">
        <f t="shared" si="10"/>
        <v>10</v>
      </c>
      <c r="AF22" s="14">
        <f t="shared" si="11"/>
        <v>7</v>
      </c>
      <c r="AH22" t="str">
        <f t="shared" si="12"/>
        <v>1100,2200,3300</v>
      </c>
      <c r="AI22" t="str">
        <f t="shared" si="13"/>
        <v>7,13,20</v>
      </c>
      <c r="AJ22" t="str">
        <f t="shared" si="14"/>
        <v>11,27.3,40.95</v>
      </c>
      <c r="AM22">
        <v>1.54</v>
      </c>
    </row>
    <row r="23" spans="1:39" x14ac:dyDescent="0.25">
      <c r="A23" s="14">
        <v>17</v>
      </c>
      <c r="B23" s="14">
        <v>13</v>
      </c>
      <c r="C23" s="14">
        <v>0.5</v>
      </c>
      <c r="D23" s="14">
        <f t="shared" si="1"/>
        <v>1.26</v>
      </c>
      <c r="E23" s="14">
        <f t="shared" si="2"/>
        <v>16.39</v>
      </c>
      <c r="F23" s="102">
        <v>8</v>
      </c>
      <c r="G23" s="14">
        <f ca="1">_xlfn.IFNA(INDEX(玩家节奏1!$EC:$EC,MATCH(关卡对比!A23,玩家节奏1!$N:$N,1)),1)</f>
        <v>1.54</v>
      </c>
      <c r="H23" s="14">
        <f ca="1">_xlfn.IFNA(INDEX(玩家节奏2!$FG:$FG,MATCH(关卡对比!A23,玩家节奏2!$N:$N,1)),1)</f>
        <v>1.32</v>
      </c>
      <c r="I23" s="14">
        <v>1.59</v>
      </c>
      <c r="J23" s="14">
        <v>1300</v>
      </c>
      <c r="K23" s="14">
        <f t="shared" si="0"/>
        <v>1300</v>
      </c>
      <c r="N23" s="14">
        <v>17</v>
      </c>
      <c r="O23" s="14">
        <f t="shared" si="3"/>
        <v>32.78</v>
      </c>
      <c r="P23" s="14">
        <v>14</v>
      </c>
      <c r="Q23" s="14">
        <f t="shared" si="4"/>
        <v>2600</v>
      </c>
      <c r="T23" s="14">
        <v>17</v>
      </c>
      <c r="U23" s="14">
        <f t="shared" si="5"/>
        <v>49.17</v>
      </c>
      <c r="V23" s="14">
        <v>20</v>
      </c>
      <c r="W23" s="14">
        <f t="shared" si="6"/>
        <v>3900</v>
      </c>
      <c r="Y23" s="14">
        <v>17</v>
      </c>
      <c r="Z23" s="107">
        <f t="shared" si="7"/>
        <v>1300</v>
      </c>
      <c r="AA23" s="108">
        <f t="shared" si="8"/>
        <v>2600</v>
      </c>
      <c r="AB23" s="104">
        <f t="shared" si="9"/>
        <v>3900</v>
      </c>
      <c r="AD23" s="14">
        <v>17</v>
      </c>
      <c r="AE23" s="14">
        <f t="shared" si="10"/>
        <v>12</v>
      </c>
      <c r="AF23" s="14">
        <f t="shared" si="11"/>
        <v>8</v>
      </c>
      <c r="AH23" t="str">
        <f t="shared" si="12"/>
        <v>1300,2600,3900</v>
      </c>
      <c r="AI23" t="str">
        <f t="shared" si="13"/>
        <v>8,14,20</v>
      </c>
      <c r="AJ23" t="str">
        <f t="shared" si="14"/>
        <v>13,32.78,49.17</v>
      </c>
      <c r="AM23">
        <v>1.54</v>
      </c>
    </row>
    <row r="24" spans="1:39" x14ac:dyDescent="0.25">
      <c r="A24" s="14">
        <v>18</v>
      </c>
      <c r="B24" s="14">
        <v>15</v>
      </c>
      <c r="C24" s="14">
        <v>0.5</v>
      </c>
      <c r="D24" s="14">
        <f t="shared" si="1"/>
        <v>1.28</v>
      </c>
      <c r="E24" s="14">
        <f t="shared" si="2"/>
        <v>19.149999999999999</v>
      </c>
      <c r="F24" s="102">
        <v>8</v>
      </c>
      <c r="G24" s="14">
        <f ca="1">_xlfn.IFNA(INDEX(玩家节奏1!$EC:$EC,MATCH(关卡对比!A24,玩家节奏1!$N:$N,1)),1)</f>
        <v>1.54</v>
      </c>
      <c r="H24" s="14">
        <f ca="1">_xlfn.IFNA(INDEX(玩家节奏2!$FG:$FG,MATCH(关卡对比!A24,玩家节奏2!$N:$N,1)),1)</f>
        <v>1.32</v>
      </c>
      <c r="I24" s="14">
        <v>1.63</v>
      </c>
      <c r="J24" s="14">
        <f>K24</f>
        <v>1500</v>
      </c>
      <c r="K24" s="14">
        <f>B24*100</f>
        <v>1500</v>
      </c>
      <c r="N24" s="14">
        <v>18</v>
      </c>
      <c r="O24" s="14">
        <f t="shared" si="3"/>
        <v>38.299999999999997</v>
      </c>
      <c r="P24" s="14">
        <v>14</v>
      </c>
      <c r="Q24" s="14">
        <f t="shared" si="4"/>
        <v>3000</v>
      </c>
      <c r="T24" s="14">
        <v>18</v>
      </c>
      <c r="U24" s="14">
        <f t="shared" si="5"/>
        <v>57.449999999999996</v>
      </c>
      <c r="V24" s="14">
        <v>20</v>
      </c>
      <c r="W24" s="14">
        <f t="shared" si="6"/>
        <v>4500</v>
      </c>
      <c r="Y24" s="14">
        <v>18</v>
      </c>
      <c r="Z24" s="107">
        <f t="shared" si="7"/>
        <v>1500</v>
      </c>
      <c r="AA24" s="108">
        <f t="shared" si="8"/>
        <v>3000</v>
      </c>
      <c r="AB24" s="104">
        <f t="shared" si="9"/>
        <v>4500</v>
      </c>
      <c r="AD24" s="14">
        <v>18</v>
      </c>
      <c r="AE24" s="14">
        <f t="shared" si="10"/>
        <v>14</v>
      </c>
      <c r="AF24" s="14">
        <f t="shared" si="11"/>
        <v>10</v>
      </c>
      <c r="AH24" t="str">
        <f t="shared" si="12"/>
        <v>1500,3000,4500</v>
      </c>
      <c r="AI24" t="str">
        <f t="shared" si="13"/>
        <v>8,14,20</v>
      </c>
      <c r="AJ24" t="str">
        <f t="shared" si="14"/>
        <v>15,38.3,57.45</v>
      </c>
      <c r="AM24">
        <v>1.54</v>
      </c>
    </row>
    <row r="25" spans="1:39" x14ac:dyDescent="0.25">
      <c r="A25" s="14">
        <v>19</v>
      </c>
      <c r="B25" s="14">
        <v>17</v>
      </c>
      <c r="C25" s="14">
        <v>0.5</v>
      </c>
      <c r="D25" s="14">
        <f t="shared" si="1"/>
        <v>1.3</v>
      </c>
      <c r="E25" s="14">
        <f t="shared" si="2"/>
        <v>22.03</v>
      </c>
      <c r="F25" s="102">
        <v>8</v>
      </c>
      <c r="G25" s="14">
        <f ca="1">_xlfn.IFNA(INDEX(玩家节奏1!$EC:$EC,MATCH(关卡对比!A25,玩家节奏1!$N:$N,1)),1)</f>
        <v>1.54</v>
      </c>
      <c r="H25" s="14">
        <f ca="1">_xlfn.IFNA(INDEX(玩家节奏2!$FG:$FG,MATCH(关卡对比!A25,玩家节奏2!$N:$N,1)),1)</f>
        <v>1.32</v>
      </c>
      <c r="I25" s="14">
        <v>1.68</v>
      </c>
      <c r="J25" s="14">
        <f t="shared" ref="J25:J55" si="15">K25</f>
        <v>1700</v>
      </c>
      <c r="K25" s="14">
        <f t="shared" si="0"/>
        <v>1700</v>
      </c>
      <c r="N25" s="14">
        <v>19</v>
      </c>
      <c r="O25" s="14">
        <f t="shared" si="3"/>
        <v>44.06</v>
      </c>
      <c r="P25" s="14">
        <v>14</v>
      </c>
      <c r="Q25" s="14">
        <f t="shared" si="4"/>
        <v>3400</v>
      </c>
      <c r="T25" s="14">
        <v>19</v>
      </c>
      <c r="U25" s="14">
        <f t="shared" si="5"/>
        <v>66.09</v>
      </c>
      <c r="V25" s="14">
        <v>20</v>
      </c>
      <c r="W25" s="14">
        <f t="shared" si="6"/>
        <v>5100</v>
      </c>
      <c r="Y25" s="14">
        <v>19</v>
      </c>
      <c r="Z25" s="107">
        <f t="shared" si="7"/>
        <v>1700</v>
      </c>
      <c r="AA25" s="108">
        <f t="shared" si="8"/>
        <v>3400</v>
      </c>
      <c r="AB25" s="105">
        <f t="shared" si="9"/>
        <v>5100</v>
      </c>
      <c r="AD25" s="14">
        <v>19</v>
      </c>
      <c r="AE25" s="14">
        <f t="shared" si="10"/>
        <v>14</v>
      </c>
      <c r="AF25" s="14">
        <f t="shared" si="11"/>
        <v>10</v>
      </c>
      <c r="AH25" t="str">
        <f t="shared" si="12"/>
        <v>1700,3400,5100</v>
      </c>
      <c r="AI25" t="str">
        <f t="shared" si="13"/>
        <v>8,14,20</v>
      </c>
      <c r="AJ25" t="str">
        <f t="shared" si="14"/>
        <v>17,44.06,66.09</v>
      </c>
      <c r="AM25">
        <v>1.54</v>
      </c>
    </row>
    <row r="26" spans="1:39" x14ac:dyDescent="0.25">
      <c r="A26" s="14">
        <v>20</v>
      </c>
      <c r="B26" s="14">
        <v>19</v>
      </c>
      <c r="C26" s="14">
        <v>0.5</v>
      </c>
      <c r="D26" s="14">
        <f t="shared" si="1"/>
        <v>1.31</v>
      </c>
      <c r="E26" s="14">
        <f t="shared" si="2"/>
        <v>24.92</v>
      </c>
      <c r="F26" s="102">
        <v>9</v>
      </c>
      <c r="G26" s="14">
        <f ca="1">_xlfn.IFNA(INDEX(玩家节奏1!$EC:$EC,MATCH(关卡对比!A26,玩家节奏1!$N:$N,1)),1)</f>
        <v>1.54</v>
      </c>
      <c r="H26" s="14">
        <f ca="1">_xlfn.IFNA(INDEX(玩家节奏2!$FG:$FG,MATCH(关卡对比!A26,玩家节奏2!$N:$N,1)),1)</f>
        <v>1.54</v>
      </c>
      <c r="I26" s="14">
        <v>1.72</v>
      </c>
      <c r="J26" s="14">
        <f t="shared" si="15"/>
        <v>1900</v>
      </c>
      <c r="K26" s="14">
        <f t="shared" si="0"/>
        <v>1900</v>
      </c>
      <c r="N26" s="14">
        <v>20</v>
      </c>
      <c r="O26" s="14">
        <f t="shared" si="3"/>
        <v>49.84</v>
      </c>
      <c r="P26" s="14">
        <v>14</v>
      </c>
      <c r="Q26" s="14">
        <f t="shared" si="4"/>
        <v>3800</v>
      </c>
      <c r="T26" s="14">
        <v>20</v>
      </c>
      <c r="U26" s="14">
        <f t="shared" si="5"/>
        <v>74.760000000000005</v>
      </c>
      <c r="V26" s="14">
        <v>20</v>
      </c>
      <c r="W26" s="14">
        <f t="shared" si="6"/>
        <v>5700</v>
      </c>
      <c r="Y26" s="14">
        <v>20</v>
      </c>
      <c r="Z26" s="107">
        <f t="shared" si="7"/>
        <v>1900</v>
      </c>
      <c r="AA26" s="104">
        <f t="shared" si="8"/>
        <v>3800</v>
      </c>
      <c r="AB26" s="105">
        <f t="shared" si="9"/>
        <v>5700</v>
      </c>
      <c r="AD26" s="14">
        <v>20</v>
      </c>
      <c r="AE26" s="14">
        <f t="shared" si="10"/>
        <v>15</v>
      </c>
      <c r="AF26" s="14">
        <f t="shared" si="11"/>
        <v>11</v>
      </c>
      <c r="AH26" t="str">
        <f t="shared" si="12"/>
        <v>1900,3800,5700</v>
      </c>
      <c r="AI26" t="str">
        <f t="shared" si="13"/>
        <v>9,14,20</v>
      </c>
      <c r="AJ26" t="str">
        <f t="shared" si="14"/>
        <v>19,49.84,74.76</v>
      </c>
      <c r="AM26">
        <v>1.55</v>
      </c>
    </row>
    <row r="27" spans="1:39" x14ac:dyDescent="0.25">
      <c r="A27" s="14">
        <v>21</v>
      </c>
      <c r="B27" s="14">
        <v>21</v>
      </c>
      <c r="C27" s="14">
        <v>0.6</v>
      </c>
      <c r="D27" s="14">
        <f t="shared" si="1"/>
        <v>1.4</v>
      </c>
      <c r="E27" s="14">
        <f t="shared" si="2"/>
        <v>29.48</v>
      </c>
      <c r="F27" s="102">
        <v>9</v>
      </c>
      <c r="G27" s="14">
        <f ca="1">_xlfn.IFNA(INDEX(玩家节奏1!$EC:$EC,MATCH(关卡对比!A27,玩家节奏1!$N:$N,1)),1)</f>
        <v>1.7600000000000002</v>
      </c>
      <c r="H27" s="14">
        <f ca="1">_xlfn.IFNA(INDEX(玩家节奏2!$FG:$FG,MATCH(关卡对比!A27,玩家节奏2!$N:$N,1)),1)</f>
        <v>1.54</v>
      </c>
      <c r="I27" s="14">
        <v>1.76</v>
      </c>
      <c r="J27" s="14">
        <f>K27</f>
        <v>2100</v>
      </c>
      <c r="K27" s="14">
        <f t="shared" si="0"/>
        <v>2100</v>
      </c>
      <c r="N27" s="14">
        <v>21</v>
      </c>
      <c r="O27" s="14">
        <f t="shared" si="3"/>
        <v>58.96</v>
      </c>
      <c r="P27" s="14">
        <v>14</v>
      </c>
      <c r="Q27" s="14">
        <f t="shared" si="4"/>
        <v>4200</v>
      </c>
      <c r="T27" s="14">
        <v>21</v>
      </c>
      <c r="U27" s="14">
        <f t="shared" si="5"/>
        <v>88.44</v>
      </c>
      <c r="V27" s="14">
        <v>20</v>
      </c>
      <c r="W27" s="14">
        <f t="shared" si="6"/>
        <v>6300</v>
      </c>
      <c r="Y27" s="14">
        <v>21</v>
      </c>
      <c r="Z27" s="108">
        <f t="shared" si="7"/>
        <v>2100</v>
      </c>
      <c r="AA27" s="104">
        <f t="shared" si="8"/>
        <v>4200</v>
      </c>
      <c r="AB27" s="106">
        <f t="shared" si="9"/>
        <v>6300</v>
      </c>
      <c r="AD27" s="14">
        <v>21</v>
      </c>
      <c r="AE27" s="14">
        <f t="shared" si="10"/>
        <v>15</v>
      </c>
      <c r="AF27" s="14">
        <f t="shared" si="11"/>
        <v>13</v>
      </c>
      <c r="AH27" t="str">
        <f t="shared" si="12"/>
        <v>2100,4200,6300</v>
      </c>
      <c r="AI27" t="str">
        <f t="shared" si="13"/>
        <v>9,14,20</v>
      </c>
      <c r="AJ27" t="str">
        <f t="shared" si="14"/>
        <v>21,58.96,88.44</v>
      </c>
      <c r="AM27">
        <v>1.76</v>
      </c>
    </row>
    <row r="28" spans="1:39" x14ac:dyDescent="0.25">
      <c r="A28" s="14">
        <v>22</v>
      </c>
      <c r="B28" s="14">
        <v>23</v>
      </c>
      <c r="C28" s="14">
        <v>0.6</v>
      </c>
      <c r="D28" s="14">
        <f t="shared" si="1"/>
        <v>1.42</v>
      </c>
      <c r="E28" s="14">
        <f t="shared" si="2"/>
        <v>32.729999999999997</v>
      </c>
      <c r="F28" s="102">
        <v>9</v>
      </c>
      <c r="G28" s="14">
        <f ca="1">_xlfn.IFNA(INDEX(玩家节奏1!$EC:$EC,MATCH(关卡对比!A28,玩家节奏1!$N:$N,1)),1)</f>
        <v>1.7600000000000002</v>
      </c>
      <c r="H28" s="14">
        <f ca="1">_xlfn.IFNA(INDEX(玩家节奏2!$FG:$FG,MATCH(关卡对比!A28,玩家节奏2!$N:$N,1)),1)</f>
        <v>1.54</v>
      </c>
      <c r="I28" s="14">
        <v>1.8</v>
      </c>
      <c r="J28" s="14">
        <f t="shared" si="15"/>
        <v>2300</v>
      </c>
      <c r="K28" s="14">
        <f t="shared" si="0"/>
        <v>2300</v>
      </c>
      <c r="N28" s="14">
        <v>22</v>
      </c>
      <c r="O28" s="14">
        <f t="shared" si="3"/>
        <v>65.459999999999994</v>
      </c>
      <c r="P28" s="14">
        <v>14</v>
      </c>
      <c r="Q28" s="14">
        <f t="shared" si="4"/>
        <v>4600</v>
      </c>
      <c r="T28" s="14">
        <v>22</v>
      </c>
      <c r="U28" s="14">
        <f t="shared" si="5"/>
        <v>98.19</v>
      </c>
      <c r="V28" s="14">
        <v>20</v>
      </c>
      <c r="W28" s="14">
        <f t="shared" si="6"/>
        <v>6900</v>
      </c>
      <c r="Y28" s="14">
        <v>22</v>
      </c>
      <c r="Z28" s="108">
        <f t="shared" si="7"/>
        <v>2300</v>
      </c>
      <c r="AA28" s="105">
        <f t="shared" si="8"/>
        <v>4600</v>
      </c>
      <c r="AB28" s="106">
        <f t="shared" si="9"/>
        <v>6900</v>
      </c>
      <c r="AD28" s="14">
        <v>22</v>
      </c>
      <c r="AE28" s="14">
        <f t="shared" si="10"/>
        <v>16</v>
      </c>
      <c r="AF28" s="14">
        <f t="shared" si="11"/>
        <v>14</v>
      </c>
      <c r="AH28" t="str">
        <f t="shared" si="12"/>
        <v>2300,4600,6900</v>
      </c>
      <c r="AI28" t="str">
        <f t="shared" si="13"/>
        <v>9,14,20</v>
      </c>
      <c r="AJ28" t="str">
        <f t="shared" si="14"/>
        <v>23,65.46,98.19</v>
      </c>
      <c r="AM28">
        <v>1.76</v>
      </c>
    </row>
    <row r="29" spans="1:39" x14ac:dyDescent="0.25">
      <c r="A29" s="14">
        <v>23</v>
      </c>
      <c r="B29" s="14">
        <v>25</v>
      </c>
      <c r="C29" s="14">
        <v>0.6</v>
      </c>
      <c r="D29" s="14">
        <f t="shared" si="1"/>
        <v>1.44</v>
      </c>
      <c r="E29" s="14">
        <f t="shared" si="2"/>
        <v>35.93</v>
      </c>
      <c r="F29" s="102">
        <v>10</v>
      </c>
      <c r="G29" s="14">
        <f ca="1">_xlfn.IFNA(INDEX(玩家节奏1!$EC:$EC,MATCH(关卡对比!A29,玩家节奏1!$N:$N,1)),1)</f>
        <v>1.7600000000000002</v>
      </c>
      <c r="H29" s="14">
        <f ca="1">_xlfn.IFNA(INDEX(玩家节奏2!$FG:$FG,MATCH(关卡对比!A29,玩家节奏2!$N:$N,1)),1)</f>
        <v>1.8304000000000002</v>
      </c>
      <c r="I29" s="14">
        <v>1.83</v>
      </c>
      <c r="J29" s="14">
        <f t="shared" si="15"/>
        <v>2500</v>
      </c>
      <c r="K29" s="14">
        <f t="shared" si="0"/>
        <v>2500</v>
      </c>
      <c r="N29" s="14">
        <v>23</v>
      </c>
      <c r="O29" s="14">
        <f t="shared" si="3"/>
        <v>71.86</v>
      </c>
      <c r="P29" s="14">
        <v>14</v>
      </c>
      <c r="Q29" s="14">
        <f t="shared" si="4"/>
        <v>5000</v>
      </c>
      <c r="T29" s="14">
        <v>23</v>
      </c>
      <c r="U29" s="14">
        <f t="shared" si="5"/>
        <v>107.78999999999999</v>
      </c>
      <c r="V29" s="14">
        <v>20</v>
      </c>
      <c r="W29" s="14">
        <f t="shared" si="6"/>
        <v>7500</v>
      </c>
      <c r="Y29" s="14">
        <v>23</v>
      </c>
      <c r="Z29" s="108">
        <f t="shared" si="7"/>
        <v>2500</v>
      </c>
      <c r="AA29" s="105">
        <f t="shared" si="8"/>
        <v>5000</v>
      </c>
      <c r="AB29" s="107">
        <f t="shared" si="9"/>
        <v>7500</v>
      </c>
      <c r="AD29" s="14">
        <v>23</v>
      </c>
      <c r="AE29" s="14">
        <f t="shared" si="10"/>
        <v>16</v>
      </c>
      <c r="AF29" s="14">
        <f t="shared" si="11"/>
        <v>14</v>
      </c>
      <c r="AH29" t="str">
        <f t="shared" si="12"/>
        <v>2500,5000,7500</v>
      </c>
      <c r="AI29" t="str">
        <f t="shared" si="13"/>
        <v>10,14,20</v>
      </c>
      <c r="AJ29" t="str">
        <f t="shared" si="14"/>
        <v>25,71.86,107.79</v>
      </c>
      <c r="AM29">
        <v>1.76</v>
      </c>
    </row>
    <row r="30" spans="1:39" x14ac:dyDescent="0.25">
      <c r="A30" s="14">
        <v>24</v>
      </c>
      <c r="B30" s="14">
        <v>27</v>
      </c>
      <c r="C30" s="14">
        <v>0.6</v>
      </c>
      <c r="D30" s="14">
        <f t="shared" si="1"/>
        <v>1.46</v>
      </c>
      <c r="E30" s="14">
        <f t="shared" si="2"/>
        <v>39.31</v>
      </c>
      <c r="F30" s="102">
        <v>10</v>
      </c>
      <c r="G30" s="14">
        <f ca="1">_xlfn.IFNA(INDEX(玩家节奏1!$EC:$EC,MATCH(关卡对比!A30,玩家节奏1!$N:$N,1)),1)</f>
        <v>1.7600000000000002</v>
      </c>
      <c r="H30" s="14">
        <f ca="1">_xlfn.IFNA(INDEX(玩家节奏2!$FG:$FG,MATCH(关卡对比!A30,玩家节奏2!$N:$N,1)),1)</f>
        <v>1.8304000000000002</v>
      </c>
      <c r="I30" s="14">
        <v>1.87</v>
      </c>
      <c r="J30" s="14">
        <f t="shared" si="15"/>
        <v>2700</v>
      </c>
      <c r="K30" s="14">
        <f t="shared" si="0"/>
        <v>2700</v>
      </c>
      <c r="N30" s="14">
        <v>24</v>
      </c>
      <c r="O30" s="14">
        <f t="shared" si="3"/>
        <v>78.62</v>
      </c>
      <c r="P30" s="14">
        <v>14</v>
      </c>
      <c r="Q30" s="14">
        <f t="shared" si="4"/>
        <v>5400</v>
      </c>
      <c r="T30" s="14">
        <v>24</v>
      </c>
      <c r="U30" s="14">
        <f t="shared" si="5"/>
        <v>117.93</v>
      </c>
      <c r="V30" s="14">
        <v>20</v>
      </c>
      <c r="W30" s="14">
        <f t="shared" si="6"/>
        <v>8100</v>
      </c>
      <c r="Y30" s="14">
        <v>24</v>
      </c>
      <c r="Z30" s="108">
        <f t="shared" si="7"/>
        <v>2700</v>
      </c>
      <c r="AA30" s="105">
        <f t="shared" si="8"/>
        <v>5400</v>
      </c>
      <c r="AB30" s="108">
        <f t="shared" si="9"/>
        <v>8100</v>
      </c>
      <c r="AD30" s="14">
        <v>24</v>
      </c>
      <c r="AE30" s="14">
        <f t="shared" si="10"/>
        <v>17</v>
      </c>
      <c r="AF30" s="14">
        <f t="shared" si="11"/>
        <v>15</v>
      </c>
      <c r="AH30" t="str">
        <f t="shared" si="12"/>
        <v>2700,5400,8100</v>
      </c>
      <c r="AI30" t="str">
        <f t="shared" si="13"/>
        <v>10,14,20</v>
      </c>
      <c r="AJ30" t="str">
        <f t="shared" si="14"/>
        <v>27,78.62,117.93</v>
      </c>
      <c r="AM30">
        <v>1.76</v>
      </c>
    </row>
    <row r="31" spans="1:39" x14ac:dyDescent="0.25">
      <c r="A31" s="14">
        <v>25</v>
      </c>
      <c r="B31" s="14">
        <v>29</v>
      </c>
      <c r="C31" s="14">
        <v>0.6</v>
      </c>
      <c r="D31" s="14">
        <f t="shared" si="1"/>
        <v>1.47</v>
      </c>
      <c r="E31" s="14">
        <f t="shared" si="2"/>
        <v>42.62</v>
      </c>
      <c r="F31" s="102">
        <v>10</v>
      </c>
      <c r="G31" s="14">
        <f ca="1">_xlfn.IFNA(INDEX(玩家节奏1!$EC:$EC,MATCH(关卡对比!A31,玩家节奏1!$N:$N,1)),1)</f>
        <v>1.7600000000000002</v>
      </c>
      <c r="H31" s="14">
        <f ca="1">_xlfn.IFNA(INDEX(玩家节奏2!$FG:$FG,MATCH(关卡对比!A31,玩家节奏2!$N:$N,1)),1)</f>
        <v>1.8304000000000002</v>
      </c>
      <c r="I31" s="14">
        <v>1.9</v>
      </c>
      <c r="J31" s="14">
        <f t="shared" si="15"/>
        <v>2900</v>
      </c>
      <c r="K31" s="14">
        <f t="shared" si="0"/>
        <v>2900</v>
      </c>
      <c r="N31" s="14">
        <v>25</v>
      </c>
      <c r="O31" s="14">
        <f t="shared" si="3"/>
        <v>85.24</v>
      </c>
      <c r="P31" s="14">
        <v>14</v>
      </c>
      <c r="Q31" s="14">
        <f t="shared" si="4"/>
        <v>5800</v>
      </c>
      <c r="T31" s="14">
        <v>25</v>
      </c>
      <c r="U31" s="14">
        <f t="shared" si="5"/>
        <v>127.85999999999999</v>
      </c>
      <c r="V31" s="14">
        <v>20</v>
      </c>
      <c r="W31" s="14">
        <f t="shared" si="6"/>
        <v>8700</v>
      </c>
      <c r="Y31" s="14">
        <v>25</v>
      </c>
      <c r="Z31" s="108">
        <f t="shared" si="7"/>
        <v>2900</v>
      </c>
      <c r="AA31" s="106">
        <f t="shared" si="8"/>
        <v>5800</v>
      </c>
      <c r="AB31" s="108">
        <f t="shared" si="9"/>
        <v>8700</v>
      </c>
      <c r="AD31" s="14">
        <v>25</v>
      </c>
      <c r="AE31" s="14">
        <f t="shared" si="10"/>
        <v>17</v>
      </c>
      <c r="AF31" s="14">
        <f t="shared" si="11"/>
        <v>15</v>
      </c>
      <c r="AH31" t="str">
        <f t="shared" si="12"/>
        <v>2900,5800,8700</v>
      </c>
      <c r="AI31" t="str">
        <f t="shared" si="13"/>
        <v>10,14,20</v>
      </c>
      <c r="AJ31" t="str">
        <f t="shared" si="14"/>
        <v>29,85.24,127.86</v>
      </c>
      <c r="AM31">
        <v>1.76</v>
      </c>
    </row>
    <row r="32" spans="1:39" x14ac:dyDescent="0.25">
      <c r="A32" s="14">
        <v>26</v>
      </c>
      <c r="B32" s="14">
        <v>31</v>
      </c>
      <c r="C32" s="14">
        <v>0.6</v>
      </c>
      <c r="D32" s="14">
        <f t="shared" si="1"/>
        <v>1.49</v>
      </c>
      <c r="E32" s="14">
        <f t="shared" si="2"/>
        <v>46.14</v>
      </c>
      <c r="F32" s="102">
        <v>10</v>
      </c>
      <c r="G32" s="14">
        <f ca="1">_xlfn.IFNA(INDEX(玩家节奏1!$EC:$EC,MATCH(关卡对比!A32,玩家节奏1!$N:$N,1)),1)</f>
        <v>1.7600000000000002</v>
      </c>
      <c r="H32" s="14">
        <f ca="1">_xlfn.IFNA(INDEX(玩家节奏2!$FG:$FG,MATCH(关卡对比!A32,玩家节奏2!$N:$N,1)),1)</f>
        <v>1.8304000000000002</v>
      </c>
      <c r="I32" s="14">
        <v>1.94</v>
      </c>
      <c r="J32" s="14">
        <f t="shared" si="15"/>
        <v>3100</v>
      </c>
      <c r="K32" s="14">
        <f t="shared" si="0"/>
        <v>3100</v>
      </c>
      <c r="N32" s="14">
        <v>26</v>
      </c>
      <c r="O32" s="14">
        <f t="shared" si="3"/>
        <v>92.28</v>
      </c>
      <c r="P32" s="14">
        <v>14</v>
      </c>
      <c r="Q32" s="14">
        <f t="shared" si="4"/>
        <v>6200</v>
      </c>
      <c r="T32" s="14">
        <v>26</v>
      </c>
      <c r="U32" s="14">
        <f t="shared" si="5"/>
        <v>138.42000000000002</v>
      </c>
      <c r="V32" s="14">
        <v>20</v>
      </c>
      <c r="W32" s="14">
        <f t="shared" si="6"/>
        <v>9300</v>
      </c>
      <c r="Y32" s="14">
        <v>26</v>
      </c>
      <c r="Z32" s="104">
        <f t="shared" si="7"/>
        <v>3100</v>
      </c>
      <c r="AA32" s="106">
        <f t="shared" si="8"/>
        <v>6200</v>
      </c>
      <c r="AB32" s="104">
        <f t="shared" si="9"/>
        <v>9300</v>
      </c>
      <c r="AD32" s="14">
        <v>26</v>
      </c>
      <c r="AE32" s="14">
        <f t="shared" si="10"/>
        <v>18</v>
      </c>
      <c r="AF32" s="14">
        <f t="shared" si="11"/>
        <v>15</v>
      </c>
      <c r="AH32" t="str">
        <f t="shared" si="12"/>
        <v>3100,6200,9300</v>
      </c>
      <c r="AI32" t="str">
        <f t="shared" si="13"/>
        <v>10,14,20</v>
      </c>
      <c r="AJ32" t="str">
        <f t="shared" si="14"/>
        <v>31,92.28,138.42</v>
      </c>
      <c r="AM32">
        <v>1.77</v>
      </c>
    </row>
    <row r="33" spans="1:39" x14ac:dyDescent="0.25">
      <c r="A33" s="14">
        <v>27</v>
      </c>
      <c r="B33" s="14">
        <v>33</v>
      </c>
      <c r="C33" s="14">
        <v>0.6</v>
      </c>
      <c r="D33" s="14">
        <f t="shared" si="1"/>
        <v>1.51</v>
      </c>
      <c r="E33" s="14">
        <f t="shared" si="2"/>
        <v>49.72</v>
      </c>
      <c r="F33" s="102">
        <v>10</v>
      </c>
      <c r="G33" s="14">
        <f ca="1">_xlfn.IFNA(INDEX(玩家节奏1!$EC:$EC,MATCH(关卡对比!A33,玩家节奏1!$N:$N,1)),1)</f>
        <v>1.9800000000000002</v>
      </c>
      <c r="H33" s="14">
        <f ca="1">_xlfn.IFNA(INDEX(玩家节奏2!$FG:$FG,MATCH(关卡对比!A33,玩家节奏2!$N:$N,1)),1)</f>
        <v>1.8304000000000002</v>
      </c>
      <c r="I33" s="14">
        <v>1.98</v>
      </c>
      <c r="J33" s="14">
        <f t="shared" si="15"/>
        <v>3300</v>
      </c>
      <c r="K33" s="14">
        <f t="shared" si="0"/>
        <v>3300</v>
      </c>
      <c r="N33" s="14">
        <v>27</v>
      </c>
      <c r="O33" s="14">
        <f t="shared" si="3"/>
        <v>99.44</v>
      </c>
      <c r="P33" s="14">
        <v>14</v>
      </c>
      <c r="Q33" s="14">
        <f t="shared" si="4"/>
        <v>6600</v>
      </c>
      <c r="T33" s="14">
        <v>27</v>
      </c>
      <c r="U33" s="14">
        <f t="shared" si="5"/>
        <v>149.16</v>
      </c>
      <c r="V33" s="14">
        <v>20</v>
      </c>
      <c r="W33" s="14">
        <f t="shared" si="6"/>
        <v>9900</v>
      </c>
      <c r="Y33" s="14">
        <v>27</v>
      </c>
      <c r="Z33" s="104">
        <f t="shared" si="7"/>
        <v>3300</v>
      </c>
      <c r="AA33" s="107">
        <f t="shared" si="8"/>
        <v>6600</v>
      </c>
      <c r="AB33" s="104">
        <f t="shared" si="9"/>
        <v>9900</v>
      </c>
      <c r="AD33" s="14">
        <v>27</v>
      </c>
      <c r="AE33" s="14">
        <f t="shared" si="10"/>
        <v>18</v>
      </c>
      <c r="AF33" s="14">
        <f t="shared" si="11"/>
        <v>16</v>
      </c>
      <c r="AH33" t="str">
        <f t="shared" si="12"/>
        <v>3300,6600,9900</v>
      </c>
      <c r="AI33" t="str">
        <f t="shared" si="13"/>
        <v>10,14,20</v>
      </c>
      <c r="AJ33" t="str">
        <f t="shared" si="14"/>
        <v>33,99.44,149.16</v>
      </c>
      <c r="AM33">
        <v>1.98</v>
      </c>
    </row>
    <row r="34" spans="1:39" x14ac:dyDescent="0.25">
      <c r="A34" s="14">
        <v>28</v>
      </c>
      <c r="B34" s="14">
        <v>35</v>
      </c>
      <c r="C34" s="14">
        <v>0.6</v>
      </c>
      <c r="D34" s="14">
        <f t="shared" si="1"/>
        <v>1.53</v>
      </c>
      <c r="E34" s="14">
        <f t="shared" si="2"/>
        <v>53.53</v>
      </c>
      <c r="F34" s="102">
        <v>10</v>
      </c>
      <c r="G34" s="14">
        <f ca="1">_xlfn.IFNA(INDEX(玩家节奏1!$EC:$EC,MATCH(关卡对比!A34,玩家节奏1!$N:$N,1)),1)</f>
        <v>1.9800000000000002</v>
      </c>
      <c r="H34" s="14">
        <f ca="1">_xlfn.IFNA(INDEX(玩家节奏2!$FG:$FG,MATCH(关卡对比!A34,玩家节奏2!$N:$N,1)),1)</f>
        <v>2.2147840000000008</v>
      </c>
      <c r="I34" s="14">
        <v>2.0299999999999998</v>
      </c>
      <c r="J34" s="14">
        <f t="shared" si="15"/>
        <v>3500</v>
      </c>
      <c r="K34" s="14">
        <f t="shared" si="0"/>
        <v>3500</v>
      </c>
      <c r="N34" s="14">
        <v>28</v>
      </c>
      <c r="O34" s="14">
        <f t="shared" si="3"/>
        <v>107.06</v>
      </c>
      <c r="P34" s="14">
        <v>14</v>
      </c>
      <c r="Q34" s="14">
        <f t="shared" si="4"/>
        <v>7000</v>
      </c>
      <c r="T34" s="14">
        <v>28</v>
      </c>
      <c r="U34" s="14">
        <f t="shared" si="5"/>
        <v>160.59</v>
      </c>
      <c r="V34" s="14">
        <v>20</v>
      </c>
      <c r="W34" s="14">
        <f t="shared" si="6"/>
        <v>10500</v>
      </c>
      <c r="Y34" s="14">
        <v>28</v>
      </c>
      <c r="Z34" s="104">
        <f t="shared" si="7"/>
        <v>3500</v>
      </c>
      <c r="AA34" s="107">
        <f t="shared" si="8"/>
        <v>7000</v>
      </c>
      <c r="AB34" s="105">
        <f t="shared" si="9"/>
        <v>10500</v>
      </c>
      <c r="AD34" s="14">
        <v>28</v>
      </c>
      <c r="AE34" s="14">
        <f t="shared" si="10"/>
        <v>19</v>
      </c>
      <c r="AF34" s="14">
        <f t="shared" si="11"/>
        <v>16</v>
      </c>
      <c r="AH34" t="str">
        <f t="shared" si="12"/>
        <v>3500,7000,10500</v>
      </c>
      <c r="AI34" t="str">
        <f t="shared" si="13"/>
        <v>10,14,20</v>
      </c>
      <c r="AJ34" t="str">
        <f t="shared" si="14"/>
        <v>35,107.06,160.59</v>
      </c>
      <c r="AM34">
        <v>1.98</v>
      </c>
    </row>
    <row r="35" spans="1:39" x14ac:dyDescent="0.25">
      <c r="A35" s="14">
        <v>29</v>
      </c>
      <c r="B35" s="14">
        <v>37</v>
      </c>
      <c r="C35" s="14">
        <v>0.6</v>
      </c>
      <c r="D35" s="14">
        <f t="shared" si="1"/>
        <v>1.56</v>
      </c>
      <c r="E35" s="14">
        <f t="shared" si="2"/>
        <v>57.58</v>
      </c>
      <c r="F35" s="102">
        <v>10</v>
      </c>
      <c r="G35" s="14">
        <f ca="1">_xlfn.IFNA(INDEX(玩家节奏1!$EC:$EC,MATCH(关卡对比!A35,玩家节奏1!$N:$N,1)),1)</f>
        <v>1.9800000000000002</v>
      </c>
      <c r="H35" s="14">
        <f ca="1">_xlfn.IFNA(INDEX(玩家节奏2!$FG:$FG,MATCH(关卡对比!A35,玩家节奏2!$N:$N,1)),1)</f>
        <v>2.2147840000000008</v>
      </c>
      <c r="I35" s="14">
        <v>2.09</v>
      </c>
      <c r="J35" s="14">
        <f t="shared" si="15"/>
        <v>3700</v>
      </c>
      <c r="K35" s="14">
        <f t="shared" si="0"/>
        <v>3700</v>
      </c>
      <c r="N35" s="14">
        <v>29</v>
      </c>
      <c r="O35" s="14">
        <f t="shared" si="3"/>
        <v>115.16</v>
      </c>
      <c r="P35" s="14">
        <v>14</v>
      </c>
      <c r="Q35" s="14">
        <f t="shared" si="4"/>
        <v>7400</v>
      </c>
      <c r="T35" s="14">
        <v>29</v>
      </c>
      <c r="U35" s="14">
        <f t="shared" si="5"/>
        <v>172.74</v>
      </c>
      <c r="V35" s="14">
        <v>20</v>
      </c>
      <c r="W35" s="14">
        <f t="shared" si="6"/>
        <v>11100</v>
      </c>
      <c r="Y35" s="14">
        <v>29</v>
      </c>
      <c r="Z35" s="104">
        <f t="shared" si="7"/>
        <v>3700</v>
      </c>
      <c r="AA35" s="107">
        <f t="shared" si="8"/>
        <v>7400</v>
      </c>
      <c r="AB35" s="106">
        <f t="shared" si="9"/>
        <v>11100</v>
      </c>
      <c r="AD35" s="14">
        <v>29</v>
      </c>
      <c r="AE35" s="14">
        <f t="shared" si="10"/>
        <v>19</v>
      </c>
      <c r="AF35" s="14">
        <f t="shared" si="11"/>
        <v>16</v>
      </c>
      <c r="AH35" t="str">
        <f t="shared" si="12"/>
        <v>3700,7400,11100</v>
      </c>
      <c r="AI35" t="str">
        <f t="shared" si="13"/>
        <v>10,14,20</v>
      </c>
      <c r="AJ35" t="str">
        <f t="shared" si="14"/>
        <v>37,115.16,172.74</v>
      </c>
      <c r="AM35">
        <v>1.98</v>
      </c>
    </row>
    <row r="36" spans="1:39" x14ac:dyDescent="0.25">
      <c r="A36" s="14">
        <v>30</v>
      </c>
      <c r="B36" s="14">
        <v>40</v>
      </c>
      <c r="C36" s="14">
        <v>0.6</v>
      </c>
      <c r="D36" s="14">
        <f t="shared" si="1"/>
        <v>1.58</v>
      </c>
      <c r="E36" s="14">
        <f t="shared" si="2"/>
        <v>63.32</v>
      </c>
      <c r="F36" s="102">
        <v>10</v>
      </c>
      <c r="G36" s="14">
        <f ca="1">_xlfn.IFNA(INDEX(玩家节奏1!$EC:$EC,MATCH(关卡对比!A36,玩家节奏1!$N:$N,1)),1)</f>
        <v>1.9800000000000002</v>
      </c>
      <c r="H36" s="14">
        <f ca="1">_xlfn.IFNA(INDEX(玩家节奏2!$FG:$FG,MATCH(关卡对比!A36,玩家节奏2!$N:$N,1)),1)</f>
        <v>2.2147840000000008</v>
      </c>
      <c r="I36" s="14">
        <v>2.15</v>
      </c>
      <c r="J36" s="14">
        <f t="shared" si="15"/>
        <v>4000</v>
      </c>
      <c r="K36" s="14">
        <f t="shared" si="0"/>
        <v>4000</v>
      </c>
      <c r="N36" s="14">
        <v>30</v>
      </c>
      <c r="O36" s="14">
        <f t="shared" si="3"/>
        <v>126.64</v>
      </c>
      <c r="P36" s="14">
        <v>14</v>
      </c>
      <c r="Q36" s="14">
        <f t="shared" si="4"/>
        <v>8000</v>
      </c>
      <c r="T36" s="14">
        <v>30</v>
      </c>
      <c r="U36" s="14">
        <f t="shared" si="5"/>
        <v>189.96</v>
      </c>
      <c r="V36" s="14">
        <v>20</v>
      </c>
      <c r="W36" s="14">
        <f t="shared" si="6"/>
        <v>12000</v>
      </c>
      <c r="Y36" s="14">
        <v>30</v>
      </c>
      <c r="Z36" s="104">
        <f t="shared" si="7"/>
        <v>4000</v>
      </c>
      <c r="AA36" s="108">
        <f t="shared" si="8"/>
        <v>8000</v>
      </c>
      <c r="AB36" s="106">
        <f t="shared" si="9"/>
        <v>12000</v>
      </c>
      <c r="AD36" s="14">
        <v>30</v>
      </c>
      <c r="AE36" s="14">
        <f t="shared" si="10"/>
        <v>20</v>
      </c>
      <c r="AF36" s="14">
        <f t="shared" si="11"/>
        <v>17</v>
      </c>
      <c r="AH36" t="str">
        <f t="shared" si="12"/>
        <v>4000,8000,12000</v>
      </c>
      <c r="AI36" t="str">
        <f t="shared" si="13"/>
        <v>10,14,20</v>
      </c>
      <c r="AJ36" t="str">
        <f t="shared" si="14"/>
        <v>40,126.64,189.96</v>
      </c>
      <c r="AM36">
        <v>1.99</v>
      </c>
    </row>
    <row r="37" spans="1:39" x14ac:dyDescent="0.25">
      <c r="A37" s="14">
        <v>31</v>
      </c>
      <c r="B37" s="14">
        <v>43</v>
      </c>
      <c r="C37" s="14">
        <f>C27+0.1</f>
        <v>0.7</v>
      </c>
      <c r="D37" s="14">
        <f t="shared" si="1"/>
        <v>1.74</v>
      </c>
      <c r="E37" s="14">
        <f t="shared" si="2"/>
        <v>74.67</v>
      </c>
      <c r="F37" s="102">
        <v>10</v>
      </c>
      <c r="G37" s="14">
        <f ca="1">_xlfn.IFNA(INDEX(玩家节奏1!$EC:$EC,MATCH(关卡对比!A37,玩家节奏1!$N:$N,1)),1)</f>
        <v>2.2000000000000002</v>
      </c>
      <c r="H37" s="14">
        <f ca="1">_xlfn.IFNA(INDEX(玩家节奏2!$FG:$FG,MATCH(关卡对比!A37,玩家节奏2!$N:$N,1)),1)</f>
        <v>2.4916320000000005</v>
      </c>
      <c r="I37" s="14">
        <v>2.2000000000000002</v>
      </c>
      <c r="J37" s="14">
        <f t="shared" si="15"/>
        <v>4300</v>
      </c>
      <c r="K37" s="14">
        <f t="shared" si="0"/>
        <v>4300</v>
      </c>
      <c r="N37" s="14">
        <v>31</v>
      </c>
      <c r="O37" s="14">
        <f t="shared" si="3"/>
        <v>149.34</v>
      </c>
      <c r="P37" s="14">
        <v>14</v>
      </c>
      <c r="Q37" s="14">
        <f t="shared" si="4"/>
        <v>8600</v>
      </c>
      <c r="T37" s="14">
        <v>31</v>
      </c>
      <c r="U37" s="14">
        <f t="shared" si="5"/>
        <v>224.01</v>
      </c>
      <c r="V37" s="14">
        <v>20</v>
      </c>
      <c r="W37" s="14">
        <f t="shared" si="6"/>
        <v>12900</v>
      </c>
      <c r="Y37" s="14">
        <v>31</v>
      </c>
      <c r="Z37" s="105">
        <f t="shared" si="7"/>
        <v>4300</v>
      </c>
      <c r="AA37" s="108">
        <f t="shared" si="8"/>
        <v>8600</v>
      </c>
      <c r="AB37" s="107">
        <f t="shared" si="9"/>
        <v>12900</v>
      </c>
      <c r="AD37" s="14">
        <v>31</v>
      </c>
      <c r="AE37" s="14">
        <f t="shared" si="10"/>
        <v>21</v>
      </c>
      <c r="AF37" s="14">
        <f t="shared" si="11"/>
        <v>17</v>
      </c>
      <c r="AH37" t="str">
        <f t="shared" si="12"/>
        <v>4300,8600,12900</v>
      </c>
      <c r="AI37" t="str">
        <f t="shared" si="13"/>
        <v>10,14,20</v>
      </c>
      <c r="AJ37" t="str">
        <f t="shared" si="14"/>
        <v>43,149.34,224.01</v>
      </c>
      <c r="AM37">
        <v>2.2000000000000002</v>
      </c>
    </row>
    <row r="38" spans="1:39" x14ac:dyDescent="0.25">
      <c r="A38" s="14">
        <v>32</v>
      </c>
      <c r="B38" s="14">
        <v>46</v>
      </c>
      <c r="C38" s="14">
        <f t="shared" ref="C38:C66" si="16">C28+0.1</f>
        <v>0.7</v>
      </c>
      <c r="D38" s="14">
        <f t="shared" si="1"/>
        <v>1.76</v>
      </c>
      <c r="E38" s="14">
        <f t="shared" si="2"/>
        <v>81.150000000000006</v>
      </c>
      <c r="F38" s="102">
        <v>10</v>
      </c>
      <c r="G38" s="14">
        <f ca="1">_xlfn.IFNA(INDEX(玩家节奏1!$EC:$EC,MATCH(关卡对比!A38,玩家节奏1!$N:$N,1)),1)</f>
        <v>2.2000000000000002</v>
      </c>
      <c r="H38" s="14">
        <f ca="1">_xlfn.IFNA(INDEX(玩家节奏2!$FG:$FG,MATCH(关卡对比!A38,玩家节奏2!$N:$N,1)),1)</f>
        <v>2.4916320000000005</v>
      </c>
      <c r="I38" s="14">
        <v>2.25</v>
      </c>
      <c r="J38" s="14">
        <f t="shared" si="15"/>
        <v>4600</v>
      </c>
      <c r="K38" s="14">
        <f t="shared" si="0"/>
        <v>4600</v>
      </c>
      <c r="N38" s="14">
        <v>32</v>
      </c>
      <c r="O38" s="14">
        <f t="shared" si="3"/>
        <v>162.30000000000001</v>
      </c>
      <c r="P38" s="14">
        <v>14</v>
      </c>
      <c r="Q38" s="14">
        <f t="shared" si="4"/>
        <v>9200</v>
      </c>
      <c r="T38" s="14">
        <v>32</v>
      </c>
      <c r="U38" s="14">
        <f t="shared" si="5"/>
        <v>243.45000000000002</v>
      </c>
      <c r="V38" s="14">
        <v>20</v>
      </c>
      <c r="W38" s="14">
        <f t="shared" si="6"/>
        <v>13800</v>
      </c>
      <c r="Y38" s="14">
        <v>32</v>
      </c>
      <c r="Z38" s="105">
        <f t="shared" si="7"/>
        <v>4600</v>
      </c>
      <c r="AA38" s="104">
        <f t="shared" si="8"/>
        <v>9200</v>
      </c>
      <c r="AB38" s="107">
        <f t="shared" si="9"/>
        <v>13800</v>
      </c>
      <c r="AD38" s="14">
        <v>32</v>
      </c>
      <c r="AE38" s="14">
        <f t="shared" si="10"/>
        <v>22</v>
      </c>
      <c r="AF38" s="14">
        <f t="shared" si="11"/>
        <v>18</v>
      </c>
      <c r="AH38" t="str">
        <f t="shared" si="12"/>
        <v>4600,9200,13800</v>
      </c>
      <c r="AI38" t="str">
        <f t="shared" si="13"/>
        <v>10,14,20</v>
      </c>
      <c r="AJ38" t="str">
        <f t="shared" si="14"/>
        <v>46,162.3,243.45</v>
      </c>
      <c r="AM38">
        <v>2.2000000000000002</v>
      </c>
    </row>
    <row r="39" spans="1:39" x14ac:dyDescent="0.25">
      <c r="A39" s="14">
        <v>33</v>
      </c>
      <c r="B39" s="14">
        <v>49</v>
      </c>
      <c r="C39" s="14">
        <f t="shared" si="16"/>
        <v>0.7</v>
      </c>
      <c r="D39" s="14">
        <f t="shared" si="1"/>
        <v>1.79</v>
      </c>
      <c r="E39" s="14">
        <f t="shared" si="2"/>
        <v>87.51</v>
      </c>
      <c r="F39" s="102">
        <v>10</v>
      </c>
      <c r="G39" s="14">
        <f ca="1">_xlfn.IFNA(INDEX(玩家节奏1!$EC:$EC,MATCH(关卡对比!A39,玩家节奏1!$N:$N,1)),1)</f>
        <v>2.2000000000000002</v>
      </c>
      <c r="H39" s="14">
        <f ca="1">_xlfn.IFNA(INDEX(玩家节奏2!$FG:$FG,MATCH(关卡对比!A39,玩家节奏2!$N:$N,1)),1)</f>
        <v>2.4916320000000005</v>
      </c>
      <c r="I39" s="14">
        <v>2.29</v>
      </c>
      <c r="J39" s="14">
        <f t="shared" si="15"/>
        <v>4900</v>
      </c>
      <c r="K39" s="14">
        <f t="shared" si="0"/>
        <v>4900</v>
      </c>
      <c r="N39" s="14">
        <v>33</v>
      </c>
      <c r="O39" s="14">
        <f t="shared" si="3"/>
        <v>175.02</v>
      </c>
      <c r="P39" s="14">
        <v>14</v>
      </c>
      <c r="Q39" s="14">
        <f t="shared" si="4"/>
        <v>9800</v>
      </c>
      <c r="T39" s="14">
        <v>33</v>
      </c>
      <c r="U39" s="14">
        <f t="shared" si="5"/>
        <v>262.53000000000003</v>
      </c>
      <c r="V39" s="14">
        <v>20</v>
      </c>
      <c r="W39" s="14">
        <f t="shared" si="6"/>
        <v>14700</v>
      </c>
      <c r="Y39" s="14">
        <v>33</v>
      </c>
      <c r="Z39" s="105">
        <f t="shared" si="7"/>
        <v>4900</v>
      </c>
      <c r="AA39" s="104">
        <f t="shared" si="8"/>
        <v>9800</v>
      </c>
      <c r="AB39" s="108">
        <f t="shared" si="9"/>
        <v>14700</v>
      </c>
      <c r="AD39" s="14">
        <v>33</v>
      </c>
      <c r="AE39" s="14">
        <f t="shared" si="10"/>
        <v>22</v>
      </c>
      <c r="AF39" s="14">
        <f t="shared" si="11"/>
        <v>18</v>
      </c>
      <c r="AH39" t="str">
        <f t="shared" si="12"/>
        <v>4900,9800,14700</v>
      </c>
      <c r="AI39" t="str">
        <f t="shared" si="13"/>
        <v>10,14,20</v>
      </c>
      <c r="AJ39" t="str">
        <f t="shared" si="14"/>
        <v>49,175.02,262.53</v>
      </c>
      <c r="AM39">
        <v>2.2000000000000002</v>
      </c>
    </row>
    <row r="40" spans="1:39" x14ac:dyDescent="0.25">
      <c r="A40" s="14">
        <v>34</v>
      </c>
      <c r="B40" s="14">
        <v>52</v>
      </c>
      <c r="C40" s="14">
        <f t="shared" si="16"/>
        <v>0.7</v>
      </c>
      <c r="D40" s="14">
        <f t="shared" si="1"/>
        <v>1.81</v>
      </c>
      <c r="E40" s="14">
        <f t="shared" si="2"/>
        <v>94.01</v>
      </c>
      <c r="F40" s="102">
        <v>10</v>
      </c>
      <c r="G40" s="14">
        <f ca="1">_xlfn.IFNA(INDEX(玩家节奏1!$EC:$EC,MATCH(关卡对比!A40,玩家节奏1!$N:$N,1)),1)</f>
        <v>2.2000000000000002</v>
      </c>
      <c r="H40" s="14">
        <f ca="1">_xlfn.IFNA(INDEX(玩家节奏2!$FG:$FG,MATCH(关卡对比!A40,玩家节奏2!$N:$N,1)),1)</f>
        <v>2.4916320000000005</v>
      </c>
      <c r="I40" s="14">
        <v>2.33</v>
      </c>
      <c r="J40" s="14">
        <f t="shared" si="15"/>
        <v>5200</v>
      </c>
      <c r="K40" s="14">
        <f t="shared" si="0"/>
        <v>5200</v>
      </c>
      <c r="N40" s="14">
        <v>34</v>
      </c>
      <c r="O40" s="14">
        <f t="shared" si="3"/>
        <v>188.02</v>
      </c>
      <c r="P40" s="14">
        <v>14</v>
      </c>
      <c r="Q40" s="14">
        <f t="shared" si="4"/>
        <v>10400</v>
      </c>
      <c r="T40" s="14">
        <v>34</v>
      </c>
      <c r="U40" s="14">
        <f t="shared" si="5"/>
        <v>282.03000000000003</v>
      </c>
      <c r="V40" s="14">
        <v>20</v>
      </c>
      <c r="W40" s="14">
        <f t="shared" si="6"/>
        <v>15600</v>
      </c>
      <c r="Y40" s="14">
        <v>34</v>
      </c>
      <c r="Z40" s="105">
        <f t="shared" si="7"/>
        <v>5200</v>
      </c>
      <c r="AA40" s="104">
        <f t="shared" si="8"/>
        <v>10400</v>
      </c>
      <c r="AB40" s="104">
        <f t="shared" si="9"/>
        <v>15600</v>
      </c>
      <c r="AD40" s="14">
        <v>34</v>
      </c>
      <c r="AE40" s="14">
        <f t="shared" si="10"/>
        <v>23</v>
      </c>
      <c r="AF40" s="14">
        <f t="shared" si="11"/>
        <v>19</v>
      </c>
      <c r="AH40" t="str">
        <f t="shared" si="12"/>
        <v>5200,10400,15600</v>
      </c>
      <c r="AI40" t="str">
        <f t="shared" si="13"/>
        <v>10,14,20</v>
      </c>
      <c r="AJ40" t="str">
        <f t="shared" si="14"/>
        <v>52,188.02,282.03</v>
      </c>
      <c r="AM40">
        <v>2.2000000000000002</v>
      </c>
    </row>
    <row r="41" spans="1:39" x14ac:dyDescent="0.25">
      <c r="A41" s="14">
        <v>35</v>
      </c>
      <c r="B41" s="14">
        <v>55</v>
      </c>
      <c r="C41" s="14">
        <f t="shared" si="16"/>
        <v>0.7</v>
      </c>
      <c r="D41" s="14">
        <f t="shared" si="1"/>
        <v>1.83</v>
      </c>
      <c r="E41" s="14">
        <f t="shared" si="2"/>
        <v>100.92</v>
      </c>
      <c r="F41" s="102">
        <v>10</v>
      </c>
      <c r="G41" s="14">
        <f ca="1">_xlfn.IFNA(INDEX(玩家节奏1!$EC:$EC,MATCH(关卡对比!A41,玩家节奏1!$N:$N,1)),1)</f>
        <v>2.2000000000000002</v>
      </c>
      <c r="H41" s="14">
        <f ca="1">_xlfn.IFNA(INDEX(玩家节奏2!$FG:$FG,MATCH(关卡对比!A41,玩家节奏2!$N:$N,1)),1)</f>
        <v>2.8749600000000006</v>
      </c>
      <c r="I41" s="14">
        <v>2.38</v>
      </c>
      <c r="J41" s="14">
        <f t="shared" si="15"/>
        <v>5500</v>
      </c>
      <c r="K41" s="14">
        <f t="shared" si="0"/>
        <v>5500</v>
      </c>
      <c r="N41" s="14">
        <v>35</v>
      </c>
      <c r="O41" s="14">
        <f t="shared" si="3"/>
        <v>201.84</v>
      </c>
      <c r="P41" s="14">
        <v>14</v>
      </c>
      <c r="Q41" s="14">
        <f t="shared" si="4"/>
        <v>11000</v>
      </c>
      <c r="T41" s="14">
        <v>35</v>
      </c>
      <c r="U41" s="14">
        <f t="shared" si="5"/>
        <v>302.76</v>
      </c>
      <c r="V41" s="14">
        <v>20</v>
      </c>
      <c r="W41" s="14">
        <f t="shared" si="6"/>
        <v>16500</v>
      </c>
      <c r="Y41" s="14">
        <v>35</v>
      </c>
      <c r="Z41" s="105">
        <f t="shared" si="7"/>
        <v>5500</v>
      </c>
      <c r="AA41" s="105">
        <f t="shared" si="8"/>
        <v>11000</v>
      </c>
      <c r="AB41" s="104">
        <f t="shared" si="9"/>
        <v>16500</v>
      </c>
      <c r="AD41" s="14">
        <v>35</v>
      </c>
      <c r="AE41" s="14">
        <f t="shared" si="10"/>
        <v>24</v>
      </c>
      <c r="AF41" s="14">
        <f t="shared" si="11"/>
        <v>19</v>
      </c>
      <c r="AH41" t="str">
        <f t="shared" si="12"/>
        <v>5500,11000,16500</v>
      </c>
      <c r="AI41" t="str">
        <f t="shared" si="13"/>
        <v>10,14,20</v>
      </c>
      <c r="AJ41" t="str">
        <f t="shared" si="14"/>
        <v>55,201.84,302.76</v>
      </c>
      <c r="AM41">
        <v>2.21</v>
      </c>
    </row>
    <row r="42" spans="1:39" x14ac:dyDescent="0.25">
      <c r="A42" s="14">
        <v>36</v>
      </c>
      <c r="B42" s="14">
        <v>58</v>
      </c>
      <c r="C42" s="14">
        <f t="shared" si="16"/>
        <v>0.7</v>
      </c>
      <c r="D42" s="14">
        <f t="shared" si="1"/>
        <v>1.86</v>
      </c>
      <c r="E42" s="14">
        <f t="shared" si="2"/>
        <v>107.67</v>
      </c>
      <c r="F42" s="102">
        <v>10</v>
      </c>
      <c r="G42" s="14">
        <f ca="1">_xlfn.IFNA(INDEX(玩家节奏1!$EC:$EC,MATCH(关卡对比!A42,玩家节奏1!$N:$N,1)),1)</f>
        <v>2.4200000000000004</v>
      </c>
      <c r="H42" s="14">
        <f ca="1">_xlfn.IFNA(INDEX(玩家节奏2!$FG:$FG,MATCH(关卡对比!A42,玩家节奏2!$N:$N,1)),1)</f>
        <v>2.8749600000000006</v>
      </c>
      <c r="I42" s="14">
        <v>2.42</v>
      </c>
      <c r="J42" s="14">
        <f t="shared" si="15"/>
        <v>5800</v>
      </c>
      <c r="K42" s="14">
        <f t="shared" si="0"/>
        <v>5800</v>
      </c>
      <c r="N42" s="14">
        <v>36</v>
      </c>
      <c r="O42" s="14">
        <f t="shared" si="3"/>
        <v>215.34</v>
      </c>
      <c r="P42" s="14">
        <v>14</v>
      </c>
      <c r="Q42" s="14">
        <f t="shared" si="4"/>
        <v>11600</v>
      </c>
      <c r="T42" s="14">
        <v>36</v>
      </c>
      <c r="U42" s="14">
        <f t="shared" si="5"/>
        <v>323.01</v>
      </c>
      <c r="V42" s="14">
        <v>20</v>
      </c>
      <c r="W42" s="14">
        <f t="shared" si="6"/>
        <v>17400</v>
      </c>
      <c r="Y42" s="14">
        <v>36</v>
      </c>
      <c r="Z42" s="106">
        <f t="shared" si="7"/>
        <v>5800</v>
      </c>
      <c r="AA42" s="105">
        <f t="shared" si="8"/>
        <v>11600</v>
      </c>
      <c r="AB42" s="105">
        <f t="shared" si="9"/>
        <v>17400</v>
      </c>
      <c r="AD42" s="14">
        <v>36</v>
      </c>
      <c r="AE42" s="14">
        <f t="shared" si="10"/>
        <v>25</v>
      </c>
      <c r="AF42" s="14">
        <f t="shared" si="11"/>
        <v>20</v>
      </c>
      <c r="AH42" t="str">
        <f t="shared" si="12"/>
        <v>5800,11600,17400</v>
      </c>
      <c r="AI42" t="str">
        <f t="shared" si="13"/>
        <v>10,14,20</v>
      </c>
      <c r="AJ42" t="str">
        <f t="shared" si="14"/>
        <v>58,215.34,323.01</v>
      </c>
      <c r="AM42">
        <v>2.42</v>
      </c>
    </row>
    <row r="43" spans="1:39" x14ac:dyDescent="0.25">
      <c r="A43" s="14">
        <v>37</v>
      </c>
      <c r="B43" s="14">
        <v>61</v>
      </c>
      <c r="C43" s="14">
        <f t="shared" si="16"/>
        <v>0.7</v>
      </c>
      <c r="D43" s="14">
        <f t="shared" si="1"/>
        <v>1.88</v>
      </c>
      <c r="E43" s="14">
        <f t="shared" si="2"/>
        <v>114.55</v>
      </c>
      <c r="F43" s="102">
        <v>10</v>
      </c>
      <c r="G43" s="14">
        <f ca="1">_xlfn.IFNA(INDEX(玩家节奏1!$EC:$EC,MATCH(关卡对比!A43,玩家节奏1!$N:$N,1)),1)</f>
        <v>2.4200000000000004</v>
      </c>
      <c r="H43" s="14">
        <f ca="1">_xlfn.IFNA(INDEX(玩家节奏2!$FG:$FG,MATCH(关卡对比!A43,玩家节奏2!$N:$N,1)),1)</f>
        <v>2.8749600000000006</v>
      </c>
      <c r="I43" s="14">
        <v>2.46</v>
      </c>
      <c r="J43" s="14">
        <f t="shared" si="15"/>
        <v>6100</v>
      </c>
      <c r="K43" s="14">
        <f t="shared" si="0"/>
        <v>6100</v>
      </c>
      <c r="N43" s="14">
        <v>37</v>
      </c>
      <c r="O43" s="14">
        <f t="shared" si="3"/>
        <v>229.1</v>
      </c>
      <c r="P43" s="14">
        <v>14</v>
      </c>
      <c r="Q43" s="14">
        <f t="shared" si="4"/>
        <v>12200</v>
      </c>
      <c r="T43" s="14">
        <v>37</v>
      </c>
      <c r="U43" s="14">
        <f t="shared" si="5"/>
        <v>343.65</v>
      </c>
      <c r="V43" s="14">
        <v>20</v>
      </c>
      <c r="W43" s="14">
        <f t="shared" si="6"/>
        <v>18300</v>
      </c>
      <c r="Y43" s="14">
        <v>37</v>
      </c>
      <c r="Z43" s="106">
        <f t="shared" si="7"/>
        <v>6100</v>
      </c>
      <c r="AA43" s="106">
        <f t="shared" si="8"/>
        <v>12200</v>
      </c>
      <c r="AB43" s="105">
        <f t="shared" si="9"/>
        <v>18300</v>
      </c>
      <c r="AD43" s="14">
        <v>37</v>
      </c>
      <c r="AE43" s="14">
        <f t="shared" si="10"/>
        <v>25</v>
      </c>
      <c r="AF43" s="14">
        <f t="shared" si="11"/>
        <v>20</v>
      </c>
      <c r="AH43" t="str">
        <f t="shared" si="12"/>
        <v>6100,12200,18300</v>
      </c>
      <c r="AI43" t="str">
        <f t="shared" si="13"/>
        <v>10,14,20</v>
      </c>
      <c r="AJ43" t="str">
        <f t="shared" si="14"/>
        <v>61,229.1,343.65</v>
      </c>
      <c r="AM43">
        <v>2.42</v>
      </c>
    </row>
    <row r="44" spans="1:39" x14ac:dyDescent="0.25">
      <c r="A44" s="14">
        <v>38</v>
      </c>
      <c r="B44" s="14">
        <v>64</v>
      </c>
      <c r="C44" s="14">
        <f t="shared" si="16"/>
        <v>0.7</v>
      </c>
      <c r="D44" s="14">
        <f t="shared" si="1"/>
        <v>1.9</v>
      </c>
      <c r="E44" s="14">
        <f t="shared" si="2"/>
        <v>121.89</v>
      </c>
      <c r="F44" s="102">
        <v>10</v>
      </c>
      <c r="G44" s="14">
        <f ca="1">_xlfn.IFNA(INDEX(玩家节奏1!$EC:$EC,MATCH(关卡对比!A44,玩家节奏1!$N:$N,1)),1)</f>
        <v>2.4200000000000004</v>
      </c>
      <c r="H44" s="14">
        <f ca="1">_xlfn.IFNA(INDEX(玩家节奏2!$FG:$FG,MATCH(关卡对比!A44,玩家节奏2!$N:$N,1)),1)</f>
        <v>2.8749600000000006</v>
      </c>
      <c r="I44" s="14">
        <v>2.5099999999999998</v>
      </c>
      <c r="J44" s="14">
        <f t="shared" si="15"/>
        <v>6400</v>
      </c>
      <c r="K44" s="14">
        <f t="shared" si="0"/>
        <v>6400</v>
      </c>
      <c r="N44" s="14">
        <v>38</v>
      </c>
      <c r="O44" s="14">
        <f t="shared" si="3"/>
        <v>243.78</v>
      </c>
      <c r="P44" s="14">
        <v>14</v>
      </c>
      <c r="Q44" s="14">
        <f t="shared" si="4"/>
        <v>12800</v>
      </c>
      <c r="T44" s="14">
        <v>38</v>
      </c>
      <c r="U44" s="14">
        <f t="shared" si="5"/>
        <v>365.67</v>
      </c>
      <c r="V44" s="14">
        <v>20</v>
      </c>
      <c r="W44" s="14">
        <f t="shared" si="6"/>
        <v>19200</v>
      </c>
      <c r="Y44" s="14">
        <v>38</v>
      </c>
      <c r="Z44" s="106">
        <f t="shared" si="7"/>
        <v>6400</v>
      </c>
      <c r="AA44" s="106">
        <f t="shared" si="8"/>
        <v>12800</v>
      </c>
      <c r="AB44" s="106">
        <f t="shared" si="9"/>
        <v>19200</v>
      </c>
      <c r="AD44" s="14">
        <v>38</v>
      </c>
      <c r="AE44" s="14">
        <f t="shared" si="10"/>
        <v>26</v>
      </c>
      <c r="AF44" s="14">
        <f t="shared" si="11"/>
        <v>21</v>
      </c>
      <c r="AH44" t="str">
        <f t="shared" si="12"/>
        <v>6400,12800,19200</v>
      </c>
      <c r="AI44" t="str">
        <f t="shared" si="13"/>
        <v>10,14,20</v>
      </c>
      <c r="AJ44" t="str">
        <f t="shared" si="14"/>
        <v>64,243.78,365.67</v>
      </c>
      <c r="AM44">
        <v>2.42</v>
      </c>
    </row>
    <row r="45" spans="1:39" x14ac:dyDescent="0.25">
      <c r="A45" s="14">
        <v>39</v>
      </c>
      <c r="B45" s="14">
        <v>67</v>
      </c>
      <c r="C45" s="14">
        <f t="shared" si="16"/>
        <v>0.7</v>
      </c>
      <c r="D45" s="14">
        <f t="shared" si="1"/>
        <v>1.93</v>
      </c>
      <c r="E45" s="14">
        <f t="shared" si="2"/>
        <v>129.02000000000001</v>
      </c>
      <c r="F45" s="102">
        <v>10</v>
      </c>
      <c r="G45" s="14">
        <f ca="1">_xlfn.IFNA(INDEX(玩家节奏1!$EC:$EC,MATCH(关卡对比!A45,玩家节奏1!$N:$N,1)),1)</f>
        <v>2.4200000000000004</v>
      </c>
      <c r="H45" s="14">
        <f ca="1">_xlfn.IFNA(INDEX(玩家节奏2!$FG:$FG,MATCH(关卡对比!A45,玩家节奏2!$N:$N,1)),1)</f>
        <v>3.162456000000001</v>
      </c>
      <c r="I45" s="14">
        <v>2.5499999999999998</v>
      </c>
      <c r="J45" s="14">
        <f t="shared" si="15"/>
        <v>6700</v>
      </c>
      <c r="K45" s="14">
        <f t="shared" si="0"/>
        <v>6700</v>
      </c>
      <c r="N45" s="14">
        <v>39</v>
      </c>
      <c r="O45" s="14">
        <f t="shared" si="3"/>
        <v>258.04000000000002</v>
      </c>
      <c r="P45" s="14">
        <v>14</v>
      </c>
      <c r="Q45" s="14">
        <f t="shared" si="4"/>
        <v>13400</v>
      </c>
      <c r="T45" s="14">
        <v>39</v>
      </c>
      <c r="U45" s="14">
        <f t="shared" si="5"/>
        <v>387.06000000000006</v>
      </c>
      <c r="V45" s="14">
        <v>20</v>
      </c>
      <c r="W45" s="14">
        <f t="shared" si="6"/>
        <v>20100</v>
      </c>
      <c r="Y45" s="14">
        <v>39</v>
      </c>
      <c r="Z45" s="106">
        <f t="shared" si="7"/>
        <v>6700</v>
      </c>
      <c r="AA45" s="106">
        <f t="shared" si="8"/>
        <v>13400</v>
      </c>
      <c r="AB45" s="107">
        <f t="shared" si="9"/>
        <v>20100</v>
      </c>
      <c r="AD45" s="14">
        <v>39</v>
      </c>
      <c r="AE45" s="14">
        <f t="shared" si="10"/>
        <v>27</v>
      </c>
      <c r="AF45" s="14">
        <f t="shared" si="11"/>
        <v>21</v>
      </c>
      <c r="AH45" t="str">
        <f t="shared" si="12"/>
        <v>6700,13400,20100</v>
      </c>
      <c r="AI45" t="str">
        <f t="shared" si="13"/>
        <v>10,14,20</v>
      </c>
      <c r="AJ45" t="str">
        <f t="shared" si="14"/>
        <v>67,258.04,387.06</v>
      </c>
      <c r="AM45">
        <v>2.42</v>
      </c>
    </row>
    <row r="46" spans="1:39" x14ac:dyDescent="0.25">
      <c r="A46" s="14">
        <v>40</v>
      </c>
      <c r="B46" s="14">
        <v>70</v>
      </c>
      <c r="C46" s="14">
        <f t="shared" si="16"/>
        <v>0.7</v>
      </c>
      <c r="D46" s="14">
        <f t="shared" si="1"/>
        <v>1.95</v>
      </c>
      <c r="E46" s="14">
        <f t="shared" si="2"/>
        <v>136.27000000000001</v>
      </c>
      <c r="F46" s="102">
        <v>10</v>
      </c>
      <c r="G46" s="14">
        <f ca="1">_xlfn.IFNA(INDEX(玩家节奏1!$EC:$EC,MATCH(关卡对比!A46,玩家节奏1!$N:$N,1)),1)</f>
        <v>2.4200000000000004</v>
      </c>
      <c r="H46" s="14">
        <f ca="1">_xlfn.IFNA(INDEX(玩家节奏2!$FG:$FG,MATCH(关卡对比!A46,玩家节奏2!$N:$N,1)),1)</f>
        <v>3.162456000000001</v>
      </c>
      <c r="I46" s="14">
        <v>2.59</v>
      </c>
      <c r="J46" s="14">
        <f t="shared" si="15"/>
        <v>7000</v>
      </c>
      <c r="K46" s="14">
        <f t="shared" si="0"/>
        <v>7000</v>
      </c>
      <c r="N46" s="14">
        <v>40</v>
      </c>
      <c r="O46" s="14">
        <f t="shared" si="3"/>
        <v>272.54000000000002</v>
      </c>
      <c r="P46" s="14">
        <v>14</v>
      </c>
      <c r="Q46" s="14">
        <f t="shared" si="4"/>
        <v>14000</v>
      </c>
      <c r="T46" s="14">
        <v>40</v>
      </c>
      <c r="U46" s="14">
        <f t="shared" si="5"/>
        <v>408.81000000000006</v>
      </c>
      <c r="V46" s="14">
        <v>20</v>
      </c>
      <c r="W46" s="14">
        <f t="shared" si="6"/>
        <v>21000</v>
      </c>
      <c r="Y46" s="14">
        <v>40</v>
      </c>
      <c r="Z46" s="106">
        <f t="shared" si="7"/>
        <v>7000</v>
      </c>
      <c r="AA46" s="107">
        <f t="shared" si="8"/>
        <v>14000</v>
      </c>
      <c r="AB46" s="107">
        <f t="shared" si="9"/>
        <v>21000</v>
      </c>
      <c r="AD46" s="14">
        <v>40</v>
      </c>
      <c r="AE46" s="14">
        <f t="shared" si="10"/>
        <v>28</v>
      </c>
      <c r="AF46" s="14">
        <f t="shared" si="11"/>
        <v>22</v>
      </c>
      <c r="AH46" t="str">
        <f t="shared" si="12"/>
        <v>7000,14000,21000</v>
      </c>
      <c r="AI46" t="str">
        <f t="shared" si="13"/>
        <v>10,14,20</v>
      </c>
      <c r="AJ46" t="str">
        <f t="shared" si="14"/>
        <v>70,272.54,408.81</v>
      </c>
      <c r="AM46">
        <v>2.4300000000000002</v>
      </c>
    </row>
    <row r="47" spans="1:39" x14ac:dyDescent="0.25">
      <c r="A47" s="14">
        <v>41</v>
      </c>
      <c r="B47" s="14">
        <v>73</v>
      </c>
      <c r="C47" s="14">
        <f t="shared" si="16"/>
        <v>0.79999999999999993</v>
      </c>
      <c r="D47" s="14">
        <f t="shared" si="1"/>
        <v>2.17</v>
      </c>
      <c r="E47" s="14">
        <f t="shared" si="2"/>
        <v>158.71</v>
      </c>
      <c r="F47" s="102">
        <v>10</v>
      </c>
      <c r="G47" s="14">
        <f ca="1">_xlfn.IFNA(INDEX(玩家节奏1!$EC:$EC,MATCH(关卡对比!A47,玩家节奏1!$N:$N,1)),1)</f>
        <v>2.64</v>
      </c>
      <c r="H47" s="14">
        <f ca="1">_xlfn.IFNA(INDEX(玩家节奏2!$FG:$FG,MATCH(关卡对比!A47,玩家节奏2!$N:$N,1)),1)</f>
        <v>3.162456000000001</v>
      </c>
      <c r="I47" s="14">
        <v>2.64</v>
      </c>
      <c r="J47" s="14">
        <f t="shared" si="15"/>
        <v>7300</v>
      </c>
      <c r="K47" s="14">
        <f t="shared" si="0"/>
        <v>7300</v>
      </c>
      <c r="N47" s="14">
        <v>41</v>
      </c>
      <c r="O47" s="14">
        <f t="shared" si="3"/>
        <v>317.42</v>
      </c>
      <c r="P47" s="14">
        <v>14</v>
      </c>
      <c r="Q47" s="14">
        <f t="shared" si="4"/>
        <v>14600</v>
      </c>
      <c r="T47" s="14">
        <v>41</v>
      </c>
      <c r="U47" s="14">
        <f t="shared" si="5"/>
        <v>476.13</v>
      </c>
      <c r="V47" s="14">
        <v>20</v>
      </c>
      <c r="W47" s="14">
        <f t="shared" si="6"/>
        <v>21900</v>
      </c>
      <c r="Y47" s="14">
        <v>41</v>
      </c>
      <c r="Z47" s="107">
        <f t="shared" si="7"/>
        <v>7300</v>
      </c>
      <c r="AA47" s="107">
        <f t="shared" si="8"/>
        <v>14600</v>
      </c>
      <c r="AB47" s="108">
        <f t="shared" si="9"/>
        <v>21900</v>
      </c>
      <c r="AD47" s="14">
        <v>41</v>
      </c>
      <c r="AE47" s="14">
        <f t="shared" si="10"/>
        <v>28</v>
      </c>
      <c r="AF47" s="14">
        <f t="shared" si="11"/>
        <v>22</v>
      </c>
      <c r="AH47" t="str">
        <f t="shared" si="12"/>
        <v>7300,14600,21900</v>
      </c>
      <c r="AI47" t="str">
        <f t="shared" si="13"/>
        <v>10,14,20</v>
      </c>
      <c r="AJ47" t="str">
        <f t="shared" si="14"/>
        <v>73,317.42,476.13</v>
      </c>
      <c r="AM47">
        <v>2.64</v>
      </c>
    </row>
    <row r="48" spans="1:39" x14ac:dyDescent="0.25">
      <c r="A48" s="14">
        <v>42</v>
      </c>
      <c r="B48" s="14">
        <v>76</v>
      </c>
      <c r="C48" s="14">
        <f t="shared" si="16"/>
        <v>0.79999999999999993</v>
      </c>
      <c r="D48" s="14">
        <f t="shared" si="1"/>
        <v>2.21</v>
      </c>
      <c r="E48" s="14">
        <f t="shared" si="2"/>
        <v>167.73</v>
      </c>
      <c r="F48" s="102">
        <v>10</v>
      </c>
      <c r="G48" s="14">
        <f ca="1">_xlfn.IFNA(INDEX(玩家节奏1!$EC:$EC,MATCH(关卡对比!A48,玩家节奏1!$N:$N,1)),1)</f>
        <v>2.64</v>
      </c>
      <c r="H48" s="14">
        <f ca="1">_xlfn.IFNA(INDEX(玩家节奏2!$FG:$FG,MATCH(关卡对比!A48,玩家节奏2!$N:$N,1)),1)</f>
        <v>3.162456000000001</v>
      </c>
      <c r="I48" s="14">
        <v>2.69</v>
      </c>
      <c r="J48" s="14">
        <f t="shared" si="15"/>
        <v>7600</v>
      </c>
      <c r="K48" s="14">
        <f t="shared" si="0"/>
        <v>7600</v>
      </c>
      <c r="N48" s="14">
        <v>42</v>
      </c>
      <c r="O48" s="14">
        <f t="shared" si="3"/>
        <v>335.46</v>
      </c>
      <c r="P48" s="14">
        <v>14</v>
      </c>
      <c r="Q48" s="14">
        <f t="shared" si="4"/>
        <v>15200</v>
      </c>
      <c r="T48" s="14">
        <v>42</v>
      </c>
      <c r="U48" s="14">
        <f t="shared" si="5"/>
        <v>503.18999999999994</v>
      </c>
      <c r="V48" s="14">
        <v>20</v>
      </c>
      <c r="W48" s="14">
        <f t="shared" si="6"/>
        <v>22800</v>
      </c>
      <c r="Y48" s="14">
        <v>42</v>
      </c>
      <c r="Z48" s="107">
        <f t="shared" si="7"/>
        <v>7600</v>
      </c>
      <c r="AA48" s="108">
        <f t="shared" si="8"/>
        <v>15200</v>
      </c>
      <c r="AB48" s="108">
        <f t="shared" si="9"/>
        <v>22800</v>
      </c>
      <c r="AD48" s="14">
        <v>42</v>
      </c>
      <c r="AE48" s="14">
        <f t="shared" si="10"/>
        <v>29</v>
      </c>
      <c r="AF48" s="14">
        <f t="shared" si="11"/>
        <v>23</v>
      </c>
      <c r="AH48" t="str">
        <f t="shared" si="12"/>
        <v>7600,15200,22800</v>
      </c>
      <c r="AI48" t="str">
        <f t="shared" si="13"/>
        <v>10,14,20</v>
      </c>
      <c r="AJ48" t="str">
        <f t="shared" si="14"/>
        <v>76,335.46,503.19</v>
      </c>
      <c r="AM48">
        <v>2.64</v>
      </c>
    </row>
    <row r="49" spans="1:39" x14ac:dyDescent="0.25">
      <c r="A49" s="14">
        <v>43</v>
      </c>
      <c r="B49" s="14">
        <v>79</v>
      </c>
      <c r="C49" s="14">
        <f t="shared" si="16"/>
        <v>0.79999999999999993</v>
      </c>
      <c r="D49" s="14">
        <f t="shared" si="1"/>
        <v>2.25</v>
      </c>
      <c r="E49" s="14">
        <f t="shared" si="2"/>
        <v>177.46</v>
      </c>
      <c r="F49" s="102">
        <v>10</v>
      </c>
      <c r="G49" s="14">
        <f ca="1">_xlfn.IFNA(INDEX(玩家节奏1!$EC:$EC,MATCH(关卡对比!A49,玩家节奏1!$N:$N,1)),1)</f>
        <v>2.64</v>
      </c>
      <c r="H49" s="14">
        <f ca="1">_xlfn.IFNA(INDEX(玩家节奏2!$FG:$FG,MATCH(关卡对比!A49,玩家节奏2!$N:$N,1)),1)</f>
        <v>3.449952000000001</v>
      </c>
      <c r="I49" s="14">
        <v>2.75</v>
      </c>
      <c r="J49" s="14">
        <f t="shared" si="15"/>
        <v>7900</v>
      </c>
      <c r="K49" s="14">
        <f t="shared" si="0"/>
        <v>7900</v>
      </c>
      <c r="N49" s="14">
        <v>43</v>
      </c>
      <c r="O49" s="14">
        <f t="shared" si="3"/>
        <v>354.92</v>
      </c>
      <c r="P49" s="14">
        <v>14</v>
      </c>
      <c r="Q49" s="14">
        <f t="shared" si="4"/>
        <v>15800</v>
      </c>
      <c r="T49" s="14">
        <v>43</v>
      </c>
      <c r="U49" s="14">
        <f t="shared" si="5"/>
        <v>532.38</v>
      </c>
      <c r="V49" s="14">
        <v>20</v>
      </c>
      <c r="W49" s="14">
        <f t="shared" si="6"/>
        <v>23700</v>
      </c>
      <c r="Y49" s="14">
        <v>43</v>
      </c>
      <c r="Z49" s="107">
        <f t="shared" si="7"/>
        <v>7900</v>
      </c>
      <c r="AA49" s="108">
        <f t="shared" si="8"/>
        <v>15800</v>
      </c>
      <c r="AB49" s="103">
        <f t="shared" si="9"/>
        <v>23700</v>
      </c>
      <c r="AD49" s="14">
        <v>43</v>
      </c>
      <c r="AE49" s="14">
        <f t="shared" si="10"/>
        <v>29</v>
      </c>
      <c r="AF49" s="14">
        <f t="shared" si="11"/>
        <v>23</v>
      </c>
      <c r="AH49" t="str">
        <f t="shared" si="12"/>
        <v>7900,15800,23700</v>
      </c>
      <c r="AI49" t="str">
        <f t="shared" si="13"/>
        <v>10,14,20</v>
      </c>
      <c r="AJ49" t="str">
        <f t="shared" si="14"/>
        <v>79,354.92,532.38</v>
      </c>
      <c r="AM49">
        <v>2.64</v>
      </c>
    </row>
    <row r="50" spans="1:39" x14ac:dyDescent="0.25">
      <c r="A50" s="14">
        <v>44</v>
      </c>
      <c r="B50" s="14">
        <v>82</v>
      </c>
      <c r="C50" s="14">
        <f t="shared" si="16"/>
        <v>0.79999999999999993</v>
      </c>
      <c r="D50" s="14">
        <f t="shared" si="1"/>
        <v>2.2799999999999998</v>
      </c>
      <c r="E50" s="14">
        <f t="shared" si="2"/>
        <v>186.87</v>
      </c>
      <c r="F50" s="102">
        <v>10</v>
      </c>
      <c r="G50" s="14">
        <f ca="1">_xlfn.IFNA(INDEX(玩家节奏1!$EC:$EC,MATCH(关卡对比!A50,玩家节奏1!$N:$N,1)),1)</f>
        <v>2.64</v>
      </c>
      <c r="H50" s="14">
        <f ca="1">_xlfn.IFNA(INDEX(玩家节奏2!$FG:$FG,MATCH(关卡对比!A50,玩家节奏2!$N:$N,1)),1)</f>
        <v>3.449952000000001</v>
      </c>
      <c r="I50" s="14">
        <v>2.8</v>
      </c>
      <c r="J50" s="14">
        <f t="shared" si="15"/>
        <v>8200</v>
      </c>
      <c r="K50" s="14">
        <f t="shared" si="0"/>
        <v>8200</v>
      </c>
      <c r="N50" s="14">
        <v>44</v>
      </c>
      <c r="O50" s="14">
        <f t="shared" si="3"/>
        <v>373.74</v>
      </c>
      <c r="P50" s="14">
        <v>14</v>
      </c>
      <c r="Q50" s="14">
        <f t="shared" si="4"/>
        <v>16400</v>
      </c>
      <c r="T50" s="14">
        <v>44</v>
      </c>
      <c r="U50" s="14">
        <f t="shared" si="5"/>
        <v>560.61</v>
      </c>
      <c r="V50" s="14">
        <v>20</v>
      </c>
      <c r="W50" s="14">
        <f t="shared" si="6"/>
        <v>24600</v>
      </c>
      <c r="Y50" s="14">
        <v>44</v>
      </c>
      <c r="Z50" s="107">
        <f t="shared" si="7"/>
        <v>8200</v>
      </c>
      <c r="AA50" s="108">
        <f t="shared" si="8"/>
        <v>16400</v>
      </c>
      <c r="AB50" s="103">
        <f t="shared" si="9"/>
        <v>24600</v>
      </c>
      <c r="AD50" s="14">
        <v>44</v>
      </c>
      <c r="AE50" s="14">
        <f t="shared" si="10"/>
        <v>30</v>
      </c>
      <c r="AF50" s="14">
        <f t="shared" si="11"/>
        <v>24</v>
      </c>
      <c r="AH50" t="str">
        <f t="shared" si="12"/>
        <v>8200,16400,24600</v>
      </c>
      <c r="AI50" t="str">
        <f t="shared" si="13"/>
        <v>10,14,20</v>
      </c>
      <c r="AJ50" t="str">
        <f t="shared" si="14"/>
        <v>82,373.74,560.61</v>
      </c>
      <c r="AM50">
        <v>2.65</v>
      </c>
    </row>
    <row r="51" spans="1:39" x14ac:dyDescent="0.25">
      <c r="A51" s="14">
        <v>45</v>
      </c>
      <c r="B51" s="14">
        <v>87</v>
      </c>
      <c r="C51" s="14">
        <f t="shared" si="16"/>
        <v>0.79999999999999993</v>
      </c>
      <c r="D51" s="14">
        <f t="shared" si="1"/>
        <v>2.3199999999999998</v>
      </c>
      <c r="E51" s="14">
        <f t="shared" si="2"/>
        <v>201.66</v>
      </c>
      <c r="F51" s="102">
        <v>10</v>
      </c>
      <c r="G51" s="14">
        <f ca="1">_xlfn.IFNA(INDEX(玩家节奏1!$EC:$EC,MATCH(关卡对比!A51,玩家节奏1!$N:$N,1)),1)</f>
        <v>2.8600000000000003</v>
      </c>
      <c r="H51" s="14">
        <f ca="1">_xlfn.IFNA(INDEX(玩家节奏2!$FG:$FG,MATCH(关卡对比!A51,玩家节奏2!$N:$N,1)),1)</f>
        <v>3.449952000000001</v>
      </c>
      <c r="I51" s="14">
        <v>2.86</v>
      </c>
      <c r="J51" s="14">
        <f t="shared" si="15"/>
        <v>8700</v>
      </c>
      <c r="K51" s="14">
        <f t="shared" si="0"/>
        <v>8700</v>
      </c>
      <c r="N51" s="14">
        <v>45</v>
      </c>
      <c r="O51" s="14">
        <f t="shared" si="3"/>
        <v>403.32</v>
      </c>
      <c r="P51" s="14">
        <v>14</v>
      </c>
      <c r="Q51" s="14">
        <f t="shared" si="4"/>
        <v>17400</v>
      </c>
      <c r="T51" s="14">
        <v>45</v>
      </c>
      <c r="U51" s="14">
        <f t="shared" si="5"/>
        <v>604.98</v>
      </c>
      <c r="V51" s="14">
        <v>20</v>
      </c>
      <c r="W51" s="14">
        <f t="shared" si="6"/>
        <v>26100</v>
      </c>
      <c r="Y51" s="14">
        <v>45</v>
      </c>
      <c r="Z51" s="107">
        <f t="shared" si="7"/>
        <v>8700</v>
      </c>
      <c r="AA51" s="104">
        <f t="shared" si="8"/>
        <v>17400</v>
      </c>
      <c r="AB51" s="103">
        <f t="shared" si="9"/>
        <v>26100</v>
      </c>
      <c r="AD51" s="14">
        <v>45</v>
      </c>
      <c r="AE51" s="14">
        <f t="shared" si="10"/>
        <v>31</v>
      </c>
      <c r="AF51" s="14">
        <f t="shared" si="11"/>
        <v>25</v>
      </c>
      <c r="AH51" t="str">
        <f t="shared" si="12"/>
        <v>8700,17400,26100</v>
      </c>
      <c r="AI51" t="str">
        <f t="shared" si="13"/>
        <v>10,14,20</v>
      </c>
      <c r="AJ51" t="str">
        <f t="shared" si="14"/>
        <v>87,403.32,604.98</v>
      </c>
      <c r="AM51">
        <v>2.86</v>
      </c>
    </row>
    <row r="52" spans="1:39" x14ac:dyDescent="0.25">
      <c r="A52" s="14">
        <v>46</v>
      </c>
      <c r="B52" s="14">
        <v>92</v>
      </c>
      <c r="C52" s="14">
        <f t="shared" si="16"/>
        <v>0.79999999999999993</v>
      </c>
      <c r="D52" s="14">
        <f t="shared" si="1"/>
        <v>2.36</v>
      </c>
      <c r="E52" s="14">
        <f t="shared" si="2"/>
        <v>216.82</v>
      </c>
      <c r="F52" s="102">
        <v>10</v>
      </c>
      <c r="G52" s="14">
        <f ca="1">_xlfn.IFNA(INDEX(玩家节奏1!$EC:$EC,MATCH(关卡对比!A52,玩家节奏1!$N:$N,1)),1)</f>
        <v>2.8600000000000003</v>
      </c>
      <c r="H52" s="14">
        <f ca="1">_xlfn.IFNA(INDEX(玩家节奏2!$FG:$FG,MATCH(关卡对比!A52,玩家节奏2!$N:$N,1)),1)</f>
        <v>3.9029760000000007</v>
      </c>
      <c r="I52" s="14">
        <v>2.92</v>
      </c>
      <c r="J52" s="14">
        <f>K52</f>
        <v>9200</v>
      </c>
      <c r="K52" s="14">
        <f t="shared" si="0"/>
        <v>9200</v>
      </c>
      <c r="N52" s="14">
        <v>46</v>
      </c>
      <c r="O52" s="14">
        <f t="shared" si="3"/>
        <v>433.64</v>
      </c>
      <c r="P52" s="14">
        <v>14</v>
      </c>
      <c r="Q52" s="14">
        <f t="shared" si="4"/>
        <v>18400</v>
      </c>
      <c r="T52" s="14">
        <v>46</v>
      </c>
      <c r="U52" s="14">
        <f t="shared" si="5"/>
        <v>650.46</v>
      </c>
      <c r="V52" s="14">
        <v>20</v>
      </c>
      <c r="W52" s="14">
        <f t="shared" si="6"/>
        <v>27600</v>
      </c>
      <c r="Y52" s="14">
        <v>46</v>
      </c>
      <c r="Z52" s="108">
        <f t="shared" si="7"/>
        <v>9200</v>
      </c>
      <c r="AA52" s="104">
        <f t="shared" si="8"/>
        <v>18400</v>
      </c>
      <c r="AB52" s="103">
        <f t="shared" si="9"/>
        <v>27600</v>
      </c>
      <c r="AD52" s="14">
        <v>46</v>
      </c>
      <c r="AE52" s="14">
        <f t="shared" si="10"/>
        <v>32</v>
      </c>
      <c r="AF52" s="14">
        <f t="shared" si="11"/>
        <v>25</v>
      </c>
      <c r="AH52" t="str">
        <f t="shared" si="12"/>
        <v>9200,18400,27600</v>
      </c>
      <c r="AI52" t="str">
        <f t="shared" si="13"/>
        <v>10,14,20</v>
      </c>
      <c r="AJ52" t="str">
        <f t="shared" si="14"/>
        <v>92,433.64,650.46</v>
      </c>
      <c r="AM52">
        <v>2.86</v>
      </c>
    </row>
    <row r="53" spans="1:39" x14ac:dyDescent="0.25">
      <c r="A53" s="14">
        <v>47</v>
      </c>
      <c r="B53" s="14">
        <v>97</v>
      </c>
      <c r="C53" s="14">
        <f t="shared" si="16"/>
        <v>0.79999999999999993</v>
      </c>
      <c r="D53" s="14">
        <f t="shared" si="1"/>
        <v>2.39</v>
      </c>
      <c r="E53" s="14">
        <f t="shared" si="2"/>
        <v>231.73</v>
      </c>
      <c r="F53" s="102">
        <v>10</v>
      </c>
      <c r="G53" s="14">
        <f ca="1">_xlfn.IFNA(INDEX(玩家节奏1!$EC:$EC,MATCH(关卡对比!A53,玩家节奏1!$N:$N,1)),1)</f>
        <v>2.8600000000000003</v>
      </c>
      <c r="H53" s="14">
        <f ca="1">_xlfn.IFNA(INDEX(玩家节奏2!$FG:$FG,MATCH(关卡对比!A53,玩家节奏2!$N:$N,1)),1)</f>
        <v>3.9029760000000007</v>
      </c>
      <c r="I53" s="14">
        <v>2.97</v>
      </c>
      <c r="J53" s="14">
        <f t="shared" si="15"/>
        <v>9700</v>
      </c>
      <c r="K53" s="14">
        <f t="shared" si="0"/>
        <v>9700</v>
      </c>
      <c r="N53" s="14">
        <v>47</v>
      </c>
      <c r="O53" s="14">
        <f t="shared" si="3"/>
        <v>463.46</v>
      </c>
      <c r="P53" s="14">
        <v>14</v>
      </c>
      <c r="Q53" s="14">
        <f t="shared" si="4"/>
        <v>19400</v>
      </c>
      <c r="T53" s="14">
        <v>47</v>
      </c>
      <c r="U53" s="14">
        <f t="shared" si="5"/>
        <v>695.18999999999994</v>
      </c>
      <c r="V53" s="14">
        <v>20</v>
      </c>
      <c r="W53" s="14">
        <f t="shared" si="6"/>
        <v>29100</v>
      </c>
      <c r="Y53" s="14">
        <v>47</v>
      </c>
      <c r="Z53" s="108">
        <f t="shared" si="7"/>
        <v>9700</v>
      </c>
      <c r="AA53" s="105">
        <f t="shared" si="8"/>
        <v>19400</v>
      </c>
      <c r="AB53" s="103">
        <f t="shared" si="9"/>
        <v>29100</v>
      </c>
      <c r="AD53" s="14">
        <v>47</v>
      </c>
      <c r="AE53" s="14">
        <f t="shared" si="10"/>
        <v>32</v>
      </c>
      <c r="AF53" s="14">
        <f t="shared" si="11"/>
        <v>26</v>
      </c>
      <c r="AH53" t="str">
        <f t="shared" si="12"/>
        <v>9700,19400,29100</v>
      </c>
      <c r="AI53" t="str">
        <f t="shared" si="13"/>
        <v>10,14,20</v>
      </c>
      <c r="AJ53" t="str">
        <f t="shared" si="14"/>
        <v>97,463.46,695.19</v>
      </c>
      <c r="AM53">
        <v>2.86</v>
      </c>
    </row>
    <row r="54" spans="1:39" x14ac:dyDescent="0.25">
      <c r="A54" s="14">
        <v>48</v>
      </c>
      <c r="B54" s="14">
        <v>102</v>
      </c>
      <c r="C54" s="14">
        <f t="shared" si="16"/>
        <v>0.79999999999999993</v>
      </c>
      <c r="D54" s="14">
        <f t="shared" si="1"/>
        <v>2.4300000000000002</v>
      </c>
      <c r="E54" s="14">
        <f t="shared" si="2"/>
        <v>247.6</v>
      </c>
      <c r="F54" s="102">
        <v>10</v>
      </c>
      <c r="G54" s="14">
        <f ca="1">_xlfn.IFNA(INDEX(玩家节奏1!$EC:$EC,MATCH(关卡对比!A54,玩家节奏1!$N:$N,1)),1)</f>
        <v>2.8600000000000003</v>
      </c>
      <c r="H54" s="14">
        <f ca="1">_xlfn.IFNA(INDEX(玩家节奏2!$FG:$FG,MATCH(关卡对比!A54,玩家节奏2!$N:$N,1)),1)</f>
        <v>3.9029760000000007</v>
      </c>
      <c r="I54" s="14">
        <v>3.03</v>
      </c>
      <c r="J54" s="14">
        <f t="shared" si="15"/>
        <v>10200</v>
      </c>
      <c r="K54" s="14">
        <f t="shared" si="0"/>
        <v>10200</v>
      </c>
      <c r="N54" s="14">
        <v>48</v>
      </c>
      <c r="O54" s="14">
        <f t="shared" si="3"/>
        <v>495.2</v>
      </c>
      <c r="P54" s="14">
        <v>14</v>
      </c>
      <c r="Q54" s="14">
        <f t="shared" si="4"/>
        <v>20400</v>
      </c>
      <c r="T54" s="14">
        <v>48</v>
      </c>
      <c r="U54" s="14">
        <f t="shared" si="5"/>
        <v>742.8</v>
      </c>
      <c r="V54" s="14">
        <v>20</v>
      </c>
      <c r="W54" s="14">
        <f t="shared" si="6"/>
        <v>30600</v>
      </c>
      <c r="Y54" s="14">
        <v>48</v>
      </c>
      <c r="Z54" s="108">
        <f t="shared" si="7"/>
        <v>10200</v>
      </c>
      <c r="AA54" s="105">
        <f t="shared" si="8"/>
        <v>20400</v>
      </c>
      <c r="AB54" s="103">
        <f t="shared" si="9"/>
        <v>30600</v>
      </c>
      <c r="AD54" s="14">
        <v>48</v>
      </c>
      <c r="AE54" s="14">
        <f t="shared" si="10"/>
        <v>33</v>
      </c>
      <c r="AF54" s="14">
        <f t="shared" si="11"/>
        <v>27</v>
      </c>
      <c r="AH54" t="str">
        <f t="shared" si="12"/>
        <v>10200,20400,30600</v>
      </c>
      <c r="AI54" t="str">
        <f t="shared" si="13"/>
        <v>10,14,20</v>
      </c>
      <c r="AJ54" t="str">
        <f t="shared" si="14"/>
        <v>102,495.2,742.8</v>
      </c>
      <c r="AM54">
        <v>2.87</v>
      </c>
    </row>
    <row r="55" spans="1:39" x14ac:dyDescent="0.25">
      <c r="A55" s="14">
        <v>49</v>
      </c>
      <c r="B55" s="14">
        <v>107</v>
      </c>
      <c r="C55" s="14">
        <f t="shared" si="16"/>
        <v>0.79999999999999993</v>
      </c>
      <c r="D55" s="14">
        <f t="shared" si="1"/>
        <v>2.46</v>
      </c>
      <c r="E55" s="14">
        <f t="shared" si="2"/>
        <v>263.16000000000003</v>
      </c>
      <c r="F55" s="102">
        <v>10</v>
      </c>
      <c r="G55" s="14">
        <f ca="1">_xlfn.IFNA(INDEX(玩家节奏1!$EC:$EC,MATCH(关卡对比!A55,玩家节奏1!$N:$N,1)),1)</f>
        <v>3.08</v>
      </c>
      <c r="H55" s="14">
        <f ca="1">_xlfn.IFNA(INDEX(玩家节奏2!$FG:$FG,MATCH(关卡对比!A55,玩家节奏2!$N:$N,1)),1)</f>
        <v>3.9029760000000007</v>
      </c>
      <c r="I55" s="14">
        <v>3.08</v>
      </c>
      <c r="J55" s="14">
        <f t="shared" si="15"/>
        <v>10700</v>
      </c>
      <c r="K55" s="14">
        <f t="shared" si="0"/>
        <v>10700</v>
      </c>
      <c r="N55" s="14">
        <v>49</v>
      </c>
      <c r="O55" s="14">
        <f t="shared" si="3"/>
        <v>526.32000000000005</v>
      </c>
      <c r="P55" s="14">
        <v>14</v>
      </c>
      <c r="Q55" s="14">
        <f t="shared" si="4"/>
        <v>21400</v>
      </c>
      <c r="T55" s="14">
        <v>49</v>
      </c>
      <c r="U55" s="14">
        <f t="shared" si="5"/>
        <v>789.48</v>
      </c>
      <c r="V55" s="14">
        <v>20</v>
      </c>
      <c r="W55" s="14">
        <f t="shared" si="6"/>
        <v>32100</v>
      </c>
      <c r="Y55" s="14">
        <v>49</v>
      </c>
      <c r="Z55" s="108">
        <f t="shared" si="7"/>
        <v>10700</v>
      </c>
      <c r="AA55" s="105">
        <f t="shared" si="8"/>
        <v>21400</v>
      </c>
      <c r="AB55" s="103">
        <f t="shared" si="9"/>
        <v>32100</v>
      </c>
      <c r="AD55" s="14">
        <v>49</v>
      </c>
      <c r="AE55" s="14">
        <f t="shared" si="10"/>
        <v>34</v>
      </c>
      <c r="AF55" s="14">
        <f t="shared" si="11"/>
        <v>28</v>
      </c>
      <c r="AH55" t="str">
        <f t="shared" si="12"/>
        <v>10700,21400,32100</v>
      </c>
      <c r="AI55" t="str">
        <f t="shared" si="13"/>
        <v>10,14,20</v>
      </c>
      <c r="AJ55" t="str">
        <f t="shared" si="14"/>
        <v>107,526.32,789.48</v>
      </c>
      <c r="AM55">
        <v>3.08</v>
      </c>
    </row>
    <row r="56" spans="1:39" x14ac:dyDescent="0.25">
      <c r="A56" s="14">
        <v>50</v>
      </c>
      <c r="B56" s="14">
        <v>112</v>
      </c>
      <c r="C56" s="14">
        <f t="shared" si="16"/>
        <v>0.79999999999999993</v>
      </c>
      <c r="D56" s="14">
        <f t="shared" si="1"/>
        <v>2.4900000000000002</v>
      </c>
      <c r="E56" s="14">
        <f t="shared" si="2"/>
        <v>279.02999999999997</v>
      </c>
      <c r="F56" s="102">
        <v>10</v>
      </c>
      <c r="G56" s="14">
        <f ca="1">_xlfn.IFNA(INDEX(玩家节奏1!$EC:$EC,MATCH(关卡对比!A56,玩家节奏1!$N:$N,1)),1)</f>
        <v>3.08</v>
      </c>
      <c r="H56" s="14">
        <f ca="1">_xlfn.IFNA(INDEX(玩家节奏2!$FG:$FG,MATCH(关卡对比!A56,玩家节奏2!$N:$N,1)),1)</f>
        <v>3.9029760000000007</v>
      </c>
      <c r="I56" s="14">
        <v>3.13</v>
      </c>
      <c r="J56" s="14">
        <f t="shared" ref="J56:J87" si="17">K56</f>
        <v>11200</v>
      </c>
      <c r="K56" s="14">
        <f t="shared" si="0"/>
        <v>11200</v>
      </c>
      <c r="N56" s="14">
        <v>50</v>
      </c>
      <c r="O56" s="14">
        <f t="shared" si="3"/>
        <v>558.05999999999995</v>
      </c>
      <c r="P56" s="14">
        <v>14</v>
      </c>
      <c r="Q56" s="14">
        <f t="shared" si="4"/>
        <v>22400</v>
      </c>
      <c r="T56" s="14">
        <v>50</v>
      </c>
      <c r="U56" s="14">
        <f t="shared" si="5"/>
        <v>837.08999999999992</v>
      </c>
      <c r="V56" s="14">
        <v>20</v>
      </c>
      <c r="W56" s="14">
        <f t="shared" si="6"/>
        <v>33600</v>
      </c>
      <c r="Y56" s="14">
        <v>50</v>
      </c>
      <c r="Z56" s="108">
        <f t="shared" si="7"/>
        <v>11200</v>
      </c>
      <c r="AA56" s="106">
        <f t="shared" si="8"/>
        <v>22400</v>
      </c>
      <c r="AB56" s="103">
        <f t="shared" si="9"/>
        <v>33600</v>
      </c>
      <c r="AD56" s="14">
        <v>50</v>
      </c>
      <c r="AE56" s="14">
        <f t="shared" si="10"/>
        <v>35</v>
      </c>
      <c r="AF56" s="14">
        <f t="shared" si="11"/>
        <v>29</v>
      </c>
      <c r="AH56" t="str">
        <f t="shared" si="12"/>
        <v>11200,22400,33600</v>
      </c>
      <c r="AI56" t="str">
        <f t="shared" si="13"/>
        <v>10,14,20</v>
      </c>
      <c r="AJ56" t="str">
        <f t="shared" si="14"/>
        <v>112,558.06,837.09</v>
      </c>
      <c r="AM56">
        <v>3.08</v>
      </c>
    </row>
    <row r="57" spans="1:39" x14ac:dyDescent="0.25">
      <c r="A57" s="14">
        <v>51</v>
      </c>
      <c r="B57" s="14">
        <v>117</v>
      </c>
      <c r="C57" s="14">
        <f t="shared" si="16"/>
        <v>0.89999999999999991</v>
      </c>
      <c r="D57" s="14">
        <f t="shared" si="1"/>
        <v>2.82</v>
      </c>
      <c r="E57" s="14">
        <f t="shared" si="2"/>
        <v>330.48</v>
      </c>
      <c r="F57" s="102">
        <v>10</v>
      </c>
      <c r="G57" s="14">
        <f ca="1">_xlfn.IFNA(INDEX(玩家节奏1!$EC:$EC,MATCH(关卡对比!A57,玩家节奏1!$N:$N,1)),1)</f>
        <v>3.08</v>
      </c>
      <c r="H57" s="14">
        <f ca="1">_xlfn.IFNA(INDEX(玩家节奏2!$FG:$FG,MATCH(关卡对比!A57,玩家节奏2!$N:$N,1)),1)</f>
        <v>3.9029760000000007</v>
      </c>
      <c r="I57" s="14">
        <v>3.17</v>
      </c>
      <c r="J57" s="14">
        <f t="shared" si="17"/>
        <v>11700</v>
      </c>
      <c r="K57" s="14">
        <f t="shared" si="0"/>
        <v>11700</v>
      </c>
      <c r="N57" s="14">
        <v>51</v>
      </c>
      <c r="O57" s="14">
        <f t="shared" si="3"/>
        <v>660.96</v>
      </c>
      <c r="P57" s="14">
        <v>14</v>
      </c>
      <c r="Q57" s="14">
        <f t="shared" si="4"/>
        <v>23400</v>
      </c>
      <c r="T57" s="14">
        <v>51</v>
      </c>
      <c r="U57" s="14">
        <f t="shared" si="5"/>
        <v>991.44</v>
      </c>
      <c r="V57" s="14">
        <v>20</v>
      </c>
      <c r="W57" s="14">
        <f t="shared" si="6"/>
        <v>35100</v>
      </c>
      <c r="Y57" s="14">
        <v>51</v>
      </c>
      <c r="Z57" s="104">
        <f t="shared" si="7"/>
        <v>11700</v>
      </c>
      <c r="AA57" s="106">
        <f t="shared" si="8"/>
        <v>23400</v>
      </c>
      <c r="AB57" s="103">
        <f t="shared" si="9"/>
        <v>35100</v>
      </c>
      <c r="AD57" s="14">
        <v>51</v>
      </c>
      <c r="AE57" s="14">
        <f t="shared" si="10"/>
        <v>36</v>
      </c>
      <c r="AF57" s="14">
        <f t="shared" si="11"/>
        <v>29</v>
      </c>
      <c r="AH57" t="str">
        <f t="shared" si="12"/>
        <v>11700,23400,35100</v>
      </c>
      <c r="AI57" t="str">
        <f t="shared" si="13"/>
        <v>10,14,20</v>
      </c>
      <c r="AJ57" t="str">
        <f t="shared" si="14"/>
        <v>117,660.96,991.44</v>
      </c>
      <c r="AM57">
        <v>3.08</v>
      </c>
    </row>
    <row r="58" spans="1:39" x14ac:dyDescent="0.25">
      <c r="A58" s="14">
        <v>52</v>
      </c>
      <c r="B58" s="14">
        <v>122</v>
      </c>
      <c r="C58" s="14">
        <f t="shared" si="16"/>
        <v>0.89999999999999991</v>
      </c>
      <c r="D58" s="14">
        <f t="shared" si="1"/>
        <v>2.86</v>
      </c>
      <c r="E58" s="14">
        <f t="shared" si="2"/>
        <v>348.51</v>
      </c>
      <c r="F58" s="102">
        <v>10</v>
      </c>
      <c r="G58" s="14">
        <f ca="1">_xlfn.IFNA(INDEX(玩家节奏1!$EC:$EC,MATCH(关卡对比!A58,玩家节奏1!$N:$N,1)),1)</f>
        <v>3.08</v>
      </c>
      <c r="H58" s="14">
        <f ca="1">_xlfn.IFNA(INDEX(玩家节奏2!$FG:$FG,MATCH(关卡对比!A58,玩家节奏2!$N:$N,1)),1)</f>
        <v>4.2282240000000009</v>
      </c>
      <c r="I58" s="14">
        <v>3.21</v>
      </c>
      <c r="J58" s="14">
        <f t="shared" si="17"/>
        <v>12200</v>
      </c>
      <c r="K58" s="14">
        <f t="shared" si="0"/>
        <v>12200</v>
      </c>
      <c r="N58" s="14">
        <v>52</v>
      </c>
      <c r="O58" s="14">
        <f t="shared" si="3"/>
        <v>697.02</v>
      </c>
      <c r="P58" s="14">
        <v>14</v>
      </c>
      <c r="Q58" s="14">
        <f t="shared" si="4"/>
        <v>24400</v>
      </c>
      <c r="T58" s="14">
        <v>52</v>
      </c>
      <c r="U58" s="14">
        <f t="shared" si="5"/>
        <v>1045.53</v>
      </c>
      <c r="V58" s="14">
        <v>20</v>
      </c>
      <c r="W58" s="14">
        <f t="shared" si="6"/>
        <v>36600</v>
      </c>
      <c r="Y58" s="14">
        <v>52</v>
      </c>
      <c r="Z58" s="104">
        <f t="shared" si="7"/>
        <v>12200</v>
      </c>
      <c r="AA58" s="107">
        <f t="shared" si="8"/>
        <v>24400</v>
      </c>
      <c r="AB58" s="103">
        <f t="shared" si="9"/>
        <v>36600</v>
      </c>
      <c r="AD58" s="14">
        <v>52</v>
      </c>
      <c r="AE58" s="14">
        <f t="shared" si="10"/>
        <v>37</v>
      </c>
      <c r="AF58" s="14">
        <f t="shared" si="11"/>
        <v>30</v>
      </c>
      <c r="AH58" t="str">
        <f t="shared" si="12"/>
        <v>12200,24400,36600</v>
      </c>
      <c r="AI58" t="str">
        <f t="shared" si="13"/>
        <v>10,14,20</v>
      </c>
      <c r="AJ58" t="str">
        <f t="shared" si="14"/>
        <v>122,697.02,1045.53</v>
      </c>
      <c r="AM58">
        <v>3.08</v>
      </c>
    </row>
    <row r="59" spans="1:39" x14ac:dyDescent="0.25">
      <c r="A59" s="14">
        <v>53</v>
      </c>
      <c r="B59" s="14">
        <v>127</v>
      </c>
      <c r="C59" s="14">
        <f t="shared" si="16"/>
        <v>0.89999999999999991</v>
      </c>
      <c r="D59" s="14">
        <f t="shared" si="1"/>
        <v>2.9</v>
      </c>
      <c r="E59" s="14">
        <f t="shared" si="2"/>
        <v>367.87</v>
      </c>
      <c r="F59" s="102">
        <v>10</v>
      </c>
      <c r="G59" s="14">
        <f ca="1">_xlfn.IFNA(INDEX(玩家节奏1!$EC:$EC,MATCH(关卡对比!A59,玩家节奏1!$N:$N,1)),1)</f>
        <v>3.08</v>
      </c>
      <c r="H59" s="14">
        <f ca="1">_xlfn.IFNA(INDEX(玩家节奏2!$FG:$FG,MATCH(关卡对比!A59,玩家节奏2!$N:$N,1)),1)</f>
        <v>4.2282240000000009</v>
      </c>
      <c r="I59" s="14">
        <v>3.26</v>
      </c>
      <c r="J59" s="14">
        <f t="shared" si="17"/>
        <v>12700</v>
      </c>
      <c r="K59" s="14">
        <f t="shared" si="0"/>
        <v>12700</v>
      </c>
      <c r="N59" s="14">
        <v>53</v>
      </c>
      <c r="O59" s="14">
        <f t="shared" si="3"/>
        <v>735.74</v>
      </c>
      <c r="P59" s="14">
        <v>14</v>
      </c>
      <c r="Q59" s="14">
        <f t="shared" si="4"/>
        <v>25400</v>
      </c>
      <c r="T59" s="14">
        <v>53</v>
      </c>
      <c r="U59" s="14">
        <f t="shared" si="5"/>
        <v>1103.6100000000001</v>
      </c>
      <c r="V59" s="14">
        <v>20</v>
      </c>
      <c r="W59" s="14">
        <f t="shared" si="6"/>
        <v>38100</v>
      </c>
      <c r="Y59" s="14">
        <v>53</v>
      </c>
      <c r="Z59" s="104">
        <f t="shared" si="7"/>
        <v>12700</v>
      </c>
      <c r="AA59" s="107">
        <f t="shared" si="8"/>
        <v>25400</v>
      </c>
      <c r="AB59" s="103">
        <f t="shared" si="9"/>
        <v>38100</v>
      </c>
      <c r="AD59" s="14">
        <v>53</v>
      </c>
      <c r="AE59" s="14">
        <f t="shared" si="10"/>
        <v>37</v>
      </c>
      <c r="AF59" s="14">
        <f t="shared" si="11"/>
        <v>30</v>
      </c>
      <c r="AH59" t="str">
        <f t="shared" si="12"/>
        <v>12700,25400,38100</v>
      </c>
      <c r="AI59" t="str">
        <f t="shared" si="13"/>
        <v>10,14,20</v>
      </c>
      <c r="AJ59" t="str">
        <f t="shared" si="14"/>
        <v>127,735.74,1103.61</v>
      </c>
      <c r="AM59">
        <v>3.09</v>
      </c>
    </row>
    <row r="60" spans="1:39" x14ac:dyDescent="0.25">
      <c r="A60" s="14">
        <v>54</v>
      </c>
      <c r="B60" s="14">
        <v>132</v>
      </c>
      <c r="C60" s="14">
        <f t="shared" si="16"/>
        <v>0.89999999999999991</v>
      </c>
      <c r="D60" s="14">
        <f t="shared" si="1"/>
        <v>2.93</v>
      </c>
      <c r="E60" s="14">
        <f t="shared" si="2"/>
        <v>386.58</v>
      </c>
      <c r="F60" s="102">
        <v>10</v>
      </c>
      <c r="G60" s="14">
        <f ca="1">_xlfn.IFNA(INDEX(玩家节奏1!$EC:$EC,MATCH(关卡对比!A60,玩家节奏1!$N:$N,1)),1)</f>
        <v>3.3000000000000003</v>
      </c>
      <c r="H60" s="14">
        <f ca="1">_xlfn.IFNA(INDEX(玩家节奏2!$FG:$FG,MATCH(关卡对比!A60,玩家节奏2!$N:$N,1)),1)</f>
        <v>4.2282240000000009</v>
      </c>
      <c r="I60" s="14">
        <v>3.3</v>
      </c>
      <c r="J60" s="14">
        <f t="shared" si="17"/>
        <v>13200</v>
      </c>
      <c r="K60" s="14">
        <f t="shared" si="0"/>
        <v>13200</v>
      </c>
      <c r="N60" s="14">
        <v>54</v>
      </c>
      <c r="O60" s="14">
        <f t="shared" si="3"/>
        <v>773.16</v>
      </c>
      <c r="P60" s="14">
        <v>14</v>
      </c>
      <c r="Q60" s="14">
        <f t="shared" si="4"/>
        <v>26400</v>
      </c>
      <c r="T60" s="14">
        <v>54</v>
      </c>
      <c r="U60" s="14">
        <f t="shared" si="5"/>
        <v>1159.74</v>
      </c>
      <c r="V60" s="14">
        <v>20</v>
      </c>
      <c r="W60" s="14">
        <f t="shared" si="6"/>
        <v>39600</v>
      </c>
      <c r="Y60" s="14">
        <v>54</v>
      </c>
      <c r="Z60" s="104">
        <f t="shared" si="7"/>
        <v>13200</v>
      </c>
      <c r="AA60" s="107">
        <f t="shared" si="8"/>
        <v>26400</v>
      </c>
      <c r="AB60" s="103">
        <f t="shared" si="9"/>
        <v>39600</v>
      </c>
      <c r="AD60" s="14">
        <v>54</v>
      </c>
      <c r="AE60" s="14">
        <f t="shared" si="10"/>
        <v>38</v>
      </c>
      <c r="AF60" s="14">
        <f t="shared" si="11"/>
        <v>31</v>
      </c>
      <c r="AH60" t="str">
        <f t="shared" si="12"/>
        <v>13200,26400,39600</v>
      </c>
      <c r="AI60" t="str">
        <f t="shared" si="13"/>
        <v>10,14,20</v>
      </c>
      <c r="AJ60" t="str">
        <f t="shared" si="14"/>
        <v>132,773.16,1159.74</v>
      </c>
      <c r="AM60">
        <v>3.3</v>
      </c>
    </row>
    <row r="61" spans="1:39" x14ac:dyDescent="0.25">
      <c r="A61" s="14">
        <v>55</v>
      </c>
      <c r="B61" s="14">
        <v>137</v>
      </c>
      <c r="C61" s="14">
        <f t="shared" si="16"/>
        <v>0.89999999999999991</v>
      </c>
      <c r="D61" s="14">
        <f t="shared" si="1"/>
        <v>2.96</v>
      </c>
      <c r="E61" s="14">
        <f t="shared" si="2"/>
        <v>405.59</v>
      </c>
      <c r="F61" s="102">
        <v>10</v>
      </c>
      <c r="G61" s="14">
        <f ca="1">_xlfn.IFNA(INDEX(玩家节奏1!$EC:$EC,MATCH(关卡对比!A61,玩家节奏1!$N:$N,1)),1)</f>
        <v>3.3000000000000003</v>
      </c>
      <c r="H61" s="14">
        <f ca="1">_xlfn.IFNA(INDEX(玩家节奏2!$FG:$FG,MATCH(关卡对比!A61,玩家节奏2!$N:$N,1)),1)</f>
        <v>4.5534720000000002</v>
      </c>
      <c r="I61" s="14">
        <v>3.34</v>
      </c>
      <c r="J61" s="14">
        <f t="shared" si="17"/>
        <v>13700</v>
      </c>
      <c r="K61" s="14">
        <f t="shared" si="0"/>
        <v>13700</v>
      </c>
      <c r="N61" s="14">
        <v>55</v>
      </c>
      <c r="O61" s="14">
        <f t="shared" si="3"/>
        <v>811.18</v>
      </c>
      <c r="P61" s="14">
        <v>14</v>
      </c>
      <c r="Q61" s="14">
        <f t="shared" si="4"/>
        <v>27400</v>
      </c>
      <c r="T61" s="14">
        <v>55</v>
      </c>
      <c r="U61" s="14">
        <f t="shared" si="5"/>
        <v>1216.77</v>
      </c>
      <c r="V61" s="14">
        <v>20</v>
      </c>
      <c r="W61" s="14">
        <f t="shared" si="6"/>
        <v>41100</v>
      </c>
      <c r="Y61" s="14">
        <v>55</v>
      </c>
      <c r="Z61" s="104">
        <f t="shared" si="7"/>
        <v>13700</v>
      </c>
      <c r="AA61" s="108">
        <f t="shared" si="8"/>
        <v>27400</v>
      </c>
      <c r="AB61" s="103">
        <f t="shared" si="9"/>
        <v>41100</v>
      </c>
      <c r="AD61" s="14">
        <v>55</v>
      </c>
      <c r="AE61" s="14">
        <f t="shared" si="10"/>
        <v>39</v>
      </c>
      <c r="AF61" s="14">
        <f t="shared" si="11"/>
        <v>31</v>
      </c>
      <c r="AH61" t="str">
        <f t="shared" si="12"/>
        <v>13700,27400,41100</v>
      </c>
      <c r="AI61" t="str">
        <f t="shared" si="13"/>
        <v>10,14,20</v>
      </c>
      <c r="AJ61" t="str">
        <f t="shared" si="14"/>
        <v>137,811.18,1216.77</v>
      </c>
      <c r="AM61">
        <v>3.3</v>
      </c>
    </row>
    <row r="62" spans="1:39" x14ac:dyDescent="0.25">
      <c r="A62" s="14">
        <v>56</v>
      </c>
      <c r="B62" s="14">
        <v>142</v>
      </c>
      <c r="C62" s="14">
        <f t="shared" si="16"/>
        <v>0.89999999999999991</v>
      </c>
      <c r="D62" s="14">
        <f t="shared" si="1"/>
        <v>3</v>
      </c>
      <c r="E62" s="14">
        <f t="shared" si="2"/>
        <v>426.06</v>
      </c>
      <c r="F62" s="102">
        <v>10</v>
      </c>
      <c r="G62" s="14">
        <f ca="1">_xlfn.IFNA(INDEX(玩家节奏1!$EC:$EC,MATCH(关卡对比!A62,玩家节奏1!$N:$N,1)),1)</f>
        <v>3.3000000000000003</v>
      </c>
      <c r="H62" s="14">
        <f ca="1">_xlfn.IFNA(INDEX(玩家节奏2!$FG:$FG,MATCH(关卡对比!A62,玩家节奏2!$N:$N,1)),1)</f>
        <v>4.5534720000000002</v>
      </c>
      <c r="I62" s="14">
        <v>3.39</v>
      </c>
      <c r="J62" s="14">
        <f t="shared" si="17"/>
        <v>14200</v>
      </c>
      <c r="K62" s="14">
        <f t="shared" si="0"/>
        <v>14200</v>
      </c>
      <c r="N62" s="14">
        <v>56</v>
      </c>
      <c r="O62" s="14">
        <f t="shared" si="3"/>
        <v>852.12</v>
      </c>
      <c r="P62" s="14">
        <v>14</v>
      </c>
      <c r="Q62" s="14">
        <f t="shared" si="4"/>
        <v>28400</v>
      </c>
      <c r="T62" s="14">
        <v>56</v>
      </c>
      <c r="U62" s="14">
        <f t="shared" si="5"/>
        <v>1278.18</v>
      </c>
      <c r="V62" s="14">
        <v>20</v>
      </c>
      <c r="W62" s="14">
        <f t="shared" si="6"/>
        <v>42600</v>
      </c>
      <c r="Y62" s="14">
        <v>56</v>
      </c>
      <c r="Z62" s="105">
        <f t="shared" si="7"/>
        <v>14200</v>
      </c>
      <c r="AA62" s="108">
        <f t="shared" si="8"/>
        <v>28400</v>
      </c>
      <c r="AB62" s="103">
        <f t="shared" si="9"/>
        <v>42600</v>
      </c>
      <c r="AD62" s="14">
        <v>56</v>
      </c>
      <c r="AE62" s="14">
        <f t="shared" si="10"/>
        <v>40</v>
      </c>
      <c r="AF62" s="14">
        <f t="shared" si="11"/>
        <v>32</v>
      </c>
      <c r="AH62" t="str">
        <f t="shared" si="12"/>
        <v>14200,28400,42600</v>
      </c>
      <c r="AI62" t="str">
        <f t="shared" si="13"/>
        <v>10,14,20</v>
      </c>
      <c r="AJ62" t="str">
        <f t="shared" si="14"/>
        <v>142,852.12,1278.18</v>
      </c>
      <c r="AM62">
        <v>3.3</v>
      </c>
    </row>
    <row r="63" spans="1:39" x14ac:dyDescent="0.25">
      <c r="A63" s="14">
        <v>57</v>
      </c>
      <c r="B63" s="14">
        <v>147</v>
      </c>
      <c r="C63" s="14">
        <f t="shared" si="16"/>
        <v>0.89999999999999991</v>
      </c>
      <c r="D63" s="14">
        <f t="shared" si="1"/>
        <v>3.03</v>
      </c>
      <c r="E63" s="14">
        <f t="shared" si="2"/>
        <v>445.74</v>
      </c>
      <c r="F63" s="102">
        <v>10</v>
      </c>
      <c r="G63" s="14">
        <f ca="1">_xlfn.IFNA(INDEX(玩家节奏1!$EC:$EC,MATCH(关卡对比!A63,玩家节奏1!$N:$N,1)),1)</f>
        <v>3.3000000000000003</v>
      </c>
      <c r="H63" s="14">
        <f ca="1">_xlfn.IFNA(INDEX(玩家节奏2!$FG:$FG,MATCH(关卡对比!A63,玩家节奏2!$N:$N,1)),1)</f>
        <v>4.5534720000000002</v>
      </c>
      <c r="I63" s="14">
        <v>3.43</v>
      </c>
      <c r="J63" s="14">
        <f t="shared" si="17"/>
        <v>14700</v>
      </c>
      <c r="K63" s="14">
        <f t="shared" si="0"/>
        <v>14700</v>
      </c>
      <c r="N63" s="14">
        <v>57</v>
      </c>
      <c r="O63" s="14">
        <f t="shared" si="3"/>
        <v>891.48</v>
      </c>
      <c r="P63" s="14">
        <v>14</v>
      </c>
      <c r="Q63" s="14">
        <f t="shared" si="4"/>
        <v>29400</v>
      </c>
      <c r="T63" s="14">
        <v>57</v>
      </c>
      <c r="U63" s="14">
        <f t="shared" si="5"/>
        <v>1337.22</v>
      </c>
      <c r="V63" s="14">
        <v>20</v>
      </c>
      <c r="W63" s="14">
        <f t="shared" si="6"/>
        <v>44100</v>
      </c>
      <c r="Y63" s="14">
        <v>57</v>
      </c>
      <c r="Z63" s="105">
        <f t="shared" si="7"/>
        <v>14700</v>
      </c>
      <c r="AA63" s="103">
        <f t="shared" si="8"/>
        <v>29400</v>
      </c>
      <c r="AB63" s="103">
        <f t="shared" si="9"/>
        <v>44100</v>
      </c>
      <c r="AD63" s="14">
        <v>57</v>
      </c>
      <c r="AE63" s="14">
        <f t="shared" si="10"/>
        <v>41</v>
      </c>
      <c r="AF63" s="14">
        <f t="shared" si="11"/>
        <v>33</v>
      </c>
      <c r="AH63" t="str">
        <f t="shared" si="12"/>
        <v>14700,29400,44100</v>
      </c>
      <c r="AI63" t="str">
        <f t="shared" si="13"/>
        <v>10,14,20</v>
      </c>
      <c r="AJ63" t="str">
        <f t="shared" si="14"/>
        <v>147,891.48,1337.22</v>
      </c>
      <c r="AM63">
        <v>3.3</v>
      </c>
    </row>
    <row r="64" spans="1:39" x14ac:dyDescent="0.25">
      <c r="A64" s="14">
        <v>58</v>
      </c>
      <c r="B64" s="14">
        <v>152</v>
      </c>
      <c r="C64" s="14">
        <f t="shared" si="16"/>
        <v>0.89999999999999991</v>
      </c>
      <c r="D64" s="14">
        <f t="shared" si="1"/>
        <v>3.07</v>
      </c>
      <c r="E64" s="14">
        <f t="shared" si="2"/>
        <v>466.94</v>
      </c>
      <c r="F64" s="102">
        <v>10</v>
      </c>
      <c r="G64" s="14">
        <f ca="1">_xlfn.IFNA(INDEX(玩家节奏1!$EC:$EC,MATCH(关卡对比!A64,玩家节奏1!$N:$N,1)),1)</f>
        <v>3.3000000000000003</v>
      </c>
      <c r="H64" s="14">
        <f ca="1">_xlfn.IFNA(INDEX(玩家节奏2!$FG:$FG,MATCH(关卡对比!A64,玩家节奏2!$N:$N,1)),1)</f>
        <v>4.5534720000000002</v>
      </c>
      <c r="I64" s="14">
        <v>3.48</v>
      </c>
      <c r="J64" s="14">
        <f t="shared" si="17"/>
        <v>15200</v>
      </c>
      <c r="K64" s="14">
        <f t="shared" si="0"/>
        <v>15200</v>
      </c>
      <c r="N64" s="14">
        <v>58</v>
      </c>
      <c r="O64" s="14">
        <f t="shared" si="3"/>
        <v>933.88</v>
      </c>
      <c r="P64" s="14">
        <v>14</v>
      </c>
      <c r="Q64" s="14">
        <f t="shared" si="4"/>
        <v>30400</v>
      </c>
      <c r="T64" s="14">
        <v>58</v>
      </c>
      <c r="U64" s="14">
        <f t="shared" si="5"/>
        <v>1400.82</v>
      </c>
      <c r="V64" s="14">
        <v>20</v>
      </c>
      <c r="W64" s="14">
        <f t="shared" si="6"/>
        <v>45600</v>
      </c>
      <c r="Y64" s="14">
        <v>58</v>
      </c>
      <c r="Z64" s="105">
        <f t="shared" si="7"/>
        <v>15200</v>
      </c>
      <c r="AA64" s="103">
        <f t="shared" si="8"/>
        <v>30400</v>
      </c>
      <c r="AB64" s="103">
        <f t="shared" si="9"/>
        <v>45600</v>
      </c>
      <c r="AD64" s="14">
        <v>58</v>
      </c>
      <c r="AE64" s="14">
        <f t="shared" si="10"/>
        <v>42</v>
      </c>
      <c r="AF64" s="14">
        <f t="shared" si="11"/>
        <v>33</v>
      </c>
      <c r="AH64" t="str">
        <f t="shared" si="12"/>
        <v>15200,30400,45600</v>
      </c>
      <c r="AI64" t="str">
        <f t="shared" si="13"/>
        <v>10,14,20</v>
      </c>
      <c r="AJ64" t="str">
        <f t="shared" si="14"/>
        <v>152,933.88,1400.82</v>
      </c>
      <c r="AM64">
        <v>3.31</v>
      </c>
    </row>
    <row r="65" spans="1:39" x14ac:dyDescent="0.25">
      <c r="A65" s="14">
        <v>59</v>
      </c>
      <c r="B65" s="14">
        <v>157</v>
      </c>
      <c r="C65" s="14">
        <f t="shared" si="16"/>
        <v>0.89999999999999991</v>
      </c>
      <c r="D65" s="14">
        <f t="shared" si="1"/>
        <v>3.1</v>
      </c>
      <c r="E65" s="14">
        <f t="shared" si="2"/>
        <v>487.29</v>
      </c>
      <c r="F65" s="102">
        <v>10</v>
      </c>
      <c r="G65" s="14">
        <f ca="1">_xlfn.IFNA(INDEX(玩家节奏1!$EC:$EC,MATCH(关卡对比!A65,玩家节奏1!$N:$N,1)),1)</f>
        <v>3.5200000000000005</v>
      </c>
      <c r="H65" s="14">
        <f ca="1">_xlfn.IFNA(INDEX(玩家节奏2!$FG:$FG,MATCH(关卡对比!A65,玩家节奏2!$N:$N,1)),1)</f>
        <v>5.1091040000000003</v>
      </c>
      <c r="I65" s="14">
        <v>3.52</v>
      </c>
      <c r="J65" s="14">
        <f t="shared" si="17"/>
        <v>15700</v>
      </c>
      <c r="K65" s="14">
        <f t="shared" si="0"/>
        <v>15700</v>
      </c>
      <c r="N65" s="14">
        <v>59</v>
      </c>
      <c r="O65" s="14">
        <f t="shared" si="3"/>
        <v>974.58</v>
      </c>
      <c r="P65" s="14">
        <v>14</v>
      </c>
      <c r="Q65" s="14">
        <f t="shared" si="4"/>
        <v>31400</v>
      </c>
      <c r="T65" s="14">
        <v>59</v>
      </c>
      <c r="U65" s="14">
        <f t="shared" si="5"/>
        <v>1461.8700000000001</v>
      </c>
      <c r="V65" s="14">
        <v>20</v>
      </c>
      <c r="W65" s="14">
        <f t="shared" si="6"/>
        <v>47100</v>
      </c>
      <c r="Y65" s="14">
        <v>59</v>
      </c>
      <c r="Z65" s="105">
        <f t="shared" si="7"/>
        <v>15700</v>
      </c>
      <c r="AA65" s="103">
        <f t="shared" si="8"/>
        <v>31400</v>
      </c>
      <c r="AB65" s="103">
        <f t="shared" si="9"/>
        <v>47100</v>
      </c>
      <c r="AD65" s="14">
        <v>59</v>
      </c>
      <c r="AE65" s="14">
        <f t="shared" si="10"/>
        <v>42</v>
      </c>
      <c r="AF65" s="14">
        <f t="shared" si="11"/>
        <v>34</v>
      </c>
      <c r="AH65" t="str">
        <f t="shared" si="12"/>
        <v>15700,31400,47100</v>
      </c>
      <c r="AI65" t="str">
        <f t="shared" si="13"/>
        <v>10,14,20</v>
      </c>
      <c r="AJ65" t="str">
        <f t="shared" si="14"/>
        <v>157,974.58,1461.87</v>
      </c>
      <c r="AM65">
        <v>3.52</v>
      </c>
    </row>
    <row r="66" spans="1:39" x14ac:dyDescent="0.25">
      <c r="A66" s="14">
        <v>60</v>
      </c>
      <c r="B66" s="14">
        <v>162</v>
      </c>
      <c r="C66" s="14">
        <f t="shared" si="16"/>
        <v>0.89999999999999991</v>
      </c>
      <c r="D66" s="14">
        <f t="shared" si="1"/>
        <v>3.14</v>
      </c>
      <c r="E66" s="14">
        <f t="shared" si="2"/>
        <v>507.95</v>
      </c>
      <c r="F66" s="102">
        <v>10</v>
      </c>
      <c r="G66" s="14">
        <f ca="1">_xlfn.IFNA(INDEX(玩家节奏1!$EC:$EC,MATCH(关卡对比!A66,玩家节奏1!$N:$N,1)),1)</f>
        <v>3.5200000000000005</v>
      </c>
      <c r="H66" s="14">
        <f ca="1">_xlfn.IFNA(INDEX(玩家节奏2!$FG:$FG,MATCH(关卡对比!A66,玩家节奏2!$N:$N,1)),1)</f>
        <v>5.1091040000000003</v>
      </c>
      <c r="I66" s="14">
        <v>3.56</v>
      </c>
      <c r="J66" s="14">
        <f t="shared" si="17"/>
        <v>16200</v>
      </c>
      <c r="K66" s="14">
        <f t="shared" si="0"/>
        <v>16200</v>
      </c>
      <c r="N66" s="14">
        <v>60</v>
      </c>
      <c r="O66" s="14">
        <f t="shared" si="3"/>
        <v>1015.9</v>
      </c>
      <c r="P66" s="14">
        <v>14</v>
      </c>
      <c r="Q66" s="14">
        <f t="shared" si="4"/>
        <v>32400</v>
      </c>
      <c r="T66" s="14">
        <v>60</v>
      </c>
      <c r="U66" s="14">
        <f t="shared" si="5"/>
        <v>1523.85</v>
      </c>
      <c r="V66" s="14">
        <v>20</v>
      </c>
      <c r="W66" s="14">
        <f t="shared" si="6"/>
        <v>48600</v>
      </c>
      <c r="Y66" s="14">
        <v>60</v>
      </c>
      <c r="Z66" s="105">
        <f t="shared" si="7"/>
        <v>16200</v>
      </c>
      <c r="AA66" s="103">
        <f t="shared" si="8"/>
        <v>32400</v>
      </c>
      <c r="AB66" s="103">
        <f t="shared" si="9"/>
        <v>48600</v>
      </c>
      <c r="AD66" s="14">
        <v>60</v>
      </c>
      <c r="AE66" s="14">
        <f t="shared" si="10"/>
        <v>43</v>
      </c>
      <c r="AF66" s="14">
        <f t="shared" si="11"/>
        <v>34</v>
      </c>
      <c r="AH66" t="str">
        <f t="shared" si="12"/>
        <v>16200,32400,48600</v>
      </c>
      <c r="AI66" t="str">
        <f t="shared" si="13"/>
        <v>10,14,20</v>
      </c>
      <c r="AJ66" t="str">
        <f t="shared" si="14"/>
        <v>162,1015.9,1523.85</v>
      </c>
      <c r="AM66">
        <v>3.52</v>
      </c>
    </row>
    <row r="67" spans="1:39" x14ac:dyDescent="0.25">
      <c r="A67" s="14">
        <v>61</v>
      </c>
      <c r="B67" s="14">
        <v>167</v>
      </c>
      <c r="C67" s="14">
        <v>0.99999999999999989</v>
      </c>
      <c r="D67" s="14">
        <f t="shared" si="1"/>
        <v>3.59</v>
      </c>
      <c r="E67" s="14">
        <f t="shared" si="2"/>
        <v>599.53</v>
      </c>
      <c r="F67" s="102">
        <v>10</v>
      </c>
      <c r="G67" s="14">
        <f ca="1">_xlfn.IFNA(INDEX(玩家节奏1!$EC:$EC,MATCH(关卡对比!A67,玩家节奏1!$N:$N,1)),1)</f>
        <v>3.5200000000000005</v>
      </c>
      <c r="H67" s="14">
        <f ca="1">_xlfn.IFNA(INDEX(玩家节奏2!$FG:$FG,MATCH(关卡对比!A67,玩家节奏2!$N:$N,1)),1)</f>
        <v>5.1091040000000003</v>
      </c>
      <c r="I67" s="14">
        <v>3.59</v>
      </c>
      <c r="J67" s="14">
        <f t="shared" si="17"/>
        <v>16700</v>
      </c>
      <c r="K67" s="14">
        <f t="shared" si="0"/>
        <v>16700</v>
      </c>
      <c r="N67" s="14">
        <v>61</v>
      </c>
      <c r="O67" s="14">
        <f t="shared" si="3"/>
        <v>1199.06</v>
      </c>
      <c r="P67" s="14">
        <v>14</v>
      </c>
      <c r="Q67" s="14">
        <f t="shared" si="4"/>
        <v>33400</v>
      </c>
      <c r="T67" s="14">
        <v>61</v>
      </c>
      <c r="U67" s="14">
        <f t="shared" si="5"/>
        <v>1798.59</v>
      </c>
      <c r="V67" s="14">
        <v>20</v>
      </c>
      <c r="W67" s="14">
        <f t="shared" si="6"/>
        <v>50100</v>
      </c>
      <c r="Y67" s="14">
        <v>61</v>
      </c>
      <c r="Z67" s="106">
        <f t="shared" si="7"/>
        <v>16700</v>
      </c>
      <c r="AA67" s="103">
        <f t="shared" si="8"/>
        <v>33400</v>
      </c>
      <c r="AB67" s="103">
        <f t="shared" si="9"/>
        <v>50100</v>
      </c>
      <c r="AD67" s="14">
        <v>61</v>
      </c>
      <c r="AE67" s="14">
        <f t="shared" si="10"/>
        <v>44</v>
      </c>
      <c r="AF67" s="14">
        <f t="shared" si="11"/>
        <v>35</v>
      </c>
      <c r="AH67" t="str">
        <f t="shared" si="12"/>
        <v>16700,33400,50100</v>
      </c>
      <c r="AI67" t="str">
        <f t="shared" si="13"/>
        <v>10,14,20</v>
      </c>
      <c r="AJ67" t="str">
        <f t="shared" si="14"/>
        <v>167,1199.06,1798.59</v>
      </c>
      <c r="AM67">
        <v>3.52</v>
      </c>
    </row>
    <row r="68" spans="1:39" x14ac:dyDescent="0.25">
      <c r="A68" s="14">
        <v>62</v>
      </c>
      <c r="B68" s="14">
        <v>172</v>
      </c>
      <c r="C68" s="14">
        <v>0.99999999999999989</v>
      </c>
      <c r="D68" s="14">
        <f t="shared" si="1"/>
        <v>3.63</v>
      </c>
      <c r="E68" s="14">
        <f t="shared" si="2"/>
        <v>624.36</v>
      </c>
      <c r="F68" s="102">
        <v>10</v>
      </c>
      <c r="G68" s="14">
        <f ca="1">_xlfn.IFNA(INDEX(玩家节奏1!$EC:$EC,MATCH(关卡对比!A68,玩家节奏1!$N:$N,1)),1)</f>
        <v>3.5200000000000005</v>
      </c>
      <c r="H68" s="14">
        <f ca="1">_xlfn.IFNA(INDEX(玩家节奏2!$FG:$FG,MATCH(关卡对比!A68,玩家节奏2!$N:$N,1)),1)</f>
        <v>5.4740400000000005</v>
      </c>
      <c r="I68" s="14">
        <v>3.63</v>
      </c>
      <c r="J68" s="14">
        <f t="shared" si="17"/>
        <v>17200</v>
      </c>
      <c r="K68" s="14">
        <f t="shared" si="0"/>
        <v>17200</v>
      </c>
      <c r="N68" s="14">
        <v>62</v>
      </c>
      <c r="O68" s="14">
        <f t="shared" si="3"/>
        <v>1248.72</v>
      </c>
      <c r="P68" s="14">
        <v>14</v>
      </c>
      <c r="Q68" s="14">
        <f t="shared" si="4"/>
        <v>34400</v>
      </c>
      <c r="T68" s="14">
        <v>62</v>
      </c>
      <c r="U68" s="14">
        <f t="shared" si="5"/>
        <v>1873.08</v>
      </c>
      <c r="V68" s="14">
        <v>20</v>
      </c>
      <c r="W68" s="14">
        <f t="shared" si="6"/>
        <v>51600</v>
      </c>
      <c r="Y68" s="14">
        <v>62</v>
      </c>
      <c r="Z68" s="106">
        <f t="shared" si="7"/>
        <v>17200</v>
      </c>
      <c r="AA68" s="103">
        <f t="shared" si="8"/>
        <v>34400</v>
      </c>
      <c r="AB68" s="103">
        <f t="shared" si="9"/>
        <v>51600</v>
      </c>
      <c r="AD68" s="14">
        <v>62</v>
      </c>
      <c r="AE68" s="14">
        <f t="shared" si="10"/>
        <v>44</v>
      </c>
      <c r="AF68" s="14">
        <f t="shared" si="11"/>
        <v>35</v>
      </c>
      <c r="AH68" t="str">
        <f t="shared" si="12"/>
        <v>17200,34400,51600</v>
      </c>
      <c r="AI68" t="str">
        <f t="shared" si="13"/>
        <v>10,14,20</v>
      </c>
      <c r="AJ68" t="str">
        <f t="shared" si="14"/>
        <v>172,1248.72,1873.08</v>
      </c>
      <c r="AM68">
        <v>3.52</v>
      </c>
    </row>
    <row r="69" spans="1:39" x14ac:dyDescent="0.25">
      <c r="A69" s="14">
        <v>63</v>
      </c>
      <c r="B69" s="14">
        <v>177</v>
      </c>
      <c r="C69" s="14">
        <v>0.99999999999999989</v>
      </c>
      <c r="D69" s="14">
        <f t="shared" si="1"/>
        <v>3.67</v>
      </c>
      <c r="E69" s="14">
        <f t="shared" si="2"/>
        <v>649.59</v>
      </c>
      <c r="F69" s="102">
        <v>10</v>
      </c>
      <c r="G69" s="14">
        <f ca="1">_xlfn.IFNA(INDEX(玩家节奏1!$EC:$EC,MATCH(关卡对比!A69,玩家节奏1!$N:$N,1)),1)</f>
        <v>3.5200000000000005</v>
      </c>
      <c r="H69" s="14">
        <f ca="1">_xlfn.IFNA(INDEX(玩家节奏2!$FG:$FG,MATCH(关卡对比!A69,玩家节奏2!$N:$N,1)),1)</f>
        <v>5.4740400000000005</v>
      </c>
      <c r="I69" s="14">
        <v>3.67</v>
      </c>
      <c r="J69" s="14">
        <f t="shared" si="17"/>
        <v>17700</v>
      </c>
      <c r="K69" s="14">
        <f t="shared" si="0"/>
        <v>17700</v>
      </c>
      <c r="N69" s="14">
        <v>63</v>
      </c>
      <c r="O69" s="14">
        <f t="shared" si="3"/>
        <v>1299.18</v>
      </c>
      <c r="P69" s="14">
        <v>14</v>
      </c>
      <c r="Q69" s="14">
        <f t="shared" si="4"/>
        <v>35400</v>
      </c>
      <c r="T69" s="14">
        <v>63</v>
      </c>
      <c r="U69" s="14">
        <f t="shared" si="5"/>
        <v>1948.77</v>
      </c>
      <c r="V69" s="14">
        <v>20</v>
      </c>
      <c r="W69" s="14">
        <f t="shared" si="6"/>
        <v>53100</v>
      </c>
      <c r="Y69" s="14">
        <v>63</v>
      </c>
      <c r="Z69" s="106">
        <f t="shared" si="7"/>
        <v>17700</v>
      </c>
      <c r="AA69" s="103">
        <f t="shared" si="8"/>
        <v>35400</v>
      </c>
      <c r="AB69" s="103">
        <f t="shared" si="9"/>
        <v>53100</v>
      </c>
      <c r="AD69" s="14">
        <v>63</v>
      </c>
      <c r="AE69" s="14">
        <f t="shared" si="10"/>
        <v>45</v>
      </c>
      <c r="AF69" s="14">
        <f t="shared" si="11"/>
        <v>36</v>
      </c>
      <c r="AH69" t="str">
        <f t="shared" si="12"/>
        <v>17700,35400,53100</v>
      </c>
      <c r="AI69" t="str">
        <f t="shared" si="13"/>
        <v>10,14,20</v>
      </c>
      <c r="AJ69" t="str">
        <f t="shared" si="14"/>
        <v>177,1299.18,1948.77</v>
      </c>
      <c r="AM69">
        <v>3.52</v>
      </c>
    </row>
    <row r="70" spans="1:39" x14ac:dyDescent="0.25">
      <c r="A70" s="14">
        <v>64</v>
      </c>
      <c r="B70" s="14">
        <v>182</v>
      </c>
      <c r="C70" s="14">
        <v>0.99999999999999989</v>
      </c>
      <c r="D70" s="14">
        <f t="shared" si="1"/>
        <v>3.7</v>
      </c>
      <c r="E70" s="14">
        <f t="shared" si="2"/>
        <v>673.4</v>
      </c>
      <c r="F70" s="102">
        <v>10</v>
      </c>
      <c r="G70" s="14">
        <f ca="1">_xlfn.IFNA(INDEX(玩家节奏1!$EC:$EC,MATCH(关卡对比!A70,玩家节奏1!$N:$N,1)),1)</f>
        <v>3.5200000000000005</v>
      </c>
      <c r="H70" s="14">
        <f ca="1">_xlfn.IFNA(INDEX(玩家节奏2!$FG:$FG,MATCH(关卡对比!A70,玩家节奏2!$N:$N,1)),1)</f>
        <v>5.4740400000000005</v>
      </c>
      <c r="I70" s="14">
        <v>3.7</v>
      </c>
      <c r="J70" s="14">
        <f t="shared" si="17"/>
        <v>18200</v>
      </c>
      <c r="K70" s="14">
        <f t="shared" si="0"/>
        <v>18200</v>
      </c>
      <c r="N70" s="14">
        <v>64</v>
      </c>
      <c r="O70" s="14">
        <f t="shared" si="3"/>
        <v>1346.8</v>
      </c>
      <c r="P70" s="14">
        <v>14</v>
      </c>
      <c r="Q70" s="14">
        <f t="shared" si="4"/>
        <v>36400</v>
      </c>
      <c r="T70" s="14">
        <v>64</v>
      </c>
      <c r="U70" s="14">
        <f t="shared" si="5"/>
        <v>2020.1999999999998</v>
      </c>
      <c r="V70" s="14">
        <v>20</v>
      </c>
      <c r="W70" s="14">
        <f t="shared" si="6"/>
        <v>54600</v>
      </c>
      <c r="Y70" s="14">
        <v>64</v>
      </c>
      <c r="Z70" s="106">
        <f t="shared" si="7"/>
        <v>18200</v>
      </c>
      <c r="AA70" s="103">
        <f t="shared" si="8"/>
        <v>36400</v>
      </c>
      <c r="AB70" s="103">
        <f t="shared" si="9"/>
        <v>54600</v>
      </c>
      <c r="AD70" s="14">
        <v>64</v>
      </c>
      <c r="AE70" s="14">
        <f t="shared" si="10"/>
        <v>45</v>
      </c>
      <c r="AF70" s="14">
        <f t="shared" si="11"/>
        <v>36</v>
      </c>
      <c r="AH70" t="str">
        <f t="shared" si="12"/>
        <v>18200,36400,54600</v>
      </c>
      <c r="AI70" t="str">
        <f t="shared" si="13"/>
        <v>10,14,20</v>
      </c>
      <c r="AJ70" t="str">
        <f t="shared" si="14"/>
        <v>182,1346.8,2020.2</v>
      </c>
      <c r="AM70">
        <v>3.53</v>
      </c>
    </row>
    <row r="71" spans="1:39" x14ac:dyDescent="0.25">
      <c r="A71" s="14">
        <v>65</v>
      </c>
      <c r="B71" s="14">
        <v>187</v>
      </c>
      <c r="C71" s="14">
        <v>0.99999999999999989</v>
      </c>
      <c r="D71" s="14">
        <f t="shared" si="1"/>
        <v>3.74</v>
      </c>
      <c r="E71" s="14">
        <f t="shared" si="2"/>
        <v>699.38</v>
      </c>
      <c r="F71" s="102">
        <v>10</v>
      </c>
      <c r="G71" s="14">
        <f ca="1">_xlfn.IFNA(INDEX(玩家节奏1!$EC:$EC,MATCH(关卡对比!A71,玩家节奏1!$N:$N,1)),1)</f>
        <v>3.74</v>
      </c>
      <c r="H71" s="14">
        <f ca="1">_xlfn.IFNA(INDEX(玩家节奏2!$FG:$FG,MATCH(关卡对比!A71,玩家节奏2!$N:$N,1)),1)</f>
        <v>5.4740400000000005</v>
      </c>
      <c r="I71" s="14">
        <v>3.74</v>
      </c>
      <c r="J71" s="14">
        <f t="shared" si="17"/>
        <v>18700</v>
      </c>
      <c r="K71" s="14">
        <f t="shared" ref="K71:K134" si="18">B71*100</f>
        <v>18700</v>
      </c>
      <c r="N71" s="14">
        <v>65</v>
      </c>
      <c r="O71" s="14">
        <f t="shared" si="3"/>
        <v>1398.76</v>
      </c>
      <c r="P71" s="14">
        <v>14</v>
      </c>
      <c r="Q71" s="14">
        <f t="shared" si="4"/>
        <v>37400</v>
      </c>
      <c r="T71" s="14">
        <v>65</v>
      </c>
      <c r="U71" s="14">
        <f t="shared" si="5"/>
        <v>2098.14</v>
      </c>
      <c r="V71" s="14">
        <v>20</v>
      </c>
      <c r="W71" s="14">
        <f t="shared" si="6"/>
        <v>56100</v>
      </c>
      <c r="Y71" s="14">
        <v>65</v>
      </c>
      <c r="Z71" s="106">
        <f t="shared" si="7"/>
        <v>18700</v>
      </c>
      <c r="AA71" s="103">
        <f t="shared" si="8"/>
        <v>37400</v>
      </c>
      <c r="AB71" s="103">
        <f t="shared" si="9"/>
        <v>56100</v>
      </c>
      <c r="AD71" s="14">
        <v>65</v>
      </c>
      <c r="AE71" s="14">
        <f t="shared" si="10"/>
        <v>46</v>
      </c>
      <c r="AF71" s="14">
        <f t="shared" si="11"/>
        <v>37</v>
      </c>
      <c r="AH71" t="str">
        <f t="shared" si="12"/>
        <v>18700,37400,56100</v>
      </c>
      <c r="AI71" t="str">
        <f t="shared" si="13"/>
        <v>10,14,20</v>
      </c>
      <c r="AJ71" t="str">
        <f t="shared" si="14"/>
        <v>187,1398.76,2098.14</v>
      </c>
      <c r="AM71">
        <v>3.74</v>
      </c>
    </row>
    <row r="72" spans="1:39" x14ac:dyDescent="0.25">
      <c r="A72" s="14">
        <v>66</v>
      </c>
      <c r="B72" s="14">
        <v>192</v>
      </c>
      <c r="C72" s="14">
        <v>0.99999999999999989</v>
      </c>
      <c r="D72" s="14">
        <f t="shared" ref="D72:D135" si="19">ROUND(I72^C72,2)</f>
        <v>3.78</v>
      </c>
      <c r="E72" s="14">
        <f t="shared" ref="E72:E135" si="20">ROUND(B72*I72^C72,2)</f>
        <v>725.76</v>
      </c>
      <c r="F72" s="102">
        <v>10</v>
      </c>
      <c r="G72" s="14">
        <f ca="1">_xlfn.IFNA(INDEX(玩家节奏1!$EC:$EC,MATCH(关卡对比!A72,玩家节奏1!$N:$N,1)),1)</f>
        <v>3.74</v>
      </c>
      <c r="H72" s="14">
        <f ca="1">_xlfn.IFNA(INDEX(玩家节奏2!$FG:$FG,MATCH(关卡对比!A72,玩家节奏2!$N:$N,1)),1)</f>
        <v>5.4740400000000005</v>
      </c>
      <c r="I72" s="14">
        <v>3.78</v>
      </c>
      <c r="J72" s="14">
        <f t="shared" si="17"/>
        <v>19200</v>
      </c>
      <c r="K72" s="14">
        <f t="shared" si="18"/>
        <v>19200</v>
      </c>
      <c r="N72" s="14">
        <v>66</v>
      </c>
      <c r="O72" s="14">
        <f t="shared" ref="O72:O135" si="21">$B$2*E72</f>
        <v>1451.52</v>
      </c>
      <c r="P72" s="14">
        <v>14</v>
      </c>
      <c r="Q72" s="14">
        <f t="shared" ref="Q72:Q106" si="22">J72*$B$2</f>
        <v>38400</v>
      </c>
      <c r="T72" s="14">
        <v>66</v>
      </c>
      <c r="U72" s="14">
        <f t="shared" ref="U72:U135" si="23">E72*$B$3</f>
        <v>2177.2799999999997</v>
      </c>
      <c r="V72" s="14">
        <v>20</v>
      </c>
      <c r="W72" s="14">
        <f t="shared" ref="W72:W106" si="24">J72*$B$3</f>
        <v>57600</v>
      </c>
      <c r="Y72" s="14">
        <v>66</v>
      </c>
      <c r="Z72" s="107">
        <f t="shared" ref="Z72:Z106" si="25">J72</f>
        <v>19200</v>
      </c>
      <c r="AA72" s="103">
        <f t="shared" ref="AA72:AA106" si="26">Q72</f>
        <v>38400</v>
      </c>
      <c r="AB72" s="103">
        <f t="shared" ref="AB72:AB106" si="27">W72</f>
        <v>57600</v>
      </c>
      <c r="AD72" s="14">
        <v>66</v>
      </c>
      <c r="AE72" s="14">
        <f t="shared" ref="AE72:AE106" si="28">_xlfn.IFNA(INDEX($Y:$Y,MATCH($Z72,AA:AA,1)),0)</f>
        <v>46</v>
      </c>
      <c r="AF72" s="14">
        <f t="shared" ref="AF72:AF106" si="29">_xlfn.IFNA(INDEX($Y:$Y,MATCH($Z72,AB:AB,1)),0)</f>
        <v>38</v>
      </c>
      <c r="AH72" t="str">
        <f t="shared" ref="AH72:AH106" si="30">_xlfn.TEXTJOIN(",",TRUE,J72,Q72,W72)</f>
        <v>19200,38400,57600</v>
      </c>
      <c r="AI72" t="str">
        <f t="shared" ref="AI72:AI106" si="31">_xlfn.TEXTJOIN(",",TRUE,F72,P72,V72)</f>
        <v>10,14,20</v>
      </c>
      <c r="AJ72" t="str">
        <f t="shared" ref="AJ72:AJ106" si="32">_xlfn.TEXTJOIN(",",TRUE,B72,O72,U72)</f>
        <v>192,1451.52,2177.28</v>
      </c>
      <c r="AM72">
        <v>3.74</v>
      </c>
    </row>
    <row r="73" spans="1:39" x14ac:dyDescent="0.25">
      <c r="A73" s="14">
        <v>67</v>
      </c>
      <c r="B73" s="14">
        <v>197</v>
      </c>
      <c r="C73" s="14">
        <v>0.99999999999999989</v>
      </c>
      <c r="D73" s="14">
        <f t="shared" si="19"/>
        <v>3.83</v>
      </c>
      <c r="E73" s="14">
        <f t="shared" si="20"/>
        <v>754.51</v>
      </c>
      <c r="F73" s="102">
        <v>10</v>
      </c>
      <c r="G73" s="14">
        <f ca="1">_xlfn.IFNA(INDEX(玩家节奏1!$EC:$EC,MATCH(关卡对比!A73,玩家节奏1!$N:$N,1)),1)</f>
        <v>3.74</v>
      </c>
      <c r="H73" s="14">
        <f ca="1">_xlfn.IFNA(INDEX(玩家节奏2!$FG:$FG,MATCH(关卡对比!A73,玩家节奏2!$N:$N,1)),1)</f>
        <v>5.4740400000000005</v>
      </c>
      <c r="I73" s="14">
        <v>3.83</v>
      </c>
      <c r="J73" s="14">
        <f t="shared" si="17"/>
        <v>19700</v>
      </c>
      <c r="K73" s="14">
        <f t="shared" si="18"/>
        <v>19700</v>
      </c>
      <c r="N73" s="14">
        <v>67</v>
      </c>
      <c r="O73" s="14">
        <f t="shared" si="21"/>
        <v>1509.02</v>
      </c>
      <c r="P73" s="14">
        <v>14</v>
      </c>
      <c r="Q73" s="14">
        <f t="shared" si="22"/>
        <v>39400</v>
      </c>
      <c r="T73" s="14">
        <v>67</v>
      </c>
      <c r="U73" s="14">
        <f t="shared" si="23"/>
        <v>2263.5299999999997</v>
      </c>
      <c r="V73" s="14">
        <v>20</v>
      </c>
      <c r="W73" s="14">
        <f t="shared" si="24"/>
        <v>59100</v>
      </c>
      <c r="Y73" s="14">
        <v>67</v>
      </c>
      <c r="Z73" s="107">
        <f t="shared" si="25"/>
        <v>19700</v>
      </c>
      <c r="AA73" s="103">
        <f t="shared" si="26"/>
        <v>39400</v>
      </c>
      <c r="AB73" s="103">
        <f t="shared" si="27"/>
        <v>59100</v>
      </c>
      <c r="AD73" s="14">
        <v>67</v>
      </c>
      <c r="AE73" s="14">
        <f t="shared" si="28"/>
        <v>47</v>
      </c>
      <c r="AF73" s="14">
        <f t="shared" si="29"/>
        <v>38</v>
      </c>
      <c r="AH73" t="str">
        <f t="shared" si="30"/>
        <v>19700,39400,59100</v>
      </c>
      <c r="AI73" t="str">
        <f t="shared" si="31"/>
        <v>10,14,20</v>
      </c>
      <c r="AJ73" t="str">
        <f t="shared" si="32"/>
        <v>197,1509.02,2263.53</v>
      </c>
      <c r="AM73">
        <v>3.74</v>
      </c>
    </row>
    <row r="74" spans="1:39" x14ac:dyDescent="0.25">
      <c r="A74" s="14">
        <v>68</v>
      </c>
      <c r="B74" s="14">
        <v>202</v>
      </c>
      <c r="C74" s="14">
        <v>0.99999999999999989</v>
      </c>
      <c r="D74" s="14">
        <f t="shared" si="19"/>
        <v>3.87</v>
      </c>
      <c r="E74" s="14">
        <f t="shared" si="20"/>
        <v>781.74</v>
      </c>
      <c r="F74" s="102">
        <v>10</v>
      </c>
      <c r="G74" s="14">
        <f ca="1">_xlfn.IFNA(INDEX(玩家节奏1!$EC:$EC,MATCH(关卡对比!A74,玩家节奏1!$N:$N,1)),1)</f>
        <v>3.74</v>
      </c>
      <c r="H74" s="14">
        <f ca="1">_xlfn.IFNA(INDEX(玩家节奏2!$FG:$FG,MATCH(关卡对比!A74,玩家节奏2!$N:$N,1)),1)</f>
        <v>5.4740400000000005</v>
      </c>
      <c r="I74" s="14">
        <v>3.87</v>
      </c>
      <c r="J74" s="14">
        <f t="shared" si="17"/>
        <v>20200</v>
      </c>
      <c r="K74" s="14">
        <f t="shared" si="18"/>
        <v>20200</v>
      </c>
      <c r="N74" s="14">
        <v>68</v>
      </c>
      <c r="O74" s="14">
        <f t="shared" si="21"/>
        <v>1563.48</v>
      </c>
      <c r="P74" s="14">
        <v>14</v>
      </c>
      <c r="Q74" s="14">
        <f t="shared" si="22"/>
        <v>40400</v>
      </c>
      <c r="T74" s="14">
        <v>68</v>
      </c>
      <c r="U74" s="14">
        <f t="shared" si="23"/>
        <v>2345.2200000000003</v>
      </c>
      <c r="V74" s="14">
        <v>20</v>
      </c>
      <c r="W74" s="14">
        <f t="shared" si="24"/>
        <v>60600</v>
      </c>
      <c r="Y74" s="14">
        <v>68</v>
      </c>
      <c r="Z74" s="107">
        <f t="shared" si="25"/>
        <v>20200</v>
      </c>
      <c r="AA74" s="103">
        <f t="shared" si="26"/>
        <v>40400</v>
      </c>
      <c r="AB74" s="103">
        <f t="shared" si="27"/>
        <v>60600</v>
      </c>
      <c r="AD74" s="14">
        <v>68</v>
      </c>
      <c r="AE74" s="14">
        <f t="shared" si="28"/>
        <v>47</v>
      </c>
      <c r="AF74" s="14">
        <f t="shared" si="29"/>
        <v>39</v>
      </c>
      <c r="AH74" t="str">
        <f t="shared" si="30"/>
        <v>20200,40400,60600</v>
      </c>
      <c r="AI74" t="str">
        <f t="shared" si="31"/>
        <v>10,14,20</v>
      </c>
      <c r="AJ74" t="str">
        <f t="shared" si="32"/>
        <v>202,1563.48,2345.22</v>
      </c>
      <c r="AM74">
        <v>3.74</v>
      </c>
    </row>
    <row r="75" spans="1:39" x14ac:dyDescent="0.25">
      <c r="A75" s="14">
        <v>69</v>
      </c>
      <c r="B75" s="14">
        <v>207</v>
      </c>
      <c r="C75" s="14">
        <v>0.99999999999999989</v>
      </c>
      <c r="D75" s="14">
        <f t="shared" si="19"/>
        <v>3.92</v>
      </c>
      <c r="E75" s="14">
        <f t="shared" si="20"/>
        <v>811.44</v>
      </c>
      <c r="F75" s="102">
        <v>10</v>
      </c>
      <c r="G75" s="14">
        <f ca="1">_xlfn.IFNA(INDEX(玩家节奏1!$EC:$EC,MATCH(关卡对比!A75,玩家节奏1!$N:$N,1)),1)</f>
        <v>3.74</v>
      </c>
      <c r="H75" s="14">
        <f ca="1">_xlfn.IFNA(INDEX(玩家节奏2!$FG:$FG,MATCH(关卡对比!A75,玩家节奏2!$N:$N,1)),1)</f>
        <v>5.4740400000000005</v>
      </c>
      <c r="I75" s="14">
        <v>3.92</v>
      </c>
      <c r="J75" s="14">
        <f t="shared" si="17"/>
        <v>20700</v>
      </c>
      <c r="K75" s="14">
        <f t="shared" si="18"/>
        <v>20700</v>
      </c>
      <c r="N75" s="14">
        <v>69</v>
      </c>
      <c r="O75" s="14">
        <f t="shared" si="21"/>
        <v>1622.88</v>
      </c>
      <c r="P75" s="14">
        <v>14</v>
      </c>
      <c r="Q75" s="14">
        <f t="shared" si="22"/>
        <v>41400</v>
      </c>
      <c r="T75" s="14">
        <v>69</v>
      </c>
      <c r="U75" s="14">
        <f t="shared" si="23"/>
        <v>2434.3200000000002</v>
      </c>
      <c r="V75" s="14">
        <v>20</v>
      </c>
      <c r="W75" s="14">
        <f t="shared" si="24"/>
        <v>62100</v>
      </c>
      <c r="Y75" s="14">
        <v>69</v>
      </c>
      <c r="Z75" s="107">
        <f t="shared" si="25"/>
        <v>20700</v>
      </c>
      <c r="AA75" s="103">
        <f t="shared" si="26"/>
        <v>41400</v>
      </c>
      <c r="AB75" s="103">
        <f t="shared" si="27"/>
        <v>62100</v>
      </c>
      <c r="AD75" s="14">
        <v>69</v>
      </c>
      <c r="AE75" s="14">
        <f t="shared" si="28"/>
        <v>48</v>
      </c>
      <c r="AF75" s="14">
        <f t="shared" si="29"/>
        <v>39</v>
      </c>
      <c r="AH75" t="str">
        <f t="shared" si="30"/>
        <v>20700,41400,62100</v>
      </c>
      <c r="AI75" t="str">
        <f t="shared" si="31"/>
        <v>10,14,20</v>
      </c>
      <c r="AJ75" t="str">
        <f t="shared" si="32"/>
        <v>207,1622.88,2434.32</v>
      </c>
      <c r="AM75">
        <v>3.75</v>
      </c>
    </row>
    <row r="76" spans="1:39" x14ac:dyDescent="0.25">
      <c r="A76" s="14">
        <v>70</v>
      </c>
      <c r="B76" s="14">
        <v>212</v>
      </c>
      <c r="C76" s="14">
        <v>0.99999999999999989</v>
      </c>
      <c r="D76" s="14">
        <f t="shared" si="19"/>
        <v>3.96</v>
      </c>
      <c r="E76" s="14">
        <f t="shared" si="20"/>
        <v>839.52</v>
      </c>
      <c r="F76" s="102">
        <v>10</v>
      </c>
      <c r="G76" s="14">
        <f ca="1">_xlfn.IFNA(INDEX(玩家节奏1!$EC:$EC,MATCH(关卡对比!A76,玩家节奏1!$N:$N,1)),1)</f>
        <v>3.9600000000000004</v>
      </c>
      <c r="H76" s="14">
        <f ca="1">_xlfn.IFNA(INDEX(玩家节奏2!$FG:$FG,MATCH(关卡对比!A76,玩家节奏2!$N:$N,1)),1)</f>
        <v>5.8389760000000006</v>
      </c>
      <c r="I76" s="14">
        <v>3.96</v>
      </c>
      <c r="J76" s="14">
        <f t="shared" si="17"/>
        <v>21200</v>
      </c>
      <c r="K76" s="14">
        <f t="shared" si="18"/>
        <v>21200</v>
      </c>
      <c r="N76" s="14">
        <v>70</v>
      </c>
      <c r="O76" s="14">
        <f t="shared" si="21"/>
        <v>1679.04</v>
      </c>
      <c r="P76" s="14">
        <v>14</v>
      </c>
      <c r="Q76" s="14">
        <f t="shared" si="22"/>
        <v>42400</v>
      </c>
      <c r="T76" s="14">
        <v>70</v>
      </c>
      <c r="U76" s="14">
        <f t="shared" si="23"/>
        <v>2518.56</v>
      </c>
      <c r="V76" s="14">
        <v>20</v>
      </c>
      <c r="W76" s="14">
        <f t="shared" si="24"/>
        <v>63600</v>
      </c>
      <c r="Y76" s="14">
        <v>70</v>
      </c>
      <c r="Z76" s="107">
        <f t="shared" si="25"/>
        <v>21200</v>
      </c>
      <c r="AA76" s="103">
        <f t="shared" si="26"/>
        <v>42400</v>
      </c>
      <c r="AB76" s="103">
        <f t="shared" si="27"/>
        <v>63600</v>
      </c>
      <c r="AD76" s="14">
        <v>70</v>
      </c>
      <c r="AE76" s="14">
        <f t="shared" si="28"/>
        <v>48</v>
      </c>
      <c r="AF76" s="14">
        <f t="shared" si="29"/>
        <v>40</v>
      </c>
      <c r="AH76" t="str">
        <f t="shared" si="30"/>
        <v>21200,42400,63600</v>
      </c>
      <c r="AI76" t="str">
        <f t="shared" si="31"/>
        <v>10,14,20</v>
      </c>
      <c r="AJ76" t="str">
        <f t="shared" si="32"/>
        <v>212,1679.04,2518.56</v>
      </c>
      <c r="AM76">
        <v>3.96</v>
      </c>
    </row>
    <row r="77" spans="1:39" x14ac:dyDescent="0.25">
      <c r="A77" s="14">
        <v>71</v>
      </c>
      <c r="B77" s="14">
        <v>217</v>
      </c>
      <c r="C77" s="14">
        <v>0.99999999999999989</v>
      </c>
      <c r="D77" s="14">
        <f t="shared" si="19"/>
        <v>4</v>
      </c>
      <c r="E77" s="14">
        <f t="shared" si="20"/>
        <v>868</v>
      </c>
      <c r="F77" s="102">
        <v>10</v>
      </c>
      <c r="G77" s="14">
        <f ca="1">_xlfn.IFNA(INDEX(玩家节奏1!$EC:$EC,MATCH(关卡对比!A77,玩家节奏1!$N:$N,1)),1)</f>
        <v>3.9600000000000004</v>
      </c>
      <c r="H77" s="14">
        <f ca="1">_xlfn.IFNA(INDEX(玩家节奏2!$FG:$FG,MATCH(关卡对比!A77,玩家节奏2!$N:$N,1)),1)</f>
        <v>5.8389760000000006</v>
      </c>
      <c r="I77" s="14">
        <v>4</v>
      </c>
      <c r="J77" s="14">
        <f t="shared" si="17"/>
        <v>21700</v>
      </c>
      <c r="K77" s="14">
        <f t="shared" si="18"/>
        <v>21700</v>
      </c>
      <c r="N77" s="14">
        <v>71</v>
      </c>
      <c r="O77" s="14">
        <f t="shared" si="21"/>
        <v>1736</v>
      </c>
      <c r="P77" s="14">
        <v>14</v>
      </c>
      <c r="Q77" s="14">
        <f t="shared" si="22"/>
        <v>43400</v>
      </c>
      <c r="T77" s="14">
        <v>71</v>
      </c>
      <c r="U77" s="14">
        <f t="shared" si="23"/>
        <v>2604</v>
      </c>
      <c r="V77" s="14">
        <v>20</v>
      </c>
      <c r="W77" s="14">
        <f t="shared" si="24"/>
        <v>65100</v>
      </c>
      <c r="Y77" s="14">
        <v>71</v>
      </c>
      <c r="Z77" s="108">
        <f t="shared" si="25"/>
        <v>21700</v>
      </c>
      <c r="AA77" s="103">
        <f t="shared" si="26"/>
        <v>43400</v>
      </c>
      <c r="AB77" s="103">
        <f t="shared" si="27"/>
        <v>65100</v>
      </c>
      <c r="AD77" s="14">
        <v>71</v>
      </c>
      <c r="AE77" s="14">
        <f t="shared" si="28"/>
        <v>49</v>
      </c>
      <c r="AF77" s="14">
        <f t="shared" si="29"/>
        <v>40</v>
      </c>
      <c r="AH77" t="str">
        <f t="shared" si="30"/>
        <v>21700,43400,65100</v>
      </c>
      <c r="AI77" t="str">
        <f t="shared" si="31"/>
        <v>10,14,20</v>
      </c>
      <c r="AJ77" t="str">
        <f t="shared" si="32"/>
        <v>217,1736,2604</v>
      </c>
      <c r="AM77">
        <v>3.96</v>
      </c>
    </row>
    <row r="78" spans="1:39" x14ac:dyDescent="0.25">
      <c r="A78" s="14">
        <v>72</v>
      </c>
      <c r="B78" s="14">
        <v>222</v>
      </c>
      <c r="C78" s="14">
        <v>0.99999999999999989</v>
      </c>
      <c r="D78" s="14">
        <f t="shared" si="19"/>
        <v>4.05</v>
      </c>
      <c r="E78" s="14">
        <f t="shared" si="20"/>
        <v>899.1</v>
      </c>
      <c r="F78" s="102">
        <v>10</v>
      </c>
      <c r="G78" s="14">
        <f ca="1">_xlfn.IFNA(INDEX(玩家节奏1!$EC:$EC,MATCH(关卡对比!A78,玩家节奏1!$N:$N,1)),1)</f>
        <v>3.9600000000000004</v>
      </c>
      <c r="H78" s="14">
        <f ca="1">_xlfn.IFNA(INDEX(玩家节奏2!$FG:$FG,MATCH(关卡对比!A78,玩家节奏2!$N:$N,1)),1)</f>
        <v>5.8389760000000006</v>
      </c>
      <c r="I78" s="14">
        <v>4.05</v>
      </c>
      <c r="J78" s="14">
        <f t="shared" si="17"/>
        <v>22200</v>
      </c>
      <c r="K78" s="14">
        <f t="shared" si="18"/>
        <v>22200</v>
      </c>
      <c r="N78" s="14">
        <v>72</v>
      </c>
      <c r="O78" s="14">
        <f t="shared" si="21"/>
        <v>1798.2</v>
      </c>
      <c r="P78" s="14">
        <v>14</v>
      </c>
      <c r="Q78" s="14">
        <f t="shared" si="22"/>
        <v>44400</v>
      </c>
      <c r="T78" s="14">
        <v>72</v>
      </c>
      <c r="U78" s="14">
        <f t="shared" si="23"/>
        <v>2697.3</v>
      </c>
      <c r="V78" s="14">
        <v>20</v>
      </c>
      <c r="W78" s="14">
        <f t="shared" si="24"/>
        <v>66600</v>
      </c>
      <c r="Y78" s="14">
        <v>72</v>
      </c>
      <c r="Z78" s="108">
        <f t="shared" si="25"/>
        <v>22200</v>
      </c>
      <c r="AA78" s="103">
        <f t="shared" si="26"/>
        <v>44400</v>
      </c>
      <c r="AB78" s="103">
        <f t="shared" si="27"/>
        <v>66600</v>
      </c>
      <c r="AD78" s="14">
        <v>72</v>
      </c>
      <c r="AE78" s="14">
        <f t="shared" si="28"/>
        <v>49</v>
      </c>
      <c r="AF78" s="14">
        <f t="shared" si="29"/>
        <v>41</v>
      </c>
      <c r="AH78" t="str">
        <f t="shared" si="30"/>
        <v>22200,44400,66600</v>
      </c>
      <c r="AI78" t="str">
        <f t="shared" si="31"/>
        <v>10,14,20</v>
      </c>
      <c r="AJ78" t="str">
        <f t="shared" si="32"/>
        <v>222,1798.2,2697.3</v>
      </c>
      <c r="AM78">
        <v>3.96</v>
      </c>
    </row>
    <row r="79" spans="1:39" x14ac:dyDescent="0.25">
      <c r="A79" s="14">
        <v>73</v>
      </c>
      <c r="B79" s="14">
        <v>227</v>
      </c>
      <c r="C79" s="14">
        <v>0.99999999999999989</v>
      </c>
      <c r="D79" s="14">
        <f t="shared" si="19"/>
        <v>4.09</v>
      </c>
      <c r="E79" s="14">
        <f t="shared" si="20"/>
        <v>928.43</v>
      </c>
      <c r="F79" s="102">
        <v>10</v>
      </c>
      <c r="G79" s="14">
        <f ca="1">_xlfn.IFNA(INDEX(玩家节奏1!$EC:$EC,MATCH(关卡对比!A79,玩家节奏1!$N:$N,1)),1)</f>
        <v>3.9600000000000004</v>
      </c>
      <c r="H79" s="14">
        <f ca="1">_xlfn.IFNA(INDEX(玩家节奏2!$FG:$FG,MATCH(关卡对比!A79,玩家节奏2!$N:$N,1)),1)</f>
        <v>5.8389760000000006</v>
      </c>
      <c r="I79" s="14">
        <v>4.09</v>
      </c>
      <c r="J79" s="14">
        <f t="shared" si="17"/>
        <v>22700</v>
      </c>
      <c r="K79" s="14">
        <f t="shared" si="18"/>
        <v>22700</v>
      </c>
      <c r="N79" s="14">
        <v>73</v>
      </c>
      <c r="O79" s="14">
        <f t="shared" si="21"/>
        <v>1856.86</v>
      </c>
      <c r="P79" s="14">
        <v>14</v>
      </c>
      <c r="Q79" s="14">
        <f t="shared" si="22"/>
        <v>45400</v>
      </c>
      <c r="T79" s="14">
        <v>73</v>
      </c>
      <c r="U79" s="14">
        <f t="shared" si="23"/>
        <v>2785.29</v>
      </c>
      <c r="V79" s="14">
        <v>20</v>
      </c>
      <c r="W79" s="14">
        <f t="shared" si="24"/>
        <v>68100</v>
      </c>
      <c r="Y79" s="14">
        <v>73</v>
      </c>
      <c r="Z79" s="108">
        <f t="shared" si="25"/>
        <v>22700</v>
      </c>
      <c r="AA79" s="103">
        <f t="shared" si="26"/>
        <v>45400</v>
      </c>
      <c r="AB79" s="103">
        <f t="shared" si="27"/>
        <v>68100</v>
      </c>
      <c r="AD79" s="14">
        <v>73</v>
      </c>
      <c r="AE79" s="14">
        <f t="shared" si="28"/>
        <v>50</v>
      </c>
      <c r="AF79" s="14">
        <f t="shared" si="29"/>
        <v>41</v>
      </c>
      <c r="AH79" t="str">
        <f t="shared" si="30"/>
        <v>22700,45400,68100</v>
      </c>
      <c r="AI79" t="str">
        <f t="shared" si="31"/>
        <v>10,14,20</v>
      </c>
      <c r="AJ79" t="str">
        <f t="shared" si="32"/>
        <v>227,1856.86,2785.29</v>
      </c>
      <c r="AM79">
        <v>3.96</v>
      </c>
    </row>
    <row r="80" spans="1:39" x14ac:dyDescent="0.25">
      <c r="A80" s="14">
        <v>74</v>
      </c>
      <c r="B80" s="14">
        <v>232</v>
      </c>
      <c r="C80" s="14">
        <v>0.99999999999999989</v>
      </c>
      <c r="D80" s="14">
        <f t="shared" si="19"/>
        <v>4.1399999999999997</v>
      </c>
      <c r="E80" s="14">
        <f t="shared" si="20"/>
        <v>960.48</v>
      </c>
      <c r="F80" s="102">
        <v>10</v>
      </c>
      <c r="G80" s="14">
        <f ca="1">_xlfn.IFNA(INDEX(玩家节奏1!$EC:$EC,MATCH(关卡对比!A80,玩家节奏1!$N:$N,1)),1)</f>
        <v>3.9600000000000004</v>
      </c>
      <c r="H80" s="14">
        <f ca="1">_xlfn.IFNA(INDEX(玩家节奏2!$FG:$FG,MATCH(关卡对比!A80,玩家节奏2!$N:$N,1)),1)</f>
        <v>6.2039120000000008</v>
      </c>
      <c r="I80" s="14">
        <v>4.1399999999999997</v>
      </c>
      <c r="J80" s="14">
        <f t="shared" si="17"/>
        <v>23200</v>
      </c>
      <c r="K80" s="14">
        <f t="shared" si="18"/>
        <v>23200</v>
      </c>
      <c r="N80" s="14">
        <v>74</v>
      </c>
      <c r="O80" s="14">
        <f t="shared" si="21"/>
        <v>1920.96</v>
      </c>
      <c r="P80" s="14">
        <v>14</v>
      </c>
      <c r="Q80" s="14">
        <f t="shared" si="22"/>
        <v>46400</v>
      </c>
      <c r="T80" s="14">
        <v>74</v>
      </c>
      <c r="U80" s="14">
        <f t="shared" si="23"/>
        <v>2881.44</v>
      </c>
      <c r="V80" s="14">
        <v>20</v>
      </c>
      <c r="W80" s="14">
        <f t="shared" si="24"/>
        <v>69600</v>
      </c>
      <c r="Y80" s="14">
        <v>74</v>
      </c>
      <c r="Z80" s="108">
        <f t="shared" si="25"/>
        <v>23200</v>
      </c>
      <c r="AA80" s="103">
        <f t="shared" si="26"/>
        <v>46400</v>
      </c>
      <c r="AB80" s="103">
        <f t="shared" si="27"/>
        <v>69600</v>
      </c>
      <c r="AD80" s="14">
        <v>74</v>
      </c>
      <c r="AE80" s="14">
        <f t="shared" si="28"/>
        <v>50</v>
      </c>
      <c r="AF80" s="14">
        <f t="shared" si="29"/>
        <v>42</v>
      </c>
      <c r="AH80" t="str">
        <f t="shared" si="30"/>
        <v>23200,46400,69600</v>
      </c>
      <c r="AI80" t="str">
        <f t="shared" si="31"/>
        <v>10,14,20</v>
      </c>
      <c r="AJ80" t="str">
        <f t="shared" si="32"/>
        <v>232,1920.96,2881.44</v>
      </c>
      <c r="AM80">
        <v>3.97</v>
      </c>
    </row>
    <row r="81" spans="1:39" x14ac:dyDescent="0.25">
      <c r="A81" s="14">
        <v>75</v>
      </c>
      <c r="B81" s="14">
        <v>237</v>
      </c>
      <c r="C81" s="14">
        <v>0.99999999999999989</v>
      </c>
      <c r="D81" s="14">
        <f t="shared" si="19"/>
        <v>4.18</v>
      </c>
      <c r="E81" s="14">
        <f t="shared" si="20"/>
        <v>990.66</v>
      </c>
      <c r="F81" s="102">
        <v>10</v>
      </c>
      <c r="G81" s="14">
        <f ca="1">_xlfn.IFNA(INDEX(玩家节奏1!$EC:$EC,MATCH(关卡对比!A81,玩家节奏1!$N:$N,1)),1)</f>
        <v>4.18</v>
      </c>
      <c r="H81" s="14">
        <f ca="1">_xlfn.IFNA(INDEX(玩家节奏2!$FG:$FG,MATCH(关卡对比!A81,玩家节奏2!$N:$N,1)),1)</f>
        <v>6.2039120000000008</v>
      </c>
      <c r="I81" s="14">
        <v>4.18</v>
      </c>
      <c r="J81" s="14">
        <f t="shared" si="17"/>
        <v>23700</v>
      </c>
      <c r="K81" s="14">
        <f t="shared" si="18"/>
        <v>23700</v>
      </c>
      <c r="N81" s="14">
        <v>75</v>
      </c>
      <c r="O81" s="14">
        <f t="shared" si="21"/>
        <v>1981.32</v>
      </c>
      <c r="P81" s="14">
        <v>14</v>
      </c>
      <c r="Q81" s="14">
        <f t="shared" si="22"/>
        <v>47400</v>
      </c>
      <c r="T81" s="14">
        <v>75</v>
      </c>
      <c r="U81" s="14">
        <f t="shared" si="23"/>
        <v>2971.98</v>
      </c>
      <c r="V81" s="14">
        <v>20</v>
      </c>
      <c r="W81" s="14">
        <f t="shared" si="24"/>
        <v>71100</v>
      </c>
      <c r="Y81" s="14">
        <v>75</v>
      </c>
      <c r="Z81" s="108">
        <f t="shared" si="25"/>
        <v>23700</v>
      </c>
      <c r="AA81" s="103">
        <f t="shared" si="26"/>
        <v>47400</v>
      </c>
      <c r="AB81" s="103">
        <f t="shared" si="27"/>
        <v>71100</v>
      </c>
      <c r="AD81" s="14">
        <v>75</v>
      </c>
      <c r="AE81" s="14">
        <f t="shared" si="28"/>
        <v>51</v>
      </c>
      <c r="AF81" s="14">
        <f t="shared" si="29"/>
        <v>43</v>
      </c>
      <c r="AH81" t="str">
        <f t="shared" si="30"/>
        <v>23700,47400,71100</v>
      </c>
      <c r="AI81" t="str">
        <f t="shared" si="31"/>
        <v>10,14,20</v>
      </c>
      <c r="AJ81" t="str">
        <f t="shared" si="32"/>
        <v>237,1981.32,2971.98</v>
      </c>
      <c r="AM81">
        <v>4.18</v>
      </c>
    </row>
    <row r="82" spans="1:39" x14ac:dyDescent="0.25">
      <c r="A82" s="14">
        <v>76</v>
      </c>
      <c r="B82" s="14">
        <v>242</v>
      </c>
      <c r="C82" s="14">
        <v>0.99999999999999989</v>
      </c>
      <c r="D82" s="14">
        <f t="shared" si="19"/>
        <v>4.2300000000000004</v>
      </c>
      <c r="E82" s="14">
        <f t="shared" si="20"/>
        <v>1023.66</v>
      </c>
      <c r="F82" s="102">
        <v>10</v>
      </c>
      <c r="G82" s="14">
        <f ca="1">_xlfn.IFNA(INDEX(玩家节奏1!$EC:$EC,MATCH(关卡对比!A82,玩家节奏1!$N:$N,1)),1)</f>
        <v>4.18</v>
      </c>
      <c r="H82" s="14">
        <f ca="1">_xlfn.IFNA(INDEX(玩家节奏2!$FG:$FG,MATCH(关卡对比!A82,玩家节奏2!$N:$N,1)),1)</f>
        <v>6.2039120000000008</v>
      </c>
      <c r="I82" s="14">
        <v>4.2300000000000004</v>
      </c>
      <c r="J82" s="14">
        <f t="shared" si="17"/>
        <v>24200</v>
      </c>
      <c r="K82" s="14">
        <f t="shared" si="18"/>
        <v>24200</v>
      </c>
      <c r="N82" s="14">
        <v>76</v>
      </c>
      <c r="O82" s="14">
        <f t="shared" si="21"/>
        <v>2047.32</v>
      </c>
      <c r="P82" s="14">
        <v>14</v>
      </c>
      <c r="Q82" s="14">
        <f t="shared" si="22"/>
        <v>48400</v>
      </c>
      <c r="T82" s="14">
        <v>76</v>
      </c>
      <c r="U82" s="14">
        <f t="shared" si="23"/>
        <v>3070.98</v>
      </c>
      <c r="V82" s="14">
        <v>20</v>
      </c>
      <c r="W82" s="14">
        <f t="shared" si="24"/>
        <v>72600</v>
      </c>
      <c r="Y82" s="14">
        <v>76</v>
      </c>
      <c r="Z82" s="104">
        <f t="shared" si="25"/>
        <v>24200</v>
      </c>
      <c r="AA82" s="103">
        <f t="shared" si="26"/>
        <v>48400</v>
      </c>
      <c r="AB82" s="103">
        <f t="shared" si="27"/>
        <v>72600</v>
      </c>
      <c r="AD82" s="14">
        <v>76</v>
      </c>
      <c r="AE82" s="14">
        <f t="shared" si="28"/>
        <v>51</v>
      </c>
      <c r="AF82" s="14">
        <f t="shared" si="29"/>
        <v>43</v>
      </c>
      <c r="AH82" t="str">
        <f t="shared" si="30"/>
        <v>24200,48400,72600</v>
      </c>
      <c r="AI82" t="str">
        <f t="shared" si="31"/>
        <v>10,14,20</v>
      </c>
      <c r="AJ82" t="str">
        <f t="shared" si="32"/>
        <v>242,2047.32,3070.98</v>
      </c>
      <c r="AM82">
        <v>4.18</v>
      </c>
    </row>
    <row r="83" spans="1:39" x14ac:dyDescent="0.25">
      <c r="A83" s="14">
        <v>77</v>
      </c>
      <c r="B83" s="14">
        <v>247</v>
      </c>
      <c r="C83" s="14">
        <v>0.99999999999999989</v>
      </c>
      <c r="D83" s="14">
        <f t="shared" si="19"/>
        <v>4.2699999999999996</v>
      </c>
      <c r="E83" s="14">
        <f t="shared" si="20"/>
        <v>1054.69</v>
      </c>
      <c r="F83" s="102">
        <v>10</v>
      </c>
      <c r="G83" s="14">
        <f ca="1">_xlfn.IFNA(INDEX(玩家节奏1!$EC:$EC,MATCH(关卡对比!A83,玩家节奏1!$N:$N,1)),1)</f>
        <v>4.18</v>
      </c>
      <c r="H83" s="14">
        <f ca="1">_xlfn.IFNA(INDEX(玩家节奏2!$FG:$FG,MATCH(关卡对比!A83,玩家节奏2!$N:$N,1)),1)</f>
        <v>6.2039120000000008</v>
      </c>
      <c r="I83" s="14">
        <v>4.2699999999999996</v>
      </c>
      <c r="J83" s="14">
        <f t="shared" si="17"/>
        <v>24700</v>
      </c>
      <c r="K83" s="14">
        <f t="shared" si="18"/>
        <v>24700</v>
      </c>
      <c r="N83" s="14">
        <v>77</v>
      </c>
      <c r="O83" s="14">
        <f t="shared" si="21"/>
        <v>2109.38</v>
      </c>
      <c r="P83" s="14">
        <v>14</v>
      </c>
      <c r="Q83" s="14">
        <f t="shared" si="22"/>
        <v>49400</v>
      </c>
      <c r="T83" s="14">
        <v>77</v>
      </c>
      <c r="U83" s="14">
        <f t="shared" si="23"/>
        <v>3164.07</v>
      </c>
      <c r="V83" s="14">
        <v>20</v>
      </c>
      <c r="W83" s="14">
        <f t="shared" si="24"/>
        <v>74100</v>
      </c>
      <c r="Y83" s="14">
        <v>77</v>
      </c>
      <c r="Z83" s="104">
        <f t="shared" si="25"/>
        <v>24700</v>
      </c>
      <c r="AA83" s="103">
        <f t="shared" si="26"/>
        <v>49400</v>
      </c>
      <c r="AB83" s="103">
        <f t="shared" si="27"/>
        <v>74100</v>
      </c>
      <c r="AD83" s="14">
        <v>77</v>
      </c>
      <c r="AE83" s="14">
        <f t="shared" si="28"/>
        <v>52</v>
      </c>
      <c r="AF83" s="14">
        <f t="shared" si="29"/>
        <v>44</v>
      </c>
      <c r="AH83" t="str">
        <f t="shared" si="30"/>
        <v>24700,49400,74100</v>
      </c>
      <c r="AI83" t="str">
        <f t="shared" si="31"/>
        <v>10,14,20</v>
      </c>
      <c r="AJ83" t="str">
        <f t="shared" si="32"/>
        <v>247,2109.38,3164.07</v>
      </c>
      <c r="AM83">
        <v>4.18</v>
      </c>
    </row>
    <row r="84" spans="1:39" x14ac:dyDescent="0.25">
      <c r="A84" s="14">
        <v>78</v>
      </c>
      <c r="B84" s="14">
        <v>252</v>
      </c>
      <c r="C84" s="14">
        <v>0.99999999999999989</v>
      </c>
      <c r="D84" s="14">
        <f t="shared" si="19"/>
        <v>4.32</v>
      </c>
      <c r="E84" s="14">
        <f t="shared" si="20"/>
        <v>1088.6400000000001</v>
      </c>
      <c r="F84" s="102">
        <v>10</v>
      </c>
      <c r="G84" s="14">
        <f ca="1">_xlfn.IFNA(INDEX(玩家节奏1!$EC:$EC,MATCH(关卡对比!A84,玩家节奏1!$N:$N,1)),1)</f>
        <v>4.18</v>
      </c>
      <c r="H84" s="14">
        <f ca="1">_xlfn.IFNA(INDEX(玩家节奏2!$FG:$FG,MATCH(关卡对比!A84,玩家节奏2!$N:$N,1)),1)</f>
        <v>6.4178400000000009</v>
      </c>
      <c r="I84" s="14">
        <v>4.32</v>
      </c>
      <c r="J84" s="14">
        <f t="shared" si="17"/>
        <v>25200</v>
      </c>
      <c r="K84" s="14">
        <f t="shared" si="18"/>
        <v>25200</v>
      </c>
      <c r="N84" s="14">
        <v>78</v>
      </c>
      <c r="O84" s="14">
        <f t="shared" si="21"/>
        <v>2177.2800000000002</v>
      </c>
      <c r="P84" s="14">
        <v>14</v>
      </c>
      <c r="Q84" s="14">
        <f t="shared" si="22"/>
        <v>50400</v>
      </c>
      <c r="T84" s="14">
        <v>78</v>
      </c>
      <c r="U84" s="14">
        <f t="shared" si="23"/>
        <v>3265.92</v>
      </c>
      <c r="V84" s="14">
        <v>20</v>
      </c>
      <c r="W84" s="14">
        <f t="shared" si="24"/>
        <v>75600</v>
      </c>
      <c r="Y84" s="14">
        <v>78</v>
      </c>
      <c r="Z84" s="104">
        <f t="shared" si="25"/>
        <v>25200</v>
      </c>
      <c r="AA84" s="103">
        <f t="shared" si="26"/>
        <v>50400</v>
      </c>
      <c r="AB84" s="103">
        <f t="shared" si="27"/>
        <v>75600</v>
      </c>
      <c r="AD84" s="14">
        <v>78</v>
      </c>
      <c r="AE84" s="14">
        <f t="shared" si="28"/>
        <v>52</v>
      </c>
      <c r="AF84" s="14">
        <f t="shared" si="29"/>
        <v>44</v>
      </c>
      <c r="AH84" t="str">
        <f t="shared" si="30"/>
        <v>25200,50400,75600</v>
      </c>
      <c r="AI84" t="str">
        <f t="shared" si="31"/>
        <v>10,14,20</v>
      </c>
      <c r="AJ84" t="str">
        <f t="shared" si="32"/>
        <v>252,2177.28,3265.92</v>
      </c>
      <c r="AM84">
        <v>4.18</v>
      </c>
    </row>
    <row r="85" spans="1:39" x14ac:dyDescent="0.25">
      <c r="A85" s="14">
        <v>79</v>
      </c>
      <c r="B85" s="14">
        <v>257</v>
      </c>
      <c r="C85" s="14">
        <v>0.99999999999999989</v>
      </c>
      <c r="D85" s="14">
        <f t="shared" si="19"/>
        <v>4.3600000000000003</v>
      </c>
      <c r="E85" s="14">
        <f t="shared" si="20"/>
        <v>1120.52</v>
      </c>
      <c r="F85" s="102">
        <v>10</v>
      </c>
      <c r="G85" s="14">
        <f ca="1">_xlfn.IFNA(INDEX(玩家节奏1!$EC:$EC,MATCH(关卡对比!A85,玩家节奏1!$N:$N,1)),1)</f>
        <v>4.18</v>
      </c>
      <c r="H85" s="14">
        <f ca="1">_xlfn.IFNA(INDEX(玩家节奏2!$FG:$FG,MATCH(关卡对比!A85,玩家节奏2!$N:$N,1)),1)</f>
        <v>6.4178400000000009</v>
      </c>
      <c r="I85" s="14">
        <v>4.3600000000000003</v>
      </c>
      <c r="J85" s="14">
        <f t="shared" si="17"/>
        <v>25700</v>
      </c>
      <c r="K85" s="14">
        <f t="shared" si="18"/>
        <v>25700</v>
      </c>
      <c r="N85" s="14">
        <v>79</v>
      </c>
      <c r="O85" s="14">
        <f t="shared" si="21"/>
        <v>2241.04</v>
      </c>
      <c r="P85" s="14">
        <v>14</v>
      </c>
      <c r="Q85" s="14">
        <f t="shared" si="22"/>
        <v>51400</v>
      </c>
      <c r="T85" s="14">
        <v>79</v>
      </c>
      <c r="U85" s="14">
        <f t="shared" si="23"/>
        <v>3361.56</v>
      </c>
      <c r="V85" s="14">
        <v>20</v>
      </c>
      <c r="W85" s="14">
        <f t="shared" si="24"/>
        <v>77100</v>
      </c>
      <c r="Y85" s="14">
        <v>79</v>
      </c>
      <c r="Z85" s="104">
        <f t="shared" si="25"/>
        <v>25700</v>
      </c>
      <c r="AA85" s="103">
        <f t="shared" si="26"/>
        <v>51400</v>
      </c>
      <c r="AB85" s="103">
        <f t="shared" si="27"/>
        <v>77100</v>
      </c>
      <c r="AD85" s="14">
        <v>79</v>
      </c>
      <c r="AE85" s="14">
        <f t="shared" si="28"/>
        <v>53</v>
      </c>
      <c r="AF85" s="14">
        <f t="shared" si="29"/>
        <v>44</v>
      </c>
      <c r="AH85" t="str">
        <f t="shared" si="30"/>
        <v>25700,51400,77100</v>
      </c>
      <c r="AI85" t="str">
        <f t="shared" si="31"/>
        <v>10,14,20</v>
      </c>
      <c r="AJ85" t="str">
        <f t="shared" si="32"/>
        <v>257,2241.04,3361.56</v>
      </c>
      <c r="AM85">
        <v>4.1900000000000004</v>
      </c>
    </row>
    <row r="86" spans="1:39" x14ac:dyDescent="0.25">
      <c r="A86" s="14">
        <v>80</v>
      </c>
      <c r="B86" s="14">
        <v>262</v>
      </c>
      <c r="C86" s="14">
        <v>0.99999999999999989</v>
      </c>
      <c r="D86" s="14">
        <f t="shared" si="19"/>
        <v>4.4000000000000004</v>
      </c>
      <c r="E86" s="14">
        <f t="shared" si="20"/>
        <v>1152.8</v>
      </c>
      <c r="F86" s="102">
        <v>10</v>
      </c>
      <c r="G86" s="14">
        <f ca="1">_xlfn.IFNA(INDEX(玩家节奏1!$EC:$EC,MATCH(关卡对比!A86,玩家节奏1!$N:$N,1)),1)</f>
        <v>4.4000000000000004</v>
      </c>
      <c r="H86" s="14">
        <f ca="1">_xlfn.IFNA(INDEX(玩家节奏2!$FG:$FG,MATCH(关卡对比!A86,玩家节奏2!$N:$N,1)),1)</f>
        <v>6.4178400000000009</v>
      </c>
      <c r="I86" s="14">
        <v>4.4000000000000004</v>
      </c>
      <c r="J86" s="14">
        <f t="shared" si="17"/>
        <v>26200</v>
      </c>
      <c r="K86" s="14">
        <f t="shared" si="18"/>
        <v>26200</v>
      </c>
      <c r="N86" s="14">
        <v>80</v>
      </c>
      <c r="O86" s="14">
        <f t="shared" si="21"/>
        <v>2305.6</v>
      </c>
      <c r="P86" s="14">
        <v>14</v>
      </c>
      <c r="Q86" s="14">
        <f t="shared" si="22"/>
        <v>52400</v>
      </c>
      <c r="T86" s="14">
        <v>80</v>
      </c>
      <c r="U86" s="14">
        <f t="shared" si="23"/>
        <v>3458.3999999999996</v>
      </c>
      <c r="V86" s="14">
        <v>20</v>
      </c>
      <c r="W86" s="14">
        <f t="shared" si="24"/>
        <v>78600</v>
      </c>
      <c r="Y86" s="14">
        <v>80</v>
      </c>
      <c r="Z86" s="104">
        <f t="shared" si="25"/>
        <v>26200</v>
      </c>
      <c r="AA86" s="103">
        <f t="shared" si="26"/>
        <v>52400</v>
      </c>
      <c r="AB86" s="103">
        <f t="shared" si="27"/>
        <v>78600</v>
      </c>
      <c r="AD86" s="14">
        <v>80</v>
      </c>
      <c r="AE86" s="14">
        <f t="shared" si="28"/>
        <v>53</v>
      </c>
      <c r="AF86" s="14">
        <f t="shared" si="29"/>
        <v>45</v>
      </c>
      <c r="AH86" t="str">
        <f t="shared" si="30"/>
        <v>26200,52400,78600</v>
      </c>
      <c r="AI86" t="str">
        <f t="shared" si="31"/>
        <v>10,14,20</v>
      </c>
      <c r="AJ86" t="str">
        <f t="shared" si="32"/>
        <v>262,2305.6,3458.4</v>
      </c>
      <c r="AM86">
        <v>4.4000000000000004</v>
      </c>
    </row>
    <row r="87" spans="1:39" x14ac:dyDescent="0.25">
      <c r="A87" s="14">
        <v>81</v>
      </c>
      <c r="B87" s="14">
        <v>267</v>
      </c>
      <c r="C87" s="14">
        <v>0.99999999999999989</v>
      </c>
      <c r="D87" s="14">
        <f t="shared" si="19"/>
        <v>4.43</v>
      </c>
      <c r="E87" s="14">
        <f t="shared" si="20"/>
        <v>1182.81</v>
      </c>
      <c r="F87" s="102">
        <v>10</v>
      </c>
      <c r="G87" s="14">
        <f ca="1">_xlfn.IFNA(INDEX(玩家节奏1!$EC:$EC,MATCH(关卡对比!A87,玩家节奏1!$N:$N,1)),1)</f>
        <v>4.4000000000000004</v>
      </c>
      <c r="H87" s="14">
        <f ca="1">_xlfn.IFNA(INDEX(玩家节奏2!$FG:$FG,MATCH(关卡对比!A87,玩家节奏2!$N:$N,1)),1)</f>
        <v>6.4178400000000009</v>
      </c>
      <c r="I87" s="14">
        <v>4.43</v>
      </c>
      <c r="J87" s="14">
        <f t="shared" si="17"/>
        <v>26700</v>
      </c>
      <c r="K87" s="14">
        <f t="shared" si="18"/>
        <v>26700</v>
      </c>
      <c r="N87" s="14">
        <v>81</v>
      </c>
      <c r="O87" s="14">
        <f t="shared" si="21"/>
        <v>2365.62</v>
      </c>
      <c r="P87" s="14">
        <v>14</v>
      </c>
      <c r="Q87" s="14">
        <f t="shared" si="22"/>
        <v>53400</v>
      </c>
      <c r="T87" s="14">
        <v>81</v>
      </c>
      <c r="U87" s="14">
        <f t="shared" si="23"/>
        <v>3548.43</v>
      </c>
      <c r="V87" s="14">
        <v>20</v>
      </c>
      <c r="W87" s="14">
        <f t="shared" si="24"/>
        <v>80100</v>
      </c>
      <c r="Y87" s="14">
        <v>81</v>
      </c>
      <c r="Z87" s="105">
        <f t="shared" si="25"/>
        <v>26700</v>
      </c>
      <c r="AA87" s="103">
        <f t="shared" si="26"/>
        <v>53400</v>
      </c>
      <c r="AB87" s="103">
        <f t="shared" si="27"/>
        <v>80100</v>
      </c>
      <c r="AD87" s="14">
        <v>81</v>
      </c>
      <c r="AE87" s="14">
        <f t="shared" si="28"/>
        <v>54</v>
      </c>
      <c r="AF87" s="14">
        <f t="shared" si="29"/>
        <v>45</v>
      </c>
      <c r="AH87" t="str">
        <f t="shared" si="30"/>
        <v>26700,53400,80100</v>
      </c>
      <c r="AI87" t="str">
        <f t="shared" si="31"/>
        <v>10,14,20</v>
      </c>
      <c r="AJ87" t="str">
        <f t="shared" si="32"/>
        <v>267,2365.62,3548.43</v>
      </c>
      <c r="AM87">
        <v>4.4000000000000004</v>
      </c>
    </row>
    <row r="88" spans="1:39" x14ac:dyDescent="0.25">
      <c r="A88" s="14">
        <v>82</v>
      </c>
      <c r="B88" s="14">
        <v>272</v>
      </c>
      <c r="C88" s="14">
        <v>0.99999999999999989</v>
      </c>
      <c r="D88" s="14">
        <f t="shared" si="19"/>
        <v>4.47</v>
      </c>
      <c r="E88" s="14">
        <f t="shared" si="20"/>
        <v>1215.8399999999999</v>
      </c>
      <c r="F88" s="102">
        <v>10</v>
      </c>
      <c r="G88" s="14">
        <f ca="1">_xlfn.IFNA(INDEX(玩家节奏1!$EC:$EC,MATCH(关卡对比!A88,玩家节奏1!$N:$N,1)),1)</f>
        <v>4.4000000000000004</v>
      </c>
      <c r="H88" s="14">
        <f ca="1">_xlfn.IFNA(INDEX(玩家节奏2!$FG:$FG,MATCH(关卡对比!A88,玩家节奏2!$N:$N,1)),1)</f>
        <v>7.3180800000000001</v>
      </c>
      <c r="I88" s="14">
        <v>4.47</v>
      </c>
      <c r="J88" s="14">
        <f t="shared" ref="J88:J106" si="33">K88</f>
        <v>27200</v>
      </c>
      <c r="K88" s="14">
        <f t="shared" si="18"/>
        <v>27200</v>
      </c>
      <c r="N88" s="14">
        <v>82</v>
      </c>
      <c r="O88" s="14">
        <f t="shared" si="21"/>
        <v>2431.6799999999998</v>
      </c>
      <c r="P88" s="14">
        <v>14</v>
      </c>
      <c r="Q88" s="14">
        <f t="shared" si="22"/>
        <v>54400</v>
      </c>
      <c r="T88" s="14">
        <v>82</v>
      </c>
      <c r="U88" s="14">
        <f t="shared" si="23"/>
        <v>3647.5199999999995</v>
      </c>
      <c r="V88" s="14">
        <v>20</v>
      </c>
      <c r="W88" s="14">
        <f t="shared" si="24"/>
        <v>81600</v>
      </c>
      <c r="Y88" s="14">
        <v>82</v>
      </c>
      <c r="Z88" s="105">
        <f t="shared" si="25"/>
        <v>27200</v>
      </c>
      <c r="AA88" s="103">
        <f t="shared" si="26"/>
        <v>54400</v>
      </c>
      <c r="AB88" s="103">
        <f t="shared" si="27"/>
        <v>81600</v>
      </c>
      <c r="AD88" s="14">
        <v>82</v>
      </c>
      <c r="AE88" s="14">
        <f t="shared" si="28"/>
        <v>54</v>
      </c>
      <c r="AF88" s="14">
        <f t="shared" si="29"/>
        <v>45</v>
      </c>
      <c r="AH88" t="str">
        <f t="shared" si="30"/>
        <v>27200,54400,81600</v>
      </c>
      <c r="AI88" t="str">
        <f t="shared" si="31"/>
        <v>10,14,20</v>
      </c>
      <c r="AJ88" t="str">
        <f t="shared" si="32"/>
        <v>272,2431.68,3647.52</v>
      </c>
      <c r="AM88">
        <v>4.4000000000000004</v>
      </c>
    </row>
    <row r="89" spans="1:39" x14ac:dyDescent="0.25">
      <c r="A89" s="14">
        <v>83</v>
      </c>
      <c r="B89" s="14">
        <v>277</v>
      </c>
      <c r="C89" s="14">
        <v>0.99999999999999989</v>
      </c>
      <c r="D89" s="14">
        <f t="shared" si="19"/>
        <v>4.5</v>
      </c>
      <c r="E89" s="14">
        <f t="shared" si="20"/>
        <v>1246.5</v>
      </c>
      <c r="F89" s="102">
        <v>10</v>
      </c>
      <c r="G89" s="14">
        <f ca="1">_xlfn.IFNA(INDEX(玩家节奏1!$EC:$EC,MATCH(关卡对比!A89,玩家节奏1!$N:$N,1)),1)</f>
        <v>4.4000000000000004</v>
      </c>
      <c r="H89" s="14">
        <f ca="1">_xlfn.IFNA(INDEX(玩家节奏2!$FG:$FG,MATCH(关卡对比!A89,玩家节奏2!$N:$N,1)),1)</f>
        <v>7.3180800000000001</v>
      </c>
      <c r="I89" s="14">
        <v>4.5</v>
      </c>
      <c r="J89" s="14">
        <f t="shared" si="33"/>
        <v>27700</v>
      </c>
      <c r="K89" s="14">
        <f t="shared" si="18"/>
        <v>27700</v>
      </c>
      <c r="N89" s="14">
        <v>83</v>
      </c>
      <c r="O89" s="14">
        <f t="shared" si="21"/>
        <v>2493</v>
      </c>
      <c r="P89" s="14">
        <v>14</v>
      </c>
      <c r="Q89" s="14">
        <f t="shared" si="22"/>
        <v>55400</v>
      </c>
      <c r="T89" s="14">
        <v>83</v>
      </c>
      <c r="U89" s="14">
        <f t="shared" si="23"/>
        <v>3739.5</v>
      </c>
      <c r="V89" s="14">
        <v>20</v>
      </c>
      <c r="W89" s="14">
        <f t="shared" si="24"/>
        <v>83100</v>
      </c>
      <c r="Y89" s="14">
        <v>83</v>
      </c>
      <c r="Z89" s="105">
        <f t="shared" si="25"/>
        <v>27700</v>
      </c>
      <c r="AA89" s="103">
        <f t="shared" si="26"/>
        <v>55400</v>
      </c>
      <c r="AB89" s="103">
        <f t="shared" si="27"/>
        <v>83100</v>
      </c>
      <c r="AD89" s="14">
        <v>83</v>
      </c>
      <c r="AE89" s="14">
        <f t="shared" si="28"/>
        <v>55</v>
      </c>
      <c r="AF89" s="14">
        <f t="shared" si="29"/>
        <v>46</v>
      </c>
      <c r="AH89" t="str">
        <f t="shared" si="30"/>
        <v>27700,55400,83100</v>
      </c>
      <c r="AI89" t="str">
        <f t="shared" si="31"/>
        <v>10,14,20</v>
      </c>
      <c r="AJ89" t="str">
        <f t="shared" si="32"/>
        <v>277,2493,3739.5</v>
      </c>
      <c r="AM89">
        <v>4.4000000000000004</v>
      </c>
    </row>
    <row r="90" spans="1:39" x14ac:dyDescent="0.25">
      <c r="A90" s="14">
        <v>84</v>
      </c>
      <c r="B90" s="14">
        <v>282</v>
      </c>
      <c r="C90" s="14">
        <v>0.99999999999999989</v>
      </c>
      <c r="D90" s="14">
        <f t="shared" si="19"/>
        <v>4.5199999999999996</v>
      </c>
      <c r="E90" s="14">
        <f t="shared" si="20"/>
        <v>1274.6400000000001</v>
      </c>
      <c r="F90" s="102">
        <v>10</v>
      </c>
      <c r="G90" s="14">
        <f ca="1">_xlfn.IFNA(INDEX(玩家节奏1!$EC:$EC,MATCH(关卡对比!A90,玩家节奏1!$N:$N,1)),1)</f>
        <v>4.4000000000000004</v>
      </c>
      <c r="H90" s="14">
        <f ca="1">_xlfn.IFNA(INDEX(玩家节奏2!$FG:$FG,MATCH(关卡对比!A90,玩家节奏2!$N:$N,1)),1)</f>
        <v>7.3180800000000001</v>
      </c>
      <c r="I90" s="14">
        <v>4.5199999999999996</v>
      </c>
      <c r="J90" s="14">
        <f t="shared" si="33"/>
        <v>28200</v>
      </c>
      <c r="K90" s="14">
        <f t="shared" si="18"/>
        <v>28200</v>
      </c>
      <c r="N90" s="14">
        <v>84</v>
      </c>
      <c r="O90" s="14">
        <f t="shared" si="21"/>
        <v>2549.2800000000002</v>
      </c>
      <c r="P90" s="14">
        <v>14</v>
      </c>
      <c r="Q90" s="14">
        <f t="shared" si="22"/>
        <v>56400</v>
      </c>
      <c r="T90" s="14">
        <v>84</v>
      </c>
      <c r="U90" s="14">
        <f t="shared" si="23"/>
        <v>3823.92</v>
      </c>
      <c r="V90" s="14">
        <v>20</v>
      </c>
      <c r="W90" s="14">
        <f t="shared" si="24"/>
        <v>84600</v>
      </c>
      <c r="Y90" s="14">
        <v>84</v>
      </c>
      <c r="Z90" s="105">
        <f t="shared" si="25"/>
        <v>28200</v>
      </c>
      <c r="AA90" s="103">
        <f t="shared" si="26"/>
        <v>56400</v>
      </c>
      <c r="AB90" s="103">
        <f t="shared" si="27"/>
        <v>84600</v>
      </c>
      <c r="AD90" s="14">
        <v>84</v>
      </c>
      <c r="AE90" s="14">
        <f t="shared" si="28"/>
        <v>55</v>
      </c>
      <c r="AF90" s="14">
        <f t="shared" si="29"/>
        <v>46</v>
      </c>
      <c r="AH90" t="str">
        <f t="shared" si="30"/>
        <v>28200,56400,84600</v>
      </c>
      <c r="AI90" t="str">
        <f t="shared" si="31"/>
        <v>10,14,20</v>
      </c>
      <c r="AJ90" t="str">
        <f t="shared" si="32"/>
        <v>282,2549.28,3823.92</v>
      </c>
      <c r="AM90">
        <v>4.4000000000000004</v>
      </c>
    </row>
    <row r="91" spans="1:39" x14ac:dyDescent="0.25">
      <c r="A91" s="14">
        <v>85</v>
      </c>
      <c r="B91" s="14">
        <v>287</v>
      </c>
      <c r="C91" s="14">
        <v>0.99999999999999989</v>
      </c>
      <c r="D91" s="14">
        <f t="shared" si="19"/>
        <v>4.55</v>
      </c>
      <c r="E91" s="14">
        <f t="shared" si="20"/>
        <v>1305.8499999999999</v>
      </c>
      <c r="F91" s="102">
        <v>10</v>
      </c>
      <c r="G91" s="14">
        <f ca="1">_xlfn.IFNA(INDEX(玩家节奏1!$EC:$EC,MATCH(关卡对比!A91,玩家节奏1!$N:$N,1)),1)</f>
        <v>4.4000000000000004</v>
      </c>
      <c r="H91" s="14">
        <f ca="1">_xlfn.IFNA(INDEX(玩家节奏2!$FG:$FG,MATCH(关卡对比!A91,玩家节奏2!$N:$N,1)),1)</f>
        <v>7.3180800000000001</v>
      </c>
      <c r="I91" s="14">
        <v>4.55</v>
      </c>
      <c r="J91" s="14">
        <f t="shared" si="33"/>
        <v>28700</v>
      </c>
      <c r="K91" s="14">
        <f t="shared" si="18"/>
        <v>28700</v>
      </c>
      <c r="N91" s="14">
        <v>85</v>
      </c>
      <c r="O91" s="14">
        <f t="shared" si="21"/>
        <v>2611.6999999999998</v>
      </c>
      <c r="P91" s="14">
        <v>14</v>
      </c>
      <c r="Q91" s="14">
        <f t="shared" si="22"/>
        <v>57400</v>
      </c>
      <c r="T91" s="14">
        <v>85</v>
      </c>
      <c r="U91" s="14">
        <f t="shared" si="23"/>
        <v>3917.5499999999997</v>
      </c>
      <c r="V91" s="14">
        <v>20</v>
      </c>
      <c r="W91" s="14">
        <f t="shared" si="24"/>
        <v>86100</v>
      </c>
      <c r="Y91" s="14">
        <v>85</v>
      </c>
      <c r="Z91" s="105">
        <f t="shared" si="25"/>
        <v>28700</v>
      </c>
      <c r="AA91" s="103">
        <f t="shared" si="26"/>
        <v>57400</v>
      </c>
      <c r="AB91" s="103">
        <f t="shared" si="27"/>
        <v>86100</v>
      </c>
      <c r="AD91" s="14">
        <v>85</v>
      </c>
      <c r="AE91" s="14">
        <f t="shared" si="28"/>
        <v>56</v>
      </c>
      <c r="AF91" s="14">
        <f t="shared" si="29"/>
        <v>46</v>
      </c>
      <c r="AH91" t="str">
        <f t="shared" si="30"/>
        <v>28700,57400,86100</v>
      </c>
      <c r="AI91" t="str">
        <f t="shared" si="31"/>
        <v>10,14,20</v>
      </c>
      <c r="AJ91" t="str">
        <f t="shared" si="32"/>
        <v>287,2611.7,3917.55</v>
      </c>
      <c r="AM91">
        <v>4.4000000000000004</v>
      </c>
    </row>
    <row r="92" spans="1:39" x14ac:dyDescent="0.25">
      <c r="A92" s="14">
        <v>86</v>
      </c>
      <c r="B92" s="14">
        <v>292</v>
      </c>
      <c r="C92" s="14">
        <v>0.99999999999999989</v>
      </c>
      <c r="D92" s="14">
        <f t="shared" si="19"/>
        <v>4.59</v>
      </c>
      <c r="E92" s="14">
        <f t="shared" si="20"/>
        <v>1340.28</v>
      </c>
      <c r="F92" s="102">
        <v>10</v>
      </c>
      <c r="G92" s="14">
        <f ca="1">_xlfn.IFNA(INDEX(玩家节奏1!$EC:$EC,MATCH(关卡对比!A92,玩家节奏1!$N:$N,1)),1)</f>
        <v>4.4000000000000004</v>
      </c>
      <c r="H92" s="14">
        <f ca="1">_xlfn.IFNA(INDEX(玩家节奏2!$FG:$FG,MATCH(关卡对比!A92,玩家节奏2!$N:$N,1)),1)</f>
        <v>7.3180800000000001</v>
      </c>
      <c r="I92" s="14">
        <v>4.59</v>
      </c>
      <c r="J92" s="14">
        <f t="shared" si="33"/>
        <v>29200</v>
      </c>
      <c r="K92" s="14">
        <f t="shared" si="18"/>
        <v>29200</v>
      </c>
      <c r="N92" s="14">
        <v>86</v>
      </c>
      <c r="O92" s="14">
        <f t="shared" si="21"/>
        <v>2680.56</v>
      </c>
      <c r="P92" s="14">
        <v>14</v>
      </c>
      <c r="Q92" s="14">
        <f t="shared" si="22"/>
        <v>58400</v>
      </c>
      <c r="T92" s="14">
        <v>86</v>
      </c>
      <c r="U92" s="14">
        <f t="shared" si="23"/>
        <v>4020.84</v>
      </c>
      <c r="V92" s="14">
        <v>20</v>
      </c>
      <c r="W92" s="14">
        <f t="shared" si="24"/>
        <v>87600</v>
      </c>
      <c r="Y92" s="14">
        <v>86</v>
      </c>
      <c r="Z92" s="106">
        <f t="shared" si="25"/>
        <v>29200</v>
      </c>
      <c r="AA92" s="103">
        <f t="shared" si="26"/>
        <v>58400</v>
      </c>
      <c r="AB92" s="103">
        <f t="shared" si="27"/>
        <v>87600</v>
      </c>
      <c r="AD92" s="14">
        <v>86</v>
      </c>
      <c r="AE92" s="14">
        <f t="shared" si="28"/>
        <v>56</v>
      </c>
      <c r="AF92" s="14">
        <f t="shared" si="29"/>
        <v>47</v>
      </c>
      <c r="AH92" t="str">
        <f t="shared" si="30"/>
        <v>29200,58400,87600</v>
      </c>
      <c r="AI92" t="str">
        <f t="shared" si="31"/>
        <v>10,14,20</v>
      </c>
      <c r="AJ92" t="str">
        <f t="shared" si="32"/>
        <v>292,2680.56,4020.84</v>
      </c>
      <c r="AM92">
        <v>4.41</v>
      </c>
    </row>
    <row r="93" spans="1:39" x14ac:dyDescent="0.25">
      <c r="A93" s="14">
        <v>87</v>
      </c>
      <c r="B93" s="14">
        <v>297</v>
      </c>
      <c r="C93" s="14">
        <v>0.99999999999999989</v>
      </c>
      <c r="D93" s="14">
        <f t="shared" si="19"/>
        <v>4.62</v>
      </c>
      <c r="E93" s="14">
        <f t="shared" si="20"/>
        <v>1372.14</v>
      </c>
      <c r="F93" s="102">
        <v>10</v>
      </c>
      <c r="G93" s="14">
        <f ca="1">_xlfn.IFNA(INDEX(玩家节奏1!$EC:$EC,MATCH(关卡对比!A93,玩家节奏1!$N:$N,1)),1)</f>
        <v>4.620000000000001</v>
      </c>
      <c r="H93" s="14">
        <f ca="1">_xlfn.IFNA(INDEX(玩家节奏2!$FG:$FG,MATCH(关卡对比!A93,玩家节奏2!$N:$N,1)),1)</f>
        <v>7.7246399999999991</v>
      </c>
      <c r="I93" s="14">
        <v>4.62</v>
      </c>
      <c r="J93" s="14">
        <f t="shared" si="33"/>
        <v>29700</v>
      </c>
      <c r="K93" s="14">
        <f t="shared" si="18"/>
        <v>29700</v>
      </c>
      <c r="N93" s="14">
        <v>87</v>
      </c>
      <c r="O93" s="14">
        <f t="shared" si="21"/>
        <v>2744.28</v>
      </c>
      <c r="P93" s="14">
        <v>14</v>
      </c>
      <c r="Q93" s="14">
        <f t="shared" si="22"/>
        <v>59400</v>
      </c>
      <c r="T93" s="14">
        <v>87</v>
      </c>
      <c r="U93" s="14">
        <f t="shared" si="23"/>
        <v>4116.42</v>
      </c>
      <c r="V93" s="14">
        <v>20</v>
      </c>
      <c r="W93" s="14">
        <f t="shared" si="24"/>
        <v>89100</v>
      </c>
      <c r="Y93" s="14">
        <v>87</v>
      </c>
      <c r="Z93" s="106">
        <f t="shared" si="25"/>
        <v>29700</v>
      </c>
      <c r="AA93" s="103">
        <f t="shared" si="26"/>
        <v>59400</v>
      </c>
      <c r="AB93" s="103">
        <f t="shared" si="27"/>
        <v>89100</v>
      </c>
      <c r="AD93" s="14">
        <v>87</v>
      </c>
      <c r="AE93" s="14">
        <f t="shared" si="28"/>
        <v>57</v>
      </c>
      <c r="AF93" s="14">
        <f t="shared" si="29"/>
        <v>47</v>
      </c>
      <c r="AH93" t="str">
        <f t="shared" si="30"/>
        <v>29700,59400,89100</v>
      </c>
      <c r="AI93" t="str">
        <f t="shared" si="31"/>
        <v>10,14,20</v>
      </c>
      <c r="AJ93" t="str">
        <f t="shared" si="32"/>
        <v>297,2744.28,4116.42</v>
      </c>
      <c r="AM93">
        <v>4.62</v>
      </c>
    </row>
    <row r="94" spans="1:39" x14ac:dyDescent="0.25">
      <c r="A94" s="14">
        <v>88</v>
      </c>
      <c r="B94" s="14">
        <v>302</v>
      </c>
      <c r="C94" s="14">
        <v>0.99999999999999989</v>
      </c>
      <c r="D94" s="14">
        <f t="shared" si="19"/>
        <v>4.66</v>
      </c>
      <c r="E94" s="14">
        <f t="shared" si="20"/>
        <v>1407.32</v>
      </c>
      <c r="F94" s="102">
        <v>10</v>
      </c>
      <c r="G94" s="14">
        <f ca="1">_xlfn.IFNA(INDEX(玩家节奏1!$EC:$EC,MATCH(关卡对比!A94,玩家节奏1!$N:$N,1)),1)</f>
        <v>4.620000000000001</v>
      </c>
      <c r="H94" s="14">
        <f ca="1">_xlfn.IFNA(INDEX(玩家节奏2!$FG:$FG,MATCH(关卡对比!A94,玩家节奏2!$N:$N,1)),1)</f>
        <v>7.7246399999999991</v>
      </c>
      <c r="I94" s="14">
        <v>4.66</v>
      </c>
      <c r="J94" s="14">
        <f t="shared" si="33"/>
        <v>30200</v>
      </c>
      <c r="K94" s="14">
        <f t="shared" si="18"/>
        <v>30200</v>
      </c>
      <c r="N94" s="14">
        <v>88</v>
      </c>
      <c r="O94" s="14">
        <f t="shared" si="21"/>
        <v>2814.64</v>
      </c>
      <c r="P94" s="14">
        <v>14</v>
      </c>
      <c r="Q94" s="14">
        <f t="shared" si="22"/>
        <v>60400</v>
      </c>
      <c r="T94" s="14">
        <v>88</v>
      </c>
      <c r="U94" s="14">
        <f t="shared" si="23"/>
        <v>4221.96</v>
      </c>
      <c r="V94" s="14">
        <v>20</v>
      </c>
      <c r="W94" s="14">
        <f t="shared" si="24"/>
        <v>90600</v>
      </c>
      <c r="Y94" s="14">
        <v>88</v>
      </c>
      <c r="Z94" s="106">
        <f t="shared" si="25"/>
        <v>30200</v>
      </c>
      <c r="AA94" s="103">
        <f t="shared" si="26"/>
        <v>60400</v>
      </c>
      <c r="AB94" s="103">
        <f t="shared" si="27"/>
        <v>90600</v>
      </c>
      <c r="AD94" s="14">
        <v>88</v>
      </c>
      <c r="AE94" s="14">
        <f t="shared" si="28"/>
        <v>57</v>
      </c>
      <c r="AF94" s="14">
        <f t="shared" si="29"/>
        <v>47</v>
      </c>
      <c r="AH94" t="str">
        <f t="shared" si="30"/>
        <v>30200,60400,90600</v>
      </c>
      <c r="AI94" t="str">
        <f t="shared" si="31"/>
        <v>10,14,20</v>
      </c>
      <c r="AJ94" t="str">
        <f t="shared" si="32"/>
        <v>302,2814.64,4221.96</v>
      </c>
      <c r="AM94">
        <v>4.62</v>
      </c>
    </row>
    <row r="95" spans="1:39" x14ac:dyDescent="0.25">
      <c r="A95" s="14">
        <v>89</v>
      </c>
      <c r="B95" s="14">
        <v>307</v>
      </c>
      <c r="C95" s="14">
        <v>0.99999999999999989</v>
      </c>
      <c r="D95" s="14">
        <f t="shared" si="19"/>
        <v>4.7</v>
      </c>
      <c r="E95" s="14">
        <f t="shared" si="20"/>
        <v>1442.9</v>
      </c>
      <c r="F95" s="102">
        <v>10</v>
      </c>
      <c r="G95" s="14">
        <f ca="1">_xlfn.IFNA(INDEX(玩家节奏1!$EC:$EC,MATCH(关卡对比!A95,玩家节奏1!$N:$N,1)),1)</f>
        <v>4.620000000000001</v>
      </c>
      <c r="H95" s="14">
        <f ca="1">_xlfn.IFNA(INDEX(玩家节奏2!$FG:$FG,MATCH(关卡对比!A95,玩家节奏2!$N:$N,1)),1)</f>
        <v>7.7246399999999991</v>
      </c>
      <c r="I95" s="14">
        <v>4.7</v>
      </c>
      <c r="J95" s="14">
        <f t="shared" si="33"/>
        <v>30700</v>
      </c>
      <c r="K95" s="14">
        <f t="shared" si="18"/>
        <v>30700</v>
      </c>
      <c r="N95" s="14">
        <v>89</v>
      </c>
      <c r="O95" s="14">
        <f t="shared" si="21"/>
        <v>2885.8</v>
      </c>
      <c r="P95" s="14">
        <v>14</v>
      </c>
      <c r="Q95" s="14">
        <f t="shared" si="22"/>
        <v>61400</v>
      </c>
      <c r="T95" s="14">
        <v>89</v>
      </c>
      <c r="U95" s="14">
        <f t="shared" si="23"/>
        <v>4328.7000000000007</v>
      </c>
      <c r="V95" s="14">
        <v>20</v>
      </c>
      <c r="W95" s="14">
        <f t="shared" si="24"/>
        <v>92100</v>
      </c>
      <c r="Y95" s="14">
        <v>89</v>
      </c>
      <c r="Z95" s="106">
        <f t="shared" si="25"/>
        <v>30700</v>
      </c>
      <c r="AA95" s="103">
        <f t="shared" si="26"/>
        <v>61400</v>
      </c>
      <c r="AB95" s="103">
        <f t="shared" si="27"/>
        <v>92100</v>
      </c>
      <c r="AD95" s="14">
        <v>89</v>
      </c>
      <c r="AE95" s="14">
        <f t="shared" si="28"/>
        <v>58</v>
      </c>
      <c r="AF95" s="14">
        <f t="shared" si="29"/>
        <v>48</v>
      </c>
      <c r="AH95" t="str">
        <f t="shared" si="30"/>
        <v>30700,61400,92100</v>
      </c>
      <c r="AI95" t="str">
        <f t="shared" si="31"/>
        <v>10,14,20</v>
      </c>
      <c r="AJ95" t="str">
        <f t="shared" si="32"/>
        <v>307,2885.8,4328.7</v>
      </c>
      <c r="AM95">
        <v>4.62</v>
      </c>
    </row>
    <row r="96" spans="1:39" x14ac:dyDescent="0.25">
      <c r="A96" s="14">
        <v>90</v>
      </c>
      <c r="B96" s="14">
        <v>312</v>
      </c>
      <c r="C96" s="14">
        <v>0.99999999999999989</v>
      </c>
      <c r="D96" s="14">
        <f t="shared" si="19"/>
        <v>4.75</v>
      </c>
      <c r="E96" s="14">
        <f t="shared" si="20"/>
        <v>1482</v>
      </c>
      <c r="F96" s="102">
        <v>10</v>
      </c>
      <c r="G96" s="14">
        <f ca="1">_xlfn.IFNA(INDEX(玩家节奏1!$EC:$EC,MATCH(关卡对比!A96,玩家节奏1!$N:$N,1)),1)</f>
        <v>4.620000000000001</v>
      </c>
      <c r="H96" s="14">
        <f ca="1">_xlfn.IFNA(INDEX(玩家节奏2!$FG:$FG,MATCH(关卡对比!A96,玩家节奏2!$N:$N,1)),1)</f>
        <v>7.7246399999999991</v>
      </c>
      <c r="I96" s="14">
        <v>4.75</v>
      </c>
      <c r="J96" s="14">
        <f t="shared" si="33"/>
        <v>31200</v>
      </c>
      <c r="K96" s="14">
        <f t="shared" si="18"/>
        <v>31200</v>
      </c>
      <c r="N96" s="14">
        <v>90</v>
      </c>
      <c r="O96" s="14">
        <f t="shared" si="21"/>
        <v>2964</v>
      </c>
      <c r="P96" s="14">
        <v>14</v>
      </c>
      <c r="Q96" s="14">
        <f t="shared" si="22"/>
        <v>62400</v>
      </c>
      <c r="T96" s="14">
        <v>90</v>
      </c>
      <c r="U96" s="14">
        <f t="shared" si="23"/>
        <v>4446</v>
      </c>
      <c r="V96" s="14">
        <v>20</v>
      </c>
      <c r="W96" s="14">
        <f t="shared" si="24"/>
        <v>93600</v>
      </c>
      <c r="Y96" s="14">
        <v>90</v>
      </c>
      <c r="Z96" s="106">
        <f t="shared" si="25"/>
        <v>31200</v>
      </c>
      <c r="AA96" s="103">
        <f t="shared" si="26"/>
        <v>62400</v>
      </c>
      <c r="AB96" s="103">
        <f t="shared" si="27"/>
        <v>93600</v>
      </c>
      <c r="AD96" s="14">
        <v>90</v>
      </c>
      <c r="AE96" s="14">
        <f t="shared" si="28"/>
        <v>58</v>
      </c>
      <c r="AF96" s="14">
        <f t="shared" si="29"/>
        <v>48</v>
      </c>
      <c r="AH96" t="str">
        <f t="shared" si="30"/>
        <v>31200,62400,93600</v>
      </c>
      <c r="AI96" t="str">
        <f t="shared" si="31"/>
        <v>10,14,20</v>
      </c>
      <c r="AJ96" t="str">
        <f t="shared" si="32"/>
        <v>312,2964,4446</v>
      </c>
      <c r="AM96">
        <v>4.62</v>
      </c>
    </row>
    <row r="97" spans="1:39" x14ac:dyDescent="0.25">
      <c r="A97" s="14">
        <v>91</v>
      </c>
      <c r="B97" s="14">
        <v>317</v>
      </c>
      <c r="C97" s="14">
        <v>0.99999999999999989</v>
      </c>
      <c r="D97" s="14">
        <f t="shared" si="19"/>
        <v>4.8</v>
      </c>
      <c r="E97" s="14">
        <f t="shared" si="20"/>
        <v>1521.6</v>
      </c>
      <c r="F97" s="102">
        <v>10</v>
      </c>
      <c r="G97" s="14">
        <f ca="1">_xlfn.IFNA(INDEX(玩家节奏1!$EC:$EC,MATCH(关卡对比!A97,玩家节奏1!$N:$N,1)),1)</f>
        <v>4.620000000000001</v>
      </c>
      <c r="H97" s="14">
        <f ca="1">_xlfn.IFNA(INDEX(玩家节奏2!$FG:$FG,MATCH(关卡对比!A97,玩家节奏2!$N:$N,1)),1)</f>
        <v>7.7246399999999991</v>
      </c>
      <c r="I97" s="14">
        <v>4.8</v>
      </c>
      <c r="J97" s="14">
        <f t="shared" si="33"/>
        <v>31700</v>
      </c>
      <c r="K97" s="14">
        <f t="shared" si="18"/>
        <v>31700</v>
      </c>
      <c r="N97" s="14">
        <v>91</v>
      </c>
      <c r="O97" s="14">
        <f t="shared" si="21"/>
        <v>3043.2</v>
      </c>
      <c r="P97" s="14">
        <v>14</v>
      </c>
      <c r="Q97" s="14">
        <f t="shared" si="22"/>
        <v>63400</v>
      </c>
      <c r="T97" s="14">
        <v>91</v>
      </c>
      <c r="U97" s="14">
        <f t="shared" si="23"/>
        <v>4564.7999999999993</v>
      </c>
      <c r="V97" s="14">
        <v>20</v>
      </c>
      <c r="W97" s="14">
        <f t="shared" si="24"/>
        <v>95100</v>
      </c>
      <c r="Y97" s="14">
        <v>91</v>
      </c>
      <c r="Z97" s="107">
        <f t="shared" si="25"/>
        <v>31700</v>
      </c>
      <c r="AA97" s="103">
        <f t="shared" si="26"/>
        <v>63400</v>
      </c>
      <c r="AB97" s="103">
        <f t="shared" si="27"/>
        <v>95100</v>
      </c>
      <c r="AD97" s="14">
        <v>91</v>
      </c>
      <c r="AE97" s="14">
        <f t="shared" si="28"/>
        <v>59</v>
      </c>
      <c r="AF97" s="14">
        <f t="shared" si="29"/>
        <v>48</v>
      </c>
      <c r="AH97" t="str">
        <f t="shared" si="30"/>
        <v>31700,63400,95100</v>
      </c>
      <c r="AI97" t="str">
        <f t="shared" si="31"/>
        <v>10,14,20</v>
      </c>
      <c r="AJ97" t="str">
        <f t="shared" si="32"/>
        <v>317,3043.2,4564.8</v>
      </c>
      <c r="AM97">
        <v>4.63</v>
      </c>
    </row>
    <row r="98" spans="1:39" x14ac:dyDescent="0.25">
      <c r="A98" s="14">
        <v>92</v>
      </c>
      <c r="B98" s="14">
        <v>322</v>
      </c>
      <c r="C98" s="14">
        <v>0.99999999999999989</v>
      </c>
      <c r="D98" s="14">
        <f t="shared" si="19"/>
        <v>4.84</v>
      </c>
      <c r="E98" s="14">
        <f t="shared" si="20"/>
        <v>1558.48</v>
      </c>
      <c r="F98" s="102">
        <v>10</v>
      </c>
      <c r="G98" s="14">
        <f ca="1">_xlfn.IFNA(INDEX(玩家节奏1!$EC:$EC,MATCH(关卡对比!A98,玩家节奏1!$N:$N,1)),1)</f>
        <v>4.8400000000000007</v>
      </c>
      <c r="H98" s="14">
        <f ca="1">_xlfn.IFNA(INDEX(玩家节奏2!$FG:$FG,MATCH(关卡对比!A98,玩家节奏2!$N:$N,1)),1)</f>
        <v>7.7246399999999991</v>
      </c>
      <c r="I98" s="14">
        <v>4.84</v>
      </c>
      <c r="J98" s="14">
        <f t="shared" si="33"/>
        <v>32200</v>
      </c>
      <c r="K98" s="14">
        <f t="shared" si="18"/>
        <v>32200</v>
      </c>
      <c r="N98" s="14">
        <v>92</v>
      </c>
      <c r="O98" s="14">
        <f t="shared" si="21"/>
        <v>3116.96</v>
      </c>
      <c r="P98" s="14">
        <v>14</v>
      </c>
      <c r="Q98" s="14">
        <f t="shared" si="22"/>
        <v>64400</v>
      </c>
      <c r="T98" s="14">
        <v>92</v>
      </c>
      <c r="U98" s="14">
        <f t="shared" si="23"/>
        <v>4675.4400000000005</v>
      </c>
      <c r="V98" s="14">
        <v>20</v>
      </c>
      <c r="W98" s="14">
        <f t="shared" si="24"/>
        <v>96600</v>
      </c>
      <c r="Y98" s="14">
        <v>92</v>
      </c>
      <c r="Z98" s="107">
        <f t="shared" si="25"/>
        <v>32200</v>
      </c>
      <c r="AA98" s="103">
        <f t="shared" si="26"/>
        <v>64400</v>
      </c>
      <c r="AB98" s="103">
        <f t="shared" si="27"/>
        <v>96600</v>
      </c>
      <c r="AD98" s="14">
        <v>92</v>
      </c>
      <c r="AE98" s="14">
        <f t="shared" si="28"/>
        <v>59</v>
      </c>
      <c r="AF98" s="14">
        <f t="shared" si="29"/>
        <v>49</v>
      </c>
      <c r="AH98" t="str">
        <f t="shared" si="30"/>
        <v>32200,64400,96600</v>
      </c>
      <c r="AI98" t="str">
        <f t="shared" si="31"/>
        <v>10,14,20</v>
      </c>
      <c r="AJ98" t="str">
        <f t="shared" si="32"/>
        <v>322,3116.96,4675.44</v>
      </c>
      <c r="AM98">
        <v>4.84</v>
      </c>
    </row>
    <row r="99" spans="1:39" x14ac:dyDescent="0.25">
      <c r="A99" s="14">
        <v>93</v>
      </c>
      <c r="B99" s="14">
        <v>327</v>
      </c>
      <c r="C99" s="14">
        <v>0.99999999999999989</v>
      </c>
      <c r="D99" s="14">
        <f t="shared" si="19"/>
        <v>4.88</v>
      </c>
      <c r="E99" s="14">
        <f t="shared" si="20"/>
        <v>1595.76</v>
      </c>
      <c r="F99" s="102">
        <v>10</v>
      </c>
      <c r="G99" s="14">
        <f ca="1">_xlfn.IFNA(INDEX(玩家节奏1!$EC:$EC,MATCH(关卡对比!A99,玩家节奏1!$N:$N,1)),1)</f>
        <v>4.8400000000000007</v>
      </c>
      <c r="H99" s="14">
        <f ca="1">_xlfn.IFNA(INDEX(玩家节奏2!$FG:$FG,MATCH(关卡对比!A99,玩家节奏2!$N:$N,1)),1)</f>
        <v>7.7246399999999991</v>
      </c>
      <c r="I99" s="14">
        <v>4.88</v>
      </c>
      <c r="J99" s="14">
        <f t="shared" si="33"/>
        <v>32700</v>
      </c>
      <c r="K99" s="14">
        <f t="shared" si="18"/>
        <v>32700</v>
      </c>
      <c r="N99" s="14">
        <v>93</v>
      </c>
      <c r="O99" s="14">
        <f t="shared" si="21"/>
        <v>3191.52</v>
      </c>
      <c r="P99" s="14">
        <v>14</v>
      </c>
      <c r="Q99" s="14">
        <f t="shared" si="22"/>
        <v>65400</v>
      </c>
      <c r="T99" s="14">
        <v>93</v>
      </c>
      <c r="U99" s="14">
        <f t="shared" si="23"/>
        <v>4787.28</v>
      </c>
      <c r="V99" s="14">
        <v>20</v>
      </c>
      <c r="W99" s="14">
        <f t="shared" si="24"/>
        <v>98100</v>
      </c>
      <c r="Y99" s="14">
        <v>93</v>
      </c>
      <c r="Z99" s="107">
        <f t="shared" si="25"/>
        <v>32700</v>
      </c>
      <c r="AA99" s="103">
        <f t="shared" si="26"/>
        <v>65400</v>
      </c>
      <c r="AB99" s="103">
        <f t="shared" si="27"/>
        <v>98100</v>
      </c>
      <c r="AD99" s="14">
        <v>93</v>
      </c>
      <c r="AE99" s="14">
        <f t="shared" si="28"/>
        <v>60</v>
      </c>
      <c r="AF99" s="14">
        <f t="shared" si="29"/>
        <v>49</v>
      </c>
      <c r="AH99" t="str">
        <f t="shared" si="30"/>
        <v>32700,65400,98100</v>
      </c>
      <c r="AI99" t="str">
        <f t="shared" si="31"/>
        <v>10,14,20</v>
      </c>
      <c r="AJ99" t="str">
        <f t="shared" si="32"/>
        <v>327,3191.52,4787.28</v>
      </c>
      <c r="AM99">
        <v>4.84</v>
      </c>
    </row>
    <row r="100" spans="1:39" x14ac:dyDescent="0.25">
      <c r="A100" s="14">
        <v>94</v>
      </c>
      <c r="B100" s="14">
        <v>332</v>
      </c>
      <c r="C100" s="14">
        <v>0.99999999999999989</v>
      </c>
      <c r="D100" s="14">
        <f t="shared" si="19"/>
        <v>4.92</v>
      </c>
      <c r="E100" s="14">
        <f t="shared" si="20"/>
        <v>1633.44</v>
      </c>
      <c r="F100" s="102">
        <v>10</v>
      </c>
      <c r="G100" s="14">
        <f ca="1">_xlfn.IFNA(INDEX(玩家节奏1!$EC:$EC,MATCH(关卡对比!A100,玩家节奏1!$N:$N,1)),1)</f>
        <v>4.8400000000000007</v>
      </c>
      <c r="H100" s="14">
        <f ca="1">_xlfn.IFNA(INDEX(玩家节奏2!$FG:$FG,MATCH(关卡对比!A100,玩家节奏2!$N:$N,1)),1)</f>
        <v>7.7246399999999991</v>
      </c>
      <c r="I100" s="14">
        <v>4.92</v>
      </c>
      <c r="J100" s="14">
        <f t="shared" si="33"/>
        <v>33200</v>
      </c>
      <c r="K100" s="14">
        <f t="shared" si="18"/>
        <v>33200</v>
      </c>
      <c r="N100" s="14">
        <v>94</v>
      </c>
      <c r="O100" s="14">
        <f t="shared" si="21"/>
        <v>3266.88</v>
      </c>
      <c r="P100" s="14">
        <v>14</v>
      </c>
      <c r="Q100" s="14">
        <f t="shared" si="22"/>
        <v>66400</v>
      </c>
      <c r="T100" s="14">
        <v>94</v>
      </c>
      <c r="U100" s="14">
        <f t="shared" si="23"/>
        <v>4900.32</v>
      </c>
      <c r="V100" s="14">
        <v>20</v>
      </c>
      <c r="W100" s="14">
        <f t="shared" si="24"/>
        <v>99600</v>
      </c>
      <c r="Y100" s="14">
        <v>94</v>
      </c>
      <c r="Z100" s="107">
        <f t="shared" si="25"/>
        <v>33200</v>
      </c>
      <c r="AA100" s="103">
        <f t="shared" si="26"/>
        <v>66400</v>
      </c>
      <c r="AB100" s="103">
        <f t="shared" si="27"/>
        <v>99600</v>
      </c>
      <c r="AD100" s="14">
        <v>94</v>
      </c>
      <c r="AE100" s="14">
        <f t="shared" si="28"/>
        <v>60</v>
      </c>
      <c r="AF100" s="14">
        <f t="shared" si="29"/>
        <v>49</v>
      </c>
      <c r="AH100" t="str">
        <f t="shared" si="30"/>
        <v>33200,66400,99600</v>
      </c>
      <c r="AI100" t="str">
        <f t="shared" si="31"/>
        <v>10,14,20</v>
      </c>
      <c r="AJ100" t="str">
        <f t="shared" si="32"/>
        <v>332,3266.88,4900.32</v>
      </c>
      <c r="AM100">
        <v>4.84</v>
      </c>
    </row>
    <row r="101" spans="1:39" x14ac:dyDescent="0.25">
      <c r="A101" s="14">
        <v>95</v>
      </c>
      <c r="B101" s="14">
        <v>337</v>
      </c>
      <c r="C101" s="14">
        <v>0.99999999999999989</v>
      </c>
      <c r="D101" s="14">
        <f t="shared" si="19"/>
        <v>4.95</v>
      </c>
      <c r="E101" s="14">
        <f t="shared" si="20"/>
        <v>1668.15</v>
      </c>
      <c r="F101" s="102">
        <v>10</v>
      </c>
      <c r="G101" s="14">
        <f ca="1">_xlfn.IFNA(INDEX(玩家节奏1!$EC:$EC,MATCH(关卡对比!A101,玩家节奏1!$N:$N,1)),1)</f>
        <v>4.8400000000000007</v>
      </c>
      <c r="H101" s="14">
        <f ca="1">_xlfn.IFNA(INDEX(玩家节奏2!$FG:$FG,MATCH(关卡对比!A101,玩家节奏2!$N:$N,1)),1)</f>
        <v>7.7246399999999991</v>
      </c>
      <c r="I101" s="14">
        <v>4.95</v>
      </c>
      <c r="J101" s="14">
        <f t="shared" si="33"/>
        <v>33700</v>
      </c>
      <c r="K101" s="14">
        <f t="shared" si="18"/>
        <v>33700</v>
      </c>
      <c r="N101" s="14">
        <v>95</v>
      </c>
      <c r="O101" s="14">
        <f t="shared" si="21"/>
        <v>3336.3</v>
      </c>
      <c r="P101" s="14">
        <v>14</v>
      </c>
      <c r="Q101" s="14">
        <f t="shared" si="22"/>
        <v>67400</v>
      </c>
      <c r="T101" s="14">
        <v>95</v>
      </c>
      <c r="U101" s="14">
        <f t="shared" si="23"/>
        <v>5004.4500000000007</v>
      </c>
      <c r="V101" s="14">
        <v>20</v>
      </c>
      <c r="W101" s="14">
        <f t="shared" si="24"/>
        <v>101100</v>
      </c>
      <c r="Y101" s="14">
        <v>95</v>
      </c>
      <c r="Z101" s="107">
        <f t="shared" si="25"/>
        <v>33700</v>
      </c>
      <c r="AA101" s="103">
        <f t="shared" si="26"/>
        <v>67400</v>
      </c>
      <c r="AB101" s="103">
        <f t="shared" si="27"/>
        <v>101100</v>
      </c>
      <c r="AD101" s="14">
        <v>95</v>
      </c>
      <c r="AE101" s="14">
        <f t="shared" si="28"/>
        <v>61</v>
      </c>
      <c r="AF101" s="14">
        <f t="shared" si="29"/>
        <v>50</v>
      </c>
      <c r="AH101" t="str">
        <f t="shared" si="30"/>
        <v>33700,67400,101100</v>
      </c>
      <c r="AI101" t="str">
        <f t="shared" si="31"/>
        <v>10,14,20</v>
      </c>
      <c r="AJ101" t="str">
        <f t="shared" si="32"/>
        <v>337,3336.3,5004.45</v>
      </c>
      <c r="AM101">
        <v>4.84</v>
      </c>
    </row>
    <row r="102" spans="1:39" x14ac:dyDescent="0.25">
      <c r="A102" s="14">
        <v>96</v>
      </c>
      <c r="B102" s="14">
        <v>342</v>
      </c>
      <c r="C102" s="14">
        <v>0.99999999999999989</v>
      </c>
      <c r="D102" s="14">
        <f t="shared" si="19"/>
        <v>4.99</v>
      </c>
      <c r="E102" s="14">
        <f t="shared" si="20"/>
        <v>1706.58</v>
      </c>
      <c r="F102" s="102">
        <v>10</v>
      </c>
      <c r="G102" s="14">
        <f ca="1">_xlfn.IFNA(INDEX(玩家节奏1!$EC:$EC,MATCH(关卡对比!A102,玩家节奏1!$N:$N,1)),1)</f>
        <v>4.8400000000000007</v>
      </c>
      <c r="H102" s="14">
        <f ca="1">_xlfn.IFNA(INDEX(玩家节奏2!$FG:$FG,MATCH(关卡对比!A102,玩家节奏2!$N:$N,1)),1)</f>
        <v>8.1311999999999998</v>
      </c>
      <c r="I102" s="14">
        <v>4.99</v>
      </c>
      <c r="J102" s="14">
        <f t="shared" si="33"/>
        <v>34200</v>
      </c>
      <c r="K102" s="14">
        <f t="shared" si="18"/>
        <v>34200</v>
      </c>
      <c r="N102" s="14">
        <v>96</v>
      </c>
      <c r="O102" s="14">
        <f t="shared" si="21"/>
        <v>3413.16</v>
      </c>
      <c r="P102" s="14">
        <v>14</v>
      </c>
      <c r="Q102" s="14">
        <f t="shared" si="22"/>
        <v>68400</v>
      </c>
      <c r="T102" s="14">
        <v>96</v>
      </c>
      <c r="U102" s="14">
        <f t="shared" si="23"/>
        <v>5119.74</v>
      </c>
      <c r="V102" s="14">
        <v>20</v>
      </c>
      <c r="W102" s="14">
        <f t="shared" si="24"/>
        <v>102600</v>
      </c>
      <c r="Y102" s="14">
        <v>96</v>
      </c>
      <c r="Z102" s="108">
        <f t="shared" si="25"/>
        <v>34200</v>
      </c>
      <c r="AA102" s="103">
        <f t="shared" si="26"/>
        <v>68400</v>
      </c>
      <c r="AB102" s="103">
        <f t="shared" si="27"/>
        <v>102600</v>
      </c>
      <c r="AD102" s="14">
        <v>96</v>
      </c>
      <c r="AE102" s="14">
        <f t="shared" si="28"/>
        <v>61</v>
      </c>
      <c r="AF102" s="14">
        <f t="shared" si="29"/>
        <v>50</v>
      </c>
      <c r="AH102" t="str">
        <f t="shared" si="30"/>
        <v>34200,68400,102600</v>
      </c>
      <c r="AI102" t="str">
        <f t="shared" si="31"/>
        <v>10,14,20</v>
      </c>
      <c r="AJ102" t="str">
        <f t="shared" si="32"/>
        <v>342,3413.16,5119.74</v>
      </c>
      <c r="AM102">
        <v>4.84</v>
      </c>
    </row>
    <row r="103" spans="1:39" x14ac:dyDescent="0.25">
      <c r="A103" s="14">
        <v>97</v>
      </c>
      <c r="B103" s="14">
        <v>347</v>
      </c>
      <c r="C103" s="14">
        <v>0.99999999999999989</v>
      </c>
      <c r="D103" s="14">
        <f t="shared" si="19"/>
        <v>5.0199999999999996</v>
      </c>
      <c r="E103" s="14">
        <f t="shared" si="20"/>
        <v>1741.94</v>
      </c>
      <c r="F103" s="102">
        <v>10</v>
      </c>
      <c r="G103" s="14">
        <f ca="1">_xlfn.IFNA(INDEX(玩家节奏1!$EC:$EC,MATCH(关卡对比!A103,玩家节奏1!$N:$N,1)),1)</f>
        <v>4.8400000000000007</v>
      </c>
      <c r="H103" s="14">
        <f ca="1">_xlfn.IFNA(INDEX(玩家节奏2!$FG:$FG,MATCH(关卡对比!A103,玩家节奏2!$N:$N,1)),1)</f>
        <v>8.1311999999999998</v>
      </c>
      <c r="I103" s="14">
        <v>5.0199999999999996</v>
      </c>
      <c r="J103" s="14">
        <f t="shared" si="33"/>
        <v>34700</v>
      </c>
      <c r="K103" s="14">
        <f t="shared" si="18"/>
        <v>34700</v>
      </c>
      <c r="N103" s="14">
        <v>97</v>
      </c>
      <c r="O103" s="14">
        <f t="shared" si="21"/>
        <v>3483.88</v>
      </c>
      <c r="P103" s="14">
        <v>14</v>
      </c>
      <c r="Q103" s="14">
        <f t="shared" si="22"/>
        <v>69400</v>
      </c>
      <c r="T103" s="14">
        <v>97</v>
      </c>
      <c r="U103" s="14">
        <f t="shared" si="23"/>
        <v>5225.82</v>
      </c>
      <c r="V103" s="14">
        <v>20</v>
      </c>
      <c r="W103" s="14">
        <f t="shared" si="24"/>
        <v>104100</v>
      </c>
      <c r="Y103" s="14">
        <v>97</v>
      </c>
      <c r="Z103" s="108">
        <f t="shared" si="25"/>
        <v>34700</v>
      </c>
      <c r="AA103" s="103">
        <f t="shared" si="26"/>
        <v>69400</v>
      </c>
      <c r="AB103" s="103">
        <f t="shared" si="27"/>
        <v>104100</v>
      </c>
      <c r="AD103" s="14">
        <v>97</v>
      </c>
      <c r="AE103" s="14">
        <f t="shared" si="28"/>
        <v>62</v>
      </c>
      <c r="AF103" s="14">
        <f t="shared" si="29"/>
        <v>50</v>
      </c>
      <c r="AH103" t="str">
        <f t="shared" si="30"/>
        <v>34700,69400,104100</v>
      </c>
      <c r="AI103" t="str">
        <f t="shared" si="31"/>
        <v>10,14,20</v>
      </c>
      <c r="AJ103" t="str">
        <f t="shared" si="32"/>
        <v>347,3483.88,5225.82</v>
      </c>
      <c r="AM103">
        <v>4.8499999999999996</v>
      </c>
    </row>
    <row r="104" spans="1:39" x14ac:dyDescent="0.25">
      <c r="A104" s="14">
        <v>98</v>
      </c>
      <c r="B104" s="14">
        <v>352</v>
      </c>
      <c r="C104" s="14">
        <v>0.99999999999999989</v>
      </c>
      <c r="D104" s="14">
        <f t="shared" si="19"/>
        <v>5.0599999999999996</v>
      </c>
      <c r="E104" s="14">
        <f t="shared" si="20"/>
        <v>1781.12</v>
      </c>
      <c r="F104" s="102">
        <v>10</v>
      </c>
      <c r="G104" s="14">
        <f ca="1">_xlfn.IFNA(INDEX(玩家节奏1!$EC:$EC,MATCH(关卡对比!A104,玩家节奏1!$N:$N,1)),1)</f>
        <v>5.0599999999999996</v>
      </c>
      <c r="H104" s="14">
        <f ca="1">_xlfn.IFNA(INDEX(玩家节奏2!$FG:$FG,MATCH(关卡对比!A104,玩家节奏2!$N:$N,1)),1)</f>
        <v>8.1311999999999998</v>
      </c>
      <c r="I104" s="14">
        <v>5.0599999999999996</v>
      </c>
      <c r="J104" s="14">
        <f t="shared" si="33"/>
        <v>35200</v>
      </c>
      <c r="K104" s="14">
        <f t="shared" si="18"/>
        <v>35200</v>
      </c>
      <c r="N104" s="14">
        <v>98</v>
      </c>
      <c r="O104" s="14">
        <f t="shared" si="21"/>
        <v>3562.24</v>
      </c>
      <c r="P104" s="14">
        <v>14</v>
      </c>
      <c r="Q104" s="14">
        <f t="shared" si="22"/>
        <v>70400</v>
      </c>
      <c r="T104" s="14">
        <v>98</v>
      </c>
      <c r="U104" s="14">
        <f t="shared" si="23"/>
        <v>5343.36</v>
      </c>
      <c r="V104" s="14">
        <v>20</v>
      </c>
      <c r="W104" s="14">
        <f t="shared" si="24"/>
        <v>105600</v>
      </c>
      <c r="Y104" s="14">
        <v>98</v>
      </c>
      <c r="Z104" s="108">
        <f t="shared" si="25"/>
        <v>35200</v>
      </c>
      <c r="AA104" s="103">
        <f t="shared" si="26"/>
        <v>70400</v>
      </c>
      <c r="AB104" s="103">
        <f t="shared" si="27"/>
        <v>105600</v>
      </c>
      <c r="AD104" s="14">
        <v>98</v>
      </c>
      <c r="AE104" s="14">
        <f t="shared" si="28"/>
        <v>62</v>
      </c>
      <c r="AF104" s="14">
        <f t="shared" si="29"/>
        <v>51</v>
      </c>
      <c r="AH104" t="str">
        <f t="shared" si="30"/>
        <v>35200,70400,105600</v>
      </c>
      <c r="AI104" t="str">
        <f t="shared" si="31"/>
        <v>10,14,20</v>
      </c>
      <c r="AJ104" t="str">
        <f t="shared" si="32"/>
        <v>352,3562.24,5343.36</v>
      </c>
      <c r="AM104">
        <v>5.0599999999999996</v>
      </c>
    </row>
    <row r="105" spans="1:39" x14ac:dyDescent="0.25">
      <c r="A105" s="14">
        <v>99</v>
      </c>
      <c r="B105" s="14">
        <v>357</v>
      </c>
      <c r="C105" s="14">
        <v>0.99999999999999989</v>
      </c>
      <c r="D105" s="14">
        <f t="shared" si="19"/>
        <v>5.0999999999999996</v>
      </c>
      <c r="E105" s="14">
        <f t="shared" si="20"/>
        <v>1820.7</v>
      </c>
      <c r="F105" s="102">
        <v>10</v>
      </c>
      <c r="G105" s="14">
        <f ca="1">_xlfn.IFNA(INDEX(玩家节奏1!$EC:$EC,MATCH(关卡对比!A105,玩家节奏1!$N:$N,1)),1)</f>
        <v>5.0599999999999996</v>
      </c>
      <c r="H105" s="14">
        <f ca="1">_xlfn.IFNA(INDEX(玩家节奏2!$FG:$FG,MATCH(关卡对比!A105,玩家节奏2!$N:$N,1)),1)</f>
        <v>8.1311999999999998</v>
      </c>
      <c r="I105" s="14">
        <v>5.0999999999999996</v>
      </c>
      <c r="J105" s="14">
        <f t="shared" si="33"/>
        <v>35700</v>
      </c>
      <c r="K105" s="14">
        <f t="shared" si="18"/>
        <v>35700</v>
      </c>
      <c r="N105" s="14">
        <v>99</v>
      </c>
      <c r="O105" s="14">
        <f t="shared" si="21"/>
        <v>3641.4</v>
      </c>
      <c r="P105" s="14">
        <v>14</v>
      </c>
      <c r="Q105" s="14">
        <f t="shared" si="22"/>
        <v>71400</v>
      </c>
      <c r="T105" s="14">
        <v>99</v>
      </c>
      <c r="U105" s="14">
        <f t="shared" si="23"/>
        <v>5462.1</v>
      </c>
      <c r="V105" s="14">
        <v>20</v>
      </c>
      <c r="W105" s="14">
        <f t="shared" si="24"/>
        <v>107100</v>
      </c>
      <c r="Y105" s="14">
        <v>99</v>
      </c>
      <c r="Z105" s="108">
        <f t="shared" si="25"/>
        <v>35700</v>
      </c>
      <c r="AA105" s="103">
        <f t="shared" si="26"/>
        <v>71400</v>
      </c>
      <c r="AB105" s="103">
        <f t="shared" si="27"/>
        <v>107100</v>
      </c>
      <c r="AD105" s="14">
        <v>99</v>
      </c>
      <c r="AE105" s="14">
        <f t="shared" si="28"/>
        <v>63</v>
      </c>
      <c r="AF105" s="14">
        <f t="shared" si="29"/>
        <v>51</v>
      </c>
      <c r="AH105" t="str">
        <f t="shared" si="30"/>
        <v>35700,71400,107100</v>
      </c>
      <c r="AI105" t="str">
        <f t="shared" si="31"/>
        <v>10,14,20</v>
      </c>
      <c r="AJ105" t="str">
        <f t="shared" si="32"/>
        <v>357,3641.4,5462.1</v>
      </c>
      <c r="AM105">
        <v>5.0599999999999996</v>
      </c>
    </row>
    <row r="106" spans="1:39" x14ac:dyDescent="0.25">
      <c r="A106" s="14">
        <v>100</v>
      </c>
      <c r="B106" s="14">
        <v>362</v>
      </c>
      <c r="C106" s="14">
        <v>0.99999999999999989</v>
      </c>
      <c r="D106" s="14">
        <f t="shared" si="19"/>
        <v>5.13</v>
      </c>
      <c r="E106" s="14">
        <f t="shared" si="20"/>
        <v>1857.06</v>
      </c>
      <c r="F106" s="102">
        <v>10</v>
      </c>
      <c r="G106" s="14">
        <f ca="1">_xlfn.IFNA(INDEX(玩家节奏1!$EC:$EC,MATCH(关卡对比!A106,玩家节奏1!$N:$N,1)),1)</f>
        <v>5.0599999999999996</v>
      </c>
      <c r="H106" s="14">
        <f ca="1">_xlfn.IFNA(INDEX(玩家节奏2!$FG:$FG,MATCH(关卡对比!A106,玩家节奏2!$N:$N,1)),1)</f>
        <v>8.8223520000000022</v>
      </c>
      <c r="I106" s="14">
        <v>5.13</v>
      </c>
      <c r="J106" s="14">
        <f t="shared" si="33"/>
        <v>36200</v>
      </c>
      <c r="K106" s="14">
        <f t="shared" si="18"/>
        <v>36200</v>
      </c>
      <c r="N106" s="14">
        <v>100</v>
      </c>
      <c r="O106" s="14">
        <f t="shared" si="21"/>
        <v>3714.12</v>
      </c>
      <c r="P106" s="14">
        <v>14</v>
      </c>
      <c r="Q106" s="14">
        <f t="shared" si="22"/>
        <v>72400</v>
      </c>
      <c r="T106" s="14">
        <v>100</v>
      </c>
      <c r="U106" s="14">
        <f t="shared" si="23"/>
        <v>5571.18</v>
      </c>
      <c r="V106" s="14">
        <v>20</v>
      </c>
      <c r="W106" s="14">
        <f t="shared" si="24"/>
        <v>108600</v>
      </c>
      <c r="Y106" s="14">
        <v>100</v>
      </c>
      <c r="Z106" s="108">
        <f t="shared" si="25"/>
        <v>36200</v>
      </c>
      <c r="AA106" s="103">
        <f t="shared" si="26"/>
        <v>72400</v>
      </c>
      <c r="AB106" s="103">
        <f t="shared" si="27"/>
        <v>108600</v>
      </c>
      <c r="AD106" s="14">
        <v>100</v>
      </c>
      <c r="AE106" s="14">
        <f t="shared" si="28"/>
        <v>63</v>
      </c>
      <c r="AF106" s="14">
        <f t="shared" si="29"/>
        <v>51</v>
      </c>
      <c r="AH106" t="str">
        <f t="shared" si="30"/>
        <v>36200,72400,108600</v>
      </c>
      <c r="AI106" t="str">
        <f t="shared" si="31"/>
        <v>10,14,20</v>
      </c>
      <c r="AJ106" t="str">
        <f t="shared" si="32"/>
        <v>362,3714.12,5571.18</v>
      </c>
      <c r="AM106">
        <v>5.0599999999999996</v>
      </c>
    </row>
    <row r="107" spans="1:39" x14ac:dyDescent="0.25">
      <c r="A107" s="14">
        <v>101</v>
      </c>
      <c r="B107" s="14">
        <v>367</v>
      </c>
      <c r="C107" s="14">
        <v>0.99999999999999989</v>
      </c>
      <c r="D107" s="14">
        <f t="shared" si="19"/>
        <v>5.17</v>
      </c>
      <c r="E107" s="14">
        <f t="shared" si="20"/>
        <v>1897.39</v>
      </c>
      <c r="F107" s="102">
        <v>10</v>
      </c>
      <c r="G107" s="14">
        <f ca="1">_xlfn.IFNA(INDEX(玩家节奏1!$EC:$EC,MATCH(关卡对比!A107,玩家节奏1!$N:$N,1)),1)</f>
        <v>5.0599999999999996</v>
      </c>
      <c r="H107" s="14">
        <f ca="1">_xlfn.IFNA(INDEX(玩家节奏2!$FG:$FG,MATCH(关卡对比!A107,玩家节奏2!$N:$N,1)),1)</f>
        <v>8.8223520000000022</v>
      </c>
      <c r="I107" s="14">
        <v>5.17</v>
      </c>
      <c r="J107" s="14">
        <f>K107</f>
        <v>36700</v>
      </c>
      <c r="K107" s="14">
        <f t="shared" si="18"/>
        <v>36700</v>
      </c>
      <c r="N107" s="14">
        <v>101</v>
      </c>
      <c r="O107" s="14">
        <f t="shared" si="21"/>
        <v>3794.78</v>
      </c>
      <c r="P107" s="14">
        <v>14</v>
      </c>
      <c r="Q107" s="14">
        <f t="shared" ref="Q107:Q146" si="34">J107*$B$2</f>
        <v>73400</v>
      </c>
      <c r="T107" s="14">
        <v>101</v>
      </c>
      <c r="U107" s="14">
        <f t="shared" si="23"/>
        <v>5692.17</v>
      </c>
      <c r="V107" s="14">
        <v>20</v>
      </c>
      <c r="W107" s="14">
        <f t="shared" ref="W107:W146" si="35">J107*$B$3</f>
        <v>110100</v>
      </c>
      <c r="Y107" s="14">
        <v>101</v>
      </c>
      <c r="Z107" s="108">
        <f>J107</f>
        <v>36700</v>
      </c>
      <c r="AA107" s="103">
        <f t="shared" ref="AA107:AA146" si="36">Q107</f>
        <v>73400</v>
      </c>
      <c r="AB107" s="103">
        <f t="shared" ref="AB107:AB146" si="37">W107</f>
        <v>110100</v>
      </c>
      <c r="AD107" s="14">
        <v>101</v>
      </c>
      <c r="AE107" s="14">
        <f>_xlfn.IFNA(INDEX($Y:$Y,MATCH($Z107,AA:AA,1)),0)</f>
        <v>64</v>
      </c>
      <c r="AF107" s="14">
        <f t="shared" ref="AF107:AF146" si="38">_xlfn.IFNA(INDEX($Y:$Y,MATCH($Z107,AB:AB,1)),0)</f>
        <v>52</v>
      </c>
      <c r="AM107">
        <v>5.0599999999999996</v>
      </c>
    </row>
    <row r="108" spans="1:39" x14ac:dyDescent="0.25">
      <c r="A108" s="14">
        <v>102</v>
      </c>
      <c r="B108" s="14">
        <v>372</v>
      </c>
      <c r="C108" s="14">
        <v>0.99999999999999989</v>
      </c>
      <c r="D108" s="14">
        <f t="shared" si="19"/>
        <v>5.21</v>
      </c>
      <c r="E108" s="14">
        <f t="shared" si="20"/>
        <v>1938.12</v>
      </c>
      <c r="F108" s="102">
        <v>10</v>
      </c>
      <c r="G108" s="14">
        <f ca="1">_xlfn.IFNA(INDEX(玩家节奏1!$EC:$EC,MATCH(关卡对比!A108,玩家节奏1!$N:$N,1)),1)</f>
        <v>5.0599999999999996</v>
      </c>
      <c r="H108" s="14">
        <f ca="1">_xlfn.IFNA(INDEX(玩家节奏2!$FG:$FG,MATCH(关卡对比!A108,玩家节奏2!$N:$N,1)),1)</f>
        <v>8.8223520000000022</v>
      </c>
      <c r="I108" s="14">
        <v>5.21</v>
      </c>
      <c r="J108" s="14">
        <f t="shared" ref="J108:J146" si="39">K108</f>
        <v>37200</v>
      </c>
      <c r="K108" s="14">
        <f t="shared" si="18"/>
        <v>37200</v>
      </c>
      <c r="N108" s="14">
        <v>102</v>
      </c>
      <c r="O108" s="14">
        <f t="shared" si="21"/>
        <v>3876.24</v>
      </c>
      <c r="P108" s="14">
        <v>14</v>
      </c>
      <c r="Q108" s="14">
        <f t="shared" si="34"/>
        <v>74400</v>
      </c>
      <c r="T108" s="14">
        <v>102</v>
      </c>
      <c r="U108" s="14">
        <f t="shared" si="23"/>
        <v>5814.36</v>
      </c>
      <c r="V108" s="14">
        <v>20</v>
      </c>
      <c r="W108" s="14">
        <f t="shared" si="35"/>
        <v>111600</v>
      </c>
      <c r="Y108" s="14">
        <v>102</v>
      </c>
      <c r="Z108" s="108">
        <f t="shared" ref="Z108:Z146" si="40">J108</f>
        <v>37200</v>
      </c>
      <c r="AA108" s="103">
        <f t="shared" si="36"/>
        <v>74400</v>
      </c>
      <c r="AB108" s="103">
        <f t="shared" si="37"/>
        <v>111600</v>
      </c>
      <c r="AD108" s="14">
        <v>102</v>
      </c>
      <c r="AE108" s="14">
        <f t="shared" ref="AE108:AE146" si="41">_xlfn.IFNA(INDEX($Y:$Y,MATCH($Z108,AA:AA,1)),0)</f>
        <v>64</v>
      </c>
      <c r="AF108" s="14">
        <f t="shared" si="38"/>
        <v>52</v>
      </c>
      <c r="AM108">
        <v>5.0599999999999996</v>
      </c>
    </row>
    <row r="109" spans="1:39" x14ac:dyDescent="0.25">
      <c r="A109" s="14">
        <v>103</v>
      </c>
      <c r="B109" s="14">
        <v>377</v>
      </c>
      <c r="C109" s="14">
        <v>0.99999999999999989</v>
      </c>
      <c r="D109" s="14">
        <f t="shared" si="19"/>
        <v>5.24</v>
      </c>
      <c r="E109" s="14">
        <f t="shared" si="20"/>
        <v>1975.48</v>
      </c>
      <c r="F109" s="102">
        <v>10</v>
      </c>
      <c r="G109" s="14">
        <f ca="1">_xlfn.IFNA(INDEX(玩家节奏1!$EC:$EC,MATCH(关卡对比!A109,玩家节奏1!$N:$N,1)),1)</f>
        <v>5.0599999999999996</v>
      </c>
      <c r="H109" s="14">
        <f ca="1">_xlfn.IFNA(INDEX(玩家节奏2!$FG:$FG,MATCH(关卡对比!A109,玩家节奏2!$N:$N,1)),1)</f>
        <v>8.8223520000000022</v>
      </c>
      <c r="I109" s="14">
        <v>5.24</v>
      </c>
      <c r="J109" s="14">
        <f t="shared" si="39"/>
        <v>37700</v>
      </c>
      <c r="K109" s="14">
        <f t="shared" si="18"/>
        <v>37700</v>
      </c>
      <c r="N109" s="14">
        <v>103</v>
      </c>
      <c r="O109" s="14">
        <f t="shared" si="21"/>
        <v>3950.96</v>
      </c>
      <c r="P109" s="14">
        <v>14</v>
      </c>
      <c r="Q109" s="14">
        <f t="shared" si="34"/>
        <v>75400</v>
      </c>
      <c r="T109" s="14">
        <v>103</v>
      </c>
      <c r="U109" s="14">
        <f t="shared" si="23"/>
        <v>5926.4400000000005</v>
      </c>
      <c r="V109" s="14">
        <v>20</v>
      </c>
      <c r="W109" s="14">
        <f t="shared" si="35"/>
        <v>113100</v>
      </c>
      <c r="Y109" s="14">
        <v>103</v>
      </c>
      <c r="Z109" s="108">
        <f t="shared" si="40"/>
        <v>37700</v>
      </c>
      <c r="AA109" s="103">
        <f t="shared" si="36"/>
        <v>75400</v>
      </c>
      <c r="AB109" s="103">
        <f t="shared" si="37"/>
        <v>113100</v>
      </c>
      <c r="AD109" s="14">
        <v>103</v>
      </c>
      <c r="AE109" s="14">
        <f t="shared" si="41"/>
        <v>65</v>
      </c>
      <c r="AF109" s="14">
        <f t="shared" si="38"/>
        <v>52</v>
      </c>
      <c r="AM109">
        <v>5.07</v>
      </c>
    </row>
    <row r="110" spans="1:39" x14ac:dyDescent="0.25">
      <c r="A110" s="14">
        <v>104</v>
      </c>
      <c r="B110" s="14">
        <v>382</v>
      </c>
      <c r="C110" s="14">
        <v>0.99999999999999989</v>
      </c>
      <c r="D110" s="14">
        <f t="shared" si="19"/>
        <v>5.28</v>
      </c>
      <c r="E110" s="14">
        <f t="shared" si="20"/>
        <v>2016.96</v>
      </c>
      <c r="F110" s="102">
        <v>10</v>
      </c>
      <c r="G110" s="14">
        <f ca="1">_xlfn.IFNA(INDEX(玩家节奏1!$EC:$EC,MATCH(关卡对比!A110,玩家节奏1!$N:$N,1)),1)</f>
        <v>5.28</v>
      </c>
      <c r="H110" s="14">
        <f ca="1">_xlfn.IFNA(INDEX(玩家节奏2!$FG:$FG,MATCH(关卡对比!A110,玩家节奏2!$N:$N,1)),1)</f>
        <v>8.8223520000000022</v>
      </c>
      <c r="I110" s="14">
        <v>5.28</v>
      </c>
      <c r="J110" s="14">
        <f t="shared" si="39"/>
        <v>38200</v>
      </c>
      <c r="K110" s="14">
        <f t="shared" si="18"/>
        <v>38200</v>
      </c>
      <c r="N110" s="14">
        <v>104</v>
      </c>
      <c r="O110" s="14">
        <f t="shared" si="21"/>
        <v>4033.92</v>
      </c>
      <c r="P110" s="14">
        <v>14</v>
      </c>
      <c r="Q110" s="14">
        <f t="shared" si="34"/>
        <v>76400</v>
      </c>
      <c r="T110" s="14">
        <v>104</v>
      </c>
      <c r="U110" s="14">
        <f t="shared" si="23"/>
        <v>6050.88</v>
      </c>
      <c r="V110" s="14">
        <v>20</v>
      </c>
      <c r="W110" s="14">
        <f t="shared" si="35"/>
        <v>114600</v>
      </c>
      <c r="Y110" s="14">
        <v>104</v>
      </c>
      <c r="Z110" s="108">
        <f t="shared" si="40"/>
        <v>38200</v>
      </c>
      <c r="AA110" s="103">
        <f t="shared" si="36"/>
        <v>76400</v>
      </c>
      <c r="AB110" s="103">
        <f t="shared" si="37"/>
        <v>114600</v>
      </c>
      <c r="AD110" s="14">
        <v>104</v>
      </c>
      <c r="AE110" s="14">
        <f t="shared" si="41"/>
        <v>65</v>
      </c>
      <c r="AF110" s="14">
        <f t="shared" si="38"/>
        <v>53</v>
      </c>
      <c r="AM110">
        <v>5.28</v>
      </c>
    </row>
    <row r="111" spans="1:39" x14ac:dyDescent="0.25">
      <c r="A111" s="14">
        <v>105</v>
      </c>
      <c r="B111" s="14">
        <v>387</v>
      </c>
      <c r="C111" s="14">
        <v>0.99999999999999989</v>
      </c>
      <c r="D111" s="14">
        <f t="shared" si="19"/>
        <v>5.32</v>
      </c>
      <c r="E111" s="14">
        <f t="shared" si="20"/>
        <v>2058.84</v>
      </c>
      <c r="F111" s="102">
        <v>10</v>
      </c>
      <c r="G111" s="14">
        <f ca="1">_xlfn.IFNA(INDEX(玩家节奏1!$EC:$EC,MATCH(关卡对比!A111,玩家节奏1!$N:$N,1)),1)</f>
        <v>5.28</v>
      </c>
      <c r="H111" s="14">
        <f ca="1">_xlfn.IFNA(INDEX(玩家节奏2!$FG:$FG,MATCH(关卡对比!A111,玩家节奏2!$N:$N,1)),1)</f>
        <v>8.8223520000000022</v>
      </c>
      <c r="I111" s="14">
        <v>5.32</v>
      </c>
      <c r="J111" s="14">
        <f t="shared" si="39"/>
        <v>38700</v>
      </c>
      <c r="K111" s="14">
        <f t="shared" si="18"/>
        <v>38700</v>
      </c>
      <c r="N111" s="14">
        <v>105</v>
      </c>
      <c r="O111" s="14">
        <f t="shared" si="21"/>
        <v>4117.68</v>
      </c>
      <c r="P111" s="14">
        <v>14</v>
      </c>
      <c r="Q111" s="14">
        <f t="shared" si="34"/>
        <v>77400</v>
      </c>
      <c r="T111" s="14">
        <v>105</v>
      </c>
      <c r="U111" s="14">
        <f t="shared" si="23"/>
        <v>6176.52</v>
      </c>
      <c r="V111" s="14">
        <v>20</v>
      </c>
      <c r="W111" s="14">
        <f t="shared" si="35"/>
        <v>116100</v>
      </c>
      <c r="Y111" s="14">
        <v>105</v>
      </c>
      <c r="Z111" s="108">
        <f t="shared" si="40"/>
        <v>38700</v>
      </c>
      <c r="AA111" s="103">
        <f t="shared" si="36"/>
        <v>77400</v>
      </c>
      <c r="AB111" s="103">
        <f t="shared" si="37"/>
        <v>116100</v>
      </c>
      <c r="AD111" s="14">
        <v>105</v>
      </c>
      <c r="AE111" s="14">
        <f t="shared" si="41"/>
        <v>66</v>
      </c>
      <c r="AF111" s="14">
        <f t="shared" si="38"/>
        <v>53</v>
      </c>
      <c r="AM111">
        <v>5.28</v>
      </c>
    </row>
    <row r="112" spans="1:39" x14ac:dyDescent="0.25">
      <c r="A112" s="14">
        <v>106</v>
      </c>
      <c r="B112" s="14">
        <v>392</v>
      </c>
      <c r="C112" s="14">
        <v>0.99999999999999989</v>
      </c>
      <c r="D112" s="14">
        <f t="shared" si="19"/>
        <v>5.35</v>
      </c>
      <c r="E112" s="14">
        <f t="shared" si="20"/>
        <v>2097.1999999999998</v>
      </c>
      <c r="F112" s="102">
        <v>10</v>
      </c>
      <c r="G112" s="14">
        <f ca="1">_xlfn.IFNA(INDEX(玩家节奏1!$EC:$EC,MATCH(关卡对比!A112,玩家节奏1!$N:$N,1)),1)</f>
        <v>5.28</v>
      </c>
      <c r="H112" s="14">
        <f ca="1">_xlfn.IFNA(INDEX(玩家节奏2!$FG:$FG,MATCH(关卡对比!A112,玩家节奏2!$N:$N,1)),1)</f>
        <v>8.8223520000000022</v>
      </c>
      <c r="I112" s="14">
        <v>5.35</v>
      </c>
      <c r="J112" s="14">
        <f t="shared" si="39"/>
        <v>39200</v>
      </c>
      <c r="K112" s="14">
        <f t="shared" si="18"/>
        <v>39200</v>
      </c>
      <c r="N112" s="14">
        <v>106</v>
      </c>
      <c r="O112" s="14">
        <f t="shared" si="21"/>
        <v>4194.3999999999996</v>
      </c>
      <c r="P112" s="14">
        <v>14</v>
      </c>
      <c r="Q112" s="14">
        <f t="shared" si="34"/>
        <v>78400</v>
      </c>
      <c r="T112" s="14">
        <v>106</v>
      </c>
      <c r="U112" s="14">
        <f t="shared" si="23"/>
        <v>6291.5999999999995</v>
      </c>
      <c r="V112" s="14">
        <v>20</v>
      </c>
      <c r="W112" s="14">
        <f t="shared" si="35"/>
        <v>117600</v>
      </c>
      <c r="Y112" s="14">
        <v>106</v>
      </c>
      <c r="Z112" s="108">
        <f t="shared" si="40"/>
        <v>39200</v>
      </c>
      <c r="AA112" s="103">
        <f t="shared" si="36"/>
        <v>78400</v>
      </c>
      <c r="AB112" s="103">
        <f t="shared" si="37"/>
        <v>117600</v>
      </c>
      <c r="AD112" s="14">
        <v>106</v>
      </c>
      <c r="AE112" s="14">
        <f t="shared" si="41"/>
        <v>66</v>
      </c>
      <c r="AF112" s="14">
        <f t="shared" si="38"/>
        <v>53</v>
      </c>
      <c r="AM112">
        <v>5.28</v>
      </c>
    </row>
    <row r="113" spans="1:39" x14ac:dyDescent="0.25">
      <c r="A113" s="14">
        <v>107</v>
      </c>
      <c r="B113" s="14">
        <v>397</v>
      </c>
      <c r="C113" s="14">
        <v>0.99999999999999989</v>
      </c>
      <c r="D113" s="14">
        <f t="shared" si="19"/>
        <v>5.39</v>
      </c>
      <c r="E113" s="14">
        <f t="shared" si="20"/>
        <v>2139.83</v>
      </c>
      <c r="F113" s="102">
        <v>10</v>
      </c>
      <c r="G113" s="14">
        <f ca="1">_xlfn.IFNA(INDEX(玩家节奏1!$EC:$EC,MATCH(关卡对比!A113,玩家节奏1!$N:$N,1)),1)</f>
        <v>5.28</v>
      </c>
      <c r="H113" s="14">
        <f ca="1">_xlfn.IFNA(INDEX(玩家节奏2!$FG:$FG,MATCH(关卡对比!A113,玩家节奏2!$N:$N,1)),1)</f>
        <v>8.8223520000000022</v>
      </c>
      <c r="I113" s="14">
        <v>5.39</v>
      </c>
      <c r="J113" s="14">
        <f t="shared" si="39"/>
        <v>39700</v>
      </c>
      <c r="K113" s="14">
        <f t="shared" si="18"/>
        <v>39700</v>
      </c>
      <c r="N113" s="14">
        <v>107</v>
      </c>
      <c r="O113" s="14">
        <f t="shared" si="21"/>
        <v>4279.66</v>
      </c>
      <c r="P113" s="14">
        <v>14</v>
      </c>
      <c r="Q113" s="14">
        <f t="shared" si="34"/>
        <v>79400</v>
      </c>
      <c r="T113" s="14">
        <v>107</v>
      </c>
      <c r="U113" s="14">
        <f t="shared" si="23"/>
        <v>6419.49</v>
      </c>
      <c r="V113" s="14">
        <v>20</v>
      </c>
      <c r="W113" s="14">
        <f t="shared" si="35"/>
        <v>119100</v>
      </c>
      <c r="Y113" s="14">
        <v>107</v>
      </c>
      <c r="Z113" s="108">
        <f t="shared" si="40"/>
        <v>39700</v>
      </c>
      <c r="AA113" s="103">
        <f t="shared" si="36"/>
        <v>79400</v>
      </c>
      <c r="AB113" s="103">
        <f t="shared" si="37"/>
        <v>119100</v>
      </c>
      <c r="AD113" s="14">
        <v>107</v>
      </c>
      <c r="AE113" s="14">
        <f t="shared" si="41"/>
        <v>67</v>
      </c>
      <c r="AF113" s="14">
        <f t="shared" si="38"/>
        <v>54</v>
      </c>
      <c r="AM113">
        <v>5.28</v>
      </c>
    </row>
    <row r="114" spans="1:39" x14ac:dyDescent="0.25">
      <c r="A114" s="14">
        <v>108</v>
      </c>
      <c r="B114" s="14">
        <v>402</v>
      </c>
      <c r="C114" s="14">
        <v>0.99999999999999989</v>
      </c>
      <c r="D114" s="14">
        <f t="shared" si="19"/>
        <v>5.42</v>
      </c>
      <c r="E114" s="14">
        <f t="shared" si="20"/>
        <v>2178.84</v>
      </c>
      <c r="F114" s="102">
        <v>10</v>
      </c>
      <c r="G114" s="14">
        <f ca="1">_xlfn.IFNA(INDEX(玩家节奏1!$EC:$EC,MATCH(关卡对比!A114,玩家节奏1!$N:$N,1)),1)</f>
        <v>5.28</v>
      </c>
      <c r="H114" s="14">
        <f ca="1">_xlfn.IFNA(INDEX(玩家节奏2!$FG:$FG,MATCH(关卡对比!A114,玩家节奏2!$N:$N,1)),1)</f>
        <v>8.8223520000000022</v>
      </c>
      <c r="I114" s="14">
        <v>5.42</v>
      </c>
      <c r="J114" s="14">
        <f t="shared" si="39"/>
        <v>40200</v>
      </c>
      <c r="K114" s="14">
        <f t="shared" si="18"/>
        <v>40200</v>
      </c>
      <c r="N114" s="14">
        <v>108</v>
      </c>
      <c r="O114" s="14">
        <f t="shared" si="21"/>
        <v>4357.68</v>
      </c>
      <c r="P114" s="14">
        <v>14</v>
      </c>
      <c r="Q114" s="14">
        <f t="shared" si="34"/>
        <v>80400</v>
      </c>
      <c r="T114" s="14">
        <v>108</v>
      </c>
      <c r="U114" s="14">
        <f t="shared" si="23"/>
        <v>6536.52</v>
      </c>
      <c r="V114" s="14">
        <v>20</v>
      </c>
      <c r="W114" s="14">
        <f t="shared" si="35"/>
        <v>120600</v>
      </c>
      <c r="Y114" s="14">
        <v>108</v>
      </c>
      <c r="Z114" s="108">
        <f t="shared" si="40"/>
        <v>40200</v>
      </c>
      <c r="AA114" s="103">
        <f t="shared" si="36"/>
        <v>80400</v>
      </c>
      <c r="AB114" s="103">
        <f t="shared" si="37"/>
        <v>120600</v>
      </c>
      <c r="AD114" s="14">
        <v>108</v>
      </c>
      <c r="AE114" s="14">
        <f t="shared" si="41"/>
        <v>67</v>
      </c>
      <c r="AF114" s="14">
        <f t="shared" si="38"/>
        <v>54</v>
      </c>
      <c r="AM114">
        <v>5.28</v>
      </c>
    </row>
    <row r="115" spans="1:39" x14ac:dyDescent="0.25">
      <c r="A115" s="14">
        <v>109</v>
      </c>
      <c r="B115" s="14">
        <v>407</v>
      </c>
      <c r="C115" s="14">
        <v>0.99999999999999989</v>
      </c>
      <c r="D115" s="14">
        <f t="shared" si="19"/>
        <v>5.46</v>
      </c>
      <c r="E115" s="14">
        <f t="shared" si="20"/>
        <v>2222.2199999999998</v>
      </c>
      <c r="F115" s="102">
        <v>10</v>
      </c>
      <c r="G115" s="14">
        <f ca="1">_xlfn.IFNA(INDEX(玩家节奏1!$EC:$EC,MATCH(关卡对比!A115,玩家节奏1!$N:$N,1)),1)</f>
        <v>5.28</v>
      </c>
      <c r="H115" s="14">
        <f ca="1">_xlfn.IFNA(INDEX(玩家节奏2!$FG:$FG,MATCH(关卡对比!A115,玩家节奏2!$N:$N,1)),1)</f>
        <v>9.2424640000000018</v>
      </c>
      <c r="I115" s="14">
        <v>5.46</v>
      </c>
      <c r="J115" s="14">
        <f t="shared" si="39"/>
        <v>40700</v>
      </c>
      <c r="K115" s="14">
        <f t="shared" si="18"/>
        <v>40700</v>
      </c>
      <c r="N115" s="14">
        <v>109</v>
      </c>
      <c r="O115" s="14">
        <f t="shared" si="21"/>
        <v>4444.4399999999996</v>
      </c>
      <c r="P115" s="14">
        <v>14</v>
      </c>
      <c r="Q115" s="14">
        <f t="shared" si="34"/>
        <v>81400</v>
      </c>
      <c r="T115" s="14">
        <v>109</v>
      </c>
      <c r="U115" s="14">
        <f t="shared" si="23"/>
        <v>6666.66</v>
      </c>
      <c r="V115" s="14">
        <v>20</v>
      </c>
      <c r="W115" s="14">
        <f t="shared" si="35"/>
        <v>122100</v>
      </c>
      <c r="Y115" s="14">
        <v>109</v>
      </c>
      <c r="Z115" s="108">
        <f t="shared" si="40"/>
        <v>40700</v>
      </c>
      <c r="AA115" s="103">
        <f t="shared" si="36"/>
        <v>81400</v>
      </c>
      <c r="AB115" s="103">
        <f t="shared" si="37"/>
        <v>122100</v>
      </c>
      <c r="AD115" s="14">
        <v>109</v>
      </c>
      <c r="AE115" s="14">
        <f t="shared" si="41"/>
        <v>68</v>
      </c>
      <c r="AF115" s="14">
        <f t="shared" si="38"/>
        <v>54</v>
      </c>
      <c r="AM115">
        <v>5.29</v>
      </c>
    </row>
    <row r="116" spans="1:39" x14ac:dyDescent="0.25">
      <c r="A116" s="14">
        <v>110</v>
      </c>
      <c r="B116" s="14">
        <v>412</v>
      </c>
      <c r="C116" s="14">
        <v>0.99999999999999989</v>
      </c>
      <c r="D116" s="14">
        <f t="shared" si="19"/>
        <v>5.5</v>
      </c>
      <c r="E116" s="14">
        <f t="shared" si="20"/>
        <v>2266</v>
      </c>
      <c r="F116" s="102">
        <v>10</v>
      </c>
      <c r="G116" s="14">
        <f ca="1">_xlfn.IFNA(INDEX(玩家节奏1!$EC:$EC,MATCH(关卡对比!A116,玩家节奏1!$N:$N,1)),1)</f>
        <v>5.5</v>
      </c>
      <c r="H116" s="14">
        <f ca="1">_xlfn.IFNA(INDEX(玩家节奏2!$FG:$FG,MATCH(关卡对比!A116,玩家节奏2!$N:$N,1)),1)</f>
        <v>9.2424640000000018</v>
      </c>
      <c r="I116" s="14">
        <v>5.5</v>
      </c>
      <c r="J116" s="14">
        <f t="shared" si="39"/>
        <v>41200</v>
      </c>
      <c r="K116" s="14">
        <f t="shared" si="18"/>
        <v>41200</v>
      </c>
      <c r="N116" s="14">
        <v>110</v>
      </c>
      <c r="O116" s="14">
        <f t="shared" si="21"/>
        <v>4532</v>
      </c>
      <c r="P116" s="14">
        <v>14</v>
      </c>
      <c r="Q116" s="14">
        <f t="shared" si="34"/>
        <v>82400</v>
      </c>
      <c r="T116" s="14">
        <v>110</v>
      </c>
      <c r="U116" s="14">
        <f t="shared" si="23"/>
        <v>6798</v>
      </c>
      <c r="V116" s="14">
        <v>20</v>
      </c>
      <c r="W116" s="14">
        <f t="shared" si="35"/>
        <v>123600</v>
      </c>
      <c r="Y116" s="14">
        <v>110</v>
      </c>
      <c r="Z116" s="108">
        <f t="shared" si="40"/>
        <v>41200</v>
      </c>
      <c r="AA116" s="103">
        <f t="shared" si="36"/>
        <v>82400</v>
      </c>
      <c r="AB116" s="103">
        <f t="shared" si="37"/>
        <v>123600</v>
      </c>
      <c r="AD116" s="14">
        <v>110</v>
      </c>
      <c r="AE116" s="14">
        <f t="shared" si="41"/>
        <v>68</v>
      </c>
      <c r="AF116" s="14">
        <f t="shared" si="38"/>
        <v>55</v>
      </c>
      <c r="AM116">
        <v>5.5</v>
      </c>
    </row>
    <row r="117" spans="1:39" x14ac:dyDescent="0.25">
      <c r="A117" s="14">
        <v>111</v>
      </c>
      <c r="B117" s="14">
        <v>417</v>
      </c>
      <c r="C117" s="14">
        <v>0.99999999999999989</v>
      </c>
      <c r="D117" s="14">
        <f t="shared" si="19"/>
        <v>5.54</v>
      </c>
      <c r="E117" s="14">
        <f t="shared" si="20"/>
        <v>2310.1799999999998</v>
      </c>
      <c r="F117" s="102">
        <v>10</v>
      </c>
      <c r="G117" s="14">
        <f ca="1">_xlfn.IFNA(INDEX(玩家节奏1!$EC:$EC,MATCH(关卡对比!A117,玩家节奏1!$N:$N,1)),1)</f>
        <v>5.5</v>
      </c>
      <c r="H117" s="14">
        <f ca="1">_xlfn.IFNA(INDEX(玩家节奏2!$FG:$FG,MATCH(关卡对比!A117,玩家节奏2!$N:$N,1)),1)</f>
        <v>9.2424640000000018</v>
      </c>
      <c r="I117" s="14">
        <v>5.54</v>
      </c>
      <c r="J117" s="14">
        <f t="shared" si="39"/>
        <v>41700</v>
      </c>
      <c r="K117" s="14">
        <f t="shared" si="18"/>
        <v>41700</v>
      </c>
      <c r="N117" s="14">
        <v>111</v>
      </c>
      <c r="O117" s="14">
        <f t="shared" si="21"/>
        <v>4620.3599999999997</v>
      </c>
      <c r="P117" s="14">
        <v>14</v>
      </c>
      <c r="Q117" s="14">
        <f t="shared" si="34"/>
        <v>83400</v>
      </c>
      <c r="T117" s="14">
        <v>111</v>
      </c>
      <c r="U117" s="14">
        <f t="shared" si="23"/>
        <v>6930.5399999999991</v>
      </c>
      <c r="V117" s="14">
        <v>20</v>
      </c>
      <c r="W117" s="14">
        <f t="shared" si="35"/>
        <v>125100</v>
      </c>
      <c r="Y117" s="14">
        <v>111</v>
      </c>
      <c r="Z117" s="108">
        <f t="shared" si="40"/>
        <v>41700</v>
      </c>
      <c r="AA117" s="103">
        <f t="shared" si="36"/>
        <v>83400</v>
      </c>
      <c r="AB117" s="103">
        <f t="shared" si="37"/>
        <v>125100</v>
      </c>
      <c r="AD117" s="14">
        <v>111</v>
      </c>
      <c r="AE117" s="14">
        <f t="shared" si="41"/>
        <v>69</v>
      </c>
      <c r="AF117" s="14">
        <f t="shared" si="38"/>
        <v>55</v>
      </c>
      <c r="AM117">
        <v>5.5</v>
      </c>
    </row>
    <row r="118" spans="1:39" x14ac:dyDescent="0.25">
      <c r="A118" s="14">
        <v>112</v>
      </c>
      <c r="B118" s="14">
        <v>422</v>
      </c>
      <c r="C118" s="14">
        <v>0.99999999999999989</v>
      </c>
      <c r="D118" s="14">
        <f t="shared" si="19"/>
        <v>5.59</v>
      </c>
      <c r="E118" s="14">
        <f t="shared" si="20"/>
        <v>2358.98</v>
      </c>
      <c r="F118" s="102">
        <v>10</v>
      </c>
      <c r="G118" s="14">
        <f ca="1">_xlfn.IFNA(INDEX(玩家节奏1!$EC:$EC,MATCH(关卡对比!A118,玩家节奏1!$N:$N,1)),1)</f>
        <v>5.5</v>
      </c>
      <c r="H118" s="14">
        <f ca="1">_xlfn.IFNA(INDEX(玩家节奏2!$FG:$FG,MATCH(关卡对比!A118,玩家节奏2!$N:$N,1)),1)</f>
        <v>9.2424640000000018</v>
      </c>
      <c r="I118" s="14">
        <v>5.59</v>
      </c>
      <c r="J118" s="14">
        <f t="shared" si="39"/>
        <v>42200</v>
      </c>
      <c r="K118" s="14">
        <f t="shared" si="18"/>
        <v>42200</v>
      </c>
      <c r="N118" s="14">
        <v>112</v>
      </c>
      <c r="O118" s="14">
        <f t="shared" si="21"/>
        <v>4717.96</v>
      </c>
      <c r="P118" s="14">
        <v>14</v>
      </c>
      <c r="Q118" s="14">
        <f t="shared" si="34"/>
        <v>84400</v>
      </c>
      <c r="T118" s="14">
        <v>112</v>
      </c>
      <c r="U118" s="14">
        <f t="shared" si="23"/>
        <v>7076.9400000000005</v>
      </c>
      <c r="V118" s="14">
        <v>20</v>
      </c>
      <c r="W118" s="14">
        <f t="shared" si="35"/>
        <v>126600</v>
      </c>
      <c r="Y118" s="14">
        <v>112</v>
      </c>
      <c r="Z118" s="108">
        <f t="shared" si="40"/>
        <v>42200</v>
      </c>
      <c r="AA118" s="103">
        <f t="shared" si="36"/>
        <v>84400</v>
      </c>
      <c r="AB118" s="103">
        <f t="shared" si="37"/>
        <v>126600</v>
      </c>
      <c r="AD118" s="14">
        <v>112</v>
      </c>
      <c r="AE118" s="14">
        <f t="shared" si="41"/>
        <v>69</v>
      </c>
      <c r="AF118" s="14">
        <f t="shared" si="38"/>
        <v>55</v>
      </c>
      <c r="AM118">
        <v>5.5</v>
      </c>
    </row>
    <row r="119" spans="1:39" x14ac:dyDescent="0.25">
      <c r="A119" s="14">
        <v>113</v>
      </c>
      <c r="B119" s="14">
        <v>427</v>
      </c>
      <c r="C119" s="14">
        <v>0.99999999999999989</v>
      </c>
      <c r="D119" s="14">
        <f t="shared" si="19"/>
        <v>5.63</v>
      </c>
      <c r="E119" s="14">
        <f t="shared" si="20"/>
        <v>2404.0100000000002</v>
      </c>
      <c r="F119" s="102">
        <v>10</v>
      </c>
      <c r="G119" s="14">
        <f ca="1">_xlfn.IFNA(INDEX(玩家节奏1!$EC:$EC,MATCH(关卡对比!A119,玩家节奏1!$N:$N,1)),1)</f>
        <v>5.5</v>
      </c>
      <c r="H119" s="14">
        <f ca="1">_xlfn.IFNA(INDEX(玩家节奏2!$FG:$FG,MATCH(关卡对比!A119,玩家节奏2!$N:$N,1)),1)</f>
        <v>9.6625759999999996</v>
      </c>
      <c r="I119" s="14">
        <v>5.63</v>
      </c>
      <c r="J119" s="14">
        <f t="shared" si="39"/>
        <v>42700</v>
      </c>
      <c r="K119" s="14">
        <f t="shared" si="18"/>
        <v>42700</v>
      </c>
      <c r="N119" s="14">
        <v>113</v>
      </c>
      <c r="O119" s="14">
        <f t="shared" si="21"/>
        <v>4808.0200000000004</v>
      </c>
      <c r="P119" s="14">
        <v>14</v>
      </c>
      <c r="Q119" s="14">
        <f t="shared" si="34"/>
        <v>85400</v>
      </c>
      <c r="T119" s="14">
        <v>113</v>
      </c>
      <c r="U119" s="14">
        <f t="shared" si="23"/>
        <v>7212.0300000000007</v>
      </c>
      <c r="V119" s="14">
        <v>20</v>
      </c>
      <c r="W119" s="14">
        <f t="shared" si="35"/>
        <v>128100</v>
      </c>
      <c r="Y119" s="14">
        <v>113</v>
      </c>
      <c r="Z119" s="108">
        <f t="shared" si="40"/>
        <v>42700</v>
      </c>
      <c r="AA119" s="103">
        <f t="shared" si="36"/>
        <v>85400</v>
      </c>
      <c r="AB119" s="103">
        <f t="shared" si="37"/>
        <v>128100</v>
      </c>
      <c r="AD119" s="14">
        <v>113</v>
      </c>
      <c r="AE119" s="14">
        <f t="shared" si="41"/>
        <v>70</v>
      </c>
      <c r="AF119" s="14">
        <f t="shared" si="38"/>
        <v>56</v>
      </c>
      <c r="AM119">
        <v>5.5</v>
      </c>
    </row>
    <row r="120" spans="1:39" x14ac:dyDescent="0.25">
      <c r="A120" s="14">
        <v>114</v>
      </c>
      <c r="B120" s="14">
        <v>432</v>
      </c>
      <c r="C120" s="14">
        <v>0.99999999999999989</v>
      </c>
      <c r="D120" s="14">
        <f t="shared" si="19"/>
        <v>5.68</v>
      </c>
      <c r="E120" s="14">
        <f t="shared" si="20"/>
        <v>2453.7600000000002</v>
      </c>
      <c r="F120" s="102">
        <v>10</v>
      </c>
      <c r="G120" s="14">
        <f ca="1">_xlfn.IFNA(INDEX(玩家节奏1!$EC:$EC,MATCH(关卡对比!A120,玩家节奏1!$N:$N,1)),1)</f>
        <v>5.5</v>
      </c>
      <c r="H120" s="14">
        <f ca="1">_xlfn.IFNA(INDEX(玩家节奏2!$FG:$FG,MATCH(关卡对比!A120,玩家节奏2!$N:$N,1)),1)</f>
        <v>9.6625759999999996</v>
      </c>
      <c r="I120" s="14">
        <v>5.68</v>
      </c>
      <c r="J120" s="14">
        <f t="shared" si="39"/>
        <v>43200</v>
      </c>
      <c r="K120" s="14">
        <f t="shared" si="18"/>
        <v>43200</v>
      </c>
      <c r="N120" s="14">
        <v>114</v>
      </c>
      <c r="O120" s="14">
        <f t="shared" si="21"/>
        <v>4907.5200000000004</v>
      </c>
      <c r="P120" s="14">
        <v>14</v>
      </c>
      <c r="Q120" s="14">
        <f t="shared" si="34"/>
        <v>86400</v>
      </c>
      <c r="T120" s="14">
        <v>114</v>
      </c>
      <c r="U120" s="14">
        <f t="shared" si="23"/>
        <v>7361.2800000000007</v>
      </c>
      <c r="V120" s="14">
        <v>20</v>
      </c>
      <c r="W120" s="14">
        <f t="shared" si="35"/>
        <v>129600</v>
      </c>
      <c r="Y120" s="14">
        <v>114</v>
      </c>
      <c r="Z120" s="108">
        <f t="shared" si="40"/>
        <v>43200</v>
      </c>
      <c r="AA120" s="103">
        <f t="shared" si="36"/>
        <v>86400</v>
      </c>
      <c r="AB120" s="103">
        <f t="shared" si="37"/>
        <v>129600</v>
      </c>
      <c r="AD120" s="14">
        <v>114</v>
      </c>
      <c r="AE120" s="14">
        <f t="shared" si="41"/>
        <v>70</v>
      </c>
      <c r="AF120" s="14">
        <f t="shared" si="38"/>
        <v>56</v>
      </c>
      <c r="AM120">
        <v>5.51</v>
      </c>
    </row>
    <row r="121" spans="1:39" x14ac:dyDescent="0.25">
      <c r="A121" s="14">
        <v>115</v>
      </c>
      <c r="B121" s="14">
        <v>437</v>
      </c>
      <c r="C121" s="14">
        <v>0.99999999999999989</v>
      </c>
      <c r="D121" s="14">
        <f t="shared" si="19"/>
        <v>5.72</v>
      </c>
      <c r="E121" s="14">
        <f t="shared" si="20"/>
        <v>2499.64</v>
      </c>
      <c r="F121" s="102">
        <v>10</v>
      </c>
      <c r="G121" s="14">
        <f ca="1">_xlfn.IFNA(INDEX(玩家节奏1!$EC:$EC,MATCH(关卡对比!A121,玩家节奏1!$N:$N,1)),1)</f>
        <v>5.7200000000000006</v>
      </c>
      <c r="H121" s="14">
        <f ca="1">_xlfn.IFNA(INDEX(玩家节奏2!$FG:$FG,MATCH(关卡对比!A121,玩家节奏2!$N:$N,1)),1)</f>
        <v>9.6625759999999996</v>
      </c>
      <c r="I121" s="14">
        <v>5.72</v>
      </c>
      <c r="J121" s="14">
        <f t="shared" si="39"/>
        <v>43700</v>
      </c>
      <c r="K121" s="14">
        <f t="shared" si="18"/>
        <v>43700</v>
      </c>
      <c r="N121" s="14">
        <v>115</v>
      </c>
      <c r="O121" s="14">
        <f t="shared" si="21"/>
        <v>4999.28</v>
      </c>
      <c r="P121" s="14">
        <v>14</v>
      </c>
      <c r="Q121" s="14">
        <f t="shared" si="34"/>
        <v>87400</v>
      </c>
      <c r="T121" s="14">
        <v>115</v>
      </c>
      <c r="U121" s="14">
        <f t="shared" si="23"/>
        <v>7498.92</v>
      </c>
      <c r="V121" s="14">
        <v>20</v>
      </c>
      <c r="W121" s="14">
        <f t="shared" si="35"/>
        <v>131100</v>
      </c>
      <c r="Y121" s="14">
        <v>115</v>
      </c>
      <c r="Z121" s="108">
        <f t="shared" si="40"/>
        <v>43700</v>
      </c>
      <c r="AA121" s="103">
        <f t="shared" si="36"/>
        <v>87400</v>
      </c>
      <c r="AB121" s="103">
        <f t="shared" si="37"/>
        <v>131100</v>
      </c>
      <c r="AD121" s="14">
        <v>115</v>
      </c>
      <c r="AE121" s="14">
        <f t="shared" si="41"/>
        <v>71</v>
      </c>
      <c r="AF121" s="14">
        <f t="shared" si="38"/>
        <v>56</v>
      </c>
      <c r="AM121">
        <v>5.72</v>
      </c>
    </row>
    <row r="122" spans="1:39" x14ac:dyDescent="0.25">
      <c r="A122" s="14">
        <v>116</v>
      </c>
      <c r="B122" s="14">
        <v>442</v>
      </c>
      <c r="C122" s="14">
        <v>0.99999999999999989</v>
      </c>
      <c r="D122" s="14">
        <f t="shared" si="19"/>
        <v>5.76</v>
      </c>
      <c r="E122" s="14">
        <f t="shared" si="20"/>
        <v>2545.92</v>
      </c>
      <c r="F122" s="102">
        <v>10</v>
      </c>
      <c r="G122" s="14">
        <f ca="1">_xlfn.IFNA(INDEX(玩家节奏1!$EC:$EC,MATCH(关卡对比!A122,玩家节奏1!$N:$N,1)),1)</f>
        <v>5.7200000000000006</v>
      </c>
      <c r="H122" s="14">
        <f ca="1">_xlfn.IFNA(INDEX(玩家节奏2!$FG:$FG,MATCH(关卡对比!A122,玩家节奏2!$N:$N,1)),1)</f>
        <v>9.6625759999999996</v>
      </c>
      <c r="I122" s="14">
        <v>5.76</v>
      </c>
      <c r="J122" s="14">
        <f t="shared" si="39"/>
        <v>44200</v>
      </c>
      <c r="K122" s="14">
        <f t="shared" si="18"/>
        <v>44200</v>
      </c>
      <c r="N122" s="14">
        <v>116</v>
      </c>
      <c r="O122" s="14">
        <f t="shared" si="21"/>
        <v>5091.84</v>
      </c>
      <c r="P122" s="14">
        <v>14</v>
      </c>
      <c r="Q122" s="14">
        <f t="shared" si="34"/>
        <v>88400</v>
      </c>
      <c r="T122" s="14">
        <v>116</v>
      </c>
      <c r="U122" s="14">
        <f t="shared" si="23"/>
        <v>7637.76</v>
      </c>
      <c r="V122" s="14">
        <v>20</v>
      </c>
      <c r="W122" s="14">
        <f t="shared" si="35"/>
        <v>132600</v>
      </c>
      <c r="Y122" s="14">
        <v>116</v>
      </c>
      <c r="Z122" s="108">
        <f t="shared" si="40"/>
        <v>44200</v>
      </c>
      <c r="AA122" s="103">
        <f t="shared" si="36"/>
        <v>88400</v>
      </c>
      <c r="AB122" s="103">
        <f t="shared" si="37"/>
        <v>132600</v>
      </c>
      <c r="AD122" s="14">
        <v>116</v>
      </c>
      <c r="AE122" s="14">
        <f t="shared" si="41"/>
        <v>71</v>
      </c>
      <c r="AF122" s="14">
        <f t="shared" si="38"/>
        <v>57</v>
      </c>
      <c r="AM122">
        <v>5.72</v>
      </c>
    </row>
    <row r="123" spans="1:39" x14ac:dyDescent="0.25">
      <c r="A123" s="14">
        <v>117</v>
      </c>
      <c r="B123" s="14">
        <v>447</v>
      </c>
      <c r="C123" s="14">
        <v>0.99999999999999989</v>
      </c>
      <c r="D123" s="14">
        <f t="shared" si="19"/>
        <v>5.8</v>
      </c>
      <c r="E123" s="14">
        <f t="shared" si="20"/>
        <v>2592.6</v>
      </c>
      <c r="F123" s="102">
        <v>10</v>
      </c>
      <c r="G123" s="14">
        <f ca="1">_xlfn.IFNA(INDEX(玩家节奏1!$EC:$EC,MATCH(关卡对比!A123,玩家节奏1!$N:$N,1)),1)</f>
        <v>5.7200000000000006</v>
      </c>
      <c r="H123" s="14">
        <f ca="1">_xlfn.IFNA(INDEX(玩家节奏2!$FG:$FG,MATCH(关卡对比!A123,玩家节奏2!$N:$N,1)),1)</f>
        <v>9.6625759999999996</v>
      </c>
      <c r="I123" s="14">
        <v>5.8</v>
      </c>
      <c r="J123" s="14">
        <f t="shared" si="39"/>
        <v>44700</v>
      </c>
      <c r="K123" s="14">
        <f t="shared" si="18"/>
        <v>44700</v>
      </c>
      <c r="N123" s="14">
        <v>117</v>
      </c>
      <c r="O123" s="14">
        <f t="shared" si="21"/>
        <v>5185.2</v>
      </c>
      <c r="P123" s="14">
        <v>14</v>
      </c>
      <c r="Q123" s="14">
        <f t="shared" si="34"/>
        <v>89400</v>
      </c>
      <c r="T123" s="14">
        <v>117</v>
      </c>
      <c r="U123" s="14">
        <f t="shared" si="23"/>
        <v>7777.7999999999993</v>
      </c>
      <c r="V123" s="14">
        <v>20</v>
      </c>
      <c r="W123" s="14">
        <f t="shared" si="35"/>
        <v>134100</v>
      </c>
      <c r="Y123" s="14">
        <v>117</v>
      </c>
      <c r="Z123" s="108">
        <f t="shared" si="40"/>
        <v>44700</v>
      </c>
      <c r="AA123" s="103">
        <f t="shared" si="36"/>
        <v>89400</v>
      </c>
      <c r="AB123" s="103">
        <f t="shared" si="37"/>
        <v>134100</v>
      </c>
      <c r="AD123" s="14">
        <v>117</v>
      </c>
      <c r="AE123" s="14">
        <f t="shared" si="41"/>
        <v>72</v>
      </c>
      <c r="AF123" s="14">
        <f t="shared" si="38"/>
        <v>57</v>
      </c>
      <c r="AM123">
        <v>5.72</v>
      </c>
    </row>
    <row r="124" spans="1:39" x14ac:dyDescent="0.25">
      <c r="A124" s="14">
        <v>118</v>
      </c>
      <c r="B124" s="14">
        <v>452</v>
      </c>
      <c r="C124" s="14">
        <v>0.99999999999999989</v>
      </c>
      <c r="D124" s="14">
        <f t="shared" si="19"/>
        <v>5.83</v>
      </c>
      <c r="E124" s="14">
        <f t="shared" si="20"/>
        <v>2635.16</v>
      </c>
      <c r="F124" s="102">
        <v>10</v>
      </c>
      <c r="G124" s="14">
        <f ca="1">_xlfn.IFNA(INDEX(玩家节奏1!$EC:$EC,MATCH(关卡对比!A124,玩家节奏1!$N:$N,1)),1)</f>
        <v>5.7200000000000006</v>
      </c>
      <c r="H124" s="14">
        <f ca="1">_xlfn.IFNA(INDEX(玩家节奏2!$FG:$FG,MATCH(关卡对比!A124,玩家节奏2!$N:$N,1)),1)</f>
        <v>9.6625759999999996</v>
      </c>
      <c r="I124" s="14">
        <v>5.83</v>
      </c>
      <c r="J124" s="14">
        <f t="shared" si="39"/>
        <v>45200</v>
      </c>
      <c r="K124" s="14">
        <f t="shared" si="18"/>
        <v>45200</v>
      </c>
      <c r="N124" s="14">
        <v>118</v>
      </c>
      <c r="O124" s="14">
        <f t="shared" si="21"/>
        <v>5270.32</v>
      </c>
      <c r="P124" s="14">
        <v>14</v>
      </c>
      <c r="Q124" s="14">
        <f t="shared" si="34"/>
        <v>90400</v>
      </c>
      <c r="T124" s="14">
        <v>118</v>
      </c>
      <c r="U124" s="14">
        <f t="shared" si="23"/>
        <v>7905.48</v>
      </c>
      <c r="V124" s="14">
        <v>20</v>
      </c>
      <c r="W124" s="14">
        <f t="shared" si="35"/>
        <v>135600</v>
      </c>
      <c r="Y124" s="14">
        <v>118</v>
      </c>
      <c r="Z124" s="108">
        <f t="shared" si="40"/>
        <v>45200</v>
      </c>
      <c r="AA124" s="103">
        <f t="shared" si="36"/>
        <v>90400</v>
      </c>
      <c r="AB124" s="103">
        <f t="shared" si="37"/>
        <v>135600</v>
      </c>
      <c r="AD124" s="14">
        <v>118</v>
      </c>
      <c r="AE124" s="14">
        <f t="shared" si="41"/>
        <v>72</v>
      </c>
      <c r="AF124" s="14">
        <f t="shared" si="38"/>
        <v>57</v>
      </c>
      <c r="AM124">
        <v>5.72</v>
      </c>
    </row>
    <row r="125" spans="1:39" x14ac:dyDescent="0.25">
      <c r="A125" s="14">
        <v>119</v>
      </c>
      <c r="B125" s="14">
        <v>457</v>
      </c>
      <c r="C125" s="14">
        <v>0.99999999999999989</v>
      </c>
      <c r="D125" s="14">
        <f t="shared" si="19"/>
        <v>5.87</v>
      </c>
      <c r="E125" s="14">
        <f t="shared" si="20"/>
        <v>2682.59</v>
      </c>
      <c r="F125" s="102">
        <v>10</v>
      </c>
      <c r="G125" s="14">
        <f ca="1">_xlfn.IFNA(INDEX(玩家节奏1!$EC:$EC,MATCH(关卡对比!A125,玩家节奏1!$N:$N,1)),1)</f>
        <v>5.7200000000000006</v>
      </c>
      <c r="H125" s="14">
        <f ca="1">_xlfn.IFNA(INDEX(玩家节奏2!$FG:$FG,MATCH(关卡对比!A125,玩家节奏2!$N:$N,1)),1)</f>
        <v>9.6625759999999996</v>
      </c>
      <c r="I125" s="14">
        <v>5.87</v>
      </c>
      <c r="J125" s="14">
        <f t="shared" si="39"/>
        <v>45700</v>
      </c>
      <c r="K125" s="14">
        <f t="shared" si="18"/>
        <v>45700</v>
      </c>
      <c r="N125" s="14">
        <v>119</v>
      </c>
      <c r="O125" s="14">
        <f t="shared" si="21"/>
        <v>5365.18</v>
      </c>
      <c r="P125" s="14">
        <v>14</v>
      </c>
      <c r="Q125" s="14">
        <f t="shared" si="34"/>
        <v>91400</v>
      </c>
      <c r="T125" s="14">
        <v>119</v>
      </c>
      <c r="U125" s="14">
        <f t="shared" si="23"/>
        <v>8047.77</v>
      </c>
      <c r="V125" s="14">
        <v>20</v>
      </c>
      <c r="W125" s="14">
        <f t="shared" si="35"/>
        <v>137100</v>
      </c>
      <c r="Y125" s="14">
        <v>119</v>
      </c>
      <c r="Z125" s="108">
        <f t="shared" si="40"/>
        <v>45700</v>
      </c>
      <c r="AA125" s="103">
        <f t="shared" si="36"/>
        <v>91400</v>
      </c>
      <c r="AB125" s="103">
        <f t="shared" si="37"/>
        <v>137100</v>
      </c>
      <c r="AD125" s="14">
        <v>119</v>
      </c>
      <c r="AE125" s="14">
        <f t="shared" si="41"/>
        <v>73</v>
      </c>
      <c r="AF125" s="14">
        <f t="shared" si="38"/>
        <v>58</v>
      </c>
      <c r="AM125">
        <v>5.72</v>
      </c>
    </row>
    <row r="126" spans="1:39" x14ac:dyDescent="0.25">
      <c r="A126" s="14">
        <v>120</v>
      </c>
      <c r="B126" s="14">
        <v>462</v>
      </c>
      <c r="C126" s="14">
        <v>0.99999999999999989</v>
      </c>
      <c r="D126" s="14">
        <f t="shared" si="19"/>
        <v>5.9</v>
      </c>
      <c r="E126" s="14">
        <f t="shared" si="20"/>
        <v>2725.8</v>
      </c>
      <c r="F126" s="102">
        <v>10</v>
      </c>
      <c r="G126" s="14">
        <f ca="1">_xlfn.IFNA(INDEX(玩家节奏1!$EC:$EC,MATCH(关卡对比!A126,玩家节奏1!$N:$N,1)),1)</f>
        <v>5.7200000000000006</v>
      </c>
      <c r="H126" s="14">
        <f ca="1">_xlfn.IFNA(INDEX(玩家节奏2!$FG:$FG,MATCH(关卡对比!A126,玩家节奏2!$N:$N,1)),1)</f>
        <v>9.6625759999999996</v>
      </c>
      <c r="I126" s="14">
        <v>5.9</v>
      </c>
      <c r="J126" s="14">
        <f t="shared" si="39"/>
        <v>46200</v>
      </c>
      <c r="K126" s="14">
        <f t="shared" si="18"/>
        <v>46200</v>
      </c>
      <c r="N126" s="14">
        <v>120</v>
      </c>
      <c r="O126" s="14">
        <f t="shared" si="21"/>
        <v>5451.6</v>
      </c>
      <c r="P126" s="14">
        <v>14</v>
      </c>
      <c r="Q126" s="14">
        <f t="shared" si="34"/>
        <v>92400</v>
      </c>
      <c r="T126" s="14">
        <v>120</v>
      </c>
      <c r="U126" s="14">
        <f t="shared" si="23"/>
        <v>8177.4000000000005</v>
      </c>
      <c r="V126" s="14">
        <v>20</v>
      </c>
      <c r="W126" s="14">
        <f t="shared" si="35"/>
        <v>138600</v>
      </c>
      <c r="Y126" s="14">
        <v>120</v>
      </c>
      <c r="Z126" s="108">
        <f t="shared" si="40"/>
        <v>46200</v>
      </c>
      <c r="AA126" s="103">
        <f t="shared" si="36"/>
        <v>92400</v>
      </c>
      <c r="AB126" s="103">
        <f t="shared" si="37"/>
        <v>138600</v>
      </c>
      <c r="AD126" s="14">
        <v>120</v>
      </c>
      <c r="AE126" s="14">
        <f t="shared" si="41"/>
        <v>73</v>
      </c>
      <c r="AF126" s="14">
        <f t="shared" si="38"/>
        <v>58</v>
      </c>
      <c r="AM126">
        <v>5.73</v>
      </c>
    </row>
    <row r="127" spans="1:39" x14ac:dyDescent="0.25">
      <c r="A127" s="14">
        <v>121</v>
      </c>
      <c r="B127" s="14">
        <v>467</v>
      </c>
      <c r="C127" s="14">
        <v>0.99999999999999989</v>
      </c>
      <c r="D127" s="14">
        <f t="shared" si="19"/>
        <v>5.94</v>
      </c>
      <c r="E127" s="14">
        <f t="shared" si="20"/>
        <v>2773.98</v>
      </c>
      <c r="F127" s="102">
        <v>10</v>
      </c>
      <c r="G127" s="14">
        <f ca="1">_xlfn.IFNA(INDEX(玩家节奏1!$EC:$EC,MATCH(关卡对比!A127,玩家节奏1!$N:$N,1)),1)</f>
        <v>5.9400000000000013</v>
      </c>
      <c r="H127" s="14">
        <f ca="1">_xlfn.IFNA(INDEX(玩家节奏2!$FG:$FG,MATCH(关卡对比!A127,玩家节奏2!$N:$N,1)),1)</f>
        <v>9.6625759999999996</v>
      </c>
      <c r="I127" s="14">
        <v>5.94</v>
      </c>
      <c r="J127" s="14">
        <f t="shared" si="39"/>
        <v>46700</v>
      </c>
      <c r="K127" s="14">
        <f t="shared" si="18"/>
        <v>46700</v>
      </c>
      <c r="N127" s="14">
        <v>121</v>
      </c>
      <c r="O127" s="14">
        <f t="shared" si="21"/>
        <v>5547.96</v>
      </c>
      <c r="P127" s="14">
        <v>14</v>
      </c>
      <c r="Q127" s="14">
        <f t="shared" si="34"/>
        <v>93400</v>
      </c>
      <c r="T127" s="14">
        <v>121</v>
      </c>
      <c r="U127" s="14">
        <f t="shared" si="23"/>
        <v>8321.94</v>
      </c>
      <c r="V127" s="14">
        <v>20</v>
      </c>
      <c r="W127" s="14">
        <f t="shared" si="35"/>
        <v>140100</v>
      </c>
      <c r="Y127" s="14">
        <v>121</v>
      </c>
      <c r="Z127" s="108">
        <f t="shared" si="40"/>
        <v>46700</v>
      </c>
      <c r="AA127" s="103">
        <f t="shared" si="36"/>
        <v>93400</v>
      </c>
      <c r="AB127" s="103">
        <f t="shared" si="37"/>
        <v>140100</v>
      </c>
      <c r="AD127" s="14">
        <v>121</v>
      </c>
      <c r="AE127" s="14">
        <f t="shared" si="41"/>
        <v>74</v>
      </c>
      <c r="AF127" s="14">
        <f t="shared" si="38"/>
        <v>58</v>
      </c>
      <c r="AM127">
        <v>5.94</v>
      </c>
    </row>
    <row r="128" spans="1:39" x14ac:dyDescent="0.25">
      <c r="A128" s="14">
        <v>122</v>
      </c>
      <c r="B128" s="14">
        <v>472</v>
      </c>
      <c r="C128" s="14">
        <v>0.99999999999999989</v>
      </c>
      <c r="D128" s="14">
        <f t="shared" si="19"/>
        <v>5.98</v>
      </c>
      <c r="E128" s="14">
        <f t="shared" si="20"/>
        <v>2822.56</v>
      </c>
      <c r="F128" s="102">
        <v>10</v>
      </c>
      <c r="G128" s="14">
        <f ca="1">_xlfn.IFNA(INDEX(玩家节奏1!$EC:$EC,MATCH(关卡对比!A128,玩家节奏1!$N:$N,1)),1)</f>
        <v>5.9400000000000013</v>
      </c>
      <c r="H128" s="14">
        <f ca="1">_xlfn.IFNA(INDEX(玩家节奏2!$FG:$FG,MATCH(关卡对比!A128,玩家节奏2!$N:$N,1)),1)</f>
        <v>10.802880000000002</v>
      </c>
      <c r="I128" s="14">
        <v>5.98</v>
      </c>
      <c r="J128" s="14">
        <f t="shared" si="39"/>
        <v>47200</v>
      </c>
      <c r="K128" s="14">
        <f t="shared" si="18"/>
        <v>47200</v>
      </c>
      <c r="N128" s="14">
        <v>122</v>
      </c>
      <c r="O128" s="14">
        <f t="shared" si="21"/>
        <v>5645.12</v>
      </c>
      <c r="P128" s="14">
        <v>14</v>
      </c>
      <c r="Q128" s="14">
        <f t="shared" si="34"/>
        <v>94400</v>
      </c>
      <c r="T128" s="14">
        <v>122</v>
      </c>
      <c r="U128" s="14">
        <f t="shared" si="23"/>
        <v>8467.68</v>
      </c>
      <c r="V128" s="14">
        <v>20</v>
      </c>
      <c r="W128" s="14">
        <f t="shared" si="35"/>
        <v>141600</v>
      </c>
      <c r="Y128" s="14">
        <v>122</v>
      </c>
      <c r="Z128" s="108">
        <f t="shared" si="40"/>
        <v>47200</v>
      </c>
      <c r="AA128" s="103">
        <f t="shared" si="36"/>
        <v>94400</v>
      </c>
      <c r="AB128" s="103">
        <f t="shared" si="37"/>
        <v>141600</v>
      </c>
      <c r="AD128" s="14">
        <v>122</v>
      </c>
      <c r="AE128" s="14">
        <f t="shared" si="41"/>
        <v>74</v>
      </c>
      <c r="AF128" s="14">
        <f t="shared" si="38"/>
        <v>59</v>
      </c>
      <c r="AM128">
        <v>5.94</v>
      </c>
    </row>
    <row r="129" spans="1:39" x14ac:dyDescent="0.25">
      <c r="A129" s="14">
        <v>123</v>
      </c>
      <c r="B129" s="14">
        <v>477</v>
      </c>
      <c r="C129" s="14">
        <v>0.99999999999999989</v>
      </c>
      <c r="D129" s="14">
        <f t="shared" si="19"/>
        <v>6.01</v>
      </c>
      <c r="E129" s="14">
        <f t="shared" si="20"/>
        <v>2866.77</v>
      </c>
      <c r="F129" s="102">
        <v>10</v>
      </c>
      <c r="G129" s="14">
        <f ca="1">_xlfn.IFNA(INDEX(玩家节奏1!$EC:$EC,MATCH(关卡对比!A129,玩家节奏1!$N:$N,1)),1)</f>
        <v>5.9400000000000013</v>
      </c>
      <c r="H129" s="14">
        <f ca="1">_xlfn.IFNA(INDEX(玩家节奏2!$FG:$FG,MATCH(关卡对比!A129,玩家节奏2!$N:$N,1)),1)</f>
        <v>10.802880000000002</v>
      </c>
      <c r="I129" s="14">
        <v>6.01</v>
      </c>
      <c r="J129" s="14">
        <f t="shared" si="39"/>
        <v>47700</v>
      </c>
      <c r="K129" s="14">
        <f t="shared" si="18"/>
        <v>47700</v>
      </c>
      <c r="N129" s="14">
        <v>123</v>
      </c>
      <c r="O129" s="14">
        <f t="shared" si="21"/>
        <v>5733.54</v>
      </c>
      <c r="P129" s="14">
        <v>14</v>
      </c>
      <c r="Q129" s="14">
        <f t="shared" si="34"/>
        <v>95400</v>
      </c>
      <c r="T129" s="14">
        <v>123</v>
      </c>
      <c r="U129" s="14">
        <f t="shared" si="23"/>
        <v>8600.31</v>
      </c>
      <c r="V129" s="14">
        <v>20</v>
      </c>
      <c r="W129" s="14">
        <f t="shared" si="35"/>
        <v>143100</v>
      </c>
      <c r="Y129" s="14">
        <v>123</v>
      </c>
      <c r="Z129" s="108">
        <f t="shared" si="40"/>
        <v>47700</v>
      </c>
      <c r="AA129" s="103">
        <f t="shared" si="36"/>
        <v>95400</v>
      </c>
      <c r="AB129" s="103">
        <f t="shared" si="37"/>
        <v>143100</v>
      </c>
      <c r="AD129" s="14">
        <v>123</v>
      </c>
      <c r="AE129" s="14">
        <f t="shared" si="41"/>
        <v>75</v>
      </c>
      <c r="AF129" s="14">
        <f t="shared" si="38"/>
        <v>59</v>
      </c>
      <c r="AM129">
        <v>5.94</v>
      </c>
    </row>
    <row r="130" spans="1:39" x14ac:dyDescent="0.25">
      <c r="A130" s="14">
        <v>124</v>
      </c>
      <c r="B130" s="14">
        <v>482</v>
      </c>
      <c r="C130" s="14">
        <v>0.99999999999999989</v>
      </c>
      <c r="D130" s="14">
        <f t="shared" si="19"/>
        <v>6.05</v>
      </c>
      <c r="E130" s="14">
        <f t="shared" si="20"/>
        <v>2916.1</v>
      </c>
      <c r="F130" s="102">
        <v>10</v>
      </c>
      <c r="G130" s="14">
        <f ca="1">_xlfn.IFNA(INDEX(玩家节奏1!$EC:$EC,MATCH(关卡对比!A130,玩家节奏1!$N:$N,1)),1)</f>
        <v>5.9400000000000013</v>
      </c>
      <c r="H130" s="14">
        <f ca="1">_xlfn.IFNA(INDEX(玩家节奏2!$FG:$FG,MATCH(关卡对比!A130,玩家节奏2!$N:$N,1)),1)</f>
        <v>10.802880000000002</v>
      </c>
      <c r="I130" s="14">
        <v>6.05</v>
      </c>
      <c r="J130" s="14">
        <f t="shared" si="39"/>
        <v>48200</v>
      </c>
      <c r="K130" s="14">
        <f t="shared" si="18"/>
        <v>48200</v>
      </c>
      <c r="N130" s="14">
        <v>124</v>
      </c>
      <c r="O130" s="14">
        <f t="shared" si="21"/>
        <v>5832.2</v>
      </c>
      <c r="P130" s="14">
        <v>14</v>
      </c>
      <c r="Q130" s="14">
        <f t="shared" si="34"/>
        <v>96400</v>
      </c>
      <c r="T130" s="14">
        <v>124</v>
      </c>
      <c r="U130" s="14">
        <f t="shared" si="23"/>
        <v>8748.2999999999993</v>
      </c>
      <c r="V130" s="14">
        <v>20</v>
      </c>
      <c r="W130" s="14">
        <f t="shared" si="35"/>
        <v>144600</v>
      </c>
      <c r="Y130" s="14">
        <v>124</v>
      </c>
      <c r="Z130" s="108">
        <f t="shared" si="40"/>
        <v>48200</v>
      </c>
      <c r="AA130" s="103">
        <f t="shared" si="36"/>
        <v>96400</v>
      </c>
      <c r="AB130" s="103">
        <f t="shared" si="37"/>
        <v>144600</v>
      </c>
      <c r="AD130" s="14">
        <v>124</v>
      </c>
      <c r="AE130" s="14">
        <f t="shared" si="41"/>
        <v>75</v>
      </c>
      <c r="AF130" s="14">
        <f t="shared" si="38"/>
        <v>59</v>
      </c>
      <c r="AM130">
        <v>5.94</v>
      </c>
    </row>
    <row r="131" spans="1:39" x14ac:dyDescent="0.25">
      <c r="A131" s="14">
        <v>125</v>
      </c>
      <c r="B131" s="14">
        <v>487</v>
      </c>
      <c r="C131" s="14">
        <v>0.99999999999999989</v>
      </c>
      <c r="D131" s="14">
        <f t="shared" si="19"/>
        <v>6.09</v>
      </c>
      <c r="E131" s="14">
        <f t="shared" si="20"/>
        <v>2965.83</v>
      </c>
      <c r="F131" s="102">
        <v>10</v>
      </c>
      <c r="G131" s="14">
        <f ca="1">_xlfn.IFNA(INDEX(玩家节奏1!$EC:$EC,MATCH(关卡对比!A131,玩家节奏1!$N:$N,1)),1)</f>
        <v>5.9400000000000013</v>
      </c>
      <c r="H131" s="14">
        <f ca="1">_xlfn.IFNA(INDEX(玩家节奏2!$FG:$FG,MATCH(关卡对比!A131,玩家节奏2!$N:$N,1)),1)</f>
        <v>10.802880000000002</v>
      </c>
      <c r="I131" s="14">
        <v>6.09</v>
      </c>
      <c r="J131" s="14">
        <f t="shared" si="39"/>
        <v>48700</v>
      </c>
      <c r="K131" s="14">
        <f t="shared" si="18"/>
        <v>48700</v>
      </c>
      <c r="N131" s="14">
        <v>125</v>
      </c>
      <c r="O131" s="14">
        <f t="shared" si="21"/>
        <v>5931.66</v>
      </c>
      <c r="P131" s="14">
        <v>14</v>
      </c>
      <c r="Q131" s="14">
        <f t="shared" si="34"/>
        <v>97400</v>
      </c>
      <c r="T131" s="14">
        <v>125</v>
      </c>
      <c r="U131" s="14">
        <f t="shared" si="23"/>
        <v>8897.49</v>
      </c>
      <c r="V131" s="14">
        <v>20</v>
      </c>
      <c r="W131" s="14">
        <f t="shared" si="35"/>
        <v>146100</v>
      </c>
      <c r="Y131" s="14">
        <v>125</v>
      </c>
      <c r="Z131" s="108">
        <f t="shared" si="40"/>
        <v>48700</v>
      </c>
      <c r="AA131" s="103">
        <f t="shared" si="36"/>
        <v>97400</v>
      </c>
      <c r="AB131" s="103">
        <f t="shared" si="37"/>
        <v>146100</v>
      </c>
      <c r="AD131" s="14">
        <v>125</v>
      </c>
      <c r="AE131" s="14">
        <f t="shared" si="41"/>
        <v>76</v>
      </c>
      <c r="AF131" s="14">
        <f t="shared" si="38"/>
        <v>60</v>
      </c>
      <c r="AM131">
        <v>5.94</v>
      </c>
    </row>
    <row r="132" spans="1:39" x14ac:dyDescent="0.25">
      <c r="A132" s="14">
        <v>126</v>
      </c>
      <c r="B132" s="14">
        <v>492</v>
      </c>
      <c r="C132" s="14">
        <v>0.99999999999999989</v>
      </c>
      <c r="D132" s="14">
        <f t="shared" si="19"/>
        <v>6.13</v>
      </c>
      <c r="E132" s="14">
        <f t="shared" si="20"/>
        <v>3015.96</v>
      </c>
      <c r="F132" s="102">
        <v>10</v>
      </c>
      <c r="G132" s="14">
        <f ca="1">_xlfn.IFNA(INDEX(玩家节奏1!$EC:$EC,MATCH(关卡对比!A132,玩家节奏1!$N:$N,1)),1)</f>
        <v>5.9400000000000013</v>
      </c>
      <c r="H132" s="14">
        <f ca="1">_xlfn.IFNA(INDEX(玩家节奏2!$FG:$FG,MATCH(关卡对比!A132,玩家节奏2!$N:$N,1)),1)</f>
        <v>11.253000000000002</v>
      </c>
      <c r="I132" s="14">
        <v>6.13</v>
      </c>
      <c r="J132" s="14">
        <f t="shared" si="39"/>
        <v>49200</v>
      </c>
      <c r="K132" s="14">
        <f t="shared" si="18"/>
        <v>49200</v>
      </c>
      <c r="N132" s="14">
        <v>126</v>
      </c>
      <c r="O132" s="14">
        <f t="shared" si="21"/>
        <v>6031.92</v>
      </c>
      <c r="P132" s="14">
        <v>14</v>
      </c>
      <c r="Q132" s="14">
        <f t="shared" si="34"/>
        <v>98400</v>
      </c>
      <c r="T132" s="14">
        <v>126</v>
      </c>
      <c r="U132" s="14">
        <f t="shared" si="23"/>
        <v>9047.880000000001</v>
      </c>
      <c r="V132" s="14">
        <v>20</v>
      </c>
      <c r="W132" s="14">
        <f t="shared" si="35"/>
        <v>147600</v>
      </c>
      <c r="Y132" s="14">
        <v>126</v>
      </c>
      <c r="Z132" s="108">
        <f t="shared" si="40"/>
        <v>49200</v>
      </c>
      <c r="AA132" s="103">
        <f t="shared" si="36"/>
        <v>98400</v>
      </c>
      <c r="AB132" s="103">
        <f t="shared" si="37"/>
        <v>147600</v>
      </c>
      <c r="AD132" s="14">
        <v>126</v>
      </c>
      <c r="AE132" s="14">
        <f t="shared" si="41"/>
        <v>76</v>
      </c>
      <c r="AF132" s="14">
        <f t="shared" si="38"/>
        <v>60</v>
      </c>
      <c r="AM132">
        <v>5.95</v>
      </c>
    </row>
    <row r="133" spans="1:39" x14ac:dyDescent="0.25">
      <c r="A133" s="14">
        <v>127</v>
      </c>
      <c r="B133" s="14">
        <v>497</v>
      </c>
      <c r="C133" s="14">
        <v>0.99999999999999989</v>
      </c>
      <c r="D133" s="14">
        <f t="shared" si="19"/>
        <v>6.16</v>
      </c>
      <c r="E133" s="14">
        <f t="shared" si="20"/>
        <v>3061.52</v>
      </c>
      <c r="F133" s="102">
        <v>10</v>
      </c>
      <c r="G133" s="14">
        <f ca="1">_xlfn.IFNA(INDEX(玩家节奏1!$EC:$EC,MATCH(关卡对比!A133,玩家节奏1!$N:$N,1)),1)</f>
        <v>6.16</v>
      </c>
      <c r="H133" s="14">
        <f ca="1">_xlfn.IFNA(INDEX(玩家节奏2!$FG:$FG,MATCH(关卡对比!A133,玩家节奏2!$N:$N,1)),1)</f>
        <v>11.253000000000002</v>
      </c>
      <c r="I133" s="14">
        <v>6.16</v>
      </c>
      <c r="J133" s="14">
        <f t="shared" si="39"/>
        <v>49700</v>
      </c>
      <c r="K133" s="14">
        <f t="shared" si="18"/>
        <v>49700</v>
      </c>
      <c r="N133" s="14">
        <v>127</v>
      </c>
      <c r="O133" s="14">
        <f t="shared" si="21"/>
        <v>6123.04</v>
      </c>
      <c r="P133" s="14">
        <v>14</v>
      </c>
      <c r="Q133" s="14">
        <f t="shared" si="34"/>
        <v>99400</v>
      </c>
      <c r="T133" s="14">
        <v>127</v>
      </c>
      <c r="U133" s="14">
        <f t="shared" si="23"/>
        <v>9184.56</v>
      </c>
      <c r="V133" s="14">
        <v>20</v>
      </c>
      <c r="W133" s="14">
        <f t="shared" si="35"/>
        <v>149100</v>
      </c>
      <c r="Y133" s="14">
        <v>127</v>
      </c>
      <c r="Z133" s="108">
        <f t="shared" si="40"/>
        <v>49700</v>
      </c>
      <c r="AA133" s="103">
        <f t="shared" si="36"/>
        <v>99400</v>
      </c>
      <c r="AB133" s="103">
        <f t="shared" si="37"/>
        <v>149100</v>
      </c>
      <c r="AD133" s="14">
        <v>127</v>
      </c>
      <c r="AE133" s="14">
        <f t="shared" si="41"/>
        <v>77</v>
      </c>
      <c r="AF133" s="14">
        <f t="shared" si="38"/>
        <v>60</v>
      </c>
      <c r="AM133">
        <v>6.16</v>
      </c>
    </row>
    <row r="134" spans="1:39" x14ac:dyDescent="0.25">
      <c r="A134" s="14">
        <v>128</v>
      </c>
      <c r="B134" s="14">
        <v>502</v>
      </c>
      <c r="C134" s="14">
        <v>0.99999999999999989</v>
      </c>
      <c r="D134" s="14">
        <f t="shared" si="19"/>
        <v>6.19</v>
      </c>
      <c r="E134" s="14">
        <f t="shared" si="20"/>
        <v>3107.38</v>
      </c>
      <c r="F134" s="102">
        <v>10</v>
      </c>
      <c r="G134" s="14">
        <f ca="1">_xlfn.IFNA(INDEX(玩家节奏1!$EC:$EC,MATCH(关卡对比!A134,玩家节奏1!$N:$N,1)),1)</f>
        <v>6.16</v>
      </c>
      <c r="H134" s="14">
        <f ca="1">_xlfn.IFNA(INDEX(玩家节奏2!$FG:$FG,MATCH(关卡对比!A134,玩家节奏2!$N:$N,1)),1)</f>
        <v>11.253000000000002</v>
      </c>
      <c r="I134" s="14">
        <v>6.19</v>
      </c>
      <c r="J134" s="14">
        <f t="shared" si="39"/>
        <v>50200</v>
      </c>
      <c r="K134" s="14">
        <f t="shared" si="18"/>
        <v>50200</v>
      </c>
      <c r="N134" s="14">
        <v>128</v>
      </c>
      <c r="O134" s="14">
        <f t="shared" si="21"/>
        <v>6214.76</v>
      </c>
      <c r="P134" s="14">
        <v>14</v>
      </c>
      <c r="Q134" s="14">
        <f t="shared" si="34"/>
        <v>100400</v>
      </c>
      <c r="T134" s="14">
        <v>128</v>
      </c>
      <c r="U134" s="14">
        <f t="shared" si="23"/>
        <v>9322.14</v>
      </c>
      <c r="V134" s="14">
        <v>20</v>
      </c>
      <c r="W134" s="14">
        <f t="shared" si="35"/>
        <v>150600</v>
      </c>
      <c r="Y134" s="14">
        <v>128</v>
      </c>
      <c r="Z134" s="108">
        <f t="shared" si="40"/>
        <v>50200</v>
      </c>
      <c r="AA134" s="103">
        <f t="shared" si="36"/>
        <v>100400</v>
      </c>
      <c r="AB134" s="103">
        <f t="shared" si="37"/>
        <v>150600</v>
      </c>
      <c r="AD134" s="14">
        <v>128</v>
      </c>
      <c r="AE134" s="14">
        <f t="shared" si="41"/>
        <v>77</v>
      </c>
      <c r="AF134" s="14">
        <f t="shared" si="38"/>
        <v>61</v>
      </c>
      <c r="AM134">
        <v>6.16</v>
      </c>
    </row>
    <row r="135" spans="1:39" x14ac:dyDescent="0.25">
      <c r="A135" s="14">
        <v>129</v>
      </c>
      <c r="B135" s="14">
        <v>507</v>
      </c>
      <c r="C135" s="14">
        <v>0.99999999999999989</v>
      </c>
      <c r="D135" s="14">
        <f t="shared" si="19"/>
        <v>6.22</v>
      </c>
      <c r="E135" s="14">
        <f t="shared" si="20"/>
        <v>3153.54</v>
      </c>
      <c r="F135" s="102">
        <v>10</v>
      </c>
      <c r="G135" s="14">
        <f ca="1">_xlfn.IFNA(INDEX(玩家节奏1!$EC:$EC,MATCH(关卡对比!A135,玩家节奏1!$N:$N,1)),1)</f>
        <v>6.16</v>
      </c>
      <c r="H135" s="14">
        <f ca="1">_xlfn.IFNA(INDEX(玩家节奏2!$FG:$FG,MATCH(关卡对比!A135,玩家节奏2!$N:$N,1)),1)</f>
        <v>11.253000000000002</v>
      </c>
      <c r="I135" s="14">
        <v>6.22</v>
      </c>
      <c r="J135" s="14">
        <f t="shared" si="39"/>
        <v>50700</v>
      </c>
      <c r="K135" s="14">
        <f t="shared" ref="K135:K198" si="42">B135*100</f>
        <v>50700</v>
      </c>
      <c r="N135" s="14">
        <v>129</v>
      </c>
      <c r="O135" s="14">
        <f t="shared" si="21"/>
        <v>6307.08</v>
      </c>
      <c r="P135" s="14">
        <v>14</v>
      </c>
      <c r="Q135" s="14">
        <f t="shared" si="34"/>
        <v>101400</v>
      </c>
      <c r="T135" s="14">
        <v>129</v>
      </c>
      <c r="U135" s="14">
        <f t="shared" si="23"/>
        <v>9460.619999999999</v>
      </c>
      <c r="V135" s="14">
        <v>20</v>
      </c>
      <c r="W135" s="14">
        <f t="shared" si="35"/>
        <v>152100</v>
      </c>
      <c r="Y135" s="14">
        <v>129</v>
      </c>
      <c r="Z135" s="108">
        <f t="shared" si="40"/>
        <v>50700</v>
      </c>
      <c r="AA135" s="103">
        <f t="shared" si="36"/>
        <v>101400</v>
      </c>
      <c r="AB135" s="103">
        <f t="shared" si="37"/>
        <v>152100</v>
      </c>
      <c r="AD135" s="14">
        <v>129</v>
      </c>
      <c r="AE135" s="14">
        <f t="shared" si="41"/>
        <v>78</v>
      </c>
      <c r="AF135" s="14">
        <f t="shared" si="38"/>
        <v>61</v>
      </c>
      <c r="AM135">
        <v>6.16</v>
      </c>
    </row>
    <row r="136" spans="1:39" x14ac:dyDescent="0.25">
      <c r="A136" s="14">
        <v>130</v>
      </c>
      <c r="B136" s="14">
        <v>512</v>
      </c>
      <c r="C136" s="14">
        <v>0.99999999999999989</v>
      </c>
      <c r="D136" s="14">
        <f t="shared" ref="D136:D199" si="43">ROUND(I136^C136,2)</f>
        <v>6.25</v>
      </c>
      <c r="E136" s="14">
        <f t="shared" ref="E136:E199" si="44">ROUND(B136*I136^C136,2)</f>
        <v>3200</v>
      </c>
      <c r="F136" s="102">
        <v>10</v>
      </c>
      <c r="G136" s="14">
        <f ca="1">_xlfn.IFNA(INDEX(玩家节奏1!$EC:$EC,MATCH(关卡对比!A136,玩家节奏1!$N:$N,1)),1)</f>
        <v>6.16</v>
      </c>
      <c r="H136" s="14">
        <f ca="1">_xlfn.IFNA(INDEX(玩家节奏2!$FG:$FG,MATCH(关卡对比!A136,玩家节奏2!$N:$N,1)),1)</f>
        <v>11.616</v>
      </c>
      <c r="I136" s="14">
        <v>6.25</v>
      </c>
      <c r="J136" s="14">
        <f t="shared" si="39"/>
        <v>51200</v>
      </c>
      <c r="K136" s="14">
        <f t="shared" si="42"/>
        <v>51200</v>
      </c>
      <c r="N136" s="14">
        <v>130</v>
      </c>
      <c r="O136" s="14">
        <f t="shared" ref="O136:O199" si="45">$B$2*E136</f>
        <v>6400</v>
      </c>
      <c r="P136" s="14">
        <v>14</v>
      </c>
      <c r="Q136" s="14">
        <f t="shared" si="34"/>
        <v>102400</v>
      </c>
      <c r="T136" s="14">
        <v>130</v>
      </c>
      <c r="U136" s="14">
        <f t="shared" ref="U136:U199" si="46">E136*$B$3</f>
        <v>9600</v>
      </c>
      <c r="V136" s="14">
        <v>20</v>
      </c>
      <c r="W136" s="14">
        <f t="shared" si="35"/>
        <v>153600</v>
      </c>
      <c r="Y136" s="14">
        <v>130</v>
      </c>
      <c r="Z136" s="108">
        <f t="shared" si="40"/>
        <v>51200</v>
      </c>
      <c r="AA136" s="103">
        <f t="shared" si="36"/>
        <v>102400</v>
      </c>
      <c r="AB136" s="103">
        <f t="shared" si="37"/>
        <v>153600</v>
      </c>
      <c r="AD136" s="14">
        <v>130</v>
      </c>
      <c r="AE136" s="14">
        <f t="shared" si="41"/>
        <v>78</v>
      </c>
      <c r="AF136" s="14">
        <f t="shared" si="38"/>
        <v>61</v>
      </c>
      <c r="AM136">
        <v>6.16</v>
      </c>
    </row>
    <row r="137" spans="1:39" x14ac:dyDescent="0.25">
      <c r="A137" s="14">
        <v>131</v>
      </c>
      <c r="B137" s="14">
        <v>517</v>
      </c>
      <c r="C137" s="14">
        <v>0.99999999999999989</v>
      </c>
      <c r="D137" s="14">
        <f t="shared" si="43"/>
        <v>6.28</v>
      </c>
      <c r="E137" s="14">
        <f t="shared" si="44"/>
        <v>3246.76</v>
      </c>
      <c r="F137" s="102">
        <v>10</v>
      </c>
      <c r="G137" s="14">
        <f ca="1">_xlfn.IFNA(INDEX(玩家节奏1!$EC:$EC,MATCH(关卡对比!A137,玩家节奏1!$N:$N,1)),1)</f>
        <v>6.16</v>
      </c>
      <c r="H137" s="14">
        <f ca="1">_xlfn.IFNA(INDEX(玩家节奏2!$FG:$FG,MATCH(关卡对比!A137,玩家节奏2!$N:$N,1)),1)</f>
        <v>11.616</v>
      </c>
      <c r="I137" s="14">
        <v>6.28</v>
      </c>
      <c r="J137" s="14">
        <f t="shared" si="39"/>
        <v>51700</v>
      </c>
      <c r="K137" s="14">
        <f t="shared" si="42"/>
        <v>51700</v>
      </c>
      <c r="N137" s="14">
        <v>131</v>
      </c>
      <c r="O137" s="14">
        <f t="shared" si="45"/>
        <v>6493.52</v>
      </c>
      <c r="P137" s="14">
        <v>14</v>
      </c>
      <c r="Q137" s="14">
        <f t="shared" si="34"/>
        <v>103400</v>
      </c>
      <c r="T137" s="14">
        <v>131</v>
      </c>
      <c r="U137" s="14">
        <f t="shared" si="46"/>
        <v>9740.2800000000007</v>
      </c>
      <c r="V137" s="14">
        <v>20</v>
      </c>
      <c r="W137" s="14">
        <f t="shared" si="35"/>
        <v>155100</v>
      </c>
      <c r="Y137" s="14">
        <v>131</v>
      </c>
      <c r="Z137" s="108">
        <f t="shared" si="40"/>
        <v>51700</v>
      </c>
      <c r="AA137" s="103">
        <f t="shared" si="36"/>
        <v>103400</v>
      </c>
      <c r="AB137" s="103">
        <f t="shared" si="37"/>
        <v>155100</v>
      </c>
      <c r="AD137" s="14">
        <v>131</v>
      </c>
      <c r="AE137" s="14">
        <f t="shared" si="41"/>
        <v>79</v>
      </c>
      <c r="AF137" s="14">
        <f t="shared" si="38"/>
        <v>62</v>
      </c>
      <c r="AM137">
        <v>6.16</v>
      </c>
    </row>
    <row r="138" spans="1:39" x14ac:dyDescent="0.25">
      <c r="A138" s="14">
        <v>132</v>
      </c>
      <c r="B138" s="14">
        <v>522</v>
      </c>
      <c r="C138" s="14">
        <v>0.99999999999999989</v>
      </c>
      <c r="D138" s="14">
        <f t="shared" si="43"/>
        <v>6.31</v>
      </c>
      <c r="E138" s="14">
        <f t="shared" si="44"/>
        <v>3293.82</v>
      </c>
      <c r="F138" s="102">
        <v>10</v>
      </c>
      <c r="G138" s="14">
        <f ca="1">_xlfn.IFNA(INDEX(玩家节奏1!$EC:$EC,MATCH(关卡对比!A138,玩家节奏1!$N:$N,1)),1)</f>
        <v>6.16</v>
      </c>
      <c r="H138" s="14">
        <f ca="1">_xlfn.IFNA(INDEX(玩家节奏2!$FG:$FG,MATCH(关卡对比!A138,玩家节奏2!$N:$N,1)),1)</f>
        <v>11.616</v>
      </c>
      <c r="I138" s="14">
        <v>6.31</v>
      </c>
      <c r="J138" s="14">
        <f t="shared" si="39"/>
        <v>52200</v>
      </c>
      <c r="K138" s="14">
        <f t="shared" si="42"/>
        <v>52200</v>
      </c>
      <c r="N138" s="14">
        <v>132</v>
      </c>
      <c r="O138" s="14">
        <f t="shared" si="45"/>
        <v>6587.64</v>
      </c>
      <c r="P138" s="14">
        <v>14</v>
      </c>
      <c r="Q138" s="14">
        <f t="shared" si="34"/>
        <v>104400</v>
      </c>
      <c r="T138" s="14">
        <v>132</v>
      </c>
      <c r="U138" s="14">
        <f t="shared" si="46"/>
        <v>9881.4600000000009</v>
      </c>
      <c r="V138" s="14">
        <v>20</v>
      </c>
      <c r="W138" s="14">
        <f t="shared" si="35"/>
        <v>156600</v>
      </c>
      <c r="Y138" s="14">
        <v>132</v>
      </c>
      <c r="Z138" s="108">
        <f t="shared" si="40"/>
        <v>52200</v>
      </c>
      <c r="AA138" s="103">
        <f t="shared" si="36"/>
        <v>104400</v>
      </c>
      <c r="AB138" s="103">
        <f t="shared" si="37"/>
        <v>156600</v>
      </c>
      <c r="AD138" s="14">
        <v>132</v>
      </c>
      <c r="AE138" s="14">
        <f t="shared" si="41"/>
        <v>79</v>
      </c>
      <c r="AF138" s="14">
        <f t="shared" si="38"/>
        <v>62</v>
      </c>
      <c r="AM138">
        <v>6.16</v>
      </c>
    </row>
    <row r="139" spans="1:39" x14ac:dyDescent="0.25">
      <c r="A139" s="14">
        <v>133</v>
      </c>
      <c r="B139" s="14">
        <v>527</v>
      </c>
      <c r="C139" s="14">
        <v>0.99999999999999989</v>
      </c>
      <c r="D139" s="14">
        <f t="shared" si="43"/>
        <v>6.34</v>
      </c>
      <c r="E139" s="14">
        <f t="shared" si="44"/>
        <v>3341.18</v>
      </c>
      <c r="F139" s="102">
        <v>10</v>
      </c>
      <c r="G139" s="14">
        <f ca="1">_xlfn.IFNA(INDEX(玩家节奏1!$EC:$EC,MATCH(关卡对比!A139,玩家节奏1!$N:$N,1)),1)</f>
        <v>6.16</v>
      </c>
      <c r="H139" s="14">
        <f ca="1">_xlfn.IFNA(INDEX(玩家节奏2!$FG:$FG,MATCH(关卡对比!A139,玩家节奏2!$N:$N,1)),1)</f>
        <v>11.616</v>
      </c>
      <c r="I139" s="14">
        <v>6.34</v>
      </c>
      <c r="J139" s="14">
        <f t="shared" si="39"/>
        <v>52700</v>
      </c>
      <c r="K139" s="14">
        <f t="shared" si="42"/>
        <v>52700</v>
      </c>
      <c r="N139" s="14">
        <v>133</v>
      </c>
      <c r="O139" s="14">
        <f t="shared" si="45"/>
        <v>6682.36</v>
      </c>
      <c r="P139" s="14">
        <v>14</v>
      </c>
      <c r="Q139" s="14">
        <f t="shared" si="34"/>
        <v>105400</v>
      </c>
      <c r="T139" s="14">
        <v>133</v>
      </c>
      <c r="U139" s="14">
        <f t="shared" si="46"/>
        <v>10023.539999999999</v>
      </c>
      <c r="V139" s="14">
        <v>20</v>
      </c>
      <c r="W139" s="14">
        <f t="shared" si="35"/>
        <v>158100</v>
      </c>
      <c r="Y139" s="14">
        <v>133</v>
      </c>
      <c r="Z139" s="108">
        <f t="shared" si="40"/>
        <v>52700</v>
      </c>
      <c r="AA139" s="103">
        <f t="shared" si="36"/>
        <v>105400</v>
      </c>
      <c r="AB139" s="103">
        <f t="shared" si="37"/>
        <v>158100</v>
      </c>
      <c r="AD139" s="14">
        <v>133</v>
      </c>
      <c r="AE139" s="14">
        <f t="shared" si="41"/>
        <v>80</v>
      </c>
      <c r="AF139" s="14">
        <f t="shared" si="38"/>
        <v>62</v>
      </c>
      <c r="AM139">
        <v>6.17</v>
      </c>
    </row>
    <row r="140" spans="1:39" x14ac:dyDescent="0.25">
      <c r="A140" s="14">
        <v>134</v>
      </c>
      <c r="B140" s="14">
        <v>532</v>
      </c>
      <c r="C140" s="14">
        <v>0.99999999999999989</v>
      </c>
      <c r="D140" s="14">
        <f t="shared" si="43"/>
        <v>6.38</v>
      </c>
      <c r="E140" s="14">
        <f t="shared" si="44"/>
        <v>3394.16</v>
      </c>
      <c r="F140" s="102">
        <v>10</v>
      </c>
      <c r="G140" s="14">
        <f ca="1">_xlfn.IFNA(INDEX(玩家节奏1!$EC:$EC,MATCH(关卡对比!A140,玩家节奏1!$N:$N,1)),1)</f>
        <v>6.38</v>
      </c>
      <c r="H140" s="14">
        <f ca="1">_xlfn.IFNA(INDEX(玩家节奏2!$FG:$FG,MATCH(关卡对比!A140,玩家节奏2!$N:$N,1)),1)</f>
        <v>11.616</v>
      </c>
      <c r="I140" s="14">
        <v>6.38</v>
      </c>
      <c r="J140" s="14">
        <f t="shared" si="39"/>
        <v>53200</v>
      </c>
      <c r="K140" s="14">
        <f t="shared" si="42"/>
        <v>53200</v>
      </c>
      <c r="N140" s="14">
        <v>134</v>
      </c>
      <c r="O140" s="14">
        <f t="shared" si="45"/>
        <v>6788.32</v>
      </c>
      <c r="P140" s="14">
        <v>14</v>
      </c>
      <c r="Q140" s="14">
        <f t="shared" si="34"/>
        <v>106400</v>
      </c>
      <c r="T140" s="14">
        <v>134</v>
      </c>
      <c r="U140" s="14">
        <f t="shared" si="46"/>
        <v>10182.48</v>
      </c>
      <c r="V140" s="14">
        <v>20</v>
      </c>
      <c r="W140" s="14">
        <f t="shared" si="35"/>
        <v>159600</v>
      </c>
      <c r="Y140" s="14">
        <v>134</v>
      </c>
      <c r="Z140" s="108">
        <f t="shared" si="40"/>
        <v>53200</v>
      </c>
      <c r="AA140" s="103">
        <f t="shared" si="36"/>
        <v>106400</v>
      </c>
      <c r="AB140" s="103">
        <f t="shared" si="37"/>
        <v>159600</v>
      </c>
      <c r="AD140" s="14">
        <v>134</v>
      </c>
      <c r="AE140" s="14">
        <f t="shared" si="41"/>
        <v>80</v>
      </c>
      <c r="AF140" s="14">
        <f t="shared" si="38"/>
        <v>63</v>
      </c>
      <c r="AM140">
        <v>6.38</v>
      </c>
    </row>
    <row r="141" spans="1:39" x14ac:dyDescent="0.25">
      <c r="A141" s="14">
        <v>135</v>
      </c>
      <c r="B141" s="14">
        <v>537</v>
      </c>
      <c r="C141" s="14">
        <v>0.99999999999999989</v>
      </c>
      <c r="D141" s="14">
        <f t="shared" si="43"/>
        <v>6.42</v>
      </c>
      <c r="E141" s="14">
        <f t="shared" si="44"/>
        <v>3447.54</v>
      </c>
      <c r="F141" s="102">
        <v>10</v>
      </c>
      <c r="G141" s="14">
        <f ca="1">_xlfn.IFNA(INDEX(玩家节奏1!$EC:$EC,MATCH(关卡对比!A141,玩家节奏1!$N:$N,1)),1)</f>
        <v>6.38</v>
      </c>
      <c r="H141" s="14">
        <f ca="1">_xlfn.IFNA(INDEX(玩家节奏2!$FG:$FG,MATCH(关卡对比!A141,玩家节奏2!$N:$N,1)),1)</f>
        <v>12.080640000000002</v>
      </c>
      <c r="I141" s="14">
        <v>6.42</v>
      </c>
      <c r="J141" s="14">
        <f t="shared" si="39"/>
        <v>53700</v>
      </c>
      <c r="K141" s="14">
        <f t="shared" si="42"/>
        <v>53700</v>
      </c>
      <c r="N141" s="14">
        <v>135</v>
      </c>
      <c r="O141" s="14">
        <f t="shared" si="45"/>
        <v>6895.08</v>
      </c>
      <c r="P141" s="14">
        <v>14</v>
      </c>
      <c r="Q141" s="14">
        <f t="shared" si="34"/>
        <v>107400</v>
      </c>
      <c r="T141" s="14">
        <v>135</v>
      </c>
      <c r="U141" s="14">
        <f t="shared" si="46"/>
        <v>10342.619999999999</v>
      </c>
      <c r="V141" s="14">
        <v>20</v>
      </c>
      <c r="W141" s="14">
        <f t="shared" si="35"/>
        <v>161100</v>
      </c>
      <c r="Y141" s="14">
        <v>135</v>
      </c>
      <c r="Z141" s="108">
        <f t="shared" si="40"/>
        <v>53700</v>
      </c>
      <c r="AA141" s="103">
        <f t="shared" si="36"/>
        <v>107400</v>
      </c>
      <c r="AB141" s="103">
        <f t="shared" si="37"/>
        <v>161100</v>
      </c>
      <c r="AD141" s="14">
        <v>135</v>
      </c>
      <c r="AE141" s="14">
        <f t="shared" si="41"/>
        <v>81</v>
      </c>
      <c r="AF141" s="14">
        <f t="shared" si="38"/>
        <v>63</v>
      </c>
      <c r="AM141">
        <v>6.38</v>
      </c>
    </row>
    <row r="142" spans="1:39" x14ac:dyDescent="0.25">
      <c r="A142" s="14">
        <v>136</v>
      </c>
      <c r="B142" s="14">
        <v>542</v>
      </c>
      <c r="C142" s="14">
        <v>0.99999999999999989</v>
      </c>
      <c r="D142" s="14">
        <f t="shared" si="43"/>
        <v>6.46</v>
      </c>
      <c r="E142" s="14">
        <f t="shared" si="44"/>
        <v>3501.32</v>
      </c>
      <c r="F142" s="102">
        <v>10</v>
      </c>
      <c r="G142" s="14">
        <f ca="1">_xlfn.IFNA(INDEX(玩家节奏1!$EC:$EC,MATCH(关卡对比!A142,玩家节奏1!$N:$N,1)),1)</f>
        <v>6.38</v>
      </c>
      <c r="H142" s="14">
        <f ca="1">_xlfn.IFNA(INDEX(玩家节奏2!$FG:$FG,MATCH(关卡对比!A142,玩家节奏2!$N:$N,1)),1)</f>
        <v>12.080640000000002</v>
      </c>
      <c r="I142" s="14">
        <v>6.46</v>
      </c>
      <c r="J142" s="14">
        <f t="shared" si="39"/>
        <v>54200</v>
      </c>
      <c r="K142" s="14">
        <f t="shared" si="42"/>
        <v>54200</v>
      </c>
      <c r="N142" s="14">
        <v>136</v>
      </c>
      <c r="O142" s="14">
        <f t="shared" si="45"/>
        <v>7002.64</v>
      </c>
      <c r="P142" s="14">
        <v>14</v>
      </c>
      <c r="Q142" s="14">
        <f t="shared" si="34"/>
        <v>108400</v>
      </c>
      <c r="T142" s="14">
        <v>136</v>
      </c>
      <c r="U142" s="14">
        <f t="shared" si="46"/>
        <v>10503.960000000001</v>
      </c>
      <c r="V142" s="14">
        <v>20</v>
      </c>
      <c r="W142" s="14">
        <f t="shared" si="35"/>
        <v>162600</v>
      </c>
      <c r="Y142" s="14">
        <v>136</v>
      </c>
      <c r="Z142" s="108">
        <f t="shared" si="40"/>
        <v>54200</v>
      </c>
      <c r="AA142" s="103">
        <f t="shared" si="36"/>
        <v>108400</v>
      </c>
      <c r="AB142" s="103">
        <f t="shared" si="37"/>
        <v>162600</v>
      </c>
      <c r="AD142" s="14">
        <v>136</v>
      </c>
      <c r="AE142" s="14">
        <f t="shared" si="41"/>
        <v>81</v>
      </c>
      <c r="AF142" s="14">
        <f t="shared" si="38"/>
        <v>63</v>
      </c>
      <c r="AM142">
        <v>6.38</v>
      </c>
    </row>
    <row r="143" spans="1:39" x14ac:dyDescent="0.25">
      <c r="A143" s="14">
        <v>137</v>
      </c>
      <c r="B143" s="14">
        <v>547</v>
      </c>
      <c r="C143" s="14">
        <v>0.99999999999999989</v>
      </c>
      <c r="D143" s="14">
        <f t="shared" si="43"/>
        <v>6.51</v>
      </c>
      <c r="E143" s="14">
        <f t="shared" si="44"/>
        <v>3560.97</v>
      </c>
      <c r="F143" s="102">
        <v>10</v>
      </c>
      <c r="G143" s="14">
        <f ca="1">_xlfn.IFNA(INDEX(玩家节奏1!$EC:$EC,MATCH(关卡对比!A143,玩家节奏1!$N:$N,1)),1)</f>
        <v>6.38</v>
      </c>
      <c r="H143" s="14">
        <f ca="1">_xlfn.IFNA(INDEX(玩家节奏2!$FG:$FG,MATCH(关卡对比!A143,玩家节奏2!$N:$N,1)),1)</f>
        <v>12.080640000000002</v>
      </c>
      <c r="I143" s="14">
        <v>6.51</v>
      </c>
      <c r="J143" s="14">
        <f t="shared" si="39"/>
        <v>54700</v>
      </c>
      <c r="K143" s="14">
        <f t="shared" si="42"/>
        <v>54700</v>
      </c>
      <c r="N143" s="14">
        <v>137</v>
      </c>
      <c r="O143" s="14">
        <f t="shared" si="45"/>
        <v>7121.94</v>
      </c>
      <c r="P143" s="14">
        <v>14</v>
      </c>
      <c r="Q143" s="14">
        <f t="shared" si="34"/>
        <v>109400</v>
      </c>
      <c r="T143" s="14">
        <v>137</v>
      </c>
      <c r="U143" s="14">
        <f t="shared" si="46"/>
        <v>10682.91</v>
      </c>
      <c r="V143" s="14">
        <v>20</v>
      </c>
      <c r="W143" s="14">
        <f t="shared" si="35"/>
        <v>164100</v>
      </c>
      <c r="Y143" s="14">
        <v>137</v>
      </c>
      <c r="Z143" s="108">
        <f t="shared" si="40"/>
        <v>54700</v>
      </c>
      <c r="AA143" s="103">
        <f t="shared" si="36"/>
        <v>109400</v>
      </c>
      <c r="AB143" s="103">
        <f t="shared" si="37"/>
        <v>164100</v>
      </c>
      <c r="AD143" s="14">
        <v>137</v>
      </c>
      <c r="AE143" s="14">
        <f t="shared" si="41"/>
        <v>82</v>
      </c>
      <c r="AF143" s="14">
        <f t="shared" si="38"/>
        <v>64</v>
      </c>
      <c r="AM143">
        <v>6.38</v>
      </c>
    </row>
    <row r="144" spans="1:39" x14ac:dyDescent="0.25">
      <c r="A144" s="14">
        <v>138</v>
      </c>
      <c r="B144" s="14">
        <v>552</v>
      </c>
      <c r="C144" s="14">
        <v>0.99999999999999989</v>
      </c>
      <c r="D144" s="14">
        <f t="shared" si="43"/>
        <v>6.55</v>
      </c>
      <c r="E144" s="14">
        <f t="shared" si="44"/>
        <v>3615.6</v>
      </c>
      <c r="F144" s="102">
        <v>10</v>
      </c>
      <c r="G144" s="14">
        <f ca="1">_xlfn.IFNA(INDEX(玩家节奏1!$EC:$EC,MATCH(关卡对比!A144,玩家节奏1!$N:$N,1)),1)</f>
        <v>6.38</v>
      </c>
      <c r="H144" s="14">
        <f ca="1">_xlfn.IFNA(INDEX(玩家节奏2!$FG:$FG,MATCH(关卡对比!A144,玩家节奏2!$N:$N,1)),1)</f>
        <v>12.080640000000002</v>
      </c>
      <c r="I144" s="14">
        <v>6.55</v>
      </c>
      <c r="J144" s="14">
        <f t="shared" si="39"/>
        <v>55200</v>
      </c>
      <c r="K144" s="14">
        <f t="shared" si="42"/>
        <v>55200</v>
      </c>
      <c r="N144" s="14">
        <v>138</v>
      </c>
      <c r="O144" s="14">
        <f t="shared" si="45"/>
        <v>7231.2</v>
      </c>
      <c r="P144" s="14">
        <v>14</v>
      </c>
      <c r="Q144" s="14">
        <f t="shared" si="34"/>
        <v>110400</v>
      </c>
      <c r="T144" s="14">
        <v>138</v>
      </c>
      <c r="U144" s="14">
        <f t="shared" si="46"/>
        <v>10846.8</v>
      </c>
      <c r="V144" s="14">
        <v>20</v>
      </c>
      <c r="W144" s="14">
        <f t="shared" si="35"/>
        <v>165600</v>
      </c>
      <c r="Y144" s="14">
        <v>138</v>
      </c>
      <c r="Z144" s="108">
        <f t="shared" si="40"/>
        <v>55200</v>
      </c>
      <c r="AA144" s="103">
        <f t="shared" si="36"/>
        <v>110400</v>
      </c>
      <c r="AB144" s="103">
        <f t="shared" si="37"/>
        <v>165600</v>
      </c>
      <c r="AD144" s="14">
        <v>138</v>
      </c>
      <c r="AE144" s="14">
        <f t="shared" si="41"/>
        <v>82</v>
      </c>
      <c r="AF144" s="14">
        <f t="shared" si="38"/>
        <v>64</v>
      </c>
      <c r="AM144">
        <v>6.39</v>
      </c>
    </row>
    <row r="145" spans="1:39" x14ac:dyDescent="0.25">
      <c r="A145" s="14">
        <v>139</v>
      </c>
      <c r="B145" s="14">
        <v>557</v>
      </c>
      <c r="C145" s="14">
        <v>0.99999999999999989</v>
      </c>
      <c r="D145" s="14">
        <f t="shared" si="43"/>
        <v>6.6</v>
      </c>
      <c r="E145" s="14">
        <f t="shared" si="44"/>
        <v>3676.2</v>
      </c>
      <c r="F145" s="102">
        <v>10</v>
      </c>
      <c r="G145" s="14">
        <f ca="1">_xlfn.IFNA(INDEX(玩家节奏1!$EC:$EC,MATCH(关卡对比!A145,玩家节奏1!$N:$N,1)),1)</f>
        <v>6.6000000000000005</v>
      </c>
      <c r="H145" s="14">
        <f ca="1">_xlfn.IFNA(INDEX(玩家节奏2!$FG:$FG,MATCH(关卡对比!A145,玩家节奏2!$N:$N,1)),1)</f>
        <v>12.545280000000004</v>
      </c>
      <c r="I145" s="14">
        <v>6.6</v>
      </c>
      <c r="J145" s="14">
        <f t="shared" si="39"/>
        <v>55700</v>
      </c>
      <c r="K145" s="14">
        <f t="shared" si="42"/>
        <v>55700</v>
      </c>
      <c r="N145" s="14">
        <v>139</v>
      </c>
      <c r="O145" s="14">
        <f t="shared" si="45"/>
        <v>7352.4</v>
      </c>
      <c r="P145" s="14">
        <v>14</v>
      </c>
      <c r="Q145" s="14">
        <f t="shared" si="34"/>
        <v>111400</v>
      </c>
      <c r="T145" s="14">
        <v>139</v>
      </c>
      <c r="U145" s="14">
        <f t="shared" si="46"/>
        <v>11028.599999999999</v>
      </c>
      <c r="V145" s="14">
        <v>20</v>
      </c>
      <c r="W145" s="14">
        <f t="shared" si="35"/>
        <v>167100</v>
      </c>
      <c r="Y145" s="14">
        <v>139</v>
      </c>
      <c r="Z145" s="108">
        <f t="shared" si="40"/>
        <v>55700</v>
      </c>
      <c r="AA145" s="103">
        <f t="shared" si="36"/>
        <v>111400</v>
      </c>
      <c r="AB145" s="103">
        <f t="shared" si="37"/>
        <v>167100</v>
      </c>
      <c r="AD145" s="14">
        <v>139</v>
      </c>
      <c r="AE145" s="14">
        <f t="shared" si="41"/>
        <v>83</v>
      </c>
      <c r="AF145" s="14">
        <f t="shared" si="38"/>
        <v>64</v>
      </c>
      <c r="AM145">
        <v>6.6</v>
      </c>
    </row>
    <row r="146" spans="1:39" x14ac:dyDescent="0.25">
      <c r="A146" s="14">
        <v>140</v>
      </c>
      <c r="B146" s="14">
        <v>562</v>
      </c>
      <c r="C146" s="14">
        <v>0.99999999999999989</v>
      </c>
      <c r="D146" s="14">
        <f t="shared" si="43"/>
        <v>6.65</v>
      </c>
      <c r="E146" s="14">
        <f t="shared" si="44"/>
        <v>3737.3</v>
      </c>
      <c r="F146" s="102">
        <v>10</v>
      </c>
      <c r="G146" s="14">
        <f ca="1">_xlfn.IFNA(INDEX(玩家节奏1!$EC:$EC,MATCH(关卡对比!A146,玩家节奏1!$N:$N,1)),1)</f>
        <v>6.6000000000000005</v>
      </c>
      <c r="H146" s="14">
        <f ca="1">_xlfn.IFNA(INDEX(玩家节奏2!$FG:$FG,MATCH(关卡对比!A146,玩家节奏2!$N:$N,1)),1)</f>
        <v>12.545280000000004</v>
      </c>
      <c r="I146" s="14">
        <v>6.65</v>
      </c>
      <c r="J146" s="14">
        <f t="shared" si="39"/>
        <v>56200</v>
      </c>
      <c r="K146" s="14">
        <f t="shared" si="42"/>
        <v>56200</v>
      </c>
      <c r="N146" s="14">
        <v>140</v>
      </c>
      <c r="O146" s="14">
        <f t="shared" si="45"/>
        <v>7474.6</v>
      </c>
      <c r="P146" s="14">
        <v>14</v>
      </c>
      <c r="Q146" s="14">
        <f t="shared" si="34"/>
        <v>112400</v>
      </c>
      <c r="T146" s="14">
        <v>140</v>
      </c>
      <c r="U146" s="14">
        <f t="shared" si="46"/>
        <v>11211.900000000001</v>
      </c>
      <c r="V146" s="14">
        <v>20</v>
      </c>
      <c r="W146" s="14">
        <f t="shared" si="35"/>
        <v>168600</v>
      </c>
      <c r="Y146" s="14">
        <v>140</v>
      </c>
      <c r="Z146" s="108">
        <f t="shared" si="40"/>
        <v>56200</v>
      </c>
      <c r="AA146" s="103">
        <f t="shared" si="36"/>
        <v>112400</v>
      </c>
      <c r="AB146" s="103">
        <f t="shared" si="37"/>
        <v>168600</v>
      </c>
      <c r="AD146" s="14">
        <v>140</v>
      </c>
      <c r="AE146" s="14">
        <f t="shared" si="41"/>
        <v>83</v>
      </c>
      <c r="AF146" s="14">
        <f t="shared" si="38"/>
        <v>65</v>
      </c>
      <c r="AM146">
        <v>6.6</v>
      </c>
    </row>
    <row r="147" spans="1:39" x14ac:dyDescent="0.25">
      <c r="A147" s="14">
        <v>141</v>
      </c>
      <c r="B147" s="14">
        <v>567</v>
      </c>
      <c r="C147" s="14">
        <v>0.99999999999999989</v>
      </c>
      <c r="D147" s="14">
        <f t="shared" si="43"/>
        <v>6.69</v>
      </c>
      <c r="E147" s="14">
        <f t="shared" si="44"/>
        <v>3793.23</v>
      </c>
      <c r="F147" s="102">
        <v>10</v>
      </c>
      <c r="G147" s="14">
        <f ca="1">_xlfn.IFNA(INDEX(玩家节奏1!$EC:$EC,MATCH(关卡对比!A147,玩家节奏1!$N:$N,1)),1)</f>
        <v>6.6000000000000005</v>
      </c>
      <c r="H147" s="14">
        <f ca="1">_xlfn.IFNA(INDEX(玩家节奏2!$FG:$FG,MATCH(关卡对比!A147,玩家节奏2!$N:$N,1)),1)</f>
        <v>12.545280000000004</v>
      </c>
      <c r="I147" s="14">
        <v>6.69</v>
      </c>
      <c r="J147" s="14">
        <f t="shared" ref="J147:J152" si="47">K147</f>
        <v>56700</v>
      </c>
      <c r="K147" s="14">
        <f t="shared" si="42"/>
        <v>56700</v>
      </c>
      <c r="N147" s="14">
        <v>141</v>
      </c>
      <c r="O147" s="14">
        <f t="shared" si="45"/>
        <v>7586.46</v>
      </c>
      <c r="P147" s="14">
        <v>14</v>
      </c>
      <c r="Q147" s="14">
        <f t="shared" ref="Q147:Q152" si="48">J147*$B$2</f>
        <v>113400</v>
      </c>
      <c r="T147" s="14">
        <v>141</v>
      </c>
      <c r="U147" s="14">
        <f t="shared" si="46"/>
        <v>11379.69</v>
      </c>
      <c r="V147" s="14">
        <v>20</v>
      </c>
      <c r="W147" s="14">
        <f t="shared" ref="W147:W152" si="49">J147*$B$3</f>
        <v>170100</v>
      </c>
      <c r="Y147" s="14">
        <v>141</v>
      </c>
      <c r="Z147" s="108">
        <f t="shared" ref="Z147:Z152" si="50">J147</f>
        <v>56700</v>
      </c>
      <c r="AA147" s="103">
        <f t="shared" ref="AA147:AA152" si="51">Q147</f>
        <v>113400</v>
      </c>
      <c r="AB147" s="103">
        <f t="shared" ref="AB147:AB152" si="52">W147</f>
        <v>170100</v>
      </c>
      <c r="AD147" s="14">
        <v>141</v>
      </c>
      <c r="AE147" s="14">
        <f t="shared" ref="AE147:AE152" si="53">_xlfn.IFNA(INDEX($Y:$Y,MATCH($Z147,AA:AA,1)),0)</f>
        <v>84</v>
      </c>
      <c r="AF147" s="14">
        <f t="shared" ref="AF147:AF152" si="54">_xlfn.IFNA(INDEX($Y:$Y,MATCH($Z147,AB:AB,1)),0)</f>
        <v>65</v>
      </c>
      <c r="AM147">
        <v>6.6</v>
      </c>
    </row>
    <row r="148" spans="1:39" x14ac:dyDescent="0.25">
      <c r="A148" s="14">
        <v>142</v>
      </c>
      <c r="B148" s="14">
        <v>572</v>
      </c>
      <c r="C148" s="14">
        <v>0.99999999999999989</v>
      </c>
      <c r="D148" s="14">
        <f t="shared" si="43"/>
        <v>6.74</v>
      </c>
      <c r="E148" s="14">
        <f t="shared" si="44"/>
        <v>3855.28</v>
      </c>
      <c r="F148" s="102">
        <v>10</v>
      </c>
      <c r="G148" s="14">
        <f ca="1">_xlfn.IFNA(INDEX(玩家节奏1!$EC:$EC,MATCH(关卡对比!A148,玩家节奏1!$N:$N,1)),1)</f>
        <v>6.6000000000000005</v>
      </c>
      <c r="H148" s="14">
        <f ca="1">_xlfn.IFNA(INDEX(玩家节奏2!$FG:$FG,MATCH(关卡对比!A148,玩家节奏2!$N:$N,1)),1)</f>
        <v>12.545280000000004</v>
      </c>
      <c r="I148" s="14">
        <v>6.74</v>
      </c>
      <c r="J148" s="14">
        <f t="shared" si="47"/>
        <v>57200</v>
      </c>
      <c r="K148" s="14">
        <f t="shared" si="42"/>
        <v>57200</v>
      </c>
      <c r="N148" s="14">
        <v>142</v>
      </c>
      <c r="O148" s="14">
        <f t="shared" si="45"/>
        <v>7710.56</v>
      </c>
      <c r="P148" s="14">
        <v>14</v>
      </c>
      <c r="Q148" s="14">
        <f t="shared" si="48"/>
        <v>114400</v>
      </c>
      <c r="T148" s="14">
        <v>142</v>
      </c>
      <c r="U148" s="14">
        <f t="shared" si="46"/>
        <v>11565.84</v>
      </c>
      <c r="V148" s="14">
        <v>20</v>
      </c>
      <c r="W148" s="14">
        <f t="shared" si="49"/>
        <v>171600</v>
      </c>
      <c r="Y148" s="14">
        <v>142</v>
      </c>
      <c r="Z148" s="108">
        <f t="shared" si="50"/>
        <v>57200</v>
      </c>
      <c r="AA148" s="103">
        <f t="shared" si="51"/>
        <v>114400</v>
      </c>
      <c r="AB148" s="103">
        <f t="shared" si="52"/>
        <v>171600</v>
      </c>
      <c r="AD148" s="14">
        <v>142</v>
      </c>
      <c r="AE148" s="14">
        <f t="shared" si="53"/>
        <v>84</v>
      </c>
      <c r="AF148" s="14">
        <f t="shared" si="54"/>
        <v>65</v>
      </c>
      <c r="AM148">
        <v>6.6</v>
      </c>
    </row>
    <row r="149" spans="1:39" x14ac:dyDescent="0.25">
      <c r="A149" s="14">
        <v>143</v>
      </c>
      <c r="B149" s="14">
        <v>577</v>
      </c>
      <c r="C149" s="14">
        <v>0.99999999999999989</v>
      </c>
      <c r="D149" s="14">
        <f t="shared" si="43"/>
        <v>6.78</v>
      </c>
      <c r="E149" s="14">
        <f t="shared" si="44"/>
        <v>3912.06</v>
      </c>
      <c r="F149" s="102">
        <v>10</v>
      </c>
      <c r="G149" s="14">
        <f ca="1">_xlfn.IFNA(INDEX(玩家节奏1!$EC:$EC,MATCH(关卡对比!A149,玩家节奏1!$N:$N,1)),1)</f>
        <v>6.6000000000000005</v>
      </c>
      <c r="H149" s="14">
        <f ca="1">_xlfn.IFNA(INDEX(玩家节奏2!$FG:$FG,MATCH(关卡对比!A149,玩家节奏2!$N:$N,1)),1)</f>
        <v>12.545280000000004</v>
      </c>
      <c r="I149" s="14">
        <v>6.78</v>
      </c>
      <c r="J149" s="14">
        <f t="shared" si="47"/>
        <v>57700</v>
      </c>
      <c r="K149" s="14">
        <f t="shared" si="42"/>
        <v>57700</v>
      </c>
      <c r="N149" s="14">
        <v>143</v>
      </c>
      <c r="O149" s="14">
        <f t="shared" si="45"/>
        <v>7824.12</v>
      </c>
      <c r="P149" s="14">
        <v>14</v>
      </c>
      <c r="Q149" s="14">
        <f t="shared" si="48"/>
        <v>115400</v>
      </c>
      <c r="T149" s="14">
        <v>143</v>
      </c>
      <c r="U149" s="14">
        <f t="shared" si="46"/>
        <v>11736.18</v>
      </c>
      <c r="V149" s="14">
        <v>20</v>
      </c>
      <c r="W149" s="14">
        <f t="shared" si="49"/>
        <v>173100</v>
      </c>
      <c r="Y149" s="14">
        <v>143</v>
      </c>
      <c r="Z149" s="108">
        <f t="shared" si="50"/>
        <v>57700</v>
      </c>
      <c r="AA149" s="103">
        <f t="shared" si="51"/>
        <v>115400</v>
      </c>
      <c r="AB149" s="103">
        <f t="shared" si="52"/>
        <v>173100</v>
      </c>
      <c r="AD149" s="14">
        <v>143</v>
      </c>
      <c r="AE149" s="14">
        <f t="shared" si="53"/>
        <v>85</v>
      </c>
      <c r="AF149" s="14">
        <f t="shared" si="54"/>
        <v>66</v>
      </c>
      <c r="AM149">
        <v>6.61</v>
      </c>
    </row>
    <row r="150" spans="1:39" x14ac:dyDescent="0.25">
      <c r="A150" s="14">
        <v>144</v>
      </c>
      <c r="B150" s="14">
        <v>582</v>
      </c>
      <c r="C150" s="14">
        <v>0.99999999999999989</v>
      </c>
      <c r="D150" s="14">
        <f t="shared" si="43"/>
        <v>6.82</v>
      </c>
      <c r="E150" s="14">
        <f t="shared" si="44"/>
        <v>3969.24</v>
      </c>
      <c r="F150" s="102">
        <v>10</v>
      </c>
      <c r="G150" s="14">
        <f ca="1">_xlfn.IFNA(INDEX(玩家节奏1!$EC:$EC,MATCH(关卡对比!A150,玩家节奏1!$N:$N,1)),1)</f>
        <v>6.8200000000000012</v>
      </c>
      <c r="H150" s="14">
        <f ca="1">_xlfn.IFNA(INDEX(玩家节奏2!$FG:$FG,MATCH(关卡对比!A150,玩家节奏2!$N:$N,1)),1)</f>
        <v>12.545280000000004</v>
      </c>
      <c r="I150" s="14">
        <v>6.82</v>
      </c>
      <c r="J150" s="14">
        <f t="shared" si="47"/>
        <v>58200</v>
      </c>
      <c r="K150" s="14">
        <f t="shared" si="42"/>
        <v>58200</v>
      </c>
      <c r="N150" s="14">
        <v>144</v>
      </c>
      <c r="O150" s="14">
        <f t="shared" si="45"/>
        <v>7938.48</v>
      </c>
      <c r="P150" s="14">
        <v>14</v>
      </c>
      <c r="Q150" s="14">
        <f t="shared" si="48"/>
        <v>116400</v>
      </c>
      <c r="T150" s="14">
        <v>144</v>
      </c>
      <c r="U150" s="14">
        <f t="shared" si="46"/>
        <v>11907.72</v>
      </c>
      <c r="V150" s="14">
        <v>20</v>
      </c>
      <c r="W150" s="14">
        <f t="shared" si="49"/>
        <v>174600</v>
      </c>
      <c r="Y150" s="14">
        <v>144</v>
      </c>
      <c r="Z150" s="108">
        <f t="shared" si="50"/>
        <v>58200</v>
      </c>
      <c r="AA150" s="103">
        <f t="shared" si="51"/>
        <v>116400</v>
      </c>
      <c r="AB150" s="103">
        <f t="shared" si="52"/>
        <v>174600</v>
      </c>
      <c r="AD150" s="14">
        <v>144</v>
      </c>
      <c r="AE150" s="14">
        <f t="shared" si="53"/>
        <v>85</v>
      </c>
      <c r="AF150" s="14">
        <f t="shared" si="54"/>
        <v>66</v>
      </c>
      <c r="AM150">
        <v>6.82</v>
      </c>
    </row>
    <row r="151" spans="1:39" x14ac:dyDescent="0.25">
      <c r="A151" s="14">
        <v>145</v>
      </c>
      <c r="B151" s="14">
        <v>587</v>
      </c>
      <c r="C151" s="14">
        <v>0.99999999999999989</v>
      </c>
      <c r="D151" s="14">
        <f t="shared" si="43"/>
        <v>6.85</v>
      </c>
      <c r="E151" s="14">
        <f t="shared" si="44"/>
        <v>4020.95</v>
      </c>
      <c r="F151" s="102">
        <v>10</v>
      </c>
      <c r="G151" s="14">
        <f ca="1">_xlfn.IFNA(INDEX(玩家节奏1!$EC:$EC,MATCH(关卡对比!A151,玩家节奏1!$N:$N,1)),1)</f>
        <v>6.8200000000000012</v>
      </c>
      <c r="H151" s="14">
        <f ca="1">_xlfn.IFNA(INDEX(玩家节奏2!$FG:$FG,MATCH(关卡对比!A151,玩家节奏2!$N:$N,1)),1)</f>
        <v>12.545280000000004</v>
      </c>
      <c r="I151" s="14">
        <v>6.85</v>
      </c>
      <c r="J151" s="14">
        <f t="shared" si="47"/>
        <v>58700</v>
      </c>
      <c r="K151" s="14">
        <f t="shared" si="42"/>
        <v>58700</v>
      </c>
      <c r="N151" s="14">
        <v>145</v>
      </c>
      <c r="O151" s="14">
        <f t="shared" si="45"/>
        <v>8041.9</v>
      </c>
      <c r="P151" s="14">
        <v>14</v>
      </c>
      <c r="Q151" s="14">
        <f t="shared" si="48"/>
        <v>117400</v>
      </c>
      <c r="T151" s="14">
        <v>145</v>
      </c>
      <c r="U151" s="14">
        <f t="shared" si="46"/>
        <v>12062.849999999999</v>
      </c>
      <c r="V151" s="14">
        <v>20</v>
      </c>
      <c r="W151" s="14">
        <f t="shared" si="49"/>
        <v>176100</v>
      </c>
      <c r="Y151" s="14">
        <v>145</v>
      </c>
      <c r="Z151" s="108">
        <f t="shared" si="50"/>
        <v>58700</v>
      </c>
      <c r="AA151" s="103">
        <f t="shared" si="51"/>
        <v>117400</v>
      </c>
      <c r="AB151" s="103">
        <f t="shared" si="52"/>
        <v>176100</v>
      </c>
      <c r="AD151" s="14">
        <v>145</v>
      </c>
      <c r="AE151" s="14">
        <f t="shared" si="53"/>
        <v>86</v>
      </c>
      <c r="AF151" s="14">
        <f t="shared" si="54"/>
        <v>66</v>
      </c>
      <c r="AM151">
        <v>6.82</v>
      </c>
    </row>
    <row r="152" spans="1:39" x14ac:dyDescent="0.25">
      <c r="A152" s="14">
        <v>146</v>
      </c>
      <c r="B152" s="14">
        <v>592</v>
      </c>
      <c r="C152" s="14">
        <v>0.99999999999999989</v>
      </c>
      <c r="D152" s="14">
        <f t="shared" si="43"/>
        <v>6.89</v>
      </c>
      <c r="E152" s="14">
        <f t="shared" si="44"/>
        <v>4078.88</v>
      </c>
      <c r="F152" s="102">
        <v>10</v>
      </c>
      <c r="G152" s="14">
        <f ca="1">_xlfn.IFNA(INDEX(玩家节奏1!$EC:$EC,MATCH(关卡对比!A152,玩家节奏1!$N:$N,1)),1)</f>
        <v>6.8200000000000012</v>
      </c>
      <c r="H152" s="14">
        <f ca="1">_xlfn.IFNA(INDEX(玩家节奏2!$FG:$FG,MATCH(关卡对比!A152,玩家节奏2!$N:$N,1)),1)</f>
        <v>12.545280000000004</v>
      </c>
      <c r="I152" s="14">
        <v>6.89</v>
      </c>
      <c r="J152" s="14">
        <f t="shared" si="47"/>
        <v>59200</v>
      </c>
      <c r="K152" s="14">
        <f t="shared" si="42"/>
        <v>59200</v>
      </c>
      <c r="N152" s="14">
        <v>146</v>
      </c>
      <c r="O152" s="14">
        <f t="shared" si="45"/>
        <v>8157.76</v>
      </c>
      <c r="P152" s="14">
        <v>14</v>
      </c>
      <c r="Q152" s="14">
        <f t="shared" si="48"/>
        <v>118400</v>
      </c>
      <c r="T152" s="14">
        <v>146</v>
      </c>
      <c r="U152" s="14">
        <f t="shared" si="46"/>
        <v>12236.64</v>
      </c>
      <c r="V152" s="14">
        <v>20</v>
      </c>
      <c r="W152" s="14">
        <f t="shared" si="49"/>
        <v>177600</v>
      </c>
      <c r="Y152" s="14">
        <v>146</v>
      </c>
      <c r="Z152" s="108">
        <f t="shared" si="50"/>
        <v>59200</v>
      </c>
      <c r="AA152" s="103">
        <f t="shared" si="51"/>
        <v>118400</v>
      </c>
      <c r="AB152" s="103">
        <f t="shared" si="52"/>
        <v>177600</v>
      </c>
      <c r="AD152" s="14">
        <v>146</v>
      </c>
      <c r="AE152" s="14">
        <f t="shared" si="53"/>
        <v>86</v>
      </c>
      <c r="AF152" s="14">
        <f t="shared" si="54"/>
        <v>67</v>
      </c>
      <c r="AM152">
        <v>6.82</v>
      </c>
    </row>
    <row r="153" spans="1:39" x14ac:dyDescent="0.25">
      <c r="A153" s="14">
        <v>147</v>
      </c>
      <c r="B153" s="14">
        <v>597</v>
      </c>
      <c r="C153" s="14">
        <v>0.99999999999999989</v>
      </c>
      <c r="D153" s="14">
        <f t="shared" si="43"/>
        <v>6.92</v>
      </c>
      <c r="E153" s="14">
        <f t="shared" si="44"/>
        <v>4131.24</v>
      </c>
      <c r="F153" s="102">
        <v>10</v>
      </c>
      <c r="G153" s="14">
        <f ca="1">_xlfn.IFNA(INDEX(玩家节奏1!$EC:$EC,MATCH(关卡对比!A153,玩家节奏1!$N:$N,1)),1)</f>
        <v>6.8200000000000012</v>
      </c>
      <c r="H153" s="14">
        <f ca="1">_xlfn.IFNA(INDEX(玩家节奏2!$FG:$FG,MATCH(关卡对比!A153,玩家节奏2!$N:$N,1)),1)</f>
        <v>12.545280000000004</v>
      </c>
      <c r="I153" s="14">
        <v>6.92</v>
      </c>
      <c r="J153" s="14">
        <f t="shared" ref="J153:J208" si="55">K153</f>
        <v>59700</v>
      </c>
      <c r="K153" s="14">
        <f t="shared" si="42"/>
        <v>59700</v>
      </c>
      <c r="N153" s="14">
        <v>147</v>
      </c>
      <c r="O153" s="14">
        <f t="shared" si="45"/>
        <v>8262.48</v>
      </c>
      <c r="P153" s="14">
        <v>14</v>
      </c>
      <c r="Q153" s="14">
        <f t="shared" ref="Q153:Q208" si="56">J153*$B$2</f>
        <v>119400</v>
      </c>
      <c r="T153" s="14">
        <v>147</v>
      </c>
      <c r="U153" s="14">
        <f t="shared" si="46"/>
        <v>12393.72</v>
      </c>
      <c r="V153" s="14">
        <v>20</v>
      </c>
      <c r="W153" s="14">
        <f t="shared" ref="W153:W208" si="57">J153*$B$3</f>
        <v>179100</v>
      </c>
      <c r="Y153" s="14">
        <v>147</v>
      </c>
      <c r="Z153" s="108">
        <f t="shared" ref="Z153:Z208" si="58">J153</f>
        <v>59700</v>
      </c>
      <c r="AA153" s="103">
        <f t="shared" ref="AA153:AA208" si="59">Q153</f>
        <v>119400</v>
      </c>
      <c r="AB153" s="103">
        <f t="shared" ref="AB153:AB208" si="60">W153</f>
        <v>179100</v>
      </c>
      <c r="AD153" s="14">
        <v>147</v>
      </c>
      <c r="AE153" s="14">
        <f t="shared" ref="AE153:AE208" si="61">_xlfn.IFNA(INDEX($Y:$Y,MATCH($Z153,AA:AA,1)),0)</f>
        <v>87</v>
      </c>
      <c r="AF153" s="14">
        <f t="shared" ref="AF153:AF208" si="62">_xlfn.IFNA(INDEX($Y:$Y,MATCH($Z153,AB:AB,1)),0)</f>
        <v>67</v>
      </c>
      <c r="AM153">
        <v>6.82</v>
      </c>
    </row>
    <row r="154" spans="1:39" x14ac:dyDescent="0.25">
      <c r="A154" s="14">
        <v>148</v>
      </c>
      <c r="B154" s="14">
        <v>602</v>
      </c>
      <c r="C154" s="14">
        <v>0.99999999999999989</v>
      </c>
      <c r="D154" s="14">
        <f t="shared" si="43"/>
        <v>6.94</v>
      </c>
      <c r="E154" s="14">
        <f t="shared" si="44"/>
        <v>4177.88</v>
      </c>
      <c r="F154" s="102">
        <v>10</v>
      </c>
      <c r="G154" s="14">
        <f ca="1">_xlfn.IFNA(INDEX(玩家节奏1!$EC:$EC,MATCH(关卡对比!A154,玩家节奏1!$N:$N,1)),1)</f>
        <v>6.8200000000000012</v>
      </c>
      <c r="H154" s="14">
        <f ca="1">_xlfn.IFNA(INDEX(玩家节奏2!$FG:$FG,MATCH(关卡对比!A154,玩家节奏2!$N:$N,1)),1)</f>
        <v>13.009920000000001</v>
      </c>
      <c r="I154" s="14">
        <v>6.94</v>
      </c>
      <c r="J154" s="14">
        <f t="shared" si="55"/>
        <v>60200</v>
      </c>
      <c r="K154" s="14">
        <f t="shared" si="42"/>
        <v>60200</v>
      </c>
      <c r="N154" s="14">
        <v>148</v>
      </c>
      <c r="O154" s="14">
        <f t="shared" si="45"/>
        <v>8355.76</v>
      </c>
      <c r="P154" s="14">
        <v>14</v>
      </c>
      <c r="Q154" s="14">
        <f t="shared" si="56"/>
        <v>120400</v>
      </c>
      <c r="T154" s="14">
        <v>148</v>
      </c>
      <c r="U154" s="14">
        <f t="shared" si="46"/>
        <v>12533.64</v>
      </c>
      <c r="V154" s="14">
        <v>20</v>
      </c>
      <c r="W154" s="14">
        <f t="shared" si="57"/>
        <v>180600</v>
      </c>
      <c r="Y154" s="14">
        <v>148</v>
      </c>
      <c r="Z154" s="108">
        <f t="shared" si="58"/>
        <v>60200</v>
      </c>
      <c r="AA154" s="103">
        <f t="shared" si="59"/>
        <v>120400</v>
      </c>
      <c r="AB154" s="103">
        <f t="shared" si="60"/>
        <v>180600</v>
      </c>
      <c r="AD154" s="14">
        <v>148</v>
      </c>
      <c r="AE154" s="14">
        <f t="shared" si="61"/>
        <v>87</v>
      </c>
      <c r="AF154" s="14">
        <f t="shared" si="62"/>
        <v>67</v>
      </c>
      <c r="AM154">
        <v>6.82</v>
      </c>
    </row>
    <row r="155" spans="1:39" x14ac:dyDescent="0.25">
      <c r="A155" s="14">
        <v>149</v>
      </c>
      <c r="B155" s="14">
        <v>607</v>
      </c>
      <c r="C155" s="14">
        <v>0.99999999999999989</v>
      </c>
      <c r="D155" s="14">
        <f t="shared" si="43"/>
        <v>6.97</v>
      </c>
      <c r="E155" s="14">
        <f t="shared" si="44"/>
        <v>4230.79</v>
      </c>
      <c r="F155" s="102">
        <v>10</v>
      </c>
      <c r="G155" s="14">
        <f ca="1">_xlfn.IFNA(INDEX(玩家节奏1!$EC:$EC,MATCH(关卡对比!A155,玩家节奏1!$N:$N,1)),1)</f>
        <v>6.8200000000000012</v>
      </c>
      <c r="H155" s="14">
        <f ca="1">_xlfn.IFNA(INDEX(玩家节奏2!$FG:$FG,MATCH(关卡对比!A155,玩家节奏2!$N:$N,1)),1)</f>
        <v>13.009920000000001</v>
      </c>
      <c r="I155" s="14">
        <v>6.97</v>
      </c>
      <c r="J155" s="14">
        <f t="shared" si="55"/>
        <v>60700</v>
      </c>
      <c r="K155" s="14">
        <f t="shared" si="42"/>
        <v>60700</v>
      </c>
      <c r="N155" s="14">
        <v>149</v>
      </c>
      <c r="O155" s="14">
        <f t="shared" si="45"/>
        <v>8461.58</v>
      </c>
      <c r="P155" s="14">
        <v>14</v>
      </c>
      <c r="Q155" s="14">
        <f t="shared" si="56"/>
        <v>121400</v>
      </c>
      <c r="T155" s="14">
        <v>149</v>
      </c>
      <c r="U155" s="14">
        <f t="shared" si="46"/>
        <v>12692.369999999999</v>
      </c>
      <c r="V155" s="14">
        <v>20</v>
      </c>
      <c r="W155" s="14">
        <f t="shared" si="57"/>
        <v>182100</v>
      </c>
      <c r="Y155" s="14">
        <v>149</v>
      </c>
      <c r="Z155" s="108">
        <f t="shared" si="58"/>
        <v>60700</v>
      </c>
      <c r="AA155" s="103">
        <f t="shared" si="59"/>
        <v>121400</v>
      </c>
      <c r="AB155" s="103">
        <f t="shared" si="60"/>
        <v>182100</v>
      </c>
      <c r="AD155" s="14">
        <v>149</v>
      </c>
      <c r="AE155" s="14">
        <f t="shared" si="61"/>
        <v>88</v>
      </c>
      <c r="AF155" s="14">
        <f t="shared" si="62"/>
        <v>68</v>
      </c>
      <c r="AM155">
        <v>6.82</v>
      </c>
    </row>
    <row r="156" spans="1:39" x14ac:dyDescent="0.25">
      <c r="A156" s="14">
        <v>150</v>
      </c>
      <c r="B156" s="14">
        <v>612</v>
      </c>
      <c r="C156" s="14">
        <v>0.99999999999999989</v>
      </c>
      <c r="D156" s="14">
        <f t="shared" si="43"/>
        <v>7.01</v>
      </c>
      <c r="E156" s="14">
        <f t="shared" si="44"/>
        <v>4290.12</v>
      </c>
      <c r="F156" s="102">
        <v>10</v>
      </c>
      <c r="G156" s="14">
        <f ca="1">_xlfn.IFNA(INDEX(玩家节奏1!$EC:$EC,MATCH(关卡对比!A156,玩家节奏1!$N:$N,1)),1)</f>
        <v>6.8200000000000012</v>
      </c>
      <c r="H156" s="14">
        <f ca="1">_xlfn.IFNA(INDEX(玩家节奏2!$FG:$FG,MATCH(关卡对比!A156,玩家节奏2!$N:$N,1)),1)</f>
        <v>13.009920000000001</v>
      </c>
      <c r="I156" s="14">
        <v>7.01</v>
      </c>
      <c r="J156" s="14">
        <f t="shared" si="55"/>
        <v>61200</v>
      </c>
      <c r="K156" s="14">
        <f t="shared" si="42"/>
        <v>61200</v>
      </c>
      <c r="N156" s="14">
        <v>150</v>
      </c>
      <c r="O156" s="14">
        <f t="shared" si="45"/>
        <v>8580.24</v>
      </c>
      <c r="P156" s="14">
        <v>14</v>
      </c>
      <c r="Q156" s="14">
        <f t="shared" si="56"/>
        <v>122400</v>
      </c>
      <c r="T156" s="14">
        <v>150</v>
      </c>
      <c r="U156" s="14">
        <f t="shared" si="46"/>
        <v>12870.36</v>
      </c>
      <c r="V156" s="14">
        <v>20</v>
      </c>
      <c r="W156" s="14">
        <f t="shared" si="57"/>
        <v>183600</v>
      </c>
      <c r="Y156" s="14">
        <v>150</v>
      </c>
      <c r="Z156" s="108">
        <f t="shared" si="58"/>
        <v>61200</v>
      </c>
      <c r="AA156" s="103">
        <f t="shared" si="59"/>
        <v>122400</v>
      </c>
      <c r="AB156" s="103">
        <f t="shared" si="60"/>
        <v>183600</v>
      </c>
      <c r="AD156" s="14">
        <v>150</v>
      </c>
      <c r="AE156" s="14">
        <f t="shared" si="61"/>
        <v>88</v>
      </c>
      <c r="AF156" s="14">
        <f t="shared" si="62"/>
        <v>68</v>
      </c>
      <c r="AM156">
        <v>6.83</v>
      </c>
    </row>
    <row r="157" spans="1:39" x14ac:dyDescent="0.25">
      <c r="A157" s="14">
        <v>151</v>
      </c>
      <c r="B157" s="14">
        <v>617</v>
      </c>
      <c r="C157" s="14">
        <v>0.99999999999999989</v>
      </c>
      <c r="D157" s="14">
        <f t="shared" si="43"/>
        <v>7.04</v>
      </c>
      <c r="E157" s="14">
        <f t="shared" si="44"/>
        <v>4343.68</v>
      </c>
      <c r="F157" s="102">
        <v>10</v>
      </c>
      <c r="G157" s="14">
        <f ca="1">_xlfn.IFNA(INDEX(玩家节奏1!$EC:$EC,MATCH(关卡对比!A157,玩家节奏1!$N:$N,1)),1)</f>
        <v>7.0400000000000009</v>
      </c>
      <c r="H157" s="14">
        <f ca="1">_xlfn.IFNA(INDEX(玩家节奏2!$FG:$FG,MATCH(关卡对比!A157,玩家节奏2!$N:$N,1)),1)</f>
        <v>13.009920000000001</v>
      </c>
      <c r="I157" s="14">
        <v>7.04</v>
      </c>
      <c r="J157" s="14">
        <f t="shared" si="55"/>
        <v>61700</v>
      </c>
      <c r="K157" s="14">
        <f t="shared" si="42"/>
        <v>61700</v>
      </c>
      <c r="N157" s="14">
        <v>151</v>
      </c>
      <c r="O157" s="14">
        <f t="shared" si="45"/>
        <v>8687.36</v>
      </c>
      <c r="P157" s="14">
        <v>14</v>
      </c>
      <c r="Q157" s="14">
        <f t="shared" si="56"/>
        <v>123400</v>
      </c>
      <c r="T157" s="14">
        <v>151</v>
      </c>
      <c r="U157" s="14">
        <f t="shared" si="46"/>
        <v>13031.04</v>
      </c>
      <c r="V157" s="14">
        <v>20</v>
      </c>
      <c r="W157" s="14">
        <f t="shared" si="57"/>
        <v>185100</v>
      </c>
      <c r="Y157" s="14">
        <v>151</v>
      </c>
      <c r="Z157" s="108">
        <f t="shared" si="58"/>
        <v>61700</v>
      </c>
      <c r="AA157" s="103">
        <f t="shared" si="59"/>
        <v>123400</v>
      </c>
      <c r="AB157" s="103">
        <f t="shared" si="60"/>
        <v>185100</v>
      </c>
      <c r="AD157" s="14">
        <v>151</v>
      </c>
      <c r="AE157" s="14">
        <f t="shared" si="61"/>
        <v>89</v>
      </c>
      <c r="AF157" s="14">
        <f t="shared" si="62"/>
        <v>68</v>
      </c>
      <c r="AM157">
        <v>7.04</v>
      </c>
    </row>
    <row r="158" spans="1:39" x14ac:dyDescent="0.25">
      <c r="A158" s="14">
        <v>152</v>
      </c>
      <c r="B158" s="14">
        <v>622</v>
      </c>
      <c r="C158" s="14">
        <v>0.99999999999999989</v>
      </c>
      <c r="D158" s="14">
        <f t="shared" si="43"/>
        <v>7.08</v>
      </c>
      <c r="E158" s="14">
        <f t="shared" si="44"/>
        <v>4403.76</v>
      </c>
      <c r="F158" s="102">
        <v>10</v>
      </c>
      <c r="G158" s="14">
        <f ca="1">_xlfn.IFNA(INDEX(玩家节奏1!$EC:$EC,MATCH(关卡对比!A158,玩家节奏1!$N:$N,1)),1)</f>
        <v>7.0400000000000009</v>
      </c>
      <c r="H158" s="14">
        <f ca="1">_xlfn.IFNA(INDEX(玩家节奏2!$FG:$FG,MATCH(关卡对比!A158,玩家节奏2!$N:$N,1)),1)</f>
        <v>13.009920000000001</v>
      </c>
      <c r="I158" s="14">
        <v>7.08</v>
      </c>
      <c r="J158" s="14">
        <f t="shared" si="55"/>
        <v>62200</v>
      </c>
      <c r="K158" s="14">
        <f t="shared" si="42"/>
        <v>62200</v>
      </c>
      <c r="N158" s="14">
        <v>152</v>
      </c>
      <c r="O158" s="14">
        <f t="shared" si="45"/>
        <v>8807.52</v>
      </c>
      <c r="P158" s="14">
        <v>14</v>
      </c>
      <c r="Q158" s="14">
        <f t="shared" si="56"/>
        <v>124400</v>
      </c>
      <c r="T158" s="14">
        <v>152</v>
      </c>
      <c r="U158" s="14">
        <f t="shared" si="46"/>
        <v>13211.28</v>
      </c>
      <c r="V158" s="14">
        <v>20</v>
      </c>
      <c r="W158" s="14">
        <f t="shared" si="57"/>
        <v>186600</v>
      </c>
      <c r="Y158" s="14">
        <v>152</v>
      </c>
      <c r="Z158" s="108">
        <f t="shared" si="58"/>
        <v>62200</v>
      </c>
      <c r="AA158" s="103">
        <f t="shared" si="59"/>
        <v>124400</v>
      </c>
      <c r="AB158" s="103">
        <f t="shared" si="60"/>
        <v>186600</v>
      </c>
      <c r="AD158" s="14">
        <v>152</v>
      </c>
      <c r="AE158" s="14">
        <f t="shared" si="61"/>
        <v>89</v>
      </c>
      <c r="AF158" s="14">
        <f t="shared" si="62"/>
        <v>69</v>
      </c>
      <c r="AM158">
        <v>7.04</v>
      </c>
    </row>
    <row r="159" spans="1:39" x14ac:dyDescent="0.25">
      <c r="A159" s="14">
        <v>153</v>
      </c>
      <c r="B159" s="14">
        <v>627</v>
      </c>
      <c r="C159" s="14">
        <v>0.99999999999999989</v>
      </c>
      <c r="D159" s="14">
        <f t="shared" si="43"/>
        <v>7.12</v>
      </c>
      <c r="E159" s="14">
        <f t="shared" si="44"/>
        <v>4464.24</v>
      </c>
      <c r="F159" s="102">
        <v>10</v>
      </c>
      <c r="G159" s="14">
        <f ca="1">_xlfn.IFNA(INDEX(玩家节奏1!$EC:$EC,MATCH(关卡对比!A159,玩家节奏1!$N:$N,1)),1)</f>
        <v>7.0400000000000009</v>
      </c>
      <c r="H159" s="14">
        <f ca="1">_xlfn.IFNA(INDEX(玩家节奏2!$FG:$FG,MATCH(关卡对比!A159,玩家节奏2!$N:$N,1)),1)</f>
        <v>13.009920000000001</v>
      </c>
      <c r="I159" s="14">
        <v>7.12</v>
      </c>
      <c r="J159" s="14">
        <f t="shared" si="55"/>
        <v>62700</v>
      </c>
      <c r="K159" s="14">
        <f t="shared" si="42"/>
        <v>62700</v>
      </c>
      <c r="N159" s="14">
        <v>153</v>
      </c>
      <c r="O159" s="14">
        <f t="shared" si="45"/>
        <v>8928.48</v>
      </c>
      <c r="P159" s="14">
        <v>14</v>
      </c>
      <c r="Q159" s="14">
        <f t="shared" si="56"/>
        <v>125400</v>
      </c>
      <c r="T159" s="14">
        <v>153</v>
      </c>
      <c r="U159" s="14">
        <f t="shared" si="46"/>
        <v>13392.72</v>
      </c>
      <c r="V159" s="14">
        <v>20</v>
      </c>
      <c r="W159" s="14">
        <f t="shared" si="57"/>
        <v>188100</v>
      </c>
      <c r="Y159" s="14">
        <v>153</v>
      </c>
      <c r="Z159" s="108">
        <f t="shared" si="58"/>
        <v>62700</v>
      </c>
      <c r="AA159" s="103">
        <f t="shared" si="59"/>
        <v>125400</v>
      </c>
      <c r="AB159" s="103">
        <f t="shared" si="60"/>
        <v>188100</v>
      </c>
      <c r="AD159" s="14">
        <v>153</v>
      </c>
      <c r="AE159" s="14">
        <f t="shared" si="61"/>
        <v>90</v>
      </c>
      <c r="AF159" s="14">
        <f t="shared" si="62"/>
        <v>69</v>
      </c>
      <c r="AM159">
        <v>7.04</v>
      </c>
    </row>
    <row r="160" spans="1:39" x14ac:dyDescent="0.25">
      <c r="A160" s="14">
        <v>154</v>
      </c>
      <c r="B160" s="14">
        <v>632</v>
      </c>
      <c r="C160" s="14">
        <v>0.99999999999999989</v>
      </c>
      <c r="D160" s="14">
        <f t="shared" si="43"/>
        <v>7.17</v>
      </c>
      <c r="E160" s="14">
        <f t="shared" si="44"/>
        <v>4531.4399999999996</v>
      </c>
      <c r="F160" s="102">
        <v>10</v>
      </c>
      <c r="G160" s="14">
        <f ca="1">_xlfn.IFNA(INDEX(玩家节奏1!$EC:$EC,MATCH(关卡对比!A160,玩家节奏1!$N:$N,1)),1)</f>
        <v>7.0400000000000009</v>
      </c>
      <c r="H160" s="14">
        <f ca="1">_xlfn.IFNA(INDEX(玩家节奏2!$FG:$FG,MATCH(关卡对比!A160,玩家节奏2!$N:$N,1)),1)</f>
        <v>13.009920000000001</v>
      </c>
      <c r="I160" s="14">
        <v>7.17</v>
      </c>
      <c r="J160" s="14">
        <f t="shared" si="55"/>
        <v>63200</v>
      </c>
      <c r="K160" s="14">
        <f t="shared" si="42"/>
        <v>63200</v>
      </c>
      <c r="N160" s="14">
        <v>154</v>
      </c>
      <c r="O160" s="14">
        <f t="shared" si="45"/>
        <v>9062.8799999999992</v>
      </c>
      <c r="P160" s="14">
        <v>14</v>
      </c>
      <c r="Q160" s="14">
        <f t="shared" si="56"/>
        <v>126400</v>
      </c>
      <c r="T160" s="14">
        <v>154</v>
      </c>
      <c r="U160" s="14">
        <f t="shared" si="46"/>
        <v>13594.32</v>
      </c>
      <c r="V160" s="14">
        <v>20</v>
      </c>
      <c r="W160" s="14">
        <f t="shared" si="57"/>
        <v>189600</v>
      </c>
      <c r="Y160" s="14">
        <v>154</v>
      </c>
      <c r="Z160" s="108">
        <f t="shared" si="58"/>
        <v>63200</v>
      </c>
      <c r="AA160" s="103">
        <f t="shared" si="59"/>
        <v>126400</v>
      </c>
      <c r="AB160" s="103">
        <f t="shared" si="60"/>
        <v>189600</v>
      </c>
      <c r="AD160" s="14">
        <v>154</v>
      </c>
      <c r="AE160" s="14">
        <f t="shared" si="61"/>
        <v>90</v>
      </c>
      <c r="AF160" s="14">
        <f t="shared" si="62"/>
        <v>69</v>
      </c>
      <c r="AM160">
        <v>7.04</v>
      </c>
    </row>
    <row r="161" spans="1:39" x14ac:dyDescent="0.25">
      <c r="A161" s="14">
        <v>155</v>
      </c>
      <c r="B161" s="14">
        <v>637</v>
      </c>
      <c r="C161" s="14">
        <v>0.99999999999999989</v>
      </c>
      <c r="D161" s="14">
        <f t="shared" si="43"/>
        <v>7.22</v>
      </c>
      <c r="E161" s="14">
        <f t="shared" si="44"/>
        <v>4599.1400000000003</v>
      </c>
      <c r="F161" s="102">
        <v>10</v>
      </c>
      <c r="G161" s="14">
        <f ca="1">_xlfn.IFNA(INDEX(玩家节奏1!$EC:$EC,MATCH(关卡对比!A161,玩家节奏1!$N:$N,1)),1)</f>
        <v>7.0400000000000009</v>
      </c>
      <c r="H161" s="14">
        <f ca="1">_xlfn.IFNA(INDEX(玩家节奏2!$FG:$FG,MATCH(关卡对比!A161,玩家节奏2!$N:$N,1)),1)</f>
        <v>13.009920000000001</v>
      </c>
      <c r="I161" s="14">
        <v>7.22</v>
      </c>
      <c r="J161" s="14">
        <f t="shared" si="55"/>
        <v>63700</v>
      </c>
      <c r="K161" s="14">
        <f t="shared" si="42"/>
        <v>63700</v>
      </c>
      <c r="N161" s="14">
        <v>155</v>
      </c>
      <c r="O161" s="14">
        <f t="shared" si="45"/>
        <v>9198.2800000000007</v>
      </c>
      <c r="P161" s="14">
        <v>14</v>
      </c>
      <c r="Q161" s="14">
        <f t="shared" si="56"/>
        <v>127400</v>
      </c>
      <c r="T161" s="14">
        <v>155</v>
      </c>
      <c r="U161" s="14">
        <f t="shared" si="46"/>
        <v>13797.420000000002</v>
      </c>
      <c r="V161" s="14">
        <v>20</v>
      </c>
      <c r="W161" s="14">
        <f t="shared" si="57"/>
        <v>191100</v>
      </c>
      <c r="Y161" s="14">
        <v>155</v>
      </c>
      <c r="Z161" s="108">
        <f t="shared" si="58"/>
        <v>63700</v>
      </c>
      <c r="AA161" s="103">
        <f t="shared" si="59"/>
        <v>127400</v>
      </c>
      <c r="AB161" s="103">
        <f t="shared" si="60"/>
        <v>191100</v>
      </c>
      <c r="AD161" s="14">
        <v>155</v>
      </c>
      <c r="AE161" s="14">
        <f t="shared" si="61"/>
        <v>91</v>
      </c>
      <c r="AF161" s="14">
        <f t="shared" si="62"/>
        <v>70</v>
      </c>
      <c r="AM161">
        <v>7.05</v>
      </c>
    </row>
    <row r="162" spans="1:39" x14ac:dyDescent="0.25">
      <c r="A162" s="14">
        <v>156</v>
      </c>
      <c r="B162" s="14">
        <v>642</v>
      </c>
      <c r="C162" s="14">
        <v>0.99999999999999989</v>
      </c>
      <c r="D162" s="14">
        <f t="shared" si="43"/>
        <v>7.26</v>
      </c>
      <c r="E162" s="14">
        <f t="shared" si="44"/>
        <v>4660.92</v>
      </c>
      <c r="F162" s="102">
        <v>10</v>
      </c>
      <c r="G162" s="14">
        <f ca="1">_xlfn.IFNA(INDEX(玩家节奏1!$EC:$EC,MATCH(关卡对比!A162,玩家节奏1!$N:$N,1)),1)</f>
        <v>7.26</v>
      </c>
      <c r="H162" s="14">
        <f ca="1">_xlfn.IFNA(INDEX(玩家节奏2!$FG:$FG,MATCH(关卡对比!A162,玩家节奏2!$N:$N,1)),1)</f>
        <v>13.009920000000001</v>
      </c>
      <c r="I162" s="14">
        <v>7.26</v>
      </c>
      <c r="J162" s="14">
        <f t="shared" si="55"/>
        <v>64200</v>
      </c>
      <c r="K162" s="14">
        <f t="shared" si="42"/>
        <v>64200</v>
      </c>
      <c r="N162" s="14">
        <v>156</v>
      </c>
      <c r="O162" s="14">
        <f t="shared" si="45"/>
        <v>9321.84</v>
      </c>
      <c r="P162" s="14">
        <v>14</v>
      </c>
      <c r="Q162" s="14">
        <f t="shared" si="56"/>
        <v>128400</v>
      </c>
      <c r="T162" s="14">
        <v>156</v>
      </c>
      <c r="U162" s="14">
        <f t="shared" si="46"/>
        <v>13982.76</v>
      </c>
      <c r="V162" s="14">
        <v>20</v>
      </c>
      <c r="W162" s="14">
        <f t="shared" si="57"/>
        <v>192600</v>
      </c>
      <c r="Y162" s="14">
        <v>156</v>
      </c>
      <c r="Z162" s="108">
        <f t="shared" si="58"/>
        <v>64200</v>
      </c>
      <c r="AA162" s="103">
        <f t="shared" si="59"/>
        <v>128400</v>
      </c>
      <c r="AB162" s="103">
        <f t="shared" si="60"/>
        <v>192600</v>
      </c>
      <c r="AD162" s="14">
        <v>156</v>
      </c>
      <c r="AE162" s="14">
        <f t="shared" si="61"/>
        <v>91</v>
      </c>
      <c r="AF162" s="14">
        <f t="shared" si="62"/>
        <v>70</v>
      </c>
      <c r="AM162">
        <v>7.26</v>
      </c>
    </row>
    <row r="163" spans="1:39" x14ac:dyDescent="0.25">
      <c r="A163" s="14">
        <v>157</v>
      </c>
      <c r="B163" s="14">
        <v>647</v>
      </c>
      <c r="C163" s="14">
        <v>0.99999999999999989</v>
      </c>
      <c r="D163" s="14">
        <f t="shared" si="43"/>
        <v>7.3</v>
      </c>
      <c r="E163" s="14">
        <f t="shared" si="44"/>
        <v>4723.1000000000004</v>
      </c>
      <c r="F163" s="102">
        <v>10</v>
      </c>
      <c r="G163" s="14">
        <f ca="1">_xlfn.IFNA(INDEX(玩家节奏1!$EC:$EC,MATCH(关卡对比!A163,玩家节奏1!$N:$N,1)),1)</f>
        <v>7.26</v>
      </c>
      <c r="H163" s="14">
        <f ca="1">_xlfn.IFNA(INDEX(玩家节奏2!$FG:$FG,MATCH(关卡对比!A163,玩家节奏2!$N:$N,1)),1)</f>
        <v>13.895640000000002</v>
      </c>
      <c r="I163" s="14">
        <v>7.3</v>
      </c>
      <c r="J163" s="14">
        <f t="shared" si="55"/>
        <v>64700</v>
      </c>
      <c r="K163" s="14">
        <f t="shared" si="42"/>
        <v>64700</v>
      </c>
      <c r="N163" s="14">
        <v>157</v>
      </c>
      <c r="O163" s="14">
        <f t="shared" si="45"/>
        <v>9446.2000000000007</v>
      </c>
      <c r="P163" s="14">
        <v>14</v>
      </c>
      <c r="Q163" s="14">
        <f t="shared" si="56"/>
        <v>129400</v>
      </c>
      <c r="T163" s="14">
        <v>157</v>
      </c>
      <c r="U163" s="14">
        <f t="shared" si="46"/>
        <v>14169.300000000001</v>
      </c>
      <c r="V163" s="14">
        <v>20</v>
      </c>
      <c r="W163" s="14">
        <f t="shared" si="57"/>
        <v>194100</v>
      </c>
      <c r="Y163" s="14">
        <v>157</v>
      </c>
      <c r="Z163" s="108">
        <f t="shared" si="58"/>
        <v>64700</v>
      </c>
      <c r="AA163" s="103">
        <f t="shared" si="59"/>
        <v>129400</v>
      </c>
      <c r="AB163" s="103">
        <f t="shared" si="60"/>
        <v>194100</v>
      </c>
      <c r="AD163" s="14">
        <v>157</v>
      </c>
      <c r="AE163" s="14">
        <f t="shared" si="61"/>
        <v>92</v>
      </c>
      <c r="AF163" s="14">
        <f t="shared" si="62"/>
        <v>70</v>
      </c>
      <c r="AM163">
        <v>7.26</v>
      </c>
    </row>
    <row r="164" spans="1:39" x14ac:dyDescent="0.25">
      <c r="A164" s="14">
        <v>158</v>
      </c>
      <c r="B164" s="14">
        <v>652</v>
      </c>
      <c r="C164" s="14">
        <v>0.99999999999999989</v>
      </c>
      <c r="D164" s="14">
        <f t="shared" si="43"/>
        <v>7.34</v>
      </c>
      <c r="E164" s="14">
        <f t="shared" si="44"/>
        <v>4785.68</v>
      </c>
      <c r="F164" s="102">
        <v>10</v>
      </c>
      <c r="G164" s="14">
        <f ca="1">_xlfn.IFNA(INDEX(玩家节奏1!$EC:$EC,MATCH(关卡对比!A164,玩家节奏1!$N:$N,1)),1)</f>
        <v>7.26</v>
      </c>
      <c r="H164" s="14">
        <f ca="1">_xlfn.IFNA(INDEX(玩家节奏2!$FG:$FG,MATCH(关卡对比!A164,玩家节奏2!$N:$N,1)),1)</f>
        <v>13.895640000000002</v>
      </c>
      <c r="I164" s="14">
        <v>7.34</v>
      </c>
      <c r="J164" s="14">
        <f t="shared" si="55"/>
        <v>65200</v>
      </c>
      <c r="K164" s="14">
        <f t="shared" si="42"/>
        <v>65200</v>
      </c>
      <c r="N164" s="14">
        <v>158</v>
      </c>
      <c r="O164" s="14">
        <f t="shared" si="45"/>
        <v>9571.36</v>
      </c>
      <c r="P164" s="14">
        <v>14</v>
      </c>
      <c r="Q164" s="14">
        <f t="shared" si="56"/>
        <v>130400</v>
      </c>
      <c r="T164" s="14">
        <v>158</v>
      </c>
      <c r="U164" s="14">
        <f t="shared" si="46"/>
        <v>14357.04</v>
      </c>
      <c r="V164" s="14">
        <v>20</v>
      </c>
      <c r="W164" s="14">
        <f t="shared" si="57"/>
        <v>195600</v>
      </c>
      <c r="Y164" s="14">
        <v>158</v>
      </c>
      <c r="Z164" s="108">
        <f t="shared" si="58"/>
        <v>65200</v>
      </c>
      <c r="AA164" s="103">
        <f t="shared" si="59"/>
        <v>130400</v>
      </c>
      <c r="AB164" s="103">
        <f t="shared" si="60"/>
        <v>195600</v>
      </c>
      <c r="AD164" s="14">
        <v>158</v>
      </c>
      <c r="AE164" s="14">
        <f t="shared" si="61"/>
        <v>92</v>
      </c>
      <c r="AF164" s="14">
        <f t="shared" si="62"/>
        <v>71</v>
      </c>
      <c r="AM164">
        <v>7.26</v>
      </c>
    </row>
    <row r="165" spans="1:39" x14ac:dyDescent="0.25">
      <c r="A165" s="14">
        <v>159</v>
      </c>
      <c r="B165" s="14">
        <v>657</v>
      </c>
      <c r="C165" s="14">
        <v>0.99999999999999989</v>
      </c>
      <c r="D165" s="14">
        <f t="shared" si="43"/>
        <v>7.37</v>
      </c>
      <c r="E165" s="14">
        <f t="shared" si="44"/>
        <v>4842.09</v>
      </c>
      <c r="F165" s="102">
        <v>10</v>
      </c>
      <c r="G165" s="14">
        <f ca="1">_xlfn.IFNA(INDEX(玩家节奏1!$EC:$EC,MATCH(关卡对比!A165,玩家节奏1!$N:$N,1)),1)</f>
        <v>7.26</v>
      </c>
      <c r="H165" s="14">
        <f ca="1">_xlfn.IFNA(INDEX(玩家节奏2!$FG:$FG,MATCH(关卡对比!A165,玩家节奏2!$N:$N,1)),1)</f>
        <v>13.895640000000002</v>
      </c>
      <c r="I165" s="14">
        <v>7.37</v>
      </c>
      <c r="J165" s="14">
        <f t="shared" si="55"/>
        <v>65700</v>
      </c>
      <c r="K165" s="14">
        <f t="shared" si="42"/>
        <v>65700</v>
      </c>
      <c r="N165" s="14">
        <v>159</v>
      </c>
      <c r="O165" s="14">
        <f t="shared" si="45"/>
        <v>9684.18</v>
      </c>
      <c r="P165" s="14">
        <v>14</v>
      </c>
      <c r="Q165" s="14">
        <f t="shared" si="56"/>
        <v>131400</v>
      </c>
      <c r="T165" s="14">
        <v>159</v>
      </c>
      <c r="U165" s="14">
        <f t="shared" si="46"/>
        <v>14526.27</v>
      </c>
      <c r="V165" s="14">
        <v>20</v>
      </c>
      <c r="W165" s="14">
        <f t="shared" si="57"/>
        <v>197100</v>
      </c>
      <c r="Y165" s="14">
        <v>159</v>
      </c>
      <c r="Z165" s="108">
        <f t="shared" si="58"/>
        <v>65700</v>
      </c>
      <c r="AA165" s="103">
        <f t="shared" si="59"/>
        <v>131400</v>
      </c>
      <c r="AB165" s="103">
        <f t="shared" si="60"/>
        <v>197100</v>
      </c>
      <c r="AD165" s="14">
        <v>159</v>
      </c>
      <c r="AE165" s="14">
        <f t="shared" si="61"/>
        <v>93</v>
      </c>
      <c r="AF165" s="14">
        <f t="shared" si="62"/>
        <v>71</v>
      </c>
      <c r="AM165">
        <v>7.26</v>
      </c>
    </row>
    <row r="166" spans="1:39" x14ac:dyDescent="0.25">
      <c r="A166" s="14">
        <v>160</v>
      </c>
      <c r="B166" s="14">
        <v>662</v>
      </c>
      <c r="C166" s="14">
        <v>0.99999999999999989</v>
      </c>
      <c r="D166" s="14">
        <f t="shared" si="43"/>
        <v>7.41</v>
      </c>
      <c r="E166" s="14">
        <f t="shared" si="44"/>
        <v>4905.42</v>
      </c>
      <c r="F166" s="102">
        <v>10</v>
      </c>
      <c r="G166" s="14">
        <f ca="1">_xlfn.IFNA(INDEX(玩家节奏1!$EC:$EC,MATCH(关卡对比!A166,玩家节奏1!$N:$N,1)),1)</f>
        <v>7.26</v>
      </c>
      <c r="H166" s="14">
        <f ca="1">_xlfn.IFNA(INDEX(玩家节奏2!$FG:$FG,MATCH(关卡对比!A166,玩家节奏2!$N:$N,1)),1)</f>
        <v>13.895640000000002</v>
      </c>
      <c r="I166" s="14">
        <v>7.41</v>
      </c>
      <c r="J166" s="14">
        <f t="shared" si="55"/>
        <v>66200</v>
      </c>
      <c r="K166" s="14">
        <f t="shared" si="42"/>
        <v>66200</v>
      </c>
      <c r="N166" s="14">
        <v>160</v>
      </c>
      <c r="O166" s="14">
        <f t="shared" si="45"/>
        <v>9810.84</v>
      </c>
      <c r="P166" s="14">
        <v>14</v>
      </c>
      <c r="Q166" s="14">
        <f t="shared" si="56"/>
        <v>132400</v>
      </c>
      <c r="T166" s="14">
        <v>160</v>
      </c>
      <c r="U166" s="14">
        <f t="shared" si="46"/>
        <v>14716.26</v>
      </c>
      <c r="V166" s="14">
        <v>20</v>
      </c>
      <c r="W166" s="14">
        <f t="shared" si="57"/>
        <v>198600</v>
      </c>
      <c r="Y166" s="14">
        <v>160</v>
      </c>
      <c r="Z166" s="108">
        <f t="shared" si="58"/>
        <v>66200</v>
      </c>
      <c r="AA166" s="103">
        <f t="shared" si="59"/>
        <v>132400</v>
      </c>
      <c r="AB166" s="103">
        <f t="shared" si="60"/>
        <v>198600</v>
      </c>
      <c r="AD166" s="14">
        <v>160</v>
      </c>
      <c r="AE166" s="14">
        <f t="shared" si="61"/>
        <v>93</v>
      </c>
      <c r="AF166" s="14">
        <f t="shared" si="62"/>
        <v>71</v>
      </c>
      <c r="AM166">
        <v>7.26</v>
      </c>
    </row>
    <row r="167" spans="1:39" x14ac:dyDescent="0.25">
      <c r="A167" s="14">
        <v>161</v>
      </c>
      <c r="B167" s="14">
        <v>667</v>
      </c>
      <c r="C167" s="14">
        <v>0.99999999999999989</v>
      </c>
      <c r="D167" s="14">
        <f t="shared" si="43"/>
        <v>7.45</v>
      </c>
      <c r="E167" s="14">
        <f t="shared" si="44"/>
        <v>4969.1499999999996</v>
      </c>
      <c r="F167" s="102">
        <v>10</v>
      </c>
      <c r="G167" s="14">
        <f ca="1">_xlfn.IFNA(INDEX(玩家节奏1!$EC:$EC,MATCH(关卡对比!A167,玩家节奏1!$N:$N,1)),1)</f>
        <v>7.26</v>
      </c>
      <c r="H167" s="14">
        <f ca="1">_xlfn.IFNA(INDEX(玩家节奏2!$FG:$FG,MATCH(关卡对比!A167,玩家节奏2!$N:$N,1)),1)</f>
        <v>14.374800000000004</v>
      </c>
      <c r="I167" s="14">
        <v>7.45</v>
      </c>
      <c r="J167" s="14">
        <f t="shared" si="55"/>
        <v>66700</v>
      </c>
      <c r="K167" s="14">
        <f t="shared" si="42"/>
        <v>66700</v>
      </c>
      <c r="N167" s="14">
        <v>161</v>
      </c>
      <c r="O167" s="14">
        <f t="shared" si="45"/>
        <v>9938.2999999999993</v>
      </c>
      <c r="P167" s="14">
        <v>14</v>
      </c>
      <c r="Q167" s="14">
        <f t="shared" si="56"/>
        <v>133400</v>
      </c>
      <c r="T167" s="14">
        <v>161</v>
      </c>
      <c r="U167" s="14">
        <f t="shared" si="46"/>
        <v>14907.449999999999</v>
      </c>
      <c r="V167" s="14">
        <v>20</v>
      </c>
      <c r="W167" s="14">
        <f t="shared" si="57"/>
        <v>200100</v>
      </c>
      <c r="Y167" s="14">
        <v>161</v>
      </c>
      <c r="Z167" s="108">
        <f t="shared" si="58"/>
        <v>66700</v>
      </c>
      <c r="AA167" s="103">
        <f t="shared" si="59"/>
        <v>133400</v>
      </c>
      <c r="AB167" s="103">
        <f t="shared" si="60"/>
        <v>200100</v>
      </c>
      <c r="AD167" s="14">
        <v>161</v>
      </c>
      <c r="AE167" s="14">
        <f t="shared" si="61"/>
        <v>94</v>
      </c>
      <c r="AF167" s="14">
        <f t="shared" si="62"/>
        <v>72</v>
      </c>
      <c r="AM167">
        <v>7.27</v>
      </c>
    </row>
    <row r="168" spans="1:39" x14ac:dyDescent="0.25">
      <c r="A168" s="14">
        <v>162</v>
      </c>
      <c r="B168" s="14">
        <v>672</v>
      </c>
      <c r="C168" s="14">
        <v>0.99999999999999989</v>
      </c>
      <c r="D168" s="14">
        <f t="shared" si="43"/>
        <v>7.48</v>
      </c>
      <c r="E168" s="14">
        <f t="shared" si="44"/>
        <v>5026.5600000000004</v>
      </c>
      <c r="F168" s="102">
        <v>10</v>
      </c>
      <c r="G168" s="14">
        <f ca="1">_xlfn.IFNA(INDEX(玩家节奏1!$EC:$EC,MATCH(关卡对比!A168,玩家节奏1!$N:$N,1)),1)</f>
        <v>7.48</v>
      </c>
      <c r="H168" s="14">
        <f ca="1">_xlfn.IFNA(INDEX(玩家节奏2!$FG:$FG,MATCH(关卡对比!A168,玩家节奏2!$N:$N,1)),1)</f>
        <v>14.374800000000004</v>
      </c>
      <c r="I168" s="14">
        <v>7.48</v>
      </c>
      <c r="J168" s="14">
        <f t="shared" si="55"/>
        <v>67200</v>
      </c>
      <c r="K168" s="14">
        <f t="shared" si="42"/>
        <v>67200</v>
      </c>
      <c r="N168" s="14">
        <v>162</v>
      </c>
      <c r="O168" s="14">
        <f t="shared" si="45"/>
        <v>10053.120000000001</v>
      </c>
      <c r="P168" s="14">
        <v>14</v>
      </c>
      <c r="Q168" s="14">
        <f t="shared" si="56"/>
        <v>134400</v>
      </c>
      <c r="T168" s="14">
        <v>162</v>
      </c>
      <c r="U168" s="14">
        <f t="shared" si="46"/>
        <v>15079.68</v>
      </c>
      <c r="V168" s="14">
        <v>20</v>
      </c>
      <c r="W168" s="14">
        <f t="shared" si="57"/>
        <v>201600</v>
      </c>
      <c r="Y168" s="14">
        <v>162</v>
      </c>
      <c r="Z168" s="108">
        <f t="shared" si="58"/>
        <v>67200</v>
      </c>
      <c r="AA168" s="103">
        <f t="shared" si="59"/>
        <v>134400</v>
      </c>
      <c r="AB168" s="103">
        <f t="shared" si="60"/>
        <v>201600</v>
      </c>
      <c r="AD168" s="14">
        <v>162</v>
      </c>
      <c r="AE168" s="14">
        <f t="shared" si="61"/>
        <v>94</v>
      </c>
      <c r="AF168" s="14">
        <f t="shared" si="62"/>
        <v>72</v>
      </c>
      <c r="AM168">
        <v>7.48</v>
      </c>
    </row>
    <row r="169" spans="1:39" x14ac:dyDescent="0.25">
      <c r="A169" s="14">
        <v>163</v>
      </c>
      <c r="B169" s="14">
        <v>677</v>
      </c>
      <c r="C169" s="14">
        <v>0.99999999999999989</v>
      </c>
      <c r="D169" s="14">
        <f t="shared" si="43"/>
        <v>7.51</v>
      </c>
      <c r="E169" s="14">
        <f t="shared" si="44"/>
        <v>5084.2700000000004</v>
      </c>
      <c r="F169" s="102">
        <v>10</v>
      </c>
      <c r="G169" s="14">
        <f ca="1">_xlfn.IFNA(INDEX(玩家节奏1!$EC:$EC,MATCH(关卡对比!A169,玩家节奏1!$N:$N,1)),1)</f>
        <v>7.48</v>
      </c>
      <c r="H169" s="14">
        <f ca="1">_xlfn.IFNA(INDEX(玩家节奏2!$FG:$FG,MATCH(关卡对比!A169,玩家节奏2!$N:$N,1)),1)</f>
        <v>14.374800000000004</v>
      </c>
      <c r="I169" s="14">
        <v>7.51</v>
      </c>
      <c r="J169" s="14">
        <f t="shared" si="55"/>
        <v>67700</v>
      </c>
      <c r="K169" s="14">
        <f t="shared" si="42"/>
        <v>67700</v>
      </c>
      <c r="N169" s="14">
        <v>163</v>
      </c>
      <c r="O169" s="14">
        <f t="shared" si="45"/>
        <v>10168.540000000001</v>
      </c>
      <c r="P169" s="14">
        <v>14</v>
      </c>
      <c r="Q169" s="14">
        <f t="shared" si="56"/>
        <v>135400</v>
      </c>
      <c r="T169" s="14">
        <v>163</v>
      </c>
      <c r="U169" s="14">
        <f t="shared" si="46"/>
        <v>15252.810000000001</v>
      </c>
      <c r="V169" s="14">
        <v>20</v>
      </c>
      <c r="W169" s="14">
        <f t="shared" si="57"/>
        <v>203100</v>
      </c>
      <c r="Y169" s="14">
        <v>163</v>
      </c>
      <c r="Z169" s="108">
        <f t="shared" si="58"/>
        <v>67700</v>
      </c>
      <c r="AA169" s="103">
        <f t="shared" si="59"/>
        <v>135400</v>
      </c>
      <c r="AB169" s="103">
        <f t="shared" si="60"/>
        <v>203100</v>
      </c>
      <c r="AD169" s="14">
        <v>163</v>
      </c>
      <c r="AE169" s="14">
        <f t="shared" si="61"/>
        <v>95</v>
      </c>
      <c r="AF169" s="14">
        <f t="shared" si="62"/>
        <v>72</v>
      </c>
      <c r="AM169">
        <v>7.48</v>
      </c>
    </row>
    <row r="170" spans="1:39" x14ac:dyDescent="0.25">
      <c r="A170" s="14">
        <v>164</v>
      </c>
      <c r="B170" s="14">
        <v>682</v>
      </c>
      <c r="C170" s="14">
        <v>0.99999999999999989</v>
      </c>
      <c r="D170" s="14">
        <f t="shared" si="43"/>
        <v>7.54</v>
      </c>
      <c r="E170" s="14">
        <f t="shared" si="44"/>
        <v>5142.28</v>
      </c>
      <c r="F170" s="102">
        <v>10</v>
      </c>
      <c r="G170" s="14">
        <f ca="1">_xlfn.IFNA(INDEX(玩家节奏1!$EC:$EC,MATCH(关卡对比!A170,玩家节奏1!$N:$N,1)),1)</f>
        <v>7.48</v>
      </c>
      <c r="H170" s="14">
        <f ca="1">_xlfn.IFNA(INDEX(玩家节奏2!$FG:$FG,MATCH(关卡对比!A170,玩家节奏2!$N:$N,1)),1)</f>
        <v>14.374800000000004</v>
      </c>
      <c r="I170" s="14">
        <v>7.54</v>
      </c>
      <c r="J170" s="14">
        <f t="shared" si="55"/>
        <v>68200</v>
      </c>
      <c r="K170" s="14">
        <f t="shared" si="42"/>
        <v>68200</v>
      </c>
      <c r="N170" s="14">
        <v>164</v>
      </c>
      <c r="O170" s="14">
        <f t="shared" si="45"/>
        <v>10284.56</v>
      </c>
      <c r="P170" s="14">
        <v>14</v>
      </c>
      <c r="Q170" s="14">
        <f t="shared" si="56"/>
        <v>136400</v>
      </c>
      <c r="T170" s="14">
        <v>164</v>
      </c>
      <c r="U170" s="14">
        <f t="shared" si="46"/>
        <v>15426.84</v>
      </c>
      <c r="V170" s="14">
        <v>20</v>
      </c>
      <c r="W170" s="14">
        <f t="shared" si="57"/>
        <v>204600</v>
      </c>
      <c r="Y170" s="14">
        <v>164</v>
      </c>
      <c r="Z170" s="108">
        <f t="shared" si="58"/>
        <v>68200</v>
      </c>
      <c r="AA170" s="103">
        <f t="shared" si="59"/>
        <v>136400</v>
      </c>
      <c r="AB170" s="103">
        <f t="shared" si="60"/>
        <v>204600</v>
      </c>
      <c r="AD170" s="14">
        <v>164</v>
      </c>
      <c r="AE170" s="14">
        <f t="shared" si="61"/>
        <v>95</v>
      </c>
      <c r="AF170" s="14">
        <f t="shared" si="62"/>
        <v>73</v>
      </c>
      <c r="AM170">
        <v>7.48</v>
      </c>
    </row>
    <row r="171" spans="1:39" x14ac:dyDescent="0.25">
      <c r="A171" s="14">
        <v>165</v>
      </c>
      <c r="B171" s="14">
        <v>687</v>
      </c>
      <c r="C171" s="14">
        <v>0.99999999999999989</v>
      </c>
      <c r="D171" s="14">
        <f t="shared" si="43"/>
        <v>7.57</v>
      </c>
      <c r="E171" s="14">
        <f t="shared" si="44"/>
        <v>5200.59</v>
      </c>
      <c r="F171" s="102">
        <v>10</v>
      </c>
      <c r="G171" s="14">
        <f ca="1">_xlfn.IFNA(INDEX(玩家节奏1!$EC:$EC,MATCH(关卡对比!A171,玩家节奏1!$N:$N,1)),1)</f>
        <v>7.48</v>
      </c>
      <c r="H171" s="14">
        <f ca="1">_xlfn.IFNA(INDEX(玩家节奏2!$FG:$FG,MATCH(关卡对比!A171,玩家节奏2!$N:$N,1)),1)</f>
        <v>14.374800000000004</v>
      </c>
      <c r="I171" s="14">
        <v>7.57</v>
      </c>
      <c r="J171" s="14">
        <f t="shared" si="55"/>
        <v>68700</v>
      </c>
      <c r="K171" s="14">
        <f t="shared" si="42"/>
        <v>68700</v>
      </c>
      <c r="N171" s="14">
        <v>165</v>
      </c>
      <c r="O171" s="14">
        <f t="shared" si="45"/>
        <v>10401.18</v>
      </c>
      <c r="P171" s="14">
        <v>14</v>
      </c>
      <c r="Q171" s="14">
        <f t="shared" si="56"/>
        <v>137400</v>
      </c>
      <c r="T171" s="14">
        <v>165</v>
      </c>
      <c r="U171" s="14">
        <f t="shared" si="46"/>
        <v>15601.77</v>
      </c>
      <c r="V171" s="14">
        <v>20</v>
      </c>
      <c r="W171" s="14">
        <f t="shared" si="57"/>
        <v>206100</v>
      </c>
      <c r="Y171" s="14">
        <v>165</v>
      </c>
      <c r="Z171" s="108">
        <f t="shared" si="58"/>
        <v>68700</v>
      </c>
      <c r="AA171" s="103">
        <f t="shared" si="59"/>
        <v>137400</v>
      </c>
      <c r="AB171" s="103">
        <f t="shared" si="60"/>
        <v>206100</v>
      </c>
      <c r="AD171" s="14">
        <v>165</v>
      </c>
      <c r="AE171" s="14">
        <f t="shared" si="61"/>
        <v>96</v>
      </c>
      <c r="AF171" s="14">
        <f t="shared" si="62"/>
        <v>73</v>
      </c>
      <c r="AM171">
        <v>7.48</v>
      </c>
    </row>
    <row r="172" spans="1:39" x14ac:dyDescent="0.25">
      <c r="A172" s="14">
        <v>166</v>
      </c>
      <c r="B172" s="14">
        <v>692</v>
      </c>
      <c r="C172" s="14">
        <v>0.99999999999999989</v>
      </c>
      <c r="D172" s="14">
        <f t="shared" si="43"/>
        <v>7.6</v>
      </c>
      <c r="E172" s="14">
        <f t="shared" si="44"/>
        <v>5259.2</v>
      </c>
      <c r="F172" s="102">
        <v>10</v>
      </c>
      <c r="G172" s="14">
        <f ca="1">_xlfn.IFNA(INDEX(玩家节奏1!$EC:$EC,MATCH(关卡对比!A172,玩家节奏1!$N:$N,1)),1)</f>
        <v>7.48</v>
      </c>
      <c r="H172" s="14">
        <f ca="1">_xlfn.IFNA(INDEX(玩家节奏2!$FG:$FG,MATCH(关卡对比!A172,玩家节奏2!$N:$N,1)),1)</f>
        <v>15.333120000000005</v>
      </c>
      <c r="I172" s="14">
        <v>7.6</v>
      </c>
      <c r="J172" s="14">
        <f t="shared" si="55"/>
        <v>69200</v>
      </c>
      <c r="K172" s="14">
        <f t="shared" si="42"/>
        <v>69200</v>
      </c>
      <c r="N172" s="14">
        <v>166</v>
      </c>
      <c r="O172" s="14">
        <f t="shared" si="45"/>
        <v>10518.4</v>
      </c>
      <c r="P172" s="14">
        <v>14</v>
      </c>
      <c r="Q172" s="14">
        <f t="shared" si="56"/>
        <v>138400</v>
      </c>
      <c r="T172" s="14">
        <v>166</v>
      </c>
      <c r="U172" s="14">
        <f t="shared" si="46"/>
        <v>15777.599999999999</v>
      </c>
      <c r="V172" s="14">
        <v>20</v>
      </c>
      <c r="W172" s="14">
        <f t="shared" si="57"/>
        <v>207600</v>
      </c>
      <c r="Y172" s="14">
        <v>166</v>
      </c>
      <c r="Z172" s="108">
        <f t="shared" si="58"/>
        <v>69200</v>
      </c>
      <c r="AA172" s="103">
        <f t="shared" si="59"/>
        <v>138400</v>
      </c>
      <c r="AB172" s="103">
        <f t="shared" si="60"/>
        <v>207600</v>
      </c>
      <c r="AD172" s="14">
        <v>166</v>
      </c>
      <c r="AE172" s="14">
        <f t="shared" si="61"/>
        <v>96</v>
      </c>
      <c r="AF172" s="14">
        <f t="shared" si="62"/>
        <v>73</v>
      </c>
      <c r="AM172">
        <v>7.48</v>
      </c>
    </row>
    <row r="173" spans="1:39" x14ac:dyDescent="0.25">
      <c r="A173" s="14">
        <v>167</v>
      </c>
      <c r="B173" s="14">
        <v>697</v>
      </c>
      <c r="C173" s="14">
        <v>0.99999999999999989</v>
      </c>
      <c r="D173" s="14">
        <f t="shared" si="43"/>
        <v>7.63</v>
      </c>
      <c r="E173" s="14">
        <f t="shared" si="44"/>
        <v>5318.11</v>
      </c>
      <c r="F173" s="102">
        <v>10</v>
      </c>
      <c r="G173" s="14">
        <f ca="1">_xlfn.IFNA(INDEX(玩家节奏1!$EC:$EC,MATCH(关卡对比!A173,玩家节奏1!$N:$N,1)),1)</f>
        <v>7.48</v>
      </c>
      <c r="H173" s="14">
        <f ca="1">_xlfn.IFNA(INDEX(玩家节奏2!$FG:$FG,MATCH(关卡对比!A173,玩家节奏2!$N:$N,1)),1)</f>
        <v>15.333120000000005</v>
      </c>
      <c r="I173" s="14">
        <v>7.63</v>
      </c>
      <c r="J173" s="14">
        <f t="shared" si="55"/>
        <v>69700</v>
      </c>
      <c r="K173" s="14">
        <f t="shared" si="42"/>
        <v>69700</v>
      </c>
      <c r="N173" s="14">
        <v>167</v>
      </c>
      <c r="O173" s="14">
        <f t="shared" si="45"/>
        <v>10636.22</v>
      </c>
      <c r="P173" s="14">
        <v>14</v>
      </c>
      <c r="Q173" s="14">
        <f t="shared" si="56"/>
        <v>139400</v>
      </c>
      <c r="T173" s="14">
        <v>167</v>
      </c>
      <c r="U173" s="14">
        <f t="shared" si="46"/>
        <v>15954.329999999998</v>
      </c>
      <c r="V173" s="14">
        <v>20</v>
      </c>
      <c r="W173" s="14">
        <f t="shared" si="57"/>
        <v>209100</v>
      </c>
      <c r="Y173" s="14">
        <v>167</v>
      </c>
      <c r="Z173" s="108">
        <f t="shared" si="58"/>
        <v>69700</v>
      </c>
      <c r="AA173" s="103">
        <f t="shared" si="59"/>
        <v>139400</v>
      </c>
      <c r="AB173" s="103">
        <f t="shared" si="60"/>
        <v>209100</v>
      </c>
      <c r="AD173" s="14">
        <v>167</v>
      </c>
      <c r="AE173" s="14">
        <f t="shared" si="61"/>
        <v>97</v>
      </c>
      <c r="AF173" s="14">
        <f t="shared" si="62"/>
        <v>74</v>
      </c>
      <c r="AM173">
        <v>7.48</v>
      </c>
    </row>
    <row r="174" spans="1:39" x14ac:dyDescent="0.25">
      <c r="A174" s="14">
        <v>168</v>
      </c>
      <c r="B174" s="14">
        <v>702</v>
      </c>
      <c r="C174" s="14">
        <v>0.99999999999999989</v>
      </c>
      <c r="D174" s="14">
        <f t="shared" si="43"/>
        <v>7.66</v>
      </c>
      <c r="E174" s="14">
        <f t="shared" si="44"/>
        <v>5377.32</v>
      </c>
      <c r="F174" s="102">
        <v>10</v>
      </c>
      <c r="G174" s="14">
        <f ca="1">_xlfn.IFNA(INDEX(玩家节奏1!$EC:$EC,MATCH(关卡对比!A174,玩家节奏1!$N:$N,1)),1)</f>
        <v>7.48</v>
      </c>
      <c r="H174" s="14">
        <f ca="1">_xlfn.IFNA(INDEX(玩家节奏2!$FG:$FG,MATCH(关卡对比!A174,玩家节奏2!$N:$N,1)),1)</f>
        <v>15.333120000000005</v>
      </c>
      <c r="I174" s="14">
        <v>7.66</v>
      </c>
      <c r="J174" s="14">
        <f t="shared" si="55"/>
        <v>70200</v>
      </c>
      <c r="K174" s="14">
        <f t="shared" si="42"/>
        <v>70200</v>
      </c>
      <c r="N174" s="14">
        <v>168</v>
      </c>
      <c r="O174" s="14">
        <f t="shared" si="45"/>
        <v>10754.64</v>
      </c>
      <c r="P174" s="14">
        <v>14</v>
      </c>
      <c r="Q174" s="14">
        <f t="shared" si="56"/>
        <v>140400</v>
      </c>
      <c r="T174" s="14">
        <v>168</v>
      </c>
      <c r="U174" s="14">
        <f t="shared" si="46"/>
        <v>16131.96</v>
      </c>
      <c r="V174" s="14">
        <v>20</v>
      </c>
      <c r="W174" s="14">
        <f t="shared" si="57"/>
        <v>210600</v>
      </c>
      <c r="Y174" s="14">
        <v>168</v>
      </c>
      <c r="Z174" s="108">
        <f t="shared" si="58"/>
        <v>70200</v>
      </c>
      <c r="AA174" s="103">
        <f t="shared" si="59"/>
        <v>140400</v>
      </c>
      <c r="AB174" s="103">
        <f t="shared" si="60"/>
        <v>210600</v>
      </c>
      <c r="AD174" s="14">
        <v>168</v>
      </c>
      <c r="AE174" s="14">
        <f t="shared" si="61"/>
        <v>97</v>
      </c>
      <c r="AF174" s="14">
        <f t="shared" si="62"/>
        <v>74</v>
      </c>
      <c r="AM174">
        <v>7.49</v>
      </c>
    </row>
    <row r="175" spans="1:39" x14ac:dyDescent="0.25">
      <c r="A175" s="14">
        <v>169</v>
      </c>
      <c r="B175" s="14">
        <v>707</v>
      </c>
      <c r="C175" s="14">
        <v>0.99999999999999989</v>
      </c>
      <c r="D175" s="14">
        <f t="shared" si="43"/>
        <v>7.7</v>
      </c>
      <c r="E175" s="14">
        <f t="shared" si="44"/>
        <v>5443.9</v>
      </c>
      <c r="F175" s="102">
        <v>10</v>
      </c>
      <c r="G175" s="14">
        <f ca="1">_xlfn.IFNA(INDEX(玩家节奏1!$EC:$EC,MATCH(关卡对比!A175,玩家节奏1!$N:$N,1)),1)</f>
        <v>7.7000000000000011</v>
      </c>
      <c r="H175" s="14">
        <f ca="1">_xlfn.IFNA(INDEX(玩家节奏2!$FG:$FG,MATCH(关卡对比!A175,玩家节奏2!$N:$N,1)),1)</f>
        <v>15.333120000000005</v>
      </c>
      <c r="I175" s="14">
        <v>7.7</v>
      </c>
      <c r="J175" s="14">
        <f t="shared" si="55"/>
        <v>70700</v>
      </c>
      <c r="K175" s="14">
        <f t="shared" si="42"/>
        <v>70700</v>
      </c>
      <c r="N175" s="14">
        <v>169</v>
      </c>
      <c r="O175" s="14">
        <f t="shared" si="45"/>
        <v>10887.8</v>
      </c>
      <c r="P175" s="14">
        <v>14</v>
      </c>
      <c r="Q175" s="14">
        <f t="shared" si="56"/>
        <v>141400</v>
      </c>
      <c r="T175" s="14">
        <v>169</v>
      </c>
      <c r="U175" s="14">
        <f t="shared" si="46"/>
        <v>16331.699999999999</v>
      </c>
      <c r="V175" s="14">
        <v>20</v>
      </c>
      <c r="W175" s="14">
        <f t="shared" si="57"/>
        <v>212100</v>
      </c>
      <c r="Y175" s="14">
        <v>169</v>
      </c>
      <c r="Z175" s="108">
        <f t="shared" si="58"/>
        <v>70700</v>
      </c>
      <c r="AA175" s="103">
        <f t="shared" si="59"/>
        <v>141400</v>
      </c>
      <c r="AB175" s="103">
        <f t="shared" si="60"/>
        <v>212100</v>
      </c>
      <c r="AD175" s="14">
        <v>169</v>
      </c>
      <c r="AE175" s="14">
        <f t="shared" si="61"/>
        <v>98</v>
      </c>
      <c r="AF175" s="14">
        <f t="shared" si="62"/>
        <v>74</v>
      </c>
      <c r="AM175">
        <v>7.7</v>
      </c>
    </row>
    <row r="176" spans="1:39" x14ac:dyDescent="0.25">
      <c r="A176" s="14">
        <v>170</v>
      </c>
      <c r="B176" s="14">
        <v>712</v>
      </c>
      <c r="C176" s="14">
        <v>0.99999999999999989</v>
      </c>
      <c r="D176" s="14">
        <f t="shared" si="43"/>
        <v>7.75</v>
      </c>
      <c r="E176" s="14">
        <f t="shared" si="44"/>
        <v>5518</v>
      </c>
      <c r="F176" s="102">
        <v>10</v>
      </c>
      <c r="G176" s="14">
        <f ca="1">_xlfn.IFNA(INDEX(玩家节奏1!$EC:$EC,MATCH(关卡对比!A176,玩家节奏1!$N:$N,1)),1)</f>
        <v>7.7000000000000011</v>
      </c>
      <c r="H176" s="14">
        <f ca="1">_xlfn.IFNA(INDEX(玩家节奏2!$FG:$FG,MATCH(关卡对比!A176,玩家节奏2!$N:$N,1)),1)</f>
        <v>15.844224000000006</v>
      </c>
      <c r="I176" s="14">
        <v>7.75</v>
      </c>
      <c r="J176" s="14">
        <f t="shared" si="55"/>
        <v>71200</v>
      </c>
      <c r="K176" s="14">
        <f t="shared" si="42"/>
        <v>71200</v>
      </c>
      <c r="N176" s="14">
        <v>170</v>
      </c>
      <c r="O176" s="14">
        <f t="shared" si="45"/>
        <v>11036</v>
      </c>
      <c r="P176" s="14">
        <v>14</v>
      </c>
      <c r="Q176" s="14">
        <f t="shared" si="56"/>
        <v>142400</v>
      </c>
      <c r="T176" s="14">
        <v>170</v>
      </c>
      <c r="U176" s="14">
        <f t="shared" si="46"/>
        <v>16554</v>
      </c>
      <c r="V176" s="14">
        <v>20</v>
      </c>
      <c r="W176" s="14">
        <f t="shared" si="57"/>
        <v>213600</v>
      </c>
      <c r="Y176" s="14">
        <v>170</v>
      </c>
      <c r="Z176" s="108">
        <f t="shared" si="58"/>
        <v>71200</v>
      </c>
      <c r="AA176" s="103">
        <f t="shared" si="59"/>
        <v>142400</v>
      </c>
      <c r="AB176" s="103">
        <f t="shared" si="60"/>
        <v>213600</v>
      </c>
      <c r="AD176" s="14">
        <v>170</v>
      </c>
      <c r="AE176" s="14">
        <f t="shared" si="61"/>
        <v>98</v>
      </c>
      <c r="AF176" s="14">
        <f t="shared" si="62"/>
        <v>75</v>
      </c>
      <c r="AM176">
        <v>7.7</v>
      </c>
    </row>
    <row r="177" spans="1:39" x14ac:dyDescent="0.25">
      <c r="A177" s="14">
        <v>171</v>
      </c>
      <c r="B177" s="14">
        <v>717</v>
      </c>
      <c r="C177" s="14">
        <v>0.99999999999999989</v>
      </c>
      <c r="D177" s="14">
        <f t="shared" si="43"/>
        <v>7.8</v>
      </c>
      <c r="E177" s="14">
        <f t="shared" si="44"/>
        <v>5592.6</v>
      </c>
      <c r="F177" s="102">
        <v>10</v>
      </c>
      <c r="G177" s="14">
        <f ca="1">_xlfn.IFNA(INDEX(玩家节奏1!$EC:$EC,MATCH(关卡对比!A177,玩家节奏1!$N:$N,1)),1)</f>
        <v>7.7000000000000011</v>
      </c>
      <c r="H177" s="14">
        <f ca="1">_xlfn.IFNA(INDEX(玩家节奏2!$FG:$FG,MATCH(关卡对比!A177,玩家节奏2!$N:$N,1)),1)</f>
        <v>15.844224000000006</v>
      </c>
      <c r="I177" s="14">
        <v>7.8</v>
      </c>
      <c r="J177" s="14">
        <f t="shared" si="55"/>
        <v>71700</v>
      </c>
      <c r="K177" s="14">
        <f t="shared" si="42"/>
        <v>71700</v>
      </c>
      <c r="N177" s="14">
        <v>171</v>
      </c>
      <c r="O177" s="14">
        <f t="shared" si="45"/>
        <v>11185.2</v>
      </c>
      <c r="P177" s="14">
        <v>14</v>
      </c>
      <c r="Q177" s="14">
        <f t="shared" si="56"/>
        <v>143400</v>
      </c>
      <c r="T177" s="14">
        <v>171</v>
      </c>
      <c r="U177" s="14">
        <f t="shared" si="46"/>
        <v>16777.800000000003</v>
      </c>
      <c r="V177" s="14">
        <v>20</v>
      </c>
      <c r="W177" s="14">
        <f t="shared" si="57"/>
        <v>215100</v>
      </c>
      <c r="Y177" s="14">
        <v>171</v>
      </c>
      <c r="Z177" s="108">
        <f t="shared" si="58"/>
        <v>71700</v>
      </c>
      <c r="AA177" s="103">
        <f t="shared" si="59"/>
        <v>143400</v>
      </c>
      <c r="AB177" s="103">
        <f t="shared" si="60"/>
        <v>215100</v>
      </c>
      <c r="AD177" s="14">
        <v>171</v>
      </c>
      <c r="AE177" s="14">
        <f t="shared" si="61"/>
        <v>99</v>
      </c>
      <c r="AF177" s="14">
        <f t="shared" si="62"/>
        <v>75</v>
      </c>
      <c r="AM177">
        <v>7.7</v>
      </c>
    </row>
    <row r="178" spans="1:39" x14ac:dyDescent="0.25">
      <c r="A178" s="14">
        <v>172</v>
      </c>
      <c r="B178" s="14">
        <v>722</v>
      </c>
      <c r="C178" s="14">
        <v>0.99999999999999989</v>
      </c>
      <c r="D178" s="14">
        <f t="shared" si="43"/>
        <v>7.86</v>
      </c>
      <c r="E178" s="14">
        <f t="shared" si="44"/>
        <v>5674.92</v>
      </c>
      <c r="F178" s="102">
        <v>10</v>
      </c>
      <c r="G178" s="14">
        <f ca="1">_xlfn.IFNA(INDEX(玩家节奏1!$EC:$EC,MATCH(关卡对比!A178,玩家节奏1!$N:$N,1)),1)</f>
        <v>7.7000000000000011</v>
      </c>
      <c r="H178" s="14">
        <f ca="1">_xlfn.IFNA(INDEX(玩家节奏2!$FG:$FG,MATCH(关卡对比!A178,玩家节奏2!$N:$N,1)),1)</f>
        <v>15.844224000000006</v>
      </c>
      <c r="I178" s="14">
        <v>7.86</v>
      </c>
      <c r="J178" s="14">
        <f t="shared" si="55"/>
        <v>72200</v>
      </c>
      <c r="K178" s="14">
        <f t="shared" si="42"/>
        <v>72200</v>
      </c>
      <c r="N178" s="14">
        <v>172</v>
      </c>
      <c r="O178" s="14">
        <f t="shared" si="45"/>
        <v>11349.84</v>
      </c>
      <c r="P178" s="14">
        <v>14</v>
      </c>
      <c r="Q178" s="14">
        <f t="shared" si="56"/>
        <v>144400</v>
      </c>
      <c r="T178" s="14">
        <v>172</v>
      </c>
      <c r="U178" s="14">
        <f t="shared" si="46"/>
        <v>17024.760000000002</v>
      </c>
      <c r="V178" s="14">
        <v>20</v>
      </c>
      <c r="W178" s="14">
        <f t="shared" si="57"/>
        <v>216600</v>
      </c>
      <c r="Y178" s="14">
        <v>172</v>
      </c>
      <c r="Z178" s="108">
        <f t="shared" si="58"/>
        <v>72200</v>
      </c>
      <c r="AA178" s="103">
        <f t="shared" si="59"/>
        <v>144400</v>
      </c>
      <c r="AB178" s="103">
        <f t="shared" si="60"/>
        <v>216600</v>
      </c>
      <c r="AD178" s="14">
        <v>172</v>
      </c>
      <c r="AE178" s="14">
        <f t="shared" si="61"/>
        <v>99</v>
      </c>
      <c r="AF178" s="14">
        <f t="shared" si="62"/>
        <v>75</v>
      </c>
      <c r="AM178">
        <v>7.7</v>
      </c>
    </row>
    <row r="179" spans="1:39" x14ac:dyDescent="0.25">
      <c r="A179" s="14">
        <v>173</v>
      </c>
      <c r="B179" s="14">
        <v>727</v>
      </c>
      <c r="C179" s="14">
        <v>0.99999999999999989</v>
      </c>
      <c r="D179" s="14">
        <f t="shared" si="43"/>
        <v>7.9</v>
      </c>
      <c r="E179" s="14">
        <f t="shared" si="44"/>
        <v>5743.3</v>
      </c>
      <c r="F179" s="102">
        <v>10</v>
      </c>
      <c r="G179" s="14">
        <f ca="1">_xlfn.IFNA(INDEX(玩家节奏1!$EC:$EC,MATCH(关卡对比!A179,玩家节奏1!$N:$N,1)),1)</f>
        <v>7.7000000000000011</v>
      </c>
      <c r="H179" s="14">
        <f ca="1">_xlfn.IFNA(INDEX(玩家节奏2!$FG:$FG,MATCH(关卡对比!A179,玩家节奏2!$N:$N,1)),1)</f>
        <v>15.844224000000006</v>
      </c>
      <c r="I179" s="14">
        <v>7.9</v>
      </c>
      <c r="J179" s="14">
        <f t="shared" si="55"/>
        <v>72700</v>
      </c>
      <c r="K179" s="14">
        <f t="shared" si="42"/>
        <v>72700</v>
      </c>
      <c r="N179" s="14">
        <v>173</v>
      </c>
      <c r="O179" s="14">
        <f t="shared" si="45"/>
        <v>11486.6</v>
      </c>
      <c r="P179" s="14">
        <v>14</v>
      </c>
      <c r="Q179" s="14">
        <f t="shared" si="56"/>
        <v>145400</v>
      </c>
      <c r="T179" s="14">
        <v>173</v>
      </c>
      <c r="U179" s="14">
        <f t="shared" si="46"/>
        <v>17229.900000000001</v>
      </c>
      <c r="V179" s="14">
        <v>20</v>
      </c>
      <c r="W179" s="14">
        <f t="shared" si="57"/>
        <v>218100</v>
      </c>
      <c r="Y179" s="14">
        <v>173</v>
      </c>
      <c r="Z179" s="108">
        <f t="shared" si="58"/>
        <v>72700</v>
      </c>
      <c r="AA179" s="103">
        <f t="shared" si="59"/>
        <v>145400</v>
      </c>
      <c r="AB179" s="103">
        <f t="shared" si="60"/>
        <v>218100</v>
      </c>
      <c r="AD179" s="14">
        <v>173</v>
      </c>
      <c r="AE179" s="14">
        <f t="shared" si="61"/>
        <v>100</v>
      </c>
      <c r="AF179" s="14">
        <f t="shared" si="62"/>
        <v>76</v>
      </c>
      <c r="AM179">
        <v>7.71</v>
      </c>
    </row>
    <row r="180" spans="1:39" x14ac:dyDescent="0.25">
      <c r="A180" s="14">
        <v>174</v>
      </c>
      <c r="B180" s="14">
        <v>732</v>
      </c>
      <c r="C180" s="14">
        <v>0.99999999999999989</v>
      </c>
      <c r="D180" s="14">
        <f t="shared" si="43"/>
        <v>7.92</v>
      </c>
      <c r="E180" s="14">
        <f t="shared" si="44"/>
        <v>5797.44</v>
      </c>
      <c r="F180" s="102">
        <v>10</v>
      </c>
      <c r="G180" s="14">
        <f ca="1">_xlfn.IFNA(INDEX(玩家节奏1!$EC:$EC,MATCH(关卡对比!A180,玩家节奏1!$N:$N,1)),1)</f>
        <v>7.9200000000000008</v>
      </c>
      <c r="H180" s="14">
        <f ca="1">_xlfn.IFNA(INDEX(玩家节奏2!$FG:$FG,MATCH(关卡对比!A180,玩家节奏2!$N:$N,1)),1)</f>
        <v>16.355328000000004</v>
      </c>
      <c r="I180" s="14">
        <v>7.92</v>
      </c>
      <c r="J180" s="14">
        <f t="shared" si="55"/>
        <v>73200</v>
      </c>
      <c r="K180" s="14">
        <f t="shared" si="42"/>
        <v>73200</v>
      </c>
      <c r="N180" s="14">
        <v>174</v>
      </c>
      <c r="O180" s="14">
        <f t="shared" si="45"/>
        <v>11594.88</v>
      </c>
      <c r="P180" s="14">
        <v>14</v>
      </c>
      <c r="Q180" s="14">
        <f t="shared" si="56"/>
        <v>146400</v>
      </c>
      <c r="T180" s="14">
        <v>174</v>
      </c>
      <c r="U180" s="14">
        <f t="shared" si="46"/>
        <v>17392.32</v>
      </c>
      <c r="V180" s="14">
        <v>20</v>
      </c>
      <c r="W180" s="14">
        <f t="shared" si="57"/>
        <v>219600</v>
      </c>
      <c r="Y180" s="14">
        <v>174</v>
      </c>
      <c r="Z180" s="108">
        <f t="shared" si="58"/>
        <v>73200</v>
      </c>
      <c r="AA180" s="103">
        <f t="shared" si="59"/>
        <v>146400</v>
      </c>
      <c r="AB180" s="103">
        <f t="shared" si="60"/>
        <v>219600</v>
      </c>
      <c r="AD180" s="14">
        <v>174</v>
      </c>
      <c r="AE180" s="14">
        <f t="shared" si="61"/>
        <v>100</v>
      </c>
      <c r="AF180" s="14">
        <f t="shared" si="62"/>
        <v>76</v>
      </c>
      <c r="AM180">
        <v>7.92</v>
      </c>
    </row>
    <row r="181" spans="1:39" x14ac:dyDescent="0.25">
      <c r="A181" s="14">
        <v>175</v>
      </c>
      <c r="B181" s="14">
        <v>737</v>
      </c>
      <c r="C181" s="14">
        <v>0.99999999999999989</v>
      </c>
      <c r="D181" s="14">
        <f t="shared" si="43"/>
        <v>7.92</v>
      </c>
      <c r="E181" s="14">
        <f t="shared" si="44"/>
        <v>5837.04</v>
      </c>
      <c r="F181" s="102">
        <v>10</v>
      </c>
      <c r="G181" s="14">
        <f ca="1">_xlfn.IFNA(INDEX(玩家节奏1!$EC:$EC,MATCH(关卡对比!A181,玩家节奏1!$N:$N,1)),1)</f>
        <v>7.9200000000000008</v>
      </c>
      <c r="H181" s="14">
        <f ca="1">_xlfn.IFNA(INDEX(玩家节奏2!$FG:$FG,MATCH(关卡对比!A181,玩家节奏2!$N:$N,1)),1)</f>
        <v>16.355328000000004</v>
      </c>
      <c r="I181" s="14">
        <v>7.92</v>
      </c>
      <c r="J181" s="14">
        <f t="shared" si="55"/>
        <v>73700</v>
      </c>
      <c r="K181" s="14">
        <f t="shared" si="42"/>
        <v>73700</v>
      </c>
      <c r="N181" s="14">
        <v>175</v>
      </c>
      <c r="O181" s="14">
        <f t="shared" si="45"/>
        <v>11674.08</v>
      </c>
      <c r="P181" s="14">
        <v>14</v>
      </c>
      <c r="Q181" s="14">
        <f t="shared" si="56"/>
        <v>147400</v>
      </c>
      <c r="T181" s="14">
        <v>175</v>
      </c>
      <c r="U181" s="14">
        <f t="shared" si="46"/>
        <v>17511.12</v>
      </c>
      <c r="V181" s="14">
        <v>20</v>
      </c>
      <c r="W181" s="14">
        <f t="shared" si="57"/>
        <v>221100</v>
      </c>
      <c r="Y181" s="14">
        <v>175</v>
      </c>
      <c r="Z181" s="108">
        <f t="shared" si="58"/>
        <v>73700</v>
      </c>
      <c r="AA181" s="103">
        <f t="shared" si="59"/>
        <v>147400</v>
      </c>
      <c r="AB181" s="103">
        <f t="shared" si="60"/>
        <v>221100</v>
      </c>
      <c r="AD181" s="14">
        <v>175</v>
      </c>
      <c r="AE181" s="14">
        <f t="shared" si="61"/>
        <v>101</v>
      </c>
      <c r="AF181" s="14">
        <f t="shared" si="62"/>
        <v>76</v>
      </c>
      <c r="AM181">
        <v>7.92</v>
      </c>
    </row>
    <row r="182" spans="1:39" x14ac:dyDescent="0.25">
      <c r="A182" s="14">
        <v>176</v>
      </c>
      <c r="B182" s="14">
        <v>742</v>
      </c>
      <c r="C182" s="14">
        <v>0.99999999999999989</v>
      </c>
      <c r="D182" s="14">
        <f t="shared" si="43"/>
        <v>7.92</v>
      </c>
      <c r="E182" s="14">
        <f t="shared" si="44"/>
        <v>5876.64</v>
      </c>
      <c r="F182" s="102">
        <v>10</v>
      </c>
      <c r="G182" s="14">
        <f ca="1">_xlfn.IFNA(INDEX(玩家节奏1!$EC:$EC,MATCH(关卡对比!A182,玩家节奏1!$N:$N,1)),1)</f>
        <v>7.9200000000000008</v>
      </c>
      <c r="H182" s="14">
        <f ca="1">_xlfn.IFNA(INDEX(玩家节奏2!$FG:$FG,MATCH(关卡对比!A182,玩家节奏2!$N:$N,1)),1)</f>
        <v>16.355328000000004</v>
      </c>
      <c r="I182" s="14">
        <v>7.92</v>
      </c>
      <c r="J182" s="14">
        <f t="shared" si="55"/>
        <v>74200</v>
      </c>
      <c r="K182" s="14">
        <f t="shared" si="42"/>
        <v>74200</v>
      </c>
      <c r="N182" s="14">
        <v>176</v>
      </c>
      <c r="O182" s="14">
        <f t="shared" si="45"/>
        <v>11753.28</v>
      </c>
      <c r="P182" s="14">
        <v>14</v>
      </c>
      <c r="Q182" s="14">
        <f t="shared" si="56"/>
        <v>148400</v>
      </c>
      <c r="T182" s="14">
        <v>176</v>
      </c>
      <c r="U182" s="14">
        <f t="shared" si="46"/>
        <v>17629.920000000002</v>
      </c>
      <c r="V182" s="14">
        <v>20</v>
      </c>
      <c r="W182" s="14">
        <f t="shared" si="57"/>
        <v>222600</v>
      </c>
      <c r="Y182" s="14">
        <v>176</v>
      </c>
      <c r="Z182" s="108">
        <f t="shared" si="58"/>
        <v>74200</v>
      </c>
      <c r="AA182" s="103">
        <f t="shared" si="59"/>
        <v>148400</v>
      </c>
      <c r="AB182" s="103">
        <f t="shared" si="60"/>
        <v>222600</v>
      </c>
      <c r="AD182" s="14">
        <v>176</v>
      </c>
      <c r="AE182" s="14">
        <f t="shared" si="61"/>
        <v>101</v>
      </c>
      <c r="AF182" s="14">
        <f t="shared" si="62"/>
        <v>77</v>
      </c>
      <c r="AM182">
        <v>7.92</v>
      </c>
    </row>
    <row r="183" spans="1:39" x14ac:dyDescent="0.25">
      <c r="A183" s="14">
        <v>177</v>
      </c>
      <c r="B183" s="14">
        <v>747</v>
      </c>
      <c r="C183" s="14">
        <v>0.99999999999999989</v>
      </c>
      <c r="D183" s="14">
        <f t="shared" si="43"/>
        <v>7.92</v>
      </c>
      <c r="E183" s="14">
        <f t="shared" si="44"/>
        <v>5916.24</v>
      </c>
      <c r="F183" s="102">
        <v>10</v>
      </c>
      <c r="G183" s="14">
        <f ca="1">_xlfn.IFNA(INDEX(玩家节奏1!$EC:$EC,MATCH(关卡对比!A183,玩家节奏1!$N:$N,1)),1)</f>
        <v>7.9200000000000008</v>
      </c>
      <c r="H183" s="14">
        <f ca="1">_xlfn.IFNA(INDEX(玩家节奏2!$FG:$FG,MATCH(关卡对比!A183,玩家节奏2!$N:$N,1)),1)</f>
        <v>16.355328000000004</v>
      </c>
      <c r="I183" s="14">
        <v>7.92</v>
      </c>
      <c r="J183" s="14">
        <f t="shared" si="55"/>
        <v>74700</v>
      </c>
      <c r="K183" s="14">
        <f t="shared" si="42"/>
        <v>74700</v>
      </c>
      <c r="N183" s="14">
        <v>177</v>
      </c>
      <c r="O183" s="14">
        <f t="shared" si="45"/>
        <v>11832.48</v>
      </c>
      <c r="P183" s="14">
        <v>14</v>
      </c>
      <c r="Q183" s="14">
        <f t="shared" si="56"/>
        <v>149400</v>
      </c>
      <c r="T183" s="14">
        <v>177</v>
      </c>
      <c r="U183" s="14">
        <f t="shared" si="46"/>
        <v>17748.72</v>
      </c>
      <c r="V183" s="14">
        <v>20</v>
      </c>
      <c r="W183" s="14">
        <f t="shared" si="57"/>
        <v>224100</v>
      </c>
      <c r="Y183" s="14">
        <v>177</v>
      </c>
      <c r="Z183" s="108">
        <f t="shared" si="58"/>
        <v>74700</v>
      </c>
      <c r="AA183" s="103">
        <f t="shared" si="59"/>
        <v>149400</v>
      </c>
      <c r="AB183" s="103">
        <f t="shared" si="60"/>
        <v>224100</v>
      </c>
      <c r="AD183" s="14">
        <v>177</v>
      </c>
      <c r="AE183" s="14">
        <f t="shared" si="61"/>
        <v>102</v>
      </c>
      <c r="AF183" s="14">
        <f t="shared" si="62"/>
        <v>77</v>
      </c>
      <c r="AM183">
        <v>7.92</v>
      </c>
    </row>
    <row r="184" spans="1:39" x14ac:dyDescent="0.25">
      <c r="A184" s="14">
        <v>178</v>
      </c>
      <c r="B184" s="14">
        <v>752</v>
      </c>
      <c r="C184" s="14">
        <v>0.99999999999999989</v>
      </c>
      <c r="D184" s="14">
        <f t="shared" si="43"/>
        <v>7.92</v>
      </c>
      <c r="E184" s="14">
        <f t="shared" si="44"/>
        <v>5955.84</v>
      </c>
      <c r="F184" s="102">
        <v>10</v>
      </c>
      <c r="G184" s="14">
        <f ca="1">_xlfn.IFNA(INDEX(玩家节奏1!$EC:$EC,MATCH(关卡对比!A184,玩家节奏1!$N:$N,1)),1)</f>
        <v>7.9200000000000008</v>
      </c>
      <c r="H184" s="14">
        <f ca="1">_xlfn.IFNA(INDEX(玩家节奏2!$FG:$FG,MATCH(关卡对比!A184,玩家节奏2!$N:$N,1)),1)</f>
        <v>16.355328000000004</v>
      </c>
      <c r="I184" s="14">
        <v>7.92</v>
      </c>
      <c r="J184" s="14">
        <f t="shared" si="55"/>
        <v>75200</v>
      </c>
      <c r="K184" s="14">
        <f t="shared" si="42"/>
        <v>75200</v>
      </c>
      <c r="N184" s="14">
        <v>178</v>
      </c>
      <c r="O184" s="14">
        <f t="shared" si="45"/>
        <v>11911.68</v>
      </c>
      <c r="P184" s="14">
        <v>14</v>
      </c>
      <c r="Q184" s="14">
        <f t="shared" si="56"/>
        <v>150400</v>
      </c>
      <c r="T184" s="14">
        <v>178</v>
      </c>
      <c r="U184" s="14">
        <f t="shared" si="46"/>
        <v>17867.52</v>
      </c>
      <c r="V184" s="14">
        <v>20</v>
      </c>
      <c r="W184" s="14">
        <f t="shared" si="57"/>
        <v>225600</v>
      </c>
      <c r="Y184" s="14">
        <v>178</v>
      </c>
      <c r="Z184" s="108">
        <f t="shared" si="58"/>
        <v>75200</v>
      </c>
      <c r="AA184" s="103">
        <f t="shared" si="59"/>
        <v>150400</v>
      </c>
      <c r="AB184" s="103">
        <f t="shared" si="60"/>
        <v>225600</v>
      </c>
      <c r="AD184" s="14">
        <v>178</v>
      </c>
      <c r="AE184" s="14">
        <f t="shared" si="61"/>
        <v>102</v>
      </c>
      <c r="AF184" s="14">
        <f t="shared" si="62"/>
        <v>77</v>
      </c>
      <c r="AM184">
        <v>7.92</v>
      </c>
    </row>
    <row r="185" spans="1:39" x14ac:dyDescent="0.25">
      <c r="A185" s="14">
        <v>179</v>
      </c>
      <c r="B185" s="14">
        <v>757</v>
      </c>
      <c r="C185" s="14">
        <v>0.99999999999999989</v>
      </c>
      <c r="D185" s="14">
        <f t="shared" si="43"/>
        <v>7.92</v>
      </c>
      <c r="E185" s="14">
        <f t="shared" si="44"/>
        <v>5995.44</v>
      </c>
      <c r="F185" s="102">
        <v>10</v>
      </c>
      <c r="G185" s="14">
        <f ca="1">_xlfn.IFNA(INDEX(玩家节奏1!$EC:$EC,MATCH(关卡对比!A185,玩家节奏1!$N:$N,1)),1)</f>
        <v>7.9200000000000008</v>
      </c>
      <c r="H185" s="14">
        <f ca="1">_xlfn.IFNA(INDEX(玩家节奏2!$FG:$FG,MATCH(关卡对比!A185,玩家节奏2!$N:$N,1)),1)</f>
        <v>16.355328000000004</v>
      </c>
      <c r="I185" s="14">
        <v>7.92</v>
      </c>
      <c r="J185" s="14">
        <f t="shared" si="55"/>
        <v>75700</v>
      </c>
      <c r="K185" s="14">
        <f t="shared" si="42"/>
        <v>75700</v>
      </c>
      <c r="N185" s="14">
        <v>179</v>
      </c>
      <c r="O185" s="14">
        <f t="shared" si="45"/>
        <v>11990.88</v>
      </c>
      <c r="P185" s="14">
        <v>14</v>
      </c>
      <c r="Q185" s="14">
        <f t="shared" si="56"/>
        <v>151400</v>
      </c>
      <c r="T185" s="14">
        <v>179</v>
      </c>
      <c r="U185" s="14">
        <f t="shared" si="46"/>
        <v>17986.32</v>
      </c>
      <c r="V185" s="14">
        <v>20</v>
      </c>
      <c r="W185" s="14">
        <f t="shared" si="57"/>
        <v>227100</v>
      </c>
      <c r="Y185" s="14">
        <v>179</v>
      </c>
      <c r="Z185" s="108">
        <f t="shared" si="58"/>
        <v>75700</v>
      </c>
      <c r="AA185" s="103">
        <f t="shared" si="59"/>
        <v>151400</v>
      </c>
      <c r="AB185" s="103">
        <f t="shared" si="60"/>
        <v>227100</v>
      </c>
      <c r="AD185" s="14">
        <v>179</v>
      </c>
      <c r="AE185" s="14">
        <f t="shared" si="61"/>
        <v>103</v>
      </c>
      <c r="AF185" s="14">
        <f t="shared" si="62"/>
        <v>78</v>
      </c>
      <c r="AM185">
        <v>7.92</v>
      </c>
    </row>
    <row r="186" spans="1:39" x14ac:dyDescent="0.25">
      <c r="A186" s="14">
        <v>180</v>
      </c>
      <c r="B186" s="14">
        <v>762</v>
      </c>
      <c r="C186" s="14">
        <v>0.99999999999999989</v>
      </c>
      <c r="D186" s="14">
        <f t="shared" si="43"/>
        <v>7.92</v>
      </c>
      <c r="E186" s="14">
        <f t="shared" si="44"/>
        <v>6035.04</v>
      </c>
      <c r="F186" s="102">
        <v>10</v>
      </c>
      <c r="G186" s="14">
        <f ca="1">_xlfn.IFNA(INDEX(玩家节奏1!$EC:$EC,MATCH(关卡对比!A186,玩家节奏1!$N:$N,1)),1)</f>
        <v>7.9200000000000008</v>
      </c>
      <c r="H186" s="14">
        <f ca="1">_xlfn.IFNA(INDEX(玩家节奏2!$FG:$FG,MATCH(关卡对比!A186,玩家节奏2!$N:$N,1)),1)</f>
        <v>16.355328000000004</v>
      </c>
      <c r="I186" s="14">
        <v>7.92</v>
      </c>
      <c r="J186" s="14">
        <f t="shared" si="55"/>
        <v>76200</v>
      </c>
      <c r="K186" s="14">
        <f t="shared" si="42"/>
        <v>76200</v>
      </c>
      <c r="N186" s="14">
        <v>180</v>
      </c>
      <c r="O186" s="14">
        <f t="shared" si="45"/>
        <v>12070.08</v>
      </c>
      <c r="P186" s="14">
        <v>14</v>
      </c>
      <c r="Q186" s="14">
        <f t="shared" si="56"/>
        <v>152400</v>
      </c>
      <c r="T186" s="14">
        <v>180</v>
      </c>
      <c r="U186" s="14">
        <f t="shared" si="46"/>
        <v>18105.12</v>
      </c>
      <c r="V186" s="14">
        <v>20</v>
      </c>
      <c r="W186" s="14">
        <f t="shared" si="57"/>
        <v>228600</v>
      </c>
      <c r="Y186" s="14">
        <v>180</v>
      </c>
      <c r="Z186" s="108">
        <f t="shared" si="58"/>
        <v>76200</v>
      </c>
      <c r="AA186" s="103">
        <f t="shared" si="59"/>
        <v>152400</v>
      </c>
      <c r="AB186" s="103">
        <f t="shared" si="60"/>
        <v>228600</v>
      </c>
      <c r="AD186" s="14">
        <v>180</v>
      </c>
      <c r="AE186" s="14">
        <f t="shared" si="61"/>
        <v>103</v>
      </c>
      <c r="AF186" s="14">
        <f t="shared" si="62"/>
        <v>78</v>
      </c>
      <c r="AM186">
        <v>7.92</v>
      </c>
    </row>
    <row r="187" spans="1:39" x14ac:dyDescent="0.25">
      <c r="A187" s="14">
        <v>181</v>
      </c>
      <c r="B187" s="14">
        <v>767</v>
      </c>
      <c r="C187" s="14">
        <v>0.99999999999999989</v>
      </c>
      <c r="D187" s="14">
        <f t="shared" si="43"/>
        <v>7.92</v>
      </c>
      <c r="E187" s="14">
        <f t="shared" si="44"/>
        <v>6074.64</v>
      </c>
      <c r="F187" s="102">
        <v>10</v>
      </c>
      <c r="G187" s="14">
        <f ca="1">_xlfn.IFNA(INDEX(玩家节奏1!$EC:$EC,MATCH(关卡对比!A187,玩家节奏1!$N:$N,1)),1)</f>
        <v>7.9200000000000008</v>
      </c>
      <c r="H187" s="14">
        <f ca="1">_xlfn.IFNA(INDEX(玩家节奏2!$FG:$FG,MATCH(关卡对比!A187,玩家节奏2!$N:$N,1)),1)</f>
        <v>16.355328000000004</v>
      </c>
      <c r="I187" s="14">
        <v>7.92</v>
      </c>
      <c r="J187" s="14">
        <f t="shared" si="55"/>
        <v>76700</v>
      </c>
      <c r="K187" s="14">
        <f t="shared" si="42"/>
        <v>76700</v>
      </c>
      <c r="N187" s="14">
        <v>181</v>
      </c>
      <c r="O187" s="14">
        <f t="shared" si="45"/>
        <v>12149.28</v>
      </c>
      <c r="P187" s="14">
        <v>14</v>
      </c>
      <c r="Q187" s="14">
        <f t="shared" si="56"/>
        <v>153400</v>
      </c>
      <c r="T187" s="14">
        <v>181</v>
      </c>
      <c r="U187" s="14">
        <f t="shared" si="46"/>
        <v>18223.920000000002</v>
      </c>
      <c r="V187" s="14">
        <v>20</v>
      </c>
      <c r="W187" s="14">
        <f t="shared" si="57"/>
        <v>230100</v>
      </c>
      <c r="Y187" s="14">
        <v>181</v>
      </c>
      <c r="Z187" s="108">
        <f t="shared" si="58"/>
        <v>76700</v>
      </c>
      <c r="AA187" s="103">
        <f t="shared" si="59"/>
        <v>153400</v>
      </c>
      <c r="AB187" s="103">
        <f t="shared" si="60"/>
        <v>230100</v>
      </c>
      <c r="AD187" s="14">
        <v>181</v>
      </c>
      <c r="AE187" s="14">
        <f t="shared" si="61"/>
        <v>104</v>
      </c>
      <c r="AF187" s="14">
        <f t="shared" si="62"/>
        <v>78</v>
      </c>
      <c r="AM187">
        <v>7.92</v>
      </c>
    </row>
    <row r="188" spans="1:39" x14ac:dyDescent="0.25">
      <c r="A188" s="14">
        <v>182</v>
      </c>
      <c r="B188" s="14">
        <v>772</v>
      </c>
      <c r="C188" s="14">
        <v>0.99999999999999989</v>
      </c>
      <c r="D188" s="14">
        <f t="shared" si="43"/>
        <v>7.92</v>
      </c>
      <c r="E188" s="14">
        <f t="shared" si="44"/>
        <v>6114.24</v>
      </c>
      <c r="F188" s="102">
        <v>10</v>
      </c>
      <c r="G188" s="14">
        <f ca="1">_xlfn.IFNA(INDEX(玩家节奏1!$EC:$EC,MATCH(关卡对比!A188,玩家节奏1!$N:$N,1)),1)</f>
        <v>7.9200000000000008</v>
      </c>
      <c r="H188" s="14">
        <f ca="1">_xlfn.IFNA(INDEX(玩家节奏2!$FG:$FG,MATCH(关卡对比!A188,玩家节奏2!$N:$N,1)),1)</f>
        <v>16.355328000000004</v>
      </c>
      <c r="I188" s="14">
        <v>7.92</v>
      </c>
      <c r="J188" s="14">
        <f t="shared" si="55"/>
        <v>77200</v>
      </c>
      <c r="K188" s="14">
        <f t="shared" si="42"/>
        <v>77200</v>
      </c>
      <c r="N188" s="14">
        <v>182</v>
      </c>
      <c r="O188" s="14">
        <f t="shared" si="45"/>
        <v>12228.48</v>
      </c>
      <c r="P188" s="14">
        <v>14</v>
      </c>
      <c r="Q188" s="14">
        <f t="shared" si="56"/>
        <v>154400</v>
      </c>
      <c r="T188" s="14">
        <v>182</v>
      </c>
      <c r="U188" s="14">
        <f t="shared" si="46"/>
        <v>18342.72</v>
      </c>
      <c r="V188" s="14">
        <v>20</v>
      </c>
      <c r="W188" s="14">
        <f t="shared" si="57"/>
        <v>231600</v>
      </c>
      <c r="Y188" s="14">
        <v>182</v>
      </c>
      <c r="Z188" s="108">
        <f t="shared" si="58"/>
        <v>77200</v>
      </c>
      <c r="AA188" s="103">
        <f t="shared" si="59"/>
        <v>154400</v>
      </c>
      <c r="AB188" s="103">
        <f t="shared" si="60"/>
        <v>231600</v>
      </c>
      <c r="AD188" s="14">
        <v>182</v>
      </c>
      <c r="AE188" s="14">
        <f t="shared" si="61"/>
        <v>104</v>
      </c>
      <c r="AF188" s="14">
        <f t="shared" si="62"/>
        <v>79</v>
      </c>
      <c r="AM188">
        <v>7.92</v>
      </c>
    </row>
    <row r="189" spans="1:39" x14ac:dyDescent="0.25">
      <c r="A189" s="14">
        <v>183</v>
      </c>
      <c r="B189" s="14">
        <v>777</v>
      </c>
      <c r="C189" s="14">
        <v>0.99999999999999989</v>
      </c>
      <c r="D189" s="14">
        <f t="shared" si="43"/>
        <v>7.92</v>
      </c>
      <c r="E189" s="14">
        <f t="shared" si="44"/>
        <v>6153.84</v>
      </c>
      <c r="F189" s="102">
        <v>10</v>
      </c>
      <c r="G189" s="14">
        <f ca="1">_xlfn.IFNA(INDEX(玩家节奏1!$EC:$EC,MATCH(关卡对比!A189,玩家节奏1!$N:$N,1)),1)</f>
        <v>7.9200000000000008</v>
      </c>
      <c r="H189" s="14">
        <f ca="1">_xlfn.IFNA(INDEX(玩家节奏2!$FG:$FG,MATCH(关卡对比!A189,玩家节奏2!$N:$N,1)),1)</f>
        <v>16.866432000000003</v>
      </c>
      <c r="I189" s="14">
        <v>7.92</v>
      </c>
      <c r="J189" s="14">
        <f t="shared" si="55"/>
        <v>77700</v>
      </c>
      <c r="K189" s="14">
        <f t="shared" si="42"/>
        <v>77700</v>
      </c>
      <c r="N189" s="14">
        <v>183</v>
      </c>
      <c r="O189" s="14">
        <f t="shared" si="45"/>
        <v>12307.68</v>
      </c>
      <c r="P189" s="14">
        <v>14</v>
      </c>
      <c r="Q189" s="14">
        <f t="shared" si="56"/>
        <v>155400</v>
      </c>
      <c r="T189" s="14">
        <v>183</v>
      </c>
      <c r="U189" s="14">
        <f t="shared" si="46"/>
        <v>18461.52</v>
      </c>
      <c r="V189" s="14">
        <v>20</v>
      </c>
      <c r="W189" s="14">
        <f t="shared" si="57"/>
        <v>233100</v>
      </c>
      <c r="Y189" s="14">
        <v>183</v>
      </c>
      <c r="Z189" s="108">
        <f t="shared" si="58"/>
        <v>77700</v>
      </c>
      <c r="AA189" s="103">
        <f t="shared" si="59"/>
        <v>155400</v>
      </c>
      <c r="AB189" s="103">
        <f t="shared" si="60"/>
        <v>233100</v>
      </c>
      <c r="AD189" s="14">
        <v>183</v>
      </c>
      <c r="AE189" s="14">
        <f t="shared" si="61"/>
        <v>105</v>
      </c>
      <c r="AF189" s="14">
        <f t="shared" si="62"/>
        <v>79</v>
      </c>
      <c r="AM189">
        <v>7.92</v>
      </c>
    </row>
    <row r="190" spans="1:39" x14ac:dyDescent="0.25">
      <c r="A190" s="14">
        <v>184</v>
      </c>
      <c r="B190" s="14">
        <v>782</v>
      </c>
      <c r="C190" s="14">
        <v>0.99999999999999989</v>
      </c>
      <c r="D190" s="14">
        <f t="shared" si="43"/>
        <v>7.92</v>
      </c>
      <c r="E190" s="14">
        <f t="shared" si="44"/>
        <v>6193.44</v>
      </c>
      <c r="F190" s="102">
        <v>10</v>
      </c>
      <c r="G190" s="14">
        <f ca="1">_xlfn.IFNA(INDEX(玩家节奏1!$EC:$EC,MATCH(关卡对比!A190,玩家节奏1!$N:$N,1)),1)</f>
        <v>7.9200000000000008</v>
      </c>
      <c r="H190" s="14">
        <f ca="1">_xlfn.IFNA(INDEX(玩家节奏2!$FG:$FG,MATCH(关卡对比!A190,玩家节奏2!$N:$N,1)),1)</f>
        <v>16.866432000000003</v>
      </c>
      <c r="I190" s="14">
        <v>7.92</v>
      </c>
      <c r="J190" s="14">
        <f t="shared" si="55"/>
        <v>78200</v>
      </c>
      <c r="K190" s="14">
        <f t="shared" si="42"/>
        <v>78200</v>
      </c>
      <c r="N190" s="14">
        <v>184</v>
      </c>
      <c r="O190" s="14">
        <f t="shared" si="45"/>
        <v>12386.88</v>
      </c>
      <c r="P190" s="14">
        <v>14</v>
      </c>
      <c r="Q190" s="14">
        <f t="shared" si="56"/>
        <v>156400</v>
      </c>
      <c r="T190" s="14">
        <v>184</v>
      </c>
      <c r="U190" s="14">
        <f t="shared" si="46"/>
        <v>18580.32</v>
      </c>
      <c r="V190" s="14">
        <v>20</v>
      </c>
      <c r="W190" s="14">
        <f t="shared" si="57"/>
        <v>234600</v>
      </c>
      <c r="Y190" s="14">
        <v>184</v>
      </c>
      <c r="Z190" s="108">
        <f t="shared" si="58"/>
        <v>78200</v>
      </c>
      <c r="AA190" s="103">
        <f t="shared" si="59"/>
        <v>156400</v>
      </c>
      <c r="AB190" s="103">
        <f t="shared" si="60"/>
        <v>234600</v>
      </c>
      <c r="AD190" s="14">
        <v>184</v>
      </c>
      <c r="AE190" s="14">
        <f t="shared" si="61"/>
        <v>105</v>
      </c>
      <c r="AF190" s="14">
        <f t="shared" si="62"/>
        <v>79</v>
      </c>
      <c r="AM190">
        <v>7.92</v>
      </c>
    </row>
    <row r="191" spans="1:39" x14ac:dyDescent="0.25">
      <c r="A191" s="14">
        <v>185</v>
      </c>
      <c r="B191" s="14">
        <v>787</v>
      </c>
      <c r="C191" s="14">
        <v>0.99999999999999989</v>
      </c>
      <c r="D191" s="14">
        <f t="shared" si="43"/>
        <v>7.92</v>
      </c>
      <c r="E191" s="14">
        <f t="shared" si="44"/>
        <v>6233.04</v>
      </c>
      <c r="F191" s="102">
        <v>10</v>
      </c>
      <c r="G191" s="14">
        <f ca="1">_xlfn.IFNA(INDEX(玩家节奏1!$EC:$EC,MATCH(关卡对比!A191,玩家节奏1!$N:$N,1)),1)</f>
        <v>7.9200000000000008</v>
      </c>
      <c r="H191" s="14">
        <f ca="1">_xlfn.IFNA(INDEX(玩家节奏2!$FG:$FG,MATCH(关卡对比!A191,玩家节奏2!$N:$N,1)),1)</f>
        <v>16.866432000000003</v>
      </c>
      <c r="I191" s="14">
        <v>7.92</v>
      </c>
      <c r="J191" s="14">
        <f t="shared" si="55"/>
        <v>78700</v>
      </c>
      <c r="K191" s="14">
        <f t="shared" si="42"/>
        <v>78700</v>
      </c>
      <c r="N191" s="14">
        <v>185</v>
      </c>
      <c r="O191" s="14">
        <f t="shared" si="45"/>
        <v>12466.08</v>
      </c>
      <c r="P191" s="14">
        <v>14</v>
      </c>
      <c r="Q191" s="14">
        <f t="shared" si="56"/>
        <v>157400</v>
      </c>
      <c r="T191" s="14">
        <v>185</v>
      </c>
      <c r="U191" s="14">
        <f t="shared" si="46"/>
        <v>18699.12</v>
      </c>
      <c r="V191" s="14">
        <v>20</v>
      </c>
      <c r="W191" s="14">
        <f t="shared" si="57"/>
        <v>236100</v>
      </c>
      <c r="Y191" s="14">
        <v>185</v>
      </c>
      <c r="Z191" s="108">
        <f t="shared" si="58"/>
        <v>78700</v>
      </c>
      <c r="AA191" s="103">
        <f t="shared" si="59"/>
        <v>157400</v>
      </c>
      <c r="AB191" s="103">
        <f t="shared" si="60"/>
        <v>236100</v>
      </c>
      <c r="AD191" s="14">
        <v>185</v>
      </c>
      <c r="AE191" s="14">
        <f t="shared" si="61"/>
        <v>106</v>
      </c>
      <c r="AF191" s="14">
        <f t="shared" si="62"/>
        <v>80</v>
      </c>
      <c r="AM191">
        <v>7.92</v>
      </c>
    </row>
    <row r="192" spans="1:39" x14ac:dyDescent="0.25">
      <c r="A192" s="14">
        <v>186</v>
      </c>
      <c r="B192" s="14">
        <v>792</v>
      </c>
      <c r="C192" s="14">
        <v>0.99999999999999989</v>
      </c>
      <c r="D192" s="14">
        <f t="shared" si="43"/>
        <v>7.92</v>
      </c>
      <c r="E192" s="14">
        <f t="shared" si="44"/>
        <v>6272.64</v>
      </c>
      <c r="F192" s="102">
        <v>10</v>
      </c>
      <c r="G192" s="14">
        <f ca="1">_xlfn.IFNA(INDEX(玩家节奏1!$EC:$EC,MATCH(关卡对比!A192,玩家节奏1!$N:$N,1)),1)</f>
        <v>7.9200000000000008</v>
      </c>
      <c r="H192" s="14">
        <f ca="1">_xlfn.IFNA(INDEX(玩家节奏2!$FG:$FG,MATCH(关卡对比!A192,玩家节奏2!$N:$N,1)),1)</f>
        <v>16.866432000000003</v>
      </c>
      <c r="I192" s="14">
        <v>7.92</v>
      </c>
      <c r="J192" s="14">
        <f t="shared" si="55"/>
        <v>79200</v>
      </c>
      <c r="K192" s="14">
        <f t="shared" si="42"/>
        <v>79200</v>
      </c>
      <c r="N192" s="14">
        <v>186</v>
      </c>
      <c r="O192" s="14">
        <f t="shared" si="45"/>
        <v>12545.28</v>
      </c>
      <c r="P192" s="14">
        <v>14</v>
      </c>
      <c r="Q192" s="14">
        <f t="shared" si="56"/>
        <v>158400</v>
      </c>
      <c r="T192" s="14">
        <v>186</v>
      </c>
      <c r="U192" s="14">
        <f t="shared" si="46"/>
        <v>18817.920000000002</v>
      </c>
      <c r="V192" s="14">
        <v>20</v>
      </c>
      <c r="W192" s="14">
        <f t="shared" si="57"/>
        <v>237600</v>
      </c>
      <c r="Y192" s="14">
        <v>186</v>
      </c>
      <c r="Z192" s="108">
        <f t="shared" si="58"/>
        <v>79200</v>
      </c>
      <c r="AA192" s="103">
        <f t="shared" si="59"/>
        <v>158400</v>
      </c>
      <c r="AB192" s="103">
        <f t="shared" si="60"/>
        <v>237600</v>
      </c>
      <c r="AD192" s="14">
        <v>186</v>
      </c>
      <c r="AE192" s="14">
        <f t="shared" si="61"/>
        <v>106</v>
      </c>
      <c r="AF192" s="14">
        <f t="shared" si="62"/>
        <v>80</v>
      </c>
      <c r="AM192">
        <v>7.92</v>
      </c>
    </row>
    <row r="193" spans="1:39" x14ac:dyDescent="0.25">
      <c r="A193" s="14">
        <v>187</v>
      </c>
      <c r="B193" s="14">
        <v>797</v>
      </c>
      <c r="C193" s="14">
        <v>0.99999999999999989</v>
      </c>
      <c r="D193" s="14">
        <f t="shared" si="43"/>
        <v>7.92</v>
      </c>
      <c r="E193" s="14">
        <f t="shared" si="44"/>
        <v>6312.24</v>
      </c>
      <c r="F193" s="102">
        <v>10</v>
      </c>
      <c r="G193" s="14">
        <f ca="1">_xlfn.IFNA(INDEX(玩家节奏1!$EC:$EC,MATCH(关卡对比!A193,玩家节奏1!$N:$N,1)),1)</f>
        <v>7.9200000000000008</v>
      </c>
      <c r="H193" s="14">
        <f ca="1">_xlfn.IFNA(INDEX(玩家节奏2!$FG:$FG,MATCH(关卡对比!A193,玩家节奏2!$N:$N,1)),1)</f>
        <v>17.377535999999999</v>
      </c>
      <c r="I193" s="14">
        <v>7.92</v>
      </c>
      <c r="J193" s="14">
        <f t="shared" si="55"/>
        <v>79700</v>
      </c>
      <c r="K193" s="14">
        <f t="shared" si="42"/>
        <v>79700</v>
      </c>
      <c r="N193" s="14">
        <v>187</v>
      </c>
      <c r="O193" s="14">
        <f t="shared" si="45"/>
        <v>12624.48</v>
      </c>
      <c r="P193" s="14">
        <v>14</v>
      </c>
      <c r="Q193" s="14">
        <f t="shared" si="56"/>
        <v>159400</v>
      </c>
      <c r="T193" s="14">
        <v>187</v>
      </c>
      <c r="U193" s="14">
        <f t="shared" si="46"/>
        <v>18936.72</v>
      </c>
      <c r="V193" s="14">
        <v>20</v>
      </c>
      <c r="W193" s="14">
        <f t="shared" si="57"/>
        <v>239100</v>
      </c>
      <c r="Y193" s="14">
        <v>187</v>
      </c>
      <c r="Z193" s="108">
        <f t="shared" si="58"/>
        <v>79700</v>
      </c>
      <c r="AA193" s="103">
        <f t="shared" si="59"/>
        <v>159400</v>
      </c>
      <c r="AB193" s="103">
        <f t="shared" si="60"/>
        <v>239100</v>
      </c>
      <c r="AD193" s="14">
        <v>187</v>
      </c>
      <c r="AE193" s="14">
        <f t="shared" si="61"/>
        <v>107</v>
      </c>
      <c r="AF193" s="14">
        <f t="shared" si="62"/>
        <v>80</v>
      </c>
      <c r="AM193">
        <v>7.92</v>
      </c>
    </row>
    <row r="194" spans="1:39" x14ac:dyDescent="0.25">
      <c r="A194" s="14">
        <v>188</v>
      </c>
      <c r="B194" s="14">
        <v>802</v>
      </c>
      <c r="C194" s="14">
        <v>0.99999999999999989</v>
      </c>
      <c r="D194" s="14">
        <f t="shared" si="43"/>
        <v>7.92</v>
      </c>
      <c r="E194" s="14">
        <f t="shared" si="44"/>
        <v>6351.84</v>
      </c>
      <c r="F194" s="102">
        <v>10</v>
      </c>
      <c r="G194" s="14">
        <f ca="1">_xlfn.IFNA(INDEX(玩家节奏1!$EC:$EC,MATCH(关卡对比!A194,玩家节奏1!$N:$N,1)),1)</f>
        <v>7.9200000000000008</v>
      </c>
      <c r="H194" s="14">
        <f ca="1">_xlfn.IFNA(INDEX(玩家节奏2!$FG:$FG,MATCH(关卡对比!A194,玩家节奏2!$N:$N,1)),1)</f>
        <v>17.377535999999999</v>
      </c>
      <c r="I194" s="14">
        <v>7.92</v>
      </c>
      <c r="J194" s="14">
        <f t="shared" si="55"/>
        <v>80200</v>
      </c>
      <c r="K194" s="14">
        <f t="shared" si="42"/>
        <v>80200</v>
      </c>
      <c r="N194" s="14">
        <v>188</v>
      </c>
      <c r="O194" s="14">
        <f t="shared" si="45"/>
        <v>12703.68</v>
      </c>
      <c r="P194" s="14">
        <v>14</v>
      </c>
      <c r="Q194" s="14">
        <f t="shared" si="56"/>
        <v>160400</v>
      </c>
      <c r="T194" s="14">
        <v>188</v>
      </c>
      <c r="U194" s="14">
        <f t="shared" si="46"/>
        <v>19055.52</v>
      </c>
      <c r="V194" s="14">
        <v>20</v>
      </c>
      <c r="W194" s="14">
        <f t="shared" si="57"/>
        <v>240600</v>
      </c>
      <c r="Y194" s="14">
        <v>188</v>
      </c>
      <c r="Z194" s="108">
        <f t="shared" si="58"/>
        <v>80200</v>
      </c>
      <c r="AA194" s="103">
        <f t="shared" si="59"/>
        <v>160400</v>
      </c>
      <c r="AB194" s="103">
        <f t="shared" si="60"/>
        <v>240600</v>
      </c>
      <c r="AD194" s="14">
        <v>188</v>
      </c>
      <c r="AE194" s="14">
        <f t="shared" si="61"/>
        <v>107</v>
      </c>
      <c r="AF194" s="14">
        <f t="shared" si="62"/>
        <v>81</v>
      </c>
      <c r="AM194">
        <v>7.92</v>
      </c>
    </row>
    <row r="195" spans="1:39" x14ac:dyDescent="0.25">
      <c r="A195" s="14">
        <v>189</v>
      </c>
      <c r="B195" s="14">
        <v>807</v>
      </c>
      <c r="C195" s="14">
        <v>0.99999999999999989</v>
      </c>
      <c r="D195" s="14">
        <f t="shared" si="43"/>
        <v>7.92</v>
      </c>
      <c r="E195" s="14">
        <f t="shared" si="44"/>
        <v>6391.44</v>
      </c>
      <c r="F195" s="102">
        <v>10</v>
      </c>
      <c r="G195" s="14">
        <f ca="1">_xlfn.IFNA(INDEX(玩家节奏1!$EC:$EC,MATCH(关卡对比!A195,玩家节奏1!$N:$N,1)),1)</f>
        <v>7.9200000000000008</v>
      </c>
      <c r="H195" s="14">
        <f ca="1">_xlfn.IFNA(INDEX(玩家节奏2!$FG:$FG,MATCH(关卡对比!A195,玩家节奏2!$N:$N,1)),1)</f>
        <v>17.377535999999999</v>
      </c>
      <c r="I195" s="14">
        <v>7.92</v>
      </c>
      <c r="J195" s="14">
        <f t="shared" si="55"/>
        <v>80700</v>
      </c>
      <c r="K195" s="14">
        <f t="shared" si="42"/>
        <v>80700</v>
      </c>
      <c r="N195" s="14">
        <v>189</v>
      </c>
      <c r="O195" s="14">
        <f t="shared" si="45"/>
        <v>12782.88</v>
      </c>
      <c r="P195" s="14">
        <v>14</v>
      </c>
      <c r="Q195" s="14">
        <f t="shared" si="56"/>
        <v>161400</v>
      </c>
      <c r="T195" s="14">
        <v>189</v>
      </c>
      <c r="U195" s="14">
        <f t="shared" si="46"/>
        <v>19174.32</v>
      </c>
      <c r="V195" s="14">
        <v>20</v>
      </c>
      <c r="W195" s="14">
        <f t="shared" si="57"/>
        <v>242100</v>
      </c>
      <c r="Y195" s="14">
        <v>189</v>
      </c>
      <c r="Z195" s="108">
        <f t="shared" si="58"/>
        <v>80700</v>
      </c>
      <c r="AA195" s="103">
        <f t="shared" si="59"/>
        <v>161400</v>
      </c>
      <c r="AB195" s="103">
        <f t="shared" si="60"/>
        <v>242100</v>
      </c>
      <c r="AD195" s="14">
        <v>189</v>
      </c>
      <c r="AE195" s="14">
        <f t="shared" si="61"/>
        <v>108</v>
      </c>
      <c r="AF195" s="14">
        <f t="shared" si="62"/>
        <v>81</v>
      </c>
      <c r="AM195">
        <v>7.92</v>
      </c>
    </row>
    <row r="196" spans="1:39" x14ac:dyDescent="0.25">
      <c r="A196" s="14">
        <v>190</v>
      </c>
      <c r="B196" s="14">
        <v>812</v>
      </c>
      <c r="C196" s="14">
        <v>0.99999999999999989</v>
      </c>
      <c r="D196" s="14">
        <f t="shared" si="43"/>
        <v>7.92</v>
      </c>
      <c r="E196" s="14">
        <f t="shared" si="44"/>
        <v>6431.04</v>
      </c>
      <c r="F196" s="102">
        <v>10</v>
      </c>
      <c r="G196" s="14">
        <f ca="1">_xlfn.IFNA(INDEX(玩家节奏1!$EC:$EC,MATCH(关卡对比!A196,玩家节奏1!$N:$N,1)),1)</f>
        <v>7.9200000000000008</v>
      </c>
      <c r="H196" s="14">
        <f ca="1">_xlfn.IFNA(INDEX(玩家节奏2!$FG:$FG,MATCH(关卡对比!A196,玩家节奏2!$N:$N,1)),1)</f>
        <v>17.377535999999999</v>
      </c>
      <c r="I196" s="14">
        <v>7.92</v>
      </c>
      <c r="J196" s="14">
        <f t="shared" si="55"/>
        <v>81200</v>
      </c>
      <c r="K196" s="14">
        <f t="shared" si="42"/>
        <v>81200</v>
      </c>
      <c r="N196" s="14">
        <v>190</v>
      </c>
      <c r="O196" s="14">
        <f t="shared" si="45"/>
        <v>12862.08</v>
      </c>
      <c r="P196" s="14">
        <v>14</v>
      </c>
      <c r="Q196" s="14">
        <f t="shared" si="56"/>
        <v>162400</v>
      </c>
      <c r="T196" s="14">
        <v>190</v>
      </c>
      <c r="U196" s="14">
        <f t="shared" si="46"/>
        <v>19293.12</v>
      </c>
      <c r="V196" s="14">
        <v>20</v>
      </c>
      <c r="W196" s="14">
        <f t="shared" si="57"/>
        <v>243600</v>
      </c>
      <c r="Y196" s="14">
        <v>190</v>
      </c>
      <c r="Z196" s="108">
        <f t="shared" si="58"/>
        <v>81200</v>
      </c>
      <c r="AA196" s="103">
        <f t="shared" si="59"/>
        <v>162400</v>
      </c>
      <c r="AB196" s="103">
        <f t="shared" si="60"/>
        <v>243600</v>
      </c>
      <c r="AD196" s="14">
        <v>190</v>
      </c>
      <c r="AE196" s="14">
        <f t="shared" si="61"/>
        <v>108</v>
      </c>
      <c r="AF196" s="14">
        <f t="shared" si="62"/>
        <v>81</v>
      </c>
      <c r="AM196">
        <v>7.92</v>
      </c>
    </row>
    <row r="197" spans="1:39" x14ac:dyDescent="0.25">
      <c r="A197" s="14">
        <v>191</v>
      </c>
      <c r="B197" s="14">
        <v>817</v>
      </c>
      <c r="C197" s="14">
        <v>0.99999999999999989</v>
      </c>
      <c r="D197" s="14">
        <f t="shared" si="43"/>
        <v>7.92</v>
      </c>
      <c r="E197" s="14">
        <f t="shared" si="44"/>
        <v>6470.64</v>
      </c>
      <c r="F197" s="102">
        <v>10</v>
      </c>
      <c r="G197" s="14">
        <f ca="1">_xlfn.IFNA(INDEX(玩家节奏1!$EC:$EC,MATCH(关卡对比!A197,玩家节奏1!$N:$N,1)),1)</f>
        <v>7.9200000000000008</v>
      </c>
      <c r="H197" s="14">
        <f ca="1">_xlfn.IFNA(INDEX(玩家节奏2!$FG:$FG,MATCH(关卡对比!A197,玩家节奏2!$N:$N,1)),1)</f>
        <v>17.377535999999999</v>
      </c>
      <c r="I197" s="14">
        <v>7.92</v>
      </c>
      <c r="J197" s="14">
        <f t="shared" si="55"/>
        <v>81700</v>
      </c>
      <c r="K197" s="14">
        <f t="shared" si="42"/>
        <v>81700</v>
      </c>
      <c r="N197" s="14">
        <v>191</v>
      </c>
      <c r="O197" s="14">
        <f t="shared" si="45"/>
        <v>12941.28</v>
      </c>
      <c r="P197" s="14">
        <v>14</v>
      </c>
      <c r="Q197" s="14">
        <f t="shared" si="56"/>
        <v>163400</v>
      </c>
      <c r="T197" s="14">
        <v>191</v>
      </c>
      <c r="U197" s="14">
        <f t="shared" si="46"/>
        <v>19411.920000000002</v>
      </c>
      <c r="V197" s="14">
        <v>20</v>
      </c>
      <c r="W197" s="14">
        <f t="shared" si="57"/>
        <v>245100</v>
      </c>
      <c r="Y197" s="14">
        <v>191</v>
      </c>
      <c r="Z197" s="108">
        <f t="shared" si="58"/>
        <v>81700</v>
      </c>
      <c r="AA197" s="103">
        <f t="shared" si="59"/>
        <v>163400</v>
      </c>
      <c r="AB197" s="103">
        <f t="shared" si="60"/>
        <v>245100</v>
      </c>
      <c r="AD197" s="14">
        <v>191</v>
      </c>
      <c r="AE197" s="14">
        <f t="shared" si="61"/>
        <v>109</v>
      </c>
      <c r="AF197" s="14">
        <f t="shared" si="62"/>
        <v>82</v>
      </c>
      <c r="AM197">
        <v>7.92</v>
      </c>
    </row>
    <row r="198" spans="1:39" x14ac:dyDescent="0.25">
      <c r="A198" s="14">
        <v>192</v>
      </c>
      <c r="B198" s="14">
        <v>822</v>
      </c>
      <c r="C198" s="14">
        <v>0.99999999999999989</v>
      </c>
      <c r="D198" s="14">
        <f t="shared" si="43"/>
        <v>7.92</v>
      </c>
      <c r="E198" s="14">
        <f t="shared" si="44"/>
        <v>6510.24</v>
      </c>
      <c r="F198" s="102">
        <v>10</v>
      </c>
      <c r="G198" s="14">
        <f ca="1">_xlfn.IFNA(INDEX(玩家节奏1!$EC:$EC,MATCH(关卡对比!A198,玩家节奏1!$N:$N,1)),1)</f>
        <v>7.9200000000000008</v>
      </c>
      <c r="H198" s="14">
        <f ca="1">_xlfn.IFNA(INDEX(玩家节奏2!$FG:$FG,MATCH(关卡对比!A198,玩家节奏2!$N:$N,1)),1)</f>
        <v>17.904128000000004</v>
      </c>
      <c r="I198" s="14">
        <v>7.92</v>
      </c>
      <c r="J198" s="14">
        <f t="shared" si="55"/>
        <v>82200</v>
      </c>
      <c r="K198" s="14">
        <f t="shared" si="42"/>
        <v>82200</v>
      </c>
      <c r="N198" s="14">
        <v>192</v>
      </c>
      <c r="O198" s="14">
        <f t="shared" si="45"/>
        <v>13020.48</v>
      </c>
      <c r="P198" s="14">
        <v>14</v>
      </c>
      <c r="Q198" s="14">
        <f t="shared" si="56"/>
        <v>164400</v>
      </c>
      <c r="T198" s="14">
        <v>192</v>
      </c>
      <c r="U198" s="14">
        <f t="shared" si="46"/>
        <v>19530.72</v>
      </c>
      <c r="V198" s="14">
        <v>20</v>
      </c>
      <c r="W198" s="14">
        <f t="shared" si="57"/>
        <v>246600</v>
      </c>
      <c r="Y198" s="14">
        <v>192</v>
      </c>
      <c r="Z198" s="108">
        <f t="shared" si="58"/>
        <v>82200</v>
      </c>
      <c r="AA198" s="103">
        <f t="shared" si="59"/>
        <v>164400</v>
      </c>
      <c r="AB198" s="103">
        <f t="shared" si="60"/>
        <v>246600</v>
      </c>
      <c r="AD198" s="14">
        <v>192</v>
      </c>
      <c r="AE198" s="14">
        <f t="shared" si="61"/>
        <v>109</v>
      </c>
      <c r="AF198" s="14">
        <f t="shared" si="62"/>
        <v>82</v>
      </c>
      <c r="AM198">
        <v>7.92</v>
      </c>
    </row>
    <row r="199" spans="1:39" x14ac:dyDescent="0.25">
      <c r="A199" s="14">
        <v>193</v>
      </c>
      <c r="B199" s="14">
        <v>827</v>
      </c>
      <c r="C199" s="14">
        <v>0.99999999999999989</v>
      </c>
      <c r="D199" s="14">
        <f t="shared" si="43"/>
        <v>7.92</v>
      </c>
      <c r="E199" s="14">
        <f t="shared" si="44"/>
        <v>6549.84</v>
      </c>
      <c r="F199" s="102">
        <v>10</v>
      </c>
      <c r="G199" s="14">
        <f ca="1">_xlfn.IFNA(INDEX(玩家节奏1!$EC:$EC,MATCH(关卡对比!A199,玩家节奏1!$N:$N,1)),1)</f>
        <v>7.9200000000000008</v>
      </c>
      <c r="H199" s="14">
        <f ca="1">_xlfn.IFNA(INDEX(玩家节奏2!$FG:$FG,MATCH(关卡对比!A199,玩家节奏2!$N:$N,1)),1)</f>
        <v>17.904128000000004</v>
      </c>
      <c r="I199" s="14">
        <v>7.92</v>
      </c>
      <c r="J199" s="14">
        <f t="shared" si="55"/>
        <v>82700</v>
      </c>
      <c r="K199" s="14">
        <f t="shared" ref="K199:K208" si="63">B199*100</f>
        <v>82700</v>
      </c>
      <c r="N199" s="14">
        <v>193</v>
      </c>
      <c r="O199" s="14">
        <f t="shared" si="45"/>
        <v>13099.68</v>
      </c>
      <c r="P199" s="14">
        <v>14</v>
      </c>
      <c r="Q199" s="14">
        <f t="shared" si="56"/>
        <v>165400</v>
      </c>
      <c r="T199" s="14">
        <v>193</v>
      </c>
      <c r="U199" s="14">
        <f t="shared" si="46"/>
        <v>19649.52</v>
      </c>
      <c r="V199" s="14">
        <v>20</v>
      </c>
      <c r="W199" s="14">
        <f t="shared" si="57"/>
        <v>248100</v>
      </c>
      <c r="Y199" s="14">
        <v>193</v>
      </c>
      <c r="Z199" s="108">
        <f t="shared" si="58"/>
        <v>82700</v>
      </c>
      <c r="AA199" s="103">
        <f t="shared" si="59"/>
        <v>165400</v>
      </c>
      <c r="AB199" s="103">
        <f t="shared" si="60"/>
        <v>248100</v>
      </c>
      <c r="AD199" s="14">
        <v>193</v>
      </c>
      <c r="AE199" s="14">
        <f t="shared" si="61"/>
        <v>110</v>
      </c>
      <c r="AF199" s="14">
        <f t="shared" si="62"/>
        <v>82</v>
      </c>
      <c r="AM199">
        <v>7.92</v>
      </c>
    </row>
    <row r="200" spans="1:39" x14ac:dyDescent="0.25">
      <c r="A200" s="14">
        <v>194</v>
      </c>
      <c r="B200" s="14">
        <v>832</v>
      </c>
      <c r="C200" s="14">
        <v>0.99999999999999989</v>
      </c>
      <c r="D200" s="14">
        <f t="shared" ref="D200:D208" si="64">ROUND(I200^C200,2)</f>
        <v>7.92</v>
      </c>
      <c r="E200" s="14">
        <f t="shared" ref="E200:E208" si="65">ROUND(B200*I200^C200,2)</f>
        <v>6589.44</v>
      </c>
      <c r="F200" s="102">
        <v>10</v>
      </c>
      <c r="G200" s="14">
        <f ca="1">_xlfn.IFNA(INDEX(玩家节奏1!$EC:$EC,MATCH(关卡对比!A200,玩家节奏1!$N:$N,1)),1)</f>
        <v>7.9200000000000008</v>
      </c>
      <c r="H200" s="14">
        <f ca="1">_xlfn.IFNA(INDEX(玩家节奏2!$FG:$FG,MATCH(关卡对比!A200,玩家节奏2!$N:$N,1)),1)</f>
        <v>17.904128000000004</v>
      </c>
      <c r="I200" s="14">
        <v>7.92</v>
      </c>
      <c r="J200" s="14">
        <f t="shared" si="55"/>
        <v>83200</v>
      </c>
      <c r="K200" s="14">
        <f t="shared" si="63"/>
        <v>83200</v>
      </c>
      <c r="N200" s="14">
        <v>194</v>
      </c>
      <c r="O200" s="14">
        <f t="shared" ref="O200:O208" si="66">$B$2*E200</f>
        <v>13178.88</v>
      </c>
      <c r="P200" s="14">
        <v>14</v>
      </c>
      <c r="Q200" s="14">
        <f t="shared" si="56"/>
        <v>166400</v>
      </c>
      <c r="T200" s="14">
        <v>194</v>
      </c>
      <c r="U200" s="14">
        <f t="shared" ref="U200:U208" si="67">E200*$B$3</f>
        <v>19768.32</v>
      </c>
      <c r="V200" s="14">
        <v>20</v>
      </c>
      <c r="W200" s="14">
        <f t="shared" si="57"/>
        <v>249600</v>
      </c>
      <c r="Y200" s="14">
        <v>194</v>
      </c>
      <c r="Z200" s="108">
        <f t="shared" si="58"/>
        <v>83200</v>
      </c>
      <c r="AA200" s="103">
        <f t="shared" si="59"/>
        <v>166400</v>
      </c>
      <c r="AB200" s="103">
        <f t="shared" si="60"/>
        <v>249600</v>
      </c>
      <c r="AD200" s="14">
        <v>194</v>
      </c>
      <c r="AE200" s="14">
        <f t="shared" si="61"/>
        <v>110</v>
      </c>
      <c r="AF200" s="14">
        <f t="shared" si="62"/>
        <v>83</v>
      </c>
      <c r="AM200">
        <v>7.92</v>
      </c>
    </row>
    <row r="201" spans="1:39" x14ac:dyDescent="0.25">
      <c r="A201" s="14">
        <v>195</v>
      </c>
      <c r="B201" s="14">
        <v>837</v>
      </c>
      <c r="C201" s="14">
        <v>0.99999999999999989</v>
      </c>
      <c r="D201" s="14">
        <f t="shared" si="64"/>
        <v>7.92</v>
      </c>
      <c r="E201" s="14">
        <f t="shared" si="65"/>
        <v>6629.04</v>
      </c>
      <c r="F201" s="102">
        <v>10</v>
      </c>
      <c r="G201" s="14">
        <f ca="1">_xlfn.IFNA(INDEX(玩家节奏1!$EC:$EC,MATCH(关卡对比!A201,玩家节奏1!$N:$N,1)),1)</f>
        <v>7.9200000000000008</v>
      </c>
      <c r="H201" s="14">
        <f ca="1">_xlfn.IFNA(INDEX(玩家节奏2!$FG:$FG,MATCH(关卡对比!A201,玩家节奏2!$N:$N,1)),1)</f>
        <v>17.904128000000004</v>
      </c>
      <c r="I201" s="14">
        <v>7.92</v>
      </c>
      <c r="J201" s="14">
        <f t="shared" si="55"/>
        <v>83700</v>
      </c>
      <c r="K201" s="14">
        <f t="shared" si="63"/>
        <v>83700</v>
      </c>
      <c r="N201" s="14">
        <v>195</v>
      </c>
      <c r="O201" s="14">
        <f t="shared" si="66"/>
        <v>13258.08</v>
      </c>
      <c r="P201" s="14">
        <v>14</v>
      </c>
      <c r="Q201" s="14">
        <f t="shared" si="56"/>
        <v>167400</v>
      </c>
      <c r="T201" s="14">
        <v>195</v>
      </c>
      <c r="U201" s="14">
        <f t="shared" si="67"/>
        <v>19887.12</v>
      </c>
      <c r="V201" s="14">
        <v>20</v>
      </c>
      <c r="W201" s="14">
        <f t="shared" si="57"/>
        <v>251100</v>
      </c>
      <c r="Y201" s="14">
        <v>195</v>
      </c>
      <c r="Z201" s="108">
        <f t="shared" si="58"/>
        <v>83700</v>
      </c>
      <c r="AA201" s="103">
        <f t="shared" si="59"/>
        <v>167400</v>
      </c>
      <c r="AB201" s="103">
        <f t="shared" si="60"/>
        <v>251100</v>
      </c>
      <c r="AD201" s="14">
        <v>195</v>
      </c>
      <c r="AE201" s="14">
        <f t="shared" si="61"/>
        <v>111</v>
      </c>
      <c r="AF201" s="14">
        <f t="shared" si="62"/>
        <v>83</v>
      </c>
      <c r="AM201">
        <v>7.92</v>
      </c>
    </row>
    <row r="202" spans="1:39" x14ac:dyDescent="0.25">
      <c r="A202" s="14">
        <v>196</v>
      </c>
      <c r="B202" s="14">
        <v>842</v>
      </c>
      <c r="C202" s="14">
        <v>0.99999999999999989</v>
      </c>
      <c r="D202" s="14">
        <f t="shared" si="64"/>
        <v>7.92</v>
      </c>
      <c r="E202" s="14">
        <f t="shared" si="65"/>
        <v>6668.64</v>
      </c>
      <c r="F202" s="102">
        <v>10</v>
      </c>
      <c r="G202" s="14">
        <f ca="1">_xlfn.IFNA(INDEX(玩家节奏1!$EC:$EC,MATCH(关卡对比!A202,玩家节奏1!$N:$N,1)),1)</f>
        <v>7.9200000000000008</v>
      </c>
      <c r="H202" s="14">
        <f ca="1">_xlfn.IFNA(INDEX(玩家节奏2!$FG:$FG,MATCH(关卡对比!A202,玩家节奏2!$N:$N,1)),1)</f>
        <v>18.430720000000004</v>
      </c>
      <c r="I202" s="14">
        <v>7.92</v>
      </c>
      <c r="J202" s="14">
        <f t="shared" si="55"/>
        <v>84200</v>
      </c>
      <c r="K202" s="14">
        <f t="shared" si="63"/>
        <v>84200</v>
      </c>
      <c r="N202" s="14">
        <v>196</v>
      </c>
      <c r="O202" s="14">
        <f t="shared" si="66"/>
        <v>13337.28</v>
      </c>
      <c r="P202" s="14">
        <v>14</v>
      </c>
      <c r="Q202" s="14">
        <f t="shared" si="56"/>
        <v>168400</v>
      </c>
      <c r="T202" s="14">
        <v>196</v>
      </c>
      <c r="U202" s="14">
        <f t="shared" si="67"/>
        <v>20005.920000000002</v>
      </c>
      <c r="V202" s="14">
        <v>20</v>
      </c>
      <c r="W202" s="14">
        <f t="shared" si="57"/>
        <v>252600</v>
      </c>
      <c r="Y202" s="14">
        <v>196</v>
      </c>
      <c r="Z202" s="108">
        <f t="shared" si="58"/>
        <v>84200</v>
      </c>
      <c r="AA202" s="103">
        <f t="shared" si="59"/>
        <v>168400</v>
      </c>
      <c r="AB202" s="103">
        <f t="shared" si="60"/>
        <v>252600</v>
      </c>
      <c r="AD202" s="14">
        <v>196</v>
      </c>
      <c r="AE202" s="14">
        <f t="shared" si="61"/>
        <v>111</v>
      </c>
      <c r="AF202" s="14">
        <f t="shared" si="62"/>
        <v>83</v>
      </c>
      <c r="AM202">
        <v>7.92</v>
      </c>
    </row>
    <row r="203" spans="1:39" x14ac:dyDescent="0.25">
      <c r="A203" s="14">
        <v>197</v>
      </c>
      <c r="B203" s="14">
        <v>847</v>
      </c>
      <c r="C203" s="14">
        <v>0.99999999999999989</v>
      </c>
      <c r="D203" s="14">
        <f t="shared" si="64"/>
        <v>7.92</v>
      </c>
      <c r="E203" s="14">
        <f t="shared" si="65"/>
        <v>6708.24</v>
      </c>
      <c r="F203" s="102">
        <v>10</v>
      </c>
      <c r="G203" s="14">
        <f ca="1">_xlfn.IFNA(INDEX(玩家节奏1!$EC:$EC,MATCH(关卡对比!A203,玩家节奏1!$N:$N,1)),1)</f>
        <v>7.9200000000000008</v>
      </c>
      <c r="H203" s="14">
        <f ca="1">_xlfn.IFNA(INDEX(玩家节奏2!$FG:$FG,MATCH(关卡对比!A203,玩家节奏2!$N:$N,1)),1)</f>
        <v>18.430720000000004</v>
      </c>
      <c r="I203" s="14">
        <v>7.92</v>
      </c>
      <c r="J203" s="14">
        <f t="shared" si="55"/>
        <v>84700</v>
      </c>
      <c r="K203" s="14">
        <f t="shared" si="63"/>
        <v>84700</v>
      </c>
      <c r="N203" s="14">
        <v>197</v>
      </c>
      <c r="O203" s="14">
        <f t="shared" si="66"/>
        <v>13416.48</v>
      </c>
      <c r="P203" s="14">
        <v>14</v>
      </c>
      <c r="Q203" s="14">
        <f t="shared" si="56"/>
        <v>169400</v>
      </c>
      <c r="T203" s="14">
        <v>197</v>
      </c>
      <c r="U203" s="14">
        <f t="shared" si="67"/>
        <v>20124.72</v>
      </c>
      <c r="V203" s="14">
        <v>20</v>
      </c>
      <c r="W203" s="14">
        <f t="shared" si="57"/>
        <v>254100</v>
      </c>
      <c r="Y203" s="14">
        <v>197</v>
      </c>
      <c r="Z203" s="108">
        <f t="shared" si="58"/>
        <v>84700</v>
      </c>
      <c r="AA203" s="103">
        <f t="shared" si="59"/>
        <v>169400</v>
      </c>
      <c r="AB203" s="103">
        <f t="shared" si="60"/>
        <v>254100</v>
      </c>
      <c r="AD203" s="14">
        <v>197</v>
      </c>
      <c r="AE203" s="14">
        <f t="shared" si="61"/>
        <v>112</v>
      </c>
      <c r="AF203" s="14">
        <f t="shared" si="62"/>
        <v>84</v>
      </c>
      <c r="AM203">
        <v>7.92</v>
      </c>
    </row>
    <row r="204" spans="1:39" x14ac:dyDescent="0.25">
      <c r="A204" s="14">
        <v>198</v>
      </c>
      <c r="B204" s="14">
        <v>852</v>
      </c>
      <c r="C204" s="14">
        <v>0.99999999999999989</v>
      </c>
      <c r="D204" s="14">
        <f t="shared" si="64"/>
        <v>7.92</v>
      </c>
      <c r="E204" s="14">
        <f t="shared" si="65"/>
        <v>6747.84</v>
      </c>
      <c r="F204" s="102">
        <v>10</v>
      </c>
      <c r="G204" s="14">
        <f ca="1">_xlfn.IFNA(INDEX(玩家节奏1!$EC:$EC,MATCH(关卡对比!A204,玩家节奏1!$N:$N,1)),1)</f>
        <v>7.9200000000000008</v>
      </c>
      <c r="H204" s="14">
        <f ca="1">_xlfn.IFNA(INDEX(玩家节奏2!$FG:$FG,MATCH(关卡对比!A204,玩家节奏2!$N:$N,1)),1)</f>
        <v>18.430720000000004</v>
      </c>
      <c r="I204" s="14">
        <v>7.92</v>
      </c>
      <c r="J204" s="14">
        <f t="shared" si="55"/>
        <v>85200</v>
      </c>
      <c r="K204" s="14">
        <f t="shared" si="63"/>
        <v>85200</v>
      </c>
      <c r="N204" s="14">
        <v>198</v>
      </c>
      <c r="O204" s="14">
        <f t="shared" si="66"/>
        <v>13495.68</v>
      </c>
      <c r="P204" s="14">
        <v>14</v>
      </c>
      <c r="Q204" s="14">
        <f t="shared" si="56"/>
        <v>170400</v>
      </c>
      <c r="T204" s="14">
        <v>198</v>
      </c>
      <c r="U204" s="14">
        <f t="shared" si="67"/>
        <v>20243.52</v>
      </c>
      <c r="V204" s="14">
        <v>20</v>
      </c>
      <c r="W204" s="14">
        <f t="shared" si="57"/>
        <v>255600</v>
      </c>
      <c r="Y204" s="14">
        <v>198</v>
      </c>
      <c r="Z204" s="108">
        <f t="shared" si="58"/>
        <v>85200</v>
      </c>
      <c r="AA204" s="103">
        <f t="shared" si="59"/>
        <v>170400</v>
      </c>
      <c r="AB204" s="103">
        <f t="shared" si="60"/>
        <v>255600</v>
      </c>
      <c r="AD204" s="14">
        <v>198</v>
      </c>
      <c r="AE204" s="14">
        <f t="shared" si="61"/>
        <v>112</v>
      </c>
      <c r="AF204" s="14">
        <f t="shared" si="62"/>
        <v>84</v>
      </c>
      <c r="AM204">
        <v>7.92</v>
      </c>
    </row>
    <row r="205" spans="1:39" x14ac:dyDescent="0.25">
      <c r="A205" s="14">
        <v>199</v>
      </c>
      <c r="B205" s="14">
        <v>857</v>
      </c>
      <c r="C205" s="14">
        <v>0.99999999999999989</v>
      </c>
      <c r="D205" s="14">
        <f t="shared" si="64"/>
        <v>7.92</v>
      </c>
      <c r="E205" s="14">
        <f t="shared" si="65"/>
        <v>6787.44</v>
      </c>
      <c r="F205" s="102">
        <v>10</v>
      </c>
      <c r="G205" s="14">
        <f ca="1">_xlfn.IFNA(INDEX(玩家节奏1!$EC:$EC,MATCH(关卡对比!A205,玩家节奏1!$N:$N,1)),1)</f>
        <v>7.9200000000000008</v>
      </c>
      <c r="H205" s="14">
        <f ca="1">_xlfn.IFNA(INDEX(玩家节奏2!$FG:$FG,MATCH(关卡对比!A205,玩家节奏2!$N:$N,1)),1)</f>
        <v>18.430720000000004</v>
      </c>
      <c r="I205" s="14">
        <v>7.92</v>
      </c>
      <c r="J205" s="14">
        <f t="shared" si="55"/>
        <v>85700</v>
      </c>
      <c r="K205" s="14">
        <f t="shared" si="63"/>
        <v>85700</v>
      </c>
      <c r="N205" s="14">
        <v>199</v>
      </c>
      <c r="O205" s="14">
        <f t="shared" si="66"/>
        <v>13574.88</v>
      </c>
      <c r="P205" s="14">
        <v>14</v>
      </c>
      <c r="Q205" s="14">
        <f t="shared" si="56"/>
        <v>171400</v>
      </c>
      <c r="T205" s="14">
        <v>199</v>
      </c>
      <c r="U205" s="14">
        <f t="shared" si="67"/>
        <v>20362.32</v>
      </c>
      <c r="V205" s="14">
        <v>20</v>
      </c>
      <c r="W205" s="14">
        <f t="shared" si="57"/>
        <v>257100</v>
      </c>
      <c r="Y205" s="14">
        <v>199</v>
      </c>
      <c r="Z205" s="108">
        <f t="shared" si="58"/>
        <v>85700</v>
      </c>
      <c r="AA205" s="103">
        <f t="shared" si="59"/>
        <v>171400</v>
      </c>
      <c r="AB205" s="103">
        <f t="shared" si="60"/>
        <v>257100</v>
      </c>
      <c r="AD205" s="14">
        <v>199</v>
      </c>
      <c r="AE205" s="14">
        <f t="shared" si="61"/>
        <v>113</v>
      </c>
      <c r="AF205" s="14">
        <f t="shared" si="62"/>
        <v>84</v>
      </c>
      <c r="AM205">
        <v>7.92</v>
      </c>
    </row>
    <row r="206" spans="1:39" x14ac:dyDescent="0.25">
      <c r="A206" s="14">
        <v>200</v>
      </c>
      <c r="B206" s="14">
        <v>862</v>
      </c>
      <c r="C206" s="14">
        <v>0.99999999999999989</v>
      </c>
      <c r="D206" s="14">
        <f t="shared" si="64"/>
        <v>7.92</v>
      </c>
      <c r="E206" s="14">
        <f t="shared" si="65"/>
        <v>6827.04</v>
      </c>
      <c r="F206" s="102">
        <v>10</v>
      </c>
      <c r="G206" s="14">
        <f ca="1">_xlfn.IFNA(INDEX(玩家节奏1!$EC:$EC,MATCH(关卡对比!A206,玩家节奏1!$N:$N,1)),1)</f>
        <v>7.9200000000000008</v>
      </c>
      <c r="H206" s="14">
        <f>_xlfn.IFNA(INDEX(玩家节奏2!$FG:$FG,MATCH(关卡对比!A206,玩家节奏2!$N:$N,1)),1)</f>
        <v>0</v>
      </c>
      <c r="I206" s="14">
        <v>7.92</v>
      </c>
      <c r="J206" s="14">
        <f t="shared" si="55"/>
        <v>86200</v>
      </c>
      <c r="K206" s="14">
        <f t="shared" si="63"/>
        <v>86200</v>
      </c>
      <c r="N206" s="14">
        <v>200</v>
      </c>
      <c r="O206" s="14">
        <f t="shared" si="66"/>
        <v>13654.08</v>
      </c>
      <c r="P206" s="14">
        <v>14</v>
      </c>
      <c r="Q206" s="14">
        <f t="shared" si="56"/>
        <v>172400</v>
      </c>
      <c r="T206" s="14">
        <v>200</v>
      </c>
      <c r="U206" s="14">
        <f t="shared" si="67"/>
        <v>20481.12</v>
      </c>
      <c r="V206" s="14">
        <v>20</v>
      </c>
      <c r="W206" s="14">
        <f t="shared" si="57"/>
        <v>258600</v>
      </c>
      <c r="Y206" s="14">
        <v>200</v>
      </c>
      <c r="Z206" s="108">
        <f t="shared" si="58"/>
        <v>86200</v>
      </c>
      <c r="AA206" s="103">
        <f t="shared" si="59"/>
        <v>172400</v>
      </c>
      <c r="AB206" s="103">
        <f t="shared" si="60"/>
        <v>258600</v>
      </c>
      <c r="AD206" s="14">
        <v>200</v>
      </c>
      <c r="AE206" s="14">
        <f t="shared" si="61"/>
        <v>113</v>
      </c>
      <c r="AF206" s="14">
        <f t="shared" si="62"/>
        <v>85</v>
      </c>
      <c r="AM206">
        <v>7.92</v>
      </c>
    </row>
    <row r="207" spans="1:39" x14ac:dyDescent="0.25">
      <c r="A207" s="14">
        <v>201</v>
      </c>
      <c r="B207" s="14">
        <v>867</v>
      </c>
      <c r="C207" s="14">
        <v>0.99999999999999989</v>
      </c>
      <c r="D207" s="14">
        <f t="shared" si="64"/>
        <v>7.92</v>
      </c>
      <c r="E207" s="14">
        <f t="shared" si="65"/>
        <v>6866.64</v>
      </c>
      <c r="F207" s="102">
        <v>10</v>
      </c>
      <c r="G207" s="14">
        <f ca="1">_xlfn.IFNA(INDEX(玩家节奏1!$EC:$EC,MATCH(关卡对比!A207,玩家节奏1!$N:$N,1)),1)</f>
        <v>7.9200000000000008</v>
      </c>
      <c r="H207" s="14">
        <f>_xlfn.IFNA(INDEX(玩家节奏2!$FG:$FG,MATCH(关卡对比!A207,玩家节奏2!$N:$N,1)),1)</f>
        <v>0</v>
      </c>
      <c r="I207" s="14">
        <v>7.92</v>
      </c>
      <c r="J207" s="14">
        <f t="shared" si="55"/>
        <v>86700</v>
      </c>
      <c r="K207" s="14">
        <f t="shared" si="63"/>
        <v>86700</v>
      </c>
      <c r="N207" s="14">
        <v>201</v>
      </c>
      <c r="O207" s="14">
        <f t="shared" si="66"/>
        <v>13733.28</v>
      </c>
      <c r="P207" s="14">
        <v>14</v>
      </c>
      <c r="Q207" s="14">
        <f t="shared" si="56"/>
        <v>173400</v>
      </c>
      <c r="T207" s="14">
        <v>201</v>
      </c>
      <c r="U207" s="14">
        <f t="shared" si="67"/>
        <v>20599.920000000002</v>
      </c>
      <c r="V207" s="14">
        <v>20</v>
      </c>
      <c r="W207" s="14">
        <f t="shared" si="57"/>
        <v>260100</v>
      </c>
      <c r="Y207" s="14">
        <v>201</v>
      </c>
      <c r="Z207" s="108">
        <f t="shared" si="58"/>
        <v>86700</v>
      </c>
      <c r="AA207" s="103">
        <f t="shared" si="59"/>
        <v>173400</v>
      </c>
      <c r="AB207" s="103">
        <f t="shared" si="60"/>
        <v>260100</v>
      </c>
      <c r="AD207" s="14">
        <v>201</v>
      </c>
      <c r="AE207" s="14">
        <f t="shared" si="61"/>
        <v>114</v>
      </c>
      <c r="AF207" s="14">
        <f t="shared" si="62"/>
        <v>85</v>
      </c>
      <c r="AM207">
        <v>7.92</v>
      </c>
    </row>
    <row r="208" spans="1:39" x14ac:dyDescent="0.25">
      <c r="A208" s="14">
        <v>202</v>
      </c>
      <c r="B208" s="14">
        <v>872</v>
      </c>
      <c r="C208" s="14">
        <v>0.99999999999999989</v>
      </c>
      <c r="D208" s="14">
        <f t="shared" si="64"/>
        <v>7.92</v>
      </c>
      <c r="E208" s="14">
        <f t="shared" si="65"/>
        <v>6906.24</v>
      </c>
      <c r="F208" s="102">
        <v>10</v>
      </c>
      <c r="G208" s="14">
        <f ca="1">_xlfn.IFNA(INDEX(玩家节奏1!$EC:$EC,MATCH(关卡对比!A208,玩家节奏1!$N:$N,1)),1)</f>
        <v>7.9200000000000008</v>
      </c>
      <c r="H208" s="14">
        <f>_xlfn.IFNA(INDEX(玩家节奏2!$FG:$FG,MATCH(关卡对比!A208,玩家节奏2!$N:$N,1)),1)</f>
        <v>0</v>
      </c>
      <c r="I208" s="14">
        <v>7.92</v>
      </c>
      <c r="J208" s="14">
        <f t="shared" si="55"/>
        <v>87200</v>
      </c>
      <c r="K208" s="14">
        <f t="shared" si="63"/>
        <v>87200</v>
      </c>
      <c r="N208" s="14">
        <v>202</v>
      </c>
      <c r="O208" s="14">
        <f t="shared" si="66"/>
        <v>13812.48</v>
      </c>
      <c r="P208" s="14">
        <v>14</v>
      </c>
      <c r="Q208" s="14">
        <f t="shared" si="56"/>
        <v>174400</v>
      </c>
      <c r="T208" s="14">
        <v>202</v>
      </c>
      <c r="U208" s="14">
        <f t="shared" si="67"/>
        <v>20718.72</v>
      </c>
      <c r="V208" s="14">
        <v>20</v>
      </c>
      <c r="W208" s="14">
        <f t="shared" si="57"/>
        <v>261600</v>
      </c>
      <c r="Y208" s="14">
        <v>202</v>
      </c>
      <c r="Z208" s="108">
        <f t="shared" si="58"/>
        <v>87200</v>
      </c>
      <c r="AA208" s="103">
        <f t="shared" si="59"/>
        <v>174400</v>
      </c>
      <c r="AB208" s="103">
        <f t="shared" si="60"/>
        <v>261600</v>
      </c>
      <c r="AD208" s="14">
        <v>202</v>
      </c>
      <c r="AE208" s="14">
        <f t="shared" si="61"/>
        <v>114</v>
      </c>
      <c r="AF208" s="14">
        <f t="shared" si="62"/>
        <v>85</v>
      </c>
      <c r="AM208">
        <v>7.92</v>
      </c>
    </row>
    <row r="209" spans="9:39" x14ac:dyDescent="0.25">
      <c r="I209">
        <v>7.92</v>
      </c>
      <c r="AM209">
        <v>7.92</v>
      </c>
    </row>
  </sheetData>
  <phoneticPr fontId="1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C49CE-092E-460A-B938-799D2F5C4B68}">
  <sheetPr codeName="Sheet6">
    <tabColor rgb="FF0070C0"/>
  </sheetPr>
  <dimension ref="A1:BW202"/>
  <sheetViews>
    <sheetView workbookViewId="0"/>
  </sheetViews>
  <sheetFormatPr defaultRowHeight="13.8" x14ac:dyDescent="0.25"/>
  <cols>
    <col min="2" max="2" width="5" bestFit="1" customWidth="1"/>
    <col min="6" max="6" width="5.109375" bestFit="1" customWidth="1"/>
    <col min="10" max="10" width="5.109375" bestFit="1" customWidth="1"/>
    <col min="11" max="11" width="5.44140625" customWidth="1"/>
    <col min="18" max="18" width="8.44140625" style="58" bestFit="1" customWidth="1"/>
    <col min="19" max="19" width="5" bestFit="1" customWidth="1"/>
    <col min="20" max="20" width="5" customWidth="1"/>
    <col min="21" max="21" width="5" style="57" customWidth="1"/>
    <col min="22" max="22" width="8.6640625" style="58" bestFit="1" customWidth="1"/>
    <col min="23" max="23" width="8.6640625" bestFit="1" customWidth="1"/>
    <col min="24" max="24" width="8.6640625" style="57" bestFit="1" customWidth="1"/>
    <col min="25" max="25" width="8.6640625" style="58" customWidth="1"/>
    <col min="26" max="26" width="8.6640625" customWidth="1"/>
    <col min="27" max="27" width="8.6640625" style="57" customWidth="1"/>
    <col min="28" max="28" width="8.44140625" style="58" bestFit="1" customWidth="1"/>
    <col min="32" max="32" width="8.6640625" style="57"/>
    <col min="33" max="33" width="8.44140625" style="58" bestFit="1" customWidth="1"/>
    <col min="37" max="37" width="8.6640625" style="57"/>
    <col min="42" max="42" width="8.6640625" style="57"/>
    <col min="47" max="47" width="8.6640625" style="57"/>
  </cols>
  <sheetData>
    <row r="1" spans="1:75" ht="28.2" x14ac:dyDescent="0.5">
      <c r="A1" t="s">
        <v>68</v>
      </c>
      <c r="G1" s="111" t="s">
        <v>337</v>
      </c>
      <c r="M1" s="111" t="s">
        <v>356</v>
      </c>
      <c r="R1" s="112" t="s">
        <v>355</v>
      </c>
      <c r="S1" s="44"/>
      <c r="T1" s="44"/>
      <c r="U1" s="60"/>
      <c r="V1" s="112" t="s">
        <v>353</v>
      </c>
      <c r="Y1" s="112" t="s">
        <v>354</v>
      </c>
      <c r="AB1" s="112" t="s">
        <v>357</v>
      </c>
      <c r="AC1" s="44"/>
      <c r="AD1" s="44"/>
      <c r="AE1" s="44" t="s">
        <v>337</v>
      </c>
      <c r="AF1" s="60" t="s">
        <v>338</v>
      </c>
      <c r="AG1" s="112" t="s">
        <v>358</v>
      </c>
      <c r="AH1" s="44"/>
      <c r="AI1" s="44"/>
      <c r="AJ1" s="44" t="s">
        <v>337</v>
      </c>
      <c r="AK1" s="60" t="s">
        <v>338</v>
      </c>
      <c r="AL1" s="112" t="s">
        <v>359</v>
      </c>
      <c r="AM1" s="44"/>
      <c r="AN1" s="44"/>
      <c r="AO1" s="44" t="s">
        <v>337</v>
      </c>
      <c r="AP1" s="60" t="s">
        <v>338</v>
      </c>
      <c r="AQ1" s="112" t="s">
        <v>257</v>
      </c>
      <c r="AR1" s="44"/>
      <c r="AS1" s="44"/>
      <c r="AT1" s="44"/>
      <c r="AU1" s="60"/>
      <c r="AX1" s="44" t="s">
        <v>326</v>
      </c>
      <c r="BC1" s="112" t="s">
        <v>328</v>
      </c>
      <c r="BE1">
        <v>104</v>
      </c>
      <c r="BF1">
        <v>105</v>
      </c>
      <c r="BG1">
        <v>106</v>
      </c>
      <c r="BH1" s="112" t="s">
        <v>375</v>
      </c>
    </row>
    <row r="2" spans="1:75" ht="16.2" x14ac:dyDescent="0.25">
      <c r="A2" s="9" t="s">
        <v>258</v>
      </c>
      <c r="B2" s="9" t="s">
        <v>51</v>
      </c>
      <c r="C2" s="9" t="s">
        <v>55</v>
      </c>
      <c r="D2" s="9" t="s">
        <v>56</v>
      </c>
      <c r="E2" s="9" t="s">
        <v>57</v>
      </c>
      <c r="F2" s="9" t="s">
        <v>54</v>
      </c>
      <c r="G2" s="9" t="s">
        <v>55</v>
      </c>
      <c r="H2" s="9" t="s">
        <v>56</v>
      </c>
      <c r="I2" s="9" t="s">
        <v>57</v>
      </c>
      <c r="J2" s="9" t="s">
        <v>54</v>
      </c>
      <c r="K2" s="9" t="s">
        <v>360</v>
      </c>
      <c r="M2" s="9" t="s">
        <v>352</v>
      </c>
      <c r="N2" s="9" t="s">
        <v>330</v>
      </c>
      <c r="O2" s="9" t="s">
        <v>215</v>
      </c>
      <c r="P2" s="9" t="s">
        <v>216</v>
      </c>
      <c r="R2" s="69" t="s">
        <v>258</v>
      </c>
      <c r="S2" s="9" t="s">
        <v>253</v>
      </c>
      <c r="T2" s="9" t="s">
        <v>254</v>
      </c>
      <c r="U2" s="67" t="s">
        <v>255</v>
      </c>
      <c r="V2" s="69" t="s">
        <v>330</v>
      </c>
      <c r="W2" s="9" t="s">
        <v>215</v>
      </c>
      <c r="X2" s="67" t="s">
        <v>216</v>
      </c>
      <c r="Y2" s="69" t="s">
        <v>330</v>
      </c>
      <c r="Z2" s="9" t="s">
        <v>215</v>
      </c>
      <c r="AA2" s="67" t="s">
        <v>216</v>
      </c>
      <c r="AB2" s="61" t="s">
        <v>248</v>
      </c>
      <c r="AC2" s="46" t="s">
        <v>249</v>
      </c>
      <c r="AD2" s="46" t="s">
        <v>250</v>
      </c>
      <c r="AE2" s="46" t="s">
        <v>186</v>
      </c>
      <c r="AF2" s="59" t="s">
        <v>186</v>
      </c>
      <c r="AG2" s="61" t="s">
        <v>248</v>
      </c>
      <c r="AH2" s="46" t="s">
        <v>249</v>
      </c>
      <c r="AI2" s="46" t="s">
        <v>250</v>
      </c>
      <c r="AJ2" s="46" t="s">
        <v>186</v>
      </c>
      <c r="AK2" s="59" t="s">
        <v>186</v>
      </c>
      <c r="AL2" s="46" t="s">
        <v>248</v>
      </c>
      <c r="AM2" s="46" t="s">
        <v>249</v>
      </c>
      <c r="AN2" s="46" t="s">
        <v>250</v>
      </c>
      <c r="AO2" s="46" t="s">
        <v>186</v>
      </c>
      <c r="AP2" s="59" t="s">
        <v>186</v>
      </c>
      <c r="AQ2" s="46" t="s">
        <v>248</v>
      </c>
      <c r="AR2" s="46" t="s">
        <v>249</v>
      </c>
      <c r="AS2" s="46" t="s">
        <v>250</v>
      </c>
      <c r="AT2" s="46" t="s">
        <v>186</v>
      </c>
      <c r="AU2" s="59" t="s">
        <v>186</v>
      </c>
      <c r="AW2" s="9" t="s">
        <v>258</v>
      </c>
      <c r="AX2" s="9" t="s">
        <v>55</v>
      </c>
      <c r="AY2" s="9" t="s">
        <v>56</v>
      </c>
      <c r="AZ2" s="9" t="s">
        <v>57</v>
      </c>
      <c r="BA2" s="9" t="s">
        <v>54</v>
      </c>
      <c r="BC2" s="9" t="s">
        <v>327</v>
      </c>
      <c r="BD2" s="9" t="s">
        <v>325</v>
      </c>
      <c r="BE2" s="9" t="s">
        <v>55</v>
      </c>
      <c r="BF2" s="9" t="s">
        <v>56</v>
      </c>
      <c r="BG2" s="9" t="s">
        <v>57</v>
      </c>
      <c r="BH2" s="9">
        <v>1</v>
      </c>
      <c r="BI2" s="9">
        <v>2</v>
      </c>
      <c r="BJ2" s="9">
        <v>3</v>
      </c>
      <c r="BK2" s="9">
        <v>4</v>
      </c>
      <c r="BL2" s="9">
        <v>5</v>
      </c>
      <c r="BM2" s="9">
        <v>6</v>
      </c>
      <c r="BN2" s="9">
        <v>7</v>
      </c>
      <c r="BO2" s="9">
        <v>8</v>
      </c>
      <c r="BP2" s="9">
        <v>9</v>
      </c>
      <c r="BQ2" s="9">
        <v>10</v>
      </c>
      <c r="BS2" s="44" t="s">
        <v>361</v>
      </c>
      <c r="BT2" s="44" t="s">
        <v>361</v>
      </c>
      <c r="BU2" s="44" t="s">
        <v>361</v>
      </c>
      <c r="BV2" s="44" t="s">
        <v>362</v>
      </c>
      <c r="BW2" s="44" t="s">
        <v>363</v>
      </c>
    </row>
    <row r="3" spans="1:75" x14ac:dyDescent="0.25">
      <c r="A3" s="86" t="s">
        <v>253</v>
      </c>
      <c r="B3" s="14">
        <v>1</v>
      </c>
      <c r="C3" s="14">
        <f>关卡产出!C8</f>
        <v>5</v>
      </c>
      <c r="D3" s="14">
        <f>关卡产出!D8</f>
        <v>2</v>
      </c>
      <c r="E3" s="14">
        <f>关卡产出!E8</f>
        <v>0</v>
      </c>
      <c r="F3" s="14">
        <f>关卡产出!F8</f>
        <v>100</v>
      </c>
      <c r="G3" s="38">
        <f>ROUNDUP(C3/2,0)</f>
        <v>3</v>
      </c>
      <c r="H3" s="38">
        <f t="shared" ref="H3:I3" si="0">ROUNDUP(D3/2,0)</f>
        <v>1</v>
      </c>
      <c r="I3" s="38">
        <f t="shared" si="0"/>
        <v>0</v>
      </c>
      <c r="J3" s="38">
        <f>ROUNDUP(F3/2*2.5,0)</f>
        <v>125</v>
      </c>
      <c r="K3" s="38">
        <f ca="1">AT3</f>
        <v>120</v>
      </c>
      <c r="M3" s="38">
        <v>1</v>
      </c>
      <c r="N3" s="38">
        <v>5</v>
      </c>
      <c r="O3" s="38"/>
      <c r="P3" s="38"/>
      <c r="R3" s="113" t="s">
        <v>253</v>
      </c>
      <c r="S3" s="14">
        <v>1</v>
      </c>
      <c r="T3" s="14">
        <f>关卡对比!AE7</f>
        <v>0</v>
      </c>
      <c r="U3" s="109">
        <f>关卡对比!AF7</f>
        <v>0</v>
      </c>
      <c r="V3" s="70">
        <f t="shared" ref="V3:V34" si="1">_xlfn.IFNA(INDEX($M:$M,MATCH($S3,N:N,1)),0)</f>
        <v>0</v>
      </c>
      <c r="W3" s="38">
        <f t="shared" ref="W3:W34" si="2">_xlfn.IFNA(INDEX($M:$M,MATCH($T3,O:O,1)),0)</f>
        <v>0</v>
      </c>
      <c r="X3" s="68">
        <f t="shared" ref="X3:X34" si="3">_xlfn.IFNA(INDEX($M:$M,MATCH($U3,P:P,1)),0)</f>
        <v>0</v>
      </c>
      <c r="Y3" s="70">
        <f>IFERROR(($S3-5)/V3,0)</f>
        <v>0</v>
      </c>
      <c r="Z3" s="38">
        <f>IF(W3=0,0,IFERROR(($T3-5)/(W3-10)+1,0))</f>
        <v>0</v>
      </c>
      <c r="AA3" s="68">
        <f>IF(X3=0,0,IFERROR(($U3-5)/(X3-20)+1,0))</f>
        <v>0</v>
      </c>
      <c r="AB3" s="70">
        <f>AX$3+SUMIFS(BE:BE,$BC:$BC,"&lt;="&amp;$V3)</f>
        <v>3</v>
      </c>
      <c r="AC3" s="38">
        <f>AY$3+SUMIFS(BF:BF,$BC:$BC,"&lt;="&amp;$V3)</f>
        <v>1</v>
      </c>
      <c r="AD3" s="38">
        <f>AZ$3+SUMIFS(BG:BG,$BC:$BC,"&lt;="&amp;$V3)</f>
        <v>0</v>
      </c>
      <c r="AE3" s="38">
        <f ca="1">$BA$3+_xlfn.IFNA(SUM(OFFSET($BG$2,1,MATCH(Y3,$BH$2:$BQ$2,1),MATCH(V3,$BC$3:$BC$32,0),1)),0)</f>
        <v>120</v>
      </c>
      <c r="AF3" s="68">
        <f t="shared" ref="AF3:AF34" si="4">$BA$3+SUMIFS($BQ:$BQ,$BC:$BC,"&lt;="&amp;V3)</f>
        <v>120</v>
      </c>
      <c r="AG3" s="70">
        <v>0</v>
      </c>
      <c r="AH3" s="38">
        <v>0</v>
      </c>
      <c r="AI3" s="38">
        <v>0</v>
      </c>
      <c r="AJ3" s="38">
        <v>0</v>
      </c>
      <c r="AK3" s="68">
        <v>0</v>
      </c>
      <c r="AL3" s="70">
        <v>0</v>
      </c>
      <c r="AM3" s="38">
        <v>0</v>
      </c>
      <c r="AN3" s="38">
        <v>0</v>
      </c>
      <c r="AO3" s="38">
        <v>0</v>
      </c>
      <c r="AP3" s="68">
        <v>0</v>
      </c>
      <c r="AQ3" s="70">
        <f>AL3+AG3+AB3</f>
        <v>3</v>
      </c>
      <c r="AR3" s="38">
        <f t="shared" ref="AR3:AS3" si="5">AM3+AH3+AC3</f>
        <v>1</v>
      </c>
      <c r="AS3" s="38">
        <f t="shared" si="5"/>
        <v>0</v>
      </c>
      <c r="AT3" s="38">
        <f ca="1">AO3+AJ3+AE3</f>
        <v>120</v>
      </c>
      <c r="AU3" s="68">
        <f>AP3+AK3+AF3</f>
        <v>120</v>
      </c>
      <c r="AW3" s="43" t="s">
        <v>253</v>
      </c>
      <c r="AX3" s="38">
        <v>3</v>
      </c>
      <c r="AY3" s="38">
        <v>1</v>
      </c>
      <c r="AZ3" s="38">
        <v>0</v>
      </c>
      <c r="BA3" s="38">
        <v>120</v>
      </c>
      <c r="BC3" s="38">
        <v>1</v>
      </c>
      <c r="BD3" s="43" t="s">
        <v>253</v>
      </c>
      <c r="BE3" s="38">
        <v>1</v>
      </c>
      <c r="BF3" s="38">
        <v>0</v>
      </c>
      <c r="BG3" s="38">
        <v>0</v>
      </c>
      <c r="BH3" s="38">
        <v>2</v>
      </c>
      <c r="BI3" s="38">
        <v>4</v>
      </c>
      <c r="BJ3" s="38">
        <v>6</v>
      </c>
      <c r="BK3" s="38">
        <v>8</v>
      </c>
      <c r="BL3" s="38">
        <v>10</v>
      </c>
      <c r="BM3" s="38">
        <v>12</v>
      </c>
      <c r="BN3" s="38">
        <v>14</v>
      </c>
      <c r="BO3" s="38">
        <v>16</v>
      </c>
      <c r="BP3" s="38">
        <v>18</v>
      </c>
      <c r="BQ3" s="38">
        <v>20</v>
      </c>
      <c r="BS3" t="str">
        <f>IF(BE3=0,"",BE$1&amp;","&amp;BE3)</f>
        <v>104,1</v>
      </c>
      <c r="BT3" t="str">
        <f t="shared" ref="BT3:BU3" si="6">IF(BF3=0,"",BF$1&amp;","&amp;BF3)</f>
        <v/>
      </c>
      <c r="BU3" t="str">
        <f t="shared" si="6"/>
        <v/>
      </c>
      <c r="BV3" t="str">
        <f>_xlfn.TEXTJOIN("|",TRUE,BS3:BU3)</f>
        <v>104,1</v>
      </c>
      <c r="BW3" t="str">
        <f>_xlfn.TEXTJOIN(",",TRUE,BH3:BQ3)</f>
        <v>2,4,6,8,10,12,14,16,18,20</v>
      </c>
    </row>
    <row r="4" spans="1:75" x14ac:dyDescent="0.25">
      <c r="A4" s="86" t="s">
        <v>253</v>
      </c>
      <c r="B4" s="14">
        <v>2</v>
      </c>
      <c r="C4" s="14">
        <f>关卡产出!C9</f>
        <v>5</v>
      </c>
      <c r="D4" s="14">
        <f>关卡产出!D9</f>
        <v>2</v>
      </c>
      <c r="E4" s="14">
        <f>关卡产出!E9</f>
        <v>0</v>
      </c>
      <c r="F4" s="14">
        <f>关卡产出!F9</f>
        <v>100</v>
      </c>
      <c r="G4" s="38">
        <f t="shared" ref="G4:G67" si="7">ROUNDUP(C4/2,0)</f>
        <v>3</v>
      </c>
      <c r="H4" s="38">
        <f t="shared" ref="H4:H67" si="8">ROUNDUP(D4/2,0)</f>
        <v>1</v>
      </c>
      <c r="I4" s="38">
        <f t="shared" ref="I4:I67" si="9">ROUNDUP(E4/2,0)</f>
        <v>0</v>
      </c>
      <c r="J4" s="38">
        <f t="shared" ref="J4:J67" si="10">ROUNDUP(F4/2*2.5,0)</f>
        <v>125</v>
      </c>
      <c r="K4" s="38">
        <f t="shared" ref="K4:K67" ca="1" si="11">AT4</f>
        <v>120</v>
      </c>
      <c r="M4" s="38">
        <v>2</v>
      </c>
      <c r="N4" s="38">
        <v>7</v>
      </c>
      <c r="O4" s="38"/>
      <c r="P4" s="38"/>
      <c r="R4" s="113" t="s">
        <v>253</v>
      </c>
      <c r="S4" s="14">
        <v>2</v>
      </c>
      <c r="T4" s="14">
        <f>关卡对比!AE8</f>
        <v>0</v>
      </c>
      <c r="U4" s="109">
        <f>关卡对比!AF8</f>
        <v>0</v>
      </c>
      <c r="V4" s="70">
        <f t="shared" si="1"/>
        <v>0</v>
      </c>
      <c r="W4" s="38">
        <f t="shared" si="2"/>
        <v>0</v>
      </c>
      <c r="X4" s="68">
        <f t="shared" si="3"/>
        <v>0</v>
      </c>
      <c r="Y4" s="70">
        <f t="shared" ref="Y4:Y6" si="12">IFERROR(($S4-5)/V4,0)</f>
        <v>0</v>
      </c>
      <c r="Z4" s="38">
        <f t="shared" ref="Z4:Z67" si="13">IF(W4=0,0,IFERROR(($T4-5)/(W4-10)+1,0))</f>
        <v>0</v>
      </c>
      <c r="AA4" s="68">
        <f t="shared" ref="AA4:AA67" si="14">IF(X4=0,0,IFERROR(($U4-5)/(X4-20)+1,0))</f>
        <v>0</v>
      </c>
      <c r="AB4" s="70">
        <f t="shared" ref="AB4:AB35" si="15">AX$3+SUMIFS(BE:BE,$BC:$BC,"&lt;="&amp;V4)</f>
        <v>3</v>
      </c>
      <c r="AC4" s="38">
        <f t="shared" ref="AC4:AC35" si="16">AY$3+SUMIFS(BF:BF,$BC:$BC,"&lt;="&amp;$V4)</f>
        <v>1</v>
      </c>
      <c r="AD4" s="38">
        <f t="shared" ref="AD4:AD35" si="17">AZ$3+SUMIFS(BG:BG,$BC:$BC,"&lt;="&amp;$V4)</f>
        <v>0</v>
      </c>
      <c r="AE4" s="38">
        <f t="shared" ref="AE4:AE67" ca="1" si="18">$BA$3+_xlfn.IFNA(SUM(OFFSET($BG$2,1,MATCH(Y4,$BH$2:$BQ$2,1),MATCH(V4,$BC$3:$BC$32,0),1)),0)</f>
        <v>120</v>
      </c>
      <c r="AF4" s="68">
        <f t="shared" si="4"/>
        <v>120</v>
      </c>
      <c r="AG4" s="70">
        <v>0</v>
      </c>
      <c r="AH4" s="38">
        <v>0</v>
      </c>
      <c r="AI4" s="38">
        <v>0</v>
      </c>
      <c r="AJ4" s="38">
        <v>0</v>
      </c>
      <c r="AK4" s="68">
        <v>0</v>
      </c>
      <c r="AL4" s="70">
        <v>0</v>
      </c>
      <c r="AM4" s="38">
        <v>0</v>
      </c>
      <c r="AN4" s="38">
        <v>0</v>
      </c>
      <c r="AO4" s="38">
        <v>0</v>
      </c>
      <c r="AP4" s="68">
        <v>0</v>
      </c>
      <c r="AQ4" s="70">
        <f t="shared" ref="AQ4:AQ67" si="19">AL4+AG4+AB4</f>
        <v>3</v>
      </c>
      <c r="AR4" s="38">
        <f t="shared" ref="AR4:AR67" si="20">AM4+AH4+AC4</f>
        <v>1</v>
      </c>
      <c r="AS4" s="38">
        <f t="shared" ref="AS4:AS67" si="21">AN4+AI4+AD4</f>
        <v>0</v>
      </c>
      <c r="AT4" s="38">
        <f t="shared" ref="AT4:AT67" ca="1" si="22">AO4+AJ4+AE4</f>
        <v>120</v>
      </c>
      <c r="AU4" s="68">
        <f t="shared" ref="AU4:AU67" si="23">AP4+AK4+AF4</f>
        <v>120</v>
      </c>
      <c r="AW4" s="43" t="s">
        <v>254</v>
      </c>
      <c r="AX4" s="38">
        <v>3</v>
      </c>
      <c r="AY4" s="38">
        <v>1</v>
      </c>
      <c r="AZ4" s="38">
        <v>0</v>
      </c>
      <c r="BA4" s="38">
        <v>120</v>
      </c>
      <c r="BC4" s="38">
        <v>2</v>
      </c>
      <c r="BD4" s="43" t="s">
        <v>253</v>
      </c>
      <c r="BE4" s="38">
        <v>1</v>
      </c>
      <c r="BF4" s="38">
        <v>0</v>
      </c>
      <c r="BG4" s="38">
        <v>0</v>
      </c>
      <c r="BH4" s="38">
        <v>2</v>
      </c>
      <c r="BI4" s="38">
        <v>4</v>
      </c>
      <c r="BJ4" s="38">
        <v>6</v>
      </c>
      <c r="BK4" s="38">
        <v>8</v>
      </c>
      <c r="BL4" s="38">
        <v>10</v>
      </c>
      <c r="BM4" s="38">
        <v>12</v>
      </c>
      <c r="BN4" s="38">
        <v>14</v>
      </c>
      <c r="BO4" s="38">
        <v>16</v>
      </c>
      <c r="BP4" s="38">
        <v>18</v>
      </c>
      <c r="BQ4" s="38">
        <v>20</v>
      </c>
      <c r="BS4" t="str">
        <f t="shared" ref="BS4:BS32" si="24">IF(BE4=0,"",BE$1&amp;","&amp;BE4)</f>
        <v>104,1</v>
      </c>
      <c r="BT4" t="str">
        <f t="shared" ref="BT4:BT32" si="25">IF(BF4=0,"",BF$1&amp;","&amp;BF4)</f>
        <v/>
      </c>
      <c r="BU4" t="str">
        <f t="shared" ref="BU4:BU32" si="26">IF(BG4=0,"",BG$1&amp;","&amp;BG4)</f>
        <v/>
      </c>
      <c r="BV4" t="str">
        <f t="shared" ref="BV4:BV32" si="27">_xlfn.TEXTJOIN("|",TRUE,BS4:BU4)</f>
        <v>104,1</v>
      </c>
      <c r="BW4" t="str">
        <f t="shared" ref="BW4:BW32" si="28">_xlfn.TEXTJOIN(",",TRUE,BH4:BQ4)</f>
        <v>2,4,6,8,10,12,14,16,18,20</v>
      </c>
    </row>
    <row r="5" spans="1:75" x14ac:dyDescent="0.25">
      <c r="A5" s="86" t="s">
        <v>253</v>
      </c>
      <c r="B5" s="14">
        <v>3</v>
      </c>
      <c r="C5" s="14">
        <f>关卡产出!C10</f>
        <v>5</v>
      </c>
      <c r="D5" s="14">
        <f>关卡产出!D10</f>
        <v>2</v>
      </c>
      <c r="E5" s="14">
        <f>关卡产出!E10</f>
        <v>0</v>
      </c>
      <c r="F5" s="14">
        <f>关卡产出!F10</f>
        <v>110</v>
      </c>
      <c r="G5" s="38">
        <f t="shared" si="7"/>
        <v>3</v>
      </c>
      <c r="H5" s="38">
        <f t="shared" si="8"/>
        <v>1</v>
      </c>
      <c r="I5" s="38">
        <f t="shared" si="9"/>
        <v>0</v>
      </c>
      <c r="J5" s="38">
        <f t="shared" si="10"/>
        <v>138</v>
      </c>
      <c r="K5" s="38">
        <f t="shared" ca="1" si="11"/>
        <v>120</v>
      </c>
      <c r="M5" s="38">
        <v>3</v>
      </c>
      <c r="N5" s="38">
        <v>9</v>
      </c>
      <c r="O5" s="38"/>
      <c r="P5" s="38"/>
      <c r="R5" s="113" t="s">
        <v>253</v>
      </c>
      <c r="S5" s="14">
        <v>3</v>
      </c>
      <c r="T5" s="14">
        <f>关卡对比!AE9</f>
        <v>0</v>
      </c>
      <c r="U5" s="109">
        <f>关卡对比!AF9</f>
        <v>0</v>
      </c>
      <c r="V5" s="70">
        <f t="shared" si="1"/>
        <v>0</v>
      </c>
      <c r="W5" s="38">
        <f t="shared" si="2"/>
        <v>0</v>
      </c>
      <c r="X5" s="68">
        <f t="shared" si="3"/>
        <v>0</v>
      </c>
      <c r="Y5" s="70">
        <f t="shared" si="12"/>
        <v>0</v>
      </c>
      <c r="Z5" s="38">
        <f t="shared" si="13"/>
        <v>0</v>
      </c>
      <c r="AA5" s="68">
        <f t="shared" si="14"/>
        <v>0</v>
      </c>
      <c r="AB5" s="70">
        <f t="shared" si="15"/>
        <v>3</v>
      </c>
      <c r="AC5" s="38">
        <f t="shared" si="16"/>
        <v>1</v>
      </c>
      <c r="AD5" s="38">
        <f t="shared" si="17"/>
        <v>0</v>
      </c>
      <c r="AE5" s="38">
        <f t="shared" ca="1" si="18"/>
        <v>120</v>
      </c>
      <c r="AF5" s="68">
        <f t="shared" si="4"/>
        <v>120</v>
      </c>
      <c r="AG5" s="70">
        <v>0</v>
      </c>
      <c r="AH5" s="38">
        <v>0</v>
      </c>
      <c r="AI5" s="38">
        <v>0</v>
      </c>
      <c r="AJ5" s="38">
        <v>0</v>
      </c>
      <c r="AK5" s="68">
        <v>0</v>
      </c>
      <c r="AL5" s="70">
        <v>0</v>
      </c>
      <c r="AM5" s="38">
        <v>0</v>
      </c>
      <c r="AN5" s="38">
        <v>0</v>
      </c>
      <c r="AO5" s="38">
        <v>0</v>
      </c>
      <c r="AP5" s="68">
        <v>0</v>
      </c>
      <c r="AQ5" s="70">
        <f t="shared" si="19"/>
        <v>3</v>
      </c>
      <c r="AR5" s="38">
        <f t="shared" si="20"/>
        <v>1</v>
      </c>
      <c r="AS5" s="38">
        <f t="shared" si="21"/>
        <v>0</v>
      </c>
      <c r="AT5" s="38">
        <f t="shared" ca="1" si="22"/>
        <v>120</v>
      </c>
      <c r="AU5" s="68">
        <f t="shared" si="23"/>
        <v>120</v>
      </c>
      <c r="AW5" s="43" t="s">
        <v>255</v>
      </c>
      <c r="AX5" s="38">
        <v>3</v>
      </c>
      <c r="AY5" s="38">
        <v>1</v>
      </c>
      <c r="AZ5" s="38">
        <v>0</v>
      </c>
      <c r="BA5" s="38">
        <v>120</v>
      </c>
      <c r="BC5" s="38">
        <v>3</v>
      </c>
      <c r="BD5" s="43" t="s">
        <v>253</v>
      </c>
      <c r="BE5" s="38">
        <v>0</v>
      </c>
      <c r="BF5" s="38">
        <v>1</v>
      </c>
      <c r="BG5" s="38">
        <v>0</v>
      </c>
      <c r="BH5" s="38">
        <v>2</v>
      </c>
      <c r="BI5" s="38">
        <v>4</v>
      </c>
      <c r="BJ5" s="38">
        <v>6</v>
      </c>
      <c r="BK5" s="38">
        <v>8</v>
      </c>
      <c r="BL5" s="38">
        <v>10</v>
      </c>
      <c r="BM5" s="38">
        <v>12</v>
      </c>
      <c r="BN5" s="38">
        <v>14</v>
      </c>
      <c r="BO5" s="38">
        <v>16</v>
      </c>
      <c r="BP5" s="38">
        <v>18</v>
      </c>
      <c r="BQ5" s="38">
        <v>20</v>
      </c>
      <c r="BS5" t="str">
        <f t="shared" si="24"/>
        <v/>
      </c>
      <c r="BT5" t="str">
        <f t="shared" si="25"/>
        <v>105,1</v>
      </c>
      <c r="BU5" t="str">
        <f t="shared" si="26"/>
        <v/>
      </c>
      <c r="BV5" t="str">
        <f t="shared" si="27"/>
        <v>105,1</v>
      </c>
      <c r="BW5" t="str">
        <f t="shared" si="28"/>
        <v>2,4,6,8,10,12,14,16,18,20</v>
      </c>
    </row>
    <row r="6" spans="1:75" x14ac:dyDescent="0.25">
      <c r="A6" s="86" t="s">
        <v>253</v>
      </c>
      <c r="B6" s="14">
        <v>4</v>
      </c>
      <c r="C6" s="14">
        <f>关卡产出!C11</f>
        <v>5</v>
      </c>
      <c r="D6" s="14">
        <f>关卡产出!D11</f>
        <v>2</v>
      </c>
      <c r="E6" s="14">
        <f>关卡产出!E11</f>
        <v>1</v>
      </c>
      <c r="F6" s="14">
        <f>关卡产出!F11</f>
        <v>110</v>
      </c>
      <c r="G6" s="38">
        <f t="shared" si="7"/>
        <v>3</v>
      </c>
      <c r="H6" s="38">
        <f t="shared" si="8"/>
        <v>1</v>
      </c>
      <c r="I6" s="38">
        <f t="shared" si="9"/>
        <v>1</v>
      </c>
      <c r="J6" s="38">
        <f t="shared" si="10"/>
        <v>138</v>
      </c>
      <c r="K6" s="38">
        <f t="shared" ca="1" si="11"/>
        <v>120</v>
      </c>
      <c r="M6" s="38">
        <v>4</v>
      </c>
      <c r="N6" s="38">
        <v>12</v>
      </c>
      <c r="O6" s="38"/>
      <c r="P6" s="38"/>
      <c r="R6" s="113" t="s">
        <v>253</v>
      </c>
      <c r="S6" s="14">
        <v>4</v>
      </c>
      <c r="T6" s="14">
        <f>关卡对比!AE10</f>
        <v>1</v>
      </c>
      <c r="U6" s="109">
        <f>关卡对比!AF10</f>
        <v>0</v>
      </c>
      <c r="V6" s="70">
        <f t="shared" si="1"/>
        <v>0</v>
      </c>
      <c r="W6" s="38">
        <f t="shared" si="2"/>
        <v>0</v>
      </c>
      <c r="X6" s="68">
        <f t="shared" si="3"/>
        <v>0</v>
      </c>
      <c r="Y6" s="70">
        <f t="shared" si="12"/>
        <v>0</v>
      </c>
      <c r="Z6" s="38">
        <f t="shared" si="13"/>
        <v>0</v>
      </c>
      <c r="AA6" s="68">
        <f t="shared" si="14"/>
        <v>0</v>
      </c>
      <c r="AB6" s="70">
        <f t="shared" si="15"/>
        <v>3</v>
      </c>
      <c r="AC6" s="38">
        <f t="shared" si="16"/>
        <v>1</v>
      </c>
      <c r="AD6" s="38">
        <f t="shared" si="17"/>
        <v>0</v>
      </c>
      <c r="AE6" s="38">
        <f t="shared" ca="1" si="18"/>
        <v>120</v>
      </c>
      <c r="AF6" s="68">
        <f t="shared" si="4"/>
        <v>120</v>
      </c>
      <c r="AG6" s="70">
        <v>0</v>
      </c>
      <c r="AH6" s="38">
        <v>0</v>
      </c>
      <c r="AI6" s="38">
        <v>0</v>
      </c>
      <c r="AJ6" s="38">
        <v>0</v>
      </c>
      <c r="AK6" s="68">
        <v>0</v>
      </c>
      <c r="AL6" s="70">
        <v>0</v>
      </c>
      <c r="AM6" s="38">
        <v>0</v>
      </c>
      <c r="AN6" s="38">
        <v>0</v>
      </c>
      <c r="AO6" s="38">
        <v>0</v>
      </c>
      <c r="AP6" s="68">
        <v>0</v>
      </c>
      <c r="AQ6" s="70">
        <f t="shared" si="19"/>
        <v>3</v>
      </c>
      <c r="AR6" s="38">
        <f t="shared" si="20"/>
        <v>1</v>
      </c>
      <c r="AS6" s="38">
        <f t="shared" si="21"/>
        <v>0</v>
      </c>
      <c r="AT6" s="38">
        <f t="shared" ca="1" si="22"/>
        <v>120</v>
      </c>
      <c r="AU6" s="68">
        <f t="shared" si="23"/>
        <v>120</v>
      </c>
      <c r="BC6" s="38">
        <v>4</v>
      </c>
      <c r="BD6" s="43" t="s">
        <v>253</v>
      </c>
      <c r="BE6" s="38">
        <v>0</v>
      </c>
      <c r="BF6" s="38">
        <v>0</v>
      </c>
      <c r="BG6" s="38">
        <v>1</v>
      </c>
      <c r="BH6" s="38">
        <v>2</v>
      </c>
      <c r="BI6" s="38">
        <v>4</v>
      </c>
      <c r="BJ6" s="38">
        <v>6</v>
      </c>
      <c r="BK6" s="38">
        <v>8</v>
      </c>
      <c r="BL6" s="38">
        <v>10</v>
      </c>
      <c r="BM6" s="38">
        <v>12</v>
      </c>
      <c r="BN6" s="38">
        <v>14</v>
      </c>
      <c r="BO6" s="38">
        <v>16</v>
      </c>
      <c r="BP6" s="38">
        <v>18</v>
      </c>
      <c r="BQ6" s="38">
        <v>20</v>
      </c>
      <c r="BS6" t="str">
        <f t="shared" si="24"/>
        <v/>
      </c>
      <c r="BT6" t="str">
        <f t="shared" si="25"/>
        <v/>
      </c>
      <c r="BU6" t="str">
        <f t="shared" si="26"/>
        <v>106,1</v>
      </c>
      <c r="BV6" t="str">
        <f t="shared" si="27"/>
        <v>106,1</v>
      </c>
      <c r="BW6" t="str">
        <f t="shared" si="28"/>
        <v>2,4,6,8,10,12,14,16,18,20</v>
      </c>
    </row>
    <row r="7" spans="1:75" x14ac:dyDescent="0.25">
      <c r="A7" s="86" t="s">
        <v>253</v>
      </c>
      <c r="B7" s="14">
        <v>5</v>
      </c>
      <c r="C7" s="14">
        <f>关卡产出!C12</f>
        <v>6</v>
      </c>
      <c r="D7" s="14">
        <f>关卡产出!D12</f>
        <v>3</v>
      </c>
      <c r="E7" s="14">
        <f>关卡产出!E12</f>
        <v>1</v>
      </c>
      <c r="F7" s="14">
        <f>关卡产出!F12</f>
        <v>120</v>
      </c>
      <c r="G7" s="38">
        <f>ROUNDUP(C7/2,0)</f>
        <v>3</v>
      </c>
      <c r="H7" s="38">
        <f t="shared" si="8"/>
        <v>2</v>
      </c>
      <c r="I7" s="38">
        <f t="shared" si="9"/>
        <v>1</v>
      </c>
      <c r="J7" s="38">
        <f t="shared" si="10"/>
        <v>150</v>
      </c>
      <c r="K7" s="38">
        <f t="shared" ca="1" si="11"/>
        <v>122</v>
      </c>
      <c r="M7" s="38">
        <v>5</v>
      </c>
      <c r="N7" s="38">
        <v>15</v>
      </c>
      <c r="O7" s="38"/>
      <c r="P7" s="38"/>
      <c r="R7" s="113" t="s">
        <v>253</v>
      </c>
      <c r="S7" s="14">
        <v>5</v>
      </c>
      <c r="T7" s="14">
        <f>关卡对比!AE11</f>
        <v>1</v>
      </c>
      <c r="U7" s="109">
        <f>关卡对比!AF11</f>
        <v>0</v>
      </c>
      <c r="V7" s="70">
        <f t="shared" si="1"/>
        <v>1</v>
      </c>
      <c r="W7" s="38">
        <f t="shared" si="2"/>
        <v>0</v>
      </c>
      <c r="X7" s="68">
        <f t="shared" si="3"/>
        <v>0</v>
      </c>
      <c r="Y7" s="70">
        <v>1</v>
      </c>
      <c r="Z7" s="38">
        <f t="shared" si="13"/>
        <v>0</v>
      </c>
      <c r="AA7" s="68">
        <f t="shared" si="14"/>
        <v>0</v>
      </c>
      <c r="AB7" s="70">
        <f t="shared" si="15"/>
        <v>4</v>
      </c>
      <c r="AC7" s="38">
        <f t="shared" si="16"/>
        <v>1</v>
      </c>
      <c r="AD7" s="38">
        <f t="shared" si="17"/>
        <v>0</v>
      </c>
      <c r="AE7" s="38">
        <f t="shared" ca="1" si="18"/>
        <v>122</v>
      </c>
      <c r="AF7" s="68">
        <f t="shared" si="4"/>
        <v>140</v>
      </c>
      <c r="AG7" s="70">
        <v>0</v>
      </c>
      <c r="AH7" s="38">
        <v>0</v>
      </c>
      <c r="AI7" s="38">
        <v>0</v>
      </c>
      <c r="AJ7" s="38">
        <v>0</v>
      </c>
      <c r="AK7" s="68">
        <v>0</v>
      </c>
      <c r="AL7" s="70">
        <v>0</v>
      </c>
      <c r="AM7" s="38">
        <v>0</v>
      </c>
      <c r="AN7" s="38">
        <v>0</v>
      </c>
      <c r="AO7" s="38">
        <v>0</v>
      </c>
      <c r="AP7" s="68">
        <v>0</v>
      </c>
      <c r="AQ7" s="70">
        <f t="shared" si="19"/>
        <v>4</v>
      </c>
      <c r="AR7" s="38">
        <f t="shared" si="20"/>
        <v>1</v>
      </c>
      <c r="AS7" s="38">
        <f t="shared" si="21"/>
        <v>0</v>
      </c>
      <c r="AT7" s="38">
        <f t="shared" ca="1" si="22"/>
        <v>122</v>
      </c>
      <c r="AU7" s="68">
        <f t="shared" si="23"/>
        <v>140</v>
      </c>
      <c r="BC7" s="38">
        <v>5</v>
      </c>
      <c r="BD7" s="43" t="s">
        <v>253</v>
      </c>
      <c r="BE7" s="38">
        <v>1</v>
      </c>
      <c r="BF7" s="38">
        <v>0</v>
      </c>
      <c r="BG7" s="38">
        <v>0</v>
      </c>
      <c r="BH7" s="38">
        <v>2</v>
      </c>
      <c r="BI7" s="38">
        <v>4</v>
      </c>
      <c r="BJ7" s="38">
        <v>6</v>
      </c>
      <c r="BK7" s="38">
        <v>8</v>
      </c>
      <c r="BL7" s="38">
        <v>10</v>
      </c>
      <c r="BM7" s="38">
        <v>12</v>
      </c>
      <c r="BN7" s="38">
        <v>14</v>
      </c>
      <c r="BO7" s="38">
        <v>16</v>
      </c>
      <c r="BP7" s="38">
        <v>18</v>
      </c>
      <c r="BQ7" s="38">
        <v>20</v>
      </c>
      <c r="BS7" t="str">
        <f t="shared" si="24"/>
        <v>104,1</v>
      </c>
      <c r="BT7" t="str">
        <f t="shared" si="25"/>
        <v/>
      </c>
      <c r="BU7" t="str">
        <f t="shared" si="26"/>
        <v/>
      </c>
      <c r="BV7" t="str">
        <f t="shared" si="27"/>
        <v>104,1</v>
      </c>
      <c r="BW7" t="str">
        <f t="shared" si="28"/>
        <v>2,4,6,8,10,12,14,16,18,20</v>
      </c>
    </row>
    <row r="8" spans="1:75" x14ac:dyDescent="0.25">
      <c r="A8" s="86" t="s">
        <v>253</v>
      </c>
      <c r="B8" s="14">
        <v>6</v>
      </c>
      <c r="C8" s="14">
        <f>关卡产出!C13</f>
        <v>6</v>
      </c>
      <c r="D8" s="14">
        <f>关卡产出!D13</f>
        <v>3</v>
      </c>
      <c r="E8" s="14">
        <f>关卡产出!E13</f>
        <v>1</v>
      </c>
      <c r="F8" s="14">
        <f>关卡产出!F13</f>
        <v>120</v>
      </c>
      <c r="G8" s="38">
        <f t="shared" si="7"/>
        <v>3</v>
      </c>
      <c r="H8" s="38">
        <f t="shared" si="8"/>
        <v>2</v>
      </c>
      <c r="I8" s="38">
        <f t="shared" si="9"/>
        <v>1</v>
      </c>
      <c r="J8" s="38">
        <f t="shared" si="10"/>
        <v>150</v>
      </c>
      <c r="K8" s="38">
        <f t="shared" ca="1" si="11"/>
        <v>124</v>
      </c>
      <c r="M8" s="38">
        <v>6</v>
      </c>
      <c r="N8" s="38">
        <v>18</v>
      </c>
      <c r="O8" s="38"/>
      <c r="P8" s="38"/>
      <c r="R8" s="113" t="s">
        <v>253</v>
      </c>
      <c r="S8" s="14">
        <v>6</v>
      </c>
      <c r="T8" s="14">
        <f>关卡对比!AE12</f>
        <v>2</v>
      </c>
      <c r="U8" s="109">
        <f>关卡对比!AF12</f>
        <v>1</v>
      </c>
      <c r="V8" s="70">
        <f t="shared" si="1"/>
        <v>1</v>
      </c>
      <c r="W8" s="38">
        <f t="shared" si="2"/>
        <v>0</v>
      </c>
      <c r="X8" s="68">
        <f t="shared" si="3"/>
        <v>0</v>
      </c>
      <c r="Y8" s="70">
        <f>IFERROR(($S8-5)/V8+1,0)</f>
        <v>2</v>
      </c>
      <c r="Z8" s="38">
        <f t="shared" si="13"/>
        <v>0</v>
      </c>
      <c r="AA8" s="68">
        <f t="shared" si="14"/>
        <v>0</v>
      </c>
      <c r="AB8" s="70">
        <f t="shared" si="15"/>
        <v>4</v>
      </c>
      <c r="AC8" s="38">
        <f t="shared" si="16"/>
        <v>1</v>
      </c>
      <c r="AD8" s="38">
        <f t="shared" si="17"/>
        <v>0</v>
      </c>
      <c r="AE8" s="38">
        <f t="shared" ca="1" si="18"/>
        <v>124</v>
      </c>
      <c r="AF8" s="68">
        <f t="shared" si="4"/>
        <v>140</v>
      </c>
      <c r="AG8" s="70">
        <v>0</v>
      </c>
      <c r="AH8" s="38">
        <v>0</v>
      </c>
      <c r="AI8" s="38">
        <v>0</v>
      </c>
      <c r="AJ8" s="38">
        <v>0</v>
      </c>
      <c r="AK8" s="68">
        <v>0</v>
      </c>
      <c r="AL8" s="70">
        <v>0</v>
      </c>
      <c r="AM8" s="38">
        <v>0</v>
      </c>
      <c r="AN8" s="38">
        <v>0</v>
      </c>
      <c r="AO8" s="38">
        <v>0</v>
      </c>
      <c r="AP8" s="68">
        <v>0</v>
      </c>
      <c r="AQ8" s="70">
        <f t="shared" si="19"/>
        <v>4</v>
      </c>
      <c r="AR8" s="38">
        <f t="shared" si="20"/>
        <v>1</v>
      </c>
      <c r="AS8" s="38">
        <f t="shared" si="21"/>
        <v>0</v>
      </c>
      <c r="AT8" s="38">
        <f t="shared" ca="1" si="22"/>
        <v>124</v>
      </c>
      <c r="AU8" s="68">
        <f t="shared" si="23"/>
        <v>140</v>
      </c>
      <c r="BC8" s="38">
        <v>6</v>
      </c>
      <c r="BD8" s="43" t="s">
        <v>253</v>
      </c>
      <c r="BE8" s="38">
        <v>0</v>
      </c>
      <c r="BF8" s="38">
        <v>1</v>
      </c>
      <c r="BG8" s="38">
        <v>0</v>
      </c>
      <c r="BH8" s="38">
        <v>3</v>
      </c>
      <c r="BI8" s="38">
        <v>6</v>
      </c>
      <c r="BJ8" s="38">
        <v>9</v>
      </c>
      <c r="BK8" s="38">
        <v>12</v>
      </c>
      <c r="BL8" s="38">
        <v>15</v>
      </c>
      <c r="BM8" s="38">
        <v>18</v>
      </c>
      <c r="BN8" s="38">
        <v>21</v>
      </c>
      <c r="BO8" s="38">
        <v>24</v>
      </c>
      <c r="BP8" s="38">
        <v>27</v>
      </c>
      <c r="BQ8" s="38">
        <v>30</v>
      </c>
      <c r="BS8" t="str">
        <f t="shared" si="24"/>
        <v/>
      </c>
      <c r="BT8" t="str">
        <f t="shared" si="25"/>
        <v>105,1</v>
      </c>
      <c r="BU8" t="str">
        <f t="shared" si="26"/>
        <v/>
      </c>
      <c r="BV8" t="str">
        <f t="shared" si="27"/>
        <v>105,1</v>
      </c>
      <c r="BW8" t="str">
        <f t="shared" si="28"/>
        <v>3,6,9,12,15,18,21,24,27,30</v>
      </c>
    </row>
    <row r="9" spans="1:75" x14ac:dyDescent="0.25">
      <c r="A9" s="86" t="s">
        <v>253</v>
      </c>
      <c r="B9" s="14">
        <v>7</v>
      </c>
      <c r="C9" s="14">
        <f>关卡产出!C14</f>
        <v>7</v>
      </c>
      <c r="D9" s="14">
        <f>关卡产出!D14</f>
        <v>3</v>
      </c>
      <c r="E9" s="14">
        <f>关卡产出!E14</f>
        <v>1</v>
      </c>
      <c r="F9" s="14">
        <f>关卡产出!F14</f>
        <v>130</v>
      </c>
      <c r="G9" s="38">
        <f t="shared" si="7"/>
        <v>4</v>
      </c>
      <c r="H9" s="38">
        <f t="shared" si="8"/>
        <v>2</v>
      </c>
      <c r="I9" s="38">
        <f t="shared" si="9"/>
        <v>1</v>
      </c>
      <c r="J9" s="38">
        <f t="shared" si="10"/>
        <v>163</v>
      </c>
      <c r="K9" s="38">
        <f ca="1">AT9</f>
        <v>128</v>
      </c>
      <c r="M9" s="38">
        <v>7</v>
      </c>
      <c r="N9" s="38">
        <v>21</v>
      </c>
      <c r="O9" s="38"/>
      <c r="P9" s="38"/>
      <c r="R9" s="113" t="s">
        <v>253</v>
      </c>
      <c r="S9" s="14">
        <v>7</v>
      </c>
      <c r="T9" s="14">
        <f>关卡对比!AE13</f>
        <v>2</v>
      </c>
      <c r="U9" s="109">
        <f>关卡对比!AF13</f>
        <v>1</v>
      </c>
      <c r="V9" s="70">
        <f t="shared" si="1"/>
        <v>2</v>
      </c>
      <c r="W9" s="38">
        <f t="shared" si="2"/>
        <v>0</v>
      </c>
      <c r="X9" s="68">
        <f t="shared" si="3"/>
        <v>0</v>
      </c>
      <c r="Y9" s="70">
        <f t="shared" ref="Y9:Y72" si="29">IFERROR(($S9-5)/V9+1,0)</f>
        <v>2</v>
      </c>
      <c r="Z9" s="38">
        <f t="shared" si="13"/>
        <v>0</v>
      </c>
      <c r="AA9" s="68">
        <f t="shared" si="14"/>
        <v>0</v>
      </c>
      <c r="AB9" s="70">
        <f t="shared" si="15"/>
        <v>5</v>
      </c>
      <c r="AC9" s="38">
        <f t="shared" si="16"/>
        <v>1</v>
      </c>
      <c r="AD9" s="38">
        <f t="shared" si="17"/>
        <v>0</v>
      </c>
      <c r="AE9" s="38">
        <f t="shared" ca="1" si="18"/>
        <v>128</v>
      </c>
      <c r="AF9" s="68">
        <f t="shared" si="4"/>
        <v>160</v>
      </c>
      <c r="AG9" s="70">
        <v>0</v>
      </c>
      <c r="AH9" s="38">
        <v>0</v>
      </c>
      <c r="AI9" s="38">
        <v>0</v>
      </c>
      <c r="AJ9" s="38">
        <v>0</v>
      </c>
      <c r="AK9" s="68">
        <v>0</v>
      </c>
      <c r="AL9" s="70">
        <v>0</v>
      </c>
      <c r="AM9" s="38">
        <v>0</v>
      </c>
      <c r="AN9" s="38">
        <v>0</v>
      </c>
      <c r="AO9" s="38">
        <v>0</v>
      </c>
      <c r="AP9" s="68">
        <v>0</v>
      </c>
      <c r="AQ9" s="70">
        <f t="shared" si="19"/>
        <v>5</v>
      </c>
      <c r="AR9" s="38">
        <f t="shared" si="20"/>
        <v>1</v>
      </c>
      <c r="AS9" s="38">
        <f t="shared" si="21"/>
        <v>0</v>
      </c>
      <c r="AT9" s="38">
        <f t="shared" ca="1" si="22"/>
        <v>128</v>
      </c>
      <c r="AU9" s="68">
        <f t="shared" si="23"/>
        <v>160</v>
      </c>
      <c r="BC9" s="38">
        <v>7</v>
      </c>
      <c r="BD9" s="43" t="s">
        <v>253</v>
      </c>
      <c r="BE9" s="38">
        <v>1</v>
      </c>
      <c r="BF9" s="38">
        <v>0</v>
      </c>
      <c r="BG9" s="38">
        <v>0</v>
      </c>
      <c r="BH9" s="38">
        <v>3</v>
      </c>
      <c r="BI9" s="38">
        <v>6</v>
      </c>
      <c r="BJ9" s="38">
        <v>9</v>
      </c>
      <c r="BK9" s="38">
        <v>12</v>
      </c>
      <c r="BL9" s="38">
        <v>15</v>
      </c>
      <c r="BM9" s="38">
        <v>18</v>
      </c>
      <c r="BN9" s="38">
        <v>21</v>
      </c>
      <c r="BO9" s="38">
        <v>24</v>
      </c>
      <c r="BP9" s="38">
        <v>27</v>
      </c>
      <c r="BQ9" s="38">
        <v>30</v>
      </c>
      <c r="BS9" t="str">
        <f t="shared" si="24"/>
        <v>104,1</v>
      </c>
      <c r="BT9" t="str">
        <f t="shared" si="25"/>
        <v/>
      </c>
      <c r="BU9" t="str">
        <f t="shared" si="26"/>
        <v/>
      </c>
      <c r="BV9" t="str">
        <f t="shared" si="27"/>
        <v>104,1</v>
      </c>
      <c r="BW9" t="str">
        <f t="shared" si="28"/>
        <v>3,6,9,12,15,18,21,24,27,30</v>
      </c>
    </row>
    <row r="10" spans="1:75" x14ac:dyDescent="0.25">
      <c r="A10" s="86" t="s">
        <v>253</v>
      </c>
      <c r="B10" s="14">
        <v>8</v>
      </c>
      <c r="C10" s="14">
        <f>关卡产出!C15</f>
        <v>7</v>
      </c>
      <c r="D10" s="14">
        <f>关卡产出!D15</f>
        <v>3</v>
      </c>
      <c r="E10" s="14">
        <f>关卡产出!E15</f>
        <v>1</v>
      </c>
      <c r="F10" s="14">
        <f>关卡产出!F15</f>
        <v>130</v>
      </c>
      <c r="G10" s="38">
        <f t="shared" si="7"/>
        <v>4</v>
      </c>
      <c r="H10" s="38">
        <f t="shared" si="8"/>
        <v>2</v>
      </c>
      <c r="I10" s="38">
        <f t="shared" si="9"/>
        <v>1</v>
      </c>
      <c r="J10" s="38">
        <f t="shared" si="10"/>
        <v>163</v>
      </c>
      <c r="K10" s="38">
        <f t="shared" ca="1" si="11"/>
        <v>128</v>
      </c>
      <c r="M10" s="38">
        <v>8</v>
      </c>
      <c r="N10" s="38">
        <v>24</v>
      </c>
      <c r="O10" s="38"/>
      <c r="P10" s="38"/>
      <c r="R10" s="113" t="s">
        <v>253</v>
      </c>
      <c r="S10" s="14">
        <v>8</v>
      </c>
      <c r="T10" s="14">
        <f>关卡对比!AE14</f>
        <v>4</v>
      </c>
      <c r="U10" s="109">
        <f>关卡对比!AF14</f>
        <v>1</v>
      </c>
      <c r="V10" s="70">
        <f t="shared" si="1"/>
        <v>2</v>
      </c>
      <c r="W10" s="38">
        <f t="shared" si="2"/>
        <v>0</v>
      </c>
      <c r="X10" s="68">
        <f t="shared" si="3"/>
        <v>0</v>
      </c>
      <c r="Y10" s="70">
        <f t="shared" si="29"/>
        <v>2.5</v>
      </c>
      <c r="Z10" s="38">
        <f t="shared" si="13"/>
        <v>0</v>
      </c>
      <c r="AA10" s="68">
        <f t="shared" si="14"/>
        <v>0</v>
      </c>
      <c r="AB10" s="70">
        <f t="shared" si="15"/>
        <v>5</v>
      </c>
      <c r="AC10" s="38">
        <f t="shared" si="16"/>
        <v>1</v>
      </c>
      <c r="AD10" s="38">
        <f t="shared" si="17"/>
        <v>0</v>
      </c>
      <c r="AE10" s="38">
        <f t="shared" ca="1" si="18"/>
        <v>128</v>
      </c>
      <c r="AF10" s="68">
        <f t="shared" si="4"/>
        <v>160</v>
      </c>
      <c r="AG10" s="70">
        <v>0</v>
      </c>
      <c r="AH10" s="38">
        <v>0</v>
      </c>
      <c r="AI10" s="38">
        <v>0</v>
      </c>
      <c r="AJ10" s="38">
        <v>0</v>
      </c>
      <c r="AK10" s="68">
        <v>0</v>
      </c>
      <c r="AL10" s="70">
        <v>0</v>
      </c>
      <c r="AM10" s="38">
        <v>0</v>
      </c>
      <c r="AN10" s="38">
        <v>0</v>
      </c>
      <c r="AO10" s="38">
        <v>0</v>
      </c>
      <c r="AP10" s="68">
        <v>0</v>
      </c>
      <c r="AQ10" s="70">
        <f t="shared" si="19"/>
        <v>5</v>
      </c>
      <c r="AR10" s="38">
        <f t="shared" si="20"/>
        <v>1</v>
      </c>
      <c r="AS10" s="38">
        <f t="shared" si="21"/>
        <v>0</v>
      </c>
      <c r="AT10" s="38">
        <f t="shared" ca="1" si="22"/>
        <v>128</v>
      </c>
      <c r="AU10" s="68">
        <f t="shared" si="23"/>
        <v>160</v>
      </c>
      <c r="BC10" s="38">
        <v>8</v>
      </c>
      <c r="BD10" s="43" t="s">
        <v>253</v>
      </c>
      <c r="BE10" s="38">
        <v>0</v>
      </c>
      <c r="BF10" s="38">
        <v>1</v>
      </c>
      <c r="BG10" s="38">
        <v>0</v>
      </c>
      <c r="BH10" s="38">
        <v>3</v>
      </c>
      <c r="BI10" s="38">
        <v>6</v>
      </c>
      <c r="BJ10" s="38">
        <v>9</v>
      </c>
      <c r="BK10" s="38">
        <v>12</v>
      </c>
      <c r="BL10" s="38">
        <v>15</v>
      </c>
      <c r="BM10" s="38">
        <v>18</v>
      </c>
      <c r="BN10" s="38">
        <v>21</v>
      </c>
      <c r="BO10" s="38">
        <v>24</v>
      </c>
      <c r="BP10" s="38">
        <v>27</v>
      </c>
      <c r="BQ10" s="38">
        <v>30</v>
      </c>
      <c r="BS10" t="str">
        <f t="shared" si="24"/>
        <v/>
      </c>
      <c r="BT10" t="str">
        <f t="shared" si="25"/>
        <v>105,1</v>
      </c>
      <c r="BU10" t="str">
        <f t="shared" si="26"/>
        <v/>
      </c>
      <c r="BV10" t="str">
        <f t="shared" si="27"/>
        <v>105,1</v>
      </c>
      <c r="BW10" t="str">
        <f t="shared" si="28"/>
        <v>3,6,9,12,15,18,21,24,27,30</v>
      </c>
    </row>
    <row r="11" spans="1:75" x14ac:dyDescent="0.25">
      <c r="A11" s="86" t="s">
        <v>253</v>
      </c>
      <c r="B11" s="14">
        <v>9</v>
      </c>
      <c r="C11" s="14">
        <f>关卡产出!C16</f>
        <v>8</v>
      </c>
      <c r="D11" s="14">
        <f>关卡产出!D16</f>
        <v>4</v>
      </c>
      <c r="E11" s="14">
        <f>关卡产出!E16</f>
        <v>1</v>
      </c>
      <c r="F11" s="14">
        <f>关卡产出!F16</f>
        <v>150</v>
      </c>
      <c r="G11" s="38">
        <f t="shared" si="7"/>
        <v>4</v>
      </c>
      <c r="H11" s="38">
        <f t="shared" si="8"/>
        <v>2</v>
      </c>
      <c r="I11" s="38">
        <f t="shared" si="9"/>
        <v>1</v>
      </c>
      <c r="J11" s="38">
        <f t="shared" si="10"/>
        <v>188</v>
      </c>
      <c r="K11" s="38">
        <f t="shared" ca="1" si="11"/>
        <v>132</v>
      </c>
      <c r="M11" s="38">
        <v>9</v>
      </c>
      <c r="N11" s="38">
        <v>27</v>
      </c>
      <c r="O11" s="38"/>
      <c r="P11" s="38"/>
      <c r="R11" s="113" t="s">
        <v>253</v>
      </c>
      <c r="S11" s="14">
        <v>9</v>
      </c>
      <c r="T11" s="14">
        <f>关卡对比!AE15</f>
        <v>4</v>
      </c>
      <c r="U11" s="109">
        <f>关卡对比!AF15</f>
        <v>2</v>
      </c>
      <c r="V11" s="70">
        <f t="shared" si="1"/>
        <v>3</v>
      </c>
      <c r="W11" s="38">
        <f t="shared" si="2"/>
        <v>0</v>
      </c>
      <c r="X11" s="68">
        <f t="shared" si="3"/>
        <v>0</v>
      </c>
      <c r="Y11" s="70">
        <f t="shared" si="29"/>
        <v>2.333333333333333</v>
      </c>
      <c r="Z11" s="38">
        <f t="shared" si="13"/>
        <v>0</v>
      </c>
      <c r="AA11" s="68">
        <f t="shared" si="14"/>
        <v>0</v>
      </c>
      <c r="AB11" s="70">
        <f t="shared" si="15"/>
        <v>5</v>
      </c>
      <c r="AC11" s="38">
        <f t="shared" si="16"/>
        <v>2</v>
      </c>
      <c r="AD11" s="38">
        <f t="shared" si="17"/>
        <v>0</v>
      </c>
      <c r="AE11" s="38">
        <f t="shared" ca="1" si="18"/>
        <v>132</v>
      </c>
      <c r="AF11" s="68">
        <f t="shared" si="4"/>
        <v>180</v>
      </c>
      <c r="AG11" s="70">
        <v>0</v>
      </c>
      <c r="AH11" s="38">
        <v>0</v>
      </c>
      <c r="AI11" s="38">
        <v>0</v>
      </c>
      <c r="AJ11" s="38">
        <v>0</v>
      </c>
      <c r="AK11" s="68">
        <v>0</v>
      </c>
      <c r="AL11" s="70">
        <v>0</v>
      </c>
      <c r="AM11" s="38">
        <v>0</v>
      </c>
      <c r="AN11" s="38">
        <v>0</v>
      </c>
      <c r="AO11" s="38">
        <v>0</v>
      </c>
      <c r="AP11" s="68">
        <v>0</v>
      </c>
      <c r="AQ11" s="70">
        <f t="shared" si="19"/>
        <v>5</v>
      </c>
      <c r="AR11" s="38">
        <f t="shared" si="20"/>
        <v>2</v>
      </c>
      <c r="AS11" s="38">
        <f t="shared" si="21"/>
        <v>0</v>
      </c>
      <c r="AT11" s="38">
        <f t="shared" ca="1" si="22"/>
        <v>132</v>
      </c>
      <c r="AU11" s="68">
        <f t="shared" si="23"/>
        <v>180</v>
      </c>
      <c r="BC11" s="38">
        <v>9</v>
      </c>
      <c r="BD11" s="43" t="s">
        <v>253</v>
      </c>
      <c r="BE11" s="38">
        <v>0</v>
      </c>
      <c r="BF11" s="38">
        <v>1</v>
      </c>
      <c r="BG11" s="38">
        <v>0</v>
      </c>
      <c r="BH11" s="38">
        <v>3</v>
      </c>
      <c r="BI11" s="38">
        <v>6</v>
      </c>
      <c r="BJ11" s="38">
        <v>9</v>
      </c>
      <c r="BK11" s="38">
        <v>12</v>
      </c>
      <c r="BL11" s="38">
        <v>15</v>
      </c>
      <c r="BM11" s="38">
        <v>18</v>
      </c>
      <c r="BN11" s="38">
        <v>21</v>
      </c>
      <c r="BO11" s="38">
        <v>24</v>
      </c>
      <c r="BP11" s="38">
        <v>27</v>
      </c>
      <c r="BQ11" s="38">
        <v>30</v>
      </c>
      <c r="BS11" t="str">
        <f t="shared" si="24"/>
        <v/>
      </c>
      <c r="BT11" t="str">
        <f t="shared" si="25"/>
        <v>105,1</v>
      </c>
      <c r="BU11" t="str">
        <f t="shared" si="26"/>
        <v/>
      </c>
      <c r="BV11" t="str">
        <f t="shared" si="27"/>
        <v>105,1</v>
      </c>
      <c r="BW11" t="str">
        <f t="shared" si="28"/>
        <v>3,6,9,12,15,18,21,24,27,30</v>
      </c>
    </row>
    <row r="12" spans="1:75" x14ac:dyDescent="0.25">
      <c r="A12" s="86" t="s">
        <v>253</v>
      </c>
      <c r="B12" s="14">
        <v>10</v>
      </c>
      <c r="C12" s="14">
        <f>关卡产出!C17</f>
        <v>8</v>
      </c>
      <c r="D12" s="14">
        <f>关卡产出!D17</f>
        <v>4</v>
      </c>
      <c r="E12" s="14">
        <f>关卡产出!E17</f>
        <v>1</v>
      </c>
      <c r="F12" s="14">
        <f>关卡产出!F17</f>
        <v>150</v>
      </c>
      <c r="G12" s="38">
        <f t="shared" si="7"/>
        <v>4</v>
      </c>
      <c r="H12" s="38">
        <f t="shared" si="8"/>
        <v>2</v>
      </c>
      <c r="I12" s="38">
        <f t="shared" si="9"/>
        <v>1</v>
      </c>
      <c r="J12" s="38">
        <f t="shared" si="10"/>
        <v>188</v>
      </c>
      <c r="K12" s="38">
        <f t="shared" ca="1" si="11"/>
        <v>256</v>
      </c>
      <c r="M12" s="38">
        <v>10</v>
      </c>
      <c r="N12" s="38">
        <v>30</v>
      </c>
      <c r="O12" s="38"/>
      <c r="P12" s="38"/>
      <c r="R12" s="113" t="s">
        <v>253</v>
      </c>
      <c r="S12" s="14">
        <v>10</v>
      </c>
      <c r="T12" s="14">
        <f>关卡对比!AE16</f>
        <v>5</v>
      </c>
      <c r="U12" s="109">
        <f>关卡对比!AF16</f>
        <v>2</v>
      </c>
      <c r="V12" s="70">
        <f t="shared" si="1"/>
        <v>3</v>
      </c>
      <c r="W12" s="38">
        <f t="shared" si="2"/>
        <v>11</v>
      </c>
      <c r="X12" s="68">
        <f t="shared" si="3"/>
        <v>0</v>
      </c>
      <c r="Y12" s="70">
        <f t="shared" si="29"/>
        <v>2.666666666666667</v>
      </c>
      <c r="Z12" s="38">
        <f t="shared" si="13"/>
        <v>1</v>
      </c>
      <c r="AA12" s="68">
        <f t="shared" si="14"/>
        <v>0</v>
      </c>
      <c r="AB12" s="70">
        <f t="shared" si="15"/>
        <v>5</v>
      </c>
      <c r="AC12" s="38">
        <f t="shared" si="16"/>
        <v>2</v>
      </c>
      <c r="AD12" s="38">
        <f t="shared" si="17"/>
        <v>0</v>
      </c>
      <c r="AE12" s="38">
        <f t="shared" ca="1" si="18"/>
        <v>132</v>
      </c>
      <c r="AF12" s="68">
        <f t="shared" si="4"/>
        <v>180</v>
      </c>
      <c r="AG12" s="70">
        <f t="shared" ref="AG12:AG43" si="30">AX$4+SUMIFS(BE:BE,$BC:$BC,"&lt;="&amp;$W12,$BC:$BC,"&gt;"&amp;10)</f>
        <v>4</v>
      </c>
      <c r="AH12" s="38">
        <f t="shared" ref="AH12:AH43" si="31">AY$4+SUMIFS(BF:BF,$BC:$BC,"&lt;="&amp;$W12,$BC:$BC,"&gt;"&amp;10)</f>
        <v>1</v>
      </c>
      <c r="AI12" s="38">
        <f t="shared" ref="AI12:AI43" si="32">AZ$4+SUMIFS(BG:BG,$BC:$BC,"&lt;="&amp;$W12,$BC:$BC,"&gt;"&amp;10)</f>
        <v>0</v>
      </c>
      <c r="AJ12" s="38">
        <f t="shared" ref="AJ12:AJ43" ca="1" si="33">$BA$4+_xlfn.IFNA(SUM(OFFSET($BG$12,1,MATCH(Z12,$BH$2:$BQ$2,1),MATCH(W12,$BC$13:$BC$32,0),1)),0)</f>
        <v>124</v>
      </c>
      <c r="AK12" s="68">
        <f t="shared" ref="AK12:AK43" si="34">$BA$4+SUMIFS($BQ:$BQ,$BC:$BC,"&lt;="&amp;W12,$BC:$BC,"&gt;"&amp;10)</f>
        <v>160</v>
      </c>
      <c r="AL12" s="70">
        <v>0</v>
      </c>
      <c r="AM12" s="38">
        <v>0</v>
      </c>
      <c r="AN12" s="38">
        <v>0</v>
      </c>
      <c r="AO12" s="38">
        <v>0</v>
      </c>
      <c r="AP12" s="68">
        <v>0</v>
      </c>
      <c r="AQ12" s="70">
        <f t="shared" si="19"/>
        <v>9</v>
      </c>
      <c r="AR12" s="38">
        <f t="shared" si="20"/>
        <v>3</v>
      </c>
      <c r="AS12" s="38">
        <f t="shared" si="21"/>
        <v>0</v>
      </c>
      <c r="AT12" s="38">
        <f t="shared" ca="1" si="22"/>
        <v>256</v>
      </c>
      <c r="AU12" s="68">
        <f t="shared" si="23"/>
        <v>340</v>
      </c>
      <c r="AX12" s="44"/>
      <c r="BC12" s="38">
        <v>10</v>
      </c>
      <c r="BD12" s="43" t="s">
        <v>253</v>
      </c>
      <c r="BE12" s="38">
        <v>0</v>
      </c>
      <c r="BF12" s="38">
        <v>0</v>
      </c>
      <c r="BG12" s="38">
        <v>1</v>
      </c>
      <c r="BH12" s="38">
        <v>3</v>
      </c>
      <c r="BI12" s="38">
        <v>6</v>
      </c>
      <c r="BJ12" s="38">
        <v>9</v>
      </c>
      <c r="BK12" s="38">
        <v>12</v>
      </c>
      <c r="BL12" s="38">
        <v>15</v>
      </c>
      <c r="BM12" s="38">
        <v>18</v>
      </c>
      <c r="BN12" s="38">
        <v>21</v>
      </c>
      <c r="BO12" s="38">
        <v>24</v>
      </c>
      <c r="BP12" s="38">
        <v>27</v>
      </c>
      <c r="BQ12" s="38">
        <v>30</v>
      </c>
      <c r="BS12" t="str">
        <f t="shared" si="24"/>
        <v/>
      </c>
      <c r="BT12" t="str">
        <f t="shared" si="25"/>
        <v/>
      </c>
      <c r="BU12" t="str">
        <f t="shared" si="26"/>
        <v>106,1</v>
      </c>
      <c r="BV12" t="str">
        <f t="shared" si="27"/>
        <v>106,1</v>
      </c>
      <c r="BW12" t="str">
        <f t="shared" si="28"/>
        <v>3,6,9,12,15,18,21,24,27,30</v>
      </c>
    </row>
    <row r="13" spans="1:75" x14ac:dyDescent="0.25">
      <c r="A13" s="86" t="s">
        <v>253</v>
      </c>
      <c r="B13" s="14">
        <v>11</v>
      </c>
      <c r="C13" s="14">
        <f>关卡产出!C18</f>
        <v>9</v>
      </c>
      <c r="D13" s="14">
        <f>关卡产出!D18</f>
        <v>4</v>
      </c>
      <c r="E13" s="14">
        <f>关卡产出!E18</f>
        <v>1</v>
      </c>
      <c r="F13" s="14">
        <f>关卡产出!F18</f>
        <v>170</v>
      </c>
      <c r="G13" s="38">
        <f t="shared" si="7"/>
        <v>5</v>
      </c>
      <c r="H13" s="38">
        <f t="shared" si="8"/>
        <v>2</v>
      </c>
      <c r="I13" s="38">
        <f t="shared" si="9"/>
        <v>1</v>
      </c>
      <c r="J13" s="38">
        <f t="shared" si="10"/>
        <v>213</v>
      </c>
      <c r="K13" s="38">
        <f t="shared" ca="1" si="11"/>
        <v>266</v>
      </c>
      <c r="M13" s="38">
        <v>11</v>
      </c>
      <c r="N13" s="38"/>
      <c r="O13" s="38">
        <v>5</v>
      </c>
      <c r="P13" s="38"/>
      <c r="R13" s="113" t="s">
        <v>253</v>
      </c>
      <c r="S13" s="14">
        <v>11</v>
      </c>
      <c r="T13" s="14">
        <f>关卡对比!AE17</f>
        <v>6</v>
      </c>
      <c r="U13" s="109">
        <f>关卡对比!AF17</f>
        <v>4</v>
      </c>
      <c r="V13" s="70">
        <f t="shared" si="1"/>
        <v>3</v>
      </c>
      <c r="W13" s="38">
        <f t="shared" si="2"/>
        <v>11</v>
      </c>
      <c r="X13" s="68">
        <f t="shared" si="3"/>
        <v>0</v>
      </c>
      <c r="Y13" s="70">
        <f t="shared" si="29"/>
        <v>3</v>
      </c>
      <c r="Z13" s="38">
        <f t="shared" si="13"/>
        <v>2</v>
      </c>
      <c r="AA13" s="68">
        <f t="shared" si="14"/>
        <v>0</v>
      </c>
      <c r="AB13" s="70">
        <f t="shared" si="15"/>
        <v>5</v>
      </c>
      <c r="AC13" s="38">
        <f t="shared" si="16"/>
        <v>2</v>
      </c>
      <c r="AD13" s="38">
        <f t="shared" si="17"/>
        <v>0</v>
      </c>
      <c r="AE13" s="38">
        <f t="shared" ca="1" si="18"/>
        <v>138</v>
      </c>
      <c r="AF13" s="68">
        <f t="shared" si="4"/>
        <v>180</v>
      </c>
      <c r="AG13" s="70">
        <f t="shared" si="30"/>
        <v>4</v>
      </c>
      <c r="AH13" s="38">
        <f t="shared" si="31"/>
        <v>1</v>
      </c>
      <c r="AI13" s="38">
        <f t="shared" si="32"/>
        <v>0</v>
      </c>
      <c r="AJ13" s="38">
        <f t="shared" ca="1" si="33"/>
        <v>128</v>
      </c>
      <c r="AK13" s="68">
        <f t="shared" si="34"/>
        <v>160</v>
      </c>
      <c r="AL13" s="70">
        <v>0</v>
      </c>
      <c r="AM13" s="38">
        <v>0</v>
      </c>
      <c r="AN13" s="38">
        <v>0</v>
      </c>
      <c r="AO13" s="38">
        <v>0</v>
      </c>
      <c r="AP13" s="68">
        <v>0</v>
      </c>
      <c r="AQ13" s="70">
        <f t="shared" si="19"/>
        <v>9</v>
      </c>
      <c r="AR13" s="38">
        <f t="shared" si="20"/>
        <v>3</v>
      </c>
      <c r="AS13" s="38">
        <f t="shared" si="21"/>
        <v>0</v>
      </c>
      <c r="AT13" s="38">
        <f t="shared" ca="1" si="22"/>
        <v>266</v>
      </c>
      <c r="AU13" s="68">
        <f t="shared" si="23"/>
        <v>340</v>
      </c>
      <c r="BC13" s="38">
        <v>11</v>
      </c>
      <c r="BD13" s="43" t="s">
        <v>254</v>
      </c>
      <c r="BE13" s="38">
        <v>1</v>
      </c>
      <c r="BF13" s="38">
        <v>0</v>
      </c>
      <c r="BG13" s="38">
        <v>0</v>
      </c>
      <c r="BH13" s="38">
        <v>4</v>
      </c>
      <c r="BI13" s="38">
        <v>8</v>
      </c>
      <c r="BJ13" s="38">
        <v>12</v>
      </c>
      <c r="BK13" s="38">
        <v>16</v>
      </c>
      <c r="BL13" s="38">
        <v>20</v>
      </c>
      <c r="BM13" s="38">
        <v>24</v>
      </c>
      <c r="BN13" s="38">
        <v>28</v>
      </c>
      <c r="BO13" s="38">
        <v>32</v>
      </c>
      <c r="BP13" s="38">
        <v>36</v>
      </c>
      <c r="BQ13" s="38">
        <v>40</v>
      </c>
      <c r="BS13" t="str">
        <f t="shared" si="24"/>
        <v>104,1</v>
      </c>
      <c r="BT13" t="str">
        <f t="shared" si="25"/>
        <v/>
      </c>
      <c r="BU13" t="str">
        <f t="shared" si="26"/>
        <v/>
      </c>
      <c r="BV13" t="str">
        <f t="shared" si="27"/>
        <v>104,1</v>
      </c>
      <c r="BW13" t="str">
        <f t="shared" si="28"/>
        <v>4,8,12,16,20,24,28,32,36,40</v>
      </c>
    </row>
    <row r="14" spans="1:75" x14ac:dyDescent="0.25">
      <c r="A14" s="86" t="s">
        <v>253</v>
      </c>
      <c r="B14" s="14">
        <v>12</v>
      </c>
      <c r="C14" s="14">
        <f>关卡产出!C19</f>
        <v>9</v>
      </c>
      <c r="D14" s="14">
        <f>关卡产出!D19</f>
        <v>4</v>
      </c>
      <c r="E14" s="14">
        <f>关卡产出!E19</f>
        <v>1</v>
      </c>
      <c r="F14" s="14">
        <f>关卡产出!F19</f>
        <v>170</v>
      </c>
      <c r="G14" s="38">
        <f t="shared" si="7"/>
        <v>5</v>
      </c>
      <c r="H14" s="38">
        <f t="shared" si="8"/>
        <v>2</v>
      </c>
      <c r="I14" s="38">
        <f t="shared" si="9"/>
        <v>1</v>
      </c>
      <c r="J14" s="38">
        <f t="shared" si="10"/>
        <v>213</v>
      </c>
      <c r="K14" s="38">
        <f t="shared" ca="1" si="11"/>
        <v>264</v>
      </c>
      <c r="M14" s="38">
        <v>12</v>
      </c>
      <c r="N14" s="38"/>
      <c r="O14" s="38">
        <v>10</v>
      </c>
      <c r="P14" s="38"/>
      <c r="R14" s="113" t="s">
        <v>253</v>
      </c>
      <c r="S14" s="14">
        <v>12</v>
      </c>
      <c r="T14" s="14">
        <f>关卡对比!AE18</f>
        <v>6</v>
      </c>
      <c r="U14" s="109">
        <f>关卡对比!AF18</f>
        <v>4</v>
      </c>
      <c r="V14" s="70">
        <f t="shared" si="1"/>
        <v>4</v>
      </c>
      <c r="W14" s="38">
        <f t="shared" si="2"/>
        <v>11</v>
      </c>
      <c r="X14" s="68">
        <f t="shared" si="3"/>
        <v>0</v>
      </c>
      <c r="Y14" s="70">
        <f t="shared" si="29"/>
        <v>2.75</v>
      </c>
      <c r="Z14" s="38">
        <f t="shared" si="13"/>
        <v>2</v>
      </c>
      <c r="AA14" s="68">
        <f t="shared" si="14"/>
        <v>0</v>
      </c>
      <c r="AB14" s="70">
        <f t="shared" si="15"/>
        <v>5</v>
      </c>
      <c r="AC14" s="38">
        <f t="shared" si="16"/>
        <v>2</v>
      </c>
      <c r="AD14" s="38">
        <f t="shared" si="17"/>
        <v>1</v>
      </c>
      <c r="AE14" s="38">
        <f t="shared" ca="1" si="18"/>
        <v>136</v>
      </c>
      <c r="AF14" s="68">
        <f t="shared" si="4"/>
        <v>200</v>
      </c>
      <c r="AG14" s="70">
        <f t="shared" si="30"/>
        <v>4</v>
      </c>
      <c r="AH14" s="38">
        <f t="shared" si="31"/>
        <v>1</v>
      </c>
      <c r="AI14" s="38">
        <f t="shared" si="32"/>
        <v>0</v>
      </c>
      <c r="AJ14" s="38">
        <f t="shared" ca="1" si="33"/>
        <v>128</v>
      </c>
      <c r="AK14" s="68">
        <f t="shared" si="34"/>
        <v>160</v>
      </c>
      <c r="AL14" s="70">
        <v>0</v>
      </c>
      <c r="AM14" s="38">
        <v>0</v>
      </c>
      <c r="AN14" s="38">
        <v>0</v>
      </c>
      <c r="AO14" s="38">
        <v>0</v>
      </c>
      <c r="AP14" s="68">
        <v>0</v>
      </c>
      <c r="AQ14" s="70">
        <f t="shared" si="19"/>
        <v>9</v>
      </c>
      <c r="AR14" s="38">
        <f t="shared" si="20"/>
        <v>3</v>
      </c>
      <c r="AS14" s="38">
        <f t="shared" si="21"/>
        <v>1</v>
      </c>
      <c r="AT14" s="38">
        <f t="shared" ca="1" si="22"/>
        <v>264</v>
      </c>
      <c r="AU14" s="68">
        <f t="shared" si="23"/>
        <v>360</v>
      </c>
      <c r="BC14" s="38">
        <v>12</v>
      </c>
      <c r="BD14" s="43" t="s">
        <v>254</v>
      </c>
      <c r="BE14" s="38">
        <v>1</v>
      </c>
      <c r="BF14" s="38">
        <v>0</v>
      </c>
      <c r="BG14" s="38">
        <v>0</v>
      </c>
      <c r="BH14" s="38">
        <v>4</v>
      </c>
      <c r="BI14" s="38">
        <v>8</v>
      </c>
      <c r="BJ14" s="38">
        <v>12</v>
      </c>
      <c r="BK14" s="38">
        <v>16</v>
      </c>
      <c r="BL14" s="38">
        <v>20</v>
      </c>
      <c r="BM14" s="38">
        <v>24</v>
      </c>
      <c r="BN14" s="38">
        <v>28</v>
      </c>
      <c r="BO14" s="38">
        <v>32</v>
      </c>
      <c r="BP14" s="38">
        <v>36</v>
      </c>
      <c r="BQ14" s="38">
        <v>40</v>
      </c>
      <c r="BS14" t="str">
        <f t="shared" si="24"/>
        <v>104,1</v>
      </c>
      <c r="BT14" t="str">
        <f t="shared" si="25"/>
        <v/>
      </c>
      <c r="BU14" t="str">
        <f t="shared" si="26"/>
        <v/>
      </c>
      <c r="BV14" t="str">
        <f t="shared" si="27"/>
        <v>104,1</v>
      </c>
      <c r="BW14" t="str">
        <f t="shared" si="28"/>
        <v>4,8,12,16,20,24,28,32,36,40</v>
      </c>
    </row>
    <row r="15" spans="1:75" x14ac:dyDescent="0.25">
      <c r="A15" s="86" t="s">
        <v>253</v>
      </c>
      <c r="B15" s="14">
        <v>13</v>
      </c>
      <c r="C15" s="14">
        <f>关卡产出!C20</f>
        <v>10</v>
      </c>
      <c r="D15" s="14">
        <f>关卡产出!D20</f>
        <v>5</v>
      </c>
      <c r="E15" s="14">
        <f>关卡产出!E20</f>
        <v>1</v>
      </c>
      <c r="F15" s="14">
        <f>关卡产出!F20</f>
        <v>190</v>
      </c>
      <c r="G15" s="38">
        <f t="shared" si="7"/>
        <v>5</v>
      </c>
      <c r="H15" s="38">
        <f t="shared" si="8"/>
        <v>3</v>
      </c>
      <c r="I15" s="38">
        <f t="shared" si="9"/>
        <v>1</v>
      </c>
      <c r="J15" s="38">
        <f t="shared" si="10"/>
        <v>238</v>
      </c>
      <c r="K15" s="38">
        <f t="shared" ca="1" si="11"/>
        <v>276</v>
      </c>
      <c r="M15" s="38">
        <v>13</v>
      </c>
      <c r="N15" s="38"/>
      <c r="O15" s="38">
        <v>15</v>
      </c>
      <c r="P15" s="38"/>
      <c r="R15" s="113" t="s">
        <v>253</v>
      </c>
      <c r="S15" s="14">
        <v>13</v>
      </c>
      <c r="T15" s="14">
        <f>关卡对比!AE19</f>
        <v>7</v>
      </c>
      <c r="U15" s="109">
        <f>关卡对比!AF19</f>
        <v>4</v>
      </c>
      <c r="V15" s="70">
        <f t="shared" si="1"/>
        <v>4</v>
      </c>
      <c r="W15" s="38">
        <f t="shared" si="2"/>
        <v>11</v>
      </c>
      <c r="X15" s="68">
        <f t="shared" si="3"/>
        <v>0</v>
      </c>
      <c r="Y15" s="70">
        <f t="shared" si="29"/>
        <v>3</v>
      </c>
      <c r="Z15" s="38">
        <f t="shared" si="13"/>
        <v>3</v>
      </c>
      <c r="AA15" s="68">
        <f t="shared" si="14"/>
        <v>0</v>
      </c>
      <c r="AB15" s="70">
        <f t="shared" si="15"/>
        <v>5</v>
      </c>
      <c r="AC15" s="38">
        <f t="shared" si="16"/>
        <v>2</v>
      </c>
      <c r="AD15" s="38">
        <f t="shared" si="17"/>
        <v>1</v>
      </c>
      <c r="AE15" s="38">
        <f t="shared" ca="1" si="18"/>
        <v>144</v>
      </c>
      <c r="AF15" s="68">
        <f t="shared" si="4"/>
        <v>200</v>
      </c>
      <c r="AG15" s="70">
        <f t="shared" si="30"/>
        <v>4</v>
      </c>
      <c r="AH15" s="38">
        <f t="shared" si="31"/>
        <v>1</v>
      </c>
      <c r="AI15" s="38">
        <f t="shared" si="32"/>
        <v>0</v>
      </c>
      <c r="AJ15" s="38">
        <f t="shared" ca="1" si="33"/>
        <v>132</v>
      </c>
      <c r="AK15" s="68">
        <f t="shared" si="34"/>
        <v>160</v>
      </c>
      <c r="AL15" s="70">
        <v>0</v>
      </c>
      <c r="AM15" s="38">
        <v>0</v>
      </c>
      <c r="AN15" s="38">
        <v>0</v>
      </c>
      <c r="AO15" s="38">
        <v>0</v>
      </c>
      <c r="AP15" s="68">
        <v>0</v>
      </c>
      <c r="AQ15" s="70">
        <f t="shared" si="19"/>
        <v>9</v>
      </c>
      <c r="AR15" s="38">
        <f t="shared" si="20"/>
        <v>3</v>
      </c>
      <c r="AS15" s="38">
        <f t="shared" si="21"/>
        <v>1</v>
      </c>
      <c r="AT15" s="38">
        <f t="shared" ca="1" si="22"/>
        <v>276</v>
      </c>
      <c r="AU15" s="68">
        <f t="shared" si="23"/>
        <v>360</v>
      </c>
      <c r="BC15" s="38">
        <v>13</v>
      </c>
      <c r="BD15" s="43" t="s">
        <v>254</v>
      </c>
      <c r="BE15" s="38">
        <v>0</v>
      </c>
      <c r="BF15" s="38">
        <v>1</v>
      </c>
      <c r="BG15" s="38">
        <v>0</v>
      </c>
      <c r="BH15" s="38">
        <v>4</v>
      </c>
      <c r="BI15" s="38">
        <v>8</v>
      </c>
      <c r="BJ15" s="38">
        <v>12</v>
      </c>
      <c r="BK15" s="38">
        <v>16</v>
      </c>
      <c r="BL15" s="38">
        <v>20</v>
      </c>
      <c r="BM15" s="38">
        <v>24</v>
      </c>
      <c r="BN15" s="38">
        <v>28</v>
      </c>
      <c r="BO15" s="38">
        <v>32</v>
      </c>
      <c r="BP15" s="38">
        <v>36</v>
      </c>
      <c r="BQ15" s="38">
        <v>40</v>
      </c>
      <c r="BS15" t="str">
        <f t="shared" si="24"/>
        <v/>
      </c>
      <c r="BT15" t="str">
        <f t="shared" si="25"/>
        <v>105,1</v>
      </c>
      <c r="BU15" t="str">
        <f t="shared" si="26"/>
        <v/>
      </c>
      <c r="BV15" t="str">
        <f t="shared" si="27"/>
        <v>105,1</v>
      </c>
      <c r="BW15" t="str">
        <f t="shared" si="28"/>
        <v>4,8,12,16,20,24,28,32,36,40</v>
      </c>
    </row>
    <row r="16" spans="1:75" x14ac:dyDescent="0.25">
      <c r="A16" s="86" t="s">
        <v>253</v>
      </c>
      <c r="B16" s="14">
        <v>14</v>
      </c>
      <c r="C16" s="14">
        <f>关卡产出!C21</f>
        <v>10</v>
      </c>
      <c r="D16" s="14">
        <f>关卡产出!D21</f>
        <v>5</v>
      </c>
      <c r="E16" s="14">
        <f>关卡产出!E21</f>
        <v>1</v>
      </c>
      <c r="F16" s="14">
        <f>关卡产出!F21</f>
        <v>190</v>
      </c>
      <c r="G16" s="38">
        <f t="shared" si="7"/>
        <v>5</v>
      </c>
      <c r="H16" s="38">
        <f t="shared" si="8"/>
        <v>3</v>
      </c>
      <c r="I16" s="38">
        <f t="shared" si="9"/>
        <v>1</v>
      </c>
      <c r="J16" s="38">
        <f t="shared" si="10"/>
        <v>238</v>
      </c>
      <c r="K16" s="38">
        <f t="shared" ca="1" si="11"/>
        <v>402</v>
      </c>
      <c r="M16" s="38">
        <v>14</v>
      </c>
      <c r="N16" s="38"/>
      <c r="O16" s="38">
        <v>20</v>
      </c>
      <c r="P16" s="38"/>
      <c r="R16" s="113" t="s">
        <v>253</v>
      </c>
      <c r="S16" s="14">
        <v>14</v>
      </c>
      <c r="T16" s="14">
        <f>关卡对比!AE20</f>
        <v>7</v>
      </c>
      <c r="U16" s="109">
        <f>关卡对比!AF20</f>
        <v>5</v>
      </c>
      <c r="V16" s="70">
        <f t="shared" si="1"/>
        <v>4</v>
      </c>
      <c r="W16" s="38">
        <f t="shared" si="2"/>
        <v>11</v>
      </c>
      <c r="X16" s="68">
        <f t="shared" si="3"/>
        <v>21</v>
      </c>
      <c r="Y16" s="70">
        <f t="shared" si="29"/>
        <v>3.25</v>
      </c>
      <c r="Z16" s="38">
        <f t="shared" si="13"/>
        <v>3</v>
      </c>
      <c r="AA16" s="68">
        <f t="shared" si="14"/>
        <v>1</v>
      </c>
      <c r="AB16" s="70">
        <f t="shared" si="15"/>
        <v>5</v>
      </c>
      <c r="AC16" s="38">
        <f t="shared" si="16"/>
        <v>2</v>
      </c>
      <c r="AD16" s="38">
        <f t="shared" si="17"/>
        <v>1</v>
      </c>
      <c r="AE16" s="38">
        <f t="shared" ca="1" si="18"/>
        <v>144</v>
      </c>
      <c r="AF16" s="68">
        <f t="shared" si="4"/>
        <v>200</v>
      </c>
      <c r="AG16" s="70">
        <f t="shared" si="30"/>
        <v>4</v>
      </c>
      <c r="AH16" s="38">
        <f t="shared" si="31"/>
        <v>1</v>
      </c>
      <c r="AI16" s="38">
        <f t="shared" si="32"/>
        <v>0</v>
      </c>
      <c r="AJ16" s="38">
        <f t="shared" ca="1" si="33"/>
        <v>132</v>
      </c>
      <c r="AK16" s="68">
        <f t="shared" si="34"/>
        <v>160</v>
      </c>
      <c r="AL16" s="38">
        <f t="shared" ref="AL16:AL47" si="35">AX$5+SUMIFS(BE:BE,$BC:$BC,"&lt;="&amp;$X16,$BC:$BC,"&gt;"&amp;20)</f>
        <v>4</v>
      </c>
      <c r="AM16" s="38">
        <f t="shared" ref="AM16:AM47" si="36">AY$5+SUMIFS(BF:BF,$BC:$BC,"&lt;="&amp;$X16,$BC:$BC,"&gt;"&amp;20)</f>
        <v>1</v>
      </c>
      <c r="AN16" s="38">
        <f t="shared" ref="AN16:AN47" si="37">AZ$5+SUMIFS(BG:BG,$BC:$BC,"&lt;="&amp;$X16,$BC:$BC,"&gt;"&amp;20)</f>
        <v>0</v>
      </c>
      <c r="AO16" s="38">
        <f t="shared" ref="AO16:AO47" ca="1" si="38">$BA$5+_xlfn.IFNA(SUM(OFFSET($BG$22,1,MATCH(AA16,$BH$2:$BQ$2,1),MATCH(X16,$BC$23:$BC$32,0),1)),0)</f>
        <v>126</v>
      </c>
      <c r="AP16" s="68">
        <f t="shared" ref="AP16:AP47" si="39">$BA$5+SUMIFS($BQ:$BQ,$BC:$BC,"&lt;="&amp;X16,$BC:$BC,"&gt;"&amp;20)</f>
        <v>180</v>
      </c>
      <c r="AQ16" s="38">
        <f t="shared" si="19"/>
        <v>13</v>
      </c>
      <c r="AR16" s="38">
        <f t="shared" si="20"/>
        <v>4</v>
      </c>
      <c r="AS16" s="38">
        <f t="shared" si="21"/>
        <v>1</v>
      </c>
      <c r="AT16" s="38">
        <f t="shared" ca="1" si="22"/>
        <v>402</v>
      </c>
      <c r="AU16" s="68">
        <f t="shared" si="23"/>
        <v>540</v>
      </c>
      <c r="BC16" s="38">
        <v>14</v>
      </c>
      <c r="BD16" s="43" t="s">
        <v>254</v>
      </c>
      <c r="BE16" s="38">
        <v>0</v>
      </c>
      <c r="BF16" s="38">
        <v>0</v>
      </c>
      <c r="BG16" s="38">
        <v>1</v>
      </c>
      <c r="BH16" s="38">
        <v>4</v>
      </c>
      <c r="BI16" s="38">
        <v>8</v>
      </c>
      <c r="BJ16" s="38">
        <v>12</v>
      </c>
      <c r="BK16" s="38">
        <v>16</v>
      </c>
      <c r="BL16" s="38">
        <v>20</v>
      </c>
      <c r="BM16" s="38">
        <v>24</v>
      </c>
      <c r="BN16" s="38">
        <v>28</v>
      </c>
      <c r="BO16" s="38">
        <v>32</v>
      </c>
      <c r="BP16" s="38">
        <v>36</v>
      </c>
      <c r="BQ16" s="38">
        <v>40</v>
      </c>
      <c r="BS16" t="str">
        <f t="shared" si="24"/>
        <v/>
      </c>
      <c r="BT16" t="str">
        <f t="shared" si="25"/>
        <v/>
      </c>
      <c r="BU16" t="str">
        <f t="shared" si="26"/>
        <v>106,1</v>
      </c>
      <c r="BV16" t="str">
        <f t="shared" si="27"/>
        <v>106,1</v>
      </c>
      <c r="BW16" t="str">
        <f t="shared" si="28"/>
        <v>4,8,12,16,20,24,28,32,36,40</v>
      </c>
    </row>
    <row r="17" spans="1:75" x14ac:dyDescent="0.25">
      <c r="A17" s="86" t="s">
        <v>253</v>
      </c>
      <c r="B17" s="14">
        <v>15</v>
      </c>
      <c r="C17" s="14">
        <f>关卡产出!C22</f>
        <v>11</v>
      </c>
      <c r="D17" s="14">
        <f>关卡产出!D22</f>
        <v>5</v>
      </c>
      <c r="E17" s="14">
        <f>关卡产出!E22</f>
        <v>1</v>
      </c>
      <c r="F17" s="14">
        <f>关卡产出!F22</f>
        <v>210</v>
      </c>
      <c r="G17" s="38">
        <f t="shared" si="7"/>
        <v>6</v>
      </c>
      <c r="H17" s="38">
        <f t="shared" si="8"/>
        <v>3</v>
      </c>
      <c r="I17" s="38">
        <f t="shared" si="9"/>
        <v>1</v>
      </c>
      <c r="J17" s="38">
        <f t="shared" si="10"/>
        <v>263</v>
      </c>
      <c r="K17" s="38">
        <f t="shared" ca="1" si="11"/>
        <v>422</v>
      </c>
      <c r="M17" s="38">
        <v>15</v>
      </c>
      <c r="N17" s="38"/>
      <c r="O17" s="38">
        <v>25</v>
      </c>
      <c r="P17" s="38"/>
      <c r="R17" s="113" t="s">
        <v>253</v>
      </c>
      <c r="S17" s="14">
        <v>15</v>
      </c>
      <c r="T17" s="14">
        <f>关卡对比!AE21</f>
        <v>9</v>
      </c>
      <c r="U17" s="109">
        <f>关卡对比!AF21</f>
        <v>6</v>
      </c>
      <c r="V17" s="70">
        <f t="shared" si="1"/>
        <v>5</v>
      </c>
      <c r="W17" s="38">
        <f t="shared" si="2"/>
        <v>11</v>
      </c>
      <c r="X17" s="68">
        <f t="shared" si="3"/>
        <v>21</v>
      </c>
      <c r="Y17" s="70">
        <f t="shared" si="29"/>
        <v>3</v>
      </c>
      <c r="Z17" s="38">
        <f t="shared" si="13"/>
        <v>5</v>
      </c>
      <c r="AA17" s="68">
        <f t="shared" si="14"/>
        <v>2</v>
      </c>
      <c r="AB17" s="70">
        <f t="shared" si="15"/>
        <v>6</v>
      </c>
      <c r="AC17" s="38">
        <f t="shared" si="16"/>
        <v>2</v>
      </c>
      <c r="AD17" s="38">
        <f t="shared" si="17"/>
        <v>1</v>
      </c>
      <c r="AE17" s="38">
        <f t="shared" ca="1" si="18"/>
        <v>150</v>
      </c>
      <c r="AF17" s="68">
        <f t="shared" si="4"/>
        <v>220</v>
      </c>
      <c r="AG17" s="70">
        <f t="shared" si="30"/>
        <v>4</v>
      </c>
      <c r="AH17" s="38">
        <f t="shared" si="31"/>
        <v>1</v>
      </c>
      <c r="AI17" s="38">
        <f t="shared" si="32"/>
        <v>0</v>
      </c>
      <c r="AJ17" s="38">
        <f t="shared" ca="1" si="33"/>
        <v>140</v>
      </c>
      <c r="AK17" s="68">
        <f t="shared" si="34"/>
        <v>160</v>
      </c>
      <c r="AL17" s="38">
        <f t="shared" si="35"/>
        <v>4</v>
      </c>
      <c r="AM17" s="38">
        <f t="shared" si="36"/>
        <v>1</v>
      </c>
      <c r="AN17" s="38">
        <f t="shared" si="37"/>
        <v>0</v>
      </c>
      <c r="AO17" s="38">
        <f t="shared" ca="1" si="38"/>
        <v>132</v>
      </c>
      <c r="AP17" s="68">
        <f t="shared" si="39"/>
        <v>180</v>
      </c>
      <c r="AQ17" s="38">
        <f t="shared" si="19"/>
        <v>14</v>
      </c>
      <c r="AR17" s="38">
        <f t="shared" si="20"/>
        <v>4</v>
      </c>
      <c r="AS17" s="38">
        <f t="shared" si="21"/>
        <v>1</v>
      </c>
      <c r="AT17" s="38">
        <f t="shared" ca="1" si="22"/>
        <v>422</v>
      </c>
      <c r="AU17" s="68">
        <f t="shared" si="23"/>
        <v>560</v>
      </c>
      <c r="BC17" s="38">
        <v>15</v>
      </c>
      <c r="BD17" s="43" t="s">
        <v>254</v>
      </c>
      <c r="BE17" s="38">
        <v>1</v>
      </c>
      <c r="BF17" s="38">
        <v>0</v>
      </c>
      <c r="BG17" s="38">
        <v>0</v>
      </c>
      <c r="BH17" s="38">
        <v>4</v>
      </c>
      <c r="BI17" s="38">
        <v>8</v>
      </c>
      <c r="BJ17" s="38">
        <v>12</v>
      </c>
      <c r="BK17" s="38">
        <v>16</v>
      </c>
      <c r="BL17" s="38">
        <v>20</v>
      </c>
      <c r="BM17" s="38">
        <v>24</v>
      </c>
      <c r="BN17" s="38">
        <v>28</v>
      </c>
      <c r="BO17" s="38">
        <v>32</v>
      </c>
      <c r="BP17" s="38">
        <v>36</v>
      </c>
      <c r="BQ17" s="38">
        <v>40</v>
      </c>
      <c r="BS17" t="str">
        <f t="shared" si="24"/>
        <v>104,1</v>
      </c>
      <c r="BT17" t="str">
        <f t="shared" si="25"/>
        <v/>
      </c>
      <c r="BU17" t="str">
        <f t="shared" si="26"/>
        <v/>
      </c>
      <c r="BV17" t="str">
        <f t="shared" si="27"/>
        <v>104,1</v>
      </c>
      <c r="BW17" t="str">
        <f t="shared" si="28"/>
        <v>4,8,12,16,20,24,28,32,36,40</v>
      </c>
    </row>
    <row r="18" spans="1:75" x14ac:dyDescent="0.25">
      <c r="A18" s="86" t="s">
        <v>253</v>
      </c>
      <c r="B18" s="14">
        <v>16</v>
      </c>
      <c r="C18" s="14">
        <f>关卡产出!C23</f>
        <v>11</v>
      </c>
      <c r="D18" s="14">
        <f>关卡产出!D23</f>
        <v>5</v>
      </c>
      <c r="E18" s="14">
        <f>关卡产出!E23</f>
        <v>1</v>
      </c>
      <c r="F18" s="14">
        <f>关卡产出!F23</f>
        <v>210</v>
      </c>
      <c r="G18" s="38">
        <f t="shared" si="7"/>
        <v>6</v>
      </c>
      <c r="H18" s="38">
        <f t="shared" si="8"/>
        <v>3</v>
      </c>
      <c r="I18" s="38">
        <f t="shared" si="9"/>
        <v>1</v>
      </c>
      <c r="J18" s="38">
        <f t="shared" si="10"/>
        <v>263</v>
      </c>
      <c r="K18" s="38">
        <f t="shared" ca="1" si="11"/>
        <v>432</v>
      </c>
      <c r="M18" s="38">
        <v>16</v>
      </c>
      <c r="N18" s="38"/>
      <c r="O18" s="38">
        <v>30</v>
      </c>
      <c r="P18" s="38"/>
      <c r="R18" s="113" t="s">
        <v>253</v>
      </c>
      <c r="S18" s="14">
        <v>16</v>
      </c>
      <c r="T18" s="14">
        <f>关卡对比!AE22</f>
        <v>10</v>
      </c>
      <c r="U18" s="109">
        <f>关卡对比!AF22</f>
        <v>7</v>
      </c>
      <c r="V18" s="70">
        <f t="shared" si="1"/>
        <v>5</v>
      </c>
      <c r="W18" s="38">
        <f t="shared" si="2"/>
        <v>12</v>
      </c>
      <c r="X18" s="68">
        <f t="shared" si="3"/>
        <v>21</v>
      </c>
      <c r="Y18" s="70">
        <f t="shared" si="29"/>
        <v>3.2</v>
      </c>
      <c r="Z18" s="38">
        <f t="shared" si="13"/>
        <v>3.5</v>
      </c>
      <c r="AA18" s="68">
        <f t="shared" si="14"/>
        <v>3</v>
      </c>
      <c r="AB18" s="70">
        <f t="shared" si="15"/>
        <v>6</v>
      </c>
      <c r="AC18" s="38">
        <f t="shared" si="16"/>
        <v>2</v>
      </c>
      <c r="AD18" s="38">
        <f t="shared" si="17"/>
        <v>1</v>
      </c>
      <c r="AE18" s="38">
        <f t="shared" ca="1" si="18"/>
        <v>150</v>
      </c>
      <c r="AF18" s="68">
        <f t="shared" si="4"/>
        <v>220</v>
      </c>
      <c r="AG18" s="70">
        <f t="shared" si="30"/>
        <v>5</v>
      </c>
      <c r="AH18" s="38">
        <f t="shared" si="31"/>
        <v>1</v>
      </c>
      <c r="AI18" s="38">
        <f t="shared" si="32"/>
        <v>0</v>
      </c>
      <c r="AJ18" s="38">
        <f t="shared" ca="1" si="33"/>
        <v>144</v>
      </c>
      <c r="AK18" s="68">
        <f t="shared" si="34"/>
        <v>200</v>
      </c>
      <c r="AL18" s="38">
        <f t="shared" si="35"/>
        <v>4</v>
      </c>
      <c r="AM18" s="38">
        <f t="shared" si="36"/>
        <v>1</v>
      </c>
      <c r="AN18" s="38">
        <f t="shared" si="37"/>
        <v>0</v>
      </c>
      <c r="AO18" s="38">
        <f t="shared" ca="1" si="38"/>
        <v>138</v>
      </c>
      <c r="AP18" s="68">
        <f t="shared" si="39"/>
        <v>180</v>
      </c>
      <c r="AQ18" s="38">
        <f t="shared" si="19"/>
        <v>15</v>
      </c>
      <c r="AR18" s="38">
        <f t="shared" si="20"/>
        <v>4</v>
      </c>
      <c r="AS18" s="38">
        <f t="shared" si="21"/>
        <v>1</v>
      </c>
      <c r="AT18" s="38">
        <f t="shared" ca="1" si="22"/>
        <v>432</v>
      </c>
      <c r="AU18" s="68">
        <f t="shared" si="23"/>
        <v>600</v>
      </c>
      <c r="BC18" s="38">
        <v>16</v>
      </c>
      <c r="BD18" s="43" t="s">
        <v>254</v>
      </c>
      <c r="BE18" s="38">
        <v>0</v>
      </c>
      <c r="BF18" s="38">
        <v>1</v>
      </c>
      <c r="BG18" s="38">
        <v>0</v>
      </c>
      <c r="BH18" s="38">
        <v>5</v>
      </c>
      <c r="BI18" s="38">
        <v>10</v>
      </c>
      <c r="BJ18" s="38">
        <v>15</v>
      </c>
      <c r="BK18" s="38">
        <v>20</v>
      </c>
      <c r="BL18" s="38">
        <v>25</v>
      </c>
      <c r="BM18" s="38">
        <v>30</v>
      </c>
      <c r="BN18" s="38">
        <v>35</v>
      </c>
      <c r="BO18" s="38">
        <v>40</v>
      </c>
      <c r="BP18" s="38">
        <v>45</v>
      </c>
      <c r="BQ18" s="38">
        <v>50</v>
      </c>
      <c r="BS18" t="str">
        <f t="shared" si="24"/>
        <v/>
      </c>
      <c r="BT18" t="str">
        <f t="shared" si="25"/>
        <v>105,1</v>
      </c>
      <c r="BU18" t="str">
        <f t="shared" si="26"/>
        <v/>
      </c>
      <c r="BV18" t="str">
        <f t="shared" si="27"/>
        <v>105,1</v>
      </c>
      <c r="BW18" t="str">
        <f t="shared" si="28"/>
        <v>5,10,15,20,25,30,35,40,45,50</v>
      </c>
    </row>
    <row r="19" spans="1:75" x14ac:dyDescent="0.25">
      <c r="A19" s="86" t="s">
        <v>253</v>
      </c>
      <c r="B19" s="14">
        <v>17</v>
      </c>
      <c r="C19" s="14">
        <f>关卡产出!C24</f>
        <v>12</v>
      </c>
      <c r="D19" s="14">
        <f>关卡产出!D24</f>
        <v>6</v>
      </c>
      <c r="E19" s="14">
        <f>关卡产出!E24</f>
        <v>2</v>
      </c>
      <c r="F19" s="14">
        <f>关卡产出!F24</f>
        <v>230</v>
      </c>
      <c r="G19" s="38">
        <f t="shared" si="7"/>
        <v>6</v>
      </c>
      <c r="H19" s="38">
        <f t="shared" si="8"/>
        <v>3</v>
      </c>
      <c r="I19" s="38">
        <f t="shared" si="9"/>
        <v>1</v>
      </c>
      <c r="J19" s="38">
        <f t="shared" si="10"/>
        <v>288</v>
      </c>
      <c r="K19" s="38">
        <f t="shared" ca="1" si="11"/>
        <v>446</v>
      </c>
      <c r="M19" s="38">
        <v>17</v>
      </c>
      <c r="N19" s="38"/>
      <c r="O19" s="38">
        <v>35</v>
      </c>
      <c r="P19" s="38"/>
      <c r="R19" s="113" t="s">
        <v>253</v>
      </c>
      <c r="S19" s="14">
        <v>17</v>
      </c>
      <c r="T19" s="14">
        <f>关卡对比!AE23</f>
        <v>12</v>
      </c>
      <c r="U19" s="109">
        <f>关卡对比!AF23</f>
        <v>8</v>
      </c>
      <c r="V19" s="70">
        <f t="shared" si="1"/>
        <v>5</v>
      </c>
      <c r="W19" s="38">
        <f t="shared" si="2"/>
        <v>12</v>
      </c>
      <c r="X19" s="68">
        <f t="shared" si="3"/>
        <v>21</v>
      </c>
      <c r="Y19" s="70">
        <f t="shared" si="29"/>
        <v>3.4</v>
      </c>
      <c r="Z19" s="38">
        <f t="shared" si="13"/>
        <v>4.5</v>
      </c>
      <c r="AA19" s="68">
        <f t="shared" si="14"/>
        <v>4</v>
      </c>
      <c r="AB19" s="70">
        <f t="shared" si="15"/>
        <v>6</v>
      </c>
      <c r="AC19" s="38">
        <f t="shared" si="16"/>
        <v>2</v>
      </c>
      <c r="AD19" s="38">
        <f t="shared" si="17"/>
        <v>1</v>
      </c>
      <c r="AE19" s="38">
        <f t="shared" ca="1" si="18"/>
        <v>150</v>
      </c>
      <c r="AF19" s="68">
        <f t="shared" si="4"/>
        <v>220</v>
      </c>
      <c r="AG19" s="70">
        <f t="shared" si="30"/>
        <v>5</v>
      </c>
      <c r="AH19" s="38">
        <f t="shared" si="31"/>
        <v>1</v>
      </c>
      <c r="AI19" s="38">
        <f t="shared" si="32"/>
        <v>0</v>
      </c>
      <c r="AJ19" s="38">
        <f t="shared" ca="1" si="33"/>
        <v>152</v>
      </c>
      <c r="AK19" s="68">
        <f t="shared" si="34"/>
        <v>200</v>
      </c>
      <c r="AL19" s="38">
        <f t="shared" si="35"/>
        <v>4</v>
      </c>
      <c r="AM19" s="38">
        <f t="shared" si="36"/>
        <v>1</v>
      </c>
      <c r="AN19" s="38">
        <f t="shared" si="37"/>
        <v>0</v>
      </c>
      <c r="AO19" s="38">
        <f t="shared" ca="1" si="38"/>
        <v>144</v>
      </c>
      <c r="AP19" s="68">
        <f t="shared" si="39"/>
        <v>180</v>
      </c>
      <c r="AQ19" s="38">
        <f t="shared" si="19"/>
        <v>15</v>
      </c>
      <c r="AR19" s="38">
        <f t="shared" si="20"/>
        <v>4</v>
      </c>
      <c r="AS19" s="38">
        <f t="shared" si="21"/>
        <v>1</v>
      </c>
      <c r="AT19" s="38">
        <f t="shared" ca="1" si="22"/>
        <v>446</v>
      </c>
      <c r="AU19" s="68">
        <f t="shared" si="23"/>
        <v>600</v>
      </c>
      <c r="BC19" s="38">
        <v>17</v>
      </c>
      <c r="BD19" s="43" t="s">
        <v>254</v>
      </c>
      <c r="BE19" s="38">
        <v>1</v>
      </c>
      <c r="BF19" s="38">
        <v>0</v>
      </c>
      <c r="BG19" s="38">
        <v>0</v>
      </c>
      <c r="BH19" s="38">
        <v>5</v>
      </c>
      <c r="BI19" s="38">
        <v>10</v>
      </c>
      <c r="BJ19" s="38">
        <v>15</v>
      </c>
      <c r="BK19" s="38">
        <v>20</v>
      </c>
      <c r="BL19" s="38">
        <v>25</v>
      </c>
      <c r="BM19" s="38">
        <v>30</v>
      </c>
      <c r="BN19" s="38">
        <v>35</v>
      </c>
      <c r="BO19" s="38">
        <v>40</v>
      </c>
      <c r="BP19" s="38">
        <v>45</v>
      </c>
      <c r="BQ19" s="38">
        <v>50</v>
      </c>
      <c r="BS19" t="str">
        <f t="shared" si="24"/>
        <v>104,1</v>
      </c>
      <c r="BT19" t="str">
        <f t="shared" si="25"/>
        <v/>
      </c>
      <c r="BU19" t="str">
        <f t="shared" si="26"/>
        <v/>
      </c>
      <c r="BV19" t="str">
        <f t="shared" si="27"/>
        <v>104,1</v>
      </c>
      <c r="BW19" t="str">
        <f t="shared" si="28"/>
        <v>5,10,15,20,25,30,35,40,45,50</v>
      </c>
    </row>
    <row r="20" spans="1:75" x14ac:dyDescent="0.25">
      <c r="A20" s="86" t="s">
        <v>253</v>
      </c>
      <c r="B20" s="14">
        <v>18</v>
      </c>
      <c r="C20" s="14">
        <f>关卡产出!C25</f>
        <v>12</v>
      </c>
      <c r="D20" s="14">
        <f>关卡产出!D25</f>
        <v>6</v>
      </c>
      <c r="E20" s="14">
        <f>关卡产出!E25</f>
        <v>3</v>
      </c>
      <c r="F20" s="14">
        <f>关卡产出!F25</f>
        <v>230</v>
      </c>
      <c r="G20" s="38">
        <f t="shared" si="7"/>
        <v>6</v>
      </c>
      <c r="H20" s="38">
        <f t="shared" si="8"/>
        <v>3</v>
      </c>
      <c r="I20" s="38">
        <f t="shared" si="9"/>
        <v>2</v>
      </c>
      <c r="J20" s="38">
        <f t="shared" si="10"/>
        <v>288</v>
      </c>
      <c r="K20" s="38">
        <f t="shared" ca="1" si="11"/>
        <v>475</v>
      </c>
      <c r="M20" s="38">
        <v>18</v>
      </c>
      <c r="N20" s="38"/>
      <c r="O20" s="38">
        <v>40</v>
      </c>
      <c r="P20" s="38"/>
      <c r="R20" s="113" t="s">
        <v>253</v>
      </c>
      <c r="S20" s="14">
        <v>18</v>
      </c>
      <c r="T20" s="14">
        <f>关卡对比!AE24</f>
        <v>14</v>
      </c>
      <c r="U20" s="109">
        <f>关卡对比!AF24</f>
        <v>10</v>
      </c>
      <c r="V20" s="70">
        <f t="shared" si="1"/>
        <v>6</v>
      </c>
      <c r="W20" s="38">
        <f t="shared" si="2"/>
        <v>12</v>
      </c>
      <c r="X20" s="68">
        <f t="shared" si="3"/>
        <v>22</v>
      </c>
      <c r="Y20" s="70">
        <f t="shared" si="29"/>
        <v>3.1666666666666665</v>
      </c>
      <c r="Z20" s="38">
        <f t="shared" si="13"/>
        <v>5.5</v>
      </c>
      <c r="AA20" s="68">
        <f t="shared" si="14"/>
        <v>3.5</v>
      </c>
      <c r="AB20" s="70">
        <f t="shared" si="15"/>
        <v>6</v>
      </c>
      <c r="AC20" s="38">
        <f t="shared" si="16"/>
        <v>3</v>
      </c>
      <c r="AD20" s="38">
        <f t="shared" si="17"/>
        <v>1</v>
      </c>
      <c r="AE20" s="38">
        <f t="shared" ca="1" si="18"/>
        <v>159</v>
      </c>
      <c r="AF20" s="68">
        <f t="shared" si="4"/>
        <v>250</v>
      </c>
      <c r="AG20" s="70">
        <f t="shared" si="30"/>
        <v>5</v>
      </c>
      <c r="AH20" s="38">
        <f t="shared" si="31"/>
        <v>1</v>
      </c>
      <c r="AI20" s="38">
        <f t="shared" si="32"/>
        <v>0</v>
      </c>
      <c r="AJ20" s="38">
        <f t="shared" ca="1" si="33"/>
        <v>160</v>
      </c>
      <c r="AK20" s="68">
        <f t="shared" si="34"/>
        <v>200</v>
      </c>
      <c r="AL20" s="38">
        <f t="shared" si="35"/>
        <v>5</v>
      </c>
      <c r="AM20" s="38">
        <f t="shared" si="36"/>
        <v>1</v>
      </c>
      <c r="AN20" s="38">
        <f t="shared" si="37"/>
        <v>0</v>
      </c>
      <c r="AO20" s="38">
        <f t="shared" ca="1" si="38"/>
        <v>156</v>
      </c>
      <c r="AP20" s="68">
        <f t="shared" si="39"/>
        <v>240</v>
      </c>
      <c r="AQ20" s="38">
        <f t="shared" si="19"/>
        <v>16</v>
      </c>
      <c r="AR20" s="38">
        <f t="shared" si="20"/>
        <v>5</v>
      </c>
      <c r="AS20" s="38">
        <f t="shared" si="21"/>
        <v>1</v>
      </c>
      <c r="AT20" s="38">
        <f t="shared" ca="1" si="22"/>
        <v>475</v>
      </c>
      <c r="AU20" s="68">
        <f t="shared" si="23"/>
        <v>690</v>
      </c>
      <c r="BC20" s="38">
        <v>18</v>
      </c>
      <c r="BD20" s="43" t="s">
        <v>254</v>
      </c>
      <c r="BE20" s="38">
        <v>0</v>
      </c>
      <c r="BF20" s="38">
        <v>1</v>
      </c>
      <c r="BG20" s="38">
        <v>0</v>
      </c>
      <c r="BH20" s="38">
        <v>5</v>
      </c>
      <c r="BI20" s="38">
        <v>10</v>
      </c>
      <c r="BJ20" s="38">
        <v>15</v>
      </c>
      <c r="BK20" s="38">
        <v>20</v>
      </c>
      <c r="BL20" s="38">
        <v>25</v>
      </c>
      <c r="BM20" s="38">
        <v>30</v>
      </c>
      <c r="BN20" s="38">
        <v>35</v>
      </c>
      <c r="BO20" s="38">
        <v>40</v>
      </c>
      <c r="BP20" s="38">
        <v>45</v>
      </c>
      <c r="BQ20" s="38">
        <v>50</v>
      </c>
      <c r="BS20" t="str">
        <f t="shared" si="24"/>
        <v/>
      </c>
      <c r="BT20" t="str">
        <f t="shared" si="25"/>
        <v>105,1</v>
      </c>
      <c r="BU20" t="str">
        <f t="shared" si="26"/>
        <v/>
      </c>
      <c r="BV20" t="str">
        <f t="shared" si="27"/>
        <v>105,1</v>
      </c>
      <c r="BW20" t="str">
        <f t="shared" si="28"/>
        <v>5,10,15,20,25,30,35,40,45,50</v>
      </c>
    </row>
    <row r="21" spans="1:75" x14ac:dyDescent="0.25">
      <c r="A21" s="86" t="s">
        <v>253</v>
      </c>
      <c r="B21" s="14">
        <v>19</v>
      </c>
      <c r="C21" s="14">
        <f>关卡产出!C26</f>
        <v>13</v>
      </c>
      <c r="D21" s="14">
        <f>关卡产出!D26</f>
        <v>6</v>
      </c>
      <c r="E21" s="14">
        <f>关卡产出!E26</f>
        <v>3</v>
      </c>
      <c r="F21" s="14">
        <f>关卡产出!F26</f>
        <v>250</v>
      </c>
      <c r="G21" s="38">
        <f t="shared" si="7"/>
        <v>7</v>
      </c>
      <c r="H21" s="38">
        <f t="shared" si="8"/>
        <v>3</v>
      </c>
      <c r="I21" s="38">
        <f t="shared" si="9"/>
        <v>2</v>
      </c>
      <c r="J21" s="38">
        <f t="shared" si="10"/>
        <v>313</v>
      </c>
      <c r="K21" s="38">
        <f t="shared" ca="1" si="11"/>
        <v>475</v>
      </c>
      <c r="M21" s="38">
        <v>19</v>
      </c>
      <c r="N21" s="38"/>
      <c r="O21" s="38">
        <v>45</v>
      </c>
      <c r="P21" s="38"/>
      <c r="R21" s="113" t="s">
        <v>253</v>
      </c>
      <c r="S21" s="14">
        <v>19</v>
      </c>
      <c r="T21" s="14">
        <f>关卡对比!AE25</f>
        <v>14</v>
      </c>
      <c r="U21" s="109">
        <f>关卡对比!AF25</f>
        <v>10</v>
      </c>
      <c r="V21" s="70">
        <f t="shared" si="1"/>
        <v>6</v>
      </c>
      <c r="W21" s="38">
        <f t="shared" si="2"/>
        <v>12</v>
      </c>
      <c r="X21" s="68">
        <f t="shared" si="3"/>
        <v>22</v>
      </c>
      <c r="Y21" s="70">
        <f t="shared" si="29"/>
        <v>3.3333333333333335</v>
      </c>
      <c r="Z21" s="38">
        <f t="shared" si="13"/>
        <v>5.5</v>
      </c>
      <c r="AA21" s="68">
        <f t="shared" si="14"/>
        <v>3.5</v>
      </c>
      <c r="AB21" s="70">
        <f t="shared" si="15"/>
        <v>6</v>
      </c>
      <c r="AC21" s="38">
        <f t="shared" si="16"/>
        <v>3</v>
      </c>
      <c r="AD21" s="38">
        <f t="shared" si="17"/>
        <v>1</v>
      </c>
      <c r="AE21" s="38">
        <f t="shared" ca="1" si="18"/>
        <v>159</v>
      </c>
      <c r="AF21" s="68">
        <f t="shared" si="4"/>
        <v>250</v>
      </c>
      <c r="AG21" s="70">
        <f t="shared" si="30"/>
        <v>5</v>
      </c>
      <c r="AH21" s="38">
        <f t="shared" si="31"/>
        <v>1</v>
      </c>
      <c r="AI21" s="38">
        <f t="shared" si="32"/>
        <v>0</v>
      </c>
      <c r="AJ21" s="38">
        <f t="shared" ca="1" si="33"/>
        <v>160</v>
      </c>
      <c r="AK21" s="68">
        <f t="shared" si="34"/>
        <v>200</v>
      </c>
      <c r="AL21" s="38">
        <f t="shared" si="35"/>
        <v>5</v>
      </c>
      <c r="AM21" s="38">
        <f t="shared" si="36"/>
        <v>1</v>
      </c>
      <c r="AN21" s="38">
        <f t="shared" si="37"/>
        <v>0</v>
      </c>
      <c r="AO21" s="38">
        <f t="shared" ca="1" si="38"/>
        <v>156</v>
      </c>
      <c r="AP21" s="68">
        <f t="shared" si="39"/>
        <v>240</v>
      </c>
      <c r="AQ21" s="38">
        <f t="shared" si="19"/>
        <v>16</v>
      </c>
      <c r="AR21" s="38">
        <f t="shared" si="20"/>
        <v>5</v>
      </c>
      <c r="AS21" s="38">
        <f t="shared" si="21"/>
        <v>1</v>
      </c>
      <c r="AT21" s="38">
        <f t="shared" ca="1" si="22"/>
        <v>475</v>
      </c>
      <c r="AU21" s="68">
        <f t="shared" si="23"/>
        <v>690</v>
      </c>
      <c r="BC21" s="38">
        <v>19</v>
      </c>
      <c r="BD21" s="43" t="s">
        <v>254</v>
      </c>
      <c r="BE21" s="38">
        <v>0</v>
      </c>
      <c r="BF21" s="38">
        <v>1</v>
      </c>
      <c r="BG21" s="38">
        <v>0</v>
      </c>
      <c r="BH21" s="38">
        <v>5</v>
      </c>
      <c r="BI21" s="38">
        <v>10</v>
      </c>
      <c r="BJ21" s="38">
        <v>15</v>
      </c>
      <c r="BK21" s="38">
        <v>20</v>
      </c>
      <c r="BL21" s="38">
        <v>25</v>
      </c>
      <c r="BM21" s="38">
        <v>30</v>
      </c>
      <c r="BN21" s="38">
        <v>35</v>
      </c>
      <c r="BO21" s="38">
        <v>40</v>
      </c>
      <c r="BP21" s="38">
        <v>45</v>
      </c>
      <c r="BQ21" s="38">
        <v>50</v>
      </c>
      <c r="BS21" t="str">
        <f t="shared" si="24"/>
        <v/>
      </c>
      <c r="BT21" t="str">
        <f t="shared" si="25"/>
        <v>105,1</v>
      </c>
      <c r="BU21" t="str">
        <f t="shared" si="26"/>
        <v/>
      </c>
      <c r="BV21" t="str">
        <f t="shared" si="27"/>
        <v>105,1</v>
      </c>
      <c r="BW21" t="str">
        <f t="shared" si="28"/>
        <v>5,10,15,20,25,30,35,40,45,50</v>
      </c>
    </row>
    <row r="22" spans="1:75" x14ac:dyDescent="0.25">
      <c r="A22" s="86" t="s">
        <v>253</v>
      </c>
      <c r="B22" s="14">
        <v>20</v>
      </c>
      <c r="C22" s="14">
        <f>关卡产出!C27</f>
        <v>14</v>
      </c>
      <c r="D22" s="14">
        <f>关卡产出!D27</f>
        <v>7</v>
      </c>
      <c r="E22" s="14">
        <f>关卡产出!E27</f>
        <v>3</v>
      </c>
      <c r="F22" s="14">
        <f>关卡产出!F27</f>
        <v>250</v>
      </c>
      <c r="G22" s="38">
        <f t="shared" si="7"/>
        <v>7</v>
      </c>
      <c r="H22" s="38">
        <f t="shared" si="8"/>
        <v>4</v>
      </c>
      <c r="I22" s="38">
        <f t="shared" si="9"/>
        <v>2</v>
      </c>
      <c r="J22" s="38">
        <f t="shared" si="10"/>
        <v>313</v>
      </c>
      <c r="K22" s="38">
        <f t="shared" ca="1" si="11"/>
        <v>495</v>
      </c>
      <c r="M22" s="38">
        <v>20</v>
      </c>
      <c r="N22" s="38"/>
      <c r="O22" s="38">
        <v>50</v>
      </c>
      <c r="P22" s="38"/>
      <c r="R22" s="113" t="s">
        <v>253</v>
      </c>
      <c r="S22" s="14">
        <v>20</v>
      </c>
      <c r="T22" s="14">
        <f>关卡对比!AE26</f>
        <v>15</v>
      </c>
      <c r="U22" s="109">
        <f>关卡对比!AF26</f>
        <v>11</v>
      </c>
      <c r="V22" s="70">
        <f t="shared" si="1"/>
        <v>6</v>
      </c>
      <c r="W22" s="38">
        <f t="shared" si="2"/>
        <v>13</v>
      </c>
      <c r="X22" s="68">
        <f t="shared" si="3"/>
        <v>22</v>
      </c>
      <c r="Y22" s="70">
        <f t="shared" si="29"/>
        <v>3.5</v>
      </c>
      <c r="Z22" s="38">
        <f t="shared" si="13"/>
        <v>4.3333333333333339</v>
      </c>
      <c r="AA22" s="68">
        <f t="shared" si="14"/>
        <v>4</v>
      </c>
      <c r="AB22" s="70">
        <f t="shared" si="15"/>
        <v>6</v>
      </c>
      <c r="AC22" s="38">
        <f t="shared" si="16"/>
        <v>3</v>
      </c>
      <c r="AD22" s="38">
        <f t="shared" si="17"/>
        <v>1</v>
      </c>
      <c r="AE22" s="38">
        <f t="shared" ca="1" si="18"/>
        <v>159</v>
      </c>
      <c r="AF22" s="68">
        <f t="shared" si="4"/>
        <v>250</v>
      </c>
      <c r="AG22" s="70">
        <f t="shared" si="30"/>
        <v>5</v>
      </c>
      <c r="AH22" s="38">
        <f t="shared" si="31"/>
        <v>2</v>
      </c>
      <c r="AI22" s="38">
        <f t="shared" si="32"/>
        <v>0</v>
      </c>
      <c r="AJ22" s="38">
        <f t="shared" ca="1" si="33"/>
        <v>168</v>
      </c>
      <c r="AK22" s="68">
        <f t="shared" si="34"/>
        <v>240</v>
      </c>
      <c r="AL22" s="38">
        <f t="shared" si="35"/>
        <v>5</v>
      </c>
      <c r="AM22" s="38">
        <f t="shared" si="36"/>
        <v>1</v>
      </c>
      <c r="AN22" s="38">
        <f t="shared" si="37"/>
        <v>0</v>
      </c>
      <c r="AO22" s="38">
        <f t="shared" ca="1" si="38"/>
        <v>168</v>
      </c>
      <c r="AP22" s="68">
        <f t="shared" si="39"/>
        <v>240</v>
      </c>
      <c r="AQ22" s="38">
        <f t="shared" si="19"/>
        <v>16</v>
      </c>
      <c r="AR22" s="38">
        <f t="shared" si="20"/>
        <v>6</v>
      </c>
      <c r="AS22" s="38">
        <f t="shared" si="21"/>
        <v>1</v>
      </c>
      <c r="AT22" s="38">
        <f t="shared" ca="1" si="22"/>
        <v>495</v>
      </c>
      <c r="AU22" s="68">
        <f t="shared" si="23"/>
        <v>730</v>
      </c>
      <c r="BC22" s="38">
        <v>20</v>
      </c>
      <c r="BD22" s="43" t="s">
        <v>254</v>
      </c>
      <c r="BE22" s="38">
        <v>0</v>
      </c>
      <c r="BF22" s="38">
        <v>0</v>
      </c>
      <c r="BG22" s="38">
        <v>1</v>
      </c>
      <c r="BH22" s="38">
        <v>5</v>
      </c>
      <c r="BI22" s="38">
        <v>10</v>
      </c>
      <c r="BJ22" s="38">
        <v>15</v>
      </c>
      <c r="BK22" s="38">
        <v>20</v>
      </c>
      <c r="BL22" s="38">
        <v>25</v>
      </c>
      <c r="BM22" s="38">
        <v>30</v>
      </c>
      <c r="BN22" s="38">
        <v>35</v>
      </c>
      <c r="BO22" s="38">
        <v>40</v>
      </c>
      <c r="BP22" s="38">
        <v>45</v>
      </c>
      <c r="BQ22" s="38">
        <v>50</v>
      </c>
      <c r="BS22" t="str">
        <f t="shared" si="24"/>
        <v/>
      </c>
      <c r="BT22" t="str">
        <f t="shared" si="25"/>
        <v/>
      </c>
      <c r="BU22" t="str">
        <f t="shared" si="26"/>
        <v>106,1</v>
      </c>
      <c r="BV22" t="str">
        <f t="shared" si="27"/>
        <v>106,1</v>
      </c>
      <c r="BW22" t="str">
        <f t="shared" si="28"/>
        <v>5,10,15,20,25,30,35,40,45,50</v>
      </c>
    </row>
    <row r="23" spans="1:75" x14ac:dyDescent="0.25">
      <c r="A23" s="86" t="s">
        <v>253</v>
      </c>
      <c r="B23" s="14">
        <v>21</v>
      </c>
      <c r="C23" s="14">
        <f>关卡产出!C28</f>
        <v>15</v>
      </c>
      <c r="D23" s="14">
        <f>关卡产出!D28</f>
        <v>7</v>
      </c>
      <c r="E23" s="14">
        <f>关卡产出!E28</f>
        <v>3</v>
      </c>
      <c r="F23" s="14">
        <f>关卡产出!F28</f>
        <v>270</v>
      </c>
      <c r="G23" s="38">
        <f t="shared" si="7"/>
        <v>8</v>
      </c>
      <c r="H23" s="38">
        <f t="shared" si="8"/>
        <v>4</v>
      </c>
      <c r="I23" s="38">
        <f t="shared" si="9"/>
        <v>2</v>
      </c>
      <c r="J23" s="38">
        <f t="shared" si="10"/>
        <v>338</v>
      </c>
      <c r="K23" s="38">
        <f t="shared" ca="1" si="11"/>
        <v>516</v>
      </c>
      <c r="M23" s="38">
        <v>21</v>
      </c>
      <c r="N23" s="38"/>
      <c r="O23" s="38"/>
      <c r="P23" s="38">
        <v>5</v>
      </c>
      <c r="R23" s="113" t="s">
        <v>253</v>
      </c>
      <c r="S23" s="14">
        <v>21</v>
      </c>
      <c r="T23" s="14">
        <f>关卡对比!AE27</f>
        <v>15</v>
      </c>
      <c r="U23" s="109">
        <f>关卡对比!AF27</f>
        <v>13</v>
      </c>
      <c r="V23" s="70">
        <f t="shared" si="1"/>
        <v>7</v>
      </c>
      <c r="W23" s="38">
        <f t="shared" si="2"/>
        <v>13</v>
      </c>
      <c r="X23" s="68">
        <f t="shared" si="3"/>
        <v>22</v>
      </c>
      <c r="Y23" s="70">
        <f t="shared" si="29"/>
        <v>3.2857142857142856</v>
      </c>
      <c r="Z23" s="38">
        <f t="shared" si="13"/>
        <v>4.3333333333333339</v>
      </c>
      <c r="AA23" s="68">
        <f t="shared" si="14"/>
        <v>5</v>
      </c>
      <c r="AB23" s="70">
        <f t="shared" si="15"/>
        <v>7</v>
      </c>
      <c r="AC23" s="38">
        <f t="shared" si="16"/>
        <v>3</v>
      </c>
      <c r="AD23" s="38">
        <f t="shared" si="17"/>
        <v>1</v>
      </c>
      <c r="AE23" s="38">
        <f t="shared" ca="1" si="18"/>
        <v>168</v>
      </c>
      <c r="AF23" s="68">
        <f t="shared" si="4"/>
        <v>280</v>
      </c>
      <c r="AG23" s="70">
        <f t="shared" si="30"/>
        <v>5</v>
      </c>
      <c r="AH23" s="38">
        <f t="shared" si="31"/>
        <v>2</v>
      </c>
      <c r="AI23" s="38">
        <f t="shared" si="32"/>
        <v>0</v>
      </c>
      <c r="AJ23" s="38">
        <f t="shared" ca="1" si="33"/>
        <v>168</v>
      </c>
      <c r="AK23" s="68">
        <f t="shared" si="34"/>
        <v>240</v>
      </c>
      <c r="AL23" s="38">
        <f t="shared" si="35"/>
        <v>5</v>
      </c>
      <c r="AM23" s="38">
        <f t="shared" si="36"/>
        <v>1</v>
      </c>
      <c r="AN23" s="38">
        <f t="shared" si="37"/>
        <v>0</v>
      </c>
      <c r="AO23" s="38">
        <f t="shared" ca="1" si="38"/>
        <v>180</v>
      </c>
      <c r="AP23" s="68">
        <f t="shared" si="39"/>
        <v>240</v>
      </c>
      <c r="AQ23" s="38">
        <f t="shared" si="19"/>
        <v>17</v>
      </c>
      <c r="AR23" s="38">
        <f t="shared" si="20"/>
        <v>6</v>
      </c>
      <c r="AS23" s="38">
        <f t="shared" si="21"/>
        <v>1</v>
      </c>
      <c r="AT23" s="38">
        <f t="shared" ca="1" si="22"/>
        <v>516</v>
      </c>
      <c r="AU23" s="68">
        <f t="shared" si="23"/>
        <v>760</v>
      </c>
      <c r="BC23" s="38">
        <v>21</v>
      </c>
      <c r="BD23" s="43" t="s">
        <v>255</v>
      </c>
      <c r="BE23" s="38">
        <v>1</v>
      </c>
      <c r="BF23" s="38">
        <v>0</v>
      </c>
      <c r="BG23" s="38">
        <v>0</v>
      </c>
      <c r="BH23" s="38">
        <v>6</v>
      </c>
      <c r="BI23" s="38">
        <v>12</v>
      </c>
      <c r="BJ23" s="38">
        <v>18</v>
      </c>
      <c r="BK23" s="38">
        <v>24</v>
      </c>
      <c r="BL23" s="38">
        <v>30</v>
      </c>
      <c r="BM23" s="38">
        <v>36</v>
      </c>
      <c r="BN23" s="38">
        <v>42</v>
      </c>
      <c r="BO23" s="38">
        <v>48</v>
      </c>
      <c r="BP23" s="38">
        <v>54</v>
      </c>
      <c r="BQ23" s="38">
        <v>60</v>
      </c>
      <c r="BS23" t="str">
        <f t="shared" si="24"/>
        <v>104,1</v>
      </c>
      <c r="BT23" t="str">
        <f t="shared" si="25"/>
        <v/>
      </c>
      <c r="BU23" t="str">
        <f t="shared" si="26"/>
        <v/>
      </c>
      <c r="BV23" t="str">
        <f t="shared" si="27"/>
        <v>104,1</v>
      </c>
      <c r="BW23" t="str">
        <f t="shared" si="28"/>
        <v>6,12,18,24,30,36,42,48,54,60</v>
      </c>
    </row>
    <row r="24" spans="1:75" x14ac:dyDescent="0.25">
      <c r="A24" s="86" t="s">
        <v>253</v>
      </c>
      <c r="B24" s="14">
        <v>22</v>
      </c>
      <c r="C24" s="14">
        <f>关卡产出!C29</f>
        <v>16</v>
      </c>
      <c r="D24" s="14">
        <f>关卡产出!D29</f>
        <v>8</v>
      </c>
      <c r="E24" s="14">
        <f>关卡产出!E29</f>
        <v>3</v>
      </c>
      <c r="F24" s="14">
        <f>关卡产出!F29</f>
        <v>270</v>
      </c>
      <c r="G24" s="38">
        <f t="shared" si="7"/>
        <v>8</v>
      </c>
      <c r="H24" s="38">
        <f t="shared" si="8"/>
        <v>4</v>
      </c>
      <c r="I24" s="38">
        <f t="shared" si="9"/>
        <v>2</v>
      </c>
      <c r="J24" s="38">
        <f t="shared" si="10"/>
        <v>338</v>
      </c>
      <c r="K24" s="38">
        <f t="shared" ca="1" si="11"/>
        <v>516</v>
      </c>
      <c r="M24" s="38">
        <v>22</v>
      </c>
      <c r="N24" s="38"/>
      <c r="O24" s="38"/>
      <c r="P24" s="38">
        <v>10</v>
      </c>
      <c r="R24" s="113" t="s">
        <v>253</v>
      </c>
      <c r="S24" s="14">
        <v>22</v>
      </c>
      <c r="T24" s="14">
        <f>关卡对比!AE28</f>
        <v>16</v>
      </c>
      <c r="U24" s="109">
        <f>关卡对比!AF28</f>
        <v>14</v>
      </c>
      <c r="V24" s="70">
        <f t="shared" si="1"/>
        <v>7</v>
      </c>
      <c r="W24" s="38">
        <f t="shared" si="2"/>
        <v>13</v>
      </c>
      <c r="X24" s="68">
        <f t="shared" si="3"/>
        <v>22</v>
      </c>
      <c r="Y24" s="70">
        <f t="shared" si="29"/>
        <v>3.4285714285714284</v>
      </c>
      <c r="Z24" s="38">
        <f t="shared" si="13"/>
        <v>4.6666666666666661</v>
      </c>
      <c r="AA24" s="68">
        <f t="shared" si="14"/>
        <v>5.5</v>
      </c>
      <c r="AB24" s="70">
        <f t="shared" si="15"/>
        <v>7</v>
      </c>
      <c r="AC24" s="38">
        <f t="shared" si="16"/>
        <v>3</v>
      </c>
      <c r="AD24" s="38">
        <f t="shared" si="17"/>
        <v>1</v>
      </c>
      <c r="AE24" s="38">
        <f t="shared" ca="1" si="18"/>
        <v>168</v>
      </c>
      <c r="AF24" s="68">
        <f t="shared" si="4"/>
        <v>280</v>
      </c>
      <c r="AG24" s="70">
        <f t="shared" si="30"/>
        <v>5</v>
      </c>
      <c r="AH24" s="38">
        <f t="shared" si="31"/>
        <v>2</v>
      </c>
      <c r="AI24" s="38">
        <f t="shared" si="32"/>
        <v>0</v>
      </c>
      <c r="AJ24" s="38">
        <f t="shared" ca="1" si="33"/>
        <v>168</v>
      </c>
      <c r="AK24" s="68">
        <f t="shared" si="34"/>
        <v>240</v>
      </c>
      <c r="AL24" s="38">
        <f t="shared" si="35"/>
        <v>5</v>
      </c>
      <c r="AM24" s="38">
        <f t="shared" si="36"/>
        <v>1</v>
      </c>
      <c r="AN24" s="38">
        <f t="shared" si="37"/>
        <v>0</v>
      </c>
      <c r="AO24" s="38">
        <f t="shared" ca="1" si="38"/>
        <v>180</v>
      </c>
      <c r="AP24" s="68">
        <f t="shared" si="39"/>
        <v>240</v>
      </c>
      <c r="AQ24" s="38">
        <f t="shared" si="19"/>
        <v>17</v>
      </c>
      <c r="AR24" s="38">
        <f t="shared" si="20"/>
        <v>6</v>
      </c>
      <c r="AS24" s="38">
        <f t="shared" si="21"/>
        <v>1</v>
      </c>
      <c r="AT24" s="38">
        <f t="shared" ca="1" si="22"/>
        <v>516</v>
      </c>
      <c r="AU24" s="68">
        <f t="shared" si="23"/>
        <v>760</v>
      </c>
      <c r="BC24" s="38">
        <v>22</v>
      </c>
      <c r="BD24" s="43" t="s">
        <v>255</v>
      </c>
      <c r="BE24" s="38">
        <v>1</v>
      </c>
      <c r="BF24" s="38">
        <v>0</v>
      </c>
      <c r="BG24" s="38">
        <v>0</v>
      </c>
      <c r="BH24" s="38">
        <v>6</v>
      </c>
      <c r="BI24" s="38">
        <v>12</v>
      </c>
      <c r="BJ24" s="38">
        <v>18</v>
      </c>
      <c r="BK24" s="38">
        <v>24</v>
      </c>
      <c r="BL24" s="38">
        <v>30</v>
      </c>
      <c r="BM24" s="38">
        <v>36</v>
      </c>
      <c r="BN24" s="38">
        <v>42</v>
      </c>
      <c r="BO24" s="38">
        <v>48</v>
      </c>
      <c r="BP24" s="38">
        <v>54</v>
      </c>
      <c r="BQ24" s="38">
        <v>60</v>
      </c>
      <c r="BS24" t="str">
        <f t="shared" si="24"/>
        <v>104,1</v>
      </c>
      <c r="BT24" t="str">
        <f t="shared" si="25"/>
        <v/>
      </c>
      <c r="BU24" t="str">
        <f t="shared" si="26"/>
        <v/>
      </c>
      <c r="BV24" t="str">
        <f t="shared" si="27"/>
        <v>104,1</v>
      </c>
      <c r="BW24" t="str">
        <f t="shared" si="28"/>
        <v>6,12,18,24,30,36,42,48,54,60</v>
      </c>
    </row>
    <row r="25" spans="1:75" x14ac:dyDescent="0.25">
      <c r="A25" s="86" t="s">
        <v>253</v>
      </c>
      <c r="B25" s="14">
        <v>23</v>
      </c>
      <c r="C25" s="14">
        <f>关卡产出!C30</f>
        <v>17</v>
      </c>
      <c r="D25" s="14">
        <f>关卡产出!D30</f>
        <v>8</v>
      </c>
      <c r="E25" s="14">
        <f>关卡产出!E30</f>
        <v>4</v>
      </c>
      <c r="F25" s="14">
        <f>关卡产出!F30</f>
        <v>290</v>
      </c>
      <c r="G25" s="38">
        <f t="shared" si="7"/>
        <v>9</v>
      </c>
      <c r="H25" s="38">
        <f t="shared" si="8"/>
        <v>4</v>
      </c>
      <c r="I25" s="38">
        <f t="shared" si="9"/>
        <v>2</v>
      </c>
      <c r="J25" s="38">
        <f t="shared" si="10"/>
        <v>363</v>
      </c>
      <c r="K25" s="38">
        <f t="shared" ca="1" si="11"/>
        <v>516</v>
      </c>
      <c r="M25" s="38">
        <v>23</v>
      </c>
      <c r="N25" s="38"/>
      <c r="O25" s="38"/>
      <c r="P25" s="38">
        <v>15</v>
      </c>
      <c r="R25" s="113" t="s">
        <v>253</v>
      </c>
      <c r="S25" s="14">
        <v>23</v>
      </c>
      <c r="T25" s="14">
        <f>关卡对比!AE29</f>
        <v>16</v>
      </c>
      <c r="U25" s="109">
        <f>关卡对比!AF29</f>
        <v>14</v>
      </c>
      <c r="V25" s="70">
        <f t="shared" si="1"/>
        <v>7</v>
      </c>
      <c r="W25" s="38">
        <f t="shared" si="2"/>
        <v>13</v>
      </c>
      <c r="X25" s="68">
        <f t="shared" si="3"/>
        <v>22</v>
      </c>
      <c r="Y25" s="70">
        <f t="shared" si="29"/>
        <v>3.5714285714285716</v>
      </c>
      <c r="Z25" s="38">
        <f t="shared" si="13"/>
        <v>4.6666666666666661</v>
      </c>
      <c r="AA25" s="68">
        <f t="shared" si="14"/>
        <v>5.5</v>
      </c>
      <c r="AB25" s="70">
        <f t="shared" si="15"/>
        <v>7</v>
      </c>
      <c r="AC25" s="38">
        <f t="shared" si="16"/>
        <v>3</v>
      </c>
      <c r="AD25" s="38">
        <f t="shared" si="17"/>
        <v>1</v>
      </c>
      <c r="AE25" s="38">
        <f t="shared" ca="1" si="18"/>
        <v>168</v>
      </c>
      <c r="AF25" s="68">
        <f t="shared" si="4"/>
        <v>280</v>
      </c>
      <c r="AG25" s="70">
        <f t="shared" si="30"/>
        <v>5</v>
      </c>
      <c r="AH25" s="38">
        <f t="shared" si="31"/>
        <v>2</v>
      </c>
      <c r="AI25" s="38">
        <f t="shared" si="32"/>
        <v>0</v>
      </c>
      <c r="AJ25" s="38">
        <f t="shared" ca="1" si="33"/>
        <v>168</v>
      </c>
      <c r="AK25" s="68">
        <f t="shared" si="34"/>
        <v>240</v>
      </c>
      <c r="AL25" s="38">
        <f t="shared" si="35"/>
        <v>5</v>
      </c>
      <c r="AM25" s="38">
        <f t="shared" si="36"/>
        <v>1</v>
      </c>
      <c r="AN25" s="38">
        <f t="shared" si="37"/>
        <v>0</v>
      </c>
      <c r="AO25" s="38">
        <f t="shared" ca="1" si="38"/>
        <v>180</v>
      </c>
      <c r="AP25" s="68">
        <f t="shared" si="39"/>
        <v>240</v>
      </c>
      <c r="AQ25" s="38">
        <f t="shared" si="19"/>
        <v>17</v>
      </c>
      <c r="AR25" s="38">
        <f t="shared" si="20"/>
        <v>6</v>
      </c>
      <c r="AS25" s="38">
        <f t="shared" si="21"/>
        <v>1</v>
      </c>
      <c r="AT25" s="38">
        <f t="shared" ca="1" si="22"/>
        <v>516</v>
      </c>
      <c r="AU25" s="68">
        <f t="shared" si="23"/>
        <v>760</v>
      </c>
      <c r="BC25" s="38">
        <v>23</v>
      </c>
      <c r="BD25" s="43" t="s">
        <v>255</v>
      </c>
      <c r="BE25" s="38">
        <v>0</v>
      </c>
      <c r="BF25" s="38">
        <v>1</v>
      </c>
      <c r="BG25" s="38">
        <v>0</v>
      </c>
      <c r="BH25" s="38">
        <v>6</v>
      </c>
      <c r="BI25" s="38">
        <v>12</v>
      </c>
      <c r="BJ25" s="38">
        <v>18</v>
      </c>
      <c r="BK25" s="38">
        <v>24</v>
      </c>
      <c r="BL25" s="38">
        <v>30</v>
      </c>
      <c r="BM25" s="38">
        <v>36</v>
      </c>
      <c r="BN25" s="38">
        <v>42</v>
      </c>
      <c r="BO25" s="38">
        <v>48</v>
      </c>
      <c r="BP25" s="38">
        <v>54</v>
      </c>
      <c r="BQ25" s="38">
        <v>60</v>
      </c>
      <c r="BS25" t="str">
        <f t="shared" si="24"/>
        <v/>
      </c>
      <c r="BT25" t="str">
        <f t="shared" si="25"/>
        <v>105,1</v>
      </c>
      <c r="BU25" t="str">
        <f t="shared" si="26"/>
        <v/>
      </c>
      <c r="BV25" t="str">
        <f t="shared" si="27"/>
        <v>105,1</v>
      </c>
      <c r="BW25" t="str">
        <f t="shared" si="28"/>
        <v>6,12,18,24,30,36,42,48,54,60</v>
      </c>
    </row>
    <row r="26" spans="1:75" x14ac:dyDescent="0.25">
      <c r="A26" s="86" t="s">
        <v>253</v>
      </c>
      <c r="B26" s="14">
        <v>24</v>
      </c>
      <c r="C26" s="14">
        <f>关卡产出!C31</f>
        <v>18</v>
      </c>
      <c r="D26" s="14">
        <f>关卡产出!D31</f>
        <v>9</v>
      </c>
      <c r="E26" s="14">
        <f>关卡产出!E31</f>
        <v>4</v>
      </c>
      <c r="F26" s="14">
        <f>关卡产出!F31</f>
        <v>290</v>
      </c>
      <c r="G26" s="38">
        <f t="shared" si="7"/>
        <v>9</v>
      </c>
      <c r="H26" s="38">
        <f t="shared" si="8"/>
        <v>5</v>
      </c>
      <c r="I26" s="38">
        <f t="shared" si="9"/>
        <v>2</v>
      </c>
      <c r="J26" s="38">
        <f t="shared" si="10"/>
        <v>363</v>
      </c>
      <c r="K26" s="38">
        <f t="shared" ca="1" si="11"/>
        <v>549</v>
      </c>
      <c r="M26" s="38">
        <v>24</v>
      </c>
      <c r="N26" s="38"/>
      <c r="O26" s="38"/>
      <c r="P26" s="38">
        <v>20</v>
      </c>
      <c r="R26" s="113" t="s">
        <v>253</v>
      </c>
      <c r="S26" s="14">
        <v>24</v>
      </c>
      <c r="T26" s="14">
        <f>关卡对比!AE30</f>
        <v>17</v>
      </c>
      <c r="U26" s="109">
        <f>关卡对比!AF30</f>
        <v>15</v>
      </c>
      <c r="V26" s="70">
        <f t="shared" si="1"/>
        <v>8</v>
      </c>
      <c r="W26" s="38">
        <f t="shared" si="2"/>
        <v>13</v>
      </c>
      <c r="X26" s="68">
        <f t="shared" si="3"/>
        <v>23</v>
      </c>
      <c r="Y26" s="70">
        <f t="shared" si="29"/>
        <v>3.375</v>
      </c>
      <c r="Z26" s="38">
        <f t="shared" si="13"/>
        <v>5</v>
      </c>
      <c r="AA26" s="68">
        <f t="shared" si="14"/>
        <v>4.3333333333333339</v>
      </c>
      <c r="AB26" s="70">
        <f t="shared" si="15"/>
        <v>7</v>
      </c>
      <c r="AC26" s="38">
        <f t="shared" si="16"/>
        <v>4</v>
      </c>
      <c r="AD26" s="38">
        <f t="shared" si="17"/>
        <v>1</v>
      </c>
      <c r="AE26" s="38">
        <f t="shared" ca="1" si="18"/>
        <v>177</v>
      </c>
      <c r="AF26" s="68">
        <f t="shared" si="4"/>
        <v>310</v>
      </c>
      <c r="AG26" s="70">
        <f t="shared" si="30"/>
        <v>5</v>
      </c>
      <c r="AH26" s="38">
        <f t="shared" si="31"/>
        <v>2</v>
      </c>
      <c r="AI26" s="38">
        <f t="shared" si="32"/>
        <v>0</v>
      </c>
      <c r="AJ26" s="38">
        <f t="shared" ca="1" si="33"/>
        <v>180</v>
      </c>
      <c r="AK26" s="68">
        <f t="shared" si="34"/>
        <v>240</v>
      </c>
      <c r="AL26" s="38">
        <f t="shared" si="35"/>
        <v>5</v>
      </c>
      <c r="AM26" s="38">
        <f t="shared" si="36"/>
        <v>2</v>
      </c>
      <c r="AN26" s="38">
        <f t="shared" si="37"/>
        <v>0</v>
      </c>
      <c r="AO26" s="38">
        <f t="shared" ca="1" si="38"/>
        <v>192</v>
      </c>
      <c r="AP26" s="68">
        <f t="shared" si="39"/>
        <v>300</v>
      </c>
      <c r="AQ26" s="38">
        <f t="shared" si="19"/>
        <v>17</v>
      </c>
      <c r="AR26" s="38">
        <f t="shared" si="20"/>
        <v>8</v>
      </c>
      <c r="AS26" s="38">
        <f t="shared" si="21"/>
        <v>1</v>
      </c>
      <c r="AT26" s="38">
        <f t="shared" ca="1" si="22"/>
        <v>549</v>
      </c>
      <c r="AU26" s="68">
        <f t="shared" si="23"/>
        <v>850</v>
      </c>
      <c r="BC26" s="38">
        <v>24</v>
      </c>
      <c r="BD26" s="43" t="s">
        <v>255</v>
      </c>
      <c r="BE26" s="38">
        <v>0</v>
      </c>
      <c r="BF26" s="38">
        <v>0</v>
      </c>
      <c r="BG26" s="38">
        <v>1</v>
      </c>
      <c r="BH26" s="38">
        <v>6</v>
      </c>
      <c r="BI26" s="38">
        <v>12</v>
      </c>
      <c r="BJ26" s="38">
        <v>18</v>
      </c>
      <c r="BK26" s="38">
        <v>24</v>
      </c>
      <c r="BL26" s="38">
        <v>30</v>
      </c>
      <c r="BM26" s="38">
        <v>36</v>
      </c>
      <c r="BN26" s="38">
        <v>42</v>
      </c>
      <c r="BO26" s="38">
        <v>48</v>
      </c>
      <c r="BP26" s="38">
        <v>54</v>
      </c>
      <c r="BQ26" s="38">
        <v>60</v>
      </c>
      <c r="BS26" t="str">
        <f t="shared" si="24"/>
        <v/>
      </c>
      <c r="BT26" t="str">
        <f t="shared" si="25"/>
        <v/>
      </c>
      <c r="BU26" t="str">
        <f t="shared" si="26"/>
        <v>106,1</v>
      </c>
      <c r="BV26" t="str">
        <f t="shared" si="27"/>
        <v>106,1</v>
      </c>
      <c r="BW26" t="str">
        <f t="shared" si="28"/>
        <v>6,12,18,24,30,36,42,48,54,60</v>
      </c>
    </row>
    <row r="27" spans="1:75" x14ac:dyDescent="0.25">
      <c r="A27" s="86" t="s">
        <v>253</v>
      </c>
      <c r="B27" s="14">
        <v>25</v>
      </c>
      <c r="C27" s="14">
        <f>关卡产出!C32</f>
        <v>18</v>
      </c>
      <c r="D27" s="14">
        <f>关卡产出!D32</f>
        <v>9</v>
      </c>
      <c r="E27" s="14">
        <f>关卡产出!E32</f>
        <v>4</v>
      </c>
      <c r="F27" s="14">
        <f>关卡产出!F32</f>
        <v>310</v>
      </c>
      <c r="G27" s="38">
        <f t="shared" si="7"/>
        <v>9</v>
      </c>
      <c r="H27" s="38">
        <f t="shared" si="8"/>
        <v>5</v>
      </c>
      <c r="I27" s="38">
        <f t="shared" si="9"/>
        <v>2</v>
      </c>
      <c r="J27" s="38">
        <f t="shared" si="10"/>
        <v>388</v>
      </c>
      <c r="K27" s="38">
        <f t="shared" ca="1" si="11"/>
        <v>549</v>
      </c>
      <c r="M27" s="38">
        <v>25</v>
      </c>
      <c r="N27" s="38"/>
      <c r="O27" s="38"/>
      <c r="P27" s="38">
        <v>25</v>
      </c>
      <c r="R27" s="113" t="s">
        <v>253</v>
      </c>
      <c r="S27" s="14">
        <v>25</v>
      </c>
      <c r="T27" s="14">
        <f>关卡对比!AE31</f>
        <v>17</v>
      </c>
      <c r="U27" s="109">
        <f>关卡对比!AF31</f>
        <v>15</v>
      </c>
      <c r="V27" s="70">
        <f t="shared" si="1"/>
        <v>8</v>
      </c>
      <c r="W27" s="38">
        <f t="shared" si="2"/>
        <v>13</v>
      </c>
      <c r="X27" s="68">
        <f t="shared" si="3"/>
        <v>23</v>
      </c>
      <c r="Y27" s="70">
        <f t="shared" si="29"/>
        <v>3.5</v>
      </c>
      <c r="Z27" s="38">
        <f t="shared" si="13"/>
        <v>5</v>
      </c>
      <c r="AA27" s="68">
        <f t="shared" si="14"/>
        <v>4.3333333333333339</v>
      </c>
      <c r="AB27" s="70">
        <f t="shared" si="15"/>
        <v>7</v>
      </c>
      <c r="AC27" s="38">
        <f t="shared" si="16"/>
        <v>4</v>
      </c>
      <c r="AD27" s="38">
        <f t="shared" si="17"/>
        <v>1</v>
      </c>
      <c r="AE27" s="38">
        <f t="shared" ca="1" si="18"/>
        <v>177</v>
      </c>
      <c r="AF27" s="68">
        <f t="shared" si="4"/>
        <v>310</v>
      </c>
      <c r="AG27" s="70">
        <f t="shared" si="30"/>
        <v>5</v>
      </c>
      <c r="AH27" s="38">
        <f t="shared" si="31"/>
        <v>2</v>
      </c>
      <c r="AI27" s="38">
        <f t="shared" si="32"/>
        <v>0</v>
      </c>
      <c r="AJ27" s="38">
        <f t="shared" ca="1" si="33"/>
        <v>180</v>
      </c>
      <c r="AK27" s="68">
        <f t="shared" si="34"/>
        <v>240</v>
      </c>
      <c r="AL27" s="38">
        <f t="shared" si="35"/>
        <v>5</v>
      </c>
      <c r="AM27" s="38">
        <f t="shared" si="36"/>
        <v>2</v>
      </c>
      <c r="AN27" s="38">
        <f t="shared" si="37"/>
        <v>0</v>
      </c>
      <c r="AO27" s="38">
        <f t="shared" ca="1" si="38"/>
        <v>192</v>
      </c>
      <c r="AP27" s="68">
        <f t="shared" si="39"/>
        <v>300</v>
      </c>
      <c r="AQ27" s="38">
        <f t="shared" si="19"/>
        <v>17</v>
      </c>
      <c r="AR27" s="38">
        <f t="shared" si="20"/>
        <v>8</v>
      </c>
      <c r="AS27" s="38">
        <f t="shared" si="21"/>
        <v>1</v>
      </c>
      <c r="AT27" s="38">
        <f t="shared" ca="1" si="22"/>
        <v>549</v>
      </c>
      <c r="AU27" s="68">
        <f t="shared" si="23"/>
        <v>850</v>
      </c>
      <c r="BC27" s="38">
        <v>25</v>
      </c>
      <c r="BD27" s="43" t="s">
        <v>255</v>
      </c>
      <c r="BE27" s="38">
        <v>1</v>
      </c>
      <c r="BF27" s="38">
        <v>0</v>
      </c>
      <c r="BG27" s="38">
        <v>0</v>
      </c>
      <c r="BH27" s="38">
        <v>6</v>
      </c>
      <c r="BI27" s="38">
        <v>12</v>
      </c>
      <c r="BJ27" s="38">
        <v>18</v>
      </c>
      <c r="BK27" s="38">
        <v>24</v>
      </c>
      <c r="BL27" s="38">
        <v>30</v>
      </c>
      <c r="BM27" s="38">
        <v>36</v>
      </c>
      <c r="BN27" s="38">
        <v>42</v>
      </c>
      <c r="BO27" s="38">
        <v>48</v>
      </c>
      <c r="BP27" s="38">
        <v>54</v>
      </c>
      <c r="BQ27" s="38">
        <v>60</v>
      </c>
      <c r="BS27" t="str">
        <f t="shared" si="24"/>
        <v>104,1</v>
      </c>
      <c r="BT27" t="str">
        <f t="shared" si="25"/>
        <v/>
      </c>
      <c r="BU27" t="str">
        <f t="shared" si="26"/>
        <v/>
      </c>
      <c r="BV27" t="str">
        <f t="shared" si="27"/>
        <v>104,1</v>
      </c>
      <c r="BW27" t="str">
        <f t="shared" si="28"/>
        <v>6,12,18,24,30,36,42,48,54,60</v>
      </c>
    </row>
    <row r="28" spans="1:75" x14ac:dyDescent="0.25">
      <c r="A28" s="86" t="s">
        <v>253</v>
      </c>
      <c r="B28" s="14">
        <v>26</v>
      </c>
      <c r="C28" s="14">
        <f>关卡产出!C33</f>
        <v>19</v>
      </c>
      <c r="D28" s="14">
        <f>关卡产出!D33</f>
        <v>9</v>
      </c>
      <c r="E28" s="14">
        <f>关卡产出!E33</f>
        <v>4</v>
      </c>
      <c r="F28" s="14">
        <f>关卡产出!F33</f>
        <v>310</v>
      </c>
      <c r="G28" s="38">
        <f t="shared" si="7"/>
        <v>10</v>
      </c>
      <c r="H28" s="38">
        <f t="shared" si="8"/>
        <v>5</v>
      </c>
      <c r="I28" s="38">
        <f t="shared" si="9"/>
        <v>2</v>
      </c>
      <c r="J28" s="38">
        <f t="shared" si="10"/>
        <v>388</v>
      </c>
      <c r="K28" s="38">
        <f t="shared" ca="1" si="11"/>
        <v>549</v>
      </c>
      <c r="M28" s="38">
        <v>26</v>
      </c>
      <c r="N28" s="38"/>
      <c r="O28" s="38"/>
      <c r="P28" s="38">
        <v>30</v>
      </c>
      <c r="R28" s="113" t="s">
        <v>253</v>
      </c>
      <c r="S28" s="14">
        <v>26</v>
      </c>
      <c r="T28" s="14">
        <f>关卡对比!AE32</f>
        <v>18</v>
      </c>
      <c r="U28" s="109">
        <f>关卡对比!AF32</f>
        <v>15</v>
      </c>
      <c r="V28" s="70">
        <f t="shared" si="1"/>
        <v>8</v>
      </c>
      <c r="W28" s="38">
        <f t="shared" si="2"/>
        <v>13</v>
      </c>
      <c r="X28" s="68">
        <f t="shared" si="3"/>
        <v>23</v>
      </c>
      <c r="Y28" s="70">
        <f t="shared" si="29"/>
        <v>3.625</v>
      </c>
      <c r="Z28" s="38">
        <f t="shared" si="13"/>
        <v>5.333333333333333</v>
      </c>
      <c r="AA28" s="68">
        <f t="shared" si="14"/>
        <v>4.3333333333333339</v>
      </c>
      <c r="AB28" s="70">
        <f t="shared" si="15"/>
        <v>7</v>
      </c>
      <c r="AC28" s="38">
        <f t="shared" si="16"/>
        <v>4</v>
      </c>
      <c r="AD28" s="38">
        <f t="shared" si="17"/>
        <v>1</v>
      </c>
      <c r="AE28" s="38">
        <f t="shared" ca="1" si="18"/>
        <v>177</v>
      </c>
      <c r="AF28" s="68">
        <f t="shared" si="4"/>
        <v>310</v>
      </c>
      <c r="AG28" s="70">
        <f t="shared" si="30"/>
        <v>5</v>
      </c>
      <c r="AH28" s="38">
        <f t="shared" si="31"/>
        <v>2</v>
      </c>
      <c r="AI28" s="38">
        <f t="shared" si="32"/>
        <v>0</v>
      </c>
      <c r="AJ28" s="38">
        <f t="shared" ca="1" si="33"/>
        <v>180</v>
      </c>
      <c r="AK28" s="68">
        <f t="shared" si="34"/>
        <v>240</v>
      </c>
      <c r="AL28" s="38">
        <f t="shared" si="35"/>
        <v>5</v>
      </c>
      <c r="AM28" s="38">
        <f t="shared" si="36"/>
        <v>2</v>
      </c>
      <c r="AN28" s="38">
        <f t="shared" si="37"/>
        <v>0</v>
      </c>
      <c r="AO28" s="38">
        <f t="shared" ca="1" si="38"/>
        <v>192</v>
      </c>
      <c r="AP28" s="68">
        <f t="shared" si="39"/>
        <v>300</v>
      </c>
      <c r="AQ28" s="38">
        <f t="shared" si="19"/>
        <v>17</v>
      </c>
      <c r="AR28" s="38">
        <f t="shared" si="20"/>
        <v>8</v>
      </c>
      <c r="AS28" s="38">
        <f t="shared" si="21"/>
        <v>1</v>
      </c>
      <c r="AT28" s="38">
        <f t="shared" ca="1" si="22"/>
        <v>549</v>
      </c>
      <c r="AU28" s="68">
        <f t="shared" si="23"/>
        <v>850</v>
      </c>
      <c r="BC28" s="38">
        <v>26</v>
      </c>
      <c r="BD28" s="43" t="s">
        <v>255</v>
      </c>
      <c r="BE28" s="38">
        <v>0</v>
      </c>
      <c r="BF28" s="38">
        <v>1</v>
      </c>
      <c r="BG28" s="38">
        <v>0</v>
      </c>
      <c r="BH28" s="38">
        <v>7</v>
      </c>
      <c r="BI28" s="38">
        <v>14</v>
      </c>
      <c r="BJ28" s="38">
        <v>21</v>
      </c>
      <c r="BK28" s="38">
        <v>28</v>
      </c>
      <c r="BL28" s="38">
        <v>35</v>
      </c>
      <c r="BM28" s="38">
        <v>42</v>
      </c>
      <c r="BN28" s="38">
        <v>49</v>
      </c>
      <c r="BO28" s="38">
        <v>56</v>
      </c>
      <c r="BP28" s="38">
        <v>63</v>
      </c>
      <c r="BQ28" s="38">
        <v>70</v>
      </c>
      <c r="BS28" t="str">
        <f t="shared" si="24"/>
        <v/>
      </c>
      <c r="BT28" t="str">
        <f t="shared" si="25"/>
        <v>105,1</v>
      </c>
      <c r="BU28" t="str">
        <f t="shared" si="26"/>
        <v/>
      </c>
      <c r="BV28" t="str">
        <f t="shared" si="27"/>
        <v>105,1</v>
      </c>
      <c r="BW28" t="str">
        <f t="shared" si="28"/>
        <v>7,14,21,28,35,42,49,56,63,70</v>
      </c>
    </row>
    <row r="29" spans="1:75" x14ac:dyDescent="0.25">
      <c r="A29" s="86" t="s">
        <v>253</v>
      </c>
      <c r="B29" s="14">
        <v>27</v>
      </c>
      <c r="C29" s="14">
        <f>关卡产出!C34</f>
        <v>20</v>
      </c>
      <c r="D29" s="14">
        <f>关卡产出!D34</f>
        <v>10</v>
      </c>
      <c r="E29" s="14">
        <f>关卡产出!E34</f>
        <v>4</v>
      </c>
      <c r="F29" s="14">
        <f>关卡产出!F34</f>
        <v>330</v>
      </c>
      <c r="G29" s="38">
        <f t="shared" si="7"/>
        <v>10</v>
      </c>
      <c r="H29" s="38">
        <f t="shared" si="8"/>
        <v>5</v>
      </c>
      <c r="I29" s="38">
        <f t="shared" si="9"/>
        <v>2</v>
      </c>
      <c r="J29" s="38">
        <f t="shared" si="10"/>
        <v>413</v>
      </c>
      <c r="K29" s="38">
        <f t="shared" ca="1" si="11"/>
        <v>558</v>
      </c>
      <c r="M29" s="38">
        <v>27</v>
      </c>
      <c r="N29" s="38"/>
      <c r="O29" s="38"/>
      <c r="P29" s="38">
        <v>35</v>
      </c>
      <c r="R29" s="113" t="s">
        <v>253</v>
      </c>
      <c r="S29" s="14">
        <v>27</v>
      </c>
      <c r="T29" s="14">
        <f>关卡对比!AE33</f>
        <v>18</v>
      </c>
      <c r="U29" s="109">
        <f>关卡对比!AF33</f>
        <v>16</v>
      </c>
      <c r="V29" s="70">
        <f t="shared" si="1"/>
        <v>9</v>
      </c>
      <c r="W29" s="38">
        <f t="shared" si="2"/>
        <v>13</v>
      </c>
      <c r="X29" s="68">
        <f t="shared" si="3"/>
        <v>23</v>
      </c>
      <c r="Y29" s="70">
        <f t="shared" si="29"/>
        <v>3.4444444444444446</v>
      </c>
      <c r="Z29" s="38">
        <f t="shared" si="13"/>
        <v>5.333333333333333</v>
      </c>
      <c r="AA29" s="68">
        <f t="shared" si="14"/>
        <v>4.6666666666666661</v>
      </c>
      <c r="AB29" s="70">
        <f t="shared" si="15"/>
        <v>7</v>
      </c>
      <c r="AC29" s="38">
        <f t="shared" si="16"/>
        <v>5</v>
      </c>
      <c r="AD29" s="38">
        <f t="shared" si="17"/>
        <v>1</v>
      </c>
      <c r="AE29" s="38">
        <f t="shared" ca="1" si="18"/>
        <v>186</v>
      </c>
      <c r="AF29" s="68">
        <f t="shared" si="4"/>
        <v>340</v>
      </c>
      <c r="AG29" s="70">
        <f t="shared" si="30"/>
        <v>5</v>
      </c>
      <c r="AH29" s="38">
        <f t="shared" si="31"/>
        <v>2</v>
      </c>
      <c r="AI29" s="38">
        <f t="shared" si="32"/>
        <v>0</v>
      </c>
      <c r="AJ29" s="38">
        <f t="shared" ca="1" si="33"/>
        <v>180</v>
      </c>
      <c r="AK29" s="68">
        <f t="shared" si="34"/>
        <v>240</v>
      </c>
      <c r="AL29" s="38">
        <f t="shared" si="35"/>
        <v>5</v>
      </c>
      <c r="AM29" s="38">
        <f t="shared" si="36"/>
        <v>2</v>
      </c>
      <c r="AN29" s="38">
        <f t="shared" si="37"/>
        <v>0</v>
      </c>
      <c r="AO29" s="38">
        <f t="shared" ca="1" si="38"/>
        <v>192</v>
      </c>
      <c r="AP29" s="68">
        <f t="shared" si="39"/>
        <v>300</v>
      </c>
      <c r="AQ29" s="38">
        <f t="shared" si="19"/>
        <v>17</v>
      </c>
      <c r="AR29" s="38">
        <f t="shared" si="20"/>
        <v>9</v>
      </c>
      <c r="AS29" s="38">
        <f t="shared" si="21"/>
        <v>1</v>
      </c>
      <c r="AT29" s="38">
        <f t="shared" ca="1" si="22"/>
        <v>558</v>
      </c>
      <c r="AU29" s="68">
        <f t="shared" si="23"/>
        <v>880</v>
      </c>
      <c r="BC29" s="38">
        <v>27</v>
      </c>
      <c r="BD29" s="43" t="s">
        <v>255</v>
      </c>
      <c r="BE29" s="38">
        <v>1</v>
      </c>
      <c r="BF29" s="38">
        <v>0</v>
      </c>
      <c r="BG29" s="38">
        <v>0</v>
      </c>
      <c r="BH29" s="38">
        <v>7</v>
      </c>
      <c r="BI29" s="38">
        <v>14</v>
      </c>
      <c r="BJ29" s="38">
        <v>21</v>
      </c>
      <c r="BK29" s="38">
        <v>28</v>
      </c>
      <c r="BL29" s="38">
        <v>35</v>
      </c>
      <c r="BM29" s="38">
        <v>42</v>
      </c>
      <c r="BN29" s="38">
        <v>49</v>
      </c>
      <c r="BO29" s="38">
        <v>56</v>
      </c>
      <c r="BP29" s="38">
        <v>63</v>
      </c>
      <c r="BQ29" s="38">
        <v>70</v>
      </c>
      <c r="BS29" t="str">
        <f t="shared" si="24"/>
        <v>104,1</v>
      </c>
      <c r="BT29" t="str">
        <f t="shared" si="25"/>
        <v/>
      </c>
      <c r="BU29" t="str">
        <f t="shared" si="26"/>
        <v/>
      </c>
      <c r="BV29" t="str">
        <f t="shared" si="27"/>
        <v>104,1</v>
      </c>
      <c r="BW29" t="str">
        <f t="shared" si="28"/>
        <v>7,14,21,28,35,42,49,56,63,70</v>
      </c>
    </row>
    <row r="30" spans="1:75" x14ac:dyDescent="0.25">
      <c r="A30" s="86" t="s">
        <v>253</v>
      </c>
      <c r="B30" s="14">
        <v>28</v>
      </c>
      <c r="C30" s="14">
        <f>关卡产出!C35</f>
        <v>21</v>
      </c>
      <c r="D30" s="14">
        <f>关卡产出!D35</f>
        <v>10</v>
      </c>
      <c r="E30" s="14">
        <f>关卡产出!E35</f>
        <v>5</v>
      </c>
      <c r="F30" s="14">
        <f>关卡产出!F35</f>
        <v>330</v>
      </c>
      <c r="G30" s="38">
        <f t="shared" si="7"/>
        <v>11</v>
      </c>
      <c r="H30" s="38">
        <f t="shared" si="8"/>
        <v>5</v>
      </c>
      <c r="I30" s="38">
        <f t="shared" si="9"/>
        <v>3</v>
      </c>
      <c r="J30" s="38">
        <f t="shared" si="10"/>
        <v>413</v>
      </c>
      <c r="K30" s="38">
        <f t="shared" ca="1" si="11"/>
        <v>558</v>
      </c>
      <c r="M30" s="38">
        <v>28</v>
      </c>
      <c r="N30" s="38"/>
      <c r="O30" s="38"/>
      <c r="P30" s="38">
        <v>40</v>
      </c>
      <c r="R30" s="113" t="s">
        <v>253</v>
      </c>
      <c r="S30" s="14">
        <v>28</v>
      </c>
      <c r="T30" s="14">
        <f>关卡对比!AE34</f>
        <v>19</v>
      </c>
      <c r="U30" s="109">
        <f>关卡对比!AF34</f>
        <v>16</v>
      </c>
      <c r="V30" s="70">
        <f t="shared" si="1"/>
        <v>9</v>
      </c>
      <c r="W30" s="38">
        <f t="shared" si="2"/>
        <v>13</v>
      </c>
      <c r="X30" s="68">
        <f t="shared" si="3"/>
        <v>23</v>
      </c>
      <c r="Y30" s="70">
        <f t="shared" si="29"/>
        <v>3.5555555555555554</v>
      </c>
      <c r="Z30" s="38">
        <f t="shared" si="13"/>
        <v>5.666666666666667</v>
      </c>
      <c r="AA30" s="68">
        <f t="shared" si="14"/>
        <v>4.6666666666666661</v>
      </c>
      <c r="AB30" s="70">
        <f t="shared" si="15"/>
        <v>7</v>
      </c>
      <c r="AC30" s="38">
        <f t="shared" si="16"/>
        <v>5</v>
      </c>
      <c r="AD30" s="38">
        <f t="shared" si="17"/>
        <v>1</v>
      </c>
      <c r="AE30" s="38">
        <f t="shared" ca="1" si="18"/>
        <v>186</v>
      </c>
      <c r="AF30" s="68">
        <f t="shared" si="4"/>
        <v>340</v>
      </c>
      <c r="AG30" s="70">
        <f t="shared" si="30"/>
        <v>5</v>
      </c>
      <c r="AH30" s="38">
        <f t="shared" si="31"/>
        <v>2</v>
      </c>
      <c r="AI30" s="38">
        <f t="shared" si="32"/>
        <v>0</v>
      </c>
      <c r="AJ30" s="38">
        <f t="shared" ca="1" si="33"/>
        <v>180</v>
      </c>
      <c r="AK30" s="68">
        <f t="shared" si="34"/>
        <v>240</v>
      </c>
      <c r="AL30" s="38">
        <f t="shared" si="35"/>
        <v>5</v>
      </c>
      <c r="AM30" s="38">
        <f t="shared" si="36"/>
        <v>2</v>
      </c>
      <c r="AN30" s="38">
        <f t="shared" si="37"/>
        <v>0</v>
      </c>
      <c r="AO30" s="38">
        <f t="shared" ca="1" si="38"/>
        <v>192</v>
      </c>
      <c r="AP30" s="68">
        <f t="shared" si="39"/>
        <v>300</v>
      </c>
      <c r="AQ30" s="38">
        <f t="shared" si="19"/>
        <v>17</v>
      </c>
      <c r="AR30" s="38">
        <f t="shared" si="20"/>
        <v>9</v>
      </c>
      <c r="AS30" s="38">
        <f t="shared" si="21"/>
        <v>1</v>
      </c>
      <c r="AT30" s="38">
        <f t="shared" ca="1" si="22"/>
        <v>558</v>
      </c>
      <c r="AU30" s="68">
        <f t="shared" si="23"/>
        <v>880</v>
      </c>
      <c r="BC30" s="38">
        <v>28</v>
      </c>
      <c r="BD30" s="43" t="s">
        <v>255</v>
      </c>
      <c r="BE30" s="38">
        <v>0</v>
      </c>
      <c r="BF30" s="38">
        <v>1</v>
      </c>
      <c r="BG30" s="38">
        <v>0</v>
      </c>
      <c r="BH30" s="38">
        <v>7</v>
      </c>
      <c r="BI30" s="38">
        <v>14</v>
      </c>
      <c r="BJ30" s="38">
        <v>21</v>
      </c>
      <c r="BK30" s="38">
        <v>28</v>
      </c>
      <c r="BL30" s="38">
        <v>35</v>
      </c>
      <c r="BM30" s="38">
        <v>42</v>
      </c>
      <c r="BN30" s="38">
        <v>49</v>
      </c>
      <c r="BO30" s="38">
        <v>56</v>
      </c>
      <c r="BP30" s="38">
        <v>63</v>
      </c>
      <c r="BQ30" s="38">
        <v>70</v>
      </c>
      <c r="BS30" t="str">
        <f t="shared" si="24"/>
        <v/>
      </c>
      <c r="BT30" t="str">
        <f t="shared" si="25"/>
        <v>105,1</v>
      </c>
      <c r="BU30" t="str">
        <f t="shared" si="26"/>
        <v/>
      </c>
      <c r="BV30" t="str">
        <f t="shared" si="27"/>
        <v>105,1</v>
      </c>
      <c r="BW30" t="str">
        <f t="shared" si="28"/>
        <v>7,14,21,28,35,42,49,56,63,70</v>
      </c>
    </row>
    <row r="31" spans="1:75" x14ac:dyDescent="0.25">
      <c r="A31" s="86" t="s">
        <v>253</v>
      </c>
      <c r="B31" s="20">
        <v>29</v>
      </c>
      <c r="C31" s="14">
        <f>关卡产出!C36</f>
        <v>22</v>
      </c>
      <c r="D31" s="14">
        <f>关卡产出!D36</f>
        <v>11</v>
      </c>
      <c r="E31" s="14">
        <f>关卡产出!E36</f>
        <v>5</v>
      </c>
      <c r="F31" s="14">
        <f>关卡产出!F36</f>
        <v>350</v>
      </c>
      <c r="G31" s="38">
        <f t="shared" si="7"/>
        <v>11</v>
      </c>
      <c r="H31" s="38">
        <f t="shared" si="8"/>
        <v>6</v>
      </c>
      <c r="I31" s="38">
        <f t="shared" si="9"/>
        <v>3</v>
      </c>
      <c r="J31" s="38">
        <f t="shared" si="10"/>
        <v>438</v>
      </c>
      <c r="K31" s="38">
        <f t="shared" ca="1" si="11"/>
        <v>558</v>
      </c>
      <c r="M31" s="38">
        <v>29</v>
      </c>
      <c r="N31" s="38"/>
      <c r="O31" s="38"/>
      <c r="P31" s="38">
        <v>45</v>
      </c>
      <c r="R31" s="113" t="s">
        <v>253</v>
      </c>
      <c r="S31" s="20">
        <v>29</v>
      </c>
      <c r="T31" s="14">
        <f>关卡对比!AE35</f>
        <v>19</v>
      </c>
      <c r="U31" s="109">
        <f>关卡对比!AF35</f>
        <v>16</v>
      </c>
      <c r="V31" s="70">
        <f t="shared" si="1"/>
        <v>9</v>
      </c>
      <c r="W31" s="38">
        <f t="shared" si="2"/>
        <v>13</v>
      </c>
      <c r="X31" s="68">
        <f t="shared" si="3"/>
        <v>23</v>
      </c>
      <c r="Y31" s="70">
        <f t="shared" si="29"/>
        <v>3.6666666666666665</v>
      </c>
      <c r="Z31" s="38">
        <f t="shared" si="13"/>
        <v>5.666666666666667</v>
      </c>
      <c r="AA31" s="68">
        <f t="shared" si="14"/>
        <v>4.6666666666666661</v>
      </c>
      <c r="AB31" s="70">
        <f t="shared" si="15"/>
        <v>7</v>
      </c>
      <c r="AC31" s="38">
        <f t="shared" si="16"/>
        <v>5</v>
      </c>
      <c r="AD31" s="38">
        <f t="shared" si="17"/>
        <v>1</v>
      </c>
      <c r="AE31" s="38">
        <f t="shared" ca="1" si="18"/>
        <v>186</v>
      </c>
      <c r="AF31" s="68">
        <f t="shared" si="4"/>
        <v>340</v>
      </c>
      <c r="AG31" s="70">
        <f t="shared" si="30"/>
        <v>5</v>
      </c>
      <c r="AH31" s="38">
        <f t="shared" si="31"/>
        <v>2</v>
      </c>
      <c r="AI31" s="38">
        <f t="shared" si="32"/>
        <v>0</v>
      </c>
      <c r="AJ31" s="38">
        <f t="shared" ca="1" si="33"/>
        <v>180</v>
      </c>
      <c r="AK31" s="68">
        <f t="shared" si="34"/>
        <v>240</v>
      </c>
      <c r="AL31" s="38">
        <f t="shared" si="35"/>
        <v>5</v>
      </c>
      <c r="AM31" s="38">
        <f t="shared" si="36"/>
        <v>2</v>
      </c>
      <c r="AN31" s="38">
        <f t="shared" si="37"/>
        <v>0</v>
      </c>
      <c r="AO31" s="38">
        <f t="shared" ca="1" si="38"/>
        <v>192</v>
      </c>
      <c r="AP31" s="68">
        <f t="shared" si="39"/>
        <v>300</v>
      </c>
      <c r="AQ31" s="38">
        <f t="shared" si="19"/>
        <v>17</v>
      </c>
      <c r="AR31" s="38">
        <f t="shared" si="20"/>
        <v>9</v>
      </c>
      <c r="AS31" s="38">
        <f t="shared" si="21"/>
        <v>1</v>
      </c>
      <c r="AT31" s="38">
        <f t="shared" ca="1" si="22"/>
        <v>558</v>
      </c>
      <c r="AU31" s="68">
        <f t="shared" si="23"/>
        <v>880</v>
      </c>
      <c r="BC31" s="38">
        <v>29</v>
      </c>
      <c r="BD31" s="43" t="s">
        <v>255</v>
      </c>
      <c r="BE31" s="38">
        <v>0</v>
      </c>
      <c r="BF31" s="38">
        <v>1</v>
      </c>
      <c r="BG31" s="38">
        <v>0</v>
      </c>
      <c r="BH31" s="38">
        <v>7</v>
      </c>
      <c r="BI31" s="38">
        <v>14</v>
      </c>
      <c r="BJ31" s="38">
        <v>21</v>
      </c>
      <c r="BK31" s="38">
        <v>28</v>
      </c>
      <c r="BL31" s="38">
        <v>35</v>
      </c>
      <c r="BM31" s="38">
        <v>42</v>
      </c>
      <c r="BN31" s="38">
        <v>49</v>
      </c>
      <c r="BO31" s="38">
        <v>56</v>
      </c>
      <c r="BP31" s="38">
        <v>63</v>
      </c>
      <c r="BQ31" s="38">
        <v>70</v>
      </c>
      <c r="BS31" t="str">
        <f t="shared" si="24"/>
        <v/>
      </c>
      <c r="BT31" t="str">
        <f t="shared" si="25"/>
        <v>105,1</v>
      </c>
      <c r="BU31" t="str">
        <f t="shared" si="26"/>
        <v/>
      </c>
      <c r="BV31" t="str">
        <f t="shared" si="27"/>
        <v>105,1</v>
      </c>
      <c r="BW31" t="str">
        <f t="shared" si="28"/>
        <v>7,14,21,28,35,42,49,56,63,70</v>
      </c>
    </row>
    <row r="32" spans="1:75" x14ac:dyDescent="0.25">
      <c r="A32" s="86" t="s">
        <v>253</v>
      </c>
      <c r="B32" s="14">
        <v>30</v>
      </c>
      <c r="C32" s="14">
        <f>关卡产出!C37</f>
        <v>22</v>
      </c>
      <c r="D32" s="14">
        <f>关卡产出!D37</f>
        <v>11</v>
      </c>
      <c r="E32" s="14">
        <f>关卡产出!E37</f>
        <v>5</v>
      </c>
      <c r="F32" s="14">
        <f>关卡产出!F37</f>
        <v>350</v>
      </c>
      <c r="G32" s="38">
        <f t="shared" si="7"/>
        <v>11</v>
      </c>
      <c r="H32" s="38">
        <f t="shared" si="8"/>
        <v>6</v>
      </c>
      <c r="I32" s="38">
        <f t="shared" si="9"/>
        <v>3</v>
      </c>
      <c r="J32" s="38">
        <f t="shared" si="10"/>
        <v>438</v>
      </c>
      <c r="K32" s="38">
        <f t="shared" ca="1" si="11"/>
        <v>589</v>
      </c>
      <c r="M32" s="38">
        <v>30</v>
      </c>
      <c r="N32" s="38"/>
      <c r="O32" s="38"/>
      <c r="P32" s="38">
        <v>50</v>
      </c>
      <c r="R32" s="113" t="s">
        <v>253</v>
      </c>
      <c r="S32" s="14">
        <v>30</v>
      </c>
      <c r="T32" s="14">
        <f>关卡对比!AE36</f>
        <v>20</v>
      </c>
      <c r="U32" s="109">
        <f>关卡对比!AF36</f>
        <v>17</v>
      </c>
      <c r="V32" s="70">
        <f t="shared" si="1"/>
        <v>10</v>
      </c>
      <c r="W32" s="38">
        <f t="shared" si="2"/>
        <v>14</v>
      </c>
      <c r="X32" s="68">
        <f t="shared" si="3"/>
        <v>23</v>
      </c>
      <c r="Y32" s="70">
        <f t="shared" si="29"/>
        <v>3.5</v>
      </c>
      <c r="Z32" s="38">
        <f t="shared" si="13"/>
        <v>4.75</v>
      </c>
      <c r="AA32" s="68">
        <f t="shared" si="14"/>
        <v>5</v>
      </c>
      <c r="AB32" s="70">
        <f t="shared" si="15"/>
        <v>7</v>
      </c>
      <c r="AC32" s="38">
        <f t="shared" si="16"/>
        <v>5</v>
      </c>
      <c r="AD32" s="38">
        <f t="shared" si="17"/>
        <v>2</v>
      </c>
      <c r="AE32" s="38">
        <f t="shared" ca="1" si="18"/>
        <v>195</v>
      </c>
      <c r="AF32" s="68">
        <f t="shared" si="4"/>
        <v>370</v>
      </c>
      <c r="AG32" s="70">
        <f t="shared" si="30"/>
        <v>5</v>
      </c>
      <c r="AH32" s="38">
        <f t="shared" si="31"/>
        <v>2</v>
      </c>
      <c r="AI32" s="38">
        <f t="shared" si="32"/>
        <v>1</v>
      </c>
      <c r="AJ32" s="38">
        <f t="shared" ca="1" si="33"/>
        <v>184</v>
      </c>
      <c r="AK32" s="68">
        <f t="shared" si="34"/>
        <v>280</v>
      </c>
      <c r="AL32" s="38">
        <f t="shared" si="35"/>
        <v>5</v>
      </c>
      <c r="AM32" s="38">
        <f t="shared" si="36"/>
        <v>2</v>
      </c>
      <c r="AN32" s="38">
        <f t="shared" si="37"/>
        <v>0</v>
      </c>
      <c r="AO32" s="38">
        <f t="shared" ca="1" si="38"/>
        <v>210</v>
      </c>
      <c r="AP32" s="68">
        <f t="shared" si="39"/>
        <v>300</v>
      </c>
      <c r="AQ32" s="38">
        <f t="shared" si="19"/>
        <v>17</v>
      </c>
      <c r="AR32" s="38">
        <f t="shared" si="20"/>
        <v>9</v>
      </c>
      <c r="AS32" s="38">
        <f t="shared" si="21"/>
        <v>3</v>
      </c>
      <c r="AT32" s="38">
        <f t="shared" ca="1" si="22"/>
        <v>589</v>
      </c>
      <c r="AU32" s="68">
        <f t="shared" si="23"/>
        <v>950</v>
      </c>
      <c r="BC32" s="38">
        <v>30</v>
      </c>
      <c r="BD32" s="43" t="s">
        <v>255</v>
      </c>
      <c r="BE32" s="38">
        <v>0</v>
      </c>
      <c r="BF32" s="38">
        <v>0</v>
      </c>
      <c r="BG32" s="38">
        <v>1</v>
      </c>
      <c r="BH32" s="38">
        <v>7</v>
      </c>
      <c r="BI32" s="38">
        <v>14</v>
      </c>
      <c r="BJ32" s="38">
        <v>21</v>
      </c>
      <c r="BK32" s="38">
        <v>28</v>
      </c>
      <c r="BL32" s="38">
        <v>35</v>
      </c>
      <c r="BM32" s="38">
        <v>42</v>
      </c>
      <c r="BN32" s="38">
        <v>49</v>
      </c>
      <c r="BO32" s="38">
        <v>56</v>
      </c>
      <c r="BP32" s="38">
        <v>63</v>
      </c>
      <c r="BQ32" s="38">
        <v>70</v>
      </c>
      <c r="BS32" t="str">
        <f t="shared" si="24"/>
        <v/>
      </c>
      <c r="BT32" t="str">
        <f t="shared" si="25"/>
        <v/>
      </c>
      <c r="BU32" t="str">
        <f t="shared" si="26"/>
        <v>106,1</v>
      </c>
      <c r="BV32" t="str">
        <f t="shared" si="27"/>
        <v>106,1</v>
      </c>
      <c r="BW32" t="str">
        <f t="shared" si="28"/>
        <v>7,14,21,28,35,42,49,56,63,70</v>
      </c>
    </row>
    <row r="33" spans="1:47" x14ac:dyDescent="0.25">
      <c r="A33" s="86" t="s">
        <v>253</v>
      </c>
      <c r="B33" s="14">
        <v>31</v>
      </c>
      <c r="C33" s="14">
        <f>关卡产出!C38</f>
        <v>23</v>
      </c>
      <c r="D33" s="14">
        <f>关卡产出!D38</f>
        <v>11</v>
      </c>
      <c r="E33" s="14">
        <f>关卡产出!E38</f>
        <v>5</v>
      </c>
      <c r="F33" s="14">
        <f>关卡产出!F38</f>
        <v>370</v>
      </c>
      <c r="G33" s="38">
        <f t="shared" si="7"/>
        <v>12</v>
      </c>
      <c r="H33" s="38">
        <f t="shared" si="8"/>
        <v>6</v>
      </c>
      <c r="I33" s="38">
        <f t="shared" si="9"/>
        <v>3</v>
      </c>
      <c r="J33" s="38">
        <f t="shared" si="10"/>
        <v>463</v>
      </c>
      <c r="K33" s="38">
        <f t="shared" ca="1" si="11"/>
        <v>605</v>
      </c>
      <c r="R33" s="113" t="s">
        <v>253</v>
      </c>
      <c r="S33" s="14">
        <v>31</v>
      </c>
      <c r="T33" s="14">
        <f>关卡对比!AE37</f>
        <v>21</v>
      </c>
      <c r="U33" s="109">
        <f>关卡对比!AF37</f>
        <v>17</v>
      </c>
      <c r="V33" s="70">
        <f t="shared" si="1"/>
        <v>10</v>
      </c>
      <c r="W33" s="38">
        <f t="shared" si="2"/>
        <v>14</v>
      </c>
      <c r="X33" s="68">
        <f t="shared" si="3"/>
        <v>23</v>
      </c>
      <c r="Y33" s="70">
        <f t="shared" si="29"/>
        <v>3.6</v>
      </c>
      <c r="Z33" s="38">
        <f t="shared" si="13"/>
        <v>5</v>
      </c>
      <c r="AA33" s="68">
        <f t="shared" si="14"/>
        <v>5</v>
      </c>
      <c r="AB33" s="70">
        <f t="shared" si="15"/>
        <v>7</v>
      </c>
      <c r="AC33" s="38">
        <f t="shared" si="16"/>
        <v>5</v>
      </c>
      <c r="AD33" s="38">
        <f t="shared" si="17"/>
        <v>2</v>
      </c>
      <c r="AE33" s="38">
        <f t="shared" ca="1" si="18"/>
        <v>195</v>
      </c>
      <c r="AF33" s="68">
        <f t="shared" si="4"/>
        <v>370</v>
      </c>
      <c r="AG33" s="70">
        <f t="shared" si="30"/>
        <v>5</v>
      </c>
      <c r="AH33" s="38">
        <f t="shared" si="31"/>
        <v>2</v>
      </c>
      <c r="AI33" s="38">
        <f t="shared" si="32"/>
        <v>1</v>
      </c>
      <c r="AJ33" s="38">
        <f t="shared" ca="1" si="33"/>
        <v>200</v>
      </c>
      <c r="AK33" s="68">
        <f t="shared" si="34"/>
        <v>280</v>
      </c>
      <c r="AL33" s="38">
        <f t="shared" si="35"/>
        <v>5</v>
      </c>
      <c r="AM33" s="38">
        <f t="shared" si="36"/>
        <v>2</v>
      </c>
      <c r="AN33" s="38">
        <f t="shared" si="37"/>
        <v>0</v>
      </c>
      <c r="AO33" s="38">
        <f t="shared" ca="1" si="38"/>
        <v>210</v>
      </c>
      <c r="AP33" s="68">
        <f t="shared" si="39"/>
        <v>300</v>
      </c>
      <c r="AQ33" s="38">
        <f t="shared" si="19"/>
        <v>17</v>
      </c>
      <c r="AR33" s="38">
        <f t="shared" si="20"/>
        <v>9</v>
      </c>
      <c r="AS33" s="38">
        <f t="shared" si="21"/>
        <v>3</v>
      </c>
      <c r="AT33" s="38">
        <f t="shared" ca="1" si="22"/>
        <v>605</v>
      </c>
      <c r="AU33" s="68">
        <f t="shared" si="23"/>
        <v>950</v>
      </c>
    </row>
    <row r="34" spans="1:47" x14ac:dyDescent="0.25">
      <c r="A34" s="86" t="s">
        <v>253</v>
      </c>
      <c r="B34" s="14">
        <v>32</v>
      </c>
      <c r="C34" s="14">
        <f>关卡产出!C39</f>
        <v>24</v>
      </c>
      <c r="D34" s="14">
        <f>关卡产出!D39</f>
        <v>12</v>
      </c>
      <c r="E34" s="14">
        <f>关卡产出!E39</f>
        <v>5</v>
      </c>
      <c r="F34" s="14">
        <f>关卡产出!F39</f>
        <v>370</v>
      </c>
      <c r="G34" s="38">
        <f t="shared" si="7"/>
        <v>12</v>
      </c>
      <c r="H34" s="38">
        <f t="shared" si="8"/>
        <v>6</v>
      </c>
      <c r="I34" s="38">
        <f t="shared" si="9"/>
        <v>3</v>
      </c>
      <c r="J34" s="38">
        <f t="shared" si="10"/>
        <v>463</v>
      </c>
      <c r="K34" s="38">
        <f t="shared" ca="1" si="11"/>
        <v>605</v>
      </c>
      <c r="R34" s="113" t="s">
        <v>253</v>
      </c>
      <c r="S34" s="14">
        <v>32</v>
      </c>
      <c r="T34" s="14">
        <f>关卡对比!AE38</f>
        <v>22</v>
      </c>
      <c r="U34" s="109">
        <f>关卡对比!AF38</f>
        <v>18</v>
      </c>
      <c r="V34" s="70">
        <f t="shared" si="1"/>
        <v>10</v>
      </c>
      <c r="W34" s="38">
        <f t="shared" si="2"/>
        <v>14</v>
      </c>
      <c r="X34" s="68">
        <f t="shared" si="3"/>
        <v>23</v>
      </c>
      <c r="Y34" s="70">
        <f t="shared" si="29"/>
        <v>3.7</v>
      </c>
      <c r="Z34" s="38">
        <f t="shared" si="13"/>
        <v>5.25</v>
      </c>
      <c r="AA34" s="68">
        <f t="shared" si="14"/>
        <v>5.333333333333333</v>
      </c>
      <c r="AB34" s="70">
        <f t="shared" si="15"/>
        <v>7</v>
      </c>
      <c r="AC34" s="38">
        <f t="shared" si="16"/>
        <v>5</v>
      </c>
      <c r="AD34" s="38">
        <f t="shared" si="17"/>
        <v>2</v>
      </c>
      <c r="AE34" s="38">
        <f t="shared" ca="1" si="18"/>
        <v>195</v>
      </c>
      <c r="AF34" s="68">
        <f t="shared" si="4"/>
        <v>370</v>
      </c>
      <c r="AG34" s="70">
        <f t="shared" si="30"/>
        <v>5</v>
      </c>
      <c r="AH34" s="38">
        <f t="shared" si="31"/>
        <v>2</v>
      </c>
      <c r="AI34" s="38">
        <f t="shared" si="32"/>
        <v>1</v>
      </c>
      <c r="AJ34" s="38">
        <f t="shared" ca="1" si="33"/>
        <v>200</v>
      </c>
      <c r="AK34" s="68">
        <f t="shared" si="34"/>
        <v>280</v>
      </c>
      <c r="AL34" s="38">
        <f t="shared" si="35"/>
        <v>5</v>
      </c>
      <c r="AM34" s="38">
        <f t="shared" si="36"/>
        <v>2</v>
      </c>
      <c r="AN34" s="38">
        <f t="shared" si="37"/>
        <v>0</v>
      </c>
      <c r="AO34" s="38">
        <f t="shared" ca="1" si="38"/>
        <v>210</v>
      </c>
      <c r="AP34" s="68">
        <f t="shared" si="39"/>
        <v>300</v>
      </c>
      <c r="AQ34" s="38">
        <f t="shared" si="19"/>
        <v>17</v>
      </c>
      <c r="AR34" s="38">
        <f t="shared" si="20"/>
        <v>9</v>
      </c>
      <c r="AS34" s="38">
        <f t="shared" si="21"/>
        <v>3</v>
      </c>
      <c r="AT34" s="38">
        <f t="shared" ca="1" si="22"/>
        <v>605</v>
      </c>
      <c r="AU34" s="68">
        <f t="shared" si="23"/>
        <v>950</v>
      </c>
    </row>
    <row r="35" spans="1:47" x14ac:dyDescent="0.25">
      <c r="A35" s="86" t="s">
        <v>253</v>
      </c>
      <c r="B35" s="14">
        <v>33</v>
      </c>
      <c r="C35" s="14">
        <f>关卡产出!C40</f>
        <v>25</v>
      </c>
      <c r="D35" s="14">
        <f>关卡产出!D40</f>
        <v>12</v>
      </c>
      <c r="E35" s="14">
        <f>关卡产出!E40</f>
        <v>6</v>
      </c>
      <c r="F35" s="14">
        <f>关卡产出!F40</f>
        <v>390</v>
      </c>
      <c r="G35" s="38">
        <f t="shared" si="7"/>
        <v>13</v>
      </c>
      <c r="H35" s="38">
        <f t="shared" si="8"/>
        <v>6</v>
      </c>
      <c r="I35" s="38">
        <f t="shared" si="9"/>
        <v>3</v>
      </c>
      <c r="J35" s="38">
        <f t="shared" si="10"/>
        <v>488</v>
      </c>
      <c r="K35" s="38">
        <f t="shared" ca="1" si="11"/>
        <v>605</v>
      </c>
      <c r="R35" s="113" t="s">
        <v>253</v>
      </c>
      <c r="S35" s="14">
        <v>33</v>
      </c>
      <c r="T35" s="14">
        <f>关卡对比!AE39</f>
        <v>22</v>
      </c>
      <c r="U35" s="109">
        <f>关卡对比!AF39</f>
        <v>18</v>
      </c>
      <c r="V35" s="70">
        <f t="shared" ref="V35:V66" si="40">_xlfn.IFNA(INDEX($M:$M,MATCH($S35,N:N,1)),0)</f>
        <v>10</v>
      </c>
      <c r="W35" s="38">
        <f t="shared" ref="W35:W66" si="41">_xlfn.IFNA(INDEX($M:$M,MATCH($T35,O:O,1)),0)</f>
        <v>14</v>
      </c>
      <c r="X35" s="68">
        <f t="shared" ref="X35:X66" si="42">_xlfn.IFNA(INDEX($M:$M,MATCH($U35,P:P,1)),0)</f>
        <v>23</v>
      </c>
      <c r="Y35" s="70">
        <f t="shared" si="29"/>
        <v>3.8</v>
      </c>
      <c r="Z35" s="38">
        <f t="shared" si="13"/>
        <v>5.25</v>
      </c>
      <c r="AA35" s="68">
        <f t="shared" si="14"/>
        <v>5.333333333333333</v>
      </c>
      <c r="AB35" s="70">
        <f t="shared" si="15"/>
        <v>7</v>
      </c>
      <c r="AC35" s="38">
        <f t="shared" si="16"/>
        <v>5</v>
      </c>
      <c r="AD35" s="38">
        <f t="shared" si="17"/>
        <v>2</v>
      </c>
      <c r="AE35" s="38">
        <f t="shared" ca="1" si="18"/>
        <v>195</v>
      </c>
      <c r="AF35" s="68">
        <f t="shared" ref="AF35:AF66" si="43">$BA$3+SUMIFS($BQ:$BQ,$BC:$BC,"&lt;="&amp;V35)</f>
        <v>370</v>
      </c>
      <c r="AG35" s="70">
        <f t="shared" si="30"/>
        <v>5</v>
      </c>
      <c r="AH35" s="38">
        <f t="shared" si="31"/>
        <v>2</v>
      </c>
      <c r="AI35" s="38">
        <f t="shared" si="32"/>
        <v>1</v>
      </c>
      <c r="AJ35" s="38">
        <f t="shared" ca="1" si="33"/>
        <v>200</v>
      </c>
      <c r="AK35" s="68">
        <f t="shared" si="34"/>
        <v>280</v>
      </c>
      <c r="AL35" s="38">
        <f t="shared" si="35"/>
        <v>5</v>
      </c>
      <c r="AM35" s="38">
        <f t="shared" si="36"/>
        <v>2</v>
      </c>
      <c r="AN35" s="38">
        <f t="shared" si="37"/>
        <v>0</v>
      </c>
      <c r="AO35" s="38">
        <f t="shared" ca="1" si="38"/>
        <v>210</v>
      </c>
      <c r="AP35" s="68">
        <f t="shared" si="39"/>
        <v>300</v>
      </c>
      <c r="AQ35" s="38">
        <f t="shared" si="19"/>
        <v>17</v>
      </c>
      <c r="AR35" s="38">
        <f t="shared" si="20"/>
        <v>9</v>
      </c>
      <c r="AS35" s="38">
        <f t="shared" si="21"/>
        <v>3</v>
      </c>
      <c r="AT35" s="38">
        <f t="shared" ca="1" si="22"/>
        <v>605</v>
      </c>
      <c r="AU35" s="68">
        <f t="shared" si="23"/>
        <v>950</v>
      </c>
    </row>
    <row r="36" spans="1:47" x14ac:dyDescent="0.25">
      <c r="A36" s="86" t="s">
        <v>253</v>
      </c>
      <c r="B36" s="14">
        <v>34</v>
      </c>
      <c r="C36" s="14">
        <f>关卡产出!C41</f>
        <v>26</v>
      </c>
      <c r="D36" s="14">
        <f>关卡产出!D41</f>
        <v>13</v>
      </c>
      <c r="E36" s="14">
        <f>关卡产出!E41</f>
        <v>6</v>
      </c>
      <c r="F36" s="14">
        <f>关卡产出!F41</f>
        <v>390</v>
      </c>
      <c r="G36" s="38">
        <f t="shared" si="7"/>
        <v>13</v>
      </c>
      <c r="H36" s="38">
        <f t="shared" si="8"/>
        <v>7</v>
      </c>
      <c r="I36" s="38">
        <f t="shared" si="9"/>
        <v>3</v>
      </c>
      <c r="J36" s="38">
        <f t="shared" si="10"/>
        <v>488</v>
      </c>
      <c r="K36" s="38">
        <f t="shared" ca="1" si="11"/>
        <v>605</v>
      </c>
      <c r="R36" s="113" t="s">
        <v>253</v>
      </c>
      <c r="S36" s="14">
        <v>34</v>
      </c>
      <c r="T36" s="14">
        <f>关卡对比!AE40</f>
        <v>23</v>
      </c>
      <c r="U36" s="109">
        <f>关卡对比!AF40</f>
        <v>19</v>
      </c>
      <c r="V36" s="70">
        <f t="shared" si="40"/>
        <v>10</v>
      </c>
      <c r="W36" s="38">
        <f t="shared" si="41"/>
        <v>14</v>
      </c>
      <c r="X36" s="68">
        <f t="shared" si="42"/>
        <v>23</v>
      </c>
      <c r="Y36" s="70">
        <f t="shared" si="29"/>
        <v>3.9</v>
      </c>
      <c r="Z36" s="38">
        <f t="shared" si="13"/>
        <v>5.5</v>
      </c>
      <c r="AA36" s="68">
        <f t="shared" si="14"/>
        <v>5.666666666666667</v>
      </c>
      <c r="AB36" s="70">
        <f t="shared" ref="AB36:AB67" si="44">AX$3+SUMIFS(BE:BE,$BC:$BC,"&lt;="&amp;V36)</f>
        <v>7</v>
      </c>
      <c r="AC36" s="38">
        <f t="shared" ref="AC36:AC67" si="45">AY$3+SUMIFS(BF:BF,$BC:$BC,"&lt;="&amp;$V36)</f>
        <v>5</v>
      </c>
      <c r="AD36" s="38">
        <f t="shared" ref="AD36:AD67" si="46">AZ$3+SUMIFS(BG:BG,$BC:$BC,"&lt;="&amp;$V36)</f>
        <v>2</v>
      </c>
      <c r="AE36" s="38">
        <f t="shared" ca="1" si="18"/>
        <v>195</v>
      </c>
      <c r="AF36" s="68">
        <f t="shared" si="43"/>
        <v>370</v>
      </c>
      <c r="AG36" s="70">
        <f t="shared" si="30"/>
        <v>5</v>
      </c>
      <c r="AH36" s="38">
        <f t="shared" si="31"/>
        <v>2</v>
      </c>
      <c r="AI36" s="38">
        <f t="shared" si="32"/>
        <v>1</v>
      </c>
      <c r="AJ36" s="38">
        <f t="shared" ca="1" si="33"/>
        <v>200</v>
      </c>
      <c r="AK36" s="68">
        <f t="shared" si="34"/>
        <v>280</v>
      </c>
      <c r="AL36" s="38">
        <f t="shared" si="35"/>
        <v>5</v>
      </c>
      <c r="AM36" s="38">
        <f t="shared" si="36"/>
        <v>2</v>
      </c>
      <c r="AN36" s="38">
        <f t="shared" si="37"/>
        <v>0</v>
      </c>
      <c r="AO36" s="38">
        <f t="shared" ca="1" si="38"/>
        <v>210</v>
      </c>
      <c r="AP36" s="68">
        <f t="shared" si="39"/>
        <v>300</v>
      </c>
      <c r="AQ36" s="38">
        <f t="shared" si="19"/>
        <v>17</v>
      </c>
      <c r="AR36" s="38">
        <f t="shared" si="20"/>
        <v>9</v>
      </c>
      <c r="AS36" s="38">
        <f t="shared" si="21"/>
        <v>3</v>
      </c>
      <c r="AT36" s="38">
        <f t="shared" ca="1" si="22"/>
        <v>605</v>
      </c>
      <c r="AU36" s="68">
        <f t="shared" si="23"/>
        <v>950</v>
      </c>
    </row>
    <row r="37" spans="1:47" x14ac:dyDescent="0.25">
      <c r="A37" s="86" t="s">
        <v>253</v>
      </c>
      <c r="B37" s="14">
        <v>35</v>
      </c>
      <c r="C37" s="14">
        <f>关卡产出!C42</f>
        <v>26</v>
      </c>
      <c r="D37" s="14">
        <f>关卡产出!D42</f>
        <v>13</v>
      </c>
      <c r="E37" s="14">
        <f>关卡产出!E42</f>
        <v>6</v>
      </c>
      <c r="F37" s="14">
        <f>关卡产出!F42</f>
        <v>410</v>
      </c>
      <c r="G37" s="38">
        <f t="shared" si="7"/>
        <v>13</v>
      </c>
      <c r="H37" s="38">
        <f t="shared" si="8"/>
        <v>7</v>
      </c>
      <c r="I37" s="38">
        <f t="shared" si="9"/>
        <v>3</v>
      </c>
      <c r="J37" s="38">
        <f t="shared" si="10"/>
        <v>513</v>
      </c>
      <c r="K37" s="38">
        <f t="shared" ca="1" si="11"/>
        <v>630</v>
      </c>
      <c r="R37" s="113" t="s">
        <v>253</v>
      </c>
      <c r="S37" s="14">
        <v>35</v>
      </c>
      <c r="T37" s="14">
        <f>关卡对比!AE41</f>
        <v>24</v>
      </c>
      <c r="U37" s="109">
        <f>关卡对比!AF41</f>
        <v>19</v>
      </c>
      <c r="V37" s="70">
        <f t="shared" si="40"/>
        <v>10</v>
      </c>
      <c r="W37" s="38">
        <f t="shared" si="41"/>
        <v>14</v>
      </c>
      <c r="X37" s="68">
        <f t="shared" si="42"/>
        <v>23</v>
      </c>
      <c r="Y37" s="70">
        <f t="shared" si="29"/>
        <v>4</v>
      </c>
      <c r="Z37" s="38">
        <f t="shared" si="13"/>
        <v>5.75</v>
      </c>
      <c r="AA37" s="68">
        <f t="shared" si="14"/>
        <v>5.666666666666667</v>
      </c>
      <c r="AB37" s="70">
        <f t="shared" si="44"/>
        <v>7</v>
      </c>
      <c r="AC37" s="38">
        <f t="shared" si="45"/>
        <v>5</v>
      </c>
      <c r="AD37" s="38">
        <f t="shared" si="46"/>
        <v>2</v>
      </c>
      <c r="AE37" s="38">
        <f t="shared" ca="1" si="18"/>
        <v>220</v>
      </c>
      <c r="AF37" s="68">
        <f t="shared" si="43"/>
        <v>370</v>
      </c>
      <c r="AG37" s="70">
        <f t="shared" si="30"/>
        <v>5</v>
      </c>
      <c r="AH37" s="38">
        <f t="shared" si="31"/>
        <v>2</v>
      </c>
      <c r="AI37" s="38">
        <f t="shared" si="32"/>
        <v>1</v>
      </c>
      <c r="AJ37" s="38">
        <f t="shared" ca="1" si="33"/>
        <v>200</v>
      </c>
      <c r="AK37" s="68">
        <f t="shared" si="34"/>
        <v>280</v>
      </c>
      <c r="AL37" s="38">
        <f t="shared" si="35"/>
        <v>5</v>
      </c>
      <c r="AM37" s="38">
        <f t="shared" si="36"/>
        <v>2</v>
      </c>
      <c r="AN37" s="38">
        <f t="shared" si="37"/>
        <v>0</v>
      </c>
      <c r="AO37" s="38">
        <f t="shared" ca="1" si="38"/>
        <v>210</v>
      </c>
      <c r="AP37" s="68">
        <f t="shared" si="39"/>
        <v>300</v>
      </c>
      <c r="AQ37" s="38">
        <f t="shared" si="19"/>
        <v>17</v>
      </c>
      <c r="AR37" s="38">
        <f t="shared" si="20"/>
        <v>9</v>
      </c>
      <c r="AS37" s="38">
        <f t="shared" si="21"/>
        <v>3</v>
      </c>
      <c r="AT37" s="38">
        <f t="shared" ca="1" si="22"/>
        <v>630</v>
      </c>
      <c r="AU37" s="68">
        <f t="shared" si="23"/>
        <v>950</v>
      </c>
    </row>
    <row r="38" spans="1:47" x14ac:dyDescent="0.25">
      <c r="A38" s="86" t="s">
        <v>253</v>
      </c>
      <c r="B38" s="14">
        <v>36</v>
      </c>
      <c r="C38" s="14">
        <f>关卡产出!C43</f>
        <v>27</v>
      </c>
      <c r="D38" s="14">
        <f>关卡产出!D43</f>
        <v>13</v>
      </c>
      <c r="E38" s="14">
        <f>关卡产出!E43</f>
        <v>6</v>
      </c>
      <c r="F38" s="14">
        <f>关卡产出!F43</f>
        <v>410</v>
      </c>
      <c r="G38" s="38">
        <f t="shared" si="7"/>
        <v>14</v>
      </c>
      <c r="H38" s="38">
        <f t="shared" si="8"/>
        <v>7</v>
      </c>
      <c r="I38" s="38">
        <f t="shared" si="9"/>
        <v>3</v>
      </c>
      <c r="J38" s="38">
        <f t="shared" si="10"/>
        <v>513</v>
      </c>
      <c r="K38" s="38">
        <f t="shared" ca="1" si="11"/>
        <v>656</v>
      </c>
      <c r="R38" s="113" t="s">
        <v>253</v>
      </c>
      <c r="S38" s="14">
        <v>36</v>
      </c>
      <c r="T38" s="14">
        <f>关卡对比!AE42</f>
        <v>25</v>
      </c>
      <c r="U38" s="109">
        <f>关卡对比!AF42</f>
        <v>20</v>
      </c>
      <c r="V38" s="70">
        <f t="shared" si="40"/>
        <v>10</v>
      </c>
      <c r="W38" s="38">
        <f t="shared" si="41"/>
        <v>15</v>
      </c>
      <c r="X38" s="68">
        <f t="shared" si="42"/>
        <v>24</v>
      </c>
      <c r="Y38" s="70">
        <f t="shared" si="29"/>
        <v>4.0999999999999996</v>
      </c>
      <c r="Z38" s="38">
        <f t="shared" si="13"/>
        <v>5</v>
      </c>
      <c r="AA38" s="68">
        <f t="shared" si="14"/>
        <v>4.75</v>
      </c>
      <c r="AB38" s="70">
        <f t="shared" si="44"/>
        <v>7</v>
      </c>
      <c r="AC38" s="38">
        <f t="shared" si="45"/>
        <v>5</v>
      </c>
      <c r="AD38" s="38">
        <f t="shared" si="46"/>
        <v>2</v>
      </c>
      <c r="AE38" s="38">
        <f t="shared" ca="1" si="18"/>
        <v>220</v>
      </c>
      <c r="AF38" s="68">
        <f t="shared" si="43"/>
        <v>370</v>
      </c>
      <c r="AG38" s="70">
        <f t="shared" si="30"/>
        <v>6</v>
      </c>
      <c r="AH38" s="38">
        <f t="shared" si="31"/>
        <v>2</v>
      </c>
      <c r="AI38" s="38">
        <f t="shared" si="32"/>
        <v>1</v>
      </c>
      <c r="AJ38" s="38">
        <f t="shared" ca="1" si="33"/>
        <v>220</v>
      </c>
      <c r="AK38" s="68">
        <f t="shared" si="34"/>
        <v>320</v>
      </c>
      <c r="AL38" s="38">
        <f t="shared" si="35"/>
        <v>5</v>
      </c>
      <c r="AM38" s="38">
        <f t="shared" si="36"/>
        <v>2</v>
      </c>
      <c r="AN38" s="38">
        <f t="shared" si="37"/>
        <v>1</v>
      </c>
      <c r="AO38" s="38">
        <f t="shared" ca="1" si="38"/>
        <v>216</v>
      </c>
      <c r="AP38" s="68">
        <f t="shared" si="39"/>
        <v>360</v>
      </c>
      <c r="AQ38" s="38">
        <f t="shared" si="19"/>
        <v>18</v>
      </c>
      <c r="AR38" s="38">
        <f t="shared" si="20"/>
        <v>9</v>
      </c>
      <c r="AS38" s="38">
        <f t="shared" si="21"/>
        <v>4</v>
      </c>
      <c r="AT38" s="38">
        <f t="shared" ca="1" si="22"/>
        <v>656</v>
      </c>
      <c r="AU38" s="68">
        <f t="shared" si="23"/>
        <v>1050</v>
      </c>
    </row>
    <row r="39" spans="1:47" x14ac:dyDescent="0.25">
      <c r="A39" s="86" t="s">
        <v>253</v>
      </c>
      <c r="B39" s="14">
        <v>37</v>
      </c>
      <c r="C39" s="14">
        <f>关卡产出!C44</f>
        <v>28</v>
      </c>
      <c r="D39" s="14">
        <f>关卡产出!D44</f>
        <v>14</v>
      </c>
      <c r="E39" s="14">
        <f>关卡产出!E44</f>
        <v>6</v>
      </c>
      <c r="F39" s="14">
        <f>关卡产出!F44</f>
        <v>430</v>
      </c>
      <c r="G39" s="38">
        <f t="shared" si="7"/>
        <v>14</v>
      </c>
      <c r="H39" s="38">
        <f t="shared" si="8"/>
        <v>7</v>
      </c>
      <c r="I39" s="38">
        <f t="shared" si="9"/>
        <v>3</v>
      </c>
      <c r="J39" s="38">
        <f t="shared" si="10"/>
        <v>538</v>
      </c>
      <c r="K39" s="38">
        <f t="shared" ca="1" si="11"/>
        <v>656</v>
      </c>
      <c r="R39" s="113" t="s">
        <v>253</v>
      </c>
      <c r="S39" s="14">
        <v>37</v>
      </c>
      <c r="T39" s="14">
        <f>关卡对比!AE43</f>
        <v>25</v>
      </c>
      <c r="U39" s="109">
        <f>关卡对比!AF43</f>
        <v>20</v>
      </c>
      <c r="V39" s="70">
        <f t="shared" si="40"/>
        <v>10</v>
      </c>
      <c r="W39" s="38">
        <f t="shared" si="41"/>
        <v>15</v>
      </c>
      <c r="X39" s="68">
        <f t="shared" si="42"/>
        <v>24</v>
      </c>
      <c r="Y39" s="70">
        <f t="shared" si="29"/>
        <v>4.2</v>
      </c>
      <c r="Z39" s="38">
        <f t="shared" si="13"/>
        <v>5</v>
      </c>
      <c r="AA39" s="68">
        <f t="shared" si="14"/>
        <v>4.75</v>
      </c>
      <c r="AB39" s="70">
        <f t="shared" si="44"/>
        <v>7</v>
      </c>
      <c r="AC39" s="38">
        <f t="shared" si="45"/>
        <v>5</v>
      </c>
      <c r="AD39" s="38">
        <f t="shared" si="46"/>
        <v>2</v>
      </c>
      <c r="AE39" s="38">
        <f t="shared" ca="1" si="18"/>
        <v>220</v>
      </c>
      <c r="AF39" s="68">
        <f t="shared" si="43"/>
        <v>370</v>
      </c>
      <c r="AG39" s="70">
        <f t="shared" si="30"/>
        <v>6</v>
      </c>
      <c r="AH39" s="38">
        <f t="shared" si="31"/>
        <v>2</v>
      </c>
      <c r="AI39" s="38">
        <f t="shared" si="32"/>
        <v>1</v>
      </c>
      <c r="AJ39" s="38">
        <f t="shared" ca="1" si="33"/>
        <v>220</v>
      </c>
      <c r="AK39" s="68">
        <f t="shared" si="34"/>
        <v>320</v>
      </c>
      <c r="AL39" s="38">
        <f t="shared" si="35"/>
        <v>5</v>
      </c>
      <c r="AM39" s="38">
        <f t="shared" si="36"/>
        <v>2</v>
      </c>
      <c r="AN39" s="38">
        <f t="shared" si="37"/>
        <v>1</v>
      </c>
      <c r="AO39" s="38">
        <f t="shared" ca="1" si="38"/>
        <v>216</v>
      </c>
      <c r="AP39" s="68">
        <f t="shared" si="39"/>
        <v>360</v>
      </c>
      <c r="AQ39" s="38">
        <f t="shared" si="19"/>
        <v>18</v>
      </c>
      <c r="AR39" s="38">
        <f t="shared" si="20"/>
        <v>9</v>
      </c>
      <c r="AS39" s="38">
        <f t="shared" si="21"/>
        <v>4</v>
      </c>
      <c r="AT39" s="38">
        <f t="shared" ca="1" si="22"/>
        <v>656</v>
      </c>
      <c r="AU39" s="68">
        <f t="shared" si="23"/>
        <v>1050</v>
      </c>
    </row>
    <row r="40" spans="1:47" x14ac:dyDescent="0.25">
      <c r="A40" s="86" t="s">
        <v>253</v>
      </c>
      <c r="B40" s="14">
        <v>38</v>
      </c>
      <c r="C40" s="14">
        <f>关卡产出!C45</f>
        <v>29</v>
      </c>
      <c r="D40" s="14">
        <f>关卡产出!D45</f>
        <v>14</v>
      </c>
      <c r="E40" s="14">
        <f>关卡产出!E45</f>
        <v>7</v>
      </c>
      <c r="F40" s="14">
        <f>关卡产出!F45</f>
        <v>430</v>
      </c>
      <c r="G40" s="38">
        <f t="shared" si="7"/>
        <v>15</v>
      </c>
      <c r="H40" s="38">
        <f t="shared" si="8"/>
        <v>7</v>
      </c>
      <c r="I40" s="38">
        <f t="shared" si="9"/>
        <v>4</v>
      </c>
      <c r="J40" s="38">
        <f t="shared" si="10"/>
        <v>538</v>
      </c>
      <c r="K40" s="38">
        <f t="shared" ca="1" si="11"/>
        <v>680</v>
      </c>
      <c r="R40" s="113" t="s">
        <v>253</v>
      </c>
      <c r="S40" s="14">
        <v>38</v>
      </c>
      <c r="T40" s="14">
        <f>关卡对比!AE44</f>
        <v>26</v>
      </c>
      <c r="U40" s="109">
        <f>关卡对比!AF44</f>
        <v>21</v>
      </c>
      <c r="V40" s="70">
        <f t="shared" si="40"/>
        <v>10</v>
      </c>
      <c r="W40" s="38">
        <f t="shared" si="41"/>
        <v>15</v>
      </c>
      <c r="X40" s="68">
        <f t="shared" si="42"/>
        <v>24</v>
      </c>
      <c r="Y40" s="70">
        <f t="shared" si="29"/>
        <v>4.3</v>
      </c>
      <c r="Z40" s="38">
        <f t="shared" si="13"/>
        <v>5.2</v>
      </c>
      <c r="AA40" s="68">
        <f t="shared" si="14"/>
        <v>5</v>
      </c>
      <c r="AB40" s="70">
        <f t="shared" si="44"/>
        <v>7</v>
      </c>
      <c r="AC40" s="38">
        <f t="shared" si="45"/>
        <v>5</v>
      </c>
      <c r="AD40" s="38">
        <f t="shared" si="46"/>
        <v>2</v>
      </c>
      <c r="AE40" s="38">
        <f t="shared" ca="1" si="18"/>
        <v>220</v>
      </c>
      <c r="AF40" s="68">
        <f t="shared" si="43"/>
        <v>370</v>
      </c>
      <c r="AG40" s="70">
        <f t="shared" si="30"/>
        <v>6</v>
      </c>
      <c r="AH40" s="38">
        <f t="shared" si="31"/>
        <v>2</v>
      </c>
      <c r="AI40" s="38">
        <f t="shared" si="32"/>
        <v>1</v>
      </c>
      <c r="AJ40" s="38">
        <f t="shared" ca="1" si="33"/>
        <v>220</v>
      </c>
      <c r="AK40" s="68">
        <f t="shared" si="34"/>
        <v>320</v>
      </c>
      <c r="AL40" s="38">
        <f t="shared" si="35"/>
        <v>5</v>
      </c>
      <c r="AM40" s="38">
        <f t="shared" si="36"/>
        <v>2</v>
      </c>
      <c r="AN40" s="38">
        <f t="shared" si="37"/>
        <v>1</v>
      </c>
      <c r="AO40" s="38">
        <f t="shared" ca="1" si="38"/>
        <v>240</v>
      </c>
      <c r="AP40" s="68">
        <f t="shared" si="39"/>
        <v>360</v>
      </c>
      <c r="AQ40" s="38">
        <f t="shared" si="19"/>
        <v>18</v>
      </c>
      <c r="AR40" s="38">
        <f t="shared" si="20"/>
        <v>9</v>
      </c>
      <c r="AS40" s="38">
        <f t="shared" si="21"/>
        <v>4</v>
      </c>
      <c r="AT40" s="38">
        <f t="shared" ca="1" si="22"/>
        <v>680</v>
      </c>
      <c r="AU40" s="68">
        <f t="shared" si="23"/>
        <v>1050</v>
      </c>
    </row>
    <row r="41" spans="1:47" x14ac:dyDescent="0.25">
      <c r="A41" s="86" t="s">
        <v>253</v>
      </c>
      <c r="B41" s="14">
        <v>39</v>
      </c>
      <c r="C41" s="14">
        <f>关卡产出!C46</f>
        <v>30</v>
      </c>
      <c r="D41" s="14">
        <f>关卡产出!D46</f>
        <v>15</v>
      </c>
      <c r="E41" s="14">
        <f>关卡产出!E46</f>
        <v>7</v>
      </c>
      <c r="F41" s="14">
        <f>关卡产出!F46</f>
        <v>450</v>
      </c>
      <c r="G41" s="38">
        <f t="shared" si="7"/>
        <v>15</v>
      </c>
      <c r="H41" s="38">
        <f t="shared" si="8"/>
        <v>8</v>
      </c>
      <c r="I41" s="38">
        <f t="shared" si="9"/>
        <v>4</v>
      </c>
      <c r="J41" s="38">
        <f t="shared" si="10"/>
        <v>563</v>
      </c>
      <c r="K41" s="38">
        <f t="shared" ca="1" si="11"/>
        <v>680</v>
      </c>
      <c r="R41" s="113" t="s">
        <v>253</v>
      </c>
      <c r="S41" s="14">
        <v>39</v>
      </c>
      <c r="T41" s="14">
        <f>关卡对比!AE45</f>
        <v>27</v>
      </c>
      <c r="U41" s="109">
        <f>关卡对比!AF45</f>
        <v>21</v>
      </c>
      <c r="V41" s="70">
        <f t="shared" si="40"/>
        <v>10</v>
      </c>
      <c r="W41" s="38">
        <f t="shared" si="41"/>
        <v>15</v>
      </c>
      <c r="X41" s="68">
        <f t="shared" si="42"/>
        <v>24</v>
      </c>
      <c r="Y41" s="70">
        <f t="shared" si="29"/>
        <v>4.4000000000000004</v>
      </c>
      <c r="Z41" s="38">
        <f t="shared" si="13"/>
        <v>5.4</v>
      </c>
      <c r="AA41" s="68">
        <f t="shared" si="14"/>
        <v>5</v>
      </c>
      <c r="AB41" s="70">
        <f t="shared" si="44"/>
        <v>7</v>
      </c>
      <c r="AC41" s="38">
        <f t="shared" si="45"/>
        <v>5</v>
      </c>
      <c r="AD41" s="38">
        <f t="shared" si="46"/>
        <v>2</v>
      </c>
      <c r="AE41" s="38">
        <f t="shared" ca="1" si="18"/>
        <v>220</v>
      </c>
      <c r="AF41" s="68">
        <f t="shared" si="43"/>
        <v>370</v>
      </c>
      <c r="AG41" s="70">
        <f t="shared" si="30"/>
        <v>6</v>
      </c>
      <c r="AH41" s="38">
        <f t="shared" si="31"/>
        <v>2</v>
      </c>
      <c r="AI41" s="38">
        <f t="shared" si="32"/>
        <v>1</v>
      </c>
      <c r="AJ41" s="38">
        <f t="shared" ca="1" si="33"/>
        <v>220</v>
      </c>
      <c r="AK41" s="68">
        <f t="shared" si="34"/>
        <v>320</v>
      </c>
      <c r="AL41" s="38">
        <f t="shared" si="35"/>
        <v>5</v>
      </c>
      <c r="AM41" s="38">
        <f t="shared" si="36"/>
        <v>2</v>
      </c>
      <c r="AN41" s="38">
        <f t="shared" si="37"/>
        <v>1</v>
      </c>
      <c r="AO41" s="38">
        <f t="shared" ca="1" si="38"/>
        <v>240</v>
      </c>
      <c r="AP41" s="68">
        <f t="shared" si="39"/>
        <v>360</v>
      </c>
      <c r="AQ41" s="38">
        <f t="shared" si="19"/>
        <v>18</v>
      </c>
      <c r="AR41" s="38">
        <f t="shared" si="20"/>
        <v>9</v>
      </c>
      <c r="AS41" s="38">
        <f t="shared" si="21"/>
        <v>4</v>
      </c>
      <c r="AT41" s="38">
        <f t="shared" ca="1" si="22"/>
        <v>680</v>
      </c>
      <c r="AU41" s="68">
        <f t="shared" si="23"/>
        <v>1050</v>
      </c>
    </row>
    <row r="42" spans="1:47" x14ac:dyDescent="0.25">
      <c r="A42" s="86" t="s">
        <v>253</v>
      </c>
      <c r="B42" s="14">
        <v>40</v>
      </c>
      <c r="C42" s="14">
        <f>关卡产出!C47</f>
        <v>30</v>
      </c>
      <c r="D42" s="14">
        <f>关卡产出!D47</f>
        <v>15</v>
      </c>
      <c r="E42" s="14">
        <f>关卡产出!E47</f>
        <v>7</v>
      </c>
      <c r="F42" s="14">
        <f>关卡产出!F47</f>
        <v>450</v>
      </c>
      <c r="G42" s="38">
        <f t="shared" si="7"/>
        <v>15</v>
      </c>
      <c r="H42" s="38">
        <f t="shared" si="8"/>
        <v>8</v>
      </c>
      <c r="I42" s="38">
        <f t="shared" si="9"/>
        <v>4</v>
      </c>
      <c r="J42" s="38">
        <f t="shared" si="10"/>
        <v>563</v>
      </c>
      <c r="K42" s="38">
        <f t="shared" ca="1" si="11"/>
        <v>680</v>
      </c>
      <c r="R42" s="113" t="s">
        <v>253</v>
      </c>
      <c r="S42" s="14">
        <v>40</v>
      </c>
      <c r="T42" s="14">
        <f>关卡对比!AE46</f>
        <v>28</v>
      </c>
      <c r="U42" s="109">
        <f>关卡对比!AF46</f>
        <v>22</v>
      </c>
      <c r="V42" s="70">
        <f t="shared" si="40"/>
        <v>10</v>
      </c>
      <c r="W42" s="38">
        <f t="shared" si="41"/>
        <v>15</v>
      </c>
      <c r="X42" s="68">
        <f t="shared" si="42"/>
        <v>24</v>
      </c>
      <c r="Y42" s="70">
        <f t="shared" si="29"/>
        <v>4.5</v>
      </c>
      <c r="Z42" s="38">
        <f t="shared" si="13"/>
        <v>5.6</v>
      </c>
      <c r="AA42" s="68">
        <f t="shared" si="14"/>
        <v>5.25</v>
      </c>
      <c r="AB42" s="70">
        <f t="shared" si="44"/>
        <v>7</v>
      </c>
      <c r="AC42" s="38">
        <f t="shared" si="45"/>
        <v>5</v>
      </c>
      <c r="AD42" s="38">
        <f t="shared" si="46"/>
        <v>2</v>
      </c>
      <c r="AE42" s="38">
        <f t="shared" ca="1" si="18"/>
        <v>220</v>
      </c>
      <c r="AF42" s="68">
        <f t="shared" si="43"/>
        <v>370</v>
      </c>
      <c r="AG42" s="70">
        <f t="shared" si="30"/>
        <v>6</v>
      </c>
      <c r="AH42" s="38">
        <f t="shared" si="31"/>
        <v>2</v>
      </c>
      <c r="AI42" s="38">
        <f t="shared" si="32"/>
        <v>1</v>
      </c>
      <c r="AJ42" s="38">
        <f t="shared" ca="1" si="33"/>
        <v>220</v>
      </c>
      <c r="AK42" s="68">
        <f t="shared" si="34"/>
        <v>320</v>
      </c>
      <c r="AL42" s="38">
        <f t="shared" si="35"/>
        <v>5</v>
      </c>
      <c r="AM42" s="38">
        <f t="shared" si="36"/>
        <v>2</v>
      </c>
      <c r="AN42" s="38">
        <f t="shared" si="37"/>
        <v>1</v>
      </c>
      <c r="AO42" s="38">
        <f t="shared" ca="1" si="38"/>
        <v>240</v>
      </c>
      <c r="AP42" s="68">
        <f t="shared" si="39"/>
        <v>360</v>
      </c>
      <c r="AQ42" s="38">
        <f t="shared" si="19"/>
        <v>18</v>
      </c>
      <c r="AR42" s="38">
        <f t="shared" si="20"/>
        <v>9</v>
      </c>
      <c r="AS42" s="38">
        <f t="shared" si="21"/>
        <v>4</v>
      </c>
      <c r="AT42" s="38">
        <f t="shared" ca="1" si="22"/>
        <v>680</v>
      </c>
      <c r="AU42" s="68">
        <f t="shared" si="23"/>
        <v>1050</v>
      </c>
    </row>
    <row r="43" spans="1:47" x14ac:dyDescent="0.25">
      <c r="A43" s="86" t="s">
        <v>253</v>
      </c>
      <c r="B43" s="14">
        <v>41</v>
      </c>
      <c r="C43" s="14">
        <f>关卡产出!C48</f>
        <v>31</v>
      </c>
      <c r="D43" s="14">
        <f>关卡产出!D48</f>
        <v>15</v>
      </c>
      <c r="E43" s="14">
        <f>关卡产出!E48</f>
        <v>7</v>
      </c>
      <c r="F43" s="14">
        <f>关卡产出!F48</f>
        <v>470</v>
      </c>
      <c r="G43" s="38">
        <f t="shared" si="7"/>
        <v>16</v>
      </c>
      <c r="H43" s="38">
        <f t="shared" si="8"/>
        <v>8</v>
      </c>
      <c r="I43" s="38">
        <f t="shared" si="9"/>
        <v>4</v>
      </c>
      <c r="J43" s="38">
        <f t="shared" si="10"/>
        <v>588</v>
      </c>
      <c r="K43" s="38">
        <f t="shared" ca="1" si="11"/>
        <v>680</v>
      </c>
      <c r="R43" s="113" t="s">
        <v>253</v>
      </c>
      <c r="S43" s="14">
        <v>41</v>
      </c>
      <c r="T43" s="14">
        <f>关卡对比!AE47</f>
        <v>28</v>
      </c>
      <c r="U43" s="109">
        <f>关卡对比!AF47</f>
        <v>22</v>
      </c>
      <c r="V43" s="70">
        <f t="shared" si="40"/>
        <v>10</v>
      </c>
      <c r="W43" s="38">
        <f t="shared" si="41"/>
        <v>15</v>
      </c>
      <c r="X43" s="68">
        <f t="shared" si="42"/>
        <v>24</v>
      </c>
      <c r="Y43" s="70">
        <f t="shared" si="29"/>
        <v>4.5999999999999996</v>
      </c>
      <c r="Z43" s="38">
        <f t="shared" si="13"/>
        <v>5.6</v>
      </c>
      <c r="AA43" s="68">
        <f t="shared" si="14"/>
        <v>5.25</v>
      </c>
      <c r="AB43" s="70">
        <f t="shared" si="44"/>
        <v>7</v>
      </c>
      <c r="AC43" s="38">
        <f t="shared" si="45"/>
        <v>5</v>
      </c>
      <c r="AD43" s="38">
        <f t="shared" si="46"/>
        <v>2</v>
      </c>
      <c r="AE43" s="38">
        <f t="shared" ca="1" si="18"/>
        <v>220</v>
      </c>
      <c r="AF43" s="68">
        <f t="shared" si="43"/>
        <v>370</v>
      </c>
      <c r="AG43" s="70">
        <f t="shared" si="30"/>
        <v>6</v>
      </c>
      <c r="AH43" s="38">
        <f t="shared" si="31"/>
        <v>2</v>
      </c>
      <c r="AI43" s="38">
        <f t="shared" si="32"/>
        <v>1</v>
      </c>
      <c r="AJ43" s="38">
        <f t="shared" ca="1" si="33"/>
        <v>220</v>
      </c>
      <c r="AK43" s="68">
        <f t="shared" si="34"/>
        <v>320</v>
      </c>
      <c r="AL43" s="38">
        <f t="shared" si="35"/>
        <v>5</v>
      </c>
      <c r="AM43" s="38">
        <f t="shared" si="36"/>
        <v>2</v>
      </c>
      <c r="AN43" s="38">
        <f t="shared" si="37"/>
        <v>1</v>
      </c>
      <c r="AO43" s="38">
        <f t="shared" ca="1" si="38"/>
        <v>240</v>
      </c>
      <c r="AP43" s="68">
        <f t="shared" si="39"/>
        <v>360</v>
      </c>
      <c r="AQ43" s="38">
        <f t="shared" si="19"/>
        <v>18</v>
      </c>
      <c r="AR43" s="38">
        <f t="shared" si="20"/>
        <v>9</v>
      </c>
      <c r="AS43" s="38">
        <f t="shared" si="21"/>
        <v>4</v>
      </c>
      <c r="AT43" s="38">
        <f t="shared" ca="1" si="22"/>
        <v>680</v>
      </c>
      <c r="AU43" s="68">
        <f t="shared" si="23"/>
        <v>1050</v>
      </c>
    </row>
    <row r="44" spans="1:47" x14ac:dyDescent="0.25">
      <c r="A44" s="86" t="s">
        <v>253</v>
      </c>
      <c r="B44" s="14">
        <v>42</v>
      </c>
      <c r="C44" s="14">
        <f>关卡产出!C49</f>
        <v>32</v>
      </c>
      <c r="D44" s="14">
        <f>关卡产出!D49</f>
        <v>16</v>
      </c>
      <c r="E44" s="14">
        <f>关卡产出!E49</f>
        <v>7</v>
      </c>
      <c r="F44" s="14">
        <f>关卡产出!F49</f>
        <v>470</v>
      </c>
      <c r="G44" s="38">
        <f t="shared" si="7"/>
        <v>16</v>
      </c>
      <c r="H44" s="38">
        <f t="shared" si="8"/>
        <v>8</v>
      </c>
      <c r="I44" s="38">
        <f t="shared" si="9"/>
        <v>4</v>
      </c>
      <c r="J44" s="38">
        <f t="shared" si="10"/>
        <v>588</v>
      </c>
      <c r="K44" s="38">
        <f t="shared" ca="1" si="11"/>
        <v>680</v>
      </c>
      <c r="R44" s="113" t="s">
        <v>253</v>
      </c>
      <c r="S44" s="14">
        <v>42</v>
      </c>
      <c r="T44" s="14">
        <f>关卡对比!AE48</f>
        <v>29</v>
      </c>
      <c r="U44" s="109">
        <f>关卡对比!AF48</f>
        <v>23</v>
      </c>
      <c r="V44" s="70">
        <f t="shared" si="40"/>
        <v>10</v>
      </c>
      <c r="W44" s="38">
        <f t="shared" si="41"/>
        <v>15</v>
      </c>
      <c r="X44" s="68">
        <f t="shared" si="42"/>
        <v>24</v>
      </c>
      <c r="Y44" s="70">
        <f t="shared" si="29"/>
        <v>4.7</v>
      </c>
      <c r="Z44" s="38">
        <f t="shared" si="13"/>
        <v>5.8</v>
      </c>
      <c r="AA44" s="68">
        <f t="shared" si="14"/>
        <v>5.5</v>
      </c>
      <c r="AB44" s="70">
        <f t="shared" si="44"/>
        <v>7</v>
      </c>
      <c r="AC44" s="38">
        <f t="shared" si="45"/>
        <v>5</v>
      </c>
      <c r="AD44" s="38">
        <f t="shared" si="46"/>
        <v>2</v>
      </c>
      <c r="AE44" s="38">
        <f t="shared" ca="1" si="18"/>
        <v>220</v>
      </c>
      <c r="AF44" s="68">
        <f t="shared" si="43"/>
        <v>370</v>
      </c>
      <c r="AG44" s="70">
        <f t="shared" ref="AG44:AG75" si="47">AX$4+SUMIFS(BE:BE,$BC:$BC,"&lt;="&amp;$W44,$BC:$BC,"&gt;"&amp;10)</f>
        <v>6</v>
      </c>
      <c r="AH44" s="38">
        <f t="shared" ref="AH44:AH75" si="48">AY$4+SUMIFS(BF:BF,$BC:$BC,"&lt;="&amp;$W44,$BC:$BC,"&gt;"&amp;10)</f>
        <v>2</v>
      </c>
      <c r="AI44" s="38">
        <f t="shared" ref="AI44:AI75" si="49">AZ$4+SUMIFS(BG:BG,$BC:$BC,"&lt;="&amp;$W44,$BC:$BC,"&gt;"&amp;10)</f>
        <v>1</v>
      </c>
      <c r="AJ44" s="38">
        <f t="shared" ref="AJ44:AJ67" ca="1" si="50">$BA$4+_xlfn.IFNA(SUM(OFFSET($BG$12,1,MATCH(Z44,$BH$2:$BQ$2,1),MATCH(W44,$BC$13:$BC$32,0),1)),0)</f>
        <v>220</v>
      </c>
      <c r="AK44" s="68">
        <f t="shared" ref="AK44:AK75" si="51">$BA$4+SUMIFS($BQ:$BQ,$BC:$BC,"&lt;="&amp;W44,$BC:$BC,"&gt;"&amp;10)</f>
        <v>320</v>
      </c>
      <c r="AL44" s="38">
        <f t="shared" si="35"/>
        <v>5</v>
      </c>
      <c r="AM44" s="38">
        <f t="shared" si="36"/>
        <v>2</v>
      </c>
      <c r="AN44" s="38">
        <f t="shared" si="37"/>
        <v>1</v>
      </c>
      <c r="AO44" s="38">
        <f t="shared" ca="1" si="38"/>
        <v>240</v>
      </c>
      <c r="AP44" s="68">
        <f t="shared" si="39"/>
        <v>360</v>
      </c>
      <c r="AQ44" s="38">
        <f t="shared" si="19"/>
        <v>18</v>
      </c>
      <c r="AR44" s="38">
        <f t="shared" si="20"/>
        <v>9</v>
      </c>
      <c r="AS44" s="38">
        <f t="shared" si="21"/>
        <v>4</v>
      </c>
      <c r="AT44" s="38">
        <f t="shared" ca="1" si="22"/>
        <v>680</v>
      </c>
      <c r="AU44" s="68">
        <f t="shared" si="23"/>
        <v>1050</v>
      </c>
    </row>
    <row r="45" spans="1:47" x14ac:dyDescent="0.25">
      <c r="A45" s="86" t="s">
        <v>253</v>
      </c>
      <c r="B45" s="14">
        <v>43</v>
      </c>
      <c r="C45" s="14">
        <f>关卡产出!C50</f>
        <v>33</v>
      </c>
      <c r="D45" s="14">
        <f>关卡产出!D50</f>
        <v>16</v>
      </c>
      <c r="E45" s="14">
        <f>关卡产出!E50</f>
        <v>8</v>
      </c>
      <c r="F45" s="14">
        <f>关卡产出!F50</f>
        <v>490</v>
      </c>
      <c r="G45" s="38">
        <f t="shared" si="7"/>
        <v>17</v>
      </c>
      <c r="H45" s="38">
        <f t="shared" si="8"/>
        <v>8</v>
      </c>
      <c r="I45" s="38">
        <f t="shared" si="9"/>
        <v>4</v>
      </c>
      <c r="J45" s="38">
        <f t="shared" si="10"/>
        <v>613</v>
      </c>
      <c r="K45" s="38">
        <f t="shared" ca="1" si="11"/>
        <v>680</v>
      </c>
      <c r="R45" s="113" t="s">
        <v>253</v>
      </c>
      <c r="S45" s="14">
        <v>43</v>
      </c>
      <c r="T45" s="14">
        <f>关卡对比!AE49</f>
        <v>29</v>
      </c>
      <c r="U45" s="109">
        <f>关卡对比!AF49</f>
        <v>23</v>
      </c>
      <c r="V45" s="70">
        <f t="shared" si="40"/>
        <v>10</v>
      </c>
      <c r="W45" s="38">
        <f t="shared" si="41"/>
        <v>15</v>
      </c>
      <c r="X45" s="68">
        <f t="shared" si="42"/>
        <v>24</v>
      </c>
      <c r="Y45" s="70">
        <f t="shared" si="29"/>
        <v>4.8</v>
      </c>
      <c r="Z45" s="38">
        <f t="shared" si="13"/>
        <v>5.8</v>
      </c>
      <c r="AA45" s="68">
        <f t="shared" si="14"/>
        <v>5.5</v>
      </c>
      <c r="AB45" s="70">
        <f t="shared" si="44"/>
        <v>7</v>
      </c>
      <c r="AC45" s="38">
        <f t="shared" si="45"/>
        <v>5</v>
      </c>
      <c r="AD45" s="38">
        <f t="shared" si="46"/>
        <v>2</v>
      </c>
      <c r="AE45" s="38">
        <f t="shared" ca="1" si="18"/>
        <v>220</v>
      </c>
      <c r="AF45" s="68">
        <f t="shared" si="43"/>
        <v>370</v>
      </c>
      <c r="AG45" s="70">
        <f t="shared" si="47"/>
        <v>6</v>
      </c>
      <c r="AH45" s="38">
        <f t="shared" si="48"/>
        <v>2</v>
      </c>
      <c r="AI45" s="38">
        <f t="shared" si="49"/>
        <v>1</v>
      </c>
      <c r="AJ45" s="38">
        <f t="shared" ca="1" si="50"/>
        <v>220</v>
      </c>
      <c r="AK45" s="68">
        <f t="shared" si="51"/>
        <v>320</v>
      </c>
      <c r="AL45" s="38">
        <f t="shared" si="35"/>
        <v>5</v>
      </c>
      <c r="AM45" s="38">
        <f t="shared" si="36"/>
        <v>2</v>
      </c>
      <c r="AN45" s="38">
        <f t="shared" si="37"/>
        <v>1</v>
      </c>
      <c r="AO45" s="38">
        <f t="shared" ca="1" si="38"/>
        <v>240</v>
      </c>
      <c r="AP45" s="68">
        <f t="shared" si="39"/>
        <v>360</v>
      </c>
      <c r="AQ45" s="38">
        <f t="shared" si="19"/>
        <v>18</v>
      </c>
      <c r="AR45" s="38">
        <f t="shared" si="20"/>
        <v>9</v>
      </c>
      <c r="AS45" s="38">
        <f t="shared" si="21"/>
        <v>4</v>
      </c>
      <c r="AT45" s="38">
        <f t="shared" ca="1" si="22"/>
        <v>680</v>
      </c>
      <c r="AU45" s="68">
        <f t="shared" si="23"/>
        <v>1050</v>
      </c>
    </row>
    <row r="46" spans="1:47" x14ac:dyDescent="0.25">
      <c r="A46" s="86" t="s">
        <v>253</v>
      </c>
      <c r="B46" s="14">
        <v>44</v>
      </c>
      <c r="C46" s="14">
        <f>关卡产出!C51</f>
        <v>34</v>
      </c>
      <c r="D46" s="14">
        <f>关卡产出!D51</f>
        <v>17</v>
      </c>
      <c r="E46" s="14">
        <f>关卡产出!E51</f>
        <v>8</v>
      </c>
      <c r="F46" s="14">
        <f>关卡产出!F51</f>
        <v>490</v>
      </c>
      <c r="G46" s="38">
        <f t="shared" si="7"/>
        <v>17</v>
      </c>
      <c r="H46" s="38">
        <f t="shared" si="8"/>
        <v>9</v>
      </c>
      <c r="I46" s="38">
        <f t="shared" si="9"/>
        <v>4</v>
      </c>
      <c r="J46" s="38">
        <f t="shared" si="10"/>
        <v>613</v>
      </c>
      <c r="K46" s="38">
        <f t="shared" ca="1" si="11"/>
        <v>705</v>
      </c>
      <c r="R46" s="113" t="s">
        <v>253</v>
      </c>
      <c r="S46" s="14">
        <v>44</v>
      </c>
      <c r="T46" s="14">
        <f>关卡对比!AE50</f>
        <v>30</v>
      </c>
      <c r="U46" s="109">
        <f>关卡对比!AF50</f>
        <v>24</v>
      </c>
      <c r="V46" s="70">
        <f t="shared" si="40"/>
        <v>10</v>
      </c>
      <c r="W46" s="38">
        <f t="shared" si="41"/>
        <v>16</v>
      </c>
      <c r="X46" s="68">
        <f t="shared" si="42"/>
        <v>24</v>
      </c>
      <c r="Y46" s="70">
        <f t="shared" si="29"/>
        <v>4.9000000000000004</v>
      </c>
      <c r="Z46" s="38">
        <f t="shared" si="13"/>
        <v>5.166666666666667</v>
      </c>
      <c r="AA46" s="68">
        <f t="shared" si="14"/>
        <v>5.75</v>
      </c>
      <c r="AB46" s="70">
        <f t="shared" si="44"/>
        <v>7</v>
      </c>
      <c r="AC46" s="38">
        <f t="shared" si="45"/>
        <v>5</v>
      </c>
      <c r="AD46" s="38">
        <f t="shared" si="46"/>
        <v>2</v>
      </c>
      <c r="AE46" s="38">
        <f t="shared" ca="1" si="18"/>
        <v>220</v>
      </c>
      <c r="AF46" s="68">
        <f t="shared" si="43"/>
        <v>370</v>
      </c>
      <c r="AG46" s="70">
        <f t="shared" si="47"/>
        <v>6</v>
      </c>
      <c r="AH46" s="38">
        <f t="shared" si="48"/>
        <v>3</v>
      </c>
      <c r="AI46" s="38">
        <f t="shared" si="49"/>
        <v>1</v>
      </c>
      <c r="AJ46" s="38">
        <f t="shared" ca="1" si="50"/>
        <v>245</v>
      </c>
      <c r="AK46" s="68">
        <f t="shared" si="51"/>
        <v>370</v>
      </c>
      <c r="AL46" s="38">
        <f t="shared" si="35"/>
        <v>5</v>
      </c>
      <c r="AM46" s="38">
        <f t="shared" si="36"/>
        <v>2</v>
      </c>
      <c r="AN46" s="38">
        <f t="shared" si="37"/>
        <v>1</v>
      </c>
      <c r="AO46" s="38">
        <f t="shared" ca="1" si="38"/>
        <v>240</v>
      </c>
      <c r="AP46" s="68">
        <f t="shared" si="39"/>
        <v>360</v>
      </c>
      <c r="AQ46" s="38">
        <f t="shared" si="19"/>
        <v>18</v>
      </c>
      <c r="AR46" s="38">
        <f t="shared" si="20"/>
        <v>10</v>
      </c>
      <c r="AS46" s="38">
        <f t="shared" si="21"/>
        <v>4</v>
      </c>
      <c r="AT46" s="38">
        <f t="shared" ca="1" si="22"/>
        <v>705</v>
      </c>
      <c r="AU46" s="68">
        <f t="shared" si="23"/>
        <v>1100</v>
      </c>
    </row>
    <row r="47" spans="1:47" x14ac:dyDescent="0.25">
      <c r="A47" s="86" t="s">
        <v>253</v>
      </c>
      <c r="B47" s="14">
        <v>45</v>
      </c>
      <c r="C47" s="14">
        <f>关卡产出!C52</f>
        <v>34</v>
      </c>
      <c r="D47" s="14">
        <f>关卡产出!D52</f>
        <v>17</v>
      </c>
      <c r="E47" s="14">
        <f>关卡产出!E52</f>
        <v>8</v>
      </c>
      <c r="F47" s="14">
        <f>关卡产出!F52</f>
        <v>510</v>
      </c>
      <c r="G47" s="38">
        <f t="shared" si="7"/>
        <v>17</v>
      </c>
      <c r="H47" s="38">
        <f t="shared" si="8"/>
        <v>9</v>
      </c>
      <c r="I47" s="38">
        <f t="shared" si="9"/>
        <v>4</v>
      </c>
      <c r="J47" s="38">
        <f t="shared" si="10"/>
        <v>638</v>
      </c>
      <c r="K47" s="38">
        <f t="shared" ca="1" si="11"/>
        <v>760</v>
      </c>
      <c r="R47" s="113" t="s">
        <v>253</v>
      </c>
      <c r="S47" s="14">
        <v>45</v>
      </c>
      <c r="T47" s="14">
        <f>关卡对比!AE51</f>
        <v>31</v>
      </c>
      <c r="U47" s="109">
        <f>关卡对比!AF51</f>
        <v>25</v>
      </c>
      <c r="V47" s="70">
        <f t="shared" si="40"/>
        <v>10</v>
      </c>
      <c r="W47" s="38">
        <f t="shared" si="41"/>
        <v>16</v>
      </c>
      <c r="X47" s="68">
        <f t="shared" si="42"/>
        <v>25</v>
      </c>
      <c r="Y47" s="70">
        <f t="shared" si="29"/>
        <v>5</v>
      </c>
      <c r="Z47" s="38">
        <f t="shared" si="13"/>
        <v>5.333333333333333</v>
      </c>
      <c r="AA47" s="68">
        <f t="shared" si="14"/>
        <v>5</v>
      </c>
      <c r="AB47" s="70">
        <f t="shared" si="44"/>
        <v>7</v>
      </c>
      <c r="AC47" s="38">
        <f t="shared" si="45"/>
        <v>5</v>
      </c>
      <c r="AD47" s="38">
        <f t="shared" si="46"/>
        <v>2</v>
      </c>
      <c r="AE47" s="38">
        <f t="shared" ca="1" si="18"/>
        <v>245</v>
      </c>
      <c r="AF47" s="68">
        <f t="shared" si="43"/>
        <v>370</v>
      </c>
      <c r="AG47" s="70">
        <f t="shared" si="47"/>
        <v>6</v>
      </c>
      <c r="AH47" s="38">
        <f t="shared" si="48"/>
        <v>3</v>
      </c>
      <c r="AI47" s="38">
        <f t="shared" si="49"/>
        <v>1</v>
      </c>
      <c r="AJ47" s="38">
        <f t="shared" ca="1" si="50"/>
        <v>245</v>
      </c>
      <c r="AK47" s="68">
        <f t="shared" si="51"/>
        <v>370</v>
      </c>
      <c r="AL47" s="38">
        <f t="shared" si="35"/>
        <v>6</v>
      </c>
      <c r="AM47" s="38">
        <f t="shared" si="36"/>
        <v>2</v>
      </c>
      <c r="AN47" s="38">
        <f t="shared" si="37"/>
        <v>1</v>
      </c>
      <c r="AO47" s="38">
        <f t="shared" ca="1" si="38"/>
        <v>270</v>
      </c>
      <c r="AP47" s="68">
        <f t="shared" si="39"/>
        <v>420</v>
      </c>
      <c r="AQ47" s="38">
        <f t="shared" si="19"/>
        <v>19</v>
      </c>
      <c r="AR47" s="38">
        <f t="shared" si="20"/>
        <v>10</v>
      </c>
      <c r="AS47" s="38">
        <f t="shared" si="21"/>
        <v>4</v>
      </c>
      <c r="AT47" s="38">
        <f t="shared" ca="1" si="22"/>
        <v>760</v>
      </c>
      <c r="AU47" s="68">
        <f t="shared" si="23"/>
        <v>1160</v>
      </c>
    </row>
    <row r="48" spans="1:47" x14ac:dyDescent="0.25">
      <c r="A48" s="86" t="s">
        <v>253</v>
      </c>
      <c r="B48" s="14">
        <v>46</v>
      </c>
      <c r="C48" s="14">
        <f>关卡产出!C53</f>
        <v>35</v>
      </c>
      <c r="D48" s="14">
        <f>关卡产出!D53</f>
        <v>17</v>
      </c>
      <c r="E48" s="14">
        <f>关卡产出!E53</f>
        <v>8</v>
      </c>
      <c r="F48" s="14">
        <f>关卡产出!F53</f>
        <v>510</v>
      </c>
      <c r="G48" s="38">
        <f t="shared" si="7"/>
        <v>18</v>
      </c>
      <c r="H48" s="38">
        <f t="shared" si="8"/>
        <v>9</v>
      </c>
      <c r="I48" s="38">
        <f t="shared" si="9"/>
        <v>4</v>
      </c>
      <c r="J48" s="38">
        <f t="shared" si="10"/>
        <v>638</v>
      </c>
      <c r="K48" s="38">
        <f t="shared" ca="1" si="11"/>
        <v>760</v>
      </c>
      <c r="R48" s="113" t="s">
        <v>253</v>
      </c>
      <c r="S48" s="14">
        <v>46</v>
      </c>
      <c r="T48" s="14">
        <f>关卡对比!AE52</f>
        <v>32</v>
      </c>
      <c r="U48" s="109">
        <f>关卡对比!AF52</f>
        <v>25</v>
      </c>
      <c r="V48" s="70">
        <f t="shared" si="40"/>
        <v>10</v>
      </c>
      <c r="W48" s="38">
        <f t="shared" si="41"/>
        <v>16</v>
      </c>
      <c r="X48" s="68">
        <f t="shared" si="42"/>
        <v>25</v>
      </c>
      <c r="Y48" s="70">
        <f t="shared" si="29"/>
        <v>5.0999999999999996</v>
      </c>
      <c r="Z48" s="38">
        <f t="shared" si="13"/>
        <v>5.5</v>
      </c>
      <c r="AA48" s="68">
        <f t="shared" si="14"/>
        <v>5</v>
      </c>
      <c r="AB48" s="70">
        <f t="shared" si="44"/>
        <v>7</v>
      </c>
      <c r="AC48" s="38">
        <f t="shared" si="45"/>
        <v>5</v>
      </c>
      <c r="AD48" s="38">
        <f t="shared" si="46"/>
        <v>2</v>
      </c>
      <c r="AE48" s="38">
        <f t="shared" ca="1" si="18"/>
        <v>245</v>
      </c>
      <c r="AF48" s="68">
        <f t="shared" si="43"/>
        <v>370</v>
      </c>
      <c r="AG48" s="70">
        <f t="shared" si="47"/>
        <v>6</v>
      </c>
      <c r="AH48" s="38">
        <f t="shared" si="48"/>
        <v>3</v>
      </c>
      <c r="AI48" s="38">
        <f t="shared" si="49"/>
        <v>1</v>
      </c>
      <c r="AJ48" s="38">
        <f t="shared" ca="1" si="50"/>
        <v>245</v>
      </c>
      <c r="AK48" s="68">
        <f t="shared" si="51"/>
        <v>370</v>
      </c>
      <c r="AL48" s="38">
        <f t="shared" ref="AL48:AL79" si="52">AX$5+SUMIFS(BE:BE,$BC:$BC,"&lt;="&amp;$X48,$BC:$BC,"&gt;"&amp;20)</f>
        <v>6</v>
      </c>
      <c r="AM48" s="38">
        <f t="shared" ref="AM48:AM79" si="53">AY$5+SUMIFS(BF:BF,$BC:$BC,"&lt;="&amp;$X48,$BC:$BC,"&gt;"&amp;20)</f>
        <v>2</v>
      </c>
      <c r="AN48" s="38">
        <f t="shared" ref="AN48:AN79" si="54">AZ$5+SUMIFS(BG:BG,$BC:$BC,"&lt;="&amp;$X48,$BC:$BC,"&gt;"&amp;20)</f>
        <v>1</v>
      </c>
      <c r="AO48" s="38">
        <f t="shared" ref="AO48:AO67" ca="1" si="55">$BA$5+_xlfn.IFNA(SUM(OFFSET($BG$22,1,MATCH(AA48,$BH$2:$BQ$2,1),MATCH(X48,$BC$23:$BC$32,0),1)),0)</f>
        <v>270</v>
      </c>
      <c r="AP48" s="68">
        <f t="shared" ref="AP48:AP79" si="56">$BA$5+SUMIFS($BQ:$BQ,$BC:$BC,"&lt;="&amp;X48,$BC:$BC,"&gt;"&amp;20)</f>
        <v>420</v>
      </c>
      <c r="AQ48" s="38">
        <f t="shared" si="19"/>
        <v>19</v>
      </c>
      <c r="AR48" s="38">
        <f t="shared" si="20"/>
        <v>10</v>
      </c>
      <c r="AS48" s="38">
        <f t="shared" si="21"/>
        <v>4</v>
      </c>
      <c r="AT48" s="38">
        <f t="shared" ca="1" si="22"/>
        <v>760</v>
      </c>
      <c r="AU48" s="68">
        <f t="shared" si="23"/>
        <v>1160</v>
      </c>
    </row>
    <row r="49" spans="1:47" x14ac:dyDescent="0.25">
      <c r="A49" s="86" t="s">
        <v>253</v>
      </c>
      <c r="B49" s="14">
        <v>47</v>
      </c>
      <c r="C49" s="14">
        <f>关卡产出!C54</f>
        <v>36</v>
      </c>
      <c r="D49" s="14">
        <f>关卡产出!D54</f>
        <v>18</v>
      </c>
      <c r="E49" s="14">
        <f>关卡产出!E54</f>
        <v>8</v>
      </c>
      <c r="F49" s="14">
        <f>关卡产出!F54</f>
        <v>530</v>
      </c>
      <c r="G49" s="38">
        <f t="shared" si="7"/>
        <v>18</v>
      </c>
      <c r="H49" s="38">
        <f t="shared" si="8"/>
        <v>9</v>
      </c>
      <c r="I49" s="38">
        <f t="shared" si="9"/>
        <v>4</v>
      </c>
      <c r="J49" s="38">
        <f t="shared" si="10"/>
        <v>663</v>
      </c>
      <c r="K49" s="38">
        <f t="shared" ca="1" si="11"/>
        <v>760</v>
      </c>
      <c r="R49" s="113" t="s">
        <v>253</v>
      </c>
      <c r="S49" s="14">
        <v>47</v>
      </c>
      <c r="T49" s="14">
        <f>关卡对比!AE53</f>
        <v>32</v>
      </c>
      <c r="U49" s="109">
        <f>关卡对比!AF53</f>
        <v>26</v>
      </c>
      <c r="V49" s="70">
        <f t="shared" si="40"/>
        <v>10</v>
      </c>
      <c r="W49" s="38">
        <f t="shared" si="41"/>
        <v>16</v>
      </c>
      <c r="X49" s="68">
        <f t="shared" si="42"/>
        <v>25</v>
      </c>
      <c r="Y49" s="70">
        <f t="shared" si="29"/>
        <v>5.2</v>
      </c>
      <c r="Z49" s="38">
        <f t="shared" si="13"/>
        <v>5.5</v>
      </c>
      <c r="AA49" s="68">
        <f t="shared" si="14"/>
        <v>5.2</v>
      </c>
      <c r="AB49" s="70">
        <f t="shared" si="44"/>
        <v>7</v>
      </c>
      <c r="AC49" s="38">
        <f t="shared" si="45"/>
        <v>5</v>
      </c>
      <c r="AD49" s="38">
        <f t="shared" si="46"/>
        <v>2</v>
      </c>
      <c r="AE49" s="38">
        <f t="shared" ca="1" si="18"/>
        <v>245</v>
      </c>
      <c r="AF49" s="68">
        <f t="shared" si="43"/>
        <v>370</v>
      </c>
      <c r="AG49" s="70">
        <f t="shared" si="47"/>
        <v>6</v>
      </c>
      <c r="AH49" s="38">
        <f t="shared" si="48"/>
        <v>3</v>
      </c>
      <c r="AI49" s="38">
        <f t="shared" si="49"/>
        <v>1</v>
      </c>
      <c r="AJ49" s="38">
        <f t="shared" ca="1" si="50"/>
        <v>245</v>
      </c>
      <c r="AK49" s="68">
        <f t="shared" si="51"/>
        <v>370</v>
      </c>
      <c r="AL49" s="38">
        <f t="shared" si="52"/>
        <v>6</v>
      </c>
      <c r="AM49" s="38">
        <f t="shared" si="53"/>
        <v>2</v>
      </c>
      <c r="AN49" s="38">
        <f t="shared" si="54"/>
        <v>1</v>
      </c>
      <c r="AO49" s="38">
        <f t="shared" ca="1" si="55"/>
        <v>270</v>
      </c>
      <c r="AP49" s="68">
        <f t="shared" si="56"/>
        <v>420</v>
      </c>
      <c r="AQ49" s="38">
        <f t="shared" si="19"/>
        <v>19</v>
      </c>
      <c r="AR49" s="38">
        <f t="shared" si="20"/>
        <v>10</v>
      </c>
      <c r="AS49" s="38">
        <f t="shared" si="21"/>
        <v>4</v>
      </c>
      <c r="AT49" s="38">
        <f t="shared" ca="1" si="22"/>
        <v>760</v>
      </c>
      <c r="AU49" s="68">
        <f t="shared" si="23"/>
        <v>1160</v>
      </c>
    </row>
    <row r="50" spans="1:47" x14ac:dyDescent="0.25">
      <c r="A50" s="86" t="s">
        <v>253</v>
      </c>
      <c r="B50" s="14">
        <v>48</v>
      </c>
      <c r="C50" s="14">
        <f>关卡产出!C55</f>
        <v>37</v>
      </c>
      <c r="D50" s="14">
        <f>关卡产出!D55</f>
        <v>18</v>
      </c>
      <c r="E50" s="14">
        <f>关卡产出!E55</f>
        <v>9</v>
      </c>
      <c r="F50" s="14">
        <f>关卡产出!F55</f>
        <v>530</v>
      </c>
      <c r="G50" s="38">
        <f t="shared" si="7"/>
        <v>19</v>
      </c>
      <c r="H50" s="38">
        <f t="shared" si="8"/>
        <v>9</v>
      </c>
      <c r="I50" s="38">
        <f t="shared" si="9"/>
        <v>5</v>
      </c>
      <c r="J50" s="38">
        <f t="shared" si="10"/>
        <v>663</v>
      </c>
      <c r="K50" s="38">
        <f t="shared" ca="1" si="11"/>
        <v>760</v>
      </c>
      <c r="R50" s="113" t="s">
        <v>253</v>
      </c>
      <c r="S50" s="14">
        <v>48</v>
      </c>
      <c r="T50" s="14">
        <f>关卡对比!AE54</f>
        <v>33</v>
      </c>
      <c r="U50" s="109">
        <f>关卡对比!AF54</f>
        <v>27</v>
      </c>
      <c r="V50" s="70">
        <f t="shared" si="40"/>
        <v>10</v>
      </c>
      <c r="W50" s="38">
        <f t="shared" si="41"/>
        <v>16</v>
      </c>
      <c r="X50" s="68">
        <f t="shared" si="42"/>
        <v>25</v>
      </c>
      <c r="Y50" s="70">
        <f t="shared" si="29"/>
        <v>5.3</v>
      </c>
      <c r="Z50" s="38">
        <f t="shared" si="13"/>
        <v>5.666666666666667</v>
      </c>
      <c r="AA50" s="68">
        <f t="shared" si="14"/>
        <v>5.4</v>
      </c>
      <c r="AB50" s="70">
        <f t="shared" si="44"/>
        <v>7</v>
      </c>
      <c r="AC50" s="38">
        <f t="shared" si="45"/>
        <v>5</v>
      </c>
      <c r="AD50" s="38">
        <f t="shared" si="46"/>
        <v>2</v>
      </c>
      <c r="AE50" s="38">
        <f t="shared" ca="1" si="18"/>
        <v>245</v>
      </c>
      <c r="AF50" s="68">
        <f t="shared" si="43"/>
        <v>370</v>
      </c>
      <c r="AG50" s="70">
        <f t="shared" si="47"/>
        <v>6</v>
      </c>
      <c r="AH50" s="38">
        <f t="shared" si="48"/>
        <v>3</v>
      </c>
      <c r="AI50" s="38">
        <f t="shared" si="49"/>
        <v>1</v>
      </c>
      <c r="AJ50" s="38">
        <f t="shared" ca="1" si="50"/>
        <v>245</v>
      </c>
      <c r="AK50" s="68">
        <f t="shared" si="51"/>
        <v>370</v>
      </c>
      <c r="AL50" s="38">
        <f t="shared" si="52"/>
        <v>6</v>
      </c>
      <c r="AM50" s="38">
        <f t="shared" si="53"/>
        <v>2</v>
      </c>
      <c r="AN50" s="38">
        <f t="shared" si="54"/>
        <v>1</v>
      </c>
      <c r="AO50" s="38">
        <f t="shared" ca="1" si="55"/>
        <v>270</v>
      </c>
      <c r="AP50" s="68">
        <f t="shared" si="56"/>
        <v>420</v>
      </c>
      <c r="AQ50" s="38">
        <f t="shared" si="19"/>
        <v>19</v>
      </c>
      <c r="AR50" s="38">
        <f t="shared" si="20"/>
        <v>10</v>
      </c>
      <c r="AS50" s="38">
        <f t="shared" si="21"/>
        <v>4</v>
      </c>
      <c r="AT50" s="38">
        <f t="shared" ca="1" si="22"/>
        <v>760</v>
      </c>
      <c r="AU50" s="68">
        <f t="shared" si="23"/>
        <v>1160</v>
      </c>
    </row>
    <row r="51" spans="1:47" x14ac:dyDescent="0.25">
      <c r="A51" s="86" t="s">
        <v>253</v>
      </c>
      <c r="B51" s="14">
        <v>49</v>
      </c>
      <c r="C51" s="14">
        <f>关卡产出!C56</f>
        <v>38</v>
      </c>
      <c r="D51" s="14">
        <f>关卡产出!D56</f>
        <v>19</v>
      </c>
      <c r="E51" s="14">
        <f>关卡产出!E56</f>
        <v>9</v>
      </c>
      <c r="F51" s="14">
        <f>关卡产出!F56</f>
        <v>550</v>
      </c>
      <c r="G51" s="38">
        <f t="shared" si="7"/>
        <v>19</v>
      </c>
      <c r="H51" s="38">
        <f t="shared" si="8"/>
        <v>10</v>
      </c>
      <c r="I51" s="38">
        <f t="shared" si="9"/>
        <v>5</v>
      </c>
      <c r="J51" s="38">
        <f t="shared" si="10"/>
        <v>688</v>
      </c>
      <c r="K51" s="38">
        <f t="shared" ca="1" si="11"/>
        <v>760</v>
      </c>
      <c r="R51" s="113" t="s">
        <v>253</v>
      </c>
      <c r="S51" s="14">
        <v>49</v>
      </c>
      <c r="T51" s="14">
        <f>关卡对比!AE55</f>
        <v>34</v>
      </c>
      <c r="U51" s="109">
        <f>关卡对比!AF55</f>
        <v>28</v>
      </c>
      <c r="V51" s="70">
        <f t="shared" si="40"/>
        <v>10</v>
      </c>
      <c r="W51" s="38">
        <f t="shared" si="41"/>
        <v>16</v>
      </c>
      <c r="X51" s="68">
        <f t="shared" si="42"/>
        <v>25</v>
      </c>
      <c r="Y51" s="70">
        <f t="shared" si="29"/>
        <v>5.4</v>
      </c>
      <c r="Z51" s="38">
        <f t="shared" si="13"/>
        <v>5.833333333333333</v>
      </c>
      <c r="AA51" s="68">
        <f t="shared" si="14"/>
        <v>5.6</v>
      </c>
      <c r="AB51" s="70">
        <f t="shared" si="44"/>
        <v>7</v>
      </c>
      <c r="AC51" s="38">
        <f t="shared" si="45"/>
        <v>5</v>
      </c>
      <c r="AD51" s="38">
        <f t="shared" si="46"/>
        <v>2</v>
      </c>
      <c r="AE51" s="38">
        <f t="shared" ca="1" si="18"/>
        <v>245</v>
      </c>
      <c r="AF51" s="68">
        <f t="shared" si="43"/>
        <v>370</v>
      </c>
      <c r="AG51" s="70">
        <f t="shared" si="47"/>
        <v>6</v>
      </c>
      <c r="AH51" s="38">
        <f t="shared" si="48"/>
        <v>3</v>
      </c>
      <c r="AI51" s="38">
        <f t="shared" si="49"/>
        <v>1</v>
      </c>
      <c r="AJ51" s="38">
        <f t="shared" ca="1" si="50"/>
        <v>245</v>
      </c>
      <c r="AK51" s="68">
        <f t="shared" si="51"/>
        <v>370</v>
      </c>
      <c r="AL51" s="38">
        <f t="shared" si="52"/>
        <v>6</v>
      </c>
      <c r="AM51" s="38">
        <f t="shared" si="53"/>
        <v>2</v>
      </c>
      <c r="AN51" s="38">
        <f t="shared" si="54"/>
        <v>1</v>
      </c>
      <c r="AO51" s="38">
        <f t="shared" ca="1" si="55"/>
        <v>270</v>
      </c>
      <c r="AP51" s="68">
        <f t="shared" si="56"/>
        <v>420</v>
      </c>
      <c r="AQ51" s="38">
        <f t="shared" si="19"/>
        <v>19</v>
      </c>
      <c r="AR51" s="38">
        <f t="shared" si="20"/>
        <v>10</v>
      </c>
      <c r="AS51" s="38">
        <f t="shared" si="21"/>
        <v>4</v>
      </c>
      <c r="AT51" s="38">
        <f t="shared" ca="1" si="22"/>
        <v>760</v>
      </c>
      <c r="AU51" s="68">
        <f t="shared" si="23"/>
        <v>1160</v>
      </c>
    </row>
    <row r="52" spans="1:47" x14ac:dyDescent="0.25">
      <c r="A52" s="86" t="s">
        <v>253</v>
      </c>
      <c r="B52" s="14">
        <v>50</v>
      </c>
      <c r="C52" s="14">
        <f>关卡产出!C57</f>
        <v>38</v>
      </c>
      <c r="D52" s="14">
        <f>关卡产出!D57</f>
        <v>19</v>
      </c>
      <c r="E52" s="14">
        <f>关卡产出!E57</f>
        <v>9</v>
      </c>
      <c r="F52" s="14">
        <f>关卡产出!F57</f>
        <v>550</v>
      </c>
      <c r="G52" s="38">
        <f t="shared" si="7"/>
        <v>19</v>
      </c>
      <c r="H52" s="38">
        <f t="shared" si="8"/>
        <v>10</v>
      </c>
      <c r="I52" s="38">
        <f t="shared" si="9"/>
        <v>5</v>
      </c>
      <c r="J52" s="38">
        <f t="shared" si="10"/>
        <v>688</v>
      </c>
      <c r="K52" s="38">
        <f t="shared" ca="1" si="11"/>
        <v>785</v>
      </c>
      <c r="R52" s="113" t="s">
        <v>253</v>
      </c>
      <c r="S52" s="14">
        <v>50</v>
      </c>
      <c r="T52" s="14">
        <f>关卡对比!AE56</f>
        <v>35</v>
      </c>
      <c r="U52" s="109">
        <f>关卡对比!AF56</f>
        <v>29</v>
      </c>
      <c r="V52" s="70">
        <f t="shared" si="40"/>
        <v>10</v>
      </c>
      <c r="W52" s="38">
        <f t="shared" si="41"/>
        <v>17</v>
      </c>
      <c r="X52" s="68">
        <f t="shared" si="42"/>
        <v>25</v>
      </c>
      <c r="Y52" s="70">
        <f t="shared" si="29"/>
        <v>5.5</v>
      </c>
      <c r="Z52" s="38">
        <f t="shared" si="13"/>
        <v>5.2857142857142856</v>
      </c>
      <c r="AA52" s="68">
        <f t="shared" si="14"/>
        <v>5.8</v>
      </c>
      <c r="AB52" s="70">
        <f t="shared" si="44"/>
        <v>7</v>
      </c>
      <c r="AC52" s="38">
        <f t="shared" si="45"/>
        <v>5</v>
      </c>
      <c r="AD52" s="38">
        <f t="shared" si="46"/>
        <v>2</v>
      </c>
      <c r="AE52" s="38">
        <f t="shared" ca="1" si="18"/>
        <v>245</v>
      </c>
      <c r="AF52" s="68">
        <f t="shared" si="43"/>
        <v>370</v>
      </c>
      <c r="AG52" s="70">
        <f t="shared" si="47"/>
        <v>7</v>
      </c>
      <c r="AH52" s="38">
        <f t="shared" si="48"/>
        <v>3</v>
      </c>
      <c r="AI52" s="38">
        <f t="shared" si="49"/>
        <v>1</v>
      </c>
      <c r="AJ52" s="38">
        <f t="shared" ca="1" si="50"/>
        <v>270</v>
      </c>
      <c r="AK52" s="68">
        <f t="shared" si="51"/>
        <v>420</v>
      </c>
      <c r="AL52" s="38">
        <f t="shared" si="52"/>
        <v>6</v>
      </c>
      <c r="AM52" s="38">
        <f t="shared" si="53"/>
        <v>2</v>
      </c>
      <c r="AN52" s="38">
        <f t="shared" si="54"/>
        <v>1</v>
      </c>
      <c r="AO52" s="38">
        <f t="shared" ca="1" si="55"/>
        <v>270</v>
      </c>
      <c r="AP52" s="68">
        <f t="shared" si="56"/>
        <v>420</v>
      </c>
      <c r="AQ52" s="38">
        <f t="shared" si="19"/>
        <v>20</v>
      </c>
      <c r="AR52" s="38">
        <f t="shared" si="20"/>
        <v>10</v>
      </c>
      <c r="AS52" s="38">
        <f t="shared" si="21"/>
        <v>4</v>
      </c>
      <c r="AT52" s="38">
        <f t="shared" ca="1" si="22"/>
        <v>785</v>
      </c>
      <c r="AU52" s="68">
        <f t="shared" si="23"/>
        <v>1210</v>
      </c>
    </row>
    <row r="53" spans="1:47" x14ac:dyDescent="0.25">
      <c r="A53" s="86" t="s">
        <v>253</v>
      </c>
      <c r="B53" s="14">
        <v>51</v>
      </c>
      <c r="C53" s="14">
        <f>关卡产出!C58</f>
        <v>39</v>
      </c>
      <c r="D53" s="14">
        <f>关卡产出!D58</f>
        <v>19</v>
      </c>
      <c r="E53" s="14">
        <f>关卡产出!E58</f>
        <v>9</v>
      </c>
      <c r="F53" s="14">
        <f>关卡产出!F58</f>
        <v>570</v>
      </c>
      <c r="G53" s="38">
        <f t="shared" si="7"/>
        <v>20</v>
      </c>
      <c r="H53" s="38">
        <f t="shared" si="8"/>
        <v>10</v>
      </c>
      <c r="I53" s="38">
        <f t="shared" si="9"/>
        <v>5</v>
      </c>
      <c r="J53" s="38">
        <f t="shared" si="10"/>
        <v>713</v>
      </c>
      <c r="K53" s="38">
        <f t="shared" ca="1" si="11"/>
        <v>785</v>
      </c>
      <c r="R53" s="113" t="s">
        <v>253</v>
      </c>
      <c r="S53" s="14">
        <v>51</v>
      </c>
      <c r="T53" s="14">
        <f>关卡对比!AE57</f>
        <v>36</v>
      </c>
      <c r="U53" s="109">
        <f>关卡对比!AF57</f>
        <v>29</v>
      </c>
      <c r="V53" s="70">
        <f t="shared" si="40"/>
        <v>10</v>
      </c>
      <c r="W53" s="38">
        <f t="shared" si="41"/>
        <v>17</v>
      </c>
      <c r="X53" s="68">
        <f t="shared" si="42"/>
        <v>25</v>
      </c>
      <c r="Y53" s="70">
        <f t="shared" si="29"/>
        <v>5.6</v>
      </c>
      <c r="Z53" s="38">
        <f t="shared" si="13"/>
        <v>5.4285714285714288</v>
      </c>
      <c r="AA53" s="68">
        <f t="shared" si="14"/>
        <v>5.8</v>
      </c>
      <c r="AB53" s="70">
        <f t="shared" si="44"/>
        <v>7</v>
      </c>
      <c r="AC53" s="38">
        <f t="shared" si="45"/>
        <v>5</v>
      </c>
      <c r="AD53" s="38">
        <f t="shared" si="46"/>
        <v>2</v>
      </c>
      <c r="AE53" s="38">
        <f t="shared" ca="1" si="18"/>
        <v>245</v>
      </c>
      <c r="AF53" s="68">
        <f t="shared" si="43"/>
        <v>370</v>
      </c>
      <c r="AG53" s="70">
        <f t="shared" si="47"/>
        <v>7</v>
      </c>
      <c r="AH53" s="38">
        <f t="shared" si="48"/>
        <v>3</v>
      </c>
      <c r="AI53" s="38">
        <f t="shared" si="49"/>
        <v>1</v>
      </c>
      <c r="AJ53" s="38">
        <f t="shared" ca="1" si="50"/>
        <v>270</v>
      </c>
      <c r="AK53" s="68">
        <f t="shared" si="51"/>
        <v>420</v>
      </c>
      <c r="AL53" s="38">
        <f t="shared" si="52"/>
        <v>6</v>
      </c>
      <c r="AM53" s="38">
        <f t="shared" si="53"/>
        <v>2</v>
      </c>
      <c r="AN53" s="38">
        <f t="shared" si="54"/>
        <v>1</v>
      </c>
      <c r="AO53" s="38">
        <f t="shared" ca="1" si="55"/>
        <v>270</v>
      </c>
      <c r="AP53" s="68">
        <f t="shared" si="56"/>
        <v>420</v>
      </c>
      <c r="AQ53" s="38">
        <f t="shared" si="19"/>
        <v>20</v>
      </c>
      <c r="AR53" s="38">
        <f t="shared" si="20"/>
        <v>10</v>
      </c>
      <c r="AS53" s="38">
        <f t="shared" si="21"/>
        <v>4</v>
      </c>
      <c r="AT53" s="38">
        <f t="shared" ca="1" si="22"/>
        <v>785</v>
      </c>
      <c r="AU53" s="68">
        <f t="shared" si="23"/>
        <v>1210</v>
      </c>
    </row>
    <row r="54" spans="1:47" x14ac:dyDescent="0.25">
      <c r="A54" s="86" t="s">
        <v>253</v>
      </c>
      <c r="B54" s="14">
        <v>52</v>
      </c>
      <c r="C54" s="14">
        <f>关卡产出!C59</f>
        <v>40</v>
      </c>
      <c r="D54" s="14">
        <f>关卡产出!D59</f>
        <v>20</v>
      </c>
      <c r="E54" s="14">
        <f>关卡产出!E59</f>
        <v>9</v>
      </c>
      <c r="F54" s="14">
        <f>关卡产出!F59</f>
        <v>570</v>
      </c>
      <c r="G54" s="38">
        <f t="shared" si="7"/>
        <v>20</v>
      </c>
      <c r="H54" s="38">
        <f t="shared" si="8"/>
        <v>10</v>
      </c>
      <c r="I54" s="38">
        <f t="shared" si="9"/>
        <v>5</v>
      </c>
      <c r="J54" s="38">
        <f t="shared" si="10"/>
        <v>713</v>
      </c>
      <c r="K54" s="38">
        <f t="shared" ca="1" si="11"/>
        <v>820</v>
      </c>
      <c r="R54" s="113" t="s">
        <v>253</v>
      </c>
      <c r="S54" s="14">
        <v>52</v>
      </c>
      <c r="T54" s="14">
        <f>关卡对比!AE58</f>
        <v>37</v>
      </c>
      <c r="U54" s="109">
        <f>关卡对比!AF58</f>
        <v>30</v>
      </c>
      <c r="V54" s="70">
        <f t="shared" si="40"/>
        <v>10</v>
      </c>
      <c r="W54" s="38">
        <f t="shared" si="41"/>
        <v>17</v>
      </c>
      <c r="X54" s="68">
        <f t="shared" si="42"/>
        <v>26</v>
      </c>
      <c r="Y54" s="70">
        <f t="shared" si="29"/>
        <v>5.7</v>
      </c>
      <c r="Z54" s="38">
        <f t="shared" si="13"/>
        <v>5.5714285714285712</v>
      </c>
      <c r="AA54" s="68">
        <f t="shared" si="14"/>
        <v>5.166666666666667</v>
      </c>
      <c r="AB54" s="70">
        <f t="shared" si="44"/>
        <v>7</v>
      </c>
      <c r="AC54" s="38">
        <f t="shared" si="45"/>
        <v>5</v>
      </c>
      <c r="AD54" s="38">
        <f t="shared" si="46"/>
        <v>2</v>
      </c>
      <c r="AE54" s="38">
        <f t="shared" ca="1" si="18"/>
        <v>245</v>
      </c>
      <c r="AF54" s="68">
        <f t="shared" si="43"/>
        <v>370</v>
      </c>
      <c r="AG54" s="70">
        <f t="shared" si="47"/>
        <v>7</v>
      </c>
      <c r="AH54" s="38">
        <f t="shared" si="48"/>
        <v>3</v>
      </c>
      <c r="AI54" s="38">
        <f t="shared" si="49"/>
        <v>1</v>
      </c>
      <c r="AJ54" s="38">
        <f t="shared" ca="1" si="50"/>
        <v>270</v>
      </c>
      <c r="AK54" s="68">
        <f t="shared" si="51"/>
        <v>420</v>
      </c>
      <c r="AL54" s="38">
        <f t="shared" si="52"/>
        <v>6</v>
      </c>
      <c r="AM54" s="38">
        <f t="shared" si="53"/>
        <v>3</v>
      </c>
      <c r="AN54" s="38">
        <f t="shared" si="54"/>
        <v>1</v>
      </c>
      <c r="AO54" s="38">
        <f t="shared" ca="1" si="55"/>
        <v>305</v>
      </c>
      <c r="AP54" s="68">
        <f t="shared" si="56"/>
        <v>490</v>
      </c>
      <c r="AQ54" s="38">
        <f t="shared" si="19"/>
        <v>20</v>
      </c>
      <c r="AR54" s="38">
        <f t="shared" si="20"/>
        <v>11</v>
      </c>
      <c r="AS54" s="38">
        <f t="shared" si="21"/>
        <v>4</v>
      </c>
      <c r="AT54" s="38">
        <f t="shared" ca="1" si="22"/>
        <v>820</v>
      </c>
      <c r="AU54" s="68">
        <f t="shared" si="23"/>
        <v>1280</v>
      </c>
    </row>
    <row r="55" spans="1:47" x14ac:dyDescent="0.25">
      <c r="A55" s="86" t="s">
        <v>253</v>
      </c>
      <c r="B55" s="14">
        <v>53</v>
      </c>
      <c r="C55" s="14">
        <f>关卡产出!C60</f>
        <v>41</v>
      </c>
      <c r="D55" s="14">
        <f>关卡产出!D60</f>
        <v>20</v>
      </c>
      <c r="E55" s="14">
        <f>关卡产出!E60</f>
        <v>10</v>
      </c>
      <c r="F55" s="14">
        <f>关卡产出!F60</f>
        <v>590</v>
      </c>
      <c r="G55" s="38">
        <f t="shared" si="7"/>
        <v>21</v>
      </c>
      <c r="H55" s="38">
        <f t="shared" si="8"/>
        <v>10</v>
      </c>
      <c r="I55" s="38">
        <f t="shared" si="9"/>
        <v>5</v>
      </c>
      <c r="J55" s="38">
        <f t="shared" si="10"/>
        <v>738</v>
      </c>
      <c r="K55" s="38">
        <f t="shared" ca="1" si="11"/>
        <v>820</v>
      </c>
      <c r="R55" s="113" t="s">
        <v>253</v>
      </c>
      <c r="S55" s="14">
        <v>53</v>
      </c>
      <c r="T55" s="14">
        <f>关卡对比!AE59</f>
        <v>37</v>
      </c>
      <c r="U55" s="109">
        <f>关卡对比!AF59</f>
        <v>30</v>
      </c>
      <c r="V55" s="70">
        <f t="shared" si="40"/>
        <v>10</v>
      </c>
      <c r="W55" s="38">
        <f t="shared" si="41"/>
        <v>17</v>
      </c>
      <c r="X55" s="68">
        <f t="shared" si="42"/>
        <v>26</v>
      </c>
      <c r="Y55" s="70">
        <f t="shared" si="29"/>
        <v>5.8</v>
      </c>
      <c r="Z55" s="38">
        <f t="shared" si="13"/>
        <v>5.5714285714285712</v>
      </c>
      <c r="AA55" s="68">
        <f t="shared" si="14"/>
        <v>5.166666666666667</v>
      </c>
      <c r="AB55" s="70">
        <f t="shared" si="44"/>
        <v>7</v>
      </c>
      <c r="AC55" s="38">
        <f t="shared" si="45"/>
        <v>5</v>
      </c>
      <c r="AD55" s="38">
        <f t="shared" si="46"/>
        <v>2</v>
      </c>
      <c r="AE55" s="38">
        <f t="shared" ca="1" si="18"/>
        <v>245</v>
      </c>
      <c r="AF55" s="68">
        <f t="shared" si="43"/>
        <v>370</v>
      </c>
      <c r="AG55" s="70">
        <f t="shared" si="47"/>
        <v>7</v>
      </c>
      <c r="AH55" s="38">
        <f t="shared" si="48"/>
        <v>3</v>
      </c>
      <c r="AI55" s="38">
        <f t="shared" si="49"/>
        <v>1</v>
      </c>
      <c r="AJ55" s="38">
        <f t="shared" ca="1" si="50"/>
        <v>270</v>
      </c>
      <c r="AK55" s="68">
        <f t="shared" si="51"/>
        <v>420</v>
      </c>
      <c r="AL55" s="38">
        <f t="shared" si="52"/>
        <v>6</v>
      </c>
      <c r="AM55" s="38">
        <f t="shared" si="53"/>
        <v>3</v>
      </c>
      <c r="AN55" s="38">
        <f t="shared" si="54"/>
        <v>1</v>
      </c>
      <c r="AO55" s="38">
        <f t="shared" ca="1" si="55"/>
        <v>305</v>
      </c>
      <c r="AP55" s="68">
        <f t="shared" si="56"/>
        <v>490</v>
      </c>
      <c r="AQ55" s="38">
        <f t="shared" si="19"/>
        <v>20</v>
      </c>
      <c r="AR55" s="38">
        <f t="shared" si="20"/>
        <v>11</v>
      </c>
      <c r="AS55" s="38">
        <f t="shared" si="21"/>
        <v>4</v>
      </c>
      <c r="AT55" s="38">
        <f t="shared" ca="1" si="22"/>
        <v>820</v>
      </c>
      <c r="AU55" s="68">
        <f t="shared" si="23"/>
        <v>1280</v>
      </c>
    </row>
    <row r="56" spans="1:47" x14ac:dyDescent="0.25">
      <c r="A56" s="86" t="s">
        <v>253</v>
      </c>
      <c r="B56" s="14">
        <v>54</v>
      </c>
      <c r="C56" s="14">
        <f>关卡产出!C61</f>
        <v>42</v>
      </c>
      <c r="D56" s="14">
        <f>关卡产出!D61</f>
        <v>21</v>
      </c>
      <c r="E56" s="14">
        <f>关卡产出!E61</f>
        <v>10</v>
      </c>
      <c r="F56" s="14">
        <f>关卡产出!F61</f>
        <v>590</v>
      </c>
      <c r="G56" s="38">
        <f t="shared" si="7"/>
        <v>21</v>
      </c>
      <c r="H56" s="38">
        <f t="shared" si="8"/>
        <v>11</v>
      </c>
      <c r="I56" s="38">
        <f t="shared" si="9"/>
        <v>5</v>
      </c>
      <c r="J56" s="38">
        <f t="shared" si="10"/>
        <v>738</v>
      </c>
      <c r="K56" s="38">
        <f t="shared" ca="1" si="11"/>
        <v>820</v>
      </c>
      <c r="R56" s="113" t="s">
        <v>253</v>
      </c>
      <c r="S56" s="14">
        <v>54</v>
      </c>
      <c r="T56" s="14">
        <f>关卡对比!AE60</f>
        <v>38</v>
      </c>
      <c r="U56" s="109">
        <f>关卡对比!AF60</f>
        <v>31</v>
      </c>
      <c r="V56" s="70">
        <f t="shared" si="40"/>
        <v>10</v>
      </c>
      <c r="W56" s="38">
        <f t="shared" si="41"/>
        <v>17</v>
      </c>
      <c r="X56" s="68">
        <f t="shared" si="42"/>
        <v>26</v>
      </c>
      <c r="Y56" s="70">
        <f t="shared" si="29"/>
        <v>5.9</v>
      </c>
      <c r="Z56" s="38">
        <f t="shared" si="13"/>
        <v>5.7142857142857144</v>
      </c>
      <c r="AA56" s="68">
        <f t="shared" si="14"/>
        <v>5.333333333333333</v>
      </c>
      <c r="AB56" s="70">
        <f t="shared" si="44"/>
        <v>7</v>
      </c>
      <c r="AC56" s="38">
        <f t="shared" si="45"/>
        <v>5</v>
      </c>
      <c r="AD56" s="38">
        <f t="shared" si="46"/>
        <v>2</v>
      </c>
      <c r="AE56" s="38">
        <f t="shared" ca="1" si="18"/>
        <v>245</v>
      </c>
      <c r="AF56" s="68">
        <f t="shared" si="43"/>
        <v>370</v>
      </c>
      <c r="AG56" s="70">
        <f t="shared" si="47"/>
        <v>7</v>
      </c>
      <c r="AH56" s="38">
        <f t="shared" si="48"/>
        <v>3</v>
      </c>
      <c r="AI56" s="38">
        <f t="shared" si="49"/>
        <v>1</v>
      </c>
      <c r="AJ56" s="38">
        <f t="shared" ca="1" si="50"/>
        <v>270</v>
      </c>
      <c r="AK56" s="68">
        <f t="shared" si="51"/>
        <v>420</v>
      </c>
      <c r="AL56" s="38">
        <f t="shared" si="52"/>
        <v>6</v>
      </c>
      <c r="AM56" s="38">
        <f t="shared" si="53"/>
        <v>3</v>
      </c>
      <c r="AN56" s="38">
        <f t="shared" si="54"/>
        <v>1</v>
      </c>
      <c r="AO56" s="38">
        <f t="shared" ca="1" si="55"/>
        <v>305</v>
      </c>
      <c r="AP56" s="68">
        <f t="shared" si="56"/>
        <v>490</v>
      </c>
      <c r="AQ56" s="38">
        <f t="shared" si="19"/>
        <v>20</v>
      </c>
      <c r="AR56" s="38">
        <f t="shared" si="20"/>
        <v>11</v>
      </c>
      <c r="AS56" s="38">
        <f t="shared" si="21"/>
        <v>4</v>
      </c>
      <c r="AT56" s="38">
        <f t="shared" ca="1" si="22"/>
        <v>820</v>
      </c>
      <c r="AU56" s="68">
        <f t="shared" si="23"/>
        <v>1280</v>
      </c>
    </row>
    <row r="57" spans="1:47" x14ac:dyDescent="0.25">
      <c r="A57" s="86" t="s">
        <v>253</v>
      </c>
      <c r="B57" s="14">
        <v>55</v>
      </c>
      <c r="C57" s="14">
        <f>关卡产出!C62</f>
        <v>42</v>
      </c>
      <c r="D57" s="14">
        <f>关卡产出!D62</f>
        <v>21</v>
      </c>
      <c r="E57" s="14">
        <f>关卡产出!E62</f>
        <v>10</v>
      </c>
      <c r="F57" s="14">
        <f>关卡产出!F62</f>
        <v>610</v>
      </c>
      <c r="G57" s="38">
        <f t="shared" si="7"/>
        <v>21</v>
      </c>
      <c r="H57" s="38">
        <f t="shared" si="8"/>
        <v>11</v>
      </c>
      <c r="I57" s="38">
        <f t="shared" si="9"/>
        <v>5</v>
      </c>
      <c r="J57" s="38">
        <f t="shared" si="10"/>
        <v>763</v>
      </c>
      <c r="K57" s="38">
        <f t="shared" ca="1" si="11"/>
        <v>845</v>
      </c>
      <c r="R57" s="113" t="s">
        <v>253</v>
      </c>
      <c r="S57" s="14">
        <v>55</v>
      </c>
      <c r="T57" s="14">
        <f>关卡对比!AE61</f>
        <v>39</v>
      </c>
      <c r="U57" s="109">
        <f>关卡对比!AF61</f>
        <v>31</v>
      </c>
      <c r="V57" s="70">
        <f t="shared" si="40"/>
        <v>10</v>
      </c>
      <c r="W57" s="38">
        <f t="shared" si="41"/>
        <v>17</v>
      </c>
      <c r="X57" s="68">
        <f t="shared" si="42"/>
        <v>26</v>
      </c>
      <c r="Y57" s="70">
        <f t="shared" si="29"/>
        <v>6</v>
      </c>
      <c r="Z57" s="38">
        <f t="shared" si="13"/>
        <v>5.8571428571428568</v>
      </c>
      <c r="AA57" s="68">
        <f t="shared" si="14"/>
        <v>5.333333333333333</v>
      </c>
      <c r="AB57" s="70">
        <f t="shared" si="44"/>
        <v>7</v>
      </c>
      <c r="AC57" s="38">
        <f t="shared" si="45"/>
        <v>5</v>
      </c>
      <c r="AD57" s="38">
        <f t="shared" si="46"/>
        <v>2</v>
      </c>
      <c r="AE57" s="38">
        <f t="shared" ca="1" si="18"/>
        <v>270</v>
      </c>
      <c r="AF57" s="68">
        <f t="shared" si="43"/>
        <v>370</v>
      </c>
      <c r="AG57" s="70">
        <f t="shared" si="47"/>
        <v>7</v>
      </c>
      <c r="AH57" s="38">
        <f t="shared" si="48"/>
        <v>3</v>
      </c>
      <c r="AI57" s="38">
        <f t="shared" si="49"/>
        <v>1</v>
      </c>
      <c r="AJ57" s="38">
        <f t="shared" ca="1" si="50"/>
        <v>270</v>
      </c>
      <c r="AK57" s="68">
        <f t="shared" si="51"/>
        <v>420</v>
      </c>
      <c r="AL57" s="38">
        <f t="shared" si="52"/>
        <v>6</v>
      </c>
      <c r="AM57" s="38">
        <f t="shared" si="53"/>
        <v>3</v>
      </c>
      <c r="AN57" s="38">
        <f t="shared" si="54"/>
        <v>1</v>
      </c>
      <c r="AO57" s="38">
        <f t="shared" ca="1" si="55"/>
        <v>305</v>
      </c>
      <c r="AP57" s="68">
        <f t="shared" si="56"/>
        <v>490</v>
      </c>
      <c r="AQ57" s="38">
        <f t="shared" si="19"/>
        <v>20</v>
      </c>
      <c r="AR57" s="38">
        <f t="shared" si="20"/>
        <v>11</v>
      </c>
      <c r="AS57" s="38">
        <f t="shared" si="21"/>
        <v>4</v>
      </c>
      <c r="AT57" s="38">
        <f t="shared" ca="1" si="22"/>
        <v>845</v>
      </c>
      <c r="AU57" s="68">
        <f t="shared" si="23"/>
        <v>1280</v>
      </c>
    </row>
    <row r="58" spans="1:47" x14ac:dyDescent="0.25">
      <c r="A58" s="86" t="s">
        <v>253</v>
      </c>
      <c r="B58" s="14">
        <v>56</v>
      </c>
      <c r="C58" s="14">
        <f>关卡产出!C63</f>
        <v>43</v>
      </c>
      <c r="D58" s="14">
        <f>关卡产出!D63</f>
        <v>21</v>
      </c>
      <c r="E58" s="14">
        <f>关卡产出!E63</f>
        <v>10</v>
      </c>
      <c r="F58" s="14">
        <f>关卡产出!F63</f>
        <v>610</v>
      </c>
      <c r="G58" s="38">
        <f t="shared" si="7"/>
        <v>22</v>
      </c>
      <c r="H58" s="38">
        <f t="shared" si="8"/>
        <v>11</v>
      </c>
      <c r="I58" s="38">
        <f t="shared" si="9"/>
        <v>5</v>
      </c>
      <c r="J58" s="38">
        <f t="shared" si="10"/>
        <v>763</v>
      </c>
      <c r="K58" s="38">
        <f t="shared" ca="1" si="11"/>
        <v>870</v>
      </c>
      <c r="R58" s="113" t="s">
        <v>253</v>
      </c>
      <c r="S58" s="14">
        <v>56</v>
      </c>
      <c r="T58" s="14">
        <f>关卡对比!AE62</f>
        <v>40</v>
      </c>
      <c r="U58" s="109">
        <f>关卡对比!AF62</f>
        <v>32</v>
      </c>
      <c r="V58" s="70">
        <f t="shared" si="40"/>
        <v>10</v>
      </c>
      <c r="W58" s="38">
        <f t="shared" si="41"/>
        <v>18</v>
      </c>
      <c r="X58" s="68">
        <f t="shared" si="42"/>
        <v>26</v>
      </c>
      <c r="Y58" s="70">
        <f t="shared" si="29"/>
        <v>6.1</v>
      </c>
      <c r="Z58" s="38">
        <f t="shared" si="13"/>
        <v>5.375</v>
      </c>
      <c r="AA58" s="68">
        <f t="shared" si="14"/>
        <v>5.5</v>
      </c>
      <c r="AB58" s="70">
        <f t="shared" si="44"/>
        <v>7</v>
      </c>
      <c r="AC58" s="38">
        <f t="shared" si="45"/>
        <v>5</v>
      </c>
      <c r="AD58" s="38">
        <f t="shared" si="46"/>
        <v>2</v>
      </c>
      <c r="AE58" s="38">
        <f t="shared" ca="1" si="18"/>
        <v>270</v>
      </c>
      <c r="AF58" s="68">
        <f t="shared" si="43"/>
        <v>370</v>
      </c>
      <c r="AG58" s="70">
        <f t="shared" si="47"/>
        <v>7</v>
      </c>
      <c r="AH58" s="38">
        <f t="shared" si="48"/>
        <v>4</v>
      </c>
      <c r="AI58" s="38">
        <f t="shared" si="49"/>
        <v>1</v>
      </c>
      <c r="AJ58" s="38">
        <f t="shared" ca="1" si="50"/>
        <v>295</v>
      </c>
      <c r="AK58" s="68">
        <f t="shared" si="51"/>
        <v>470</v>
      </c>
      <c r="AL58" s="38">
        <f t="shared" si="52"/>
        <v>6</v>
      </c>
      <c r="AM58" s="38">
        <f t="shared" si="53"/>
        <v>3</v>
      </c>
      <c r="AN58" s="38">
        <f t="shared" si="54"/>
        <v>1</v>
      </c>
      <c r="AO58" s="38">
        <f t="shared" ca="1" si="55"/>
        <v>305</v>
      </c>
      <c r="AP58" s="68">
        <f t="shared" si="56"/>
        <v>490</v>
      </c>
      <c r="AQ58" s="38">
        <f t="shared" si="19"/>
        <v>20</v>
      </c>
      <c r="AR58" s="38">
        <f t="shared" si="20"/>
        <v>12</v>
      </c>
      <c r="AS58" s="38">
        <f t="shared" si="21"/>
        <v>4</v>
      </c>
      <c r="AT58" s="38">
        <f t="shared" ca="1" si="22"/>
        <v>870</v>
      </c>
      <c r="AU58" s="68">
        <f t="shared" si="23"/>
        <v>1330</v>
      </c>
    </row>
    <row r="59" spans="1:47" x14ac:dyDescent="0.25">
      <c r="A59" s="86" t="s">
        <v>253</v>
      </c>
      <c r="B59" s="14">
        <v>57</v>
      </c>
      <c r="C59" s="14">
        <f>关卡产出!C64</f>
        <v>44</v>
      </c>
      <c r="D59" s="14">
        <f>关卡产出!D64</f>
        <v>22</v>
      </c>
      <c r="E59" s="14">
        <f>关卡产出!E64</f>
        <v>10</v>
      </c>
      <c r="F59" s="14">
        <f>关卡产出!F64</f>
        <v>630</v>
      </c>
      <c r="G59" s="38">
        <f t="shared" si="7"/>
        <v>22</v>
      </c>
      <c r="H59" s="38">
        <f t="shared" si="8"/>
        <v>11</v>
      </c>
      <c r="I59" s="38">
        <f t="shared" si="9"/>
        <v>5</v>
      </c>
      <c r="J59" s="38">
        <f t="shared" si="10"/>
        <v>788</v>
      </c>
      <c r="K59" s="38">
        <f t="shared" ca="1" si="11"/>
        <v>870</v>
      </c>
      <c r="R59" s="113" t="s">
        <v>253</v>
      </c>
      <c r="S59" s="14">
        <v>57</v>
      </c>
      <c r="T59" s="14">
        <f>关卡对比!AE63</f>
        <v>41</v>
      </c>
      <c r="U59" s="109">
        <f>关卡对比!AF63</f>
        <v>33</v>
      </c>
      <c r="V59" s="70">
        <f t="shared" si="40"/>
        <v>10</v>
      </c>
      <c r="W59" s="38">
        <f t="shared" si="41"/>
        <v>18</v>
      </c>
      <c r="X59" s="68">
        <f t="shared" si="42"/>
        <v>26</v>
      </c>
      <c r="Y59" s="70">
        <f t="shared" si="29"/>
        <v>6.2</v>
      </c>
      <c r="Z59" s="38">
        <f t="shared" si="13"/>
        <v>5.5</v>
      </c>
      <c r="AA59" s="68">
        <f t="shared" si="14"/>
        <v>5.666666666666667</v>
      </c>
      <c r="AB59" s="70">
        <f t="shared" si="44"/>
        <v>7</v>
      </c>
      <c r="AC59" s="38">
        <f t="shared" si="45"/>
        <v>5</v>
      </c>
      <c r="AD59" s="38">
        <f t="shared" si="46"/>
        <v>2</v>
      </c>
      <c r="AE59" s="38">
        <f t="shared" ca="1" si="18"/>
        <v>270</v>
      </c>
      <c r="AF59" s="68">
        <f t="shared" si="43"/>
        <v>370</v>
      </c>
      <c r="AG59" s="70">
        <f t="shared" si="47"/>
        <v>7</v>
      </c>
      <c r="AH59" s="38">
        <f t="shared" si="48"/>
        <v>4</v>
      </c>
      <c r="AI59" s="38">
        <f t="shared" si="49"/>
        <v>1</v>
      </c>
      <c r="AJ59" s="38">
        <f t="shared" ca="1" si="50"/>
        <v>295</v>
      </c>
      <c r="AK59" s="68">
        <f t="shared" si="51"/>
        <v>470</v>
      </c>
      <c r="AL59" s="38">
        <f t="shared" si="52"/>
        <v>6</v>
      </c>
      <c r="AM59" s="38">
        <f t="shared" si="53"/>
        <v>3</v>
      </c>
      <c r="AN59" s="38">
        <f t="shared" si="54"/>
        <v>1</v>
      </c>
      <c r="AO59" s="38">
        <f t="shared" ca="1" si="55"/>
        <v>305</v>
      </c>
      <c r="AP59" s="68">
        <f t="shared" si="56"/>
        <v>490</v>
      </c>
      <c r="AQ59" s="38">
        <f t="shared" si="19"/>
        <v>20</v>
      </c>
      <c r="AR59" s="38">
        <f t="shared" si="20"/>
        <v>12</v>
      </c>
      <c r="AS59" s="38">
        <f t="shared" si="21"/>
        <v>4</v>
      </c>
      <c r="AT59" s="38">
        <f t="shared" ca="1" si="22"/>
        <v>870</v>
      </c>
      <c r="AU59" s="68">
        <f t="shared" si="23"/>
        <v>1330</v>
      </c>
    </row>
    <row r="60" spans="1:47" x14ac:dyDescent="0.25">
      <c r="A60" s="86" t="s">
        <v>253</v>
      </c>
      <c r="B60" s="14">
        <v>58</v>
      </c>
      <c r="C60" s="14">
        <f>关卡产出!C65</f>
        <v>45</v>
      </c>
      <c r="D60" s="14">
        <f>关卡产出!D65</f>
        <v>22</v>
      </c>
      <c r="E60" s="14">
        <f>关卡产出!E65</f>
        <v>11</v>
      </c>
      <c r="F60" s="14">
        <f>关卡产出!F65</f>
        <v>630</v>
      </c>
      <c r="G60" s="38">
        <f t="shared" si="7"/>
        <v>23</v>
      </c>
      <c r="H60" s="38">
        <f t="shared" si="8"/>
        <v>11</v>
      </c>
      <c r="I60" s="38">
        <f t="shared" si="9"/>
        <v>6</v>
      </c>
      <c r="J60" s="38">
        <f t="shared" si="10"/>
        <v>788</v>
      </c>
      <c r="K60" s="38">
        <f t="shared" ca="1" si="11"/>
        <v>870</v>
      </c>
      <c r="R60" s="113" t="s">
        <v>253</v>
      </c>
      <c r="S60" s="14">
        <v>58</v>
      </c>
      <c r="T60" s="14">
        <f>关卡对比!AE64</f>
        <v>42</v>
      </c>
      <c r="U60" s="109">
        <f>关卡对比!AF64</f>
        <v>33</v>
      </c>
      <c r="V60" s="70">
        <f t="shared" si="40"/>
        <v>10</v>
      </c>
      <c r="W60" s="38">
        <f t="shared" si="41"/>
        <v>18</v>
      </c>
      <c r="X60" s="68">
        <f t="shared" si="42"/>
        <v>26</v>
      </c>
      <c r="Y60" s="70">
        <f t="shared" si="29"/>
        <v>6.3</v>
      </c>
      <c r="Z60" s="38">
        <f t="shared" si="13"/>
        <v>5.625</v>
      </c>
      <c r="AA60" s="68">
        <f t="shared" si="14"/>
        <v>5.666666666666667</v>
      </c>
      <c r="AB60" s="70">
        <f t="shared" si="44"/>
        <v>7</v>
      </c>
      <c r="AC60" s="38">
        <f t="shared" si="45"/>
        <v>5</v>
      </c>
      <c r="AD60" s="38">
        <f t="shared" si="46"/>
        <v>2</v>
      </c>
      <c r="AE60" s="38">
        <f t="shared" ca="1" si="18"/>
        <v>270</v>
      </c>
      <c r="AF60" s="68">
        <f t="shared" si="43"/>
        <v>370</v>
      </c>
      <c r="AG60" s="70">
        <f t="shared" si="47"/>
        <v>7</v>
      </c>
      <c r="AH60" s="38">
        <f t="shared" si="48"/>
        <v>4</v>
      </c>
      <c r="AI60" s="38">
        <f t="shared" si="49"/>
        <v>1</v>
      </c>
      <c r="AJ60" s="38">
        <f t="shared" ca="1" si="50"/>
        <v>295</v>
      </c>
      <c r="AK60" s="68">
        <f t="shared" si="51"/>
        <v>470</v>
      </c>
      <c r="AL60" s="38">
        <f t="shared" si="52"/>
        <v>6</v>
      </c>
      <c r="AM60" s="38">
        <f t="shared" si="53"/>
        <v>3</v>
      </c>
      <c r="AN60" s="38">
        <f t="shared" si="54"/>
        <v>1</v>
      </c>
      <c r="AO60" s="38">
        <f t="shared" ca="1" si="55"/>
        <v>305</v>
      </c>
      <c r="AP60" s="68">
        <f t="shared" si="56"/>
        <v>490</v>
      </c>
      <c r="AQ60" s="38">
        <f t="shared" si="19"/>
        <v>20</v>
      </c>
      <c r="AR60" s="38">
        <f t="shared" si="20"/>
        <v>12</v>
      </c>
      <c r="AS60" s="38">
        <f t="shared" si="21"/>
        <v>4</v>
      </c>
      <c r="AT60" s="38">
        <f t="shared" ca="1" si="22"/>
        <v>870</v>
      </c>
      <c r="AU60" s="68">
        <f t="shared" si="23"/>
        <v>1330</v>
      </c>
    </row>
    <row r="61" spans="1:47" x14ac:dyDescent="0.25">
      <c r="A61" s="86" t="s">
        <v>253</v>
      </c>
      <c r="B61" s="14">
        <v>59</v>
      </c>
      <c r="C61" s="14">
        <f>关卡产出!C66</f>
        <v>46</v>
      </c>
      <c r="D61" s="14">
        <f>关卡产出!D66</f>
        <v>23</v>
      </c>
      <c r="E61" s="14">
        <f>关卡产出!E66</f>
        <v>11</v>
      </c>
      <c r="F61" s="14">
        <f>关卡产出!F66</f>
        <v>650</v>
      </c>
      <c r="G61" s="38">
        <f t="shared" si="7"/>
        <v>23</v>
      </c>
      <c r="H61" s="38">
        <f t="shared" si="8"/>
        <v>12</v>
      </c>
      <c r="I61" s="38">
        <f t="shared" si="9"/>
        <v>6</v>
      </c>
      <c r="J61" s="38">
        <f t="shared" si="10"/>
        <v>813</v>
      </c>
      <c r="K61" s="38">
        <f t="shared" ca="1" si="11"/>
        <v>870</v>
      </c>
      <c r="R61" s="113" t="s">
        <v>253</v>
      </c>
      <c r="S61" s="14">
        <v>59</v>
      </c>
      <c r="T61" s="14">
        <f>关卡对比!AE65</f>
        <v>42</v>
      </c>
      <c r="U61" s="109">
        <f>关卡对比!AF65</f>
        <v>34</v>
      </c>
      <c r="V61" s="70">
        <f t="shared" si="40"/>
        <v>10</v>
      </c>
      <c r="W61" s="38">
        <f t="shared" si="41"/>
        <v>18</v>
      </c>
      <c r="X61" s="68">
        <f t="shared" si="42"/>
        <v>26</v>
      </c>
      <c r="Y61" s="70">
        <f t="shared" si="29"/>
        <v>6.4</v>
      </c>
      <c r="Z61" s="38">
        <f t="shared" si="13"/>
        <v>5.625</v>
      </c>
      <c r="AA61" s="68">
        <f t="shared" si="14"/>
        <v>5.833333333333333</v>
      </c>
      <c r="AB61" s="70">
        <f t="shared" si="44"/>
        <v>7</v>
      </c>
      <c r="AC61" s="38">
        <f t="shared" si="45"/>
        <v>5</v>
      </c>
      <c r="AD61" s="38">
        <f t="shared" si="46"/>
        <v>2</v>
      </c>
      <c r="AE61" s="38">
        <f t="shared" ca="1" si="18"/>
        <v>270</v>
      </c>
      <c r="AF61" s="68">
        <f t="shared" si="43"/>
        <v>370</v>
      </c>
      <c r="AG61" s="70">
        <f t="shared" si="47"/>
        <v>7</v>
      </c>
      <c r="AH61" s="38">
        <f t="shared" si="48"/>
        <v>4</v>
      </c>
      <c r="AI61" s="38">
        <f t="shared" si="49"/>
        <v>1</v>
      </c>
      <c r="AJ61" s="38">
        <f t="shared" ca="1" si="50"/>
        <v>295</v>
      </c>
      <c r="AK61" s="68">
        <f t="shared" si="51"/>
        <v>470</v>
      </c>
      <c r="AL61" s="38">
        <f t="shared" si="52"/>
        <v>6</v>
      </c>
      <c r="AM61" s="38">
        <f t="shared" si="53"/>
        <v>3</v>
      </c>
      <c r="AN61" s="38">
        <f t="shared" si="54"/>
        <v>1</v>
      </c>
      <c r="AO61" s="38">
        <f t="shared" ca="1" si="55"/>
        <v>305</v>
      </c>
      <c r="AP61" s="68">
        <f t="shared" si="56"/>
        <v>490</v>
      </c>
      <c r="AQ61" s="38">
        <f t="shared" si="19"/>
        <v>20</v>
      </c>
      <c r="AR61" s="38">
        <f t="shared" si="20"/>
        <v>12</v>
      </c>
      <c r="AS61" s="38">
        <f t="shared" si="21"/>
        <v>4</v>
      </c>
      <c r="AT61" s="38">
        <f t="shared" ca="1" si="22"/>
        <v>870</v>
      </c>
      <c r="AU61" s="68">
        <f t="shared" si="23"/>
        <v>1330</v>
      </c>
    </row>
    <row r="62" spans="1:47" x14ac:dyDescent="0.25">
      <c r="A62" s="86" t="s">
        <v>253</v>
      </c>
      <c r="B62" s="14">
        <v>60</v>
      </c>
      <c r="C62" s="14">
        <f>关卡产出!C67</f>
        <v>46</v>
      </c>
      <c r="D62" s="14">
        <f>关卡产出!D67</f>
        <v>23</v>
      </c>
      <c r="E62" s="14">
        <f>关卡产出!E67</f>
        <v>11</v>
      </c>
      <c r="F62" s="14">
        <f>关卡产出!F67</f>
        <v>650</v>
      </c>
      <c r="G62" s="38">
        <f t="shared" si="7"/>
        <v>23</v>
      </c>
      <c r="H62" s="38">
        <f t="shared" si="8"/>
        <v>12</v>
      </c>
      <c r="I62" s="38">
        <f t="shared" si="9"/>
        <v>6</v>
      </c>
      <c r="J62" s="38">
        <f t="shared" si="10"/>
        <v>813</v>
      </c>
      <c r="K62" s="38">
        <f t="shared" ca="1" si="11"/>
        <v>870</v>
      </c>
      <c r="R62" s="113" t="s">
        <v>253</v>
      </c>
      <c r="S62" s="14">
        <v>60</v>
      </c>
      <c r="T62" s="14">
        <f>关卡对比!AE66</f>
        <v>43</v>
      </c>
      <c r="U62" s="109">
        <f>关卡对比!AF66</f>
        <v>34</v>
      </c>
      <c r="V62" s="70">
        <f t="shared" si="40"/>
        <v>10</v>
      </c>
      <c r="W62" s="38">
        <f t="shared" si="41"/>
        <v>18</v>
      </c>
      <c r="X62" s="68">
        <f t="shared" si="42"/>
        <v>26</v>
      </c>
      <c r="Y62" s="70">
        <f t="shared" si="29"/>
        <v>6.5</v>
      </c>
      <c r="Z62" s="38">
        <f t="shared" si="13"/>
        <v>5.75</v>
      </c>
      <c r="AA62" s="68">
        <f t="shared" si="14"/>
        <v>5.833333333333333</v>
      </c>
      <c r="AB62" s="70">
        <f t="shared" si="44"/>
        <v>7</v>
      </c>
      <c r="AC62" s="38">
        <f t="shared" si="45"/>
        <v>5</v>
      </c>
      <c r="AD62" s="38">
        <f t="shared" si="46"/>
        <v>2</v>
      </c>
      <c r="AE62" s="38">
        <f t="shared" ca="1" si="18"/>
        <v>270</v>
      </c>
      <c r="AF62" s="68">
        <f t="shared" si="43"/>
        <v>370</v>
      </c>
      <c r="AG62" s="70">
        <f t="shared" si="47"/>
        <v>7</v>
      </c>
      <c r="AH62" s="38">
        <f t="shared" si="48"/>
        <v>4</v>
      </c>
      <c r="AI62" s="38">
        <f t="shared" si="49"/>
        <v>1</v>
      </c>
      <c r="AJ62" s="38">
        <f t="shared" ca="1" si="50"/>
        <v>295</v>
      </c>
      <c r="AK62" s="68">
        <f t="shared" si="51"/>
        <v>470</v>
      </c>
      <c r="AL62" s="38">
        <f t="shared" si="52"/>
        <v>6</v>
      </c>
      <c r="AM62" s="38">
        <f t="shared" si="53"/>
        <v>3</v>
      </c>
      <c r="AN62" s="38">
        <f t="shared" si="54"/>
        <v>1</v>
      </c>
      <c r="AO62" s="38">
        <f t="shared" ca="1" si="55"/>
        <v>305</v>
      </c>
      <c r="AP62" s="68">
        <f t="shared" si="56"/>
        <v>490</v>
      </c>
      <c r="AQ62" s="38">
        <f t="shared" si="19"/>
        <v>20</v>
      </c>
      <c r="AR62" s="38">
        <f t="shared" si="20"/>
        <v>12</v>
      </c>
      <c r="AS62" s="38">
        <f t="shared" si="21"/>
        <v>4</v>
      </c>
      <c r="AT62" s="38">
        <f t="shared" ca="1" si="22"/>
        <v>870</v>
      </c>
      <c r="AU62" s="68">
        <f t="shared" si="23"/>
        <v>1330</v>
      </c>
    </row>
    <row r="63" spans="1:47" x14ac:dyDescent="0.25">
      <c r="A63" s="86" t="s">
        <v>253</v>
      </c>
      <c r="B63" s="14">
        <v>61</v>
      </c>
      <c r="C63" s="14">
        <f>关卡产出!C68</f>
        <v>47</v>
      </c>
      <c r="D63" s="14">
        <f>关卡产出!D68</f>
        <v>23</v>
      </c>
      <c r="E63" s="14">
        <f>关卡产出!E68</f>
        <v>11</v>
      </c>
      <c r="F63" s="14">
        <f>关卡产出!F68</f>
        <v>670</v>
      </c>
      <c r="G63" s="38">
        <f t="shared" si="7"/>
        <v>24</v>
      </c>
      <c r="H63" s="38">
        <f t="shared" si="8"/>
        <v>12</v>
      </c>
      <c r="I63" s="38">
        <f t="shared" si="9"/>
        <v>6</v>
      </c>
      <c r="J63" s="38">
        <f t="shared" si="10"/>
        <v>838</v>
      </c>
      <c r="K63" s="38">
        <f t="shared" ca="1" si="11"/>
        <v>905</v>
      </c>
      <c r="R63" s="113" t="s">
        <v>253</v>
      </c>
      <c r="S63" s="14">
        <v>61</v>
      </c>
      <c r="T63" s="14">
        <f>关卡对比!AE67</f>
        <v>44</v>
      </c>
      <c r="U63" s="109">
        <f>关卡对比!AF67</f>
        <v>35</v>
      </c>
      <c r="V63" s="70">
        <f t="shared" si="40"/>
        <v>10</v>
      </c>
      <c r="W63" s="38">
        <f t="shared" si="41"/>
        <v>18</v>
      </c>
      <c r="X63" s="68">
        <f t="shared" si="42"/>
        <v>27</v>
      </c>
      <c r="Y63" s="70">
        <f t="shared" si="29"/>
        <v>6.6</v>
      </c>
      <c r="Z63" s="38">
        <f t="shared" si="13"/>
        <v>5.875</v>
      </c>
      <c r="AA63" s="68">
        <f t="shared" si="14"/>
        <v>5.2857142857142856</v>
      </c>
      <c r="AB63" s="70">
        <f t="shared" si="44"/>
        <v>7</v>
      </c>
      <c r="AC63" s="38">
        <f t="shared" si="45"/>
        <v>5</v>
      </c>
      <c r="AD63" s="38">
        <f t="shared" si="46"/>
        <v>2</v>
      </c>
      <c r="AE63" s="38">
        <f t="shared" ca="1" si="18"/>
        <v>270</v>
      </c>
      <c r="AF63" s="68">
        <f t="shared" si="43"/>
        <v>370</v>
      </c>
      <c r="AG63" s="70">
        <f t="shared" si="47"/>
        <v>7</v>
      </c>
      <c r="AH63" s="38">
        <f t="shared" si="48"/>
        <v>4</v>
      </c>
      <c r="AI63" s="38">
        <f t="shared" si="49"/>
        <v>1</v>
      </c>
      <c r="AJ63" s="38">
        <f t="shared" ca="1" si="50"/>
        <v>295</v>
      </c>
      <c r="AK63" s="68">
        <f t="shared" si="51"/>
        <v>470</v>
      </c>
      <c r="AL63" s="38">
        <f t="shared" si="52"/>
        <v>7</v>
      </c>
      <c r="AM63" s="38">
        <f t="shared" si="53"/>
        <v>3</v>
      </c>
      <c r="AN63" s="38">
        <f t="shared" si="54"/>
        <v>1</v>
      </c>
      <c r="AO63" s="38">
        <f t="shared" ca="1" si="55"/>
        <v>340</v>
      </c>
      <c r="AP63" s="68">
        <f t="shared" si="56"/>
        <v>560</v>
      </c>
      <c r="AQ63" s="38">
        <f t="shared" si="19"/>
        <v>21</v>
      </c>
      <c r="AR63" s="38">
        <f t="shared" si="20"/>
        <v>12</v>
      </c>
      <c r="AS63" s="38">
        <f t="shared" si="21"/>
        <v>4</v>
      </c>
      <c r="AT63" s="38">
        <f t="shared" ca="1" si="22"/>
        <v>905</v>
      </c>
      <c r="AU63" s="68">
        <f t="shared" si="23"/>
        <v>1400</v>
      </c>
    </row>
    <row r="64" spans="1:47" x14ac:dyDescent="0.25">
      <c r="A64" s="86" t="s">
        <v>253</v>
      </c>
      <c r="B64" s="14">
        <v>62</v>
      </c>
      <c r="C64" s="14">
        <f>关卡产出!C69</f>
        <v>48</v>
      </c>
      <c r="D64" s="14">
        <f>关卡产出!D69</f>
        <v>24</v>
      </c>
      <c r="E64" s="14">
        <f>关卡产出!E69</f>
        <v>11</v>
      </c>
      <c r="F64" s="14">
        <f>关卡产出!F69</f>
        <v>670</v>
      </c>
      <c r="G64" s="38">
        <f t="shared" si="7"/>
        <v>24</v>
      </c>
      <c r="H64" s="38">
        <f t="shared" si="8"/>
        <v>12</v>
      </c>
      <c r="I64" s="38">
        <f t="shared" si="9"/>
        <v>6</v>
      </c>
      <c r="J64" s="38">
        <f t="shared" si="10"/>
        <v>838</v>
      </c>
      <c r="K64" s="38">
        <f t="shared" ca="1" si="11"/>
        <v>905</v>
      </c>
      <c r="R64" s="113" t="s">
        <v>253</v>
      </c>
      <c r="S64" s="14">
        <v>62</v>
      </c>
      <c r="T64" s="14">
        <f>关卡对比!AE68</f>
        <v>44</v>
      </c>
      <c r="U64" s="109">
        <f>关卡对比!AF68</f>
        <v>35</v>
      </c>
      <c r="V64" s="70">
        <f t="shared" si="40"/>
        <v>10</v>
      </c>
      <c r="W64" s="38">
        <f t="shared" si="41"/>
        <v>18</v>
      </c>
      <c r="X64" s="68">
        <f t="shared" si="42"/>
        <v>27</v>
      </c>
      <c r="Y64" s="70">
        <f t="shared" si="29"/>
        <v>6.7</v>
      </c>
      <c r="Z64" s="38">
        <f t="shared" si="13"/>
        <v>5.875</v>
      </c>
      <c r="AA64" s="68">
        <f t="shared" si="14"/>
        <v>5.2857142857142856</v>
      </c>
      <c r="AB64" s="70">
        <f t="shared" si="44"/>
        <v>7</v>
      </c>
      <c r="AC64" s="38">
        <f t="shared" si="45"/>
        <v>5</v>
      </c>
      <c r="AD64" s="38">
        <f t="shared" si="46"/>
        <v>2</v>
      </c>
      <c r="AE64" s="38">
        <f t="shared" ca="1" si="18"/>
        <v>270</v>
      </c>
      <c r="AF64" s="68">
        <f t="shared" si="43"/>
        <v>370</v>
      </c>
      <c r="AG64" s="70">
        <f t="shared" si="47"/>
        <v>7</v>
      </c>
      <c r="AH64" s="38">
        <f t="shared" si="48"/>
        <v>4</v>
      </c>
      <c r="AI64" s="38">
        <f t="shared" si="49"/>
        <v>1</v>
      </c>
      <c r="AJ64" s="38">
        <f t="shared" ca="1" si="50"/>
        <v>295</v>
      </c>
      <c r="AK64" s="68">
        <f t="shared" si="51"/>
        <v>470</v>
      </c>
      <c r="AL64" s="38">
        <f t="shared" si="52"/>
        <v>7</v>
      </c>
      <c r="AM64" s="38">
        <f t="shared" si="53"/>
        <v>3</v>
      </c>
      <c r="AN64" s="38">
        <f t="shared" si="54"/>
        <v>1</v>
      </c>
      <c r="AO64" s="38">
        <f t="shared" ca="1" si="55"/>
        <v>340</v>
      </c>
      <c r="AP64" s="68">
        <f t="shared" si="56"/>
        <v>560</v>
      </c>
      <c r="AQ64" s="38">
        <f t="shared" si="19"/>
        <v>21</v>
      </c>
      <c r="AR64" s="38">
        <f t="shared" si="20"/>
        <v>12</v>
      </c>
      <c r="AS64" s="38">
        <f t="shared" si="21"/>
        <v>4</v>
      </c>
      <c r="AT64" s="38">
        <f t="shared" ca="1" si="22"/>
        <v>905</v>
      </c>
      <c r="AU64" s="68">
        <f t="shared" si="23"/>
        <v>1400</v>
      </c>
    </row>
    <row r="65" spans="1:47" x14ac:dyDescent="0.25">
      <c r="A65" s="86" t="s">
        <v>253</v>
      </c>
      <c r="B65" s="14">
        <v>63</v>
      </c>
      <c r="C65" s="14">
        <f>关卡产出!C70</f>
        <v>49</v>
      </c>
      <c r="D65" s="14">
        <f>关卡产出!D70</f>
        <v>24</v>
      </c>
      <c r="E65" s="14">
        <f>关卡产出!E70</f>
        <v>12</v>
      </c>
      <c r="F65" s="14">
        <f>关卡产出!F70</f>
        <v>690</v>
      </c>
      <c r="G65" s="38">
        <f t="shared" si="7"/>
        <v>25</v>
      </c>
      <c r="H65" s="38">
        <f t="shared" si="8"/>
        <v>12</v>
      </c>
      <c r="I65" s="38">
        <f t="shared" si="9"/>
        <v>6</v>
      </c>
      <c r="J65" s="38">
        <f t="shared" si="10"/>
        <v>863</v>
      </c>
      <c r="K65" s="38">
        <f t="shared" ca="1" si="11"/>
        <v>930</v>
      </c>
      <c r="R65" s="113" t="s">
        <v>253</v>
      </c>
      <c r="S65" s="14">
        <v>63</v>
      </c>
      <c r="T65" s="14">
        <f>关卡对比!AE69</f>
        <v>45</v>
      </c>
      <c r="U65" s="109">
        <f>关卡对比!AF69</f>
        <v>36</v>
      </c>
      <c r="V65" s="70">
        <f t="shared" si="40"/>
        <v>10</v>
      </c>
      <c r="W65" s="38">
        <f t="shared" si="41"/>
        <v>19</v>
      </c>
      <c r="X65" s="68">
        <f t="shared" si="42"/>
        <v>27</v>
      </c>
      <c r="Y65" s="70">
        <f t="shared" si="29"/>
        <v>6.8</v>
      </c>
      <c r="Z65" s="38">
        <f t="shared" si="13"/>
        <v>5.4444444444444446</v>
      </c>
      <c r="AA65" s="68">
        <f t="shared" si="14"/>
        <v>5.4285714285714288</v>
      </c>
      <c r="AB65" s="70">
        <f t="shared" si="44"/>
        <v>7</v>
      </c>
      <c r="AC65" s="38">
        <f t="shared" si="45"/>
        <v>5</v>
      </c>
      <c r="AD65" s="38">
        <f t="shared" si="46"/>
        <v>2</v>
      </c>
      <c r="AE65" s="38">
        <f t="shared" ca="1" si="18"/>
        <v>270</v>
      </c>
      <c r="AF65" s="68">
        <f t="shared" si="43"/>
        <v>370</v>
      </c>
      <c r="AG65" s="70">
        <f t="shared" si="47"/>
        <v>7</v>
      </c>
      <c r="AH65" s="38">
        <f t="shared" si="48"/>
        <v>5</v>
      </c>
      <c r="AI65" s="38">
        <f t="shared" si="49"/>
        <v>1</v>
      </c>
      <c r="AJ65" s="38">
        <f t="shared" ca="1" si="50"/>
        <v>320</v>
      </c>
      <c r="AK65" s="68">
        <f t="shared" si="51"/>
        <v>520</v>
      </c>
      <c r="AL65" s="38">
        <f t="shared" si="52"/>
        <v>7</v>
      </c>
      <c r="AM65" s="38">
        <f t="shared" si="53"/>
        <v>3</v>
      </c>
      <c r="AN65" s="38">
        <f t="shared" si="54"/>
        <v>1</v>
      </c>
      <c r="AO65" s="38">
        <f t="shared" ca="1" si="55"/>
        <v>340</v>
      </c>
      <c r="AP65" s="68">
        <f t="shared" si="56"/>
        <v>560</v>
      </c>
      <c r="AQ65" s="38">
        <f t="shared" si="19"/>
        <v>21</v>
      </c>
      <c r="AR65" s="38">
        <f t="shared" si="20"/>
        <v>13</v>
      </c>
      <c r="AS65" s="38">
        <f t="shared" si="21"/>
        <v>4</v>
      </c>
      <c r="AT65" s="38">
        <f t="shared" ca="1" si="22"/>
        <v>930</v>
      </c>
      <c r="AU65" s="68">
        <f t="shared" si="23"/>
        <v>1450</v>
      </c>
    </row>
    <row r="66" spans="1:47" x14ac:dyDescent="0.25">
      <c r="A66" s="86" t="s">
        <v>253</v>
      </c>
      <c r="B66" s="14">
        <v>64</v>
      </c>
      <c r="C66" s="14">
        <f>关卡产出!C71</f>
        <v>50</v>
      </c>
      <c r="D66" s="14">
        <f>关卡产出!D71</f>
        <v>25</v>
      </c>
      <c r="E66" s="14">
        <f>关卡产出!E71</f>
        <v>12</v>
      </c>
      <c r="F66" s="14">
        <f>关卡产出!F71</f>
        <v>690</v>
      </c>
      <c r="G66" s="38">
        <f t="shared" si="7"/>
        <v>25</v>
      </c>
      <c r="H66" s="38">
        <f t="shared" si="8"/>
        <v>13</v>
      </c>
      <c r="I66" s="38">
        <f t="shared" si="9"/>
        <v>6</v>
      </c>
      <c r="J66" s="38">
        <f t="shared" si="10"/>
        <v>863</v>
      </c>
      <c r="K66" s="38">
        <f t="shared" ca="1" si="11"/>
        <v>930</v>
      </c>
      <c r="R66" s="113" t="s">
        <v>253</v>
      </c>
      <c r="S66" s="14">
        <v>64</v>
      </c>
      <c r="T66" s="14">
        <f>关卡对比!AE70</f>
        <v>45</v>
      </c>
      <c r="U66" s="109">
        <f>关卡对比!AF70</f>
        <v>36</v>
      </c>
      <c r="V66" s="70">
        <f t="shared" si="40"/>
        <v>10</v>
      </c>
      <c r="W66" s="38">
        <f t="shared" si="41"/>
        <v>19</v>
      </c>
      <c r="X66" s="68">
        <f t="shared" si="42"/>
        <v>27</v>
      </c>
      <c r="Y66" s="70">
        <f t="shared" si="29"/>
        <v>6.9</v>
      </c>
      <c r="Z66" s="38">
        <f t="shared" si="13"/>
        <v>5.4444444444444446</v>
      </c>
      <c r="AA66" s="68">
        <f t="shared" si="14"/>
        <v>5.4285714285714288</v>
      </c>
      <c r="AB66" s="70">
        <f t="shared" si="44"/>
        <v>7</v>
      </c>
      <c r="AC66" s="38">
        <f t="shared" si="45"/>
        <v>5</v>
      </c>
      <c r="AD66" s="38">
        <f t="shared" si="46"/>
        <v>2</v>
      </c>
      <c r="AE66" s="38">
        <f t="shared" ca="1" si="18"/>
        <v>270</v>
      </c>
      <c r="AF66" s="68">
        <f t="shared" si="43"/>
        <v>370</v>
      </c>
      <c r="AG66" s="70">
        <f t="shared" si="47"/>
        <v>7</v>
      </c>
      <c r="AH66" s="38">
        <f t="shared" si="48"/>
        <v>5</v>
      </c>
      <c r="AI66" s="38">
        <f t="shared" si="49"/>
        <v>1</v>
      </c>
      <c r="AJ66" s="38">
        <f t="shared" ca="1" si="50"/>
        <v>320</v>
      </c>
      <c r="AK66" s="68">
        <f t="shared" si="51"/>
        <v>520</v>
      </c>
      <c r="AL66" s="38">
        <f t="shared" si="52"/>
        <v>7</v>
      </c>
      <c r="AM66" s="38">
        <f t="shared" si="53"/>
        <v>3</v>
      </c>
      <c r="AN66" s="38">
        <f t="shared" si="54"/>
        <v>1</v>
      </c>
      <c r="AO66" s="38">
        <f t="shared" ca="1" si="55"/>
        <v>340</v>
      </c>
      <c r="AP66" s="68">
        <f t="shared" si="56"/>
        <v>560</v>
      </c>
      <c r="AQ66" s="38">
        <f t="shared" si="19"/>
        <v>21</v>
      </c>
      <c r="AR66" s="38">
        <f t="shared" si="20"/>
        <v>13</v>
      </c>
      <c r="AS66" s="38">
        <f t="shared" si="21"/>
        <v>4</v>
      </c>
      <c r="AT66" s="38">
        <f t="shared" ca="1" si="22"/>
        <v>930</v>
      </c>
      <c r="AU66" s="68">
        <f t="shared" si="23"/>
        <v>1450</v>
      </c>
    </row>
    <row r="67" spans="1:47" x14ac:dyDescent="0.25">
      <c r="A67" s="86" t="s">
        <v>253</v>
      </c>
      <c r="B67" s="14">
        <v>65</v>
      </c>
      <c r="C67" s="14">
        <f>关卡产出!C72</f>
        <v>50</v>
      </c>
      <c r="D67" s="14">
        <f>关卡产出!D72</f>
        <v>25</v>
      </c>
      <c r="E67" s="14">
        <f>关卡产出!E72</f>
        <v>12</v>
      </c>
      <c r="F67" s="14">
        <f>关卡产出!F72</f>
        <v>710</v>
      </c>
      <c r="G67" s="38">
        <f t="shared" si="7"/>
        <v>25</v>
      </c>
      <c r="H67" s="38">
        <f t="shared" si="8"/>
        <v>13</v>
      </c>
      <c r="I67" s="38">
        <f t="shared" si="9"/>
        <v>6</v>
      </c>
      <c r="J67" s="38">
        <f t="shared" si="10"/>
        <v>888</v>
      </c>
      <c r="K67" s="38">
        <f t="shared" ca="1" si="11"/>
        <v>955</v>
      </c>
      <c r="R67" s="113" t="s">
        <v>253</v>
      </c>
      <c r="S67" s="14">
        <v>65</v>
      </c>
      <c r="T67" s="14">
        <f>关卡对比!AE71</f>
        <v>46</v>
      </c>
      <c r="U67" s="109">
        <f>关卡对比!AF71</f>
        <v>37</v>
      </c>
      <c r="V67" s="70">
        <f t="shared" ref="V67:V98" si="57">_xlfn.IFNA(INDEX($M:$M,MATCH($S67,N:N,1)),0)</f>
        <v>10</v>
      </c>
      <c r="W67" s="38">
        <f t="shared" ref="W67:W98" si="58">_xlfn.IFNA(INDEX($M:$M,MATCH($T67,O:O,1)),0)</f>
        <v>19</v>
      </c>
      <c r="X67" s="68">
        <f t="shared" ref="X67:X98" si="59">_xlfn.IFNA(INDEX($M:$M,MATCH($U67,P:P,1)),0)</f>
        <v>27</v>
      </c>
      <c r="Y67" s="70">
        <f t="shared" si="29"/>
        <v>7</v>
      </c>
      <c r="Z67" s="38">
        <f t="shared" si="13"/>
        <v>5.5555555555555554</v>
      </c>
      <c r="AA67" s="68">
        <f t="shared" si="14"/>
        <v>5.5714285714285712</v>
      </c>
      <c r="AB67" s="70">
        <f t="shared" si="44"/>
        <v>7</v>
      </c>
      <c r="AC67" s="38">
        <f t="shared" si="45"/>
        <v>5</v>
      </c>
      <c r="AD67" s="38">
        <f t="shared" si="46"/>
        <v>2</v>
      </c>
      <c r="AE67" s="38">
        <f t="shared" ca="1" si="18"/>
        <v>295</v>
      </c>
      <c r="AF67" s="68">
        <f t="shared" ref="AF67:AF98" si="60">$BA$3+SUMIFS($BQ:$BQ,$BC:$BC,"&lt;="&amp;V67)</f>
        <v>370</v>
      </c>
      <c r="AG67" s="70">
        <f t="shared" si="47"/>
        <v>7</v>
      </c>
      <c r="AH67" s="38">
        <f t="shared" si="48"/>
        <v>5</v>
      </c>
      <c r="AI67" s="38">
        <f t="shared" si="49"/>
        <v>1</v>
      </c>
      <c r="AJ67" s="38">
        <f t="shared" ca="1" si="50"/>
        <v>320</v>
      </c>
      <c r="AK67" s="68">
        <f t="shared" si="51"/>
        <v>520</v>
      </c>
      <c r="AL67" s="38">
        <f t="shared" si="52"/>
        <v>7</v>
      </c>
      <c r="AM67" s="38">
        <f t="shared" si="53"/>
        <v>3</v>
      </c>
      <c r="AN67" s="38">
        <f t="shared" si="54"/>
        <v>1</v>
      </c>
      <c r="AO67" s="38">
        <f t="shared" ca="1" si="55"/>
        <v>340</v>
      </c>
      <c r="AP67" s="68">
        <f t="shared" si="56"/>
        <v>560</v>
      </c>
      <c r="AQ67" s="38">
        <f t="shared" si="19"/>
        <v>21</v>
      </c>
      <c r="AR67" s="38">
        <f t="shared" si="20"/>
        <v>13</v>
      </c>
      <c r="AS67" s="38">
        <f t="shared" si="21"/>
        <v>4</v>
      </c>
      <c r="AT67" s="38">
        <f t="shared" ca="1" si="22"/>
        <v>955</v>
      </c>
      <c r="AU67" s="68">
        <f t="shared" si="23"/>
        <v>1450</v>
      </c>
    </row>
    <row r="68" spans="1:47" x14ac:dyDescent="0.25">
      <c r="A68" s="86" t="s">
        <v>253</v>
      </c>
      <c r="B68" s="14">
        <v>66</v>
      </c>
      <c r="C68" s="14">
        <f>关卡产出!C73</f>
        <v>51</v>
      </c>
      <c r="D68" s="14">
        <f>关卡产出!D73</f>
        <v>25</v>
      </c>
      <c r="E68" s="14">
        <f>关卡产出!E73</f>
        <v>12</v>
      </c>
      <c r="F68" s="14">
        <f>关卡产出!F73</f>
        <v>710</v>
      </c>
      <c r="G68" s="38">
        <f t="shared" ref="G68:G102" si="61">ROUNDUP(C68/2,0)</f>
        <v>26</v>
      </c>
      <c r="H68" s="38">
        <f t="shared" ref="H68:H102" si="62">ROUNDUP(D68/2,0)</f>
        <v>13</v>
      </c>
      <c r="I68" s="38">
        <f t="shared" ref="I68:I102" si="63">ROUNDUP(E68/2,0)</f>
        <v>6</v>
      </c>
      <c r="J68" s="38">
        <f t="shared" ref="J68:J102" si="64">ROUNDUP(F68/2*2.5,0)</f>
        <v>888</v>
      </c>
      <c r="K68" s="38">
        <f t="shared" ref="K68:K102" ca="1" si="65">AT68</f>
        <v>955</v>
      </c>
      <c r="R68" s="113" t="s">
        <v>253</v>
      </c>
      <c r="S68" s="14">
        <v>66</v>
      </c>
      <c r="T68" s="14">
        <f>关卡对比!AE72</f>
        <v>46</v>
      </c>
      <c r="U68" s="109">
        <f>关卡对比!AF72</f>
        <v>38</v>
      </c>
      <c r="V68" s="70">
        <f t="shared" si="57"/>
        <v>10</v>
      </c>
      <c r="W68" s="38">
        <f t="shared" si="58"/>
        <v>19</v>
      </c>
      <c r="X68" s="68">
        <f t="shared" si="59"/>
        <v>27</v>
      </c>
      <c r="Y68" s="70">
        <f t="shared" si="29"/>
        <v>7.1</v>
      </c>
      <c r="Z68" s="38">
        <f t="shared" ref="Z68:Z102" si="66">IF(W68=0,0,IFERROR(($T68-5)/(W68-10)+1,0))</f>
        <v>5.5555555555555554</v>
      </c>
      <c r="AA68" s="68">
        <f t="shared" ref="AA68:AA102" si="67">IF(X68=0,0,IFERROR(($U68-5)/(X68-20)+1,0))</f>
        <v>5.7142857142857144</v>
      </c>
      <c r="AB68" s="70">
        <f t="shared" ref="AB68:AB99" si="68">AX$3+SUMIFS(BE:BE,$BC:$BC,"&lt;="&amp;V68)</f>
        <v>7</v>
      </c>
      <c r="AC68" s="38">
        <f t="shared" ref="AC68:AC99" si="69">AY$3+SUMIFS(BF:BF,$BC:$BC,"&lt;="&amp;$V68)</f>
        <v>5</v>
      </c>
      <c r="AD68" s="38">
        <f t="shared" ref="AD68:AD99" si="70">AZ$3+SUMIFS(BG:BG,$BC:$BC,"&lt;="&amp;$V68)</f>
        <v>2</v>
      </c>
      <c r="AE68" s="38">
        <f t="shared" ref="AE68:AE102" ca="1" si="71">$BA$3+_xlfn.IFNA(SUM(OFFSET($BG$2,1,MATCH(Y68,$BH$2:$BQ$2,1),MATCH(V68,$BC$3:$BC$32,0),1)),0)</f>
        <v>295</v>
      </c>
      <c r="AF68" s="68">
        <f t="shared" si="60"/>
        <v>370</v>
      </c>
      <c r="AG68" s="70">
        <f t="shared" si="47"/>
        <v>7</v>
      </c>
      <c r="AH68" s="38">
        <f t="shared" si="48"/>
        <v>5</v>
      </c>
      <c r="AI68" s="38">
        <f t="shared" si="49"/>
        <v>1</v>
      </c>
      <c r="AJ68" s="38">
        <f t="shared" ref="AJ68:AJ102" ca="1" si="72">$BA$4+_xlfn.IFNA(SUM(OFFSET($BG$12,1,MATCH(Z68,$BH$2:$BQ$2,1),MATCH(W68,$BC$13:$BC$32,0),1)),0)</f>
        <v>320</v>
      </c>
      <c r="AK68" s="68">
        <f t="shared" si="51"/>
        <v>520</v>
      </c>
      <c r="AL68" s="38">
        <f t="shared" si="52"/>
        <v>7</v>
      </c>
      <c r="AM68" s="38">
        <f t="shared" si="53"/>
        <v>3</v>
      </c>
      <c r="AN68" s="38">
        <f t="shared" si="54"/>
        <v>1</v>
      </c>
      <c r="AO68" s="38">
        <f t="shared" ref="AO68:AO102" ca="1" si="73">$BA$5+_xlfn.IFNA(SUM(OFFSET($BG$22,1,MATCH(AA68,$BH$2:$BQ$2,1),MATCH(X68,$BC$23:$BC$32,0),1)),0)</f>
        <v>340</v>
      </c>
      <c r="AP68" s="68">
        <f t="shared" si="56"/>
        <v>560</v>
      </c>
      <c r="AQ68" s="38">
        <f t="shared" ref="AQ68:AQ102" si="74">AL68+AG68+AB68</f>
        <v>21</v>
      </c>
      <c r="AR68" s="38">
        <f t="shared" ref="AR68:AR102" si="75">AM68+AH68+AC68</f>
        <v>13</v>
      </c>
      <c r="AS68" s="38">
        <f t="shared" ref="AS68:AS102" si="76">AN68+AI68+AD68</f>
        <v>4</v>
      </c>
      <c r="AT68" s="38">
        <f t="shared" ref="AT68:AT102" ca="1" si="77">AO68+AJ68+AE68</f>
        <v>955</v>
      </c>
      <c r="AU68" s="68">
        <f t="shared" ref="AU68:AU102" si="78">AP68+AK68+AF68</f>
        <v>1450</v>
      </c>
    </row>
    <row r="69" spans="1:47" x14ac:dyDescent="0.25">
      <c r="A69" s="86" t="s">
        <v>253</v>
      </c>
      <c r="B69" s="14">
        <v>67</v>
      </c>
      <c r="C69" s="14">
        <f>关卡产出!C74</f>
        <v>52</v>
      </c>
      <c r="D69" s="14">
        <f>关卡产出!D74</f>
        <v>26</v>
      </c>
      <c r="E69" s="14">
        <f>关卡产出!E74</f>
        <v>12</v>
      </c>
      <c r="F69" s="14">
        <f>关卡产出!F74</f>
        <v>730</v>
      </c>
      <c r="G69" s="38">
        <f t="shared" si="61"/>
        <v>26</v>
      </c>
      <c r="H69" s="38">
        <f t="shared" si="62"/>
        <v>13</v>
      </c>
      <c r="I69" s="38">
        <f t="shared" si="63"/>
        <v>6</v>
      </c>
      <c r="J69" s="38">
        <f t="shared" si="64"/>
        <v>913</v>
      </c>
      <c r="K69" s="38">
        <f t="shared" ca="1" si="65"/>
        <v>955</v>
      </c>
      <c r="R69" s="113" t="s">
        <v>253</v>
      </c>
      <c r="S69" s="14">
        <v>67</v>
      </c>
      <c r="T69" s="14">
        <f>关卡对比!AE73</f>
        <v>47</v>
      </c>
      <c r="U69" s="109">
        <f>关卡对比!AF73</f>
        <v>38</v>
      </c>
      <c r="V69" s="70">
        <f t="shared" si="57"/>
        <v>10</v>
      </c>
      <c r="W69" s="38">
        <f t="shared" si="58"/>
        <v>19</v>
      </c>
      <c r="X69" s="68">
        <f t="shared" si="59"/>
        <v>27</v>
      </c>
      <c r="Y69" s="70">
        <f t="shared" si="29"/>
        <v>7.2</v>
      </c>
      <c r="Z69" s="38">
        <f t="shared" si="66"/>
        <v>5.666666666666667</v>
      </c>
      <c r="AA69" s="68">
        <f t="shared" si="67"/>
        <v>5.7142857142857144</v>
      </c>
      <c r="AB69" s="70">
        <f t="shared" si="68"/>
        <v>7</v>
      </c>
      <c r="AC69" s="38">
        <f t="shared" si="69"/>
        <v>5</v>
      </c>
      <c r="AD69" s="38">
        <f t="shared" si="70"/>
        <v>2</v>
      </c>
      <c r="AE69" s="38">
        <f t="shared" ca="1" si="71"/>
        <v>295</v>
      </c>
      <c r="AF69" s="68">
        <f t="shared" si="60"/>
        <v>370</v>
      </c>
      <c r="AG69" s="70">
        <f t="shared" si="47"/>
        <v>7</v>
      </c>
      <c r="AH69" s="38">
        <f t="shared" si="48"/>
        <v>5</v>
      </c>
      <c r="AI69" s="38">
        <f t="shared" si="49"/>
        <v>1</v>
      </c>
      <c r="AJ69" s="38">
        <f t="shared" ca="1" si="72"/>
        <v>320</v>
      </c>
      <c r="AK69" s="68">
        <f t="shared" si="51"/>
        <v>520</v>
      </c>
      <c r="AL69" s="38">
        <f t="shared" si="52"/>
        <v>7</v>
      </c>
      <c r="AM69" s="38">
        <f t="shared" si="53"/>
        <v>3</v>
      </c>
      <c r="AN69" s="38">
        <f t="shared" si="54"/>
        <v>1</v>
      </c>
      <c r="AO69" s="38">
        <f t="shared" ca="1" si="73"/>
        <v>340</v>
      </c>
      <c r="AP69" s="68">
        <f t="shared" si="56"/>
        <v>560</v>
      </c>
      <c r="AQ69" s="38">
        <f t="shared" si="74"/>
        <v>21</v>
      </c>
      <c r="AR69" s="38">
        <f t="shared" si="75"/>
        <v>13</v>
      </c>
      <c r="AS69" s="38">
        <f t="shared" si="76"/>
        <v>4</v>
      </c>
      <c r="AT69" s="38">
        <f t="shared" ca="1" si="77"/>
        <v>955</v>
      </c>
      <c r="AU69" s="68">
        <f t="shared" si="78"/>
        <v>1450</v>
      </c>
    </row>
    <row r="70" spans="1:47" x14ac:dyDescent="0.25">
      <c r="A70" s="86" t="s">
        <v>253</v>
      </c>
      <c r="B70" s="14">
        <v>68</v>
      </c>
      <c r="C70" s="14">
        <f>关卡产出!C75</f>
        <v>53</v>
      </c>
      <c r="D70" s="14">
        <f>关卡产出!D75</f>
        <v>26</v>
      </c>
      <c r="E70" s="14">
        <f>关卡产出!E75</f>
        <v>13</v>
      </c>
      <c r="F70" s="14">
        <f>关卡产出!F75</f>
        <v>730</v>
      </c>
      <c r="G70" s="38">
        <f t="shared" si="61"/>
        <v>27</v>
      </c>
      <c r="H70" s="38">
        <f t="shared" si="62"/>
        <v>13</v>
      </c>
      <c r="I70" s="38">
        <f t="shared" si="63"/>
        <v>7</v>
      </c>
      <c r="J70" s="38">
        <f t="shared" si="64"/>
        <v>913</v>
      </c>
      <c r="K70" s="38">
        <f t="shared" ca="1" si="65"/>
        <v>955</v>
      </c>
      <c r="R70" s="113" t="s">
        <v>253</v>
      </c>
      <c r="S70" s="14">
        <v>68</v>
      </c>
      <c r="T70" s="14">
        <f>关卡对比!AE74</f>
        <v>47</v>
      </c>
      <c r="U70" s="109">
        <f>关卡对比!AF74</f>
        <v>39</v>
      </c>
      <c r="V70" s="70">
        <f t="shared" si="57"/>
        <v>10</v>
      </c>
      <c r="W70" s="38">
        <f t="shared" si="58"/>
        <v>19</v>
      </c>
      <c r="X70" s="68">
        <f t="shared" si="59"/>
        <v>27</v>
      </c>
      <c r="Y70" s="70">
        <f t="shared" si="29"/>
        <v>7.3</v>
      </c>
      <c r="Z70" s="38">
        <f t="shared" si="66"/>
        <v>5.666666666666667</v>
      </c>
      <c r="AA70" s="68">
        <f t="shared" si="67"/>
        <v>5.8571428571428568</v>
      </c>
      <c r="AB70" s="70">
        <f t="shared" si="68"/>
        <v>7</v>
      </c>
      <c r="AC70" s="38">
        <f t="shared" si="69"/>
        <v>5</v>
      </c>
      <c r="AD70" s="38">
        <f t="shared" si="70"/>
        <v>2</v>
      </c>
      <c r="AE70" s="38">
        <f t="shared" ca="1" si="71"/>
        <v>295</v>
      </c>
      <c r="AF70" s="68">
        <f t="shared" si="60"/>
        <v>370</v>
      </c>
      <c r="AG70" s="70">
        <f t="shared" si="47"/>
        <v>7</v>
      </c>
      <c r="AH70" s="38">
        <f t="shared" si="48"/>
        <v>5</v>
      </c>
      <c r="AI70" s="38">
        <f t="shared" si="49"/>
        <v>1</v>
      </c>
      <c r="AJ70" s="38">
        <f t="shared" ca="1" si="72"/>
        <v>320</v>
      </c>
      <c r="AK70" s="68">
        <f t="shared" si="51"/>
        <v>520</v>
      </c>
      <c r="AL70" s="38">
        <f t="shared" si="52"/>
        <v>7</v>
      </c>
      <c r="AM70" s="38">
        <f t="shared" si="53"/>
        <v>3</v>
      </c>
      <c r="AN70" s="38">
        <f t="shared" si="54"/>
        <v>1</v>
      </c>
      <c r="AO70" s="38">
        <f t="shared" ca="1" si="73"/>
        <v>340</v>
      </c>
      <c r="AP70" s="68">
        <f t="shared" si="56"/>
        <v>560</v>
      </c>
      <c r="AQ70" s="38">
        <f t="shared" si="74"/>
        <v>21</v>
      </c>
      <c r="AR70" s="38">
        <f t="shared" si="75"/>
        <v>13</v>
      </c>
      <c r="AS70" s="38">
        <f t="shared" si="76"/>
        <v>4</v>
      </c>
      <c r="AT70" s="38">
        <f t="shared" ca="1" si="77"/>
        <v>955</v>
      </c>
      <c r="AU70" s="68">
        <f t="shared" si="78"/>
        <v>1450</v>
      </c>
    </row>
    <row r="71" spans="1:47" x14ac:dyDescent="0.25">
      <c r="A71" s="86" t="s">
        <v>253</v>
      </c>
      <c r="B71" s="14">
        <v>69</v>
      </c>
      <c r="C71" s="14">
        <f>关卡产出!C76</f>
        <v>54</v>
      </c>
      <c r="D71" s="14">
        <f>关卡产出!D76</f>
        <v>27</v>
      </c>
      <c r="E71" s="14">
        <f>关卡产出!E76</f>
        <v>13</v>
      </c>
      <c r="F71" s="14">
        <f>关卡产出!F76</f>
        <v>750</v>
      </c>
      <c r="G71" s="38">
        <f t="shared" si="61"/>
        <v>27</v>
      </c>
      <c r="H71" s="38">
        <f t="shared" si="62"/>
        <v>14</v>
      </c>
      <c r="I71" s="38">
        <f t="shared" si="63"/>
        <v>7</v>
      </c>
      <c r="J71" s="38">
        <f t="shared" si="64"/>
        <v>938</v>
      </c>
      <c r="K71" s="38">
        <f t="shared" ca="1" si="65"/>
        <v>955</v>
      </c>
      <c r="R71" s="113" t="s">
        <v>253</v>
      </c>
      <c r="S71" s="14">
        <v>69</v>
      </c>
      <c r="T71" s="14">
        <f>关卡对比!AE75</f>
        <v>48</v>
      </c>
      <c r="U71" s="109">
        <f>关卡对比!AF75</f>
        <v>39</v>
      </c>
      <c r="V71" s="70">
        <f t="shared" si="57"/>
        <v>10</v>
      </c>
      <c r="W71" s="38">
        <f t="shared" si="58"/>
        <v>19</v>
      </c>
      <c r="X71" s="68">
        <f t="shared" si="59"/>
        <v>27</v>
      </c>
      <c r="Y71" s="70">
        <f t="shared" si="29"/>
        <v>7.4</v>
      </c>
      <c r="Z71" s="38">
        <f t="shared" si="66"/>
        <v>5.7777777777777777</v>
      </c>
      <c r="AA71" s="68">
        <f t="shared" si="67"/>
        <v>5.8571428571428568</v>
      </c>
      <c r="AB71" s="70">
        <f t="shared" si="68"/>
        <v>7</v>
      </c>
      <c r="AC71" s="38">
        <f t="shared" si="69"/>
        <v>5</v>
      </c>
      <c r="AD71" s="38">
        <f t="shared" si="70"/>
        <v>2</v>
      </c>
      <c r="AE71" s="38">
        <f t="shared" ca="1" si="71"/>
        <v>295</v>
      </c>
      <c r="AF71" s="68">
        <f t="shared" si="60"/>
        <v>370</v>
      </c>
      <c r="AG71" s="70">
        <f t="shared" si="47"/>
        <v>7</v>
      </c>
      <c r="AH71" s="38">
        <f t="shared" si="48"/>
        <v>5</v>
      </c>
      <c r="AI71" s="38">
        <f t="shared" si="49"/>
        <v>1</v>
      </c>
      <c r="AJ71" s="38">
        <f t="shared" ca="1" si="72"/>
        <v>320</v>
      </c>
      <c r="AK71" s="68">
        <f t="shared" si="51"/>
        <v>520</v>
      </c>
      <c r="AL71" s="38">
        <f t="shared" si="52"/>
        <v>7</v>
      </c>
      <c r="AM71" s="38">
        <f t="shared" si="53"/>
        <v>3</v>
      </c>
      <c r="AN71" s="38">
        <f t="shared" si="54"/>
        <v>1</v>
      </c>
      <c r="AO71" s="38">
        <f t="shared" ca="1" si="73"/>
        <v>340</v>
      </c>
      <c r="AP71" s="68">
        <f t="shared" si="56"/>
        <v>560</v>
      </c>
      <c r="AQ71" s="38">
        <f t="shared" si="74"/>
        <v>21</v>
      </c>
      <c r="AR71" s="38">
        <f t="shared" si="75"/>
        <v>13</v>
      </c>
      <c r="AS71" s="38">
        <f t="shared" si="76"/>
        <v>4</v>
      </c>
      <c r="AT71" s="38">
        <f t="shared" ca="1" si="77"/>
        <v>955</v>
      </c>
      <c r="AU71" s="68">
        <f t="shared" si="78"/>
        <v>1450</v>
      </c>
    </row>
    <row r="72" spans="1:47" x14ac:dyDescent="0.25">
      <c r="A72" s="86" t="s">
        <v>253</v>
      </c>
      <c r="B72" s="14">
        <v>70</v>
      </c>
      <c r="C72" s="14">
        <f>关卡产出!C77</f>
        <v>54</v>
      </c>
      <c r="D72" s="14">
        <f>关卡产出!D77</f>
        <v>27</v>
      </c>
      <c r="E72" s="14">
        <f>关卡产出!E77</f>
        <v>13</v>
      </c>
      <c r="F72" s="14">
        <f>关卡产出!F77</f>
        <v>750</v>
      </c>
      <c r="G72" s="38">
        <f t="shared" si="61"/>
        <v>27</v>
      </c>
      <c r="H72" s="38">
        <f t="shared" si="62"/>
        <v>14</v>
      </c>
      <c r="I72" s="38">
        <f t="shared" si="63"/>
        <v>7</v>
      </c>
      <c r="J72" s="38">
        <f t="shared" si="64"/>
        <v>938</v>
      </c>
      <c r="K72" s="38">
        <f t="shared" ca="1" si="65"/>
        <v>990</v>
      </c>
      <c r="R72" s="113" t="s">
        <v>253</v>
      </c>
      <c r="S72" s="14">
        <v>70</v>
      </c>
      <c r="T72" s="14">
        <f>关卡对比!AE76</f>
        <v>48</v>
      </c>
      <c r="U72" s="109">
        <f>关卡对比!AF76</f>
        <v>40</v>
      </c>
      <c r="V72" s="70">
        <f t="shared" si="57"/>
        <v>10</v>
      </c>
      <c r="W72" s="38">
        <f t="shared" si="58"/>
        <v>19</v>
      </c>
      <c r="X72" s="68">
        <f t="shared" si="59"/>
        <v>28</v>
      </c>
      <c r="Y72" s="70">
        <f t="shared" si="29"/>
        <v>7.5</v>
      </c>
      <c r="Z72" s="38">
        <f t="shared" si="66"/>
        <v>5.7777777777777777</v>
      </c>
      <c r="AA72" s="68">
        <f t="shared" si="67"/>
        <v>5.375</v>
      </c>
      <c r="AB72" s="70">
        <f t="shared" si="68"/>
        <v>7</v>
      </c>
      <c r="AC72" s="38">
        <f t="shared" si="69"/>
        <v>5</v>
      </c>
      <c r="AD72" s="38">
        <f t="shared" si="70"/>
        <v>2</v>
      </c>
      <c r="AE72" s="38">
        <f t="shared" ca="1" si="71"/>
        <v>295</v>
      </c>
      <c r="AF72" s="68">
        <f t="shared" si="60"/>
        <v>370</v>
      </c>
      <c r="AG72" s="70">
        <f t="shared" si="47"/>
        <v>7</v>
      </c>
      <c r="AH72" s="38">
        <f t="shared" si="48"/>
        <v>5</v>
      </c>
      <c r="AI72" s="38">
        <f t="shared" si="49"/>
        <v>1</v>
      </c>
      <c r="AJ72" s="38">
        <f t="shared" ca="1" si="72"/>
        <v>320</v>
      </c>
      <c r="AK72" s="68">
        <f t="shared" si="51"/>
        <v>520</v>
      </c>
      <c r="AL72" s="38">
        <f t="shared" si="52"/>
        <v>7</v>
      </c>
      <c r="AM72" s="38">
        <f t="shared" si="53"/>
        <v>4</v>
      </c>
      <c r="AN72" s="38">
        <f t="shared" si="54"/>
        <v>1</v>
      </c>
      <c r="AO72" s="38">
        <f t="shared" ca="1" si="73"/>
        <v>375</v>
      </c>
      <c r="AP72" s="68">
        <f t="shared" si="56"/>
        <v>630</v>
      </c>
      <c r="AQ72" s="38">
        <f t="shared" si="74"/>
        <v>21</v>
      </c>
      <c r="AR72" s="38">
        <f t="shared" si="75"/>
        <v>14</v>
      </c>
      <c r="AS72" s="38">
        <f t="shared" si="76"/>
        <v>4</v>
      </c>
      <c r="AT72" s="38">
        <f t="shared" ca="1" si="77"/>
        <v>990</v>
      </c>
      <c r="AU72" s="68">
        <f t="shared" si="78"/>
        <v>1520</v>
      </c>
    </row>
    <row r="73" spans="1:47" x14ac:dyDescent="0.25">
      <c r="A73" s="86" t="s">
        <v>253</v>
      </c>
      <c r="B73" s="14">
        <v>71</v>
      </c>
      <c r="C73" s="14">
        <f>关卡产出!C78</f>
        <v>55</v>
      </c>
      <c r="D73" s="14">
        <f>关卡产出!D78</f>
        <v>27</v>
      </c>
      <c r="E73" s="14">
        <f>关卡产出!E78</f>
        <v>13</v>
      </c>
      <c r="F73" s="14">
        <f>关卡产出!F78</f>
        <v>770</v>
      </c>
      <c r="G73" s="38">
        <f t="shared" si="61"/>
        <v>28</v>
      </c>
      <c r="H73" s="38">
        <f t="shared" si="62"/>
        <v>14</v>
      </c>
      <c r="I73" s="38">
        <f t="shared" si="63"/>
        <v>7</v>
      </c>
      <c r="J73" s="38">
        <f t="shared" si="64"/>
        <v>963</v>
      </c>
      <c r="K73" s="38">
        <f t="shared" ca="1" si="65"/>
        <v>990</v>
      </c>
      <c r="R73" s="113" t="s">
        <v>253</v>
      </c>
      <c r="S73" s="14">
        <v>71</v>
      </c>
      <c r="T73" s="14">
        <f>关卡对比!AE77</f>
        <v>49</v>
      </c>
      <c r="U73" s="109">
        <f>关卡对比!AF77</f>
        <v>40</v>
      </c>
      <c r="V73" s="70">
        <f t="shared" si="57"/>
        <v>10</v>
      </c>
      <c r="W73" s="38">
        <f t="shared" si="58"/>
        <v>19</v>
      </c>
      <c r="X73" s="68">
        <f t="shared" si="59"/>
        <v>28</v>
      </c>
      <c r="Y73" s="70">
        <f t="shared" ref="Y73:Y102" si="79">IFERROR(($S73-5)/V73+1,0)</f>
        <v>7.6</v>
      </c>
      <c r="Z73" s="38">
        <f t="shared" si="66"/>
        <v>5.8888888888888893</v>
      </c>
      <c r="AA73" s="68">
        <f t="shared" si="67"/>
        <v>5.375</v>
      </c>
      <c r="AB73" s="70">
        <f t="shared" si="68"/>
        <v>7</v>
      </c>
      <c r="AC73" s="38">
        <f t="shared" si="69"/>
        <v>5</v>
      </c>
      <c r="AD73" s="38">
        <f t="shared" si="70"/>
        <v>2</v>
      </c>
      <c r="AE73" s="38">
        <f t="shared" ca="1" si="71"/>
        <v>295</v>
      </c>
      <c r="AF73" s="68">
        <f t="shared" si="60"/>
        <v>370</v>
      </c>
      <c r="AG73" s="70">
        <f t="shared" si="47"/>
        <v>7</v>
      </c>
      <c r="AH73" s="38">
        <f t="shared" si="48"/>
        <v>5</v>
      </c>
      <c r="AI73" s="38">
        <f t="shared" si="49"/>
        <v>1</v>
      </c>
      <c r="AJ73" s="38">
        <f t="shared" ca="1" si="72"/>
        <v>320</v>
      </c>
      <c r="AK73" s="68">
        <f t="shared" si="51"/>
        <v>520</v>
      </c>
      <c r="AL73" s="38">
        <f t="shared" si="52"/>
        <v>7</v>
      </c>
      <c r="AM73" s="38">
        <f t="shared" si="53"/>
        <v>4</v>
      </c>
      <c r="AN73" s="38">
        <f t="shared" si="54"/>
        <v>1</v>
      </c>
      <c r="AO73" s="38">
        <f t="shared" ca="1" si="73"/>
        <v>375</v>
      </c>
      <c r="AP73" s="68">
        <f t="shared" si="56"/>
        <v>630</v>
      </c>
      <c r="AQ73" s="38">
        <f t="shared" si="74"/>
        <v>21</v>
      </c>
      <c r="AR73" s="38">
        <f t="shared" si="75"/>
        <v>14</v>
      </c>
      <c r="AS73" s="38">
        <f t="shared" si="76"/>
        <v>4</v>
      </c>
      <c r="AT73" s="38">
        <f t="shared" ca="1" si="77"/>
        <v>990</v>
      </c>
      <c r="AU73" s="68">
        <f t="shared" si="78"/>
        <v>1520</v>
      </c>
    </row>
    <row r="74" spans="1:47" x14ac:dyDescent="0.25">
      <c r="A74" s="86" t="s">
        <v>253</v>
      </c>
      <c r="B74" s="14">
        <v>72</v>
      </c>
      <c r="C74" s="14">
        <f>关卡产出!C79</f>
        <v>56</v>
      </c>
      <c r="D74" s="14">
        <f>关卡产出!D79</f>
        <v>28</v>
      </c>
      <c r="E74" s="14">
        <f>关卡产出!E79</f>
        <v>13</v>
      </c>
      <c r="F74" s="14">
        <f>关卡产出!F79</f>
        <v>770</v>
      </c>
      <c r="G74" s="38">
        <f t="shared" si="61"/>
        <v>28</v>
      </c>
      <c r="H74" s="38">
        <f t="shared" si="62"/>
        <v>14</v>
      </c>
      <c r="I74" s="38">
        <f t="shared" si="63"/>
        <v>7</v>
      </c>
      <c r="J74" s="38">
        <f t="shared" si="64"/>
        <v>963</v>
      </c>
      <c r="K74" s="38">
        <f t="shared" ca="1" si="65"/>
        <v>990</v>
      </c>
      <c r="R74" s="113" t="s">
        <v>253</v>
      </c>
      <c r="S74" s="14">
        <v>72</v>
      </c>
      <c r="T74" s="14">
        <f>关卡对比!AE78</f>
        <v>49</v>
      </c>
      <c r="U74" s="109">
        <f>关卡对比!AF78</f>
        <v>41</v>
      </c>
      <c r="V74" s="70">
        <f t="shared" si="57"/>
        <v>10</v>
      </c>
      <c r="W74" s="38">
        <f t="shared" si="58"/>
        <v>19</v>
      </c>
      <c r="X74" s="68">
        <f t="shared" si="59"/>
        <v>28</v>
      </c>
      <c r="Y74" s="70">
        <f t="shared" si="79"/>
        <v>7.7</v>
      </c>
      <c r="Z74" s="38">
        <f t="shared" si="66"/>
        <v>5.8888888888888893</v>
      </c>
      <c r="AA74" s="68">
        <f t="shared" si="67"/>
        <v>5.5</v>
      </c>
      <c r="AB74" s="70">
        <f t="shared" si="68"/>
        <v>7</v>
      </c>
      <c r="AC74" s="38">
        <f t="shared" si="69"/>
        <v>5</v>
      </c>
      <c r="AD74" s="38">
        <f t="shared" si="70"/>
        <v>2</v>
      </c>
      <c r="AE74" s="38">
        <f t="shared" ca="1" si="71"/>
        <v>295</v>
      </c>
      <c r="AF74" s="68">
        <f t="shared" si="60"/>
        <v>370</v>
      </c>
      <c r="AG74" s="70">
        <f t="shared" si="47"/>
        <v>7</v>
      </c>
      <c r="AH74" s="38">
        <f t="shared" si="48"/>
        <v>5</v>
      </c>
      <c r="AI74" s="38">
        <f t="shared" si="49"/>
        <v>1</v>
      </c>
      <c r="AJ74" s="38">
        <f t="shared" ca="1" si="72"/>
        <v>320</v>
      </c>
      <c r="AK74" s="68">
        <f t="shared" si="51"/>
        <v>520</v>
      </c>
      <c r="AL74" s="38">
        <f t="shared" si="52"/>
        <v>7</v>
      </c>
      <c r="AM74" s="38">
        <f t="shared" si="53"/>
        <v>4</v>
      </c>
      <c r="AN74" s="38">
        <f t="shared" si="54"/>
        <v>1</v>
      </c>
      <c r="AO74" s="38">
        <f t="shared" ca="1" si="73"/>
        <v>375</v>
      </c>
      <c r="AP74" s="68">
        <f t="shared" si="56"/>
        <v>630</v>
      </c>
      <c r="AQ74" s="38">
        <f t="shared" si="74"/>
        <v>21</v>
      </c>
      <c r="AR74" s="38">
        <f t="shared" si="75"/>
        <v>14</v>
      </c>
      <c r="AS74" s="38">
        <f t="shared" si="76"/>
        <v>4</v>
      </c>
      <c r="AT74" s="38">
        <f t="shared" ca="1" si="77"/>
        <v>990</v>
      </c>
      <c r="AU74" s="68">
        <f t="shared" si="78"/>
        <v>1520</v>
      </c>
    </row>
    <row r="75" spans="1:47" x14ac:dyDescent="0.25">
      <c r="A75" s="86" t="s">
        <v>253</v>
      </c>
      <c r="B75" s="14">
        <v>73</v>
      </c>
      <c r="C75" s="14">
        <f>关卡产出!C80</f>
        <v>57</v>
      </c>
      <c r="D75" s="14">
        <f>关卡产出!D80</f>
        <v>28</v>
      </c>
      <c r="E75" s="14">
        <f>关卡产出!E80</f>
        <v>14</v>
      </c>
      <c r="F75" s="14">
        <f>关卡产出!F80</f>
        <v>790</v>
      </c>
      <c r="G75" s="38">
        <f t="shared" si="61"/>
        <v>29</v>
      </c>
      <c r="H75" s="38">
        <f t="shared" si="62"/>
        <v>14</v>
      </c>
      <c r="I75" s="38">
        <f t="shared" si="63"/>
        <v>7</v>
      </c>
      <c r="J75" s="38">
        <f t="shared" si="64"/>
        <v>988</v>
      </c>
      <c r="K75" s="38">
        <f t="shared" ca="1" si="65"/>
        <v>1015</v>
      </c>
      <c r="R75" s="113" t="s">
        <v>253</v>
      </c>
      <c r="S75" s="14">
        <v>73</v>
      </c>
      <c r="T75" s="14">
        <f>关卡对比!AE79</f>
        <v>50</v>
      </c>
      <c r="U75" s="109">
        <f>关卡对比!AF79</f>
        <v>41</v>
      </c>
      <c r="V75" s="70">
        <f t="shared" si="57"/>
        <v>10</v>
      </c>
      <c r="W75" s="38">
        <f t="shared" si="58"/>
        <v>20</v>
      </c>
      <c r="X75" s="68">
        <f t="shared" si="59"/>
        <v>28</v>
      </c>
      <c r="Y75" s="70">
        <f t="shared" si="79"/>
        <v>7.8</v>
      </c>
      <c r="Z75" s="38">
        <f t="shared" si="66"/>
        <v>5.5</v>
      </c>
      <c r="AA75" s="68">
        <f t="shared" si="67"/>
        <v>5.5</v>
      </c>
      <c r="AB75" s="70">
        <f t="shared" si="68"/>
        <v>7</v>
      </c>
      <c r="AC75" s="38">
        <f t="shared" si="69"/>
        <v>5</v>
      </c>
      <c r="AD75" s="38">
        <f t="shared" si="70"/>
        <v>2</v>
      </c>
      <c r="AE75" s="38">
        <f t="shared" ca="1" si="71"/>
        <v>295</v>
      </c>
      <c r="AF75" s="68">
        <f t="shared" si="60"/>
        <v>370</v>
      </c>
      <c r="AG75" s="70">
        <f t="shared" si="47"/>
        <v>7</v>
      </c>
      <c r="AH75" s="38">
        <f t="shared" si="48"/>
        <v>5</v>
      </c>
      <c r="AI75" s="38">
        <f t="shared" si="49"/>
        <v>2</v>
      </c>
      <c r="AJ75" s="38">
        <f t="shared" ca="1" si="72"/>
        <v>345</v>
      </c>
      <c r="AK75" s="68">
        <f t="shared" si="51"/>
        <v>570</v>
      </c>
      <c r="AL75" s="38">
        <f t="shared" si="52"/>
        <v>7</v>
      </c>
      <c r="AM75" s="38">
        <f t="shared" si="53"/>
        <v>4</v>
      </c>
      <c r="AN75" s="38">
        <f t="shared" si="54"/>
        <v>1</v>
      </c>
      <c r="AO75" s="38">
        <f t="shared" ca="1" si="73"/>
        <v>375</v>
      </c>
      <c r="AP75" s="68">
        <f t="shared" si="56"/>
        <v>630</v>
      </c>
      <c r="AQ75" s="38">
        <f t="shared" si="74"/>
        <v>21</v>
      </c>
      <c r="AR75" s="38">
        <f t="shared" si="75"/>
        <v>14</v>
      </c>
      <c r="AS75" s="38">
        <f t="shared" si="76"/>
        <v>5</v>
      </c>
      <c r="AT75" s="38">
        <f t="shared" ca="1" si="77"/>
        <v>1015</v>
      </c>
      <c r="AU75" s="68">
        <f t="shared" si="78"/>
        <v>1570</v>
      </c>
    </row>
    <row r="76" spans="1:47" x14ac:dyDescent="0.25">
      <c r="A76" s="86" t="s">
        <v>253</v>
      </c>
      <c r="B76" s="14">
        <v>74</v>
      </c>
      <c r="C76" s="14">
        <f>关卡产出!C81</f>
        <v>58</v>
      </c>
      <c r="D76" s="14">
        <f>关卡产出!D81</f>
        <v>29</v>
      </c>
      <c r="E76" s="14">
        <f>关卡产出!E81</f>
        <v>14</v>
      </c>
      <c r="F76" s="14">
        <f>关卡产出!F81</f>
        <v>790</v>
      </c>
      <c r="G76" s="38">
        <f t="shared" si="61"/>
        <v>29</v>
      </c>
      <c r="H76" s="38">
        <f t="shared" si="62"/>
        <v>15</v>
      </c>
      <c r="I76" s="38">
        <f t="shared" si="63"/>
        <v>7</v>
      </c>
      <c r="J76" s="38">
        <f t="shared" si="64"/>
        <v>988</v>
      </c>
      <c r="K76" s="38">
        <f t="shared" ca="1" si="65"/>
        <v>1015</v>
      </c>
      <c r="R76" s="113" t="s">
        <v>253</v>
      </c>
      <c r="S76" s="14">
        <v>74</v>
      </c>
      <c r="T76" s="14">
        <f>关卡对比!AE80</f>
        <v>50</v>
      </c>
      <c r="U76" s="109">
        <f>关卡对比!AF80</f>
        <v>42</v>
      </c>
      <c r="V76" s="70">
        <f t="shared" si="57"/>
        <v>10</v>
      </c>
      <c r="W76" s="38">
        <f t="shared" si="58"/>
        <v>20</v>
      </c>
      <c r="X76" s="68">
        <f t="shared" si="59"/>
        <v>28</v>
      </c>
      <c r="Y76" s="70">
        <f t="shared" si="79"/>
        <v>7.9</v>
      </c>
      <c r="Z76" s="38">
        <f t="shared" si="66"/>
        <v>5.5</v>
      </c>
      <c r="AA76" s="68">
        <f t="shared" si="67"/>
        <v>5.625</v>
      </c>
      <c r="AB76" s="70">
        <f t="shared" si="68"/>
        <v>7</v>
      </c>
      <c r="AC76" s="38">
        <f t="shared" si="69"/>
        <v>5</v>
      </c>
      <c r="AD76" s="38">
        <f t="shared" si="70"/>
        <v>2</v>
      </c>
      <c r="AE76" s="38">
        <f t="shared" ca="1" si="71"/>
        <v>295</v>
      </c>
      <c r="AF76" s="68">
        <f t="shared" si="60"/>
        <v>370</v>
      </c>
      <c r="AG76" s="70">
        <f t="shared" ref="AG76:AG107" si="80">AX$4+SUMIFS(BE:BE,$BC:$BC,"&lt;="&amp;$W76,$BC:$BC,"&gt;"&amp;10)</f>
        <v>7</v>
      </c>
      <c r="AH76" s="38">
        <f t="shared" ref="AH76:AH107" si="81">AY$4+SUMIFS(BF:BF,$BC:$BC,"&lt;="&amp;$W76,$BC:$BC,"&gt;"&amp;10)</f>
        <v>5</v>
      </c>
      <c r="AI76" s="38">
        <f t="shared" ref="AI76:AI107" si="82">AZ$4+SUMIFS(BG:BG,$BC:$BC,"&lt;="&amp;$W76,$BC:$BC,"&gt;"&amp;10)</f>
        <v>2</v>
      </c>
      <c r="AJ76" s="38">
        <f t="shared" ca="1" si="72"/>
        <v>345</v>
      </c>
      <c r="AK76" s="68">
        <f t="shared" ref="AK76:AK107" si="83">$BA$4+SUMIFS($BQ:$BQ,$BC:$BC,"&lt;="&amp;W76,$BC:$BC,"&gt;"&amp;10)</f>
        <v>570</v>
      </c>
      <c r="AL76" s="38">
        <f t="shared" si="52"/>
        <v>7</v>
      </c>
      <c r="AM76" s="38">
        <f t="shared" si="53"/>
        <v>4</v>
      </c>
      <c r="AN76" s="38">
        <f t="shared" si="54"/>
        <v>1</v>
      </c>
      <c r="AO76" s="38">
        <f t="shared" ca="1" si="73"/>
        <v>375</v>
      </c>
      <c r="AP76" s="68">
        <f t="shared" si="56"/>
        <v>630</v>
      </c>
      <c r="AQ76" s="38">
        <f t="shared" si="74"/>
        <v>21</v>
      </c>
      <c r="AR76" s="38">
        <f t="shared" si="75"/>
        <v>14</v>
      </c>
      <c r="AS76" s="38">
        <f t="shared" si="76"/>
        <v>5</v>
      </c>
      <c r="AT76" s="38">
        <f t="shared" ca="1" si="77"/>
        <v>1015</v>
      </c>
      <c r="AU76" s="68">
        <f t="shared" si="78"/>
        <v>1570</v>
      </c>
    </row>
    <row r="77" spans="1:47" x14ac:dyDescent="0.25">
      <c r="A77" s="86" t="s">
        <v>253</v>
      </c>
      <c r="B77" s="14">
        <v>75</v>
      </c>
      <c r="C77" s="14">
        <f>关卡产出!C82</f>
        <v>58</v>
      </c>
      <c r="D77" s="14">
        <f>关卡产出!D82</f>
        <v>29</v>
      </c>
      <c r="E77" s="14">
        <f>关卡产出!E82</f>
        <v>14</v>
      </c>
      <c r="F77" s="14">
        <f>关卡产出!F82</f>
        <v>810</v>
      </c>
      <c r="G77" s="38">
        <f t="shared" si="61"/>
        <v>29</v>
      </c>
      <c r="H77" s="38">
        <f t="shared" si="62"/>
        <v>15</v>
      </c>
      <c r="I77" s="38">
        <f t="shared" si="63"/>
        <v>7</v>
      </c>
      <c r="J77" s="38">
        <f t="shared" si="64"/>
        <v>1013</v>
      </c>
      <c r="K77" s="38">
        <f t="shared" ca="1" si="65"/>
        <v>1040</v>
      </c>
      <c r="R77" s="113" t="s">
        <v>253</v>
      </c>
      <c r="S77" s="14">
        <v>75</v>
      </c>
      <c r="T77" s="14">
        <f>关卡对比!AE81</f>
        <v>51</v>
      </c>
      <c r="U77" s="109">
        <f>关卡对比!AF81</f>
        <v>43</v>
      </c>
      <c r="V77" s="70">
        <f t="shared" si="57"/>
        <v>10</v>
      </c>
      <c r="W77" s="38">
        <f t="shared" si="58"/>
        <v>20</v>
      </c>
      <c r="X77" s="68">
        <f t="shared" si="59"/>
        <v>28</v>
      </c>
      <c r="Y77" s="70">
        <f t="shared" si="79"/>
        <v>8</v>
      </c>
      <c r="Z77" s="38">
        <f t="shared" si="66"/>
        <v>5.6</v>
      </c>
      <c r="AA77" s="68">
        <f t="shared" si="67"/>
        <v>5.75</v>
      </c>
      <c r="AB77" s="70">
        <f t="shared" si="68"/>
        <v>7</v>
      </c>
      <c r="AC77" s="38">
        <f t="shared" si="69"/>
        <v>5</v>
      </c>
      <c r="AD77" s="38">
        <f t="shared" si="70"/>
        <v>2</v>
      </c>
      <c r="AE77" s="38">
        <f t="shared" ca="1" si="71"/>
        <v>320</v>
      </c>
      <c r="AF77" s="68">
        <f t="shared" si="60"/>
        <v>370</v>
      </c>
      <c r="AG77" s="70">
        <f t="shared" si="80"/>
        <v>7</v>
      </c>
      <c r="AH77" s="38">
        <f t="shared" si="81"/>
        <v>5</v>
      </c>
      <c r="AI77" s="38">
        <f t="shared" si="82"/>
        <v>2</v>
      </c>
      <c r="AJ77" s="38">
        <f t="shared" ca="1" si="72"/>
        <v>345</v>
      </c>
      <c r="AK77" s="68">
        <f t="shared" si="83"/>
        <v>570</v>
      </c>
      <c r="AL77" s="38">
        <f t="shared" si="52"/>
        <v>7</v>
      </c>
      <c r="AM77" s="38">
        <f t="shared" si="53"/>
        <v>4</v>
      </c>
      <c r="AN77" s="38">
        <f t="shared" si="54"/>
        <v>1</v>
      </c>
      <c r="AO77" s="38">
        <f t="shared" ca="1" si="73"/>
        <v>375</v>
      </c>
      <c r="AP77" s="68">
        <f t="shared" si="56"/>
        <v>630</v>
      </c>
      <c r="AQ77" s="38">
        <f t="shared" si="74"/>
        <v>21</v>
      </c>
      <c r="AR77" s="38">
        <f t="shared" si="75"/>
        <v>14</v>
      </c>
      <c r="AS77" s="38">
        <f t="shared" si="76"/>
        <v>5</v>
      </c>
      <c r="AT77" s="38">
        <f t="shared" ca="1" si="77"/>
        <v>1040</v>
      </c>
      <c r="AU77" s="68">
        <f t="shared" si="78"/>
        <v>1570</v>
      </c>
    </row>
    <row r="78" spans="1:47" x14ac:dyDescent="0.25">
      <c r="A78" s="86" t="s">
        <v>253</v>
      </c>
      <c r="B78" s="14">
        <v>76</v>
      </c>
      <c r="C78" s="14">
        <f>关卡产出!C83</f>
        <v>59</v>
      </c>
      <c r="D78" s="14">
        <f>关卡产出!D83</f>
        <v>29</v>
      </c>
      <c r="E78" s="14">
        <f>关卡产出!E83</f>
        <v>14</v>
      </c>
      <c r="F78" s="14">
        <f>关卡产出!F83</f>
        <v>810</v>
      </c>
      <c r="G78" s="38">
        <f t="shared" si="61"/>
        <v>30</v>
      </c>
      <c r="H78" s="38">
        <f t="shared" si="62"/>
        <v>15</v>
      </c>
      <c r="I78" s="38">
        <f t="shared" si="63"/>
        <v>7</v>
      </c>
      <c r="J78" s="38">
        <f t="shared" si="64"/>
        <v>1013</v>
      </c>
      <c r="K78" s="38">
        <f t="shared" ca="1" si="65"/>
        <v>1040</v>
      </c>
      <c r="R78" s="113" t="s">
        <v>253</v>
      </c>
      <c r="S78" s="14">
        <v>76</v>
      </c>
      <c r="T78" s="14">
        <f>关卡对比!AE82</f>
        <v>51</v>
      </c>
      <c r="U78" s="109">
        <f>关卡对比!AF82</f>
        <v>43</v>
      </c>
      <c r="V78" s="70">
        <f t="shared" si="57"/>
        <v>10</v>
      </c>
      <c r="W78" s="38">
        <f t="shared" si="58"/>
        <v>20</v>
      </c>
      <c r="X78" s="68">
        <f t="shared" si="59"/>
        <v>28</v>
      </c>
      <c r="Y78" s="70">
        <f t="shared" si="79"/>
        <v>8.1</v>
      </c>
      <c r="Z78" s="38">
        <f t="shared" si="66"/>
        <v>5.6</v>
      </c>
      <c r="AA78" s="68">
        <f t="shared" si="67"/>
        <v>5.75</v>
      </c>
      <c r="AB78" s="70">
        <f t="shared" si="68"/>
        <v>7</v>
      </c>
      <c r="AC78" s="38">
        <f t="shared" si="69"/>
        <v>5</v>
      </c>
      <c r="AD78" s="38">
        <f t="shared" si="70"/>
        <v>2</v>
      </c>
      <c r="AE78" s="38">
        <f t="shared" ca="1" si="71"/>
        <v>320</v>
      </c>
      <c r="AF78" s="68">
        <f t="shared" si="60"/>
        <v>370</v>
      </c>
      <c r="AG78" s="70">
        <f t="shared" si="80"/>
        <v>7</v>
      </c>
      <c r="AH78" s="38">
        <f t="shared" si="81"/>
        <v>5</v>
      </c>
      <c r="AI78" s="38">
        <f t="shared" si="82"/>
        <v>2</v>
      </c>
      <c r="AJ78" s="38">
        <f t="shared" ca="1" si="72"/>
        <v>345</v>
      </c>
      <c r="AK78" s="68">
        <f t="shared" si="83"/>
        <v>570</v>
      </c>
      <c r="AL78" s="38">
        <f t="shared" si="52"/>
        <v>7</v>
      </c>
      <c r="AM78" s="38">
        <f t="shared" si="53"/>
        <v>4</v>
      </c>
      <c r="AN78" s="38">
        <f t="shared" si="54"/>
        <v>1</v>
      </c>
      <c r="AO78" s="38">
        <f t="shared" ca="1" si="73"/>
        <v>375</v>
      </c>
      <c r="AP78" s="68">
        <f t="shared" si="56"/>
        <v>630</v>
      </c>
      <c r="AQ78" s="38">
        <f t="shared" si="74"/>
        <v>21</v>
      </c>
      <c r="AR78" s="38">
        <f t="shared" si="75"/>
        <v>14</v>
      </c>
      <c r="AS78" s="38">
        <f t="shared" si="76"/>
        <v>5</v>
      </c>
      <c r="AT78" s="38">
        <f t="shared" ca="1" si="77"/>
        <v>1040</v>
      </c>
      <c r="AU78" s="68">
        <f t="shared" si="78"/>
        <v>1570</v>
      </c>
    </row>
    <row r="79" spans="1:47" x14ac:dyDescent="0.25">
      <c r="A79" s="86" t="s">
        <v>253</v>
      </c>
      <c r="B79" s="14">
        <v>77</v>
      </c>
      <c r="C79" s="14">
        <f>关卡产出!C84</f>
        <v>60</v>
      </c>
      <c r="D79" s="14">
        <f>关卡产出!D84</f>
        <v>30</v>
      </c>
      <c r="E79" s="14">
        <f>关卡产出!E84</f>
        <v>14</v>
      </c>
      <c r="F79" s="14">
        <f>关卡产出!F84</f>
        <v>830</v>
      </c>
      <c r="G79" s="38">
        <f t="shared" si="61"/>
        <v>30</v>
      </c>
      <c r="H79" s="38">
        <f t="shared" si="62"/>
        <v>15</v>
      </c>
      <c r="I79" s="38">
        <f t="shared" si="63"/>
        <v>7</v>
      </c>
      <c r="J79" s="38">
        <f t="shared" si="64"/>
        <v>1038</v>
      </c>
      <c r="K79" s="38">
        <f t="shared" ca="1" si="65"/>
        <v>1040</v>
      </c>
      <c r="R79" s="113" t="s">
        <v>253</v>
      </c>
      <c r="S79" s="14">
        <v>77</v>
      </c>
      <c r="T79" s="14">
        <f>关卡对比!AE83</f>
        <v>52</v>
      </c>
      <c r="U79" s="109">
        <f>关卡对比!AF83</f>
        <v>44</v>
      </c>
      <c r="V79" s="70">
        <f t="shared" si="57"/>
        <v>10</v>
      </c>
      <c r="W79" s="38">
        <f t="shared" si="58"/>
        <v>20</v>
      </c>
      <c r="X79" s="68">
        <f t="shared" si="59"/>
        <v>28</v>
      </c>
      <c r="Y79" s="70">
        <f t="shared" si="79"/>
        <v>8.1999999999999993</v>
      </c>
      <c r="Z79" s="38">
        <f t="shared" si="66"/>
        <v>5.7</v>
      </c>
      <c r="AA79" s="68">
        <f t="shared" si="67"/>
        <v>5.875</v>
      </c>
      <c r="AB79" s="70">
        <f t="shared" si="68"/>
        <v>7</v>
      </c>
      <c r="AC79" s="38">
        <f t="shared" si="69"/>
        <v>5</v>
      </c>
      <c r="AD79" s="38">
        <f t="shared" si="70"/>
        <v>2</v>
      </c>
      <c r="AE79" s="38">
        <f t="shared" ca="1" si="71"/>
        <v>320</v>
      </c>
      <c r="AF79" s="68">
        <f t="shared" si="60"/>
        <v>370</v>
      </c>
      <c r="AG79" s="70">
        <f t="shared" si="80"/>
        <v>7</v>
      </c>
      <c r="AH79" s="38">
        <f t="shared" si="81"/>
        <v>5</v>
      </c>
      <c r="AI79" s="38">
        <f t="shared" si="82"/>
        <v>2</v>
      </c>
      <c r="AJ79" s="38">
        <f t="shared" ca="1" si="72"/>
        <v>345</v>
      </c>
      <c r="AK79" s="68">
        <f t="shared" si="83"/>
        <v>570</v>
      </c>
      <c r="AL79" s="38">
        <f t="shared" si="52"/>
        <v>7</v>
      </c>
      <c r="AM79" s="38">
        <f t="shared" si="53"/>
        <v>4</v>
      </c>
      <c r="AN79" s="38">
        <f t="shared" si="54"/>
        <v>1</v>
      </c>
      <c r="AO79" s="38">
        <f t="shared" ca="1" si="73"/>
        <v>375</v>
      </c>
      <c r="AP79" s="68">
        <f t="shared" si="56"/>
        <v>630</v>
      </c>
      <c r="AQ79" s="38">
        <f t="shared" si="74"/>
        <v>21</v>
      </c>
      <c r="AR79" s="38">
        <f t="shared" si="75"/>
        <v>14</v>
      </c>
      <c r="AS79" s="38">
        <f t="shared" si="76"/>
        <v>5</v>
      </c>
      <c r="AT79" s="38">
        <f t="shared" ca="1" si="77"/>
        <v>1040</v>
      </c>
      <c r="AU79" s="68">
        <f t="shared" si="78"/>
        <v>1570</v>
      </c>
    </row>
    <row r="80" spans="1:47" x14ac:dyDescent="0.25">
      <c r="A80" s="86" t="s">
        <v>253</v>
      </c>
      <c r="B80" s="14">
        <v>78</v>
      </c>
      <c r="C80" s="14">
        <f>关卡产出!C85</f>
        <v>61</v>
      </c>
      <c r="D80" s="14">
        <f>关卡产出!D85</f>
        <v>30</v>
      </c>
      <c r="E80" s="14">
        <f>关卡产出!E85</f>
        <v>15</v>
      </c>
      <c r="F80" s="14">
        <f>关卡产出!F85</f>
        <v>830</v>
      </c>
      <c r="G80" s="38">
        <f t="shared" si="61"/>
        <v>31</v>
      </c>
      <c r="H80" s="38">
        <f t="shared" si="62"/>
        <v>15</v>
      </c>
      <c r="I80" s="38">
        <f t="shared" si="63"/>
        <v>8</v>
      </c>
      <c r="J80" s="38">
        <f t="shared" si="64"/>
        <v>1038</v>
      </c>
      <c r="K80" s="38">
        <f t="shared" ca="1" si="65"/>
        <v>1040</v>
      </c>
      <c r="R80" s="113" t="s">
        <v>253</v>
      </c>
      <c r="S80" s="14">
        <v>78</v>
      </c>
      <c r="T80" s="14">
        <f>关卡对比!AE84</f>
        <v>52</v>
      </c>
      <c r="U80" s="109">
        <f>关卡对比!AF84</f>
        <v>44</v>
      </c>
      <c r="V80" s="70">
        <f t="shared" si="57"/>
        <v>10</v>
      </c>
      <c r="W80" s="38">
        <f t="shared" si="58"/>
        <v>20</v>
      </c>
      <c r="X80" s="68">
        <f t="shared" si="59"/>
        <v>28</v>
      </c>
      <c r="Y80" s="70">
        <f t="shared" si="79"/>
        <v>8.3000000000000007</v>
      </c>
      <c r="Z80" s="38">
        <f t="shared" si="66"/>
        <v>5.7</v>
      </c>
      <c r="AA80" s="68">
        <f t="shared" si="67"/>
        <v>5.875</v>
      </c>
      <c r="AB80" s="70">
        <f t="shared" si="68"/>
        <v>7</v>
      </c>
      <c r="AC80" s="38">
        <f t="shared" si="69"/>
        <v>5</v>
      </c>
      <c r="AD80" s="38">
        <f t="shared" si="70"/>
        <v>2</v>
      </c>
      <c r="AE80" s="38">
        <f t="shared" ca="1" si="71"/>
        <v>320</v>
      </c>
      <c r="AF80" s="68">
        <f t="shared" si="60"/>
        <v>370</v>
      </c>
      <c r="AG80" s="70">
        <f t="shared" si="80"/>
        <v>7</v>
      </c>
      <c r="AH80" s="38">
        <f t="shared" si="81"/>
        <v>5</v>
      </c>
      <c r="AI80" s="38">
        <f t="shared" si="82"/>
        <v>2</v>
      </c>
      <c r="AJ80" s="38">
        <f t="shared" ca="1" si="72"/>
        <v>345</v>
      </c>
      <c r="AK80" s="68">
        <f t="shared" si="83"/>
        <v>570</v>
      </c>
      <c r="AL80" s="38">
        <f t="shared" ref="AL80:AL111" si="84">AX$5+SUMIFS(BE:BE,$BC:$BC,"&lt;="&amp;$X80,$BC:$BC,"&gt;"&amp;20)</f>
        <v>7</v>
      </c>
      <c r="AM80" s="38">
        <f t="shared" ref="AM80:AM111" si="85">AY$5+SUMIFS(BF:BF,$BC:$BC,"&lt;="&amp;$X80,$BC:$BC,"&gt;"&amp;20)</f>
        <v>4</v>
      </c>
      <c r="AN80" s="38">
        <f t="shared" ref="AN80:AN111" si="86">AZ$5+SUMIFS(BG:BG,$BC:$BC,"&lt;="&amp;$X80,$BC:$BC,"&gt;"&amp;20)</f>
        <v>1</v>
      </c>
      <c r="AO80" s="38">
        <f t="shared" ca="1" si="73"/>
        <v>375</v>
      </c>
      <c r="AP80" s="68">
        <f t="shared" ref="AP80:AP111" si="87">$BA$5+SUMIFS($BQ:$BQ,$BC:$BC,"&lt;="&amp;X80,$BC:$BC,"&gt;"&amp;20)</f>
        <v>630</v>
      </c>
      <c r="AQ80" s="38">
        <f t="shared" si="74"/>
        <v>21</v>
      </c>
      <c r="AR80" s="38">
        <f t="shared" si="75"/>
        <v>14</v>
      </c>
      <c r="AS80" s="38">
        <f t="shared" si="76"/>
        <v>5</v>
      </c>
      <c r="AT80" s="38">
        <f t="shared" ca="1" si="77"/>
        <v>1040</v>
      </c>
      <c r="AU80" s="68">
        <f t="shared" si="78"/>
        <v>1570</v>
      </c>
    </row>
    <row r="81" spans="1:47" x14ac:dyDescent="0.25">
      <c r="A81" s="86" t="s">
        <v>253</v>
      </c>
      <c r="B81" s="14">
        <v>79</v>
      </c>
      <c r="C81" s="14">
        <f>关卡产出!C86</f>
        <v>62</v>
      </c>
      <c r="D81" s="14">
        <f>关卡产出!D86</f>
        <v>31</v>
      </c>
      <c r="E81" s="14">
        <f>关卡产出!E86</f>
        <v>15</v>
      </c>
      <c r="F81" s="14">
        <f>关卡产出!F86</f>
        <v>850</v>
      </c>
      <c r="G81" s="38">
        <f t="shared" si="61"/>
        <v>31</v>
      </c>
      <c r="H81" s="38">
        <f t="shared" si="62"/>
        <v>16</v>
      </c>
      <c r="I81" s="38">
        <f t="shared" si="63"/>
        <v>8</v>
      </c>
      <c r="J81" s="38">
        <f t="shared" si="64"/>
        <v>1063</v>
      </c>
      <c r="K81" s="38">
        <f t="shared" ca="1" si="65"/>
        <v>1040</v>
      </c>
      <c r="R81" s="113" t="s">
        <v>253</v>
      </c>
      <c r="S81" s="14">
        <v>79</v>
      </c>
      <c r="T81" s="14">
        <f>关卡对比!AE85</f>
        <v>53</v>
      </c>
      <c r="U81" s="109">
        <f>关卡对比!AF85</f>
        <v>44</v>
      </c>
      <c r="V81" s="70">
        <f t="shared" si="57"/>
        <v>10</v>
      </c>
      <c r="W81" s="38">
        <f t="shared" si="58"/>
        <v>20</v>
      </c>
      <c r="X81" s="68">
        <f t="shared" si="59"/>
        <v>28</v>
      </c>
      <c r="Y81" s="70">
        <f t="shared" si="79"/>
        <v>8.4</v>
      </c>
      <c r="Z81" s="38">
        <f t="shared" si="66"/>
        <v>5.8</v>
      </c>
      <c r="AA81" s="68">
        <f t="shared" si="67"/>
        <v>5.875</v>
      </c>
      <c r="AB81" s="70">
        <f t="shared" si="68"/>
        <v>7</v>
      </c>
      <c r="AC81" s="38">
        <f t="shared" si="69"/>
        <v>5</v>
      </c>
      <c r="AD81" s="38">
        <f t="shared" si="70"/>
        <v>2</v>
      </c>
      <c r="AE81" s="38">
        <f t="shared" ca="1" si="71"/>
        <v>320</v>
      </c>
      <c r="AF81" s="68">
        <f t="shared" si="60"/>
        <v>370</v>
      </c>
      <c r="AG81" s="70">
        <f t="shared" si="80"/>
        <v>7</v>
      </c>
      <c r="AH81" s="38">
        <f t="shared" si="81"/>
        <v>5</v>
      </c>
      <c r="AI81" s="38">
        <f t="shared" si="82"/>
        <v>2</v>
      </c>
      <c r="AJ81" s="38">
        <f t="shared" ca="1" si="72"/>
        <v>345</v>
      </c>
      <c r="AK81" s="68">
        <f t="shared" si="83"/>
        <v>570</v>
      </c>
      <c r="AL81" s="38">
        <f t="shared" si="84"/>
        <v>7</v>
      </c>
      <c r="AM81" s="38">
        <f t="shared" si="85"/>
        <v>4</v>
      </c>
      <c r="AN81" s="38">
        <f t="shared" si="86"/>
        <v>1</v>
      </c>
      <c r="AO81" s="38">
        <f t="shared" ca="1" si="73"/>
        <v>375</v>
      </c>
      <c r="AP81" s="68">
        <f t="shared" si="87"/>
        <v>630</v>
      </c>
      <c r="AQ81" s="38">
        <f t="shared" si="74"/>
        <v>21</v>
      </c>
      <c r="AR81" s="38">
        <f t="shared" si="75"/>
        <v>14</v>
      </c>
      <c r="AS81" s="38">
        <f t="shared" si="76"/>
        <v>5</v>
      </c>
      <c r="AT81" s="38">
        <f t="shared" ca="1" si="77"/>
        <v>1040</v>
      </c>
      <c r="AU81" s="68">
        <f t="shared" si="78"/>
        <v>1570</v>
      </c>
    </row>
    <row r="82" spans="1:47" x14ac:dyDescent="0.25">
      <c r="A82" s="86" t="s">
        <v>253</v>
      </c>
      <c r="B82" s="14">
        <v>80</v>
      </c>
      <c r="C82" s="14">
        <f>关卡产出!C87</f>
        <v>62</v>
      </c>
      <c r="D82" s="14">
        <f>关卡产出!D87</f>
        <v>31</v>
      </c>
      <c r="E82" s="14">
        <f>关卡产出!E87</f>
        <v>15</v>
      </c>
      <c r="F82" s="14">
        <f>关卡产出!F87</f>
        <v>850</v>
      </c>
      <c r="G82" s="38">
        <f t="shared" si="61"/>
        <v>31</v>
      </c>
      <c r="H82" s="38">
        <f t="shared" si="62"/>
        <v>16</v>
      </c>
      <c r="I82" s="38">
        <f t="shared" si="63"/>
        <v>8</v>
      </c>
      <c r="J82" s="38">
        <f t="shared" si="64"/>
        <v>1063</v>
      </c>
      <c r="K82" s="38">
        <f t="shared" ca="1" si="65"/>
        <v>1075</v>
      </c>
      <c r="R82" s="113" t="s">
        <v>253</v>
      </c>
      <c r="S82" s="14">
        <v>80</v>
      </c>
      <c r="T82" s="14">
        <f>关卡对比!AE86</f>
        <v>53</v>
      </c>
      <c r="U82" s="109">
        <f>关卡对比!AF86</f>
        <v>45</v>
      </c>
      <c r="V82" s="70">
        <f t="shared" si="57"/>
        <v>10</v>
      </c>
      <c r="W82" s="38">
        <f t="shared" si="58"/>
        <v>20</v>
      </c>
      <c r="X82" s="68">
        <f t="shared" si="59"/>
        <v>29</v>
      </c>
      <c r="Y82" s="70">
        <f t="shared" si="79"/>
        <v>8.5</v>
      </c>
      <c r="Z82" s="38">
        <f t="shared" si="66"/>
        <v>5.8</v>
      </c>
      <c r="AA82" s="68">
        <f t="shared" si="67"/>
        <v>5.4444444444444446</v>
      </c>
      <c r="AB82" s="70">
        <f t="shared" si="68"/>
        <v>7</v>
      </c>
      <c r="AC82" s="38">
        <f t="shared" si="69"/>
        <v>5</v>
      </c>
      <c r="AD82" s="38">
        <f t="shared" si="70"/>
        <v>2</v>
      </c>
      <c r="AE82" s="38">
        <f t="shared" ca="1" si="71"/>
        <v>320</v>
      </c>
      <c r="AF82" s="68">
        <f t="shared" si="60"/>
        <v>370</v>
      </c>
      <c r="AG82" s="70">
        <f t="shared" si="80"/>
        <v>7</v>
      </c>
      <c r="AH82" s="38">
        <f t="shared" si="81"/>
        <v>5</v>
      </c>
      <c r="AI82" s="38">
        <f t="shared" si="82"/>
        <v>2</v>
      </c>
      <c r="AJ82" s="38">
        <f t="shared" ca="1" si="72"/>
        <v>345</v>
      </c>
      <c r="AK82" s="68">
        <f t="shared" si="83"/>
        <v>570</v>
      </c>
      <c r="AL82" s="38">
        <f t="shared" si="84"/>
        <v>7</v>
      </c>
      <c r="AM82" s="38">
        <f t="shared" si="85"/>
        <v>5</v>
      </c>
      <c r="AN82" s="38">
        <f t="shared" si="86"/>
        <v>1</v>
      </c>
      <c r="AO82" s="38">
        <f t="shared" ca="1" si="73"/>
        <v>410</v>
      </c>
      <c r="AP82" s="68">
        <f t="shared" si="87"/>
        <v>700</v>
      </c>
      <c r="AQ82" s="38">
        <f t="shared" si="74"/>
        <v>21</v>
      </c>
      <c r="AR82" s="38">
        <f t="shared" si="75"/>
        <v>15</v>
      </c>
      <c r="AS82" s="38">
        <f t="shared" si="76"/>
        <v>5</v>
      </c>
      <c r="AT82" s="38">
        <f t="shared" ca="1" si="77"/>
        <v>1075</v>
      </c>
      <c r="AU82" s="68">
        <f t="shared" si="78"/>
        <v>1640</v>
      </c>
    </row>
    <row r="83" spans="1:47" x14ac:dyDescent="0.25">
      <c r="A83" s="86" t="s">
        <v>253</v>
      </c>
      <c r="B83" s="14">
        <v>81</v>
      </c>
      <c r="C83" s="14">
        <f>关卡产出!C88</f>
        <v>63</v>
      </c>
      <c r="D83" s="14">
        <f>关卡产出!D88</f>
        <v>31</v>
      </c>
      <c r="E83" s="14">
        <f>关卡产出!E88</f>
        <v>15</v>
      </c>
      <c r="F83" s="14">
        <f>关卡产出!F88</f>
        <v>870</v>
      </c>
      <c r="G83" s="38">
        <f t="shared" si="61"/>
        <v>32</v>
      </c>
      <c r="H83" s="38">
        <f t="shared" si="62"/>
        <v>16</v>
      </c>
      <c r="I83" s="38">
        <f t="shared" si="63"/>
        <v>8</v>
      </c>
      <c r="J83" s="38">
        <f t="shared" si="64"/>
        <v>1088</v>
      </c>
      <c r="K83" s="38">
        <f t="shared" ca="1" si="65"/>
        <v>1075</v>
      </c>
      <c r="R83" s="113" t="s">
        <v>253</v>
      </c>
      <c r="S83" s="14">
        <v>81</v>
      </c>
      <c r="T83" s="14">
        <f>关卡对比!AE87</f>
        <v>54</v>
      </c>
      <c r="U83" s="109">
        <f>关卡对比!AF87</f>
        <v>45</v>
      </c>
      <c r="V83" s="70">
        <f t="shared" si="57"/>
        <v>10</v>
      </c>
      <c r="W83" s="38">
        <f t="shared" si="58"/>
        <v>20</v>
      </c>
      <c r="X83" s="68">
        <f t="shared" si="59"/>
        <v>29</v>
      </c>
      <c r="Y83" s="70">
        <f t="shared" si="79"/>
        <v>8.6</v>
      </c>
      <c r="Z83" s="38">
        <f t="shared" si="66"/>
        <v>5.9</v>
      </c>
      <c r="AA83" s="68">
        <f t="shared" si="67"/>
        <v>5.4444444444444446</v>
      </c>
      <c r="AB83" s="70">
        <f t="shared" si="68"/>
        <v>7</v>
      </c>
      <c r="AC83" s="38">
        <f t="shared" si="69"/>
        <v>5</v>
      </c>
      <c r="AD83" s="38">
        <f t="shared" si="70"/>
        <v>2</v>
      </c>
      <c r="AE83" s="38">
        <f t="shared" ca="1" si="71"/>
        <v>320</v>
      </c>
      <c r="AF83" s="68">
        <f t="shared" si="60"/>
        <v>370</v>
      </c>
      <c r="AG83" s="70">
        <f t="shared" si="80"/>
        <v>7</v>
      </c>
      <c r="AH83" s="38">
        <f t="shared" si="81"/>
        <v>5</v>
      </c>
      <c r="AI83" s="38">
        <f t="shared" si="82"/>
        <v>2</v>
      </c>
      <c r="AJ83" s="38">
        <f t="shared" ca="1" si="72"/>
        <v>345</v>
      </c>
      <c r="AK83" s="68">
        <f t="shared" si="83"/>
        <v>570</v>
      </c>
      <c r="AL83" s="38">
        <f t="shared" si="84"/>
        <v>7</v>
      </c>
      <c r="AM83" s="38">
        <f t="shared" si="85"/>
        <v>5</v>
      </c>
      <c r="AN83" s="38">
        <f t="shared" si="86"/>
        <v>1</v>
      </c>
      <c r="AO83" s="38">
        <f t="shared" ca="1" si="73"/>
        <v>410</v>
      </c>
      <c r="AP83" s="68">
        <f t="shared" si="87"/>
        <v>700</v>
      </c>
      <c r="AQ83" s="38">
        <f t="shared" si="74"/>
        <v>21</v>
      </c>
      <c r="AR83" s="38">
        <f t="shared" si="75"/>
        <v>15</v>
      </c>
      <c r="AS83" s="38">
        <f t="shared" si="76"/>
        <v>5</v>
      </c>
      <c r="AT83" s="38">
        <f t="shared" ca="1" si="77"/>
        <v>1075</v>
      </c>
      <c r="AU83" s="68">
        <f t="shared" si="78"/>
        <v>1640</v>
      </c>
    </row>
    <row r="84" spans="1:47" x14ac:dyDescent="0.25">
      <c r="A84" s="86" t="s">
        <v>253</v>
      </c>
      <c r="B84" s="14">
        <v>82</v>
      </c>
      <c r="C84" s="14">
        <f>关卡产出!C89</f>
        <v>64</v>
      </c>
      <c r="D84" s="14">
        <f>关卡产出!D89</f>
        <v>32</v>
      </c>
      <c r="E84" s="14">
        <f>关卡产出!E89</f>
        <v>15</v>
      </c>
      <c r="F84" s="14">
        <f>关卡产出!F89</f>
        <v>870</v>
      </c>
      <c r="G84" s="38">
        <f t="shared" si="61"/>
        <v>32</v>
      </c>
      <c r="H84" s="38">
        <f t="shared" si="62"/>
        <v>16</v>
      </c>
      <c r="I84" s="38">
        <f t="shared" si="63"/>
        <v>8</v>
      </c>
      <c r="J84" s="38">
        <f t="shared" si="64"/>
        <v>1088</v>
      </c>
      <c r="K84" s="38">
        <f t="shared" ca="1" si="65"/>
        <v>1075</v>
      </c>
      <c r="R84" s="113" t="s">
        <v>253</v>
      </c>
      <c r="S84" s="14">
        <v>82</v>
      </c>
      <c r="T84" s="14">
        <f>关卡对比!AE88</f>
        <v>54</v>
      </c>
      <c r="U84" s="109">
        <f>关卡对比!AF88</f>
        <v>45</v>
      </c>
      <c r="V84" s="70">
        <f t="shared" si="57"/>
        <v>10</v>
      </c>
      <c r="W84" s="38">
        <f t="shared" si="58"/>
        <v>20</v>
      </c>
      <c r="X84" s="68">
        <f t="shared" si="59"/>
        <v>29</v>
      </c>
      <c r="Y84" s="70">
        <f t="shared" si="79"/>
        <v>8.6999999999999993</v>
      </c>
      <c r="Z84" s="38">
        <f t="shared" si="66"/>
        <v>5.9</v>
      </c>
      <c r="AA84" s="68">
        <f t="shared" si="67"/>
        <v>5.4444444444444446</v>
      </c>
      <c r="AB84" s="70">
        <f t="shared" si="68"/>
        <v>7</v>
      </c>
      <c r="AC84" s="38">
        <f t="shared" si="69"/>
        <v>5</v>
      </c>
      <c r="AD84" s="38">
        <f t="shared" si="70"/>
        <v>2</v>
      </c>
      <c r="AE84" s="38">
        <f t="shared" ca="1" si="71"/>
        <v>320</v>
      </c>
      <c r="AF84" s="68">
        <f t="shared" si="60"/>
        <v>370</v>
      </c>
      <c r="AG84" s="70">
        <f t="shared" si="80"/>
        <v>7</v>
      </c>
      <c r="AH84" s="38">
        <f t="shared" si="81"/>
        <v>5</v>
      </c>
      <c r="AI84" s="38">
        <f t="shared" si="82"/>
        <v>2</v>
      </c>
      <c r="AJ84" s="38">
        <f t="shared" ca="1" si="72"/>
        <v>345</v>
      </c>
      <c r="AK84" s="68">
        <f t="shared" si="83"/>
        <v>570</v>
      </c>
      <c r="AL84" s="38">
        <f t="shared" si="84"/>
        <v>7</v>
      </c>
      <c r="AM84" s="38">
        <f t="shared" si="85"/>
        <v>5</v>
      </c>
      <c r="AN84" s="38">
        <f t="shared" si="86"/>
        <v>1</v>
      </c>
      <c r="AO84" s="38">
        <f t="shared" ca="1" si="73"/>
        <v>410</v>
      </c>
      <c r="AP84" s="68">
        <f t="shared" si="87"/>
        <v>700</v>
      </c>
      <c r="AQ84" s="38">
        <f t="shared" si="74"/>
        <v>21</v>
      </c>
      <c r="AR84" s="38">
        <f t="shared" si="75"/>
        <v>15</v>
      </c>
      <c r="AS84" s="38">
        <f t="shared" si="76"/>
        <v>5</v>
      </c>
      <c r="AT84" s="38">
        <f t="shared" ca="1" si="77"/>
        <v>1075</v>
      </c>
      <c r="AU84" s="68">
        <f t="shared" si="78"/>
        <v>1640</v>
      </c>
    </row>
    <row r="85" spans="1:47" x14ac:dyDescent="0.25">
      <c r="A85" s="86" t="s">
        <v>253</v>
      </c>
      <c r="B85" s="14">
        <v>83</v>
      </c>
      <c r="C85" s="14">
        <f>关卡产出!C90</f>
        <v>65</v>
      </c>
      <c r="D85" s="14">
        <f>关卡产出!D90</f>
        <v>32</v>
      </c>
      <c r="E85" s="14">
        <f>关卡产出!E90</f>
        <v>16</v>
      </c>
      <c r="F85" s="14">
        <f>关卡产出!F90</f>
        <v>890</v>
      </c>
      <c r="G85" s="38">
        <f t="shared" si="61"/>
        <v>33</v>
      </c>
      <c r="H85" s="38">
        <f t="shared" si="62"/>
        <v>16</v>
      </c>
      <c r="I85" s="38">
        <f t="shared" si="63"/>
        <v>8</v>
      </c>
      <c r="J85" s="38">
        <f t="shared" si="64"/>
        <v>1113</v>
      </c>
      <c r="K85" s="38">
        <f t="shared" ca="1" si="65"/>
        <v>1120</v>
      </c>
      <c r="R85" s="113" t="s">
        <v>253</v>
      </c>
      <c r="S85" s="14">
        <v>83</v>
      </c>
      <c r="T85" s="14">
        <f>关卡对比!AE89</f>
        <v>55</v>
      </c>
      <c r="U85" s="109">
        <f>关卡对比!AF89</f>
        <v>46</v>
      </c>
      <c r="V85" s="70">
        <f t="shared" si="57"/>
        <v>10</v>
      </c>
      <c r="W85" s="38">
        <f t="shared" si="58"/>
        <v>20</v>
      </c>
      <c r="X85" s="68">
        <f t="shared" si="59"/>
        <v>29</v>
      </c>
      <c r="Y85" s="70">
        <f t="shared" si="79"/>
        <v>8.8000000000000007</v>
      </c>
      <c r="Z85" s="38">
        <f t="shared" si="66"/>
        <v>6</v>
      </c>
      <c r="AA85" s="68">
        <f t="shared" si="67"/>
        <v>5.5555555555555554</v>
      </c>
      <c r="AB85" s="70">
        <f t="shared" si="68"/>
        <v>7</v>
      </c>
      <c r="AC85" s="38">
        <f t="shared" si="69"/>
        <v>5</v>
      </c>
      <c r="AD85" s="38">
        <f t="shared" si="70"/>
        <v>2</v>
      </c>
      <c r="AE85" s="38">
        <f t="shared" ca="1" si="71"/>
        <v>320</v>
      </c>
      <c r="AF85" s="68">
        <f t="shared" si="60"/>
        <v>370</v>
      </c>
      <c r="AG85" s="70">
        <f t="shared" si="80"/>
        <v>7</v>
      </c>
      <c r="AH85" s="38">
        <f t="shared" si="81"/>
        <v>5</v>
      </c>
      <c r="AI85" s="38">
        <f t="shared" si="82"/>
        <v>2</v>
      </c>
      <c r="AJ85" s="38">
        <f t="shared" ca="1" si="72"/>
        <v>390</v>
      </c>
      <c r="AK85" s="68">
        <f t="shared" si="83"/>
        <v>570</v>
      </c>
      <c r="AL85" s="38">
        <f t="shared" si="84"/>
        <v>7</v>
      </c>
      <c r="AM85" s="38">
        <f t="shared" si="85"/>
        <v>5</v>
      </c>
      <c r="AN85" s="38">
        <f t="shared" si="86"/>
        <v>1</v>
      </c>
      <c r="AO85" s="38">
        <f t="shared" ca="1" si="73"/>
        <v>410</v>
      </c>
      <c r="AP85" s="68">
        <f t="shared" si="87"/>
        <v>700</v>
      </c>
      <c r="AQ85" s="38">
        <f t="shared" si="74"/>
        <v>21</v>
      </c>
      <c r="AR85" s="38">
        <f t="shared" si="75"/>
        <v>15</v>
      </c>
      <c r="AS85" s="38">
        <f t="shared" si="76"/>
        <v>5</v>
      </c>
      <c r="AT85" s="38">
        <f t="shared" ca="1" si="77"/>
        <v>1120</v>
      </c>
      <c r="AU85" s="68">
        <f t="shared" si="78"/>
        <v>1640</v>
      </c>
    </row>
    <row r="86" spans="1:47" x14ac:dyDescent="0.25">
      <c r="A86" s="86" t="s">
        <v>253</v>
      </c>
      <c r="B86" s="14">
        <v>84</v>
      </c>
      <c r="C86" s="14">
        <f>关卡产出!C91</f>
        <v>66</v>
      </c>
      <c r="D86" s="14">
        <f>关卡产出!D91</f>
        <v>33</v>
      </c>
      <c r="E86" s="14">
        <f>关卡产出!E91</f>
        <v>16</v>
      </c>
      <c r="F86" s="14">
        <f>关卡产出!F91</f>
        <v>890</v>
      </c>
      <c r="G86" s="38">
        <f t="shared" si="61"/>
        <v>33</v>
      </c>
      <c r="H86" s="38">
        <f t="shared" si="62"/>
        <v>17</v>
      </c>
      <c r="I86" s="38">
        <f t="shared" si="63"/>
        <v>8</v>
      </c>
      <c r="J86" s="38">
        <f t="shared" si="64"/>
        <v>1113</v>
      </c>
      <c r="K86" s="38">
        <f t="shared" ca="1" si="65"/>
        <v>1120</v>
      </c>
      <c r="R86" s="113" t="s">
        <v>253</v>
      </c>
      <c r="S86" s="14">
        <v>84</v>
      </c>
      <c r="T86" s="14">
        <f>关卡对比!AE90</f>
        <v>55</v>
      </c>
      <c r="U86" s="109">
        <f>关卡对比!AF90</f>
        <v>46</v>
      </c>
      <c r="V86" s="70">
        <f t="shared" si="57"/>
        <v>10</v>
      </c>
      <c r="W86" s="38">
        <f t="shared" si="58"/>
        <v>20</v>
      </c>
      <c r="X86" s="68">
        <f t="shared" si="59"/>
        <v>29</v>
      </c>
      <c r="Y86" s="70">
        <f t="shared" si="79"/>
        <v>8.9</v>
      </c>
      <c r="Z86" s="38">
        <f t="shared" si="66"/>
        <v>6</v>
      </c>
      <c r="AA86" s="68">
        <f t="shared" si="67"/>
        <v>5.5555555555555554</v>
      </c>
      <c r="AB86" s="70">
        <f t="shared" si="68"/>
        <v>7</v>
      </c>
      <c r="AC86" s="38">
        <f t="shared" si="69"/>
        <v>5</v>
      </c>
      <c r="AD86" s="38">
        <f t="shared" si="70"/>
        <v>2</v>
      </c>
      <c r="AE86" s="38">
        <f t="shared" ca="1" si="71"/>
        <v>320</v>
      </c>
      <c r="AF86" s="68">
        <f t="shared" si="60"/>
        <v>370</v>
      </c>
      <c r="AG86" s="70">
        <f t="shared" si="80"/>
        <v>7</v>
      </c>
      <c r="AH86" s="38">
        <f t="shared" si="81"/>
        <v>5</v>
      </c>
      <c r="AI86" s="38">
        <f t="shared" si="82"/>
        <v>2</v>
      </c>
      <c r="AJ86" s="38">
        <f t="shared" ca="1" si="72"/>
        <v>390</v>
      </c>
      <c r="AK86" s="68">
        <f t="shared" si="83"/>
        <v>570</v>
      </c>
      <c r="AL86" s="38">
        <f t="shared" si="84"/>
        <v>7</v>
      </c>
      <c r="AM86" s="38">
        <f t="shared" si="85"/>
        <v>5</v>
      </c>
      <c r="AN86" s="38">
        <f t="shared" si="86"/>
        <v>1</v>
      </c>
      <c r="AO86" s="38">
        <f t="shared" ca="1" si="73"/>
        <v>410</v>
      </c>
      <c r="AP86" s="68">
        <f t="shared" si="87"/>
        <v>700</v>
      </c>
      <c r="AQ86" s="38">
        <f t="shared" si="74"/>
        <v>21</v>
      </c>
      <c r="AR86" s="38">
        <f t="shared" si="75"/>
        <v>15</v>
      </c>
      <c r="AS86" s="38">
        <f t="shared" si="76"/>
        <v>5</v>
      </c>
      <c r="AT86" s="38">
        <f t="shared" ca="1" si="77"/>
        <v>1120</v>
      </c>
      <c r="AU86" s="68">
        <f t="shared" si="78"/>
        <v>1640</v>
      </c>
    </row>
    <row r="87" spans="1:47" x14ac:dyDescent="0.25">
      <c r="A87" s="86" t="s">
        <v>253</v>
      </c>
      <c r="B87" s="14">
        <v>85</v>
      </c>
      <c r="C87" s="14">
        <f>关卡产出!C92</f>
        <v>66</v>
      </c>
      <c r="D87" s="14">
        <f>关卡产出!D92</f>
        <v>33</v>
      </c>
      <c r="E87" s="14">
        <f>关卡产出!E92</f>
        <v>16</v>
      </c>
      <c r="F87" s="14">
        <f>关卡产出!F92</f>
        <v>910</v>
      </c>
      <c r="G87" s="38">
        <f t="shared" si="61"/>
        <v>33</v>
      </c>
      <c r="H87" s="38">
        <f t="shared" si="62"/>
        <v>17</v>
      </c>
      <c r="I87" s="38">
        <f t="shared" si="63"/>
        <v>8</v>
      </c>
      <c r="J87" s="38">
        <f t="shared" si="64"/>
        <v>1138</v>
      </c>
      <c r="K87" s="38">
        <f t="shared" ca="1" si="65"/>
        <v>1145</v>
      </c>
      <c r="R87" s="113" t="s">
        <v>253</v>
      </c>
      <c r="S87" s="14">
        <v>85</v>
      </c>
      <c r="T87" s="14">
        <f>关卡对比!AE91</f>
        <v>56</v>
      </c>
      <c r="U87" s="109">
        <f>关卡对比!AF91</f>
        <v>46</v>
      </c>
      <c r="V87" s="70">
        <f t="shared" si="57"/>
        <v>10</v>
      </c>
      <c r="W87" s="38">
        <f t="shared" si="58"/>
        <v>20</v>
      </c>
      <c r="X87" s="68">
        <f t="shared" si="59"/>
        <v>29</v>
      </c>
      <c r="Y87" s="70">
        <f t="shared" si="79"/>
        <v>9</v>
      </c>
      <c r="Z87" s="38">
        <f t="shared" si="66"/>
        <v>6.1</v>
      </c>
      <c r="AA87" s="68">
        <f t="shared" si="67"/>
        <v>5.5555555555555554</v>
      </c>
      <c r="AB87" s="70">
        <f t="shared" si="68"/>
        <v>7</v>
      </c>
      <c r="AC87" s="38">
        <f t="shared" si="69"/>
        <v>5</v>
      </c>
      <c r="AD87" s="38">
        <f t="shared" si="70"/>
        <v>2</v>
      </c>
      <c r="AE87" s="38">
        <f t="shared" ca="1" si="71"/>
        <v>345</v>
      </c>
      <c r="AF87" s="68">
        <f t="shared" si="60"/>
        <v>370</v>
      </c>
      <c r="AG87" s="70">
        <f t="shared" si="80"/>
        <v>7</v>
      </c>
      <c r="AH87" s="38">
        <f t="shared" si="81"/>
        <v>5</v>
      </c>
      <c r="AI87" s="38">
        <f t="shared" si="82"/>
        <v>2</v>
      </c>
      <c r="AJ87" s="38">
        <f t="shared" ca="1" si="72"/>
        <v>390</v>
      </c>
      <c r="AK87" s="68">
        <f t="shared" si="83"/>
        <v>570</v>
      </c>
      <c r="AL87" s="38">
        <f t="shared" si="84"/>
        <v>7</v>
      </c>
      <c r="AM87" s="38">
        <f t="shared" si="85"/>
        <v>5</v>
      </c>
      <c r="AN87" s="38">
        <f t="shared" si="86"/>
        <v>1</v>
      </c>
      <c r="AO87" s="38">
        <f t="shared" ca="1" si="73"/>
        <v>410</v>
      </c>
      <c r="AP87" s="68">
        <f t="shared" si="87"/>
        <v>700</v>
      </c>
      <c r="AQ87" s="38">
        <f t="shared" si="74"/>
        <v>21</v>
      </c>
      <c r="AR87" s="38">
        <f t="shared" si="75"/>
        <v>15</v>
      </c>
      <c r="AS87" s="38">
        <f t="shared" si="76"/>
        <v>5</v>
      </c>
      <c r="AT87" s="38">
        <f t="shared" ca="1" si="77"/>
        <v>1145</v>
      </c>
      <c r="AU87" s="68">
        <f t="shared" si="78"/>
        <v>1640</v>
      </c>
    </row>
    <row r="88" spans="1:47" x14ac:dyDescent="0.25">
      <c r="A88" s="86" t="s">
        <v>253</v>
      </c>
      <c r="B88" s="14">
        <v>86</v>
      </c>
      <c r="C88" s="14">
        <f>关卡产出!C93</f>
        <v>67</v>
      </c>
      <c r="D88" s="14">
        <f>关卡产出!D93</f>
        <v>33</v>
      </c>
      <c r="E88" s="14">
        <f>关卡产出!E93</f>
        <v>16</v>
      </c>
      <c r="F88" s="14">
        <f>关卡产出!F93</f>
        <v>910</v>
      </c>
      <c r="G88" s="38">
        <f t="shared" si="61"/>
        <v>34</v>
      </c>
      <c r="H88" s="38">
        <f t="shared" si="62"/>
        <v>17</v>
      </c>
      <c r="I88" s="38">
        <f t="shared" si="63"/>
        <v>8</v>
      </c>
      <c r="J88" s="38">
        <f t="shared" si="64"/>
        <v>1138</v>
      </c>
      <c r="K88" s="38">
        <f t="shared" ca="1" si="65"/>
        <v>1145</v>
      </c>
      <c r="R88" s="113" t="s">
        <v>253</v>
      </c>
      <c r="S88" s="14">
        <v>86</v>
      </c>
      <c r="T88" s="14">
        <f>关卡对比!AE92</f>
        <v>56</v>
      </c>
      <c r="U88" s="109">
        <f>关卡对比!AF92</f>
        <v>47</v>
      </c>
      <c r="V88" s="70">
        <f t="shared" si="57"/>
        <v>10</v>
      </c>
      <c r="W88" s="38">
        <f t="shared" si="58"/>
        <v>20</v>
      </c>
      <c r="X88" s="68">
        <f t="shared" si="59"/>
        <v>29</v>
      </c>
      <c r="Y88" s="70">
        <f t="shared" si="79"/>
        <v>9.1</v>
      </c>
      <c r="Z88" s="38">
        <f t="shared" si="66"/>
        <v>6.1</v>
      </c>
      <c r="AA88" s="68">
        <f t="shared" si="67"/>
        <v>5.666666666666667</v>
      </c>
      <c r="AB88" s="70">
        <f t="shared" si="68"/>
        <v>7</v>
      </c>
      <c r="AC88" s="38">
        <f t="shared" si="69"/>
        <v>5</v>
      </c>
      <c r="AD88" s="38">
        <f t="shared" si="70"/>
        <v>2</v>
      </c>
      <c r="AE88" s="38">
        <f t="shared" ca="1" si="71"/>
        <v>345</v>
      </c>
      <c r="AF88" s="68">
        <f t="shared" si="60"/>
        <v>370</v>
      </c>
      <c r="AG88" s="70">
        <f t="shared" si="80"/>
        <v>7</v>
      </c>
      <c r="AH88" s="38">
        <f t="shared" si="81"/>
        <v>5</v>
      </c>
      <c r="AI88" s="38">
        <f t="shared" si="82"/>
        <v>2</v>
      </c>
      <c r="AJ88" s="38">
        <f t="shared" ca="1" si="72"/>
        <v>390</v>
      </c>
      <c r="AK88" s="68">
        <f t="shared" si="83"/>
        <v>570</v>
      </c>
      <c r="AL88" s="38">
        <f t="shared" si="84"/>
        <v>7</v>
      </c>
      <c r="AM88" s="38">
        <f t="shared" si="85"/>
        <v>5</v>
      </c>
      <c r="AN88" s="38">
        <f t="shared" si="86"/>
        <v>1</v>
      </c>
      <c r="AO88" s="38">
        <f t="shared" ca="1" si="73"/>
        <v>410</v>
      </c>
      <c r="AP88" s="68">
        <f t="shared" si="87"/>
        <v>700</v>
      </c>
      <c r="AQ88" s="38">
        <f t="shared" si="74"/>
        <v>21</v>
      </c>
      <c r="AR88" s="38">
        <f t="shared" si="75"/>
        <v>15</v>
      </c>
      <c r="AS88" s="38">
        <f t="shared" si="76"/>
        <v>5</v>
      </c>
      <c r="AT88" s="38">
        <f t="shared" ca="1" si="77"/>
        <v>1145</v>
      </c>
      <c r="AU88" s="68">
        <f t="shared" si="78"/>
        <v>1640</v>
      </c>
    </row>
    <row r="89" spans="1:47" x14ac:dyDescent="0.25">
      <c r="A89" s="86" t="s">
        <v>253</v>
      </c>
      <c r="B89" s="14">
        <v>87</v>
      </c>
      <c r="C89" s="14">
        <f>关卡产出!C94</f>
        <v>68</v>
      </c>
      <c r="D89" s="14">
        <f>关卡产出!D94</f>
        <v>34</v>
      </c>
      <c r="E89" s="14">
        <f>关卡产出!E94</f>
        <v>16</v>
      </c>
      <c r="F89" s="14">
        <f>关卡产出!F94</f>
        <v>930</v>
      </c>
      <c r="G89" s="38">
        <f t="shared" si="61"/>
        <v>34</v>
      </c>
      <c r="H89" s="38">
        <f t="shared" si="62"/>
        <v>17</v>
      </c>
      <c r="I89" s="38">
        <f t="shared" si="63"/>
        <v>8</v>
      </c>
      <c r="J89" s="38">
        <f t="shared" si="64"/>
        <v>1163</v>
      </c>
      <c r="K89" s="38">
        <f t="shared" ca="1" si="65"/>
        <v>1145</v>
      </c>
      <c r="R89" s="113" t="s">
        <v>253</v>
      </c>
      <c r="S89" s="14">
        <v>87</v>
      </c>
      <c r="T89" s="14">
        <f>关卡对比!AE93</f>
        <v>57</v>
      </c>
      <c r="U89" s="109">
        <f>关卡对比!AF93</f>
        <v>47</v>
      </c>
      <c r="V89" s="70">
        <f t="shared" si="57"/>
        <v>10</v>
      </c>
      <c r="W89" s="38">
        <f t="shared" si="58"/>
        <v>20</v>
      </c>
      <c r="X89" s="68">
        <f t="shared" si="59"/>
        <v>29</v>
      </c>
      <c r="Y89" s="70">
        <f t="shared" si="79"/>
        <v>9.1999999999999993</v>
      </c>
      <c r="Z89" s="38">
        <f t="shared" si="66"/>
        <v>6.2</v>
      </c>
      <c r="AA89" s="68">
        <f t="shared" si="67"/>
        <v>5.666666666666667</v>
      </c>
      <c r="AB89" s="70">
        <f t="shared" si="68"/>
        <v>7</v>
      </c>
      <c r="AC89" s="38">
        <f t="shared" si="69"/>
        <v>5</v>
      </c>
      <c r="AD89" s="38">
        <f t="shared" si="70"/>
        <v>2</v>
      </c>
      <c r="AE89" s="38">
        <f t="shared" ca="1" si="71"/>
        <v>345</v>
      </c>
      <c r="AF89" s="68">
        <f t="shared" si="60"/>
        <v>370</v>
      </c>
      <c r="AG89" s="70">
        <f t="shared" si="80"/>
        <v>7</v>
      </c>
      <c r="AH89" s="38">
        <f t="shared" si="81"/>
        <v>5</v>
      </c>
      <c r="AI89" s="38">
        <f t="shared" si="82"/>
        <v>2</v>
      </c>
      <c r="AJ89" s="38">
        <f t="shared" ca="1" si="72"/>
        <v>390</v>
      </c>
      <c r="AK89" s="68">
        <f t="shared" si="83"/>
        <v>570</v>
      </c>
      <c r="AL89" s="38">
        <f t="shared" si="84"/>
        <v>7</v>
      </c>
      <c r="AM89" s="38">
        <f t="shared" si="85"/>
        <v>5</v>
      </c>
      <c r="AN89" s="38">
        <f t="shared" si="86"/>
        <v>1</v>
      </c>
      <c r="AO89" s="38">
        <f t="shared" ca="1" si="73"/>
        <v>410</v>
      </c>
      <c r="AP89" s="68">
        <f t="shared" si="87"/>
        <v>700</v>
      </c>
      <c r="AQ89" s="38">
        <f t="shared" si="74"/>
        <v>21</v>
      </c>
      <c r="AR89" s="38">
        <f t="shared" si="75"/>
        <v>15</v>
      </c>
      <c r="AS89" s="38">
        <f t="shared" si="76"/>
        <v>5</v>
      </c>
      <c r="AT89" s="38">
        <f t="shared" ca="1" si="77"/>
        <v>1145</v>
      </c>
      <c r="AU89" s="68">
        <f t="shared" si="78"/>
        <v>1640</v>
      </c>
    </row>
    <row r="90" spans="1:47" x14ac:dyDescent="0.25">
      <c r="A90" s="86" t="s">
        <v>253</v>
      </c>
      <c r="B90" s="14">
        <v>88</v>
      </c>
      <c r="C90" s="14">
        <f>关卡产出!C95</f>
        <v>69</v>
      </c>
      <c r="D90" s="14">
        <f>关卡产出!D95</f>
        <v>34</v>
      </c>
      <c r="E90" s="14">
        <f>关卡产出!E95</f>
        <v>17</v>
      </c>
      <c r="F90" s="14">
        <f>关卡产出!F95</f>
        <v>930</v>
      </c>
      <c r="G90" s="38">
        <f t="shared" si="61"/>
        <v>35</v>
      </c>
      <c r="H90" s="38">
        <f t="shared" si="62"/>
        <v>17</v>
      </c>
      <c r="I90" s="38">
        <f t="shared" si="63"/>
        <v>9</v>
      </c>
      <c r="J90" s="38">
        <f t="shared" si="64"/>
        <v>1163</v>
      </c>
      <c r="K90" s="38">
        <f t="shared" ca="1" si="65"/>
        <v>1145</v>
      </c>
      <c r="R90" s="113" t="s">
        <v>253</v>
      </c>
      <c r="S90" s="14">
        <v>88</v>
      </c>
      <c r="T90" s="14">
        <f>关卡对比!AE94</f>
        <v>57</v>
      </c>
      <c r="U90" s="109">
        <f>关卡对比!AF94</f>
        <v>47</v>
      </c>
      <c r="V90" s="70">
        <f t="shared" si="57"/>
        <v>10</v>
      </c>
      <c r="W90" s="38">
        <f t="shared" si="58"/>
        <v>20</v>
      </c>
      <c r="X90" s="68">
        <f t="shared" si="59"/>
        <v>29</v>
      </c>
      <c r="Y90" s="70">
        <f t="shared" si="79"/>
        <v>9.3000000000000007</v>
      </c>
      <c r="Z90" s="38">
        <f t="shared" si="66"/>
        <v>6.2</v>
      </c>
      <c r="AA90" s="68">
        <f t="shared" si="67"/>
        <v>5.666666666666667</v>
      </c>
      <c r="AB90" s="70">
        <f t="shared" si="68"/>
        <v>7</v>
      </c>
      <c r="AC90" s="38">
        <f t="shared" si="69"/>
        <v>5</v>
      </c>
      <c r="AD90" s="38">
        <f t="shared" si="70"/>
        <v>2</v>
      </c>
      <c r="AE90" s="38">
        <f t="shared" ca="1" si="71"/>
        <v>345</v>
      </c>
      <c r="AF90" s="68">
        <f t="shared" si="60"/>
        <v>370</v>
      </c>
      <c r="AG90" s="70">
        <f t="shared" si="80"/>
        <v>7</v>
      </c>
      <c r="AH90" s="38">
        <f t="shared" si="81"/>
        <v>5</v>
      </c>
      <c r="AI90" s="38">
        <f t="shared" si="82"/>
        <v>2</v>
      </c>
      <c r="AJ90" s="38">
        <f t="shared" ca="1" si="72"/>
        <v>390</v>
      </c>
      <c r="AK90" s="68">
        <f t="shared" si="83"/>
        <v>570</v>
      </c>
      <c r="AL90" s="38">
        <f t="shared" si="84"/>
        <v>7</v>
      </c>
      <c r="AM90" s="38">
        <f t="shared" si="85"/>
        <v>5</v>
      </c>
      <c r="AN90" s="38">
        <f t="shared" si="86"/>
        <v>1</v>
      </c>
      <c r="AO90" s="38">
        <f t="shared" ca="1" si="73"/>
        <v>410</v>
      </c>
      <c r="AP90" s="68">
        <f t="shared" si="87"/>
        <v>700</v>
      </c>
      <c r="AQ90" s="38">
        <f t="shared" si="74"/>
        <v>21</v>
      </c>
      <c r="AR90" s="38">
        <f t="shared" si="75"/>
        <v>15</v>
      </c>
      <c r="AS90" s="38">
        <f t="shared" si="76"/>
        <v>5</v>
      </c>
      <c r="AT90" s="38">
        <f t="shared" ca="1" si="77"/>
        <v>1145</v>
      </c>
      <c r="AU90" s="68">
        <f t="shared" si="78"/>
        <v>1640</v>
      </c>
    </row>
    <row r="91" spans="1:47" x14ac:dyDescent="0.25">
      <c r="A91" s="86" t="s">
        <v>253</v>
      </c>
      <c r="B91" s="14">
        <v>89</v>
      </c>
      <c r="C91" s="14">
        <f>关卡产出!C96</f>
        <v>70</v>
      </c>
      <c r="D91" s="14">
        <f>关卡产出!D96</f>
        <v>35</v>
      </c>
      <c r="E91" s="14">
        <f>关卡产出!E96</f>
        <v>17</v>
      </c>
      <c r="F91" s="14">
        <f>关卡产出!F96</f>
        <v>950</v>
      </c>
      <c r="G91" s="38">
        <f t="shared" si="61"/>
        <v>35</v>
      </c>
      <c r="H91" s="38">
        <f t="shared" si="62"/>
        <v>18</v>
      </c>
      <c r="I91" s="38">
        <f t="shared" si="63"/>
        <v>9</v>
      </c>
      <c r="J91" s="38">
        <f t="shared" si="64"/>
        <v>1188</v>
      </c>
      <c r="K91" s="38">
        <f t="shared" ca="1" si="65"/>
        <v>1145</v>
      </c>
      <c r="R91" s="113" t="s">
        <v>253</v>
      </c>
      <c r="S91" s="14">
        <v>89</v>
      </c>
      <c r="T91" s="14">
        <f>关卡对比!AE95</f>
        <v>58</v>
      </c>
      <c r="U91" s="109">
        <f>关卡对比!AF95</f>
        <v>48</v>
      </c>
      <c r="V91" s="70">
        <f t="shared" si="57"/>
        <v>10</v>
      </c>
      <c r="W91" s="38">
        <f t="shared" si="58"/>
        <v>20</v>
      </c>
      <c r="X91" s="68">
        <f t="shared" si="59"/>
        <v>29</v>
      </c>
      <c r="Y91" s="70">
        <f t="shared" si="79"/>
        <v>9.4</v>
      </c>
      <c r="Z91" s="38">
        <f t="shared" si="66"/>
        <v>6.3</v>
      </c>
      <c r="AA91" s="68">
        <f t="shared" si="67"/>
        <v>5.7777777777777777</v>
      </c>
      <c r="AB91" s="70">
        <f t="shared" si="68"/>
        <v>7</v>
      </c>
      <c r="AC91" s="38">
        <f t="shared" si="69"/>
        <v>5</v>
      </c>
      <c r="AD91" s="38">
        <f t="shared" si="70"/>
        <v>2</v>
      </c>
      <c r="AE91" s="38">
        <f t="shared" ca="1" si="71"/>
        <v>345</v>
      </c>
      <c r="AF91" s="68">
        <f t="shared" si="60"/>
        <v>370</v>
      </c>
      <c r="AG91" s="70">
        <f t="shared" si="80"/>
        <v>7</v>
      </c>
      <c r="AH91" s="38">
        <f t="shared" si="81"/>
        <v>5</v>
      </c>
      <c r="AI91" s="38">
        <f t="shared" si="82"/>
        <v>2</v>
      </c>
      <c r="AJ91" s="38">
        <f t="shared" ca="1" si="72"/>
        <v>390</v>
      </c>
      <c r="AK91" s="68">
        <f t="shared" si="83"/>
        <v>570</v>
      </c>
      <c r="AL91" s="38">
        <f t="shared" si="84"/>
        <v>7</v>
      </c>
      <c r="AM91" s="38">
        <f t="shared" si="85"/>
        <v>5</v>
      </c>
      <c r="AN91" s="38">
        <f t="shared" si="86"/>
        <v>1</v>
      </c>
      <c r="AO91" s="38">
        <f t="shared" ca="1" si="73"/>
        <v>410</v>
      </c>
      <c r="AP91" s="68">
        <f t="shared" si="87"/>
        <v>700</v>
      </c>
      <c r="AQ91" s="38">
        <f t="shared" si="74"/>
        <v>21</v>
      </c>
      <c r="AR91" s="38">
        <f t="shared" si="75"/>
        <v>15</v>
      </c>
      <c r="AS91" s="38">
        <f t="shared" si="76"/>
        <v>5</v>
      </c>
      <c r="AT91" s="38">
        <f t="shared" ca="1" si="77"/>
        <v>1145</v>
      </c>
      <c r="AU91" s="68">
        <f t="shared" si="78"/>
        <v>1640</v>
      </c>
    </row>
    <row r="92" spans="1:47" x14ac:dyDescent="0.25">
      <c r="A92" s="86" t="s">
        <v>253</v>
      </c>
      <c r="B92" s="14">
        <v>90</v>
      </c>
      <c r="C92" s="14">
        <f>关卡产出!C97</f>
        <v>70</v>
      </c>
      <c r="D92" s="14">
        <f>关卡产出!D97</f>
        <v>35</v>
      </c>
      <c r="E92" s="14">
        <f>关卡产出!E97</f>
        <v>17</v>
      </c>
      <c r="F92" s="14">
        <f>关卡产出!F97</f>
        <v>950</v>
      </c>
      <c r="G92" s="38">
        <f t="shared" si="61"/>
        <v>35</v>
      </c>
      <c r="H92" s="38">
        <f t="shared" si="62"/>
        <v>18</v>
      </c>
      <c r="I92" s="38">
        <f t="shared" si="63"/>
        <v>9</v>
      </c>
      <c r="J92" s="38">
        <f t="shared" si="64"/>
        <v>1188</v>
      </c>
      <c r="K92" s="38">
        <f t="shared" ca="1" si="65"/>
        <v>1145</v>
      </c>
      <c r="R92" s="113" t="s">
        <v>253</v>
      </c>
      <c r="S92" s="14">
        <v>90</v>
      </c>
      <c r="T92" s="14">
        <f>关卡对比!AE96</f>
        <v>58</v>
      </c>
      <c r="U92" s="109">
        <f>关卡对比!AF96</f>
        <v>48</v>
      </c>
      <c r="V92" s="70">
        <f t="shared" si="57"/>
        <v>10</v>
      </c>
      <c r="W92" s="38">
        <f t="shared" si="58"/>
        <v>20</v>
      </c>
      <c r="X92" s="68">
        <f t="shared" si="59"/>
        <v>29</v>
      </c>
      <c r="Y92" s="70">
        <f t="shared" si="79"/>
        <v>9.5</v>
      </c>
      <c r="Z92" s="38">
        <f t="shared" si="66"/>
        <v>6.3</v>
      </c>
      <c r="AA92" s="68">
        <f t="shared" si="67"/>
        <v>5.7777777777777777</v>
      </c>
      <c r="AB92" s="70">
        <f t="shared" si="68"/>
        <v>7</v>
      </c>
      <c r="AC92" s="38">
        <f t="shared" si="69"/>
        <v>5</v>
      </c>
      <c r="AD92" s="38">
        <f t="shared" si="70"/>
        <v>2</v>
      </c>
      <c r="AE92" s="38">
        <f t="shared" ca="1" si="71"/>
        <v>345</v>
      </c>
      <c r="AF92" s="68">
        <f t="shared" si="60"/>
        <v>370</v>
      </c>
      <c r="AG92" s="70">
        <f t="shared" si="80"/>
        <v>7</v>
      </c>
      <c r="AH92" s="38">
        <f t="shared" si="81"/>
        <v>5</v>
      </c>
      <c r="AI92" s="38">
        <f t="shared" si="82"/>
        <v>2</v>
      </c>
      <c r="AJ92" s="38">
        <f t="shared" ca="1" si="72"/>
        <v>390</v>
      </c>
      <c r="AK92" s="68">
        <f t="shared" si="83"/>
        <v>570</v>
      </c>
      <c r="AL92" s="38">
        <f t="shared" si="84"/>
        <v>7</v>
      </c>
      <c r="AM92" s="38">
        <f t="shared" si="85"/>
        <v>5</v>
      </c>
      <c r="AN92" s="38">
        <f t="shared" si="86"/>
        <v>1</v>
      </c>
      <c r="AO92" s="38">
        <f t="shared" ca="1" si="73"/>
        <v>410</v>
      </c>
      <c r="AP92" s="68">
        <f t="shared" si="87"/>
        <v>700</v>
      </c>
      <c r="AQ92" s="38">
        <f t="shared" si="74"/>
        <v>21</v>
      </c>
      <c r="AR92" s="38">
        <f t="shared" si="75"/>
        <v>15</v>
      </c>
      <c r="AS92" s="38">
        <f t="shared" si="76"/>
        <v>5</v>
      </c>
      <c r="AT92" s="38">
        <f t="shared" ca="1" si="77"/>
        <v>1145</v>
      </c>
      <c r="AU92" s="68">
        <f t="shared" si="78"/>
        <v>1640</v>
      </c>
    </row>
    <row r="93" spans="1:47" x14ac:dyDescent="0.25">
      <c r="A93" s="86" t="s">
        <v>253</v>
      </c>
      <c r="B93" s="14">
        <v>91</v>
      </c>
      <c r="C93" s="14">
        <f>关卡产出!C98</f>
        <v>71</v>
      </c>
      <c r="D93" s="14">
        <f>关卡产出!D98</f>
        <v>35</v>
      </c>
      <c r="E93" s="14">
        <f>关卡产出!E98</f>
        <v>17</v>
      </c>
      <c r="F93" s="14">
        <f>关卡产出!F98</f>
        <v>970</v>
      </c>
      <c r="G93" s="38">
        <f t="shared" si="61"/>
        <v>36</v>
      </c>
      <c r="H93" s="38">
        <f t="shared" si="62"/>
        <v>18</v>
      </c>
      <c r="I93" s="38">
        <f t="shared" si="63"/>
        <v>9</v>
      </c>
      <c r="J93" s="38">
        <f t="shared" si="64"/>
        <v>1213</v>
      </c>
      <c r="K93" s="38">
        <f t="shared" ca="1" si="65"/>
        <v>1145</v>
      </c>
      <c r="R93" s="113" t="s">
        <v>253</v>
      </c>
      <c r="S93" s="14">
        <v>91</v>
      </c>
      <c r="T93" s="14">
        <f>关卡对比!AE97</f>
        <v>59</v>
      </c>
      <c r="U93" s="109">
        <f>关卡对比!AF97</f>
        <v>48</v>
      </c>
      <c r="V93" s="70">
        <f t="shared" si="57"/>
        <v>10</v>
      </c>
      <c r="W93" s="38">
        <f t="shared" si="58"/>
        <v>20</v>
      </c>
      <c r="X93" s="68">
        <f t="shared" si="59"/>
        <v>29</v>
      </c>
      <c r="Y93" s="70">
        <f t="shared" si="79"/>
        <v>9.6</v>
      </c>
      <c r="Z93" s="38">
        <f t="shared" si="66"/>
        <v>6.4</v>
      </c>
      <c r="AA93" s="68">
        <f t="shared" si="67"/>
        <v>5.7777777777777777</v>
      </c>
      <c r="AB93" s="70">
        <f t="shared" si="68"/>
        <v>7</v>
      </c>
      <c r="AC93" s="38">
        <f t="shared" si="69"/>
        <v>5</v>
      </c>
      <c r="AD93" s="38">
        <f t="shared" si="70"/>
        <v>2</v>
      </c>
      <c r="AE93" s="38">
        <f t="shared" ca="1" si="71"/>
        <v>345</v>
      </c>
      <c r="AF93" s="68">
        <f t="shared" si="60"/>
        <v>370</v>
      </c>
      <c r="AG93" s="70">
        <f t="shared" si="80"/>
        <v>7</v>
      </c>
      <c r="AH93" s="38">
        <f t="shared" si="81"/>
        <v>5</v>
      </c>
      <c r="AI93" s="38">
        <f t="shared" si="82"/>
        <v>2</v>
      </c>
      <c r="AJ93" s="38">
        <f t="shared" ca="1" si="72"/>
        <v>390</v>
      </c>
      <c r="AK93" s="68">
        <f t="shared" si="83"/>
        <v>570</v>
      </c>
      <c r="AL93" s="38">
        <f t="shared" si="84"/>
        <v>7</v>
      </c>
      <c r="AM93" s="38">
        <f t="shared" si="85"/>
        <v>5</v>
      </c>
      <c r="AN93" s="38">
        <f t="shared" si="86"/>
        <v>1</v>
      </c>
      <c r="AO93" s="38">
        <f t="shared" ca="1" si="73"/>
        <v>410</v>
      </c>
      <c r="AP93" s="68">
        <f t="shared" si="87"/>
        <v>700</v>
      </c>
      <c r="AQ93" s="38">
        <f t="shared" si="74"/>
        <v>21</v>
      </c>
      <c r="AR93" s="38">
        <f t="shared" si="75"/>
        <v>15</v>
      </c>
      <c r="AS93" s="38">
        <f t="shared" si="76"/>
        <v>5</v>
      </c>
      <c r="AT93" s="38">
        <f t="shared" ca="1" si="77"/>
        <v>1145</v>
      </c>
      <c r="AU93" s="68">
        <f t="shared" si="78"/>
        <v>1640</v>
      </c>
    </row>
    <row r="94" spans="1:47" x14ac:dyDescent="0.25">
      <c r="A94" s="86" t="s">
        <v>253</v>
      </c>
      <c r="B94" s="14">
        <v>92</v>
      </c>
      <c r="C94" s="14">
        <f>关卡产出!C99</f>
        <v>72</v>
      </c>
      <c r="D94" s="14">
        <f>关卡产出!D99</f>
        <v>36</v>
      </c>
      <c r="E94" s="14">
        <f>关卡产出!E99</f>
        <v>17</v>
      </c>
      <c r="F94" s="14">
        <f>关卡产出!F99</f>
        <v>970</v>
      </c>
      <c r="G94" s="38">
        <f t="shared" si="61"/>
        <v>36</v>
      </c>
      <c r="H94" s="38">
        <f t="shared" si="62"/>
        <v>18</v>
      </c>
      <c r="I94" s="38">
        <f t="shared" si="63"/>
        <v>9</v>
      </c>
      <c r="J94" s="38">
        <f t="shared" si="64"/>
        <v>1213</v>
      </c>
      <c r="K94" s="38">
        <f t="shared" ca="1" si="65"/>
        <v>1145</v>
      </c>
      <c r="R94" s="113" t="s">
        <v>253</v>
      </c>
      <c r="S94" s="14">
        <v>92</v>
      </c>
      <c r="T94" s="14">
        <f>关卡对比!AE98</f>
        <v>59</v>
      </c>
      <c r="U94" s="109">
        <f>关卡对比!AF98</f>
        <v>49</v>
      </c>
      <c r="V94" s="70">
        <f t="shared" si="57"/>
        <v>10</v>
      </c>
      <c r="W94" s="38">
        <f t="shared" si="58"/>
        <v>20</v>
      </c>
      <c r="X94" s="68">
        <f t="shared" si="59"/>
        <v>29</v>
      </c>
      <c r="Y94" s="70">
        <f t="shared" si="79"/>
        <v>9.6999999999999993</v>
      </c>
      <c r="Z94" s="38">
        <f t="shared" si="66"/>
        <v>6.4</v>
      </c>
      <c r="AA94" s="68">
        <f t="shared" si="67"/>
        <v>5.8888888888888893</v>
      </c>
      <c r="AB94" s="70">
        <f t="shared" si="68"/>
        <v>7</v>
      </c>
      <c r="AC94" s="38">
        <f t="shared" si="69"/>
        <v>5</v>
      </c>
      <c r="AD94" s="38">
        <f t="shared" si="70"/>
        <v>2</v>
      </c>
      <c r="AE94" s="38">
        <f t="shared" ca="1" si="71"/>
        <v>345</v>
      </c>
      <c r="AF94" s="68">
        <f t="shared" si="60"/>
        <v>370</v>
      </c>
      <c r="AG94" s="70">
        <f t="shared" si="80"/>
        <v>7</v>
      </c>
      <c r="AH94" s="38">
        <f t="shared" si="81"/>
        <v>5</v>
      </c>
      <c r="AI94" s="38">
        <f t="shared" si="82"/>
        <v>2</v>
      </c>
      <c r="AJ94" s="38">
        <f t="shared" ca="1" si="72"/>
        <v>390</v>
      </c>
      <c r="AK94" s="68">
        <f t="shared" si="83"/>
        <v>570</v>
      </c>
      <c r="AL94" s="38">
        <f t="shared" si="84"/>
        <v>7</v>
      </c>
      <c r="AM94" s="38">
        <f t="shared" si="85"/>
        <v>5</v>
      </c>
      <c r="AN94" s="38">
        <f t="shared" si="86"/>
        <v>1</v>
      </c>
      <c r="AO94" s="38">
        <f t="shared" ca="1" si="73"/>
        <v>410</v>
      </c>
      <c r="AP94" s="68">
        <f t="shared" si="87"/>
        <v>700</v>
      </c>
      <c r="AQ94" s="38">
        <f t="shared" si="74"/>
        <v>21</v>
      </c>
      <c r="AR94" s="38">
        <f t="shared" si="75"/>
        <v>15</v>
      </c>
      <c r="AS94" s="38">
        <f t="shared" si="76"/>
        <v>5</v>
      </c>
      <c r="AT94" s="38">
        <f t="shared" ca="1" si="77"/>
        <v>1145</v>
      </c>
      <c r="AU94" s="68">
        <f t="shared" si="78"/>
        <v>1640</v>
      </c>
    </row>
    <row r="95" spans="1:47" x14ac:dyDescent="0.25">
      <c r="A95" s="86" t="s">
        <v>253</v>
      </c>
      <c r="B95" s="14">
        <v>93</v>
      </c>
      <c r="C95" s="14">
        <f>关卡产出!C100</f>
        <v>73</v>
      </c>
      <c r="D95" s="14">
        <f>关卡产出!D100</f>
        <v>36</v>
      </c>
      <c r="E95" s="14">
        <f>关卡产出!E100</f>
        <v>18</v>
      </c>
      <c r="F95" s="14">
        <f>关卡产出!F100</f>
        <v>990</v>
      </c>
      <c r="G95" s="38">
        <f t="shared" si="61"/>
        <v>37</v>
      </c>
      <c r="H95" s="38">
        <f t="shared" si="62"/>
        <v>18</v>
      </c>
      <c r="I95" s="38">
        <f t="shared" si="63"/>
        <v>9</v>
      </c>
      <c r="J95" s="38">
        <f t="shared" si="64"/>
        <v>1238</v>
      </c>
      <c r="K95" s="38">
        <f t="shared" ca="1" si="65"/>
        <v>1145</v>
      </c>
      <c r="R95" s="113" t="s">
        <v>253</v>
      </c>
      <c r="S95" s="14">
        <v>93</v>
      </c>
      <c r="T95" s="14">
        <f>关卡对比!AE99</f>
        <v>60</v>
      </c>
      <c r="U95" s="109">
        <f>关卡对比!AF99</f>
        <v>49</v>
      </c>
      <c r="V95" s="70">
        <f t="shared" si="57"/>
        <v>10</v>
      </c>
      <c r="W95" s="38">
        <f t="shared" si="58"/>
        <v>20</v>
      </c>
      <c r="X95" s="68">
        <f t="shared" si="59"/>
        <v>29</v>
      </c>
      <c r="Y95" s="70">
        <f t="shared" si="79"/>
        <v>9.8000000000000007</v>
      </c>
      <c r="Z95" s="38">
        <f t="shared" si="66"/>
        <v>6.5</v>
      </c>
      <c r="AA95" s="68">
        <f t="shared" si="67"/>
        <v>5.8888888888888893</v>
      </c>
      <c r="AB95" s="70">
        <f t="shared" si="68"/>
        <v>7</v>
      </c>
      <c r="AC95" s="38">
        <f t="shared" si="69"/>
        <v>5</v>
      </c>
      <c r="AD95" s="38">
        <f t="shared" si="70"/>
        <v>2</v>
      </c>
      <c r="AE95" s="38">
        <f t="shared" ca="1" si="71"/>
        <v>345</v>
      </c>
      <c r="AF95" s="68">
        <f t="shared" si="60"/>
        <v>370</v>
      </c>
      <c r="AG95" s="70">
        <f t="shared" si="80"/>
        <v>7</v>
      </c>
      <c r="AH95" s="38">
        <f t="shared" si="81"/>
        <v>5</v>
      </c>
      <c r="AI95" s="38">
        <f t="shared" si="82"/>
        <v>2</v>
      </c>
      <c r="AJ95" s="38">
        <f t="shared" ca="1" si="72"/>
        <v>390</v>
      </c>
      <c r="AK95" s="68">
        <f t="shared" si="83"/>
        <v>570</v>
      </c>
      <c r="AL95" s="38">
        <f t="shared" si="84"/>
        <v>7</v>
      </c>
      <c r="AM95" s="38">
        <f t="shared" si="85"/>
        <v>5</v>
      </c>
      <c r="AN95" s="38">
        <f t="shared" si="86"/>
        <v>1</v>
      </c>
      <c r="AO95" s="38">
        <f t="shared" ca="1" si="73"/>
        <v>410</v>
      </c>
      <c r="AP95" s="68">
        <f t="shared" si="87"/>
        <v>700</v>
      </c>
      <c r="AQ95" s="38">
        <f t="shared" si="74"/>
        <v>21</v>
      </c>
      <c r="AR95" s="38">
        <f t="shared" si="75"/>
        <v>15</v>
      </c>
      <c r="AS95" s="38">
        <f t="shared" si="76"/>
        <v>5</v>
      </c>
      <c r="AT95" s="38">
        <f t="shared" ca="1" si="77"/>
        <v>1145</v>
      </c>
      <c r="AU95" s="68">
        <f t="shared" si="78"/>
        <v>1640</v>
      </c>
    </row>
    <row r="96" spans="1:47" x14ac:dyDescent="0.25">
      <c r="A96" s="86" t="s">
        <v>253</v>
      </c>
      <c r="B96" s="14">
        <v>94</v>
      </c>
      <c r="C96" s="14">
        <f>关卡产出!C101</f>
        <v>74</v>
      </c>
      <c r="D96" s="14">
        <f>关卡产出!D101</f>
        <v>37</v>
      </c>
      <c r="E96" s="14">
        <f>关卡产出!E101</f>
        <v>18</v>
      </c>
      <c r="F96" s="14">
        <f>关卡产出!F101</f>
        <v>990</v>
      </c>
      <c r="G96" s="38">
        <f t="shared" si="61"/>
        <v>37</v>
      </c>
      <c r="H96" s="38">
        <f t="shared" si="62"/>
        <v>19</v>
      </c>
      <c r="I96" s="38">
        <f t="shared" si="63"/>
        <v>9</v>
      </c>
      <c r="J96" s="38">
        <f t="shared" si="64"/>
        <v>1238</v>
      </c>
      <c r="K96" s="38">
        <f t="shared" ca="1" si="65"/>
        <v>1145</v>
      </c>
      <c r="R96" s="113" t="s">
        <v>253</v>
      </c>
      <c r="S96" s="14">
        <v>94</v>
      </c>
      <c r="T96" s="14">
        <f>关卡对比!AE100</f>
        <v>60</v>
      </c>
      <c r="U96" s="109">
        <f>关卡对比!AF100</f>
        <v>49</v>
      </c>
      <c r="V96" s="70">
        <f t="shared" si="57"/>
        <v>10</v>
      </c>
      <c r="W96" s="38">
        <f t="shared" si="58"/>
        <v>20</v>
      </c>
      <c r="X96" s="68">
        <f t="shared" si="59"/>
        <v>29</v>
      </c>
      <c r="Y96" s="70">
        <f t="shared" si="79"/>
        <v>9.9</v>
      </c>
      <c r="Z96" s="38">
        <f t="shared" si="66"/>
        <v>6.5</v>
      </c>
      <c r="AA96" s="68">
        <f t="shared" si="67"/>
        <v>5.8888888888888893</v>
      </c>
      <c r="AB96" s="70">
        <f t="shared" si="68"/>
        <v>7</v>
      </c>
      <c r="AC96" s="38">
        <f t="shared" si="69"/>
        <v>5</v>
      </c>
      <c r="AD96" s="38">
        <f t="shared" si="70"/>
        <v>2</v>
      </c>
      <c r="AE96" s="38">
        <f t="shared" ca="1" si="71"/>
        <v>345</v>
      </c>
      <c r="AF96" s="68">
        <f t="shared" si="60"/>
        <v>370</v>
      </c>
      <c r="AG96" s="70">
        <f t="shared" si="80"/>
        <v>7</v>
      </c>
      <c r="AH96" s="38">
        <f t="shared" si="81"/>
        <v>5</v>
      </c>
      <c r="AI96" s="38">
        <f t="shared" si="82"/>
        <v>2</v>
      </c>
      <c r="AJ96" s="38">
        <f t="shared" ca="1" si="72"/>
        <v>390</v>
      </c>
      <c r="AK96" s="68">
        <f t="shared" si="83"/>
        <v>570</v>
      </c>
      <c r="AL96" s="38">
        <f t="shared" si="84"/>
        <v>7</v>
      </c>
      <c r="AM96" s="38">
        <f t="shared" si="85"/>
        <v>5</v>
      </c>
      <c r="AN96" s="38">
        <f t="shared" si="86"/>
        <v>1</v>
      </c>
      <c r="AO96" s="38">
        <f t="shared" ca="1" si="73"/>
        <v>410</v>
      </c>
      <c r="AP96" s="68">
        <f t="shared" si="87"/>
        <v>700</v>
      </c>
      <c r="AQ96" s="38">
        <f t="shared" si="74"/>
        <v>21</v>
      </c>
      <c r="AR96" s="38">
        <f t="shared" si="75"/>
        <v>15</v>
      </c>
      <c r="AS96" s="38">
        <f t="shared" si="76"/>
        <v>5</v>
      </c>
      <c r="AT96" s="38">
        <f t="shared" ca="1" si="77"/>
        <v>1145</v>
      </c>
      <c r="AU96" s="68">
        <f t="shared" si="78"/>
        <v>1640</v>
      </c>
    </row>
    <row r="97" spans="1:47" x14ac:dyDescent="0.25">
      <c r="A97" s="86" t="s">
        <v>253</v>
      </c>
      <c r="B97" s="14">
        <v>95</v>
      </c>
      <c r="C97" s="14">
        <f>关卡产出!C102</f>
        <v>74</v>
      </c>
      <c r="D97" s="14">
        <f>关卡产出!D102</f>
        <v>37</v>
      </c>
      <c r="E97" s="14">
        <f>关卡产出!E102</f>
        <v>18</v>
      </c>
      <c r="F97" s="14">
        <f>关卡产出!F102</f>
        <v>1010</v>
      </c>
      <c r="G97" s="38">
        <f t="shared" si="61"/>
        <v>37</v>
      </c>
      <c r="H97" s="38">
        <f t="shared" si="62"/>
        <v>19</v>
      </c>
      <c r="I97" s="38">
        <f t="shared" si="63"/>
        <v>9</v>
      </c>
      <c r="J97" s="38">
        <f t="shared" si="64"/>
        <v>1263</v>
      </c>
      <c r="K97" s="38">
        <f t="shared" ca="1" si="65"/>
        <v>1205</v>
      </c>
      <c r="R97" s="113" t="s">
        <v>253</v>
      </c>
      <c r="S97" s="14">
        <v>95</v>
      </c>
      <c r="T97" s="14">
        <f>关卡对比!AE101</f>
        <v>61</v>
      </c>
      <c r="U97" s="109">
        <f>关卡对比!AF101</f>
        <v>50</v>
      </c>
      <c r="V97" s="70">
        <f t="shared" si="57"/>
        <v>10</v>
      </c>
      <c r="W97" s="38">
        <f t="shared" si="58"/>
        <v>20</v>
      </c>
      <c r="X97" s="68">
        <f t="shared" si="59"/>
        <v>30</v>
      </c>
      <c r="Y97" s="70">
        <f t="shared" si="79"/>
        <v>10</v>
      </c>
      <c r="Z97" s="38">
        <f t="shared" si="66"/>
        <v>6.6</v>
      </c>
      <c r="AA97" s="68">
        <f t="shared" si="67"/>
        <v>5.5</v>
      </c>
      <c r="AB97" s="70">
        <f t="shared" si="68"/>
        <v>7</v>
      </c>
      <c r="AC97" s="38">
        <f t="shared" si="69"/>
        <v>5</v>
      </c>
      <c r="AD97" s="38">
        <f t="shared" si="70"/>
        <v>2</v>
      </c>
      <c r="AE97" s="38">
        <f t="shared" ca="1" si="71"/>
        <v>370</v>
      </c>
      <c r="AF97" s="68">
        <f t="shared" si="60"/>
        <v>370</v>
      </c>
      <c r="AG97" s="70">
        <f t="shared" si="80"/>
        <v>7</v>
      </c>
      <c r="AH97" s="38">
        <f t="shared" si="81"/>
        <v>5</v>
      </c>
      <c r="AI97" s="38">
        <f t="shared" si="82"/>
        <v>2</v>
      </c>
      <c r="AJ97" s="38">
        <f t="shared" ca="1" si="72"/>
        <v>390</v>
      </c>
      <c r="AK97" s="68">
        <f t="shared" si="83"/>
        <v>570</v>
      </c>
      <c r="AL97" s="38">
        <f t="shared" si="84"/>
        <v>7</v>
      </c>
      <c r="AM97" s="38">
        <f t="shared" si="85"/>
        <v>5</v>
      </c>
      <c r="AN97" s="38">
        <f t="shared" si="86"/>
        <v>2</v>
      </c>
      <c r="AO97" s="38">
        <f t="shared" ca="1" si="73"/>
        <v>445</v>
      </c>
      <c r="AP97" s="68">
        <f t="shared" si="87"/>
        <v>770</v>
      </c>
      <c r="AQ97" s="38">
        <f t="shared" si="74"/>
        <v>21</v>
      </c>
      <c r="AR97" s="38">
        <f t="shared" si="75"/>
        <v>15</v>
      </c>
      <c r="AS97" s="38">
        <f t="shared" si="76"/>
        <v>6</v>
      </c>
      <c r="AT97" s="38">
        <f t="shared" ca="1" si="77"/>
        <v>1205</v>
      </c>
      <c r="AU97" s="68">
        <f t="shared" si="78"/>
        <v>1710</v>
      </c>
    </row>
    <row r="98" spans="1:47" x14ac:dyDescent="0.25">
      <c r="A98" s="86" t="s">
        <v>253</v>
      </c>
      <c r="B98" s="14">
        <v>96</v>
      </c>
      <c r="C98" s="14">
        <f>关卡产出!C103</f>
        <v>75</v>
      </c>
      <c r="D98" s="14">
        <f>关卡产出!D103</f>
        <v>37</v>
      </c>
      <c r="E98" s="14">
        <f>关卡产出!E103</f>
        <v>18</v>
      </c>
      <c r="F98" s="14">
        <f>关卡产出!F103</f>
        <v>1010</v>
      </c>
      <c r="G98" s="38">
        <f t="shared" si="61"/>
        <v>38</v>
      </c>
      <c r="H98" s="38">
        <f t="shared" si="62"/>
        <v>19</v>
      </c>
      <c r="I98" s="38">
        <f t="shared" si="63"/>
        <v>9</v>
      </c>
      <c r="J98" s="38">
        <f t="shared" si="64"/>
        <v>1263</v>
      </c>
      <c r="K98" s="38">
        <f t="shared" ca="1" si="65"/>
        <v>1205</v>
      </c>
      <c r="R98" s="113" t="s">
        <v>253</v>
      </c>
      <c r="S98" s="14">
        <v>96</v>
      </c>
      <c r="T98" s="14">
        <f>关卡对比!AE102</f>
        <v>61</v>
      </c>
      <c r="U98" s="109">
        <f>关卡对比!AF102</f>
        <v>50</v>
      </c>
      <c r="V98" s="70">
        <f t="shared" si="57"/>
        <v>10</v>
      </c>
      <c r="W98" s="38">
        <f t="shared" si="58"/>
        <v>20</v>
      </c>
      <c r="X98" s="68">
        <f t="shared" si="59"/>
        <v>30</v>
      </c>
      <c r="Y98" s="70">
        <f t="shared" si="79"/>
        <v>10.1</v>
      </c>
      <c r="Z98" s="38">
        <f t="shared" si="66"/>
        <v>6.6</v>
      </c>
      <c r="AA98" s="68">
        <f t="shared" si="67"/>
        <v>5.5</v>
      </c>
      <c r="AB98" s="70">
        <f t="shared" si="68"/>
        <v>7</v>
      </c>
      <c r="AC98" s="38">
        <f t="shared" si="69"/>
        <v>5</v>
      </c>
      <c r="AD98" s="38">
        <f t="shared" si="70"/>
        <v>2</v>
      </c>
      <c r="AE98" s="38">
        <f t="shared" ca="1" si="71"/>
        <v>370</v>
      </c>
      <c r="AF98" s="68">
        <f t="shared" si="60"/>
        <v>370</v>
      </c>
      <c r="AG98" s="70">
        <f t="shared" si="80"/>
        <v>7</v>
      </c>
      <c r="AH98" s="38">
        <f t="shared" si="81"/>
        <v>5</v>
      </c>
      <c r="AI98" s="38">
        <f t="shared" si="82"/>
        <v>2</v>
      </c>
      <c r="AJ98" s="38">
        <f t="shared" ca="1" si="72"/>
        <v>390</v>
      </c>
      <c r="AK98" s="68">
        <f t="shared" si="83"/>
        <v>570</v>
      </c>
      <c r="AL98" s="38">
        <f t="shared" si="84"/>
        <v>7</v>
      </c>
      <c r="AM98" s="38">
        <f t="shared" si="85"/>
        <v>5</v>
      </c>
      <c r="AN98" s="38">
        <f t="shared" si="86"/>
        <v>2</v>
      </c>
      <c r="AO98" s="38">
        <f t="shared" ca="1" si="73"/>
        <v>445</v>
      </c>
      <c r="AP98" s="68">
        <f t="shared" si="87"/>
        <v>770</v>
      </c>
      <c r="AQ98" s="38">
        <f t="shared" si="74"/>
        <v>21</v>
      </c>
      <c r="AR98" s="38">
        <f t="shared" si="75"/>
        <v>15</v>
      </c>
      <c r="AS98" s="38">
        <f t="shared" si="76"/>
        <v>6</v>
      </c>
      <c r="AT98" s="38">
        <f t="shared" ca="1" si="77"/>
        <v>1205</v>
      </c>
      <c r="AU98" s="68">
        <f t="shared" si="78"/>
        <v>1710</v>
      </c>
    </row>
    <row r="99" spans="1:47" x14ac:dyDescent="0.25">
      <c r="A99" s="86" t="s">
        <v>253</v>
      </c>
      <c r="B99" s="14">
        <v>97</v>
      </c>
      <c r="C99" s="14">
        <f>关卡产出!C104</f>
        <v>76</v>
      </c>
      <c r="D99" s="14">
        <f>关卡产出!D104</f>
        <v>38</v>
      </c>
      <c r="E99" s="14">
        <f>关卡产出!E104</f>
        <v>18</v>
      </c>
      <c r="F99" s="14">
        <f>关卡产出!F104</f>
        <v>1030</v>
      </c>
      <c r="G99" s="38">
        <f t="shared" si="61"/>
        <v>38</v>
      </c>
      <c r="H99" s="38">
        <f t="shared" si="62"/>
        <v>19</v>
      </c>
      <c r="I99" s="38">
        <f t="shared" si="63"/>
        <v>9</v>
      </c>
      <c r="J99" s="38">
        <f t="shared" si="64"/>
        <v>1288</v>
      </c>
      <c r="K99" s="38">
        <f t="shared" ca="1" si="65"/>
        <v>1205</v>
      </c>
      <c r="R99" s="113" t="s">
        <v>253</v>
      </c>
      <c r="S99" s="14">
        <v>97</v>
      </c>
      <c r="T99" s="14">
        <f>关卡对比!AE103</f>
        <v>62</v>
      </c>
      <c r="U99" s="109">
        <f>关卡对比!AF103</f>
        <v>50</v>
      </c>
      <c r="V99" s="70">
        <f t="shared" ref="V99:V130" si="88">_xlfn.IFNA(INDEX($M:$M,MATCH($S99,N:N,1)),0)</f>
        <v>10</v>
      </c>
      <c r="W99" s="38">
        <f t="shared" ref="W99:W130" si="89">_xlfn.IFNA(INDEX($M:$M,MATCH($T99,O:O,1)),0)</f>
        <v>20</v>
      </c>
      <c r="X99" s="68">
        <f t="shared" ref="X99:X130" si="90">_xlfn.IFNA(INDEX($M:$M,MATCH($U99,P:P,1)),0)</f>
        <v>30</v>
      </c>
      <c r="Y99" s="70">
        <f t="shared" si="79"/>
        <v>10.199999999999999</v>
      </c>
      <c r="Z99" s="38">
        <f t="shared" si="66"/>
        <v>6.7</v>
      </c>
      <c r="AA99" s="68">
        <f t="shared" si="67"/>
        <v>5.5</v>
      </c>
      <c r="AB99" s="70">
        <f t="shared" si="68"/>
        <v>7</v>
      </c>
      <c r="AC99" s="38">
        <f t="shared" si="69"/>
        <v>5</v>
      </c>
      <c r="AD99" s="38">
        <f t="shared" si="70"/>
        <v>2</v>
      </c>
      <c r="AE99" s="38">
        <f t="shared" ca="1" si="71"/>
        <v>370</v>
      </c>
      <c r="AF99" s="68">
        <f t="shared" ref="AF99:AF130" si="91">$BA$3+SUMIFS($BQ:$BQ,$BC:$BC,"&lt;="&amp;V99)</f>
        <v>370</v>
      </c>
      <c r="AG99" s="70">
        <f t="shared" si="80"/>
        <v>7</v>
      </c>
      <c r="AH99" s="38">
        <f t="shared" si="81"/>
        <v>5</v>
      </c>
      <c r="AI99" s="38">
        <f t="shared" si="82"/>
        <v>2</v>
      </c>
      <c r="AJ99" s="38">
        <f t="shared" ca="1" si="72"/>
        <v>390</v>
      </c>
      <c r="AK99" s="68">
        <f t="shared" si="83"/>
        <v>570</v>
      </c>
      <c r="AL99" s="38">
        <f t="shared" si="84"/>
        <v>7</v>
      </c>
      <c r="AM99" s="38">
        <f t="shared" si="85"/>
        <v>5</v>
      </c>
      <c r="AN99" s="38">
        <f t="shared" si="86"/>
        <v>2</v>
      </c>
      <c r="AO99" s="38">
        <f t="shared" ca="1" si="73"/>
        <v>445</v>
      </c>
      <c r="AP99" s="68">
        <f t="shared" si="87"/>
        <v>770</v>
      </c>
      <c r="AQ99" s="38">
        <f t="shared" si="74"/>
        <v>21</v>
      </c>
      <c r="AR99" s="38">
        <f t="shared" si="75"/>
        <v>15</v>
      </c>
      <c r="AS99" s="38">
        <f t="shared" si="76"/>
        <v>6</v>
      </c>
      <c r="AT99" s="38">
        <f t="shared" ca="1" si="77"/>
        <v>1205</v>
      </c>
      <c r="AU99" s="68">
        <f t="shared" si="78"/>
        <v>1710</v>
      </c>
    </row>
    <row r="100" spans="1:47" x14ac:dyDescent="0.25">
      <c r="A100" s="86" t="s">
        <v>253</v>
      </c>
      <c r="B100" s="14">
        <v>98</v>
      </c>
      <c r="C100" s="14">
        <f>关卡产出!C105</f>
        <v>77</v>
      </c>
      <c r="D100" s="14">
        <f>关卡产出!D105</f>
        <v>38</v>
      </c>
      <c r="E100" s="14">
        <f>关卡产出!E105</f>
        <v>19</v>
      </c>
      <c r="F100" s="14">
        <f>关卡产出!F105</f>
        <v>1030</v>
      </c>
      <c r="G100" s="38">
        <f t="shared" si="61"/>
        <v>39</v>
      </c>
      <c r="H100" s="38">
        <f t="shared" si="62"/>
        <v>19</v>
      </c>
      <c r="I100" s="38">
        <f t="shared" si="63"/>
        <v>10</v>
      </c>
      <c r="J100" s="38">
        <f t="shared" si="64"/>
        <v>1288</v>
      </c>
      <c r="K100" s="38">
        <f t="shared" ca="1" si="65"/>
        <v>1205</v>
      </c>
      <c r="R100" s="113" t="s">
        <v>253</v>
      </c>
      <c r="S100" s="14">
        <v>98</v>
      </c>
      <c r="T100" s="14">
        <f>关卡对比!AE104</f>
        <v>62</v>
      </c>
      <c r="U100" s="109">
        <f>关卡对比!AF104</f>
        <v>51</v>
      </c>
      <c r="V100" s="70">
        <f t="shared" si="88"/>
        <v>10</v>
      </c>
      <c r="W100" s="38">
        <f t="shared" si="89"/>
        <v>20</v>
      </c>
      <c r="X100" s="68">
        <f t="shared" si="90"/>
        <v>30</v>
      </c>
      <c r="Y100" s="70">
        <f t="shared" si="79"/>
        <v>10.3</v>
      </c>
      <c r="Z100" s="38">
        <f t="shared" si="66"/>
        <v>6.7</v>
      </c>
      <c r="AA100" s="68">
        <f t="shared" si="67"/>
        <v>5.6</v>
      </c>
      <c r="AB100" s="70">
        <f t="shared" ref="AB100:AB131" si="92">AX$3+SUMIFS(BE:BE,$BC:$BC,"&lt;="&amp;V100)</f>
        <v>7</v>
      </c>
      <c r="AC100" s="38">
        <f t="shared" ref="AC100:AC131" si="93">AY$3+SUMIFS(BF:BF,$BC:$BC,"&lt;="&amp;$V100)</f>
        <v>5</v>
      </c>
      <c r="AD100" s="38">
        <f t="shared" ref="AD100:AD131" si="94">AZ$3+SUMIFS(BG:BG,$BC:$BC,"&lt;="&amp;$V100)</f>
        <v>2</v>
      </c>
      <c r="AE100" s="38">
        <f t="shared" ca="1" si="71"/>
        <v>370</v>
      </c>
      <c r="AF100" s="68">
        <f t="shared" si="91"/>
        <v>370</v>
      </c>
      <c r="AG100" s="70">
        <f t="shared" si="80"/>
        <v>7</v>
      </c>
      <c r="AH100" s="38">
        <f t="shared" si="81"/>
        <v>5</v>
      </c>
      <c r="AI100" s="38">
        <f t="shared" si="82"/>
        <v>2</v>
      </c>
      <c r="AJ100" s="38">
        <f t="shared" ca="1" si="72"/>
        <v>390</v>
      </c>
      <c r="AK100" s="68">
        <f t="shared" si="83"/>
        <v>570</v>
      </c>
      <c r="AL100" s="38">
        <f t="shared" si="84"/>
        <v>7</v>
      </c>
      <c r="AM100" s="38">
        <f t="shared" si="85"/>
        <v>5</v>
      </c>
      <c r="AN100" s="38">
        <f t="shared" si="86"/>
        <v>2</v>
      </c>
      <c r="AO100" s="38">
        <f t="shared" ca="1" si="73"/>
        <v>445</v>
      </c>
      <c r="AP100" s="68">
        <f t="shared" si="87"/>
        <v>770</v>
      </c>
      <c r="AQ100" s="38">
        <f t="shared" si="74"/>
        <v>21</v>
      </c>
      <c r="AR100" s="38">
        <f t="shared" si="75"/>
        <v>15</v>
      </c>
      <c r="AS100" s="38">
        <f t="shared" si="76"/>
        <v>6</v>
      </c>
      <c r="AT100" s="38">
        <f t="shared" ca="1" si="77"/>
        <v>1205</v>
      </c>
      <c r="AU100" s="68">
        <f t="shared" si="78"/>
        <v>1710</v>
      </c>
    </row>
    <row r="101" spans="1:47" x14ac:dyDescent="0.25">
      <c r="A101" s="86" t="s">
        <v>253</v>
      </c>
      <c r="B101" s="14">
        <v>99</v>
      </c>
      <c r="C101" s="14">
        <f>关卡产出!C106</f>
        <v>78</v>
      </c>
      <c r="D101" s="14">
        <f>关卡产出!D106</f>
        <v>39</v>
      </c>
      <c r="E101" s="14">
        <f>关卡产出!E106</f>
        <v>19</v>
      </c>
      <c r="F101" s="14">
        <f>关卡产出!F106</f>
        <v>1050</v>
      </c>
      <c r="G101" s="38">
        <f t="shared" si="61"/>
        <v>39</v>
      </c>
      <c r="H101" s="38">
        <f t="shared" si="62"/>
        <v>20</v>
      </c>
      <c r="I101" s="38">
        <f t="shared" si="63"/>
        <v>10</v>
      </c>
      <c r="J101" s="38">
        <f t="shared" si="64"/>
        <v>1313</v>
      </c>
      <c r="K101" s="38">
        <f t="shared" ca="1" si="65"/>
        <v>1205</v>
      </c>
      <c r="R101" s="113" t="s">
        <v>253</v>
      </c>
      <c r="S101" s="14">
        <v>99</v>
      </c>
      <c r="T101" s="14">
        <f>关卡对比!AE105</f>
        <v>63</v>
      </c>
      <c r="U101" s="109">
        <f>关卡对比!AF105</f>
        <v>51</v>
      </c>
      <c r="V101" s="70">
        <f t="shared" si="88"/>
        <v>10</v>
      </c>
      <c r="W101" s="38">
        <f t="shared" si="89"/>
        <v>20</v>
      </c>
      <c r="X101" s="68">
        <f t="shared" si="90"/>
        <v>30</v>
      </c>
      <c r="Y101" s="70">
        <f t="shared" si="79"/>
        <v>10.4</v>
      </c>
      <c r="Z101" s="38">
        <f t="shared" si="66"/>
        <v>6.8</v>
      </c>
      <c r="AA101" s="68">
        <f t="shared" si="67"/>
        <v>5.6</v>
      </c>
      <c r="AB101" s="70">
        <f t="shared" si="92"/>
        <v>7</v>
      </c>
      <c r="AC101" s="38">
        <f t="shared" si="93"/>
        <v>5</v>
      </c>
      <c r="AD101" s="38">
        <f t="shared" si="94"/>
        <v>2</v>
      </c>
      <c r="AE101" s="38">
        <f t="shared" ca="1" si="71"/>
        <v>370</v>
      </c>
      <c r="AF101" s="68">
        <f t="shared" si="91"/>
        <v>370</v>
      </c>
      <c r="AG101" s="70">
        <f t="shared" si="80"/>
        <v>7</v>
      </c>
      <c r="AH101" s="38">
        <f t="shared" si="81"/>
        <v>5</v>
      </c>
      <c r="AI101" s="38">
        <f t="shared" si="82"/>
        <v>2</v>
      </c>
      <c r="AJ101" s="38">
        <f t="shared" ca="1" si="72"/>
        <v>390</v>
      </c>
      <c r="AK101" s="68">
        <f t="shared" si="83"/>
        <v>570</v>
      </c>
      <c r="AL101" s="38">
        <f t="shared" si="84"/>
        <v>7</v>
      </c>
      <c r="AM101" s="38">
        <f t="shared" si="85"/>
        <v>5</v>
      </c>
      <c r="AN101" s="38">
        <f t="shared" si="86"/>
        <v>2</v>
      </c>
      <c r="AO101" s="38">
        <f t="shared" ca="1" si="73"/>
        <v>445</v>
      </c>
      <c r="AP101" s="68">
        <f t="shared" si="87"/>
        <v>770</v>
      </c>
      <c r="AQ101" s="38">
        <f t="shared" si="74"/>
        <v>21</v>
      </c>
      <c r="AR101" s="38">
        <f t="shared" si="75"/>
        <v>15</v>
      </c>
      <c r="AS101" s="38">
        <f t="shared" si="76"/>
        <v>6</v>
      </c>
      <c r="AT101" s="38">
        <f t="shared" ca="1" si="77"/>
        <v>1205</v>
      </c>
      <c r="AU101" s="68">
        <f t="shared" si="78"/>
        <v>1710</v>
      </c>
    </row>
    <row r="102" spans="1:47" x14ac:dyDescent="0.25">
      <c r="A102" s="86" t="s">
        <v>253</v>
      </c>
      <c r="B102" s="14">
        <v>100</v>
      </c>
      <c r="C102" s="14">
        <f>关卡产出!C107</f>
        <v>78</v>
      </c>
      <c r="D102" s="14">
        <f>关卡产出!D107</f>
        <v>39</v>
      </c>
      <c r="E102" s="14">
        <f>关卡产出!E107</f>
        <v>19</v>
      </c>
      <c r="F102" s="14">
        <f>关卡产出!F107</f>
        <v>1050</v>
      </c>
      <c r="G102" s="38">
        <f t="shared" si="61"/>
        <v>39</v>
      </c>
      <c r="H102" s="38">
        <f t="shared" si="62"/>
        <v>20</v>
      </c>
      <c r="I102" s="38">
        <f t="shared" si="63"/>
        <v>10</v>
      </c>
      <c r="J102" s="38">
        <f t="shared" si="64"/>
        <v>1313</v>
      </c>
      <c r="K102" s="38">
        <f t="shared" ca="1" si="65"/>
        <v>1205</v>
      </c>
      <c r="R102" s="113" t="s">
        <v>253</v>
      </c>
      <c r="S102" s="14">
        <v>100</v>
      </c>
      <c r="T102" s="14">
        <f>关卡对比!AE106</f>
        <v>63</v>
      </c>
      <c r="U102" s="109">
        <f>关卡对比!AF106</f>
        <v>51</v>
      </c>
      <c r="V102" s="70">
        <f t="shared" si="88"/>
        <v>10</v>
      </c>
      <c r="W102" s="38">
        <f t="shared" si="89"/>
        <v>20</v>
      </c>
      <c r="X102" s="68">
        <f t="shared" si="90"/>
        <v>30</v>
      </c>
      <c r="Y102" s="70">
        <f t="shared" si="79"/>
        <v>10.5</v>
      </c>
      <c r="Z102" s="38">
        <f t="shared" si="66"/>
        <v>6.8</v>
      </c>
      <c r="AA102" s="68">
        <f t="shared" si="67"/>
        <v>5.6</v>
      </c>
      <c r="AB102" s="70">
        <f t="shared" si="92"/>
        <v>7</v>
      </c>
      <c r="AC102" s="38">
        <f t="shared" si="93"/>
        <v>5</v>
      </c>
      <c r="AD102" s="38">
        <f t="shared" si="94"/>
        <v>2</v>
      </c>
      <c r="AE102" s="38">
        <f t="shared" ca="1" si="71"/>
        <v>370</v>
      </c>
      <c r="AF102" s="68">
        <f t="shared" si="91"/>
        <v>370</v>
      </c>
      <c r="AG102" s="70">
        <f t="shared" si="80"/>
        <v>7</v>
      </c>
      <c r="AH102" s="38">
        <f t="shared" si="81"/>
        <v>5</v>
      </c>
      <c r="AI102" s="38">
        <f t="shared" si="82"/>
        <v>2</v>
      </c>
      <c r="AJ102" s="38">
        <f t="shared" ca="1" si="72"/>
        <v>390</v>
      </c>
      <c r="AK102" s="68">
        <f t="shared" si="83"/>
        <v>570</v>
      </c>
      <c r="AL102" s="38">
        <f t="shared" si="84"/>
        <v>7</v>
      </c>
      <c r="AM102" s="38">
        <f t="shared" si="85"/>
        <v>5</v>
      </c>
      <c r="AN102" s="38">
        <f t="shared" si="86"/>
        <v>2</v>
      </c>
      <c r="AO102" s="38">
        <f t="shared" ca="1" si="73"/>
        <v>445</v>
      </c>
      <c r="AP102" s="68">
        <f t="shared" si="87"/>
        <v>770</v>
      </c>
      <c r="AQ102" s="38">
        <f t="shared" si="74"/>
        <v>21</v>
      </c>
      <c r="AR102" s="38">
        <f t="shared" si="75"/>
        <v>15</v>
      </c>
      <c r="AS102" s="38">
        <f t="shared" si="76"/>
        <v>6</v>
      </c>
      <c r="AT102" s="38">
        <f t="shared" ca="1" si="77"/>
        <v>1205</v>
      </c>
      <c r="AU102" s="68">
        <f t="shared" si="78"/>
        <v>1710</v>
      </c>
    </row>
    <row r="103" spans="1:47" x14ac:dyDescent="0.25">
      <c r="A103" s="86" t="s">
        <v>253</v>
      </c>
      <c r="B103" s="14">
        <v>101</v>
      </c>
      <c r="C103" s="14">
        <f>关卡产出!C108</f>
        <v>79</v>
      </c>
      <c r="D103" s="14">
        <f>关卡产出!D108</f>
        <v>39</v>
      </c>
      <c r="E103" s="14">
        <f>关卡产出!E108</f>
        <v>19</v>
      </c>
      <c r="F103" s="14">
        <f>关卡产出!F108</f>
        <v>1070</v>
      </c>
      <c r="G103" s="38">
        <f t="shared" ref="G103:G166" si="95">ROUNDUP(C103/2,0)</f>
        <v>40</v>
      </c>
      <c r="H103" s="38">
        <f t="shared" ref="H103:H166" si="96">ROUNDUP(D103/2,0)</f>
        <v>20</v>
      </c>
      <c r="I103" s="38">
        <f t="shared" ref="I103:I166" si="97">ROUNDUP(E103/2,0)</f>
        <v>10</v>
      </c>
      <c r="J103" s="38">
        <f t="shared" ref="J103:J166" si="98">ROUNDUP(F103/2*2.5,0)</f>
        <v>1338</v>
      </c>
      <c r="K103" s="38">
        <f t="shared" ref="K103:K166" ca="1" si="99">AT103</f>
        <v>1205</v>
      </c>
      <c r="R103" s="113" t="s">
        <v>253</v>
      </c>
      <c r="S103" s="14">
        <v>101</v>
      </c>
      <c r="T103" s="14">
        <f>关卡对比!AE107</f>
        <v>64</v>
      </c>
      <c r="U103" s="109">
        <f>关卡对比!AF107</f>
        <v>52</v>
      </c>
      <c r="V103" s="70">
        <f t="shared" si="88"/>
        <v>10</v>
      </c>
      <c r="W103" s="38">
        <f t="shared" si="89"/>
        <v>20</v>
      </c>
      <c r="X103" s="68">
        <f t="shared" si="90"/>
        <v>30</v>
      </c>
      <c r="Y103" s="70">
        <f t="shared" ref="Y103:Y166" si="100">IFERROR(($S103-5)/V103+1,0)</f>
        <v>10.6</v>
      </c>
      <c r="Z103" s="38">
        <f t="shared" ref="Z103:Z166" si="101">IF(W103=0,0,IFERROR(($T103-5)/(W103-10)+1,0))</f>
        <v>6.9</v>
      </c>
      <c r="AA103" s="68">
        <f t="shared" ref="AA103:AA166" si="102">IF(X103=0,0,IFERROR(($U103-5)/(X103-20)+1,0))</f>
        <v>5.7</v>
      </c>
      <c r="AB103" s="70">
        <f t="shared" si="92"/>
        <v>7</v>
      </c>
      <c r="AC103" s="38">
        <f t="shared" si="93"/>
        <v>5</v>
      </c>
      <c r="AD103" s="38">
        <f t="shared" si="94"/>
        <v>2</v>
      </c>
      <c r="AE103" s="38">
        <f t="shared" ref="AE103:AE166" ca="1" si="103">$BA$3+_xlfn.IFNA(SUM(OFFSET($BG$2,1,MATCH(Y103,$BH$2:$BQ$2,1),MATCH(V103,$BC$3:$BC$32,0),1)),0)</f>
        <v>370</v>
      </c>
      <c r="AF103" s="68">
        <f t="shared" si="91"/>
        <v>370</v>
      </c>
      <c r="AG103" s="70">
        <f t="shared" si="80"/>
        <v>7</v>
      </c>
      <c r="AH103" s="38">
        <f t="shared" si="81"/>
        <v>5</v>
      </c>
      <c r="AI103" s="38">
        <f t="shared" si="82"/>
        <v>2</v>
      </c>
      <c r="AJ103" s="38">
        <f t="shared" ref="AJ103:AJ166" ca="1" si="104">$BA$4+_xlfn.IFNA(SUM(OFFSET($BG$12,1,MATCH(Z103,$BH$2:$BQ$2,1),MATCH(W103,$BC$13:$BC$32,0),1)),0)</f>
        <v>390</v>
      </c>
      <c r="AK103" s="68">
        <f t="shared" si="83"/>
        <v>570</v>
      </c>
      <c r="AL103" s="38">
        <f t="shared" si="84"/>
        <v>7</v>
      </c>
      <c r="AM103" s="38">
        <f t="shared" si="85"/>
        <v>5</v>
      </c>
      <c r="AN103" s="38">
        <f t="shared" si="86"/>
        <v>2</v>
      </c>
      <c r="AO103" s="38">
        <f t="shared" ref="AO103:AO166" ca="1" si="105">$BA$5+_xlfn.IFNA(SUM(OFFSET($BG$22,1,MATCH(AA103,$BH$2:$BQ$2,1),MATCH(X103,$BC$23:$BC$32,0),1)),0)</f>
        <v>445</v>
      </c>
      <c r="AP103" s="68">
        <f t="shared" si="87"/>
        <v>770</v>
      </c>
      <c r="AQ103" s="38">
        <f t="shared" ref="AQ103:AQ166" si="106">AL103+AG103+AB103</f>
        <v>21</v>
      </c>
      <c r="AR103" s="38">
        <f t="shared" ref="AR103:AR166" si="107">AM103+AH103+AC103</f>
        <v>15</v>
      </c>
      <c r="AS103" s="38">
        <f t="shared" ref="AS103:AS166" si="108">AN103+AI103+AD103</f>
        <v>6</v>
      </c>
      <c r="AT103" s="38">
        <f t="shared" ref="AT103:AT166" ca="1" si="109">AO103+AJ103+AE103</f>
        <v>1205</v>
      </c>
      <c r="AU103" s="68">
        <f t="shared" ref="AU103:AU166" si="110">AP103+AK103+AF103</f>
        <v>1710</v>
      </c>
    </row>
    <row r="104" spans="1:47" x14ac:dyDescent="0.25">
      <c r="A104" s="86" t="s">
        <v>253</v>
      </c>
      <c r="B104" s="14">
        <v>102</v>
      </c>
      <c r="C104" s="14">
        <f>关卡产出!C109</f>
        <v>80</v>
      </c>
      <c r="D104" s="14">
        <f>关卡产出!D109</f>
        <v>40</v>
      </c>
      <c r="E104" s="14">
        <f>关卡产出!E109</f>
        <v>19</v>
      </c>
      <c r="F104" s="14">
        <f>关卡产出!F109</f>
        <v>1070</v>
      </c>
      <c r="G104" s="38">
        <f t="shared" si="95"/>
        <v>40</v>
      </c>
      <c r="H104" s="38">
        <f t="shared" si="96"/>
        <v>20</v>
      </c>
      <c r="I104" s="38">
        <f t="shared" si="97"/>
        <v>10</v>
      </c>
      <c r="J104" s="38">
        <f t="shared" si="98"/>
        <v>1338</v>
      </c>
      <c r="K104" s="38">
        <f t="shared" ca="1" si="99"/>
        <v>1205</v>
      </c>
      <c r="R104" s="113" t="s">
        <v>253</v>
      </c>
      <c r="S104" s="14">
        <v>102</v>
      </c>
      <c r="T104" s="14">
        <f>关卡对比!AE108</f>
        <v>64</v>
      </c>
      <c r="U104" s="109">
        <f>关卡对比!AF108</f>
        <v>52</v>
      </c>
      <c r="V104" s="70">
        <f t="shared" si="88"/>
        <v>10</v>
      </c>
      <c r="W104" s="38">
        <f t="shared" si="89"/>
        <v>20</v>
      </c>
      <c r="X104" s="68">
        <f t="shared" si="90"/>
        <v>30</v>
      </c>
      <c r="Y104" s="70">
        <f t="shared" si="100"/>
        <v>10.7</v>
      </c>
      <c r="Z104" s="38">
        <f t="shared" si="101"/>
        <v>6.9</v>
      </c>
      <c r="AA104" s="68">
        <f t="shared" si="102"/>
        <v>5.7</v>
      </c>
      <c r="AB104" s="70">
        <f t="shared" si="92"/>
        <v>7</v>
      </c>
      <c r="AC104" s="38">
        <f t="shared" si="93"/>
        <v>5</v>
      </c>
      <c r="AD104" s="38">
        <f t="shared" si="94"/>
        <v>2</v>
      </c>
      <c r="AE104" s="38">
        <f t="shared" ca="1" si="103"/>
        <v>370</v>
      </c>
      <c r="AF104" s="68">
        <f t="shared" si="91"/>
        <v>370</v>
      </c>
      <c r="AG104" s="70">
        <f t="shared" si="80"/>
        <v>7</v>
      </c>
      <c r="AH104" s="38">
        <f t="shared" si="81"/>
        <v>5</v>
      </c>
      <c r="AI104" s="38">
        <f t="shared" si="82"/>
        <v>2</v>
      </c>
      <c r="AJ104" s="38">
        <f t="shared" ca="1" si="104"/>
        <v>390</v>
      </c>
      <c r="AK104" s="68">
        <f t="shared" si="83"/>
        <v>570</v>
      </c>
      <c r="AL104" s="38">
        <f t="shared" si="84"/>
        <v>7</v>
      </c>
      <c r="AM104" s="38">
        <f t="shared" si="85"/>
        <v>5</v>
      </c>
      <c r="AN104" s="38">
        <f t="shared" si="86"/>
        <v>2</v>
      </c>
      <c r="AO104" s="38">
        <f t="shared" ca="1" si="105"/>
        <v>445</v>
      </c>
      <c r="AP104" s="68">
        <f t="shared" si="87"/>
        <v>770</v>
      </c>
      <c r="AQ104" s="38">
        <f t="shared" si="106"/>
        <v>21</v>
      </c>
      <c r="AR104" s="38">
        <f t="shared" si="107"/>
        <v>15</v>
      </c>
      <c r="AS104" s="38">
        <f t="shared" si="108"/>
        <v>6</v>
      </c>
      <c r="AT104" s="38">
        <f t="shared" ca="1" si="109"/>
        <v>1205</v>
      </c>
      <c r="AU104" s="68">
        <f t="shared" si="110"/>
        <v>1710</v>
      </c>
    </row>
    <row r="105" spans="1:47" x14ac:dyDescent="0.25">
      <c r="A105" s="86" t="s">
        <v>253</v>
      </c>
      <c r="B105" s="14">
        <v>103</v>
      </c>
      <c r="C105" s="14">
        <f>关卡产出!C110</f>
        <v>81</v>
      </c>
      <c r="D105" s="14">
        <f>关卡产出!D110</f>
        <v>40</v>
      </c>
      <c r="E105" s="14">
        <f>关卡产出!E110</f>
        <v>20</v>
      </c>
      <c r="F105" s="14">
        <f>关卡产出!F110</f>
        <v>1090</v>
      </c>
      <c r="G105" s="38">
        <f t="shared" si="95"/>
        <v>41</v>
      </c>
      <c r="H105" s="38">
        <f t="shared" si="96"/>
        <v>20</v>
      </c>
      <c r="I105" s="38">
        <f t="shared" si="97"/>
        <v>10</v>
      </c>
      <c r="J105" s="38">
        <f t="shared" si="98"/>
        <v>1363</v>
      </c>
      <c r="K105" s="38">
        <f t="shared" ca="1" si="99"/>
        <v>1250</v>
      </c>
      <c r="R105" s="113" t="s">
        <v>253</v>
      </c>
      <c r="S105" s="14">
        <v>103</v>
      </c>
      <c r="T105" s="14">
        <f>关卡对比!AE109</f>
        <v>65</v>
      </c>
      <c r="U105" s="109">
        <f>关卡对比!AF109</f>
        <v>52</v>
      </c>
      <c r="V105" s="70">
        <f t="shared" si="88"/>
        <v>10</v>
      </c>
      <c r="W105" s="38">
        <f t="shared" si="89"/>
        <v>20</v>
      </c>
      <c r="X105" s="68">
        <f t="shared" si="90"/>
        <v>30</v>
      </c>
      <c r="Y105" s="70">
        <f t="shared" si="100"/>
        <v>10.8</v>
      </c>
      <c r="Z105" s="38">
        <f t="shared" si="101"/>
        <v>7</v>
      </c>
      <c r="AA105" s="68">
        <f t="shared" si="102"/>
        <v>5.7</v>
      </c>
      <c r="AB105" s="70">
        <f t="shared" si="92"/>
        <v>7</v>
      </c>
      <c r="AC105" s="38">
        <f t="shared" si="93"/>
        <v>5</v>
      </c>
      <c r="AD105" s="38">
        <f t="shared" si="94"/>
        <v>2</v>
      </c>
      <c r="AE105" s="38">
        <f t="shared" ca="1" si="103"/>
        <v>370</v>
      </c>
      <c r="AF105" s="68">
        <f t="shared" si="91"/>
        <v>370</v>
      </c>
      <c r="AG105" s="70">
        <f t="shared" si="80"/>
        <v>7</v>
      </c>
      <c r="AH105" s="38">
        <f t="shared" si="81"/>
        <v>5</v>
      </c>
      <c r="AI105" s="38">
        <f t="shared" si="82"/>
        <v>2</v>
      </c>
      <c r="AJ105" s="38">
        <f t="shared" ca="1" si="104"/>
        <v>435</v>
      </c>
      <c r="AK105" s="68">
        <f t="shared" si="83"/>
        <v>570</v>
      </c>
      <c r="AL105" s="38">
        <f t="shared" si="84"/>
        <v>7</v>
      </c>
      <c r="AM105" s="38">
        <f t="shared" si="85"/>
        <v>5</v>
      </c>
      <c r="AN105" s="38">
        <f t="shared" si="86"/>
        <v>2</v>
      </c>
      <c r="AO105" s="38">
        <f t="shared" ca="1" si="105"/>
        <v>445</v>
      </c>
      <c r="AP105" s="68">
        <f t="shared" si="87"/>
        <v>770</v>
      </c>
      <c r="AQ105" s="38">
        <f t="shared" si="106"/>
        <v>21</v>
      </c>
      <c r="AR105" s="38">
        <f t="shared" si="107"/>
        <v>15</v>
      </c>
      <c r="AS105" s="38">
        <f t="shared" si="108"/>
        <v>6</v>
      </c>
      <c r="AT105" s="38">
        <f t="shared" ca="1" si="109"/>
        <v>1250</v>
      </c>
      <c r="AU105" s="68">
        <f t="shared" si="110"/>
        <v>1710</v>
      </c>
    </row>
    <row r="106" spans="1:47" x14ac:dyDescent="0.25">
      <c r="A106" s="86" t="s">
        <v>253</v>
      </c>
      <c r="B106" s="14">
        <v>104</v>
      </c>
      <c r="C106" s="14">
        <f>关卡产出!C111</f>
        <v>82</v>
      </c>
      <c r="D106" s="14">
        <f>关卡产出!D111</f>
        <v>41</v>
      </c>
      <c r="E106" s="14">
        <f>关卡产出!E111</f>
        <v>20</v>
      </c>
      <c r="F106" s="14">
        <f>关卡产出!F111</f>
        <v>1090</v>
      </c>
      <c r="G106" s="38">
        <f t="shared" si="95"/>
        <v>41</v>
      </c>
      <c r="H106" s="38">
        <f t="shared" si="96"/>
        <v>21</v>
      </c>
      <c r="I106" s="38">
        <f t="shared" si="97"/>
        <v>10</v>
      </c>
      <c r="J106" s="38">
        <f t="shared" si="98"/>
        <v>1363</v>
      </c>
      <c r="K106" s="38">
        <f t="shared" ca="1" si="99"/>
        <v>1250</v>
      </c>
      <c r="R106" s="113" t="s">
        <v>253</v>
      </c>
      <c r="S106" s="14">
        <v>104</v>
      </c>
      <c r="T106" s="14">
        <f>关卡对比!AE110</f>
        <v>65</v>
      </c>
      <c r="U106" s="109">
        <f>关卡对比!AF110</f>
        <v>53</v>
      </c>
      <c r="V106" s="70">
        <f t="shared" si="88"/>
        <v>10</v>
      </c>
      <c r="W106" s="38">
        <f t="shared" si="89"/>
        <v>20</v>
      </c>
      <c r="X106" s="68">
        <f t="shared" si="90"/>
        <v>30</v>
      </c>
      <c r="Y106" s="70">
        <f t="shared" si="100"/>
        <v>10.9</v>
      </c>
      <c r="Z106" s="38">
        <f t="shared" si="101"/>
        <v>7</v>
      </c>
      <c r="AA106" s="68">
        <f t="shared" si="102"/>
        <v>5.8</v>
      </c>
      <c r="AB106" s="70">
        <f t="shared" si="92"/>
        <v>7</v>
      </c>
      <c r="AC106" s="38">
        <f t="shared" si="93"/>
        <v>5</v>
      </c>
      <c r="AD106" s="38">
        <f t="shared" si="94"/>
        <v>2</v>
      </c>
      <c r="AE106" s="38">
        <f t="shared" ca="1" si="103"/>
        <v>370</v>
      </c>
      <c r="AF106" s="68">
        <f t="shared" si="91"/>
        <v>370</v>
      </c>
      <c r="AG106" s="70">
        <f t="shared" si="80"/>
        <v>7</v>
      </c>
      <c r="AH106" s="38">
        <f t="shared" si="81"/>
        <v>5</v>
      </c>
      <c r="AI106" s="38">
        <f t="shared" si="82"/>
        <v>2</v>
      </c>
      <c r="AJ106" s="38">
        <f t="shared" ca="1" si="104"/>
        <v>435</v>
      </c>
      <c r="AK106" s="68">
        <f t="shared" si="83"/>
        <v>570</v>
      </c>
      <c r="AL106" s="38">
        <f t="shared" si="84"/>
        <v>7</v>
      </c>
      <c r="AM106" s="38">
        <f t="shared" si="85"/>
        <v>5</v>
      </c>
      <c r="AN106" s="38">
        <f t="shared" si="86"/>
        <v>2</v>
      </c>
      <c r="AO106" s="38">
        <f t="shared" ca="1" si="105"/>
        <v>445</v>
      </c>
      <c r="AP106" s="68">
        <f t="shared" si="87"/>
        <v>770</v>
      </c>
      <c r="AQ106" s="38">
        <f t="shared" si="106"/>
        <v>21</v>
      </c>
      <c r="AR106" s="38">
        <f t="shared" si="107"/>
        <v>15</v>
      </c>
      <c r="AS106" s="38">
        <f t="shared" si="108"/>
        <v>6</v>
      </c>
      <c r="AT106" s="38">
        <f t="shared" ca="1" si="109"/>
        <v>1250</v>
      </c>
      <c r="AU106" s="68">
        <f t="shared" si="110"/>
        <v>1710</v>
      </c>
    </row>
    <row r="107" spans="1:47" x14ac:dyDescent="0.25">
      <c r="A107" s="86" t="s">
        <v>253</v>
      </c>
      <c r="B107" s="14">
        <v>105</v>
      </c>
      <c r="C107" s="14">
        <f>关卡产出!C112</f>
        <v>82</v>
      </c>
      <c r="D107" s="14">
        <f>关卡产出!D112</f>
        <v>41</v>
      </c>
      <c r="E107" s="14">
        <f>关卡产出!E112</f>
        <v>20</v>
      </c>
      <c r="F107" s="14">
        <f>关卡产出!F112</f>
        <v>1110</v>
      </c>
      <c r="G107" s="38">
        <f t="shared" si="95"/>
        <v>41</v>
      </c>
      <c r="H107" s="38">
        <f t="shared" si="96"/>
        <v>21</v>
      </c>
      <c r="I107" s="38">
        <f t="shared" si="97"/>
        <v>10</v>
      </c>
      <c r="J107" s="38">
        <f t="shared" si="98"/>
        <v>1388</v>
      </c>
      <c r="K107" s="38">
        <f t="shared" ca="1" si="99"/>
        <v>1250</v>
      </c>
      <c r="R107" s="113" t="s">
        <v>253</v>
      </c>
      <c r="S107" s="14">
        <v>105</v>
      </c>
      <c r="T107" s="14">
        <f>关卡对比!AE111</f>
        <v>66</v>
      </c>
      <c r="U107" s="109">
        <f>关卡对比!AF111</f>
        <v>53</v>
      </c>
      <c r="V107" s="70">
        <f t="shared" si="88"/>
        <v>10</v>
      </c>
      <c r="W107" s="38">
        <f t="shared" si="89"/>
        <v>20</v>
      </c>
      <c r="X107" s="68">
        <f t="shared" si="90"/>
        <v>30</v>
      </c>
      <c r="Y107" s="70">
        <f t="shared" si="100"/>
        <v>11</v>
      </c>
      <c r="Z107" s="38">
        <f t="shared" si="101"/>
        <v>7.1</v>
      </c>
      <c r="AA107" s="68">
        <f t="shared" si="102"/>
        <v>5.8</v>
      </c>
      <c r="AB107" s="70">
        <f t="shared" si="92"/>
        <v>7</v>
      </c>
      <c r="AC107" s="38">
        <f t="shared" si="93"/>
        <v>5</v>
      </c>
      <c r="AD107" s="38">
        <f t="shared" si="94"/>
        <v>2</v>
      </c>
      <c r="AE107" s="38">
        <f t="shared" ca="1" si="103"/>
        <v>370</v>
      </c>
      <c r="AF107" s="68">
        <f t="shared" si="91"/>
        <v>370</v>
      </c>
      <c r="AG107" s="70">
        <f t="shared" si="80"/>
        <v>7</v>
      </c>
      <c r="AH107" s="38">
        <f t="shared" si="81"/>
        <v>5</v>
      </c>
      <c r="AI107" s="38">
        <f t="shared" si="82"/>
        <v>2</v>
      </c>
      <c r="AJ107" s="38">
        <f t="shared" ca="1" si="104"/>
        <v>435</v>
      </c>
      <c r="AK107" s="68">
        <f t="shared" si="83"/>
        <v>570</v>
      </c>
      <c r="AL107" s="38">
        <f t="shared" si="84"/>
        <v>7</v>
      </c>
      <c r="AM107" s="38">
        <f t="shared" si="85"/>
        <v>5</v>
      </c>
      <c r="AN107" s="38">
        <f t="shared" si="86"/>
        <v>2</v>
      </c>
      <c r="AO107" s="38">
        <f t="shared" ca="1" si="105"/>
        <v>445</v>
      </c>
      <c r="AP107" s="68">
        <f t="shared" si="87"/>
        <v>770</v>
      </c>
      <c r="AQ107" s="38">
        <f t="shared" si="106"/>
        <v>21</v>
      </c>
      <c r="AR107" s="38">
        <f t="shared" si="107"/>
        <v>15</v>
      </c>
      <c r="AS107" s="38">
        <f t="shared" si="108"/>
        <v>6</v>
      </c>
      <c r="AT107" s="38">
        <f t="shared" ca="1" si="109"/>
        <v>1250</v>
      </c>
      <c r="AU107" s="68">
        <f t="shared" si="110"/>
        <v>1710</v>
      </c>
    </row>
    <row r="108" spans="1:47" x14ac:dyDescent="0.25">
      <c r="A108" s="86" t="s">
        <v>253</v>
      </c>
      <c r="B108" s="14">
        <v>106</v>
      </c>
      <c r="C108" s="14">
        <f>关卡产出!C113</f>
        <v>83</v>
      </c>
      <c r="D108" s="14">
        <f>关卡产出!D113</f>
        <v>41</v>
      </c>
      <c r="E108" s="14">
        <f>关卡产出!E113</f>
        <v>20</v>
      </c>
      <c r="F108" s="14">
        <f>关卡产出!F113</f>
        <v>1110</v>
      </c>
      <c r="G108" s="38">
        <f t="shared" si="95"/>
        <v>42</v>
      </c>
      <c r="H108" s="38">
        <f t="shared" si="96"/>
        <v>21</v>
      </c>
      <c r="I108" s="38">
        <f t="shared" si="97"/>
        <v>10</v>
      </c>
      <c r="J108" s="38">
        <f t="shared" si="98"/>
        <v>1388</v>
      </c>
      <c r="K108" s="38">
        <f t="shared" ca="1" si="99"/>
        <v>1250</v>
      </c>
      <c r="R108" s="113" t="s">
        <v>253</v>
      </c>
      <c r="S108" s="14">
        <v>106</v>
      </c>
      <c r="T108" s="14">
        <f>关卡对比!AE112</f>
        <v>66</v>
      </c>
      <c r="U108" s="109">
        <f>关卡对比!AF112</f>
        <v>53</v>
      </c>
      <c r="V108" s="70">
        <f t="shared" si="88"/>
        <v>10</v>
      </c>
      <c r="W108" s="38">
        <f t="shared" si="89"/>
        <v>20</v>
      </c>
      <c r="X108" s="68">
        <f t="shared" si="90"/>
        <v>30</v>
      </c>
      <c r="Y108" s="70">
        <f t="shared" si="100"/>
        <v>11.1</v>
      </c>
      <c r="Z108" s="38">
        <f t="shared" si="101"/>
        <v>7.1</v>
      </c>
      <c r="AA108" s="68">
        <f t="shared" si="102"/>
        <v>5.8</v>
      </c>
      <c r="AB108" s="70">
        <f t="shared" si="92"/>
        <v>7</v>
      </c>
      <c r="AC108" s="38">
        <f t="shared" si="93"/>
        <v>5</v>
      </c>
      <c r="AD108" s="38">
        <f t="shared" si="94"/>
        <v>2</v>
      </c>
      <c r="AE108" s="38">
        <f t="shared" ca="1" si="103"/>
        <v>370</v>
      </c>
      <c r="AF108" s="68">
        <f t="shared" si="91"/>
        <v>370</v>
      </c>
      <c r="AG108" s="70">
        <f t="shared" ref="AG108:AG139" si="111">AX$4+SUMIFS(BE:BE,$BC:$BC,"&lt;="&amp;$W108,$BC:$BC,"&gt;"&amp;10)</f>
        <v>7</v>
      </c>
      <c r="AH108" s="38">
        <f t="shared" ref="AH108:AH139" si="112">AY$4+SUMIFS(BF:BF,$BC:$BC,"&lt;="&amp;$W108,$BC:$BC,"&gt;"&amp;10)</f>
        <v>5</v>
      </c>
      <c r="AI108" s="38">
        <f t="shared" ref="AI108:AI139" si="113">AZ$4+SUMIFS(BG:BG,$BC:$BC,"&lt;="&amp;$W108,$BC:$BC,"&gt;"&amp;10)</f>
        <v>2</v>
      </c>
      <c r="AJ108" s="38">
        <f t="shared" ca="1" si="104"/>
        <v>435</v>
      </c>
      <c r="AK108" s="68">
        <f t="shared" ref="AK108:AK139" si="114">$BA$4+SUMIFS($BQ:$BQ,$BC:$BC,"&lt;="&amp;W108,$BC:$BC,"&gt;"&amp;10)</f>
        <v>570</v>
      </c>
      <c r="AL108" s="38">
        <f t="shared" si="84"/>
        <v>7</v>
      </c>
      <c r="AM108" s="38">
        <f t="shared" si="85"/>
        <v>5</v>
      </c>
      <c r="AN108" s="38">
        <f t="shared" si="86"/>
        <v>2</v>
      </c>
      <c r="AO108" s="38">
        <f t="shared" ca="1" si="105"/>
        <v>445</v>
      </c>
      <c r="AP108" s="68">
        <f t="shared" si="87"/>
        <v>770</v>
      </c>
      <c r="AQ108" s="38">
        <f t="shared" si="106"/>
        <v>21</v>
      </c>
      <c r="AR108" s="38">
        <f t="shared" si="107"/>
        <v>15</v>
      </c>
      <c r="AS108" s="38">
        <f t="shared" si="108"/>
        <v>6</v>
      </c>
      <c r="AT108" s="38">
        <f t="shared" ca="1" si="109"/>
        <v>1250</v>
      </c>
      <c r="AU108" s="68">
        <f t="shared" si="110"/>
        <v>1710</v>
      </c>
    </row>
    <row r="109" spans="1:47" x14ac:dyDescent="0.25">
      <c r="A109" s="86" t="s">
        <v>253</v>
      </c>
      <c r="B109" s="14">
        <v>107</v>
      </c>
      <c r="C109" s="14">
        <f>关卡产出!C114</f>
        <v>84</v>
      </c>
      <c r="D109" s="14">
        <f>关卡产出!D114</f>
        <v>42</v>
      </c>
      <c r="E109" s="14">
        <f>关卡产出!E114</f>
        <v>20</v>
      </c>
      <c r="F109" s="14">
        <f>关卡产出!F114</f>
        <v>1130</v>
      </c>
      <c r="G109" s="38">
        <f t="shared" si="95"/>
        <v>42</v>
      </c>
      <c r="H109" s="38">
        <f t="shared" si="96"/>
        <v>21</v>
      </c>
      <c r="I109" s="38">
        <f t="shared" si="97"/>
        <v>10</v>
      </c>
      <c r="J109" s="38">
        <f t="shared" si="98"/>
        <v>1413</v>
      </c>
      <c r="K109" s="38">
        <f t="shared" ca="1" si="99"/>
        <v>1250</v>
      </c>
      <c r="R109" s="113" t="s">
        <v>253</v>
      </c>
      <c r="S109" s="14">
        <v>107</v>
      </c>
      <c r="T109" s="14">
        <f>关卡对比!AE113</f>
        <v>67</v>
      </c>
      <c r="U109" s="109">
        <f>关卡对比!AF113</f>
        <v>54</v>
      </c>
      <c r="V109" s="70">
        <f t="shared" si="88"/>
        <v>10</v>
      </c>
      <c r="W109" s="38">
        <f t="shared" si="89"/>
        <v>20</v>
      </c>
      <c r="X109" s="68">
        <f t="shared" si="90"/>
        <v>30</v>
      </c>
      <c r="Y109" s="70">
        <f t="shared" si="100"/>
        <v>11.2</v>
      </c>
      <c r="Z109" s="38">
        <f t="shared" si="101"/>
        <v>7.2</v>
      </c>
      <c r="AA109" s="68">
        <f t="shared" si="102"/>
        <v>5.9</v>
      </c>
      <c r="AB109" s="70">
        <f t="shared" si="92"/>
        <v>7</v>
      </c>
      <c r="AC109" s="38">
        <f t="shared" si="93"/>
        <v>5</v>
      </c>
      <c r="AD109" s="38">
        <f t="shared" si="94"/>
        <v>2</v>
      </c>
      <c r="AE109" s="38">
        <f t="shared" ca="1" si="103"/>
        <v>370</v>
      </c>
      <c r="AF109" s="68">
        <f t="shared" si="91"/>
        <v>370</v>
      </c>
      <c r="AG109" s="70">
        <f t="shared" si="111"/>
        <v>7</v>
      </c>
      <c r="AH109" s="38">
        <f t="shared" si="112"/>
        <v>5</v>
      </c>
      <c r="AI109" s="38">
        <f t="shared" si="113"/>
        <v>2</v>
      </c>
      <c r="AJ109" s="38">
        <f t="shared" ca="1" si="104"/>
        <v>435</v>
      </c>
      <c r="AK109" s="68">
        <f t="shared" si="114"/>
        <v>570</v>
      </c>
      <c r="AL109" s="38">
        <f t="shared" si="84"/>
        <v>7</v>
      </c>
      <c r="AM109" s="38">
        <f t="shared" si="85"/>
        <v>5</v>
      </c>
      <c r="AN109" s="38">
        <f t="shared" si="86"/>
        <v>2</v>
      </c>
      <c r="AO109" s="38">
        <f t="shared" ca="1" si="105"/>
        <v>445</v>
      </c>
      <c r="AP109" s="68">
        <f t="shared" si="87"/>
        <v>770</v>
      </c>
      <c r="AQ109" s="38">
        <f t="shared" si="106"/>
        <v>21</v>
      </c>
      <c r="AR109" s="38">
        <f t="shared" si="107"/>
        <v>15</v>
      </c>
      <c r="AS109" s="38">
        <f t="shared" si="108"/>
        <v>6</v>
      </c>
      <c r="AT109" s="38">
        <f t="shared" ca="1" si="109"/>
        <v>1250</v>
      </c>
      <c r="AU109" s="68">
        <f t="shared" si="110"/>
        <v>1710</v>
      </c>
    </row>
    <row r="110" spans="1:47" x14ac:dyDescent="0.25">
      <c r="A110" s="86" t="s">
        <v>253</v>
      </c>
      <c r="B110" s="14">
        <v>108</v>
      </c>
      <c r="C110" s="14">
        <f>关卡产出!C115</f>
        <v>85</v>
      </c>
      <c r="D110" s="14">
        <f>关卡产出!D115</f>
        <v>42</v>
      </c>
      <c r="E110" s="14">
        <f>关卡产出!E115</f>
        <v>21</v>
      </c>
      <c r="F110" s="14">
        <f>关卡产出!F115</f>
        <v>1130</v>
      </c>
      <c r="G110" s="38">
        <f t="shared" si="95"/>
        <v>43</v>
      </c>
      <c r="H110" s="38">
        <f t="shared" si="96"/>
        <v>21</v>
      </c>
      <c r="I110" s="38">
        <f t="shared" si="97"/>
        <v>11</v>
      </c>
      <c r="J110" s="38">
        <f t="shared" si="98"/>
        <v>1413</v>
      </c>
      <c r="K110" s="38">
        <f t="shared" ca="1" si="99"/>
        <v>1250</v>
      </c>
      <c r="R110" s="113" t="s">
        <v>253</v>
      </c>
      <c r="S110" s="14">
        <v>108</v>
      </c>
      <c r="T110" s="14">
        <f>关卡对比!AE114</f>
        <v>67</v>
      </c>
      <c r="U110" s="109">
        <f>关卡对比!AF114</f>
        <v>54</v>
      </c>
      <c r="V110" s="70">
        <f t="shared" si="88"/>
        <v>10</v>
      </c>
      <c r="W110" s="38">
        <f t="shared" si="89"/>
        <v>20</v>
      </c>
      <c r="X110" s="68">
        <f t="shared" si="90"/>
        <v>30</v>
      </c>
      <c r="Y110" s="70">
        <f t="shared" si="100"/>
        <v>11.3</v>
      </c>
      <c r="Z110" s="38">
        <f t="shared" si="101"/>
        <v>7.2</v>
      </c>
      <c r="AA110" s="68">
        <f t="shared" si="102"/>
        <v>5.9</v>
      </c>
      <c r="AB110" s="70">
        <f t="shared" si="92"/>
        <v>7</v>
      </c>
      <c r="AC110" s="38">
        <f t="shared" si="93"/>
        <v>5</v>
      </c>
      <c r="AD110" s="38">
        <f t="shared" si="94"/>
        <v>2</v>
      </c>
      <c r="AE110" s="38">
        <f t="shared" ca="1" si="103"/>
        <v>370</v>
      </c>
      <c r="AF110" s="68">
        <f t="shared" si="91"/>
        <v>370</v>
      </c>
      <c r="AG110" s="70">
        <f t="shared" si="111"/>
        <v>7</v>
      </c>
      <c r="AH110" s="38">
        <f t="shared" si="112"/>
        <v>5</v>
      </c>
      <c r="AI110" s="38">
        <f t="shared" si="113"/>
        <v>2</v>
      </c>
      <c r="AJ110" s="38">
        <f t="shared" ca="1" si="104"/>
        <v>435</v>
      </c>
      <c r="AK110" s="68">
        <f t="shared" si="114"/>
        <v>570</v>
      </c>
      <c r="AL110" s="38">
        <f t="shared" si="84"/>
        <v>7</v>
      </c>
      <c r="AM110" s="38">
        <f t="shared" si="85"/>
        <v>5</v>
      </c>
      <c r="AN110" s="38">
        <f t="shared" si="86"/>
        <v>2</v>
      </c>
      <c r="AO110" s="38">
        <f t="shared" ca="1" si="105"/>
        <v>445</v>
      </c>
      <c r="AP110" s="68">
        <f t="shared" si="87"/>
        <v>770</v>
      </c>
      <c r="AQ110" s="38">
        <f t="shared" si="106"/>
        <v>21</v>
      </c>
      <c r="AR110" s="38">
        <f t="shared" si="107"/>
        <v>15</v>
      </c>
      <c r="AS110" s="38">
        <f t="shared" si="108"/>
        <v>6</v>
      </c>
      <c r="AT110" s="38">
        <f t="shared" ca="1" si="109"/>
        <v>1250</v>
      </c>
      <c r="AU110" s="68">
        <f t="shared" si="110"/>
        <v>1710</v>
      </c>
    </row>
    <row r="111" spans="1:47" x14ac:dyDescent="0.25">
      <c r="A111" s="86" t="s">
        <v>253</v>
      </c>
      <c r="B111" s="14">
        <v>109</v>
      </c>
      <c r="C111" s="14">
        <f>关卡产出!C116</f>
        <v>86</v>
      </c>
      <c r="D111" s="14">
        <f>关卡产出!D116</f>
        <v>43</v>
      </c>
      <c r="E111" s="14">
        <f>关卡产出!E116</f>
        <v>21</v>
      </c>
      <c r="F111" s="14">
        <f>关卡产出!F116</f>
        <v>1150</v>
      </c>
      <c r="G111" s="38">
        <f t="shared" si="95"/>
        <v>43</v>
      </c>
      <c r="H111" s="38">
        <f t="shared" si="96"/>
        <v>22</v>
      </c>
      <c r="I111" s="38">
        <f t="shared" si="97"/>
        <v>11</v>
      </c>
      <c r="J111" s="38">
        <f t="shared" si="98"/>
        <v>1438</v>
      </c>
      <c r="K111" s="38">
        <f t="shared" ca="1" si="99"/>
        <v>1250</v>
      </c>
      <c r="R111" s="113" t="s">
        <v>253</v>
      </c>
      <c r="S111" s="14">
        <v>109</v>
      </c>
      <c r="T111" s="14">
        <f>关卡对比!AE115</f>
        <v>68</v>
      </c>
      <c r="U111" s="109">
        <f>关卡对比!AF115</f>
        <v>54</v>
      </c>
      <c r="V111" s="70">
        <f t="shared" si="88"/>
        <v>10</v>
      </c>
      <c r="W111" s="38">
        <f t="shared" si="89"/>
        <v>20</v>
      </c>
      <c r="X111" s="68">
        <f t="shared" si="90"/>
        <v>30</v>
      </c>
      <c r="Y111" s="70">
        <f t="shared" si="100"/>
        <v>11.4</v>
      </c>
      <c r="Z111" s="38">
        <f t="shared" si="101"/>
        <v>7.3</v>
      </c>
      <c r="AA111" s="68">
        <f t="shared" si="102"/>
        <v>5.9</v>
      </c>
      <c r="AB111" s="70">
        <f t="shared" si="92"/>
        <v>7</v>
      </c>
      <c r="AC111" s="38">
        <f t="shared" si="93"/>
        <v>5</v>
      </c>
      <c r="AD111" s="38">
        <f t="shared" si="94"/>
        <v>2</v>
      </c>
      <c r="AE111" s="38">
        <f t="shared" ca="1" si="103"/>
        <v>370</v>
      </c>
      <c r="AF111" s="68">
        <f t="shared" si="91"/>
        <v>370</v>
      </c>
      <c r="AG111" s="70">
        <f t="shared" si="111"/>
        <v>7</v>
      </c>
      <c r="AH111" s="38">
        <f t="shared" si="112"/>
        <v>5</v>
      </c>
      <c r="AI111" s="38">
        <f t="shared" si="113"/>
        <v>2</v>
      </c>
      <c r="AJ111" s="38">
        <f t="shared" ca="1" si="104"/>
        <v>435</v>
      </c>
      <c r="AK111" s="68">
        <f t="shared" si="114"/>
        <v>570</v>
      </c>
      <c r="AL111" s="38">
        <f t="shared" si="84"/>
        <v>7</v>
      </c>
      <c r="AM111" s="38">
        <f t="shared" si="85"/>
        <v>5</v>
      </c>
      <c r="AN111" s="38">
        <f t="shared" si="86"/>
        <v>2</v>
      </c>
      <c r="AO111" s="38">
        <f t="shared" ca="1" si="105"/>
        <v>445</v>
      </c>
      <c r="AP111" s="68">
        <f t="shared" si="87"/>
        <v>770</v>
      </c>
      <c r="AQ111" s="38">
        <f t="shared" si="106"/>
        <v>21</v>
      </c>
      <c r="AR111" s="38">
        <f t="shared" si="107"/>
        <v>15</v>
      </c>
      <c r="AS111" s="38">
        <f t="shared" si="108"/>
        <v>6</v>
      </c>
      <c r="AT111" s="38">
        <f t="shared" ca="1" si="109"/>
        <v>1250</v>
      </c>
      <c r="AU111" s="68">
        <f t="shared" si="110"/>
        <v>1710</v>
      </c>
    </row>
    <row r="112" spans="1:47" x14ac:dyDescent="0.25">
      <c r="A112" s="86" t="s">
        <v>253</v>
      </c>
      <c r="B112" s="14">
        <v>110</v>
      </c>
      <c r="C112" s="14">
        <f>关卡产出!C117</f>
        <v>86</v>
      </c>
      <c r="D112" s="14">
        <f>关卡产出!D117</f>
        <v>43</v>
      </c>
      <c r="E112" s="14">
        <f>关卡产出!E117</f>
        <v>21</v>
      </c>
      <c r="F112" s="14">
        <f>关卡产出!F117</f>
        <v>1150</v>
      </c>
      <c r="G112" s="38">
        <f t="shared" si="95"/>
        <v>43</v>
      </c>
      <c r="H112" s="38">
        <f t="shared" si="96"/>
        <v>22</v>
      </c>
      <c r="I112" s="38">
        <f t="shared" si="97"/>
        <v>11</v>
      </c>
      <c r="J112" s="38">
        <f t="shared" si="98"/>
        <v>1438</v>
      </c>
      <c r="K112" s="38">
        <f t="shared" ca="1" si="99"/>
        <v>1315</v>
      </c>
      <c r="R112" s="113" t="s">
        <v>253</v>
      </c>
      <c r="S112" s="14">
        <v>110</v>
      </c>
      <c r="T112" s="14">
        <f>关卡对比!AE116</f>
        <v>68</v>
      </c>
      <c r="U112" s="109">
        <f>关卡对比!AF116</f>
        <v>55</v>
      </c>
      <c r="V112" s="70">
        <f t="shared" si="88"/>
        <v>10</v>
      </c>
      <c r="W112" s="38">
        <f t="shared" si="89"/>
        <v>20</v>
      </c>
      <c r="X112" s="68">
        <f t="shared" si="90"/>
        <v>30</v>
      </c>
      <c r="Y112" s="70">
        <f t="shared" si="100"/>
        <v>11.5</v>
      </c>
      <c r="Z112" s="38">
        <f t="shared" si="101"/>
        <v>7.3</v>
      </c>
      <c r="AA112" s="68">
        <f t="shared" si="102"/>
        <v>6</v>
      </c>
      <c r="AB112" s="70">
        <f t="shared" si="92"/>
        <v>7</v>
      </c>
      <c r="AC112" s="38">
        <f t="shared" si="93"/>
        <v>5</v>
      </c>
      <c r="AD112" s="38">
        <f t="shared" si="94"/>
        <v>2</v>
      </c>
      <c r="AE112" s="38">
        <f t="shared" ca="1" si="103"/>
        <v>370</v>
      </c>
      <c r="AF112" s="68">
        <f t="shared" si="91"/>
        <v>370</v>
      </c>
      <c r="AG112" s="70">
        <f t="shared" si="111"/>
        <v>7</v>
      </c>
      <c r="AH112" s="38">
        <f t="shared" si="112"/>
        <v>5</v>
      </c>
      <c r="AI112" s="38">
        <f t="shared" si="113"/>
        <v>2</v>
      </c>
      <c r="AJ112" s="38">
        <f t="shared" ca="1" si="104"/>
        <v>435</v>
      </c>
      <c r="AK112" s="68">
        <f t="shared" si="114"/>
        <v>570</v>
      </c>
      <c r="AL112" s="38">
        <f t="shared" ref="AL112:AL143" si="115">AX$5+SUMIFS(BE:BE,$BC:$BC,"&lt;="&amp;$X112,$BC:$BC,"&gt;"&amp;20)</f>
        <v>7</v>
      </c>
      <c r="AM112" s="38">
        <f t="shared" ref="AM112:AM143" si="116">AY$5+SUMIFS(BF:BF,$BC:$BC,"&lt;="&amp;$X112,$BC:$BC,"&gt;"&amp;20)</f>
        <v>5</v>
      </c>
      <c r="AN112" s="38">
        <f t="shared" ref="AN112:AN143" si="117">AZ$5+SUMIFS(BG:BG,$BC:$BC,"&lt;="&amp;$X112,$BC:$BC,"&gt;"&amp;20)</f>
        <v>2</v>
      </c>
      <c r="AO112" s="38">
        <f t="shared" ca="1" si="105"/>
        <v>510</v>
      </c>
      <c r="AP112" s="68">
        <f t="shared" ref="AP112:AP143" si="118">$BA$5+SUMIFS($BQ:$BQ,$BC:$BC,"&lt;="&amp;X112,$BC:$BC,"&gt;"&amp;20)</f>
        <v>770</v>
      </c>
      <c r="AQ112" s="38">
        <f t="shared" si="106"/>
        <v>21</v>
      </c>
      <c r="AR112" s="38">
        <f t="shared" si="107"/>
        <v>15</v>
      </c>
      <c r="AS112" s="38">
        <f t="shared" si="108"/>
        <v>6</v>
      </c>
      <c r="AT112" s="38">
        <f t="shared" ca="1" si="109"/>
        <v>1315</v>
      </c>
      <c r="AU112" s="68">
        <f t="shared" si="110"/>
        <v>1710</v>
      </c>
    </row>
    <row r="113" spans="1:47" x14ac:dyDescent="0.25">
      <c r="A113" s="86" t="s">
        <v>253</v>
      </c>
      <c r="B113" s="14">
        <v>111</v>
      </c>
      <c r="C113" s="14">
        <f>关卡产出!C118</f>
        <v>87</v>
      </c>
      <c r="D113" s="14">
        <f>关卡产出!D118</f>
        <v>43</v>
      </c>
      <c r="E113" s="14">
        <f>关卡产出!E118</f>
        <v>21</v>
      </c>
      <c r="F113" s="14">
        <f>关卡产出!F118</f>
        <v>1170</v>
      </c>
      <c r="G113" s="38">
        <f t="shared" si="95"/>
        <v>44</v>
      </c>
      <c r="H113" s="38">
        <f t="shared" si="96"/>
        <v>22</v>
      </c>
      <c r="I113" s="38">
        <f t="shared" si="97"/>
        <v>11</v>
      </c>
      <c r="J113" s="38">
        <f t="shared" si="98"/>
        <v>1463</v>
      </c>
      <c r="K113" s="38">
        <f t="shared" ca="1" si="99"/>
        <v>1315</v>
      </c>
      <c r="R113" s="113" t="s">
        <v>253</v>
      </c>
      <c r="S113" s="14">
        <v>111</v>
      </c>
      <c r="T113" s="14">
        <f>关卡对比!AE117</f>
        <v>69</v>
      </c>
      <c r="U113" s="109">
        <f>关卡对比!AF117</f>
        <v>55</v>
      </c>
      <c r="V113" s="70">
        <f t="shared" si="88"/>
        <v>10</v>
      </c>
      <c r="W113" s="38">
        <f t="shared" si="89"/>
        <v>20</v>
      </c>
      <c r="X113" s="68">
        <f t="shared" si="90"/>
        <v>30</v>
      </c>
      <c r="Y113" s="70">
        <f t="shared" si="100"/>
        <v>11.6</v>
      </c>
      <c r="Z113" s="38">
        <f t="shared" si="101"/>
        <v>7.4</v>
      </c>
      <c r="AA113" s="68">
        <f t="shared" si="102"/>
        <v>6</v>
      </c>
      <c r="AB113" s="70">
        <f t="shared" si="92"/>
        <v>7</v>
      </c>
      <c r="AC113" s="38">
        <f t="shared" si="93"/>
        <v>5</v>
      </c>
      <c r="AD113" s="38">
        <f t="shared" si="94"/>
        <v>2</v>
      </c>
      <c r="AE113" s="38">
        <f t="shared" ca="1" si="103"/>
        <v>370</v>
      </c>
      <c r="AF113" s="68">
        <f t="shared" si="91"/>
        <v>370</v>
      </c>
      <c r="AG113" s="70">
        <f t="shared" si="111"/>
        <v>7</v>
      </c>
      <c r="AH113" s="38">
        <f t="shared" si="112"/>
        <v>5</v>
      </c>
      <c r="AI113" s="38">
        <f t="shared" si="113"/>
        <v>2</v>
      </c>
      <c r="AJ113" s="38">
        <f t="shared" ca="1" si="104"/>
        <v>435</v>
      </c>
      <c r="AK113" s="68">
        <f t="shared" si="114"/>
        <v>570</v>
      </c>
      <c r="AL113" s="38">
        <f t="shared" si="115"/>
        <v>7</v>
      </c>
      <c r="AM113" s="38">
        <f t="shared" si="116"/>
        <v>5</v>
      </c>
      <c r="AN113" s="38">
        <f t="shared" si="117"/>
        <v>2</v>
      </c>
      <c r="AO113" s="38">
        <f t="shared" ca="1" si="105"/>
        <v>510</v>
      </c>
      <c r="AP113" s="68">
        <f t="shared" si="118"/>
        <v>770</v>
      </c>
      <c r="AQ113" s="38">
        <f t="shared" si="106"/>
        <v>21</v>
      </c>
      <c r="AR113" s="38">
        <f t="shared" si="107"/>
        <v>15</v>
      </c>
      <c r="AS113" s="38">
        <f t="shared" si="108"/>
        <v>6</v>
      </c>
      <c r="AT113" s="38">
        <f t="shared" ca="1" si="109"/>
        <v>1315</v>
      </c>
      <c r="AU113" s="68">
        <f t="shared" si="110"/>
        <v>1710</v>
      </c>
    </row>
    <row r="114" spans="1:47" x14ac:dyDescent="0.25">
      <c r="A114" s="86" t="s">
        <v>253</v>
      </c>
      <c r="B114" s="14">
        <v>112</v>
      </c>
      <c r="C114" s="14">
        <f>关卡产出!C119</f>
        <v>88</v>
      </c>
      <c r="D114" s="14">
        <f>关卡产出!D119</f>
        <v>44</v>
      </c>
      <c r="E114" s="14">
        <f>关卡产出!E119</f>
        <v>21</v>
      </c>
      <c r="F114" s="14">
        <f>关卡产出!F119</f>
        <v>1170</v>
      </c>
      <c r="G114" s="38">
        <f t="shared" si="95"/>
        <v>44</v>
      </c>
      <c r="H114" s="38">
        <f t="shared" si="96"/>
        <v>22</v>
      </c>
      <c r="I114" s="38">
        <f t="shared" si="97"/>
        <v>11</v>
      </c>
      <c r="J114" s="38">
        <f t="shared" si="98"/>
        <v>1463</v>
      </c>
      <c r="K114" s="38">
        <f t="shared" ca="1" si="99"/>
        <v>1315</v>
      </c>
      <c r="R114" s="113" t="s">
        <v>253</v>
      </c>
      <c r="S114" s="14">
        <v>112</v>
      </c>
      <c r="T114" s="14">
        <f>关卡对比!AE118</f>
        <v>69</v>
      </c>
      <c r="U114" s="109">
        <f>关卡对比!AF118</f>
        <v>55</v>
      </c>
      <c r="V114" s="70">
        <f t="shared" si="88"/>
        <v>10</v>
      </c>
      <c r="W114" s="38">
        <f t="shared" si="89"/>
        <v>20</v>
      </c>
      <c r="X114" s="68">
        <f t="shared" si="90"/>
        <v>30</v>
      </c>
      <c r="Y114" s="70">
        <f t="shared" si="100"/>
        <v>11.7</v>
      </c>
      <c r="Z114" s="38">
        <f t="shared" si="101"/>
        <v>7.4</v>
      </c>
      <c r="AA114" s="68">
        <f t="shared" si="102"/>
        <v>6</v>
      </c>
      <c r="AB114" s="70">
        <f t="shared" si="92"/>
        <v>7</v>
      </c>
      <c r="AC114" s="38">
        <f t="shared" si="93"/>
        <v>5</v>
      </c>
      <c r="AD114" s="38">
        <f t="shared" si="94"/>
        <v>2</v>
      </c>
      <c r="AE114" s="38">
        <f t="shared" ca="1" si="103"/>
        <v>370</v>
      </c>
      <c r="AF114" s="68">
        <f t="shared" si="91"/>
        <v>370</v>
      </c>
      <c r="AG114" s="70">
        <f t="shared" si="111"/>
        <v>7</v>
      </c>
      <c r="AH114" s="38">
        <f t="shared" si="112"/>
        <v>5</v>
      </c>
      <c r="AI114" s="38">
        <f t="shared" si="113"/>
        <v>2</v>
      </c>
      <c r="AJ114" s="38">
        <f t="shared" ca="1" si="104"/>
        <v>435</v>
      </c>
      <c r="AK114" s="68">
        <f t="shared" si="114"/>
        <v>570</v>
      </c>
      <c r="AL114" s="38">
        <f t="shared" si="115"/>
        <v>7</v>
      </c>
      <c r="AM114" s="38">
        <f t="shared" si="116"/>
        <v>5</v>
      </c>
      <c r="AN114" s="38">
        <f t="shared" si="117"/>
        <v>2</v>
      </c>
      <c r="AO114" s="38">
        <f t="shared" ca="1" si="105"/>
        <v>510</v>
      </c>
      <c r="AP114" s="68">
        <f t="shared" si="118"/>
        <v>770</v>
      </c>
      <c r="AQ114" s="38">
        <f t="shared" si="106"/>
        <v>21</v>
      </c>
      <c r="AR114" s="38">
        <f t="shared" si="107"/>
        <v>15</v>
      </c>
      <c r="AS114" s="38">
        <f t="shared" si="108"/>
        <v>6</v>
      </c>
      <c r="AT114" s="38">
        <f t="shared" ca="1" si="109"/>
        <v>1315</v>
      </c>
      <c r="AU114" s="68">
        <f t="shared" si="110"/>
        <v>1710</v>
      </c>
    </row>
    <row r="115" spans="1:47" x14ac:dyDescent="0.25">
      <c r="A115" s="86" t="s">
        <v>253</v>
      </c>
      <c r="B115" s="14">
        <v>113</v>
      </c>
      <c r="C115" s="14">
        <f>关卡产出!C120</f>
        <v>89</v>
      </c>
      <c r="D115" s="14">
        <f>关卡产出!D120</f>
        <v>44</v>
      </c>
      <c r="E115" s="14">
        <f>关卡产出!E120</f>
        <v>22</v>
      </c>
      <c r="F115" s="14">
        <f>关卡产出!F120</f>
        <v>1190</v>
      </c>
      <c r="G115" s="38">
        <f t="shared" si="95"/>
        <v>45</v>
      </c>
      <c r="H115" s="38">
        <f t="shared" si="96"/>
        <v>22</v>
      </c>
      <c r="I115" s="38">
        <f t="shared" si="97"/>
        <v>11</v>
      </c>
      <c r="J115" s="38">
        <f t="shared" si="98"/>
        <v>1488</v>
      </c>
      <c r="K115" s="38">
        <f t="shared" ca="1" si="99"/>
        <v>1315</v>
      </c>
      <c r="R115" s="113" t="s">
        <v>253</v>
      </c>
      <c r="S115" s="14">
        <v>113</v>
      </c>
      <c r="T115" s="14">
        <f>关卡对比!AE119</f>
        <v>70</v>
      </c>
      <c r="U115" s="109">
        <f>关卡对比!AF119</f>
        <v>56</v>
      </c>
      <c r="V115" s="70">
        <f t="shared" si="88"/>
        <v>10</v>
      </c>
      <c r="W115" s="38">
        <f t="shared" si="89"/>
        <v>20</v>
      </c>
      <c r="X115" s="68">
        <f t="shared" si="90"/>
        <v>30</v>
      </c>
      <c r="Y115" s="70">
        <f t="shared" si="100"/>
        <v>11.8</v>
      </c>
      <c r="Z115" s="38">
        <f t="shared" si="101"/>
        <v>7.5</v>
      </c>
      <c r="AA115" s="68">
        <f t="shared" si="102"/>
        <v>6.1</v>
      </c>
      <c r="AB115" s="70">
        <f t="shared" si="92"/>
        <v>7</v>
      </c>
      <c r="AC115" s="38">
        <f t="shared" si="93"/>
        <v>5</v>
      </c>
      <c r="AD115" s="38">
        <f t="shared" si="94"/>
        <v>2</v>
      </c>
      <c r="AE115" s="38">
        <f t="shared" ca="1" si="103"/>
        <v>370</v>
      </c>
      <c r="AF115" s="68">
        <f t="shared" si="91"/>
        <v>370</v>
      </c>
      <c r="AG115" s="70">
        <f t="shared" si="111"/>
        <v>7</v>
      </c>
      <c r="AH115" s="38">
        <f t="shared" si="112"/>
        <v>5</v>
      </c>
      <c r="AI115" s="38">
        <f t="shared" si="113"/>
        <v>2</v>
      </c>
      <c r="AJ115" s="38">
        <f t="shared" ca="1" si="104"/>
        <v>435</v>
      </c>
      <c r="AK115" s="68">
        <f t="shared" si="114"/>
        <v>570</v>
      </c>
      <c r="AL115" s="38">
        <f t="shared" si="115"/>
        <v>7</v>
      </c>
      <c r="AM115" s="38">
        <f t="shared" si="116"/>
        <v>5</v>
      </c>
      <c r="AN115" s="38">
        <f t="shared" si="117"/>
        <v>2</v>
      </c>
      <c r="AO115" s="38">
        <f t="shared" ca="1" si="105"/>
        <v>510</v>
      </c>
      <c r="AP115" s="68">
        <f t="shared" si="118"/>
        <v>770</v>
      </c>
      <c r="AQ115" s="38">
        <f t="shared" si="106"/>
        <v>21</v>
      </c>
      <c r="AR115" s="38">
        <f t="shared" si="107"/>
        <v>15</v>
      </c>
      <c r="AS115" s="38">
        <f t="shared" si="108"/>
        <v>6</v>
      </c>
      <c r="AT115" s="38">
        <f t="shared" ca="1" si="109"/>
        <v>1315</v>
      </c>
      <c r="AU115" s="68">
        <f t="shared" si="110"/>
        <v>1710</v>
      </c>
    </row>
    <row r="116" spans="1:47" x14ac:dyDescent="0.25">
      <c r="A116" s="86" t="s">
        <v>253</v>
      </c>
      <c r="B116" s="14">
        <v>114</v>
      </c>
      <c r="C116" s="14">
        <f>关卡产出!C121</f>
        <v>90</v>
      </c>
      <c r="D116" s="14">
        <f>关卡产出!D121</f>
        <v>45</v>
      </c>
      <c r="E116" s="14">
        <f>关卡产出!E121</f>
        <v>22</v>
      </c>
      <c r="F116" s="14">
        <f>关卡产出!F121</f>
        <v>1190</v>
      </c>
      <c r="G116" s="38">
        <f t="shared" si="95"/>
        <v>45</v>
      </c>
      <c r="H116" s="38">
        <f t="shared" si="96"/>
        <v>23</v>
      </c>
      <c r="I116" s="38">
        <f t="shared" si="97"/>
        <v>11</v>
      </c>
      <c r="J116" s="38">
        <f t="shared" si="98"/>
        <v>1488</v>
      </c>
      <c r="K116" s="38">
        <f t="shared" ca="1" si="99"/>
        <v>1315</v>
      </c>
      <c r="R116" s="113" t="s">
        <v>253</v>
      </c>
      <c r="S116" s="14">
        <v>114</v>
      </c>
      <c r="T116" s="14">
        <f>关卡对比!AE120</f>
        <v>70</v>
      </c>
      <c r="U116" s="109">
        <f>关卡对比!AF120</f>
        <v>56</v>
      </c>
      <c r="V116" s="70">
        <f t="shared" si="88"/>
        <v>10</v>
      </c>
      <c r="W116" s="38">
        <f t="shared" si="89"/>
        <v>20</v>
      </c>
      <c r="X116" s="68">
        <f t="shared" si="90"/>
        <v>30</v>
      </c>
      <c r="Y116" s="70">
        <f t="shared" si="100"/>
        <v>11.9</v>
      </c>
      <c r="Z116" s="38">
        <f t="shared" si="101"/>
        <v>7.5</v>
      </c>
      <c r="AA116" s="68">
        <f t="shared" si="102"/>
        <v>6.1</v>
      </c>
      <c r="AB116" s="70">
        <f t="shared" si="92"/>
        <v>7</v>
      </c>
      <c r="AC116" s="38">
        <f t="shared" si="93"/>
        <v>5</v>
      </c>
      <c r="AD116" s="38">
        <f t="shared" si="94"/>
        <v>2</v>
      </c>
      <c r="AE116" s="38">
        <f t="shared" ca="1" si="103"/>
        <v>370</v>
      </c>
      <c r="AF116" s="68">
        <f t="shared" si="91"/>
        <v>370</v>
      </c>
      <c r="AG116" s="70">
        <f t="shared" si="111"/>
        <v>7</v>
      </c>
      <c r="AH116" s="38">
        <f t="shared" si="112"/>
        <v>5</v>
      </c>
      <c r="AI116" s="38">
        <f t="shared" si="113"/>
        <v>2</v>
      </c>
      <c r="AJ116" s="38">
        <f t="shared" ca="1" si="104"/>
        <v>435</v>
      </c>
      <c r="AK116" s="68">
        <f t="shared" si="114"/>
        <v>570</v>
      </c>
      <c r="AL116" s="38">
        <f t="shared" si="115"/>
        <v>7</v>
      </c>
      <c r="AM116" s="38">
        <f t="shared" si="116"/>
        <v>5</v>
      </c>
      <c r="AN116" s="38">
        <f t="shared" si="117"/>
        <v>2</v>
      </c>
      <c r="AO116" s="38">
        <f t="shared" ca="1" si="105"/>
        <v>510</v>
      </c>
      <c r="AP116" s="68">
        <f t="shared" si="118"/>
        <v>770</v>
      </c>
      <c r="AQ116" s="38">
        <f t="shared" si="106"/>
        <v>21</v>
      </c>
      <c r="AR116" s="38">
        <f t="shared" si="107"/>
        <v>15</v>
      </c>
      <c r="AS116" s="38">
        <f t="shared" si="108"/>
        <v>6</v>
      </c>
      <c r="AT116" s="38">
        <f t="shared" ca="1" si="109"/>
        <v>1315</v>
      </c>
      <c r="AU116" s="68">
        <f t="shared" si="110"/>
        <v>1710</v>
      </c>
    </row>
    <row r="117" spans="1:47" x14ac:dyDescent="0.25">
      <c r="A117" s="86" t="s">
        <v>253</v>
      </c>
      <c r="B117" s="14">
        <v>115</v>
      </c>
      <c r="C117" s="14">
        <f>关卡产出!C122</f>
        <v>90</v>
      </c>
      <c r="D117" s="14">
        <f>关卡产出!D122</f>
        <v>45</v>
      </c>
      <c r="E117" s="14">
        <f>关卡产出!E122</f>
        <v>22</v>
      </c>
      <c r="F117" s="14">
        <f>关卡产出!F122</f>
        <v>1210</v>
      </c>
      <c r="G117" s="38">
        <f t="shared" si="95"/>
        <v>45</v>
      </c>
      <c r="H117" s="38">
        <f t="shared" si="96"/>
        <v>23</v>
      </c>
      <c r="I117" s="38">
        <f t="shared" si="97"/>
        <v>11</v>
      </c>
      <c r="J117" s="38">
        <f t="shared" si="98"/>
        <v>1513</v>
      </c>
      <c r="K117" s="38">
        <f t="shared" ca="1" si="99"/>
        <v>1315</v>
      </c>
      <c r="R117" s="113" t="s">
        <v>253</v>
      </c>
      <c r="S117" s="14">
        <v>115</v>
      </c>
      <c r="T117" s="14">
        <f>关卡对比!AE121</f>
        <v>71</v>
      </c>
      <c r="U117" s="109">
        <f>关卡对比!AF121</f>
        <v>56</v>
      </c>
      <c r="V117" s="70">
        <f t="shared" si="88"/>
        <v>10</v>
      </c>
      <c r="W117" s="38">
        <f t="shared" si="89"/>
        <v>20</v>
      </c>
      <c r="X117" s="68">
        <f t="shared" si="90"/>
        <v>30</v>
      </c>
      <c r="Y117" s="70">
        <f t="shared" si="100"/>
        <v>12</v>
      </c>
      <c r="Z117" s="38">
        <f t="shared" si="101"/>
        <v>7.6</v>
      </c>
      <c r="AA117" s="68">
        <f t="shared" si="102"/>
        <v>6.1</v>
      </c>
      <c r="AB117" s="70">
        <f t="shared" si="92"/>
        <v>7</v>
      </c>
      <c r="AC117" s="38">
        <f t="shared" si="93"/>
        <v>5</v>
      </c>
      <c r="AD117" s="38">
        <f t="shared" si="94"/>
        <v>2</v>
      </c>
      <c r="AE117" s="38">
        <f t="shared" ca="1" si="103"/>
        <v>370</v>
      </c>
      <c r="AF117" s="68">
        <f t="shared" si="91"/>
        <v>370</v>
      </c>
      <c r="AG117" s="70">
        <f t="shared" si="111"/>
        <v>7</v>
      </c>
      <c r="AH117" s="38">
        <f t="shared" si="112"/>
        <v>5</v>
      </c>
      <c r="AI117" s="38">
        <f t="shared" si="113"/>
        <v>2</v>
      </c>
      <c r="AJ117" s="38">
        <f t="shared" ca="1" si="104"/>
        <v>435</v>
      </c>
      <c r="AK117" s="68">
        <f t="shared" si="114"/>
        <v>570</v>
      </c>
      <c r="AL117" s="38">
        <f t="shared" si="115"/>
        <v>7</v>
      </c>
      <c r="AM117" s="38">
        <f t="shared" si="116"/>
        <v>5</v>
      </c>
      <c r="AN117" s="38">
        <f t="shared" si="117"/>
        <v>2</v>
      </c>
      <c r="AO117" s="38">
        <f t="shared" ca="1" si="105"/>
        <v>510</v>
      </c>
      <c r="AP117" s="68">
        <f t="shared" si="118"/>
        <v>770</v>
      </c>
      <c r="AQ117" s="38">
        <f t="shared" si="106"/>
        <v>21</v>
      </c>
      <c r="AR117" s="38">
        <f t="shared" si="107"/>
        <v>15</v>
      </c>
      <c r="AS117" s="38">
        <f t="shared" si="108"/>
        <v>6</v>
      </c>
      <c r="AT117" s="38">
        <f t="shared" ca="1" si="109"/>
        <v>1315</v>
      </c>
      <c r="AU117" s="68">
        <f t="shared" si="110"/>
        <v>1710</v>
      </c>
    </row>
    <row r="118" spans="1:47" x14ac:dyDescent="0.25">
      <c r="A118" s="86" t="s">
        <v>253</v>
      </c>
      <c r="B118" s="14">
        <v>116</v>
      </c>
      <c r="C118" s="14">
        <f>关卡产出!C123</f>
        <v>91</v>
      </c>
      <c r="D118" s="14">
        <f>关卡产出!D123</f>
        <v>45</v>
      </c>
      <c r="E118" s="14">
        <f>关卡产出!E123</f>
        <v>22</v>
      </c>
      <c r="F118" s="14">
        <f>关卡产出!F123</f>
        <v>1210</v>
      </c>
      <c r="G118" s="38">
        <f t="shared" si="95"/>
        <v>46</v>
      </c>
      <c r="H118" s="38">
        <f t="shared" si="96"/>
        <v>23</v>
      </c>
      <c r="I118" s="38">
        <f t="shared" si="97"/>
        <v>11</v>
      </c>
      <c r="J118" s="38">
        <f t="shared" si="98"/>
        <v>1513</v>
      </c>
      <c r="K118" s="38">
        <f t="shared" ca="1" si="99"/>
        <v>1315</v>
      </c>
      <c r="R118" s="113" t="s">
        <v>253</v>
      </c>
      <c r="S118" s="14">
        <v>116</v>
      </c>
      <c r="T118" s="14">
        <f>关卡对比!AE122</f>
        <v>71</v>
      </c>
      <c r="U118" s="109">
        <f>关卡对比!AF122</f>
        <v>57</v>
      </c>
      <c r="V118" s="70">
        <f t="shared" si="88"/>
        <v>10</v>
      </c>
      <c r="W118" s="38">
        <f t="shared" si="89"/>
        <v>20</v>
      </c>
      <c r="X118" s="68">
        <f t="shared" si="90"/>
        <v>30</v>
      </c>
      <c r="Y118" s="70">
        <f t="shared" si="100"/>
        <v>12.1</v>
      </c>
      <c r="Z118" s="38">
        <f t="shared" si="101"/>
        <v>7.6</v>
      </c>
      <c r="AA118" s="68">
        <f t="shared" si="102"/>
        <v>6.2</v>
      </c>
      <c r="AB118" s="70">
        <f t="shared" si="92"/>
        <v>7</v>
      </c>
      <c r="AC118" s="38">
        <f t="shared" si="93"/>
        <v>5</v>
      </c>
      <c r="AD118" s="38">
        <f t="shared" si="94"/>
        <v>2</v>
      </c>
      <c r="AE118" s="38">
        <f t="shared" ca="1" si="103"/>
        <v>370</v>
      </c>
      <c r="AF118" s="68">
        <f t="shared" si="91"/>
        <v>370</v>
      </c>
      <c r="AG118" s="70">
        <f t="shared" si="111"/>
        <v>7</v>
      </c>
      <c r="AH118" s="38">
        <f t="shared" si="112"/>
        <v>5</v>
      </c>
      <c r="AI118" s="38">
        <f t="shared" si="113"/>
        <v>2</v>
      </c>
      <c r="AJ118" s="38">
        <f t="shared" ca="1" si="104"/>
        <v>435</v>
      </c>
      <c r="AK118" s="68">
        <f t="shared" si="114"/>
        <v>570</v>
      </c>
      <c r="AL118" s="38">
        <f t="shared" si="115"/>
        <v>7</v>
      </c>
      <c r="AM118" s="38">
        <f t="shared" si="116"/>
        <v>5</v>
      </c>
      <c r="AN118" s="38">
        <f t="shared" si="117"/>
        <v>2</v>
      </c>
      <c r="AO118" s="38">
        <f t="shared" ca="1" si="105"/>
        <v>510</v>
      </c>
      <c r="AP118" s="68">
        <f t="shared" si="118"/>
        <v>770</v>
      </c>
      <c r="AQ118" s="38">
        <f t="shared" si="106"/>
        <v>21</v>
      </c>
      <c r="AR118" s="38">
        <f t="shared" si="107"/>
        <v>15</v>
      </c>
      <c r="AS118" s="38">
        <f t="shared" si="108"/>
        <v>6</v>
      </c>
      <c r="AT118" s="38">
        <f t="shared" ca="1" si="109"/>
        <v>1315</v>
      </c>
      <c r="AU118" s="68">
        <f t="shared" si="110"/>
        <v>1710</v>
      </c>
    </row>
    <row r="119" spans="1:47" x14ac:dyDescent="0.25">
      <c r="A119" s="86" t="s">
        <v>253</v>
      </c>
      <c r="B119" s="14">
        <v>117</v>
      </c>
      <c r="C119" s="14">
        <f>关卡产出!C124</f>
        <v>92</v>
      </c>
      <c r="D119" s="14">
        <f>关卡产出!D124</f>
        <v>46</v>
      </c>
      <c r="E119" s="14">
        <f>关卡产出!E124</f>
        <v>22</v>
      </c>
      <c r="F119" s="14">
        <f>关卡产出!F124</f>
        <v>1230</v>
      </c>
      <c r="G119" s="38">
        <f t="shared" si="95"/>
        <v>46</v>
      </c>
      <c r="H119" s="38">
        <f t="shared" si="96"/>
        <v>23</v>
      </c>
      <c r="I119" s="38">
        <f t="shared" si="97"/>
        <v>11</v>
      </c>
      <c r="J119" s="38">
        <f t="shared" si="98"/>
        <v>1538</v>
      </c>
      <c r="K119" s="38">
        <f t="shared" ca="1" si="99"/>
        <v>1315</v>
      </c>
      <c r="R119" s="113" t="s">
        <v>253</v>
      </c>
      <c r="S119" s="14">
        <v>117</v>
      </c>
      <c r="T119" s="14">
        <f>关卡对比!AE123</f>
        <v>72</v>
      </c>
      <c r="U119" s="109">
        <f>关卡对比!AF123</f>
        <v>57</v>
      </c>
      <c r="V119" s="70">
        <f t="shared" si="88"/>
        <v>10</v>
      </c>
      <c r="W119" s="38">
        <f t="shared" si="89"/>
        <v>20</v>
      </c>
      <c r="X119" s="68">
        <f t="shared" si="90"/>
        <v>30</v>
      </c>
      <c r="Y119" s="70">
        <f t="shared" si="100"/>
        <v>12.2</v>
      </c>
      <c r="Z119" s="38">
        <f t="shared" si="101"/>
        <v>7.7</v>
      </c>
      <c r="AA119" s="68">
        <f t="shared" si="102"/>
        <v>6.2</v>
      </c>
      <c r="AB119" s="70">
        <f t="shared" si="92"/>
        <v>7</v>
      </c>
      <c r="AC119" s="38">
        <f t="shared" si="93"/>
        <v>5</v>
      </c>
      <c r="AD119" s="38">
        <f t="shared" si="94"/>
        <v>2</v>
      </c>
      <c r="AE119" s="38">
        <f t="shared" ca="1" si="103"/>
        <v>370</v>
      </c>
      <c r="AF119" s="68">
        <f t="shared" si="91"/>
        <v>370</v>
      </c>
      <c r="AG119" s="70">
        <f t="shared" si="111"/>
        <v>7</v>
      </c>
      <c r="AH119" s="38">
        <f t="shared" si="112"/>
        <v>5</v>
      </c>
      <c r="AI119" s="38">
        <f t="shared" si="113"/>
        <v>2</v>
      </c>
      <c r="AJ119" s="38">
        <f t="shared" ca="1" si="104"/>
        <v>435</v>
      </c>
      <c r="AK119" s="68">
        <f t="shared" si="114"/>
        <v>570</v>
      </c>
      <c r="AL119" s="38">
        <f t="shared" si="115"/>
        <v>7</v>
      </c>
      <c r="AM119" s="38">
        <f t="shared" si="116"/>
        <v>5</v>
      </c>
      <c r="AN119" s="38">
        <f t="shared" si="117"/>
        <v>2</v>
      </c>
      <c r="AO119" s="38">
        <f t="shared" ca="1" si="105"/>
        <v>510</v>
      </c>
      <c r="AP119" s="68">
        <f t="shared" si="118"/>
        <v>770</v>
      </c>
      <c r="AQ119" s="38">
        <f t="shared" si="106"/>
        <v>21</v>
      </c>
      <c r="AR119" s="38">
        <f t="shared" si="107"/>
        <v>15</v>
      </c>
      <c r="AS119" s="38">
        <f t="shared" si="108"/>
        <v>6</v>
      </c>
      <c r="AT119" s="38">
        <f t="shared" ca="1" si="109"/>
        <v>1315</v>
      </c>
      <c r="AU119" s="68">
        <f t="shared" si="110"/>
        <v>1710</v>
      </c>
    </row>
    <row r="120" spans="1:47" x14ac:dyDescent="0.25">
      <c r="A120" s="86" t="s">
        <v>253</v>
      </c>
      <c r="B120" s="14">
        <v>118</v>
      </c>
      <c r="C120" s="14">
        <f>关卡产出!C125</f>
        <v>93</v>
      </c>
      <c r="D120" s="14">
        <f>关卡产出!D125</f>
        <v>46</v>
      </c>
      <c r="E120" s="14">
        <f>关卡产出!E125</f>
        <v>23</v>
      </c>
      <c r="F120" s="14">
        <f>关卡产出!F125</f>
        <v>1230</v>
      </c>
      <c r="G120" s="38">
        <f t="shared" si="95"/>
        <v>47</v>
      </c>
      <c r="H120" s="38">
        <f t="shared" si="96"/>
        <v>23</v>
      </c>
      <c r="I120" s="38">
        <f t="shared" si="97"/>
        <v>12</v>
      </c>
      <c r="J120" s="38">
        <f t="shared" si="98"/>
        <v>1538</v>
      </c>
      <c r="K120" s="38">
        <f t="shared" ca="1" si="99"/>
        <v>1315</v>
      </c>
      <c r="R120" s="113" t="s">
        <v>253</v>
      </c>
      <c r="S120" s="14">
        <v>118</v>
      </c>
      <c r="T120" s="14">
        <f>关卡对比!AE124</f>
        <v>72</v>
      </c>
      <c r="U120" s="109">
        <f>关卡对比!AF124</f>
        <v>57</v>
      </c>
      <c r="V120" s="70">
        <f t="shared" si="88"/>
        <v>10</v>
      </c>
      <c r="W120" s="38">
        <f t="shared" si="89"/>
        <v>20</v>
      </c>
      <c r="X120" s="68">
        <f t="shared" si="90"/>
        <v>30</v>
      </c>
      <c r="Y120" s="70">
        <f t="shared" si="100"/>
        <v>12.3</v>
      </c>
      <c r="Z120" s="38">
        <f t="shared" si="101"/>
        <v>7.7</v>
      </c>
      <c r="AA120" s="68">
        <f t="shared" si="102"/>
        <v>6.2</v>
      </c>
      <c r="AB120" s="70">
        <f t="shared" si="92"/>
        <v>7</v>
      </c>
      <c r="AC120" s="38">
        <f t="shared" si="93"/>
        <v>5</v>
      </c>
      <c r="AD120" s="38">
        <f t="shared" si="94"/>
        <v>2</v>
      </c>
      <c r="AE120" s="38">
        <f t="shared" ca="1" si="103"/>
        <v>370</v>
      </c>
      <c r="AF120" s="68">
        <f t="shared" si="91"/>
        <v>370</v>
      </c>
      <c r="AG120" s="70">
        <f t="shared" si="111"/>
        <v>7</v>
      </c>
      <c r="AH120" s="38">
        <f t="shared" si="112"/>
        <v>5</v>
      </c>
      <c r="AI120" s="38">
        <f t="shared" si="113"/>
        <v>2</v>
      </c>
      <c r="AJ120" s="38">
        <f t="shared" ca="1" si="104"/>
        <v>435</v>
      </c>
      <c r="AK120" s="68">
        <f t="shared" si="114"/>
        <v>570</v>
      </c>
      <c r="AL120" s="38">
        <f t="shared" si="115"/>
        <v>7</v>
      </c>
      <c r="AM120" s="38">
        <f t="shared" si="116"/>
        <v>5</v>
      </c>
      <c r="AN120" s="38">
        <f t="shared" si="117"/>
        <v>2</v>
      </c>
      <c r="AO120" s="38">
        <f t="shared" ca="1" si="105"/>
        <v>510</v>
      </c>
      <c r="AP120" s="68">
        <f t="shared" si="118"/>
        <v>770</v>
      </c>
      <c r="AQ120" s="38">
        <f t="shared" si="106"/>
        <v>21</v>
      </c>
      <c r="AR120" s="38">
        <f t="shared" si="107"/>
        <v>15</v>
      </c>
      <c r="AS120" s="38">
        <f t="shared" si="108"/>
        <v>6</v>
      </c>
      <c r="AT120" s="38">
        <f t="shared" ca="1" si="109"/>
        <v>1315</v>
      </c>
      <c r="AU120" s="68">
        <f t="shared" si="110"/>
        <v>1710</v>
      </c>
    </row>
    <row r="121" spans="1:47" x14ac:dyDescent="0.25">
      <c r="A121" s="86" t="s">
        <v>253</v>
      </c>
      <c r="B121" s="14">
        <v>119</v>
      </c>
      <c r="C121" s="14">
        <f>关卡产出!C126</f>
        <v>94</v>
      </c>
      <c r="D121" s="14">
        <f>关卡产出!D126</f>
        <v>47</v>
      </c>
      <c r="E121" s="14">
        <f>关卡产出!E126</f>
        <v>23</v>
      </c>
      <c r="F121" s="14">
        <f>关卡产出!F126</f>
        <v>1250</v>
      </c>
      <c r="G121" s="38">
        <f t="shared" si="95"/>
        <v>47</v>
      </c>
      <c r="H121" s="38">
        <f t="shared" si="96"/>
        <v>24</v>
      </c>
      <c r="I121" s="38">
        <f t="shared" si="97"/>
        <v>12</v>
      </c>
      <c r="J121" s="38">
        <f t="shared" si="98"/>
        <v>1563</v>
      </c>
      <c r="K121" s="38">
        <f t="shared" ca="1" si="99"/>
        <v>1315</v>
      </c>
      <c r="R121" s="113" t="s">
        <v>253</v>
      </c>
      <c r="S121" s="14">
        <v>119</v>
      </c>
      <c r="T121" s="14">
        <f>关卡对比!AE125</f>
        <v>73</v>
      </c>
      <c r="U121" s="109">
        <f>关卡对比!AF125</f>
        <v>58</v>
      </c>
      <c r="V121" s="70">
        <f t="shared" si="88"/>
        <v>10</v>
      </c>
      <c r="W121" s="38">
        <f t="shared" si="89"/>
        <v>20</v>
      </c>
      <c r="X121" s="68">
        <f t="shared" si="90"/>
        <v>30</v>
      </c>
      <c r="Y121" s="70">
        <f t="shared" si="100"/>
        <v>12.4</v>
      </c>
      <c r="Z121" s="38">
        <f t="shared" si="101"/>
        <v>7.8</v>
      </c>
      <c r="AA121" s="68">
        <f t="shared" si="102"/>
        <v>6.3</v>
      </c>
      <c r="AB121" s="70">
        <f t="shared" si="92"/>
        <v>7</v>
      </c>
      <c r="AC121" s="38">
        <f t="shared" si="93"/>
        <v>5</v>
      </c>
      <c r="AD121" s="38">
        <f t="shared" si="94"/>
        <v>2</v>
      </c>
      <c r="AE121" s="38">
        <f t="shared" ca="1" si="103"/>
        <v>370</v>
      </c>
      <c r="AF121" s="68">
        <f t="shared" si="91"/>
        <v>370</v>
      </c>
      <c r="AG121" s="70">
        <f t="shared" si="111"/>
        <v>7</v>
      </c>
      <c r="AH121" s="38">
        <f t="shared" si="112"/>
        <v>5</v>
      </c>
      <c r="AI121" s="38">
        <f t="shared" si="113"/>
        <v>2</v>
      </c>
      <c r="AJ121" s="38">
        <f t="shared" ca="1" si="104"/>
        <v>435</v>
      </c>
      <c r="AK121" s="68">
        <f t="shared" si="114"/>
        <v>570</v>
      </c>
      <c r="AL121" s="38">
        <f t="shared" si="115"/>
        <v>7</v>
      </c>
      <c r="AM121" s="38">
        <f t="shared" si="116"/>
        <v>5</v>
      </c>
      <c r="AN121" s="38">
        <f t="shared" si="117"/>
        <v>2</v>
      </c>
      <c r="AO121" s="38">
        <f t="shared" ca="1" si="105"/>
        <v>510</v>
      </c>
      <c r="AP121" s="68">
        <f t="shared" si="118"/>
        <v>770</v>
      </c>
      <c r="AQ121" s="38">
        <f t="shared" si="106"/>
        <v>21</v>
      </c>
      <c r="AR121" s="38">
        <f t="shared" si="107"/>
        <v>15</v>
      </c>
      <c r="AS121" s="38">
        <f t="shared" si="108"/>
        <v>6</v>
      </c>
      <c r="AT121" s="38">
        <f ca="1">AO121+AJ121+AE121</f>
        <v>1315</v>
      </c>
      <c r="AU121" s="68">
        <f t="shared" si="110"/>
        <v>1710</v>
      </c>
    </row>
    <row r="122" spans="1:47" x14ac:dyDescent="0.25">
      <c r="A122" s="86" t="s">
        <v>253</v>
      </c>
      <c r="B122" s="14">
        <v>120</v>
      </c>
      <c r="C122" s="14">
        <f>关卡产出!C127</f>
        <v>94</v>
      </c>
      <c r="D122" s="14">
        <f>关卡产出!D127</f>
        <v>47</v>
      </c>
      <c r="E122" s="14">
        <f>关卡产出!E127</f>
        <v>23</v>
      </c>
      <c r="F122" s="14">
        <f>关卡产出!F127</f>
        <v>1250</v>
      </c>
      <c r="G122" s="38">
        <f t="shared" si="95"/>
        <v>47</v>
      </c>
      <c r="H122" s="38">
        <f t="shared" si="96"/>
        <v>24</v>
      </c>
      <c r="I122" s="38">
        <f t="shared" si="97"/>
        <v>12</v>
      </c>
      <c r="J122" s="38">
        <f t="shared" si="98"/>
        <v>1563</v>
      </c>
      <c r="K122" s="38">
        <f t="shared" ca="1" si="99"/>
        <v>1315</v>
      </c>
      <c r="R122" s="113" t="s">
        <v>253</v>
      </c>
      <c r="S122" s="14">
        <v>120</v>
      </c>
      <c r="T122" s="14">
        <f>关卡对比!AE126</f>
        <v>73</v>
      </c>
      <c r="U122" s="109">
        <f>关卡对比!AF126</f>
        <v>58</v>
      </c>
      <c r="V122" s="70">
        <f t="shared" si="88"/>
        <v>10</v>
      </c>
      <c r="W122" s="38">
        <f t="shared" si="89"/>
        <v>20</v>
      </c>
      <c r="X122" s="68">
        <f t="shared" si="90"/>
        <v>30</v>
      </c>
      <c r="Y122" s="70">
        <f t="shared" si="100"/>
        <v>12.5</v>
      </c>
      <c r="Z122" s="38">
        <f t="shared" si="101"/>
        <v>7.8</v>
      </c>
      <c r="AA122" s="68">
        <f t="shared" si="102"/>
        <v>6.3</v>
      </c>
      <c r="AB122" s="70">
        <f t="shared" si="92"/>
        <v>7</v>
      </c>
      <c r="AC122" s="38">
        <f t="shared" si="93"/>
        <v>5</v>
      </c>
      <c r="AD122" s="38">
        <f t="shared" si="94"/>
        <v>2</v>
      </c>
      <c r="AE122" s="38">
        <f t="shared" ca="1" si="103"/>
        <v>370</v>
      </c>
      <c r="AF122" s="68">
        <f t="shared" si="91"/>
        <v>370</v>
      </c>
      <c r="AG122" s="70">
        <f t="shared" si="111"/>
        <v>7</v>
      </c>
      <c r="AH122" s="38">
        <f t="shared" si="112"/>
        <v>5</v>
      </c>
      <c r="AI122" s="38">
        <f t="shared" si="113"/>
        <v>2</v>
      </c>
      <c r="AJ122" s="38">
        <f t="shared" ca="1" si="104"/>
        <v>435</v>
      </c>
      <c r="AK122" s="68">
        <f t="shared" si="114"/>
        <v>570</v>
      </c>
      <c r="AL122" s="38">
        <f t="shared" si="115"/>
        <v>7</v>
      </c>
      <c r="AM122" s="38">
        <f t="shared" si="116"/>
        <v>5</v>
      </c>
      <c r="AN122" s="38">
        <f t="shared" si="117"/>
        <v>2</v>
      </c>
      <c r="AO122" s="38">
        <f t="shared" ca="1" si="105"/>
        <v>510</v>
      </c>
      <c r="AP122" s="68">
        <f t="shared" si="118"/>
        <v>770</v>
      </c>
      <c r="AQ122" s="38">
        <f t="shared" si="106"/>
        <v>21</v>
      </c>
      <c r="AR122" s="38">
        <f t="shared" si="107"/>
        <v>15</v>
      </c>
      <c r="AS122" s="38">
        <f t="shared" si="108"/>
        <v>6</v>
      </c>
      <c r="AT122" s="38">
        <f t="shared" ca="1" si="109"/>
        <v>1315</v>
      </c>
      <c r="AU122" s="68">
        <f t="shared" si="110"/>
        <v>1710</v>
      </c>
    </row>
    <row r="123" spans="1:47" x14ac:dyDescent="0.25">
      <c r="A123" s="86" t="s">
        <v>253</v>
      </c>
      <c r="B123" s="14">
        <v>121</v>
      </c>
      <c r="C123" s="14">
        <f>关卡产出!C128</f>
        <v>95</v>
      </c>
      <c r="D123" s="14">
        <f>关卡产出!D128</f>
        <v>47</v>
      </c>
      <c r="E123" s="14">
        <f>关卡产出!E128</f>
        <v>23</v>
      </c>
      <c r="F123" s="14">
        <f>关卡产出!F128</f>
        <v>1270</v>
      </c>
      <c r="G123" s="38">
        <f t="shared" si="95"/>
        <v>48</v>
      </c>
      <c r="H123" s="38">
        <f t="shared" si="96"/>
        <v>24</v>
      </c>
      <c r="I123" s="38">
        <f t="shared" si="97"/>
        <v>12</v>
      </c>
      <c r="J123" s="38">
        <f t="shared" si="98"/>
        <v>1588</v>
      </c>
      <c r="K123" s="38">
        <f t="shared" ca="1" si="99"/>
        <v>1315</v>
      </c>
      <c r="R123" s="113" t="s">
        <v>253</v>
      </c>
      <c r="S123" s="14">
        <v>121</v>
      </c>
      <c r="T123" s="14">
        <f>关卡对比!AE127</f>
        <v>74</v>
      </c>
      <c r="U123" s="109">
        <f>关卡对比!AF127</f>
        <v>58</v>
      </c>
      <c r="V123" s="70">
        <f t="shared" si="88"/>
        <v>10</v>
      </c>
      <c r="W123" s="38">
        <f t="shared" si="89"/>
        <v>20</v>
      </c>
      <c r="X123" s="68">
        <f t="shared" si="90"/>
        <v>30</v>
      </c>
      <c r="Y123" s="70">
        <f t="shared" si="100"/>
        <v>12.6</v>
      </c>
      <c r="Z123" s="38">
        <f t="shared" si="101"/>
        <v>7.9</v>
      </c>
      <c r="AA123" s="68">
        <f t="shared" si="102"/>
        <v>6.3</v>
      </c>
      <c r="AB123" s="70">
        <f t="shared" si="92"/>
        <v>7</v>
      </c>
      <c r="AC123" s="38">
        <f t="shared" si="93"/>
        <v>5</v>
      </c>
      <c r="AD123" s="38">
        <f t="shared" si="94"/>
        <v>2</v>
      </c>
      <c r="AE123" s="38">
        <f t="shared" ca="1" si="103"/>
        <v>370</v>
      </c>
      <c r="AF123" s="68">
        <f t="shared" si="91"/>
        <v>370</v>
      </c>
      <c r="AG123" s="70">
        <f t="shared" si="111"/>
        <v>7</v>
      </c>
      <c r="AH123" s="38">
        <f t="shared" si="112"/>
        <v>5</v>
      </c>
      <c r="AI123" s="38">
        <f t="shared" si="113"/>
        <v>2</v>
      </c>
      <c r="AJ123" s="38">
        <f t="shared" ca="1" si="104"/>
        <v>435</v>
      </c>
      <c r="AK123" s="68">
        <f t="shared" si="114"/>
        <v>570</v>
      </c>
      <c r="AL123" s="38">
        <f t="shared" si="115"/>
        <v>7</v>
      </c>
      <c r="AM123" s="38">
        <f t="shared" si="116"/>
        <v>5</v>
      </c>
      <c r="AN123" s="38">
        <f t="shared" si="117"/>
        <v>2</v>
      </c>
      <c r="AO123" s="38">
        <f t="shared" ca="1" si="105"/>
        <v>510</v>
      </c>
      <c r="AP123" s="68">
        <f t="shared" si="118"/>
        <v>770</v>
      </c>
      <c r="AQ123" s="38">
        <f t="shared" si="106"/>
        <v>21</v>
      </c>
      <c r="AR123" s="38">
        <f t="shared" si="107"/>
        <v>15</v>
      </c>
      <c r="AS123" s="38">
        <f t="shared" si="108"/>
        <v>6</v>
      </c>
      <c r="AT123" s="38">
        <f t="shared" ca="1" si="109"/>
        <v>1315</v>
      </c>
      <c r="AU123" s="68">
        <f t="shared" si="110"/>
        <v>1710</v>
      </c>
    </row>
    <row r="124" spans="1:47" x14ac:dyDescent="0.25">
      <c r="A124" s="86" t="s">
        <v>253</v>
      </c>
      <c r="B124" s="14">
        <v>122</v>
      </c>
      <c r="C124" s="14">
        <f>关卡产出!C129</f>
        <v>96</v>
      </c>
      <c r="D124" s="14">
        <f>关卡产出!D129</f>
        <v>48</v>
      </c>
      <c r="E124" s="14">
        <f>关卡产出!E129</f>
        <v>23</v>
      </c>
      <c r="F124" s="14">
        <f>关卡产出!F129</f>
        <v>1270</v>
      </c>
      <c r="G124" s="38">
        <f t="shared" si="95"/>
        <v>48</v>
      </c>
      <c r="H124" s="38">
        <f t="shared" si="96"/>
        <v>24</v>
      </c>
      <c r="I124" s="38">
        <f t="shared" si="97"/>
        <v>12</v>
      </c>
      <c r="J124" s="38">
        <f t="shared" si="98"/>
        <v>1588</v>
      </c>
      <c r="K124" s="38">
        <f t="shared" ca="1" si="99"/>
        <v>1315</v>
      </c>
      <c r="R124" s="113" t="s">
        <v>253</v>
      </c>
      <c r="S124" s="14">
        <v>122</v>
      </c>
      <c r="T124" s="14">
        <f>关卡对比!AE128</f>
        <v>74</v>
      </c>
      <c r="U124" s="109">
        <f>关卡对比!AF128</f>
        <v>59</v>
      </c>
      <c r="V124" s="70">
        <f t="shared" si="88"/>
        <v>10</v>
      </c>
      <c r="W124" s="38">
        <f t="shared" si="89"/>
        <v>20</v>
      </c>
      <c r="X124" s="68">
        <f t="shared" si="90"/>
        <v>30</v>
      </c>
      <c r="Y124" s="70">
        <f t="shared" si="100"/>
        <v>12.7</v>
      </c>
      <c r="Z124" s="38">
        <f t="shared" si="101"/>
        <v>7.9</v>
      </c>
      <c r="AA124" s="68">
        <f t="shared" si="102"/>
        <v>6.4</v>
      </c>
      <c r="AB124" s="70">
        <f t="shared" si="92"/>
        <v>7</v>
      </c>
      <c r="AC124" s="38">
        <f t="shared" si="93"/>
        <v>5</v>
      </c>
      <c r="AD124" s="38">
        <f t="shared" si="94"/>
        <v>2</v>
      </c>
      <c r="AE124" s="38">
        <f t="shared" ca="1" si="103"/>
        <v>370</v>
      </c>
      <c r="AF124" s="68">
        <f t="shared" si="91"/>
        <v>370</v>
      </c>
      <c r="AG124" s="70">
        <f t="shared" si="111"/>
        <v>7</v>
      </c>
      <c r="AH124" s="38">
        <f t="shared" si="112"/>
        <v>5</v>
      </c>
      <c r="AI124" s="38">
        <f t="shared" si="113"/>
        <v>2</v>
      </c>
      <c r="AJ124" s="38">
        <f t="shared" ca="1" si="104"/>
        <v>435</v>
      </c>
      <c r="AK124" s="68">
        <f t="shared" si="114"/>
        <v>570</v>
      </c>
      <c r="AL124" s="38">
        <f t="shared" si="115"/>
        <v>7</v>
      </c>
      <c r="AM124" s="38">
        <f t="shared" si="116"/>
        <v>5</v>
      </c>
      <c r="AN124" s="38">
        <f t="shared" si="117"/>
        <v>2</v>
      </c>
      <c r="AO124" s="38">
        <f t="shared" ca="1" si="105"/>
        <v>510</v>
      </c>
      <c r="AP124" s="68">
        <f t="shared" si="118"/>
        <v>770</v>
      </c>
      <c r="AQ124" s="38">
        <f t="shared" si="106"/>
        <v>21</v>
      </c>
      <c r="AR124" s="38">
        <f t="shared" si="107"/>
        <v>15</v>
      </c>
      <c r="AS124" s="38">
        <f t="shared" si="108"/>
        <v>6</v>
      </c>
      <c r="AT124" s="38">
        <f t="shared" ca="1" si="109"/>
        <v>1315</v>
      </c>
      <c r="AU124" s="68">
        <f t="shared" si="110"/>
        <v>1710</v>
      </c>
    </row>
    <row r="125" spans="1:47" x14ac:dyDescent="0.25">
      <c r="A125" s="86" t="s">
        <v>253</v>
      </c>
      <c r="B125" s="14">
        <v>123</v>
      </c>
      <c r="C125" s="14">
        <f>关卡产出!C130</f>
        <v>97</v>
      </c>
      <c r="D125" s="14">
        <f>关卡产出!D130</f>
        <v>48</v>
      </c>
      <c r="E125" s="14">
        <f>关卡产出!E130</f>
        <v>24</v>
      </c>
      <c r="F125" s="14">
        <f>关卡产出!F130</f>
        <v>1290</v>
      </c>
      <c r="G125" s="38">
        <f t="shared" si="95"/>
        <v>49</v>
      </c>
      <c r="H125" s="38">
        <f t="shared" si="96"/>
        <v>24</v>
      </c>
      <c r="I125" s="38">
        <f t="shared" si="97"/>
        <v>12</v>
      </c>
      <c r="J125" s="38">
        <f t="shared" si="98"/>
        <v>1613</v>
      </c>
      <c r="K125" s="38">
        <f t="shared" ca="1" si="99"/>
        <v>1360</v>
      </c>
      <c r="R125" s="113" t="s">
        <v>253</v>
      </c>
      <c r="S125" s="14">
        <v>123</v>
      </c>
      <c r="T125" s="14">
        <f>关卡对比!AE129</f>
        <v>75</v>
      </c>
      <c r="U125" s="109">
        <f>关卡对比!AF129</f>
        <v>59</v>
      </c>
      <c r="V125" s="70">
        <f t="shared" si="88"/>
        <v>10</v>
      </c>
      <c r="W125" s="38">
        <f t="shared" si="89"/>
        <v>20</v>
      </c>
      <c r="X125" s="68">
        <f t="shared" si="90"/>
        <v>30</v>
      </c>
      <c r="Y125" s="70">
        <f t="shared" si="100"/>
        <v>12.8</v>
      </c>
      <c r="Z125" s="38">
        <f t="shared" si="101"/>
        <v>8</v>
      </c>
      <c r="AA125" s="68">
        <f t="shared" si="102"/>
        <v>6.4</v>
      </c>
      <c r="AB125" s="70">
        <f t="shared" si="92"/>
        <v>7</v>
      </c>
      <c r="AC125" s="38">
        <f t="shared" si="93"/>
        <v>5</v>
      </c>
      <c r="AD125" s="38">
        <f t="shared" si="94"/>
        <v>2</v>
      </c>
      <c r="AE125" s="38">
        <f t="shared" ca="1" si="103"/>
        <v>370</v>
      </c>
      <c r="AF125" s="68">
        <f t="shared" si="91"/>
        <v>370</v>
      </c>
      <c r="AG125" s="70">
        <f t="shared" si="111"/>
        <v>7</v>
      </c>
      <c r="AH125" s="38">
        <f t="shared" si="112"/>
        <v>5</v>
      </c>
      <c r="AI125" s="38">
        <f t="shared" si="113"/>
        <v>2</v>
      </c>
      <c r="AJ125" s="38">
        <f t="shared" ca="1" si="104"/>
        <v>480</v>
      </c>
      <c r="AK125" s="68">
        <f t="shared" si="114"/>
        <v>570</v>
      </c>
      <c r="AL125" s="38">
        <f t="shared" si="115"/>
        <v>7</v>
      </c>
      <c r="AM125" s="38">
        <f t="shared" si="116"/>
        <v>5</v>
      </c>
      <c r="AN125" s="38">
        <f t="shared" si="117"/>
        <v>2</v>
      </c>
      <c r="AO125" s="38">
        <f t="shared" ca="1" si="105"/>
        <v>510</v>
      </c>
      <c r="AP125" s="68">
        <f t="shared" si="118"/>
        <v>770</v>
      </c>
      <c r="AQ125" s="38">
        <f t="shared" si="106"/>
        <v>21</v>
      </c>
      <c r="AR125" s="38">
        <f t="shared" si="107"/>
        <v>15</v>
      </c>
      <c r="AS125" s="38">
        <f t="shared" si="108"/>
        <v>6</v>
      </c>
      <c r="AT125" s="38">
        <f t="shared" ca="1" si="109"/>
        <v>1360</v>
      </c>
      <c r="AU125" s="68">
        <f>AP125+AK125+AF125</f>
        <v>1710</v>
      </c>
    </row>
    <row r="126" spans="1:47" x14ac:dyDescent="0.25">
      <c r="A126" s="86" t="s">
        <v>253</v>
      </c>
      <c r="B126" s="14">
        <v>124</v>
      </c>
      <c r="C126" s="14">
        <f>关卡产出!C131</f>
        <v>98</v>
      </c>
      <c r="D126" s="14">
        <f>关卡产出!D131</f>
        <v>49</v>
      </c>
      <c r="E126" s="14">
        <f>关卡产出!E131</f>
        <v>24</v>
      </c>
      <c r="F126" s="14">
        <f>关卡产出!F131</f>
        <v>1290</v>
      </c>
      <c r="G126" s="38">
        <f t="shared" si="95"/>
        <v>49</v>
      </c>
      <c r="H126" s="38">
        <f t="shared" si="96"/>
        <v>25</v>
      </c>
      <c r="I126" s="38">
        <f t="shared" si="97"/>
        <v>12</v>
      </c>
      <c r="J126" s="38">
        <f t="shared" si="98"/>
        <v>1613</v>
      </c>
      <c r="K126" s="38">
        <f t="shared" ca="1" si="99"/>
        <v>1360</v>
      </c>
      <c r="R126" s="113" t="s">
        <v>253</v>
      </c>
      <c r="S126" s="14">
        <v>124</v>
      </c>
      <c r="T126" s="14">
        <f>关卡对比!AE130</f>
        <v>75</v>
      </c>
      <c r="U126" s="109">
        <f>关卡对比!AF130</f>
        <v>59</v>
      </c>
      <c r="V126" s="70">
        <f t="shared" si="88"/>
        <v>10</v>
      </c>
      <c r="W126" s="38">
        <f t="shared" si="89"/>
        <v>20</v>
      </c>
      <c r="X126" s="68">
        <f t="shared" si="90"/>
        <v>30</v>
      </c>
      <c r="Y126" s="70">
        <f t="shared" si="100"/>
        <v>12.9</v>
      </c>
      <c r="Z126" s="38">
        <f t="shared" si="101"/>
        <v>8</v>
      </c>
      <c r="AA126" s="68">
        <f t="shared" si="102"/>
        <v>6.4</v>
      </c>
      <c r="AB126" s="70">
        <f t="shared" si="92"/>
        <v>7</v>
      </c>
      <c r="AC126" s="38">
        <f t="shared" si="93"/>
        <v>5</v>
      </c>
      <c r="AD126" s="38">
        <f t="shared" si="94"/>
        <v>2</v>
      </c>
      <c r="AE126" s="38">
        <f t="shared" ca="1" si="103"/>
        <v>370</v>
      </c>
      <c r="AF126" s="68">
        <f t="shared" si="91"/>
        <v>370</v>
      </c>
      <c r="AG126" s="70">
        <f t="shared" si="111"/>
        <v>7</v>
      </c>
      <c r="AH126" s="38">
        <f t="shared" si="112"/>
        <v>5</v>
      </c>
      <c r="AI126" s="38">
        <f t="shared" si="113"/>
        <v>2</v>
      </c>
      <c r="AJ126" s="38">
        <f t="shared" ca="1" si="104"/>
        <v>480</v>
      </c>
      <c r="AK126" s="68">
        <f t="shared" si="114"/>
        <v>570</v>
      </c>
      <c r="AL126" s="38">
        <f t="shared" si="115"/>
        <v>7</v>
      </c>
      <c r="AM126" s="38">
        <f t="shared" si="116"/>
        <v>5</v>
      </c>
      <c r="AN126" s="38">
        <f t="shared" si="117"/>
        <v>2</v>
      </c>
      <c r="AO126" s="38">
        <f t="shared" ca="1" si="105"/>
        <v>510</v>
      </c>
      <c r="AP126" s="68">
        <f t="shared" si="118"/>
        <v>770</v>
      </c>
      <c r="AQ126" s="38">
        <f t="shared" si="106"/>
        <v>21</v>
      </c>
      <c r="AR126" s="38">
        <f t="shared" si="107"/>
        <v>15</v>
      </c>
      <c r="AS126" s="38">
        <f t="shared" si="108"/>
        <v>6</v>
      </c>
      <c r="AT126" s="38">
        <f t="shared" ca="1" si="109"/>
        <v>1360</v>
      </c>
      <c r="AU126" s="68">
        <f>AP126+AK126+AF126</f>
        <v>1710</v>
      </c>
    </row>
    <row r="127" spans="1:47" x14ac:dyDescent="0.25">
      <c r="A127" s="86" t="s">
        <v>253</v>
      </c>
      <c r="B127" s="14">
        <v>125</v>
      </c>
      <c r="C127" s="14">
        <f>关卡产出!C132</f>
        <v>98</v>
      </c>
      <c r="D127" s="14">
        <f>关卡产出!D132</f>
        <v>49</v>
      </c>
      <c r="E127" s="14">
        <f>关卡产出!E132</f>
        <v>24</v>
      </c>
      <c r="F127" s="14">
        <f>关卡产出!F132</f>
        <v>1310</v>
      </c>
      <c r="G127" s="38">
        <f t="shared" si="95"/>
        <v>49</v>
      </c>
      <c r="H127" s="38">
        <f t="shared" si="96"/>
        <v>25</v>
      </c>
      <c r="I127" s="38">
        <f t="shared" si="97"/>
        <v>12</v>
      </c>
      <c r="J127" s="38">
        <f t="shared" si="98"/>
        <v>1638</v>
      </c>
      <c r="K127" s="38">
        <f t="shared" ca="1" si="99"/>
        <v>1360</v>
      </c>
      <c r="R127" s="113" t="s">
        <v>253</v>
      </c>
      <c r="S127" s="14">
        <v>125</v>
      </c>
      <c r="T127" s="14">
        <f>关卡对比!AE131</f>
        <v>76</v>
      </c>
      <c r="U127" s="109">
        <f>关卡对比!AF131</f>
        <v>60</v>
      </c>
      <c r="V127" s="70">
        <f t="shared" si="88"/>
        <v>10</v>
      </c>
      <c r="W127" s="38">
        <f t="shared" si="89"/>
        <v>20</v>
      </c>
      <c r="X127" s="68">
        <f t="shared" si="90"/>
        <v>30</v>
      </c>
      <c r="Y127" s="70">
        <f t="shared" si="100"/>
        <v>13</v>
      </c>
      <c r="Z127" s="38">
        <f t="shared" si="101"/>
        <v>8.1</v>
      </c>
      <c r="AA127" s="68">
        <f t="shared" si="102"/>
        <v>6.5</v>
      </c>
      <c r="AB127" s="70">
        <f t="shared" si="92"/>
        <v>7</v>
      </c>
      <c r="AC127" s="38">
        <f t="shared" si="93"/>
        <v>5</v>
      </c>
      <c r="AD127" s="38">
        <f t="shared" si="94"/>
        <v>2</v>
      </c>
      <c r="AE127" s="38">
        <f t="shared" ca="1" si="103"/>
        <v>370</v>
      </c>
      <c r="AF127" s="68">
        <f t="shared" si="91"/>
        <v>370</v>
      </c>
      <c r="AG127" s="70">
        <f t="shared" si="111"/>
        <v>7</v>
      </c>
      <c r="AH127" s="38">
        <f t="shared" si="112"/>
        <v>5</v>
      </c>
      <c r="AI127" s="38">
        <f t="shared" si="113"/>
        <v>2</v>
      </c>
      <c r="AJ127" s="38">
        <f t="shared" ca="1" si="104"/>
        <v>480</v>
      </c>
      <c r="AK127" s="68">
        <f t="shared" si="114"/>
        <v>570</v>
      </c>
      <c r="AL127" s="38">
        <f t="shared" si="115"/>
        <v>7</v>
      </c>
      <c r="AM127" s="38">
        <f t="shared" si="116"/>
        <v>5</v>
      </c>
      <c r="AN127" s="38">
        <f t="shared" si="117"/>
        <v>2</v>
      </c>
      <c r="AO127" s="38">
        <f t="shared" ca="1" si="105"/>
        <v>510</v>
      </c>
      <c r="AP127" s="68">
        <f t="shared" si="118"/>
        <v>770</v>
      </c>
      <c r="AQ127" s="38">
        <f t="shared" si="106"/>
        <v>21</v>
      </c>
      <c r="AR127" s="38">
        <f t="shared" si="107"/>
        <v>15</v>
      </c>
      <c r="AS127" s="38">
        <f t="shared" si="108"/>
        <v>6</v>
      </c>
      <c r="AT127" s="38">
        <f t="shared" ca="1" si="109"/>
        <v>1360</v>
      </c>
      <c r="AU127" s="68">
        <f t="shared" si="110"/>
        <v>1710</v>
      </c>
    </row>
    <row r="128" spans="1:47" x14ac:dyDescent="0.25">
      <c r="A128" s="86" t="s">
        <v>253</v>
      </c>
      <c r="B128" s="14">
        <v>126</v>
      </c>
      <c r="C128" s="14">
        <f>关卡产出!C133</f>
        <v>99</v>
      </c>
      <c r="D128" s="14">
        <f>关卡产出!D133</f>
        <v>49</v>
      </c>
      <c r="E128" s="14">
        <f>关卡产出!E133</f>
        <v>24</v>
      </c>
      <c r="F128" s="14">
        <f>关卡产出!F133</f>
        <v>1310</v>
      </c>
      <c r="G128" s="38">
        <f t="shared" si="95"/>
        <v>50</v>
      </c>
      <c r="H128" s="38">
        <f t="shared" si="96"/>
        <v>25</v>
      </c>
      <c r="I128" s="38">
        <f t="shared" si="97"/>
        <v>12</v>
      </c>
      <c r="J128" s="38">
        <f t="shared" si="98"/>
        <v>1638</v>
      </c>
      <c r="K128" s="38">
        <f ca="1">AT128</f>
        <v>1360</v>
      </c>
      <c r="R128" s="113" t="s">
        <v>253</v>
      </c>
      <c r="S128" s="14">
        <v>126</v>
      </c>
      <c r="T128" s="14">
        <f>关卡对比!AE132</f>
        <v>76</v>
      </c>
      <c r="U128" s="109">
        <f>关卡对比!AF132</f>
        <v>60</v>
      </c>
      <c r="V128" s="70">
        <f t="shared" si="88"/>
        <v>10</v>
      </c>
      <c r="W128" s="38">
        <f t="shared" si="89"/>
        <v>20</v>
      </c>
      <c r="X128" s="68">
        <f t="shared" si="90"/>
        <v>30</v>
      </c>
      <c r="Y128" s="70">
        <f t="shared" si="100"/>
        <v>13.1</v>
      </c>
      <c r="Z128" s="38">
        <f t="shared" si="101"/>
        <v>8.1</v>
      </c>
      <c r="AA128" s="68">
        <f t="shared" si="102"/>
        <v>6.5</v>
      </c>
      <c r="AB128" s="70">
        <f t="shared" si="92"/>
        <v>7</v>
      </c>
      <c r="AC128" s="38">
        <f t="shared" si="93"/>
        <v>5</v>
      </c>
      <c r="AD128" s="38">
        <f t="shared" si="94"/>
        <v>2</v>
      </c>
      <c r="AE128" s="38">
        <f t="shared" ca="1" si="103"/>
        <v>370</v>
      </c>
      <c r="AF128" s="68">
        <f t="shared" si="91"/>
        <v>370</v>
      </c>
      <c r="AG128" s="70">
        <f t="shared" si="111"/>
        <v>7</v>
      </c>
      <c r="AH128" s="38">
        <f t="shared" si="112"/>
        <v>5</v>
      </c>
      <c r="AI128" s="38">
        <f t="shared" si="113"/>
        <v>2</v>
      </c>
      <c r="AJ128" s="38">
        <f t="shared" ca="1" si="104"/>
        <v>480</v>
      </c>
      <c r="AK128" s="68">
        <f t="shared" si="114"/>
        <v>570</v>
      </c>
      <c r="AL128" s="38">
        <f t="shared" si="115"/>
        <v>7</v>
      </c>
      <c r="AM128" s="38">
        <f t="shared" si="116"/>
        <v>5</v>
      </c>
      <c r="AN128" s="38">
        <f t="shared" si="117"/>
        <v>2</v>
      </c>
      <c r="AO128" s="38">
        <f t="shared" ca="1" si="105"/>
        <v>510</v>
      </c>
      <c r="AP128" s="68">
        <f t="shared" si="118"/>
        <v>770</v>
      </c>
      <c r="AQ128" s="38">
        <f t="shared" si="106"/>
        <v>21</v>
      </c>
      <c r="AR128" s="38">
        <f t="shared" si="107"/>
        <v>15</v>
      </c>
      <c r="AS128" s="38">
        <f t="shared" si="108"/>
        <v>6</v>
      </c>
      <c r="AT128" s="38">
        <f t="shared" ca="1" si="109"/>
        <v>1360</v>
      </c>
      <c r="AU128" s="68">
        <f t="shared" si="110"/>
        <v>1710</v>
      </c>
    </row>
    <row r="129" spans="1:47" x14ac:dyDescent="0.25">
      <c r="A129" s="86" t="s">
        <v>253</v>
      </c>
      <c r="B129" s="14">
        <v>127</v>
      </c>
      <c r="C129" s="14">
        <f>关卡产出!C134</f>
        <v>100</v>
      </c>
      <c r="D129" s="14">
        <f>关卡产出!D134</f>
        <v>50</v>
      </c>
      <c r="E129" s="14">
        <f>关卡产出!E134</f>
        <v>24</v>
      </c>
      <c r="F129" s="14">
        <f>关卡产出!F134</f>
        <v>1330</v>
      </c>
      <c r="G129" s="38">
        <f t="shared" si="95"/>
        <v>50</v>
      </c>
      <c r="H129" s="38">
        <f t="shared" si="96"/>
        <v>25</v>
      </c>
      <c r="I129" s="38">
        <f t="shared" si="97"/>
        <v>12</v>
      </c>
      <c r="J129" s="38">
        <f t="shared" si="98"/>
        <v>1663</v>
      </c>
      <c r="K129" s="38">
        <f t="shared" ca="1" si="99"/>
        <v>1360</v>
      </c>
      <c r="R129" s="113" t="s">
        <v>253</v>
      </c>
      <c r="S129" s="14">
        <v>127</v>
      </c>
      <c r="T129" s="14">
        <f>关卡对比!AE133</f>
        <v>77</v>
      </c>
      <c r="U129" s="109">
        <f>关卡对比!AF133</f>
        <v>60</v>
      </c>
      <c r="V129" s="70">
        <f t="shared" si="88"/>
        <v>10</v>
      </c>
      <c r="W129" s="38">
        <f t="shared" si="89"/>
        <v>20</v>
      </c>
      <c r="X129" s="68">
        <f t="shared" si="90"/>
        <v>30</v>
      </c>
      <c r="Y129" s="70">
        <f t="shared" si="100"/>
        <v>13.2</v>
      </c>
      <c r="Z129" s="38">
        <f t="shared" si="101"/>
        <v>8.1999999999999993</v>
      </c>
      <c r="AA129" s="68">
        <f t="shared" si="102"/>
        <v>6.5</v>
      </c>
      <c r="AB129" s="70">
        <f t="shared" si="92"/>
        <v>7</v>
      </c>
      <c r="AC129" s="38">
        <f t="shared" si="93"/>
        <v>5</v>
      </c>
      <c r="AD129" s="38">
        <f t="shared" si="94"/>
        <v>2</v>
      </c>
      <c r="AE129" s="38">
        <f t="shared" ca="1" si="103"/>
        <v>370</v>
      </c>
      <c r="AF129" s="68">
        <f t="shared" si="91"/>
        <v>370</v>
      </c>
      <c r="AG129" s="70">
        <f t="shared" si="111"/>
        <v>7</v>
      </c>
      <c r="AH129" s="38">
        <f t="shared" si="112"/>
        <v>5</v>
      </c>
      <c r="AI129" s="38">
        <f t="shared" si="113"/>
        <v>2</v>
      </c>
      <c r="AJ129" s="38">
        <f t="shared" ca="1" si="104"/>
        <v>480</v>
      </c>
      <c r="AK129" s="68">
        <f t="shared" si="114"/>
        <v>570</v>
      </c>
      <c r="AL129" s="38">
        <f t="shared" si="115"/>
        <v>7</v>
      </c>
      <c r="AM129" s="38">
        <f t="shared" si="116"/>
        <v>5</v>
      </c>
      <c r="AN129" s="38">
        <f t="shared" si="117"/>
        <v>2</v>
      </c>
      <c r="AO129" s="38">
        <f t="shared" ca="1" si="105"/>
        <v>510</v>
      </c>
      <c r="AP129" s="68">
        <f t="shared" si="118"/>
        <v>770</v>
      </c>
      <c r="AQ129" s="38">
        <f t="shared" si="106"/>
        <v>21</v>
      </c>
      <c r="AR129" s="38">
        <f t="shared" si="107"/>
        <v>15</v>
      </c>
      <c r="AS129" s="38">
        <f t="shared" si="108"/>
        <v>6</v>
      </c>
      <c r="AT129" s="38">
        <f t="shared" ca="1" si="109"/>
        <v>1360</v>
      </c>
      <c r="AU129" s="68">
        <f t="shared" si="110"/>
        <v>1710</v>
      </c>
    </row>
    <row r="130" spans="1:47" x14ac:dyDescent="0.25">
      <c r="A130" s="86" t="s">
        <v>253</v>
      </c>
      <c r="B130" s="14">
        <v>128</v>
      </c>
      <c r="C130" s="14">
        <f>关卡产出!C135</f>
        <v>101</v>
      </c>
      <c r="D130" s="14">
        <f>关卡产出!D135</f>
        <v>50</v>
      </c>
      <c r="E130" s="14">
        <f>关卡产出!E135</f>
        <v>25</v>
      </c>
      <c r="F130" s="14">
        <f>关卡产出!F135</f>
        <v>1330</v>
      </c>
      <c r="G130" s="38">
        <f t="shared" si="95"/>
        <v>51</v>
      </c>
      <c r="H130" s="38">
        <f t="shared" si="96"/>
        <v>25</v>
      </c>
      <c r="I130" s="38">
        <f t="shared" si="97"/>
        <v>13</v>
      </c>
      <c r="J130" s="38">
        <f t="shared" si="98"/>
        <v>1663</v>
      </c>
      <c r="K130" s="38">
        <f t="shared" ca="1" si="99"/>
        <v>1360</v>
      </c>
      <c r="R130" s="113" t="s">
        <v>253</v>
      </c>
      <c r="S130" s="14">
        <v>128</v>
      </c>
      <c r="T130" s="14">
        <f>关卡对比!AE134</f>
        <v>77</v>
      </c>
      <c r="U130" s="109">
        <f>关卡对比!AF134</f>
        <v>61</v>
      </c>
      <c r="V130" s="70">
        <f t="shared" si="88"/>
        <v>10</v>
      </c>
      <c r="W130" s="38">
        <f t="shared" si="89"/>
        <v>20</v>
      </c>
      <c r="X130" s="68">
        <f t="shared" si="90"/>
        <v>30</v>
      </c>
      <c r="Y130" s="70">
        <f t="shared" si="100"/>
        <v>13.3</v>
      </c>
      <c r="Z130" s="38">
        <f t="shared" si="101"/>
        <v>8.1999999999999993</v>
      </c>
      <c r="AA130" s="68">
        <f t="shared" si="102"/>
        <v>6.6</v>
      </c>
      <c r="AB130" s="70">
        <f t="shared" si="92"/>
        <v>7</v>
      </c>
      <c r="AC130" s="38">
        <f t="shared" si="93"/>
        <v>5</v>
      </c>
      <c r="AD130" s="38">
        <f t="shared" si="94"/>
        <v>2</v>
      </c>
      <c r="AE130" s="38">
        <f t="shared" ca="1" si="103"/>
        <v>370</v>
      </c>
      <c r="AF130" s="68">
        <f t="shared" si="91"/>
        <v>370</v>
      </c>
      <c r="AG130" s="70">
        <f t="shared" si="111"/>
        <v>7</v>
      </c>
      <c r="AH130" s="38">
        <f t="shared" si="112"/>
        <v>5</v>
      </c>
      <c r="AI130" s="38">
        <f t="shared" si="113"/>
        <v>2</v>
      </c>
      <c r="AJ130" s="38">
        <f t="shared" ca="1" si="104"/>
        <v>480</v>
      </c>
      <c r="AK130" s="68">
        <f t="shared" si="114"/>
        <v>570</v>
      </c>
      <c r="AL130" s="38">
        <f t="shared" si="115"/>
        <v>7</v>
      </c>
      <c r="AM130" s="38">
        <f t="shared" si="116"/>
        <v>5</v>
      </c>
      <c r="AN130" s="38">
        <f t="shared" si="117"/>
        <v>2</v>
      </c>
      <c r="AO130" s="38">
        <f t="shared" ca="1" si="105"/>
        <v>510</v>
      </c>
      <c r="AP130" s="68">
        <f t="shared" si="118"/>
        <v>770</v>
      </c>
      <c r="AQ130" s="38">
        <f t="shared" si="106"/>
        <v>21</v>
      </c>
      <c r="AR130" s="38">
        <f t="shared" si="107"/>
        <v>15</v>
      </c>
      <c r="AS130" s="38">
        <f t="shared" si="108"/>
        <v>6</v>
      </c>
      <c r="AT130" s="38">
        <f t="shared" ca="1" si="109"/>
        <v>1360</v>
      </c>
      <c r="AU130" s="68">
        <f t="shared" si="110"/>
        <v>1710</v>
      </c>
    </row>
    <row r="131" spans="1:47" x14ac:dyDescent="0.25">
      <c r="A131" s="86" t="s">
        <v>253</v>
      </c>
      <c r="B131" s="14">
        <v>129</v>
      </c>
      <c r="C131" s="14">
        <f>关卡产出!C136</f>
        <v>102</v>
      </c>
      <c r="D131" s="14">
        <f>关卡产出!D136</f>
        <v>51</v>
      </c>
      <c r="E131" s="14">
        <f>关卡产出!E136</f>
        <v>25</v>
      </c>
      <c r="F131" s="14">
        <f>关卡产出!F136</f>
        <v>1350</v>
      </c>
      <c r="G131" s="38">
        <f t="shared" si="95"/>
        <v>51</v>
      </c>
      <c r="H131" s="38">
        <f t="shared" si="96"/>
        <v>26</v>
      </c>
      <c r="I131" s="38">
        <f t="shared" si="97"/>
        <v>13</v>
      </c>
      <c r="J131" s="38">
        <f t="shared" si="98"/>
        <v>1688</v>
      </c>
      <c r="K131" s="38">
        <f t="shared" ca="1" si="99"/>
        <v>1360</v>
      </c>
      <c r="R131" s="113" t="s">
        <v>253</v>
      </c>
      <c r="S131" s="14">
        <v>129</v>
      </c>
      <c r="T131" s="14">
        <f>关卡对比!AE135</f>
        <v>78</v>
      </c>
      <c r="U131" s="109">
        <f>关卡对比!AF135</f>
        <v>61</v>
      </c>
      <c r="V131" s="70">
        <f t="shared" ref="V131:V162" si="119">_xlfn.IFNA(INDEX($M:$M,MATCH($S131,N:N,1)),0)</f>
        <v>10</v>
      </c>
      <c r="W131" s="38">
        <f t="shared" ref="W131:W162" si="120">_xlfn.IFNA(INDEX($M:$M,MATCH($T131,O:O,1)),0)</f>
        <v>20</v>
      </c>
      <c r="X131" s="68">
        <f t="shared" ref="X131:X162" si="121">_xlfn.IFNA(INDEX($M:$M,MATCH($U131,P:P,1)),0)</f>
        <v>30</v>
      </c>
      <c r="Y131" s="70">
        <f t="shared" si="100"/>
        <v>13.4</v>
      </c>
      <c r="Z131" s="38">
        <f t="shared" si="101"/>
        <v>8.3000000000000007</v>
      </c>
      <c r="AA131" s="68">
        <f t="shared" si="102"/>
        <v>6.6</v>
      </c>
      <c r="AB131" s="70">
        <f t="shared" si="92"/>
        <v>7</v>
      </c>
      <c r="AC131" s="38">
        <f t="shared" si="93"/>
        <v>5</v>
      </c>
      <c r="AD131" s="38">
        <f t="shared" si="94"/>
        <v>2</v>
      </c>
      <c r="AE131" s="38">
        <f t="shared" ca="1" si="103"/>
        <v>370</v>
      </c>
      <c r="AF131" s="68">
        <f t="shared" ref="AF131:AF162" si="122">$BA$3+SUMIFS($BQ:$BQ,$BC:$BC,"&lt;="&amp;V131)</f>
        <v>370</v>
      </c>
      <c r="AG131" s="70">
        <f t="shared" si="111"/>
        <v>7</v>
      </c>
      <c r="AH131" s="38">
        <f t="shared" si="112"/>
        <v>5</v>
      </c>
      <c r="AI131" s="38">
        <f t="shared" si="113"/>
        <v>2</v>
      </c>
      <c r="AJ131" s="38">
        <f t="shared" ca="1" si="104"/>
        <v>480</v>
      </c>
      <c r="AK131" s="68">
        <f t="shared" si="114"/>
        <v>570</v>
      </c>
      <c r="AL131" s="38">
        <f t="shared" si="115"/>
        <v>7</v>
      </c>
      <c r="AM131" s="38">
        <f t="shared" si="116"/>
        <v>5</v>
      </c>
      <c r="AN131" s="38">
        <f t="shared" si="117"/>
        <v>2</v>
      </c>
      <c r="AO131" s="38">
        <f t="shared" ca="1" si="105"/>
        <v>510</v>
      </c>
      <c r="AP131" s="68">
        <f t="shared" si="118"/>
        <v>770</v>
      </c>
      <c r="AQ131" s="38">
        <f t="shared" si="106"/>
        <v>21</v>
      </c>
      <c r="AR131" s="38">
        <f t="shared" si="107"/>
        <v>15</v>
      </c>
      <c r="AS131" s="38">
        <f t="shared" si="108"/>
        <v>6</v>
      </c>
      <c r="AT131" s="38">
        <f t="shared" ca="1" si="109"/>
        <v>1360</v>
      </c>
      <c r="AU131" s="68">
        <f t="shared" si="110"/>
        <v>1710</v>
      </c>
    </row>
    <row r="132" spans="1:47" x14ac:dyDescent="0.25">
      <c r="A132" s="86" t="s">
        <v>253</v>
      </c>
      <c r="B132" s="14">
        <v>130</v>
      </c>
      <c r="C132" s="14">
        <f>关卡产出!C137</f>
        <v>102</v>
      </c>
      <c r="D132" s="14">
        <f>关卡产出!D137</f>
        <v>51</v>
      </c>
      <c r="E132" s="14">
        <f>关卡产出!E137</f>
        <v>25</v>
      </c>
      <c r="F132" s="14">
        <f>关卡产出!F137</f>
        <v>1350</v>
      </c>
      <c r="G132" s="38">
        <f t="shared" si="95"/>
        <v>51</v>
      </c>
      <c r="H132" s="38">
        <f t="shared" si="96"/>
        <v>26</v>
      </c>
      <c r="I132" s="38">
        <f t="shared" si="97"/>
        <v>13</v>
      </c>
      <c r="J132" s="38">
        <f t="shared" si="98"/>
        <v>1688</v>
      </c>
      <c r="K132" s="38">
        <f t="shared" ca="1" si="99"/>
        <v>1360</v>
      </c>
      <c r="R132" s="113" t="s">
        <v>253</v>
      </c>
      <c r="S132" s="14">
        <v>130</v>
      </c>
      <c r="T132" s="14">
        <f>关卡对比!AE136</f>
        <v>78</v>
      </c>
      <c r="U132" s="109">
        <f>关卡对比!AF136</f>
        <v>61</v>
      </c>
      <c r="V132" s="70">
        <f t="shared" si="119"/>
        <v>10</v>
      </c>
      <c r="W132" s="38">
        <f t="shared" si="120"/>
        <v>20</v>
      </c>
      <c r="X132" s="68">
        <f t="shared" si="121"/>
        <v>30</v>
      </c>
      <c r="Y132" s="70">
        <f t="shared" si="100"/>
        <v>13.5</v>
      </c>
      <c r="Z132" s="38">
        <f t="shared" si="101"/>
        <v>8.3000000000000007</v>
      </c>
      <c r="AA132" s="68">
        <f t="shared" si="102"/>
        <v>6.6</v>
      </c>
      <c r="AB132" s="70">
        <f t="shared" ref="AB132:AB163" si="123">AX$3+SUMIFS(BE:BE,$BC:$BC,"&lt;="&amp;V132)</f>
        <v>7</v>
      </c>
      <c r="AC132" s="38">
        <f t="shared" ref="AC132:AC163" si="124">AY$3+SUMIFS(BF:BF,$BC:$BC,"&lt;="&amp;$V132)</f>
        <v>5</v>
      </c>
      <c r="AD132" s="38">
        <f t="shared" ref="AD132:AD163" si="125">AZ$3+SUMIFS(BG:BG,$BC:$BC,"&lt;="&amp;$V132)</f>
        <v>2</v>
      </c>
      <c r="AE132" s="38">
        <f t="shared" ca="1" si="103"/>
        <v>370</v>
      </c>
      <c r="AF132" s="68">
        <f t="shared" si="122"/>
        <v>370</v>
      </c>
      <c r="AG132" s="70">
        <f t="shared" si="111"/>
        <v>7</v>
      </c>
      <c r="AH132" s="38">
        <f t="shared" si="112"/>
        <v>5</v>
      </c>
      <c r="AI132" s="38">
        <f t="shared" si="113"/>
        <v>2</v>
      </c>
      <c r="AJ132" s="38">
        <f t="shared" ca="1" si="104"/>
        <v>480</v>
      </c>
      <c r="AK132" s="68">
        <f t="shared" si="114"/>
        <v>570</v>
      </c>
      <c r="AL132" s="38">
        <f t="shared" si="115"/>
        <v>7</v>
      </c>
      <c r="AM132" s="38">
        <f t="shared" si="116"/>
        <v>5</v>
      </c>
      <c r="AN132" s="38">
        <f t="shared" si="117"/>
        <v>2</v>
      </c>
      <c r="AO132" s="38">
        <f t="shared" ca="1" si="105"/>
        <v>510</v>
      </c>
      <c r="AP132" s="68">
        <f t="shared" si="118"/>
        <v>770</v>
      </c>
      <c r="AQ132" s="38">
        <f t="shared" si="106"/>
        <v>21</v>
      </c>
      <c r="AR132" s="38">
        <f t="shared" si="107"/>
        <v>15</v>
      </c>
      <c r="AS132" s="38">
        <f t="shared" si="108"/>
        <v>6</v>
      </c>
      <c r="AT132" s="38">
        <f t="shared" ca="1" si="109"/>
        <v>1360</v>
      </c>
      <c r="AU132" s="68">
        <f t="shared" si="110"/>
        <v>1710</v>
      </c>
    </row>
    <row r="133" spans="1:47" x14ac:dyDescent="0.25">
      <c r="A133" s="86" t="s">
        <v>253</v>
      </c>
      <c r="B133" s="14">
        <v>131</v>
      </c>
      <c r="C133" s="14">
        <f>关卡产出!C138</f>
        <v>103</v>
      </c>
      <c r="D133" s="14">
        <f>关卡产出!D138</f>
        <v>51</v>
      </c>
      <c r="E133" s="14">
        <f>关卡产出!E138</f>
        <v>25</v>
      </c>
      <c r="F133" s="14">
        <f>关卡产出!F138</f>
        <v>1370</v>
      </c>
      <c r="G133" s="38">
        <f t="shared" si="95"/>
        <v>52</v>
      </c>
      <c r="H133" s="38">
        <f t="shared" si="96"/>
        <v>26</v>
      </c>
      <c r="I133" s="38">
        <f t="shared" si="97"/>
        <v>13</v>
      </c>
      <c r="J133" s="38">
        <f t="shared" si="98"/>
        <v>1713</v>
      </c>
      <c r="K133" s="38">
        <f t="shared" ca="1" si="99"/>
        <v>1360</v>
      </c>
      <c r="R133" s="113" t="s">
        <v>253</v>
      </c>
      <c r="S133" s="14">
        <v>131</v>
      </c>
      <c r="T133" s="14">
        <f>关卡对比!AE137</f>
        <v>79</v>
      </c>
      <c r="U133" s="109">
        <f>关卡对比!AF137</f>
        <v>62</v>
      </c>
      <c r="V133" s="70">
        <f t="shared" si="119"/>
        <v>10</v>
      </c>
      <c r="W133" s="38">
        <f t="shared" si="120"/>
        <v>20</v>
      </c>
      <c r="X133" s="68">
        <f t="shared" si="121"/>
        <v>30</v>
      </c>
      <c r="Y133" s="70">
        <f t="shared" si="100"/>
        <v>13.6</v>
      </c>
      <c r="Z133" s="38">
        <f t="shared" si="101"/>
        <v>8.4</v>
      </c>
      <c r="AA133" s="68">
        <f t="shared" si="102"/>
        <v>6.7</v>
      </c>
      <c r="AB133" s="70">
        <f t="shared" si="123"/>
        <v>7</v>
      </c>
      <c r="AC133" s="38">
        <f t="shared" si="124"/>
        <v>5</v>
      </c>
      <c r="AD133" s="38">
        <f t="shared" si="125"/>
        <v>2</v>
      </c>
      <c r="AE133" s="38">
        <f t="shared" ca="1" si="103"/>
        <v>370</v>
      </c>
      <c r="AF133" s="68">
        <f t="shared" si="122"/>
        <v>370</v>
      </c>
      <c r="AG133" s="70">
        <f t="shared" si="111"/>
        <v>7</v>
      </c>
      <c r="AH133" s="38">
        <f t="shared" si="112"/>
        <v>5</v>
      </c>
      <c r="AI133" s="38">
        <f t="shared" si="113"/>
        <v>2</v>
      </c>
      <c r="AJ133" s="38">
        <f t="shared" ca="1" si="104"/>
        <v>480</v>
      </c>
      <c r="AK133" s="68">
        <f t="shared" si="114"/>
        <v>570</v>
      </c>
      <c r="AL133" s="38">
        <f t="shared" si="115"/>
        <v>7</v>
      </c>
      <c r="AM133" s="38">
        <f t="shared" si="116"/>
        <v>5</v>
      </c>
      <c r="AN133" s="38">
        <f t="shared" si="117"/>
        <v>2</v>
      </c>
      <c r="AO133" s="38">
        <f t="shared" ca="1" si="105"/>
        <v>510</v>
      </c>
      <c r="AP133" s="68">
        <f t="shared" si="118"/>
        <v>770</v>
      </c>
      <c r="AQ133" s="38">
        <f t="shared" si="106"/>
        <v>21</v>
      </c>
      <c r="AR133" s="38">
        <f t="shared" si="107"/>
        <v>15</v>
      </c>
      <c r="AS133" s="38">
        <f t="shared" si="108"/>
        <v>6</v>
      </c>
      <c r="AT133" s="38">
        <f t="shared" ca="1" si="109"/>
        <v>1360</v>
      </c>
      <c r="AU133" s="68">
        <f t="shared" si="110"/>
        <v>1710</v>
      </c>
    </row>
    <row r="134" spans="1:47" x14ac:dyDescent="0.25">
      <c r="A134" s="86" t="s">
        <v>253</v>
      </c>
      <c r="B134" s="14">
        <v>132</v>
      </c>
      <c r="C134" s="14">
        <f>关卡产出!C139</f>
        <v>104</v>
      </c>
      <c r="D134" s="14">
        <f>关卡产出!D139</f>
        <v>52</v>
      </c>
      <c r="E134" s="14">
        <f>关卡产出!E139</f>
        <v>25</v>
      </c>
      <c r="F134" s="14">
        <f>关卡产出!F139</f>
        <v>1370</v>
      </c>
      <c r="G134" s="38">
        <f t="shared" si="95"/>
        <v>52</v>
      </c>
      <c r="H134" s="38">
        <f t="shared" si="96"/>
        <v>26</v>
      </c>
      <c r="I134" s="38">
        <f t="shared" si="97"/>
        <v>13</v>
      </c>
      <c r="J134" s="38">
        <f t="shared" si="98"/>
        <v>1713</v>
      </c>
      <c r="K134" s="38">
        <f t="shared" ca="1" si="99"/>
        <v>1360</v>
      </c>
      <c r="R134" s="113" t="s">
        <v>253</v>
      </c>
      <c r="S134" s="14">
        <v>132</v>
      </c>
      <c r="T134" s="14">
        <f>关卡对比!AE138</f>
        <v>79</v>
      </c>
      <c r="U134" s="109">
        <f>关卡对比!AF138</f>
        <v>62</v>
      </c>
      <c r="V134" s="70">
        <f t="shared" si="119"/>
        <v>10</v>
      </c>
      <c r="W134" s="38">
        <f t="shared" si="120"/>
        <v>20</v>
      </c>
      <c r="X134" s="68">
        <f t="shared" si="121"/>
        <v>30</v>
      </c>
      <c r="Y134" s="70">
        <f t="shared" si="100"/>
        <v>13.7</v>
      </c>
      <c r="Z134" s="38">
        <f t="shared" si="101"/>
        <v>8.4</v>
      </c>
      <c r="AA134" s="68">
        <f t="shared" si="102"/>
        <v>6.7</v>
      </c>
      <c r="AB134" s="70">
        <f t="shared" si="123"/>
        <v>7</v>
      </c>
      <c r="AC134" s="38">
        <f t="shared" si="124"/>
        <v>5</v>
      </c>
      <c r="AD134" s="38">
        <f t="shared" si="125"/>
        <v>2</v>
      </c>
      <c r="AE134" s="38">
        <f t="shared" ca="1" si="103"/>
        <v>370</v>
      </c>
      <c r="AF134" s="68">
        <f t="shared" si="122"/>
        <v>370</v>
      </c>
      <c r="AG134" s="70">
        <f t="shared" si="111"/>
        <v>7</v>
      </c>
      <c r="AH134" s="38">
        <f t="shared" si="112"/>
        <v>5</v>
      </c>
      <c r="AI134" s="38">
        <f t="shared" si="113"/>
        <v>2</v>
      </c>
      <c r="AJ134" s="38">
        <f t="shared" ca="1" si="104"/>
        <v>480</v>
      </c>
      <c r="AK134" s="68">
        <f t="shared" si="114"/>
        <v>570</v>
      </c>
      <c r="AL134" s="38">
        <f t="shared" si="115"/>
        <v>7</v>
      </c>
      <c r="AM134" s="38">
        <f t="shared" si="116"/>
        <v>5</v>
      </c>
      <c r="AN134" s="38">
        <f t="shared" si="117"/>
        <v>2</v>
      </c>
      <c r="AO134" s="38">
        <f t="shared" ca="1" si="105"/>
        <v>510</v>
      </c>
      <c r="AP134" s="68">
        <f t="shared" si="118"/>
        <v>770</v>
      </c>
      <c r="AQ134" s="38">
        <f t="shared" si="106"/>
        <v>21</v>
      </c>
      <c r="AR134" s="38">
        <f t="shared" si="107"/>
        <v>15</v>
      </c>
      <c r="AS134" s="38">
        <f t="shared" si="108"/>
        <v>6</v>
      </c>
      <c r="AT134" s="38">
        <f t="shared" ca="1" si="109"/>
        <v>1360</v>
      </c>
      <c r="AU134" s="68">
        <f t="shared" si="110"/>
        <v>1710</v>
      </c>
    </row>
    <row r="135" spans="1:47" x14ac:dyDescent="0.25">
      <c r="A135" s="86" t="s">
        <v>253</v>
      </c>
      <c r="B135" s="14">
        <v>133</v>
      </c>
      <c r="C135" s="14">
        <f>关卡产出!C140</f>
        <v>105</v>
      </c>
      <c r="D135" s="14">
        <f>关卡产出!D140</f>
        <v>52</v>
      </c>
      <c r="E135" s="14">
        <f>关卡产出!E140</f>
        <v>26</v>
      </c>
      <c r="F135" s="14">
        <f>关卡产出!F140</f>
        <v>1390</v>
      </c>
      <c r="G135" s="38">
        <f t="shared" si="95"/>
        <v>53</v>
      </c>
      <c r="H135" s="38">
        <f t="shared" si="96"/>
        <v>26</v>
      </c>
      <c r="I135" s="38">
        <f t="shared" si="97"/>
        <v>13</v>
      </c>
      <c r="J135" s="38">
        <f t="shared" si="98"/>
        <v>1738</v>
      </c>
      <c r="K135" s="38">
        <f t="shared" ca="1" si="99"/>
        <v>1360</v>
      </c>
      <c r="R135" s="113" t="s">
        <v>253</v>
      </c>
      <c r="S135" s="14">
        <v>133</v>
      </c>
      <c r="T135" s="14">
        <f>关卡对比!AE139</f>
        <v>80</v>
      </c>
      <c r="U135" s="109">
        <f>关卡对比!AF139</f>
        <v>62</v>
      </c>
      <c r="V135" s="70">
        <f t="shared" si="119"/>
        <v>10</v>
      </c>
      <c r="W135" s="38">
        <f t="shared" si="120"/>
        <v>20</v>
      </c>
      <c r="X135" s="68">
        <f t="shared" si="121"/>
        <v>30</v>
      </c>
      <c r="Y135" s="70">
        <f t="shared" si="100"/>
        <v>13.8</v>
      </c>
      <c r="Z135" s="38">
        <f t="shared" si="101"/>
        <v>8.5</v>
      </c>
      <c r="AA135" s="68">
        <f t="shared" si="102"/>
        <v>6.7</v>
      </c>
      <c r="AB135" s="70">
        <f t="shared" si="123"/>
        <v>7</v>
      </c>
      <c r="AC135" s="38">
        <f t="shared" si="124"/>
        <v>5</v>
      </c>
      <c r="AD135" s="38">
        <f t="shared" si="125"/>
        <v>2</v>
      </c>
      <c r="AE135" s="38">
        <f t="shared" ca="1" si="103"/>
        <v>370</v>
      </c>
      <c r="AF135" s="68">
        <f t="shared" si="122"/>
        <v>370</v>
      </c>
      <c r="AG135" s="70">
        <f t="shared" si="111"/>
        <v>7</v>
      </c>
      <c r="AH135" s="38">
        <f t="shared" si="112"/>
        <v>5</v>
      </c>
      <c r="AI135" s="38">
        <f t="shared" si="113"/>
        <v>2</v>
      </c>
      <c r="AJ135" s="38">
        <f t="shared" ca="1" si="104"/>
        <v>480</v>
      </c>
      <c r="AK135" s="68">
        <f t="shared" si="114"/>
        <v>570</v>
      </c>
      <c r="AL135" s="38">
        <f t="shared" si="115"/>
        <v>7</v>
      </c>
      <c r="AM135" s="38">
        <f t="shared" si="116"/>
        <v>5</v>
      </c>
      <c r="AN135" s="38">
        <f t="shared" si="117"/>
        <v>2</v>
      </c>
      <c r="AO135" s="38">
        <f t="shared" ca="1" si="105"/>
        <v>510</v>
      </c>
      <c r="AP135" s="68">
        <f t="shared" si="118"/>
        <v>770</v>
      </c>
      <c r="AQ135" s="38">
        <f t="shared" si="106"/>
        <v>21</v>
      </c>
      <c r="AR135" s="38">
        <f t="shared" si="107"/>
        <v>15</v>
      </c>
      <c r="AS135" s="38">
        <f t="shared" si="108"/>
        <v>6</v>
      </c>
      <c r="AT135" s="38">
        <f t="shared" ca="1" si="109"/>
        <v>1360</v>
      </c>
      <c r="AU135" s="68">
        <f t="shared" si="110"/>
        <v>1710</v>
      </c>
    </row>
    <row r="136" spans="1:47" x14ac:dyDescent="0.25">
      <c r="A136" s="86" t="s">
        <v>253</v>
      </c>
      <c r="B136" s="14">
        <v>134</v>
      </c>
      <c r="C136" s="14">
        <f>关卡产出!C141</f>
        <v>106</v>
      </c>
      <c r="D136" s="14">
        <f>关卡产出!D141</f>
        <v>53</v>
      </c>
      <c r="E136" s="14">
        <f>关卡产出!E141</f>
        <v>26</v>
      </c>
      <c r="F136" s="14">
        <f>关卡产出!F141</f>
        <v>1390</v>
      </c>
      <c r="G136" s="38">
        <f t="shared" si="95"/>
        <v>53</v>
      </c>
      <c r="H136" s="38">
        <f t="shared" si="96"/>
        <v>27</v>
      </c>
      <c r="I136" s="38">
        <f t="shared" si="97"/>
        <v>13</v>
      </c>
      <c r="J136" s="38">
        <f t="shared" si="98"/>
        <v>1738</v>
      </c>
      <c r="K136" s="38">
        <f t="shared" ca="1" si="99"/>
        <v>1360</v>
      </c>
      <c r="R136" s="113" t="s">
        <v>253</v>
      </c>
      <c r="S136" s="14">
        <v>134</v>
      </c>
      <c r="T136" s="14">
        <f>关卡对比!AE140</f>
        <v>80</v>
      </c>
      <c r="U136" s="109">
        <f>关卡对比!AF140</f>
        <v>63</v>
      </c>
      <c r="V136" s="70">
        <f t="shared" si="119"/>
        <v>10</v>
      </c>
      <c r="W136" s="38">
        <f t="shared" si="120"/>
        <v>20</v>
      </c>
      <c r="X136" s="68">
        <f t="shared" si="121"/>
        <v>30</v>
      </c>
      <c r="Y136" s="70">
        <f t="shared" si="100"/>
        <v>13.9</v>
      </c>
      <c r="Z136" s="38">
        <f t="shared" si="101"/>
        <v>8.5</v>
      </c>
      <c r="AA136" s="68">
        <f t="shared" si="102"/>
        <v>6.8</v>
      </c>
      <c r="AB136" s="70">
        <f t="shared" si="123"/>
        <v>7</v>
      </c>
      <c r="AC136" s="38">
        <f t="shared" si="124"/>
        <v>5</v>
      </c>
      <c r="AD136" s="38">
        <f t="shared" si="125"/>
        <v>2</v>
      </c>
      <c r="AE136" s="38">
        <f t="shared" ca="1" si="103"/>
        <v>370</v>
      </c>
      <c r="AF136" s="68">
        <f t="shared" si="122"/>
        <v>370</v>
      </c>
      <c r="AG136" s="70">
        <f t="shared" si="111"/>
        <v>7</v>
      </c>
      <c r="AH136" s="38">
        <f t="shared" si="112"/>
        <v>5</v>
      </c>
      <c r="AI136" s="38">
        <f t="shared" si="113"/>
        <v>2</v>
      </c>
      <c r="AJ136" s="38">
        <f t="shared" ca="1" si="104"/>
        <v>480</v>
      </c>
      <c r="AK136" s="68">
        <f t="shared" si="114"/>
        <v>570</v>
      </c>
      <c r="AL136" s="38">
        <f t="shared" si="115"/>
        <v>7</v>
      </c>
      <c r="AM136" s="38">
        <f t="shared" si="116"/>
        <v>5</v>
      </c>
      <c r="AN136" s="38">
        <f t="shared" si="117"/>
        <v>2</v>
      </c>
      <c r="AO136" s="38">
        <f t="shared" ca="1" si="105"/>
        <v>510</v>
      </c>
      <c r="AP136" s="68">
        <f t="shared" si="118"/>
        <v>770</v>
      </c>
      <c r="AQ136" s="38">
        <f t="shared" si="106"/>
        <v>21</v>
      </c>
      <c r="AR136" s="38">
        <f t="shared" si="107"/>
        <v>15</v>
      </c>
      <c r="AS136" s="38">
        <f t="shared" si="108"/>
        <v>6</v>
      </c>
      <c r="AT136" s="38">
        <f t="shared" ca="1" si="109"/>
        <v>1360</v>
      </c>
      <c r="AU136" s="68">
        <f t="shared" si="110"/>
        <v>1710</v>
      </c>
    </row>
    <row r="137" spans="1:47" x14ac:dyDescent="0.25">
      <c r="A137" s="86" t="s">
        <v>253</v>
      </c>
      <c r="B137" s="14">
        <v>135</v>
      </c>
      <c r="C137" s="14">
        <f>关卡产出!C142</f>
        <v>106</v>
      </c>
      <c r="D137" s="14">
        <f>关卡产出!D142</f>
        <v>53</v>
      </c>
      <c r="E137" s="14">
        <f>关卡产出!E142</f>
        <v>26</v>
      </c>
      <c r="F137" s="14">
        <f>关卡产出!F142</f>
        <v>1410</v>
      </c>
      <c r="G137" s="38">
        <f t="shared" si="95"/>
        <v>53</v>
      </c>
      <c r="H137" s="38">
        <f t="shared" si="96"/>
        <v>27</v>
      </c>
      <c r="I137" s="38">
        <f t="shared" si="97"/>
        <v>13</v>
      </c>
      <c r="J137" s="38">
        <f t="shared" si="98"/>
        <v>1763</v>
      </c>
      <c r="K137" s="38">
        <f t="shared" ca="1" si="99"/>
        <v>1360</v>
      </c>
      <c r="R137" s="113" t="s">
        <v>253</v>
      </c>
      <c r="S137" s="14">
        <v>135</v>
      </c>
      <c r="T137" s="14">
        <f>关卡对比!AE141</f>
        <v>81</v>
      </c>
      <c r="U137" s="109">
        <f>关卡对比!AF141</f>
        <v>63</v>
      </c>
      <c r="V137" s="70">
        <f t="shared" si="119"/>
        <v>10</v>
      </c>
      <c r="W137" s="38">
        <f t="shared" si="120"/>
        <v>20</v>
      </c>
      <c r="X137" s="68">
        <f t="shared" si="121"/>
        <v>30</v>
      </c>
      <c r="Y137" s="70">
        <f t="shared" si="100"/>
        <v>14</v>
      </c>
      <c r="Z137" s="38">
        <f t="shared" si="101"/>
        <v>8.6</v>
      </c>
      <c r="AA137" s="68">
        <f t="shared" si="102"/>
        <v>6.8</v>
      </c>
      <c r="AB137" s="70">
        <f t="shared" si="123"/>
        <v>7</v>
      </c>
      <c r="AC137" s="38">
        <f t="shared" si="124"/>
        <v>5</v>
      </c>
      <c r="AD137" s="38">
        <f t="shared" si="125"/>
        <v>2</v>
      </c>
      <c r="AE137" s="38">
        <f t="shared" ca="1" si="103"/>
        <v>370</v>
      </c>
      <c r="AF137" s="68">
        <f t="shared" si="122"/>
        <v>370</v>
      </c>
      <c r="AG137" s="70">
        <f t="shared" si="111"/>
        <v>7</v>
      </c>
      <c r="AH137" s="38">
        <f t="shared" si="112"/>
        <v>5</v>
      </c>
      <c r="AI137" s="38">
        <f t="shared" si="113"/>
        <v>2</v>
      </c>
      <c r="AJ137" s="38">
        <f t="shared" ca="1" si="104"/>
        <v>480</v>
      </c>
      <c r="AK137" s="68">
        <f t="shared" si="114"/>
        <v>570</v>
      </c>
      <c r="AL137" s="38">
        <f t="shared" si="115"/>
        <v>7</v>
      </c>
      <c r="AM137" s="38">
        <f t="shared" si="116"/>
        <v>5</v>
      </c>
      <c r="AN137" s="38">
        <f t="shared" si="117"/>
        <v>2</v>
      </c>
      <c r="AO137" s="38">
        <f t="shared" ca="1" si="105"/>
        <v>510</v>
      </c>
      <c r="AP137" s="68">
        <f t="shared" si="118"/>
        <v>770</v>
      </c>
      <c r="AQ137" s="38">
        <f t="shared" si="106"/>
        <v>21</v>
      </c>
      <c r="AR137" s="38">
        <f t="shared" si="107"/>
        <v>15</v>
      </c>
      <c r="AS137" s="38">
        <f t="shared" si="108"/>
        <v>6</v>
      </c>
      <c r="AT137" s="38">
        <f t="shared" ca="1" si="109"/>
        <v>1360</v>
      </c>
      <c r="AU137" s="68">
        <f t="shared" si="110"/>
        <v>1710</v>
      </c>
    </row>
    <row r="138" spans="1:47" x14ac:dyDescent="0.25">
      <c r="A138" s="86" t="s">
        <v>253</v>
      </c>
      <c r="B138" s="14">
        <v>136</v>
      </c>
      <c r="C138" s="14">
        <f>关卡产出!C143</f>
        <v>107</v>
      </c>
      <c r="D138" s="14">
        <f>关卡产出!D143</f>
        <v>53</v>
      </c>
      <c r="E138" s="14">
        <f>关卡产出!E143</f>
        <v>26</v>
      </c>
      <c r="F138" s="14">
        <f>关卡产出!F143</f>
        <v>1410</v>
      </c>
      <c r="G138" s="38">
        <f t="shared" si="95"/>
        <v>54</v>
      </c>
      <c r="H138" s="38">
        <f t="shared" si="96"/>
        <v>27</v>
      </c>
      <c r="I138" s="38">
        <f t="shared" si="97"/>
        <v>13</v>
      </c>
      <c r="J138" s="38">
        <f t="shared" si="98"/>
        <v>1763</v>
      </c>
      <c r="K138" s="38">
        <f t="shared" ca="1" si="99"/>
        <v>1360</v>
      </c>
      <c r="R138" s="113" t="s">
        <v>253</v>
      </c>
      <c r="S138" s="14">
        <v>136</v>
      </c>
      <c r="T138" s="14">
        <f>关卡对比!AE142</f>
        <v>81</v>
      </c>
      <c r="U138" s="109">
        <f>关卡对比!AF142</f>
        <v>63</v>
      </c>
      <c r="V138" s="70">
        <f t="shared" si="119"/>
        <v>10</v>
      </c>
      <c r="W138" s="38">
        <f t="shared" si="120"/>
        <v>20</v>
      </c>
      <c r="X138" s="68">
        <f t="shared" si="121"/>
        <v>30</v>
      </c>
      <c r="Y138" s="70">
        <f t="shared" si="100"/>
        <v>14.1</v>
      </c>
      <c r="Z138" s="38">
        <f t="shared" si="101"/>
        <v>8.6</v>
      </c>
      <c r="AA138" s="68">
        <f t="shared" si="102"/>
        <v>6.8</v>
      </c>
      <c r="AB138" s="70">
        <f t="shared" si="123"/>
        <v>7</v>
      </c>
      <c r="AC138" s="38">
        <f t="shared" si="124"/>
        <v>5</v>
      </c>
      <c r="AD138" s="38">
        <f t="shared" si="125"/>
        <v>2</v>
      </c>
      <c r="AE138" s="38">
        <f t="shared" ca="1" si="103"/>
        <v>370</v>
      </c>
      <c r="AF138" s="68">
        <f t="shared" si="122"/>
        <v>370</v>
      </c>
      <c r="AG138" s="70">
        <f t="shared" si="111"/>
        <v>7</v>
      </c>
      <c r="AH138" s="38">
        <f t="shared" si="112"/>
        <v>5</v>
      </c>
      <c r="AI138" s="38">
        <f t="shared" si="113"/>
        <v>2</v>
      </c>
      <c r="AJ138" s="38">
        <f t="shared" ca="1" si="104"/>
        <v>480</v>
      </c>
      <c r="AK138" s="68">
        <f t="shared" si="114"/>
        <v>570</v>
      </c>
      <c r="AL138" s="38">
        <f t="shared" si="115"/>
        <v>7</v>
      </c>
      <c r="AM138" s="38">
        <f t="shared" si="116"/>
        <v>5</v>
      </c>
      <c r="AN138" s="38">
        <f t="shared" si="117"/>
        <v>2</v>
      </c>
      <c r="AO138" s="38">
        <f t="shared" ca="1" si="105"/>
        <v>510</v>
      </c>
      <c r="AP138" s="68">
        <f t="shared" si="118"/>
        <v>770</v>
      </c>
      <c r="AQ138" s="38">
        <f t="shared" si="106"/>
        <v>21</v>
      </c>
      <c r="AR138" s="38">
        <f t="shared" si="107"/>
        <v>15</v>
      </c>
      <c r="AS138" s="38">
        <f t="shared" si="108"/>
        <v>6</v>
      </c>
      <c r="AT138" s="38">
        <f t="shared" ca="1" si="109"/>
        <v>1360</v>
      </c>
      <c r="AU138" s="68">
        <f t="shared" si="110"/>
        <v>1710</v>
      </c>
    </row>
    <row r="139" spans="1:47" x14ac:dyDescent="0.25">
      <c r="A139" s="86" t="s">
        <v>253</v>
      </c>
      <c r="B139" s="14">
        <v>137</v>
      </c>
      <c r="C139" s="14">
        <f>关卡产出!C144</f>
        <v>108</v>
      </c>
      <c r="D139" s="14">
        <f>关卡产出!D144</f>
        <v>54</v>
      </c>
      <c r="E139" s="14">
        <f>关卡产出!E144</f>
        <v>26</v>
      </c>
      <c r="F139" s="14">
        <f>关卡产出!F144</f>
        <v>1430</v>
      </c>
      <c r="G139" s="38">
        <f t="shared" si="95"/>
        <v>54</v>
      </c>
      <c r="H139" s="38">
        <f t="shared" si="96"/>
        <v>27</v>
      </c>
      <c r="I139" s="38">
        <f t="shared" si="97"/>
        <v>13</v>
      </c>
      <c r="J139" s="38">
        <f t="shared" si="98"/>
        <v>1788</v>
      </c>
      <c r="K139" s="38">
        <f t="shared" ca="1" si="99"/>
        <v>1360</v>
      </c>
      <c r="R139" s="113" t="s">
        <v>253</v>
      </c>
      <c r="S139" s="14">
        <v>137</v>
      </c>
      <c r="T139" s="14">
        <f>关卡对比!AE143</f>
        <v>82</v>
      </c>
      <c r="U139" s="109">
        <f>关卡对比!AF143</f>
        <v>64</v>
      </c>
      <c r="V139" s="70">
        <f t="shared" si="119"/>
        <v>10</v>
      </c>
      <c r="W139" s="38">
        <f t="shared" si="120"/>
        <v>20</v>
      </c>
      <c r="X139" s="68">
        <f t="shared" si="121"/>
        <v>30</v>
      </c>
      <c r="Y139" s="70">
        <f t="shared" si="100"/>
        <v>14.2</v>
      </c>
      <c r="Z139" s="38">
        <f t="shared" si="101"/>
        <v>8.6999999999999993</v>
      </c>
      <c r="AA139" s="68">
        <f t="shared" si="102"/>
        <v>6.9</v>
      </c>
      <c r="AB139" s="70">
        <f t="shared" si="123"/>
        <v>7</v>
      </c>
      <c r="AC139" s="38">
        <f t="shared" si="124"/>
        <v>5</v>
      </c>
      <c r="AD139" s="38">
        <f t="shared" si="125"/>
        <v>2</v>
      </c>
      <c r="AE139" s="38">
        <f t="shared" ca="1" si="103"/>
        <v>370</v>
      </c>
      <c r="AF139" s="68">
        <f t="shared" si="122"/>
        <v>370</v>
      </c>
      <c r="AG139" s="70">
        <f t="shared" si="111"/>
        <v>7</v>
      </c>
      <c r="AH139" s="38">
        <f t="shared" si="112"/>
        <v>5</v>
      </c>
      <c r="AI139" s="38">
        <f t="shared" si="113"/>
        <v>2</v>
      </c>
      <c r="AJ139" s="38">
        <f t="shared" ca="1" si="104"/>
        <v>480</v>
      </c>
      <c r="AK139" s="68">
        <f t="shared" si="114"/>
        <v>570</v>
      </c>
      <c r="AL139" s="38">
        <f t="shared" si="115"/>
        <v>7</v>
      </c>
      <c r="AM139" s="38">
        <f t="shared" si="116"/>
        <v>5</v>
      </c>
      <c r="AN139" s="38">
        <f t="shared" si="117"/>
        <v>2</v>
      </c>
      <c r="AO139" s="38">
        <f t="shared" ca="1" si="105"/>
        <v>510</v>
      </c>
      <c r="AP139" s="68">
        <f t="shared" si="118"/>
        <v>770</v>
      </c>
      <c r="AQ139" s="38">
        <f t="shared" si="106"/>
        <v>21</v>
      </c>
      <c r="AR139" s="38">
        <f t="shared" si="107"/>
        <v>15</v>
      </c>
      <c r="AS139" s="38">
        <f t="shared" si="108"/>
        <v>6</v>
      </c>
      <c r="AT139" s="38">
        <f t="shared" ca="1" si="109"/>
        <v>1360</v>
      </c>
      <c r="AU139" s="68">
        <f t="shared" si="110"/>
        <v>1710</v>
      </c>
    </row>
    <row r="140" spans="1:47" x14ac:dyDescent="0.25">
      <c r="A140" s="86" t="s">
        <v>253</v>
      </c>
      <c r="B140" s="14">
        <v>138</v>
      </c>
      <c r="C140" s="14">
        <f>关卡产出!C145</f>
        <v>109</v>
      </c>
      <c r="D140" s="14">
        <f>关卡产出!D145</f>
        <v>54</v>
      </c>
      <c r="E140" s="14">
        <f>关卡产出!E145</f>
        <v>27</v>
      </c>
      <c r="F140" s="14">
        <f>关卡产出!F145</f>
        <v>1430</v>
      </c>
      <c r="G140" s="38">
        <f t="shared" si="95"/>
        <v>55</v>
      </c>
      <c r="H140" s="38">
        <f t="shared" si="96"/>
        <v>27</v>
      </c>
      <c r="I140" s="38">
        <f t="shared" si="97"/>
        <v>14</v>
      </c>
      <c r="J140" s="38">
        <f t="shared" si="98"/>
        <v>1788</v>
      </c>
      <c r="K140" s="38">
        <f t="shared" ca="1" si="99"/>
        <v>1360</v>
      </c>
      <c r="R140" s="113" t="s">
        <v>253</v>
      </c>
      <c r="S140" s="14">
        <v>138</v>
      </c>
      <c r="T140" s="14">
        <f>关卡对比!AE144</f>
        <v>82</v>
      </c>
      <c r="U140" s="109">
        <f>关卡对比!AF144</f>
        <v>64</v>
      </c>
      <c r="V140" s="70">
        <f t="shared" si="119"/>
        <v>10</v>
      </c>
      <c r="W140" s="38">
        <f t="shared" si="120"/>
        <v>20</v>
      </c>
      <c r="X140" s="68">
        <f t="shared" si="121"/>
        <v>30</v>
      </c>
      <c r="Y140" s="70">
        <f t="shared" si="100"/>
        <v>14.3</v>
      </c>
      <c r="Z140" s="38">
        <f t="shared" si="101"/>
        <v>8.6999999999999993</v>
      </c>
      <c r="AA140" s="68">
        <f t="shared" si="102"/>
        <v>6.9</v>
      </c>
      <c r="AB140" s="70">
        <f t="shared" si="123"/>
        <v>7</v>
      </c>
      <c r="AC140" s="38">
        <f t="shared" si="124"/>
        <v>5</v>
      </c>
      <c r="AD140" s="38">
        <f t="shared" si="125"/>
        <v>2</v>
      </c>
      <c r="AE140" s="38">
        <f t="shared" ca="1" si="103"/>
        <v>370</v>
      </c>
      <c r="AF140" s="68">
        <f t="shared" si="122"/>
        <v>370</v>
      </c>
      <c r="AG140" s="70">
        <f t="shared" ref="AG140:AG171" si="126">AX$4+SUMIFS(BE:BE,$BC:$BC,"&lt;="&amp;$W140,$BC:$BC,"&gt;"&amp;10)</f>
        <v>7</v>
      </c>
      <c r="AH140" s="38">
        <f t="shared" ref="AH140:AH171" si="127">AY$4+SUMIFS(BF:BF,$BC:$BC,"&lt;="&amp;$W140,$BC:$BC,"&gt;"&amp;10)</f>
        <v>5</v>
      </c>
      <c r="AI140" s="38">
        <f t="shared" ref="AI140:AI171" si="128">AZ$4+SUMIFS(BG:BG,$BC:$BC,"&lt;="&amp;$W140,$BC:$BC,"&gt;"&amp;10)</f>
        <v>2</v>
      </c>
      <c r="AJ140" s="38">
        <f t="shared" ca="1" si="104"/>
        <v>480</v>
      </c>
      <c r="AK140" s="68">
        <f t="shared" ref="AK140:AK171" si="129">$BA$4+SUMIFS($BQ:$BQ,$BC:$BC,"&lt;="&amp;W140,$BC:$BC,"&gt;"&amp;10)</f>
        <v>570</v>
      </c>
      <c r="AL140" s="38">
        <f t="shared" si="115"/>
        <v>7</v>
      </c>
      <c r="AM140" s="38">
        <f t="shared" si="116"/>
        <v>5</v>
      </c>
      <c r="AN140" s="38">
        <f t="shared" si="117"/>
        <v>2</v>
      </c>
      <c r="AO140" s="38">
        <f t="shared" ca="1" si="105"/>
        <v>510</v>
      </c>
      <c r="AP140" s="68">
        <f t="shared" si="118"/>
        <v>770</v>
      </c>
      <c r="AQ140" s="38">
        <f t="shared" si="106"/>
        <v>21</v>
      </c>
      <c r="AR140" s="38">
        <f t="shared" si="107"/>
        <v>15</v>
      </c>
      <c r="AS140" s="38">
        <f t="shared" si="108"/>
        <v>6</v>
      </c>
      <c r="AT140" s="38">
        <f t="shared" ca="1" si="109"/>
        <v>1360</v>
      </c>
      <c r="AU140" s="68">
        <f t="shared" si="110"/>
        <v>1710</v>
      </c>
    </row>
    <row r="141" spans="1:47" x14ac:dyDescent="0.25">
      <c r="A141" s="86" t="s">
        <v>253</v>
      </c>
      <c r="B141" s="14">
        <v>139</v>
      </c>
      <c r="C141" s="14">
        <f>关卡产出!C146</f>
        <v>110</v>
      </c>
      <c r="D141" s="14">
        <f>关卡产出!D146</f>
        <v>55</v>
      </c>
      <c r="E141" s="14">
        <f>关卡产出!E146</f>
        <v>27</v>
      </c>
      <c r="F141" s="14">
        <f>关卡产出!F146</f>
        <v>1450</v>
      </c>
      <c r="G141" s="38">
        <f t="shared" si="95"/>
        <v>55</v>
      </c>
      <c r="H141" s="38">
        <f t="shared" si="96"/>
        <v>28</v>
      </c>
      <c r="I141" s="38">
        <f t="shared" si="97"/>
        <v>14</v>
      </c>
      <c r="J141" s="38">
        <f t="shared" si="98"/>
        <v>1813</v>
      </c>
      <c r="K141" s="38">
        <f t="shared" ca="1" si="99"/>
        <v>1360</v>
      </c>
      <c r="R141" s="113" t="s">
        <v>253</v>
      </c>
      <c r="S141" s="14">
        <v>139</v>
      </c>
      <c r="T141" s="14">
        <f>关卡对比!AE145</f>
        <v>83</v>
      </c>
      <c r="U141" s="109">
        <f>关卡对比!AF145</f>
        <v>64</v>
      </c>
      <c r="V141" s="70">
        <f t="shared" si="119"/>
        <v>10</v>
      </c>
      <c r="W141" s="38">
        <f t="shared" si="120"/>
        <v>20</v>
      </c>
      <c r="X141" s="68">
        <f t="shared" si="121"/>
        <v>30</v>
      </c>
      <c r="Y141" s="70">
        <f t="shared" si="100"/>
        <v>14.4</v>
      </c>
      <c r="Z141" s="38">
        <f t="shared" si="101"/>
        <v>8.8000000000000007</v>
      </c>
      <c r="AA141" s="68">
        <f t="shared" si="102"/>
        <v>6.9</v>
      </c>
      <c r="AB141" s="70">
        <f t="shared" si="123"/>
        <v>7</v>
      </c>
      <c r="AC141" s="38">
        <f t="shared" si="124"/>
        <v>5</v>
      </c>
      <c r="AD141" s="38">
        <f t="shared" si="125"/>
        <v>2</v>
      </c>
      <c r="AE141" s="38">
        <f t="shared" ca="1" si="103"/>
        <v>370</v>
      </c>
      <c r="AF141" s="68">
        <f t="shared" si="122"/>
        <v>370</v>
      </c>
      <c r="AG141" s="70">
        <f t="shared" si="126"/>
        <v>7</v>
      </c>
      <c r="AH141" s="38">
        <f t="shared" si="127"/>
        <v>5</v>
      </c>
      <c r="AI141" s="38">
        <f t="shared" si="128"/>
        <v>2</v>
      </c>
      <c r="AJ141" s="38">
        <f t="shared" ca="1" si="104"/>
        <v>480</v>
      </c>
      <c r="AK141" s="68">
        <f t="shared" si="129"/>
        <v>570</v>
      </c>
      <c r="AL141" s="38">
        <f t="shared" si="115"/>
        <v>7</v>
      </c>
      <c r="AM141" s="38">
        <f t="shared" si="116"/>
        <v>5</v>
      </c>
      <c r="AN141" s="38">
        <f t="shared" si="117"/>
        <v>2</v>
      </c>
      <c r="AO141" s="38">
        <f t="shared" ca="1" si="105"/>
        <v>510</v>
      </c>
      <c r="AP141" s="68">
        <f t="shared" si="118"/>
        <v>770</v>
      </c>
      <c r="AQ141" s="38">
        <f t="shared" si="106"/>
        <v>21</v>
      </c>
      <c r="AR141" s="38">
        <f t="shared" si="107"/>
        <v>15</v>
      </c>
      <c r="AS141" s="38">
        <f t="shared" si="108"/>
        <v>6</v>
      </c>
      <c r="AT141" s="38">
        <f t="shared" ca="1" si="109"/>
        <v>1360</v>
      </c>
      <c r="AU141" s="68">
        <f t="shared" si="110"/>
        <v>1710</v>
      </c>
    </row>
    <row r="142" spans="1:47" x14ac:dyDescent="0.25">
      <c r="A142" s="86" t="s">
        <v>253</v>
      </c>
      <c r="B142" s="14">
        <v>140</v>
      </c>
      <c r="C142" s="14">
        <f>关卡产出!C147</f>
        <v>110</v>
      </c>
      <c r="D142" s="14">
        <f>关卡产出!D147</f>
        <v>55</v>
      </c>
      <c r="E142" s="14">
        <f>关卡产出!E147</f>
        <v>27</v>
      </c>
      <c r="F142" s="14">
        <f>关卡产出!F147</f>
        <v>1450</v>
      </c>
      <c r="G142" s="38">
        <f t="shared" si="95"/>
        <v>55</v>
      </c>
      <c r="H142" s="38">
        <f t="shared" si="96"/>
        <v>28</v>
      </c>
      <c r="I142" s="38">
        <f t="shared" si="97"/>
        <v>14</v>
      </c>
      <c r="J142" s="38">
        <f t="shared" si="98"/>
        <v>1813</v>
      </c>
      <c r="K142" s="38">
        <f t="shared" ca="1" si="99"/>
        <v>1425</v>
      </c>
      <c r="R142" s="113" t="s">
        <v>253</v>
      </c>
      <c r="S142" s="14">
        <v>140</v>
      </c>
      <c r="T142" s="14">
        <f>关卡对比!AE146</f>
        <v>83</v>
      </c>
      <c r="U142" s="109">
        <f>关卡对比!AF146</f>
        <v>65</v>
      </c>
      <c r="V142" s="70">
        <f t="shared" si="119"/>
        <v>10</v>
      </c>
      <c r="W142" s="38">
        <f t="shared" si="120"/>
        <v>20</v>
      </c>
      <c r="X142" s="68">
        <f t="shared" si="121"/>
        <v>30</v>
      </c>
      <c r="Y142" s="70">
        <f t="shared" si="100"/>
        <v>14.5</v>
      </c>
      <c r="Z142" s="38">
        <f t="shared" si="101"/>
        <v>8.8000000000000007</v>
      </c>
      <c r="AA142" s="68">
        <f t="shared" si="102"/>
        <v>7</v>
      </c>
      <c r="AB142" s="70">
        <f t="shared" si="123"/>
        <v>7</v>
      </c>
      <c r="AC142" s="38">
        <f t="shared" si="124"/>
        <v>5</v>
      </c>
      <c r="AD142" s="38">
        <f t="shared" si="125"/>
        <v>2</v>
      </c>
      <c r="AE142" s="38">
        <f t="shared" ca="1" si="103"/>
        <v>370</v>
      </c>
      <c r="AF142" s="68">
        <f t="shared" si="122"/>
        <v>370</v>
      </c>
      <c r="AG142" s="70">
        <f t="shared" si="126"/>
        <v>7</v>
      </c>
      <c r="AH142" s="38">
        <f t="shared" si="127"/>
        <v>5</v>
      </c>
      <c r="AI142" s="38">
        <f t="shared" si="128"/>
        <v>2</v>
      </c>
      <c r="AJ142" s="38">
        <f t="shared" ca="1" si="104"/>
        <v>480</v>
      </c>
      <c r="AK142" s="68">
        <f t="shared" si="129"/>
        <v>570</v>
      </c>
      <c r="AL142" s="38">
        <f t="shared" si="115"/>
        <v>7</v>
      </c>
      <c r="AM142" s="38">
        <f t="shared" si="116"/>
        <v>5</v>
      </c>
      <c r="AN142" s="38">
        <f t="shared" si="117"/>
        <v>2</v>
      </c>
      <c r="AO142" s="38">
        <f t="shared" ca="1" si="105"/>
        <v>575</v>
      </c>
      <c r="AP142" s="68">
        <f t="shared" si="118"/>
        <v>770</v>
      </c>
      <c r="AQ142" s="38">
        <f t="shared" si="106"/>
        <v>21</v>
      </c>
      <c r="AR142" s="38">
        <f t="shared" si="107"/>
        <v>15</v>
      </c>
      <c r="AS142" s="38">
        <f t="shared" si="108"/>
        <v>6</v>
      </c>
      <c r="AT142" s="38">
        <f t="shared" ca="1" si="109"/>
        <v>1425</v>
      </c>
      <c r="AU142" s="68">
        <f t="shared" si="110"/>
        <v>1710</v>
      </c>
    </row>
    <row r="143" spans="1:47" x14ac:dyDescent="0.25">
      <c r="A143" s="86" t="s">
        <v>253</v>
      </c>
      <c r="B143" s="14">
        <v>141</v>
      </c>
      <c r="C143" s="14">
        <f>关卡产出!C148</f>
        <v>111</v>
      </c>
      <c r="D143" s="14">
        <f>关卡产出!D148</f>
        <v>55</v>
      </c>
      <c r="E143" s="14">
        <f>关卡产出!E148</f>
        <v>27</v>
      </c>
      <c r="F143" s="14">
        <f>关卡产出!F148</f>
        <v>1470</v>
      </c>
      <c r="G143" s="38">
        <f t="shared" si="95"/>
        <v>56</v>
      </c>
      <c r="H143" s="38">
        <f t="shared" si="96"/>
        <v>28</v>
      </c>
      <c r="I143" s="38">
        <f t="shared" si="97"/>
        <v>14</v>
      </c>
      <c r="J143" s="38">
        <f t="shared" si="98"/>
        <v>1838</v>
      </c>
      <c r="K143" s="38">
        <f t="shared" ca="1" si="99"/>
        <v>1425</v>
      </c>
      <c r="R143" s="113" t="s">
        <v>253</v>
      </c>
      <c r="S143" s="14">
        <v>141</v>
      </c>
      <c r="T143" s="14">
        <f>关卡对比!AE147</f>
        <v>84</v>
      </c>
      <c r="U143" s="109">
        <f>关卡对比!AF147</f>
        <v>65</v>
      </c>
      <c r="V143" s="70">
        <f t="shared" si="119"/>
        <v>10</v>
      </c>
      <c r="W143" s="38">
        <f t="shared" si="120"/>
        <v>20</v>
      </c>
      <c r="X143" s="68">
        <f t="shared" si="121"/>
        <v>30</v>
      </c>
      <c r="Y143" s="70">
        <f t="shared" si="100"/>
        <v>14.6</v>
      </c>
      <c r="Z143" s="38">
        <f t="shared" si="101"/>
        <v>8.9</v>
      </c>
      <c r="AA143" s="68">
        <f t="shared" si="102"/>
        <v>7</v>
      </c>
      <c r="AB143" s="70">
        <f t="shared" si="123"/>
        <v>7</v>
      </c>
      <c r="AC143" s="38">
        <f t="shared" si="124"/>
        <v>5</v>
      </c>
      <c r="AD143" s="38">
        <f t="shared" si="125"/>
        <v>2</v>
      </c>
      <c r="AE143" s="38">
        <f t="shared" ca="1" si="103"/>
        <v>370</v>
      </c>
      <c r="AF143" s="68">
        <f t="shared" si="122"/>
        <v>370</v>
      </c>
      <c r="AG143" s="70">
        <f t="shared" si="126"/>
        <v>7</v>
      </c>
      <c r="AH143" s="38">
        <f t="shared" si="127"/>
        <v>5</v>
      </c>
      <c r="AI143" s="38">
        <f t="shared" si="128"/>
        <v>2</v>
      </c>
      <c r="AJ143" s="38">
        <f t="shared" ca="1" si="104"/>
        <v>480</v>
      </c>
      <c r="AK143" s="68">
        <f t="shared" si="129"/>
        <v>570</v>
      </c>
      <c r="AL143" s="38">
        <f t="shared" si="115"/>
        <v>7</v>
      </c>
      <c r="AM143" s="38">
        <f t="shared" si="116"/>
        <v>5</v>
      </c>
      <c r="AN143" s="38">
        <f t="shared" si="117"/>
        <v>2</v>
      </c>
      <c r="AO143" s="38">
        <f t="shared" ca="1" si="105"/>
        <v>575</v>
      </c>
      <c r="AP143" s="68">
        <f t="shared" si="118"/>
        <v>770</v>
      </c>
      <c r="AQ143" s="38">
        <f t="shared" si="106"/>
        <v>21</v>
      </c>
      <c r="AR143" s="38">
        <f t="shared" si="107"/>
        <v>15</v>
      </c>
      <c r="AS143" s="38">
        <f t="shared" si="108"/>
        <v>6</v>
      </c>
      <c r="AT143" s="38">
        <f t="shared" ca="1" si="109"/>
        <v>1425</v>
      </c>
      <c r="AU143" s="68">
        <f t="shared" si="110"/>
        <v>1710</v>
      </c>
    </row>
    <row r="144" spans="1:47" x14ac:dyDescent="0.25">
      <c r="A144" s="86" t="s">
        <v>253</v>
      </c>
      <c r="B144" s="14">
        <v>142</v>
      </c>
      <c r="C144" s="14">
        <f>关卡产出!C149</f>
        <v>112</v>
      </c>
      <c r="D144" s="14">
        <f>关卡产出!D149</f>
        <v>56</v>
      </c>
      <c r="E144" s="14">
        <f>关卡产出!E149</f>
        <v>27</v>
      </c>
      <c r="F144" s="14">
        <f>关卡产出!F149</f>
        <v>1470</v>
      </c>
      <c r="G144" s="38">
        <f t="shared" si="95"/>
        <v>56</v>
      </c>
      <c r="H144" s="38">
        <f t="shared" si="96"/>
        <v>28</v>
      </c>
      <c r="I144" s="38">
        <f t="shared" si="97"/>
        <v>14</v>
      </c>
      <c r="J144" s="38">
        <f t="shared" si="98"/>
        <v>1838</v>
      </c>
      <c r="K144" s="38">
        <f t="shared" ca="1" si="99"/>
        <v>1425</v>
      </c>
      <c r="R144" s="113" t="s">
        <v>253</v>
      </c>
      <c r="S144" s="14">
        <v>142</v>
      </c>
      <c r="T144" s="14">
        <f>关卡对比!AE148</f>
        <v>84</v>
      </c>
      <c r="U144" s="109">
        <f>关卡对比!AF148</f>
        <v>65</v>
      </c>
      <c r="V144" s="70">
        <f t="shared" si="119"/>
        <v>10</v>
      </c>
      <c r="W144" s="38">
        <f t="shared" si="120"/>
        <v>20</v>
      </c>
      <c r="X144" s="68">
        <f t="shared" si="121"/>
        <v>30</v>
      </c>
      <c r="Y144" s="70">
        <f t="shared" si="100"/>
        <v>14.7</v>
      </c>
      <c r="Z144" s="38">
        <f t="shared" si="101"/>
        <v>8.9</v>
      </c>
      <c r="AA144" s="68">
        <f t="shared" si="102"/>
        <v>7</v>
      </c>
      <c r="AB144" s="70">
        <f t="shared" si="123"/>
        <v>7</v>
      </c>
      <c r="AC144" s="38">
        <f t="shared" si="124"/>
        <v>5</v>
      </c>
      <c r="AD144" s="38">
        <f t="shared" si="125"/>
        <v>2</v>
      </c>
      <c r="AE144" s="38">
        <f t="shared" ca="1" si="103"/>
        <v>370</v>
      </c>
      <c r="AF144" s="68">
        <f t="shared" si="122"/>
        <v>370</v>
      </c>
      <c r="AG144" s="70">
        <f t="shared" si="126"/>
        <v>7</v>
      </c>
      <c r="AH144" s="38">
        <f t="shared" si="127"/>
        <v>5</v>
      </c>
      <c r="AI144" s="38">
        <f t="shared" si="128"/>
        <v>2</v>
      </c>
      <c r="AJ144" s="38">
        <f t="shared" ca="1" si="104"/>
        <v>480</v>
      </c>
      <c r="AK144" s="68">
        <f t="shared" si="129"/>
        <v>570</v>
      </c>
      <c r="AL144" s="38">
        <f t="shared" ref="AL144:AL175" si="130">AX$5+SUMIFS(BE:BE,$BC:$BC,"&lt;="&amp;$X144,$BC:$BC,"&gt;"&amp;20)</f>
        <v>7</v>
      </c>
      <c r="AM144" s="38">
        <f t="shared" ref="AM144:AM175" si="131">AY$5+SUMIFS(BF:BF,$BC:$BC,"&lt;="&amp;$X144,$BC:$BC,"&gt;"&amp;20)</f>
        <v>5</v>
      </c>
      <c r="AN144" s="38">
        <f t="shared" ref="AN144:AN175" si="132">AZ$5+SUMIFS(BG:BG,$BC:$BC,"&lt;="&amp;$X144,$BC:$BC,"&gt;"&amp;20)</f>
        <v>2</v>
      </c>
      <c r="AO144" s="38">
        <f t="shared" ca="1" si="105"/>
        <v>575</v>
      </c>
      <c r="AP144" s="68">
        <f t="shared" ref="AP144:AP175" si="133">$BA$5+SUMIFS($BQ:$BQ,$BC:$BC,"&lt;="&amp;X144,$BC:$BC,"&gt;"&amp;20)</f>
        <v>770</v>
      </c>
      <c r="AQ144" s="38">
        <f t="shared" si="106"/>
        <v>21</v>
      </c>
      <c r="AR144" s="38">
        <f t="shared" si="107"/>
        <v>15</v>
      </c>
      <c r="AS144" s="38">
        <f t="shared" si="108"/>
        <v>6</v>
      </c>
      <c r="AT144" s="38">
        <f t="shared" ca="1" si="109"/>
        <v>1425</v>
      </c>
      <c r="AU144" s="68">
        <f t="shared" si="110"/>
        <v>1710</v>
      </c>
    </row>
    <row r="145" spans="1:47" x14ac:dyDescent="0.25">
      <c r="A145" s="86" t="s">
        <v>253</v>
      </c>
      <c r="B145" s="14">
        <v>143</v>
      </c>
      <c r="C145" s="14">
        <f>关卡产出!C150</f>
        <v>113</v>
      </c>
      <c r="D145" s="14">
        <f>关卡产出!D150</f>
        <v>56</v>
      </c>
      <c r="E145" s="14">
        <f>关卡产出!E150</f>
        <v>28</v>
      </c>
      <c r="F145" s="14">
        <f>关卡产出!F150</f>
        <v>1490</v>
      </c>
      <c r="G145" s="38">
        <f t="shared" si="95"/>
        <v>57</v>
      </c>
      <c r="H145" s="38">
        <f t="shared" si="96"/>
        <v>28</v>
      </c>
      <c r="I145" s="38">
        <f t="shared" si="97"/>
        <v>14</v>
      </c>
      <c r="J145" s="38">
        <f t="shared" si="98"/>
        <v>1863</v>
      </c>
      <c r="K145" s="38">
        <f t="shared" ca="1" si="99"/>
        <v>1470</v>
      </c>
      <c r="R145" s="113" t="s">
        <v>253</v>
      </c>
      <c r="S145" s="14">
        <v>143</v>
      </c>
      <c r="T145" s="14">
        <f>关卡对比!AE149</f>
        <v>85</v>
      </c>
      <c r="U145" s="109">
        <f>关卡对比!AF149</f>
        <v>66</v>
      </c>
      <c r="V145" s="70">
        <f t="shared" si="119"/>
        <v>10</v>
      </c>
      <c r="W145" s="38">
        <f t="shared" si="120"/>
        <v>20</v>
      </c>
      <c r="X145" s="68">
        <f t="shared" si="121"/>
        <v>30</v>
      </c>
      <c r="Y145" s="70">
        <f t="shared" si="100"/>
        <v>14.8</v>
      </c>
      <c r="Z145" s="38">
        <f t="shared" si="101"/>
        <v>9</v>
      </c>
      <c r="AA145" s="68">
        <f t="shared" si="102"/>
        <v>7.1</v>
      </c>
      <c r="AB145" s="70">
        <f t="shared" si="123"/>
        <v>7</v>
      </c>
      <c r="AC145" s="38">
        <f t="shared" si="124"/>
        <v>5</v>
      </c>
      <c r="AD145" s="38">
        <f t="shared" si="125"/>
        <v>2</v>
      </c>
      <c r="AE145" s="38">
        <f t="shared" ca="1" si="103"/>
        <v>370</v>
      </c>
      <c r="AF145" s="68">
        <f t="shared" si="122"/>
        <v>370</v>
      </c>
      <c r="AG145" s="70">
        <f t="shared" si="126"/>
        <v>7</v>
      </c>
      <c r="AH145" s="38">
        <f t="shared" si="127"/>
        <v>5</v>
      </c>
      <c r="AI145" s="38">
        <f t="shared" si="128"/>
        <v>2</v>
      </c>
      <c r="AJ145" s="38">
        <f t="shared" ca="1" si="104"/>
        <v>525</v>
      </c>
      <c r="AK145" s="68">
        <f t="shared" si="129"/>
        <v>570</v>
      </c>
      <c r="AL145" s="38">
        <f t="shared" si="130"/>
        <v>7</v>
      </c>
      <c r="AM145" s="38">
        <f t="shared" si="131"/>
        <v>5</v>
      </c>
      <c r="AN145" s="38">
        <f t="shared" si="132"/>
        <v>2</v>
      </c>
      <c r="AO145" s="38">
        <f t="shared" ca="1" si="105"/>
        <v>575</v>
      </c>
      <c r="AP145" s="68">
        <f t="shared" si="133"/>
        <v>770</v>
      </c>
      <c r="AQ145" s="38">
        <f t="shared" si="106"/>
        <v>21</v>
      </c>
      <c r="AR145" s="38">
        <f t="shared" si="107"/>
        <v>15</v>
      </c>
      <c r="AS145" s="38">
        <f t="shared" si="108"/>
        <v>6</v>
      </c>
      <c r="AT145" s="38">
        <f t="shared" ca="1" si="109"/>
        <v>1470</v>
      </c>
      <c r="AU145" s="68">
        <f t="shared" si="110"/>
        <v>1710</v>
      </c>
    </row>
    <row r="146" spans="1:47" x14ac:dyDescent="0.25">
      <c r="A146" s="86" t="s">
        <v>253</v>
      </c>
      <c r="B146" s="14">
        <v>144</v>
      </c>
      <c r="C146" s="14">
        <f>关卡产出!C151</f>
        <v>114</v>
      </c>
      <c r="D146" s="14">
        <f>关卡产出!D151</f>
        <v>57</v>
      </c>
      <c r="E146" s="14">
        <f>关卡产出!E151</f>
        <v>28</v>
      </c>
      <c r="F146" s="14">
        <f>关卡产出!F151</f>
        <v>1490</v>
      </c>
      <c r="G146" s="38">
        <f t="shared" si="95"/>
        <v>57</v>
      </c>
      <c r="H146" s="38">
        <f t="shared" si="96"/>
        <v>29</v>
      </c>
      <c r="I146" s="38">
        <f t="shared" si="97"/>
        <v>14</v>
      </c>
      <c r="J146" s="38">
        <f t="shared" si="98"/>
        <v>1863</v>
      </c>
      <c r="K146" s="38">
        <f t="shared" ca="1" si="99"/>
        <v>1470</v>
      </c>
      <c r="R146" s="113" t="s">
        <v>253</v>
      </c>
      <c r="S146" s="14">
        <v>144</v>
      </c>
      <c r="T146" s="14">
        <f>关卡对比!AE150</f>
        <v>85</v>
      </c>
      <c r="U146" s="109">
        <f>关卡对比!AF150</f>
        <v>66</v>
      </c>
      <c r="V146" s="70">
        <f t="shared" si="119"/>
        <v>10</v>
      </c>
      <c r="W146" s="38">
        <f t="shared" si="120"/>
        <v>20</v>
      </c>
      <c r="X146" s="68">
        <f t="shared" si="121"/>
        <v>30</v>
      </c>
      <c r="Y146" s="70">
        <f t="shared" si="100"/>
        <v>14.9</v>
      </c>
      <c r="Z146" s="38">
        <f t="shared" si="101"/>
        <v>9</v>
      </c>
      <c r="AA146" s="68">
        <f t="shared" si="102"/>
        <v>7.1</v>
      </c>
      <c r="AB146" s="70">
        <f t="shared" si="123"/>
        <v>7</v>
      </c>
      <c r="AC146" s="38">
        <f t="shared" si="124"/>
        <v>5</v>
      </c>
      <c r="AD146" s="38">
        <f t="shared" si="125"/>
        <v>2</v>
      </c>
      <c r="AE146" s="38">
        <f t="shared" ca="1" si="103"/>
        <v>370</v>
      </c>
      <c r="AF146" s="68">
        <f t="shared" si="122"/>
        <v>370</v>
      </c>
      <c r="AG146" s="70">
        <f t="shared" si="126"/>
        <v>7</v>
      </c>
      <c r="AH146" s="38">
        <f t="shared" si="127"/>
        <v>5</v>
      </c>
      <c r="AI146" s="38">
        <f t="shared" si="128"/>
        <v>2</v>
      </c>
      <c r="AJ146" s="38">
        <f t="shared" ca="1" si="104"/>
        <v>525</v>
      </c>
      <c r="AK146" s="68">
        <f t="shared" si="129"/>
        <v>570</v>
      </c>
      <c r="AL146" s="38">
        <f t="shared" si="130"/>
        <v>7</v>
      </c>
      <c r="AM146" s="38">
        <f t="shared" si="131"/>
        <v>5</v>
      </c>
      <c r="AN146" s="38">
        <f t="shared" si="132"/>
        <v>2</v>
      </c>
      <c r="AO146" s="38">
        <f t="shared" ca="1" si="105"/>
        <v>575</v>
      </c>
      <c r="AP146" s="68">
        <f t="shared" si="133"/>
        <v>770</v>
      </c>
      <c r="AQ146" s="38">
        <f t="shared" si="106"/>
        <v>21</v>
      </c>
      <c r="AR146" s="38">
        <f t="shared" si="107"/>
        <v>15</v>
      </c>
      <c r="AS146" s="38">
        <f t="shared" si="108"/>
        <v>6</v>
      </c>
      <c r="AT146" s="38">
        <f t="shared" ca="1" si="109"/>
        <v>1470</v>
      </c>
      <c r="AU146" s="68">
        <f t="shared" si="110"/>
        <v>1710</v>
      </c>
    </row>
    <row r="147" spans="1:47" x14ac:dyDescent="0.25">
      <c r="A147" s="86" t="s">
        <v>253</v>
      </c>
      <c r="B147" s="14">
        <v>145</v>
      </c>
      <c r="C147" s="14">
        <f>关卡产出!C152</f>
        <v>114</v>
      </c>
      <c r="D147" s="14">
        <f>关卡产出!D152</f>
        <v>57</v>
      </c>
      <c r="E147" s="14">
        <f>关卡产出!E152</f>
        <v>28</v>
      </c>
      <c r="F147" s="14">
        <f>关卡产出!F152</f>
        <v>1510</v>
      </c>
      <c r="G147" s="38">
        <f t="shared" si="95"/>
        <v>57</v>
      </c>
      <c r="H147" s="38">
        <f t="shared" si="96"/>
        <v>29</v>
      </c>
      <c r="I147" s="38">
        <f t="shared" si="97"/>
        <v>14</v>
      </c>
      <c r="J147" s="38">
        <f t="shared" si="98"/>
        <v>1888</v>
      </c>
      <c r="K147" s="38">
        <f t="shared" ca="1" si="99"/>
        <v>1470</v>
      </c>
      <c r="R147" s="113" t="s">
        <v>253</v>
      </c>
      <c r="S147" s="14">
        <v>145</v>
      </c>
      <c r="T147" s="14">
        <f>关卡对比!AE151</f>
        <v>86</v>
      </c>
      <c r="U147" s="109">
        <f>关卡对比!AF151</f>
        <v>66</v>
      </c>
      <c r="V147" s="70">
        <f t="shared" si="119"/>
        <v>10</v>
      </c>
      <c r="W147" s="38">
        <f t="shared" si="120"/>
        <v>20</v>
      </c>
      <c r="X147" s="68">
        <f t="shared" si="121"/>
        <v>30</v>
      </c>
      <c r="Y147" s="70">
        <f t="shared" si="100"/>
        <v>15</v>
      </c>
      <c r="Z147" s="38">
        <f t="shared" si="101"/>
        <v>9.1</v>
      </c>
      <c r="AA147" s="68">
        <f t="shared" si="102"/>
        <v>7.1</v>
      </c>
      <c r="AB147" s="70">
        <f t="shared" si="123"/>
        <v>7</v>
      </c>
      <c r="AC147" s="38">
        <f t="shared" si="124"/>
        <v>5</v>
      </c>
      <c r="AD147" s="38">
        <f t="shared" si="125"/>
        <v>2</v>
      </c>
      <c r="AE147" s="38">
        <f t="shared" ca="1" si="103"/>
        <v>370</v>
      </c>
      <c r="AF147" s="68">
        <f t="shared" si="122"/>
        <v>370</v>
      </c>
      <c r="AG147" s="70">
        <f t="shared" si="126"/>
        <v>7</v>
      </c>
      <c r="AH147" s="38">
        <f t="shared" si="127"/>
        <v>5</v>
      </c>
      <c r="AI147" s="38">
        <f t="shared" si="128"/>
        <v>2</v>
      </c>
      <c r="AJ147" s="38">
        <f t="shared" ca="1" si="104"/>
        <v>525</v>
      </c>
      <c r="AK147" s="68">
        <f t="shared" si="129"/>
        <v>570</v>
      </c>
      <c r="AL147" s="38">
        <f t="shared" si="130"/>
        <v>7</v>
      </c>
      <c r="AM147" s="38">
        <f t="shared" si="131"/>
        <v>5</v>
      </c>
      <c r="AN147" s="38">
        <f t="shared" si="132"/>
        <v>2</v>
      </c>
      <c r="AO147" s="38">
        <f t="shared" ca="1" si="105"/>
        <v>575</v>
      </c>
      <c r="AP147" s="68">
        <f t="shared" si="133"/>
        <v>770</v>
      </c>
      <c r="AQ147" s="38">
        <f t="shared" si="106"/>
        <v>21</v>
      </c>
      <c r="AR147" s="38">
        <f t="shared" si="107"/>
        <v>15</v>
      </c>
      <c r="AS147" s="38">
        <f t="shared" si="108"/>
        <v>6</v>
      </c>
      <c r="AT147" s="38">
        <f t="shared" ca="1" si="109"/>
        <v>1470</v>
      </c>
      <c r="AU147" s="68">
        <f t="shared" si="110"/>
        <v>1710</v>
      </c>
    </row>
    <row r="148" spans="1:47" x14ac:dyDescent="0.25">
      <c r="A148" s="86" t="s">
        <v>253</v>
      </c>
      <c r="B148" s="14">
        <v>146</v>
      </c>
      <c r="C148" s="14">
        <f>关卡产出!C153</f>
        <v>115</v>
      </c>
      <c r="D148" s="14">
        <f>关卡产出!D153</f>
        <v>57</v>
      </c>
      <c r="E148" s="14">
        <f>关卡产出!E153</f>
        <v>28</v>
      </c>
      <c r="F148" s="14">
        <f>关卡产出!F153</f>
        <v>1510</v>
      </c>
      <c r="G148" s="38">
        <f t="shared" si="95"/>
        <v>58</v>
      </c>
      <c r="H148" s="38">
        <f t="shared" si="96"/>
        <v>29</v>
      </c>
      <c r="I148" s="38">
        <f t="shared" si="97"/>
        <v>14</v>
      </c>
      <c r="J148" s="38">
        <f t="shared" si="98"/>
        <v>1888</v>
      </c>
      <c r="K148" s="38">
        <f t="shared" ca="1" si="99"/>
        <v>1470</v>
      </c>
      <c r="R148" s="113" t="s">
        <v>253</v>
      </c>
      <c r="S148" s="14">
        <v>146</v>
      </c>
      <c r="T148" s="14">
        <f>关卡对比!AE152</f>
        <v>86</v>
      </c>
      <c r="U148" s="109">
        <f>关卡对比!AF152</f>
        <v>67</v>
      </c>
      <c r="V148" s="70">
        <f t="shared" si="119"/>
        <v>10</v>
      </c>
      <c r="W148" s="38">
        <f t="shared" si="120"/>
        <v>20</v>
      </c>
      <c r="X148" s="68">
        <f t="shared" si="121"/>
        <v>30</v>
      </c>
      <c r="Y148" s="70">
        <f t="shared" si="100"/>
        <v>15.1</v>
      </c>
      <c r="Z148" s="38">
        <f t="shared" si="101"/>
        <v>9.1</v>
      </c>
      <c r="AA148" s="68">
        <f t="shared" si="102"/>
        <v>7.2</v>
      </c>
      <c r="AB148" s="70">
        <f t="shared" si="123"/>
        <v>7</v>
      </c>
      <c r="AC148" s="38">
        <f t="shared" si="124"/>
        <v>5</v>
      </c>
      <c r="AD148" s="38">
        <f t="shared" si="125"/>
        <v>2</v>
      </c>
      <c r="AE148" s="38">
        <f t="shared" ca="1" si="103"/>
        <v>370</v>
      </c>
      <c r="AF148" s="68">
        <f t="shared" si="122"/>
        <v>370</v>
      </c>
      <c r="AG148" s="70">
        <f t="shared" si="126"/>
        <v>7</v>
      </c>
      <c r="AH148" s="38">
        <f t="shared" si="127"/>
        <v>5</v>
      </c>
      <c r="AI148" s="38">
        <f t="shared" si="128"/>
        <v>2</v>
      </c>
      <c r="AJ148" s="38">
        <f t="shared" ca="1" si="104"/>
        <v>525</v>
      </c>
      <c r="AK148" s="68">
        <f t="shared" si="129"/>
        <v>570</v>
      </c>
      <c r="AL148" s="38">
        <f t="shared" si="130"/>
        <v>7</v>
      </c>
      <c r="AM148" s="38">
        <f t="shared" si="131"/>
        <v>5</v>
      </c>
      <c r="AN148" s="38">
        <f t="shared" si="132"/>
        <v>2</v>
      </c>
      <c r="AO148" s="38">
        <f t="shared" ca="1" si="105"/>
        <v>575</v>
      </c>
      <c r="AP148" s="68">
        <f t="shared" si="133"/>
        <v>770</v>
      </c>
      <c r="AQ148" s="38">
        <f t="shared" si="106"/>
        <v>21</v>
      </c>
      <c r="AR148" s="38">
        <f t="shared" si="107"/>
        <v>15</v>
      </c>
      <c r="AS148" s="38">
        <f t="shared" si="108"/>
        <v>6</v>
      </c>
      <c r="AT148" s="38">
        <f t="shared" ca="1" si="109"/>
        <v>1470</v>
      </c>
      <c r="AU148" s="68">
        <f t="shared" si="110"/>
        <v>1710</v>
      </c>
    </row>
    <row r="149" spans="1:47" x14ac:dyDescent="0.25">
      <c r="A149" s="86" t="s">
        <v>253</v>
      </c>
      <c r="B149" s="14">
        <v>147</v>
      </c>
      <c r="C149" s="14">
        <f>关卡产出!C154</f>
        <v>116</v>
      </c>
      <c r="D149" s="14">
        <f>关卡产出!D154</f>
        <v>58</v>
      </c>
      <c r="E149" s="14">
        <f>关卡产出!E154</f>
        <v>28</v>
      </c>
      <c r="F149" s="14">
        <f>关卡产出!F154</f>
        <v>1530</v>
      </c>
      <c r="G149" s="38">
        <f t="shared" si="95"/>
        <v>58</v>
      </c>
      <c r="H149" s="38">
        <f t="shared" si="96"/>
        <v>29</v>
      </c>
      <c r="I149" s="38">
        <f t="shared" si="97"/>
        <v>14</v>
      </c>
      <c r="J149" s="38">
        <f t="shared" si="98"/>
        <v>1913</v>
      </c>
      <c r="K149" s="38">
        <f t="shared" ca="1" si="99"/>
        <v>1470</v>
      </c>
      <c r="R149" s="113" t="s">
        <v>253</v>
      </c>
      <c r="S149" s="14">
        <v>147</v>
      </c>
      <c r="T149" s="14">
        <f>关卡对比!AE153</f>
        <v>87</v>
      </c>
      <c r="U149" s="109">
        <f>关卡对比!AF153</f>
        <v>67</v>
      </c>
      <c r="V149" s="70">
        <f t="shared" si="119"/>
        <v>10</v>
      </c>
      <c r="W149" s="38">
        <f t="shared" si="120"/>
        <v>20</v>
      </c>
      <c r="X149" s="68">
        <f t="shared" si="121"/>
        <v>30</v>
      </c>
      <c r="Y149" s="70">
        <f t="shared" si="100"/>
        <v>15.2</v>
      </c>
      <c r="Z149" s="38">
        <f t="shared" si="101"/>
        <v>9.1999999999999993</v>
      </c>
      <c r="AA149" s="68">
        <f t="shared" si="102"/>
        <v>7.2</v>
      </c>
      <c r="AB149" s="70">
        <f t="shared" si="123"/>
        <v>7</v>
      </c>
      <c r="AC149" s="38">
        <f t="shared" si="124"/>
        <v>5</v>
      </c>
      <c r="AD149" s="38">
        <f t="shared" si="125"/>
        <v>2</v>
      </c>
      <c r="AE149" s="38">
        <f t="shared" ca="1" si="103"/>
        <v>370</v>
      </c>
      <c r="AF149" s="68">
        <f t="shared" si="122"/>
        <v>370</v>
      </c>
      <c r="AG149" s="70">
        <f t="shared" si="126"/>
        <v>7</v>
      </c>
      <c r="AH149" s="38">
        <f t="shared" si="127"/>
        <v>5</v>
      </c>
      <c r="AI149" s="38">
        <f t="shared" si="128"/>
        <v>2</v>
      </c>
      <c r="AJ149" s="38">
        <f t="shared" ca="1" si="104"/>
        <v>525</v>
      </c>
      <c r="AK149" s="68">
        <f t="shared" si="129"/>
        <v>570</v>
      </c>
      <c r="AL149" s="38">
        <f t="shared" si="130"/>
        <v>7</v>
      </c>
      <c r="AM149" s="38">
        <f t="shared" si="131"/>
        <v>5</v>
      </c>
      <c r="AN149" s="38">
        <f t="shared" si="132"/>
        <v>2</v>
      </c>
      <c r="AO149" s="38">
        <f t="shared" ca="1" si="105"/>
        <v>575</v>
      </c>
      <c r="AP149" s="68">
        <f t="shared" si="133"/>
        <v>770</v>
      </c>
      <c r="AQ149" s="38">
        <f t="shared" si="106"/>
        <v>21</v>
      </c>
      <c r="AR149" s="38">
        <f t="shared" si="107"/>
        <v>15</v>
      </c>
      <c r="AS149" s="38">
        <f t="shared" si="108"/>
        <v>6</v>
      </c>
      <c r="AT149" s="38">
        <f t="shared" ca="1" si="109"/>
        <v>1470</v>
      </c>
      <c r="AU149" s="68">
        <f t="shared" si="110"/>
        <v>1710</v>
      </c>
    </row>
    <row r="150" spans="1:47" x14ac:dyDescent="0.25">
      <c r="A150" s="86" t="s">
        <v>253</v>
      </c>
      <c r="B150" s="14">
        <v>148</v>
      </c>
      <c r="C150" s="14">
        <f>关卡产出!C155</f>
        <v>117</v>
      </c>
      <c r="D150" s="14">
        <f>关卡产出!D155</f>
        <v>58</v>
      </c>
      <c r="E150" s="14">
        <f>关卡产出!E155</f>
        <v>29</v>
      </c>
      <c r="F150" s="14">
        <f>关卡产出!F155</f>
        <v>1530</v>
      </c>
      <c r="G150" s="38">
        <f t="shared" si="95"/>
        <v>59</v>
      </c>
      <c r="H150" s="38">
        <f t="shared" si="96"/>
        <v>29</v>
      </c>
      <c r="I150" s="38">
        <f t="shared" si="97"/>
        <v>15</v>
      </c>
      <c r="J150" s="38">
        <f t="shared" si="98"/>
        <v>1913</v>
      </c>
      <c r="K150" s="38">
        <f t="shared" ca="1" si="99"/>
        <v>1470</v>
      </c>
      <c r="R150" s="113" t="s">
        <v>253</v>
      </c>
      <c r="S150" s="14">
        <v>148</v>
      </c>
      <c r="T150" s="14">
        <f>关卡对比!AE154</f>
        <v>87</v>
      </c>
      <c r="U150" s="109">
        <f>关卡对比!AF154</f>
        <v>67</v>
      </c>
      <c r="V150" s="70">
        <f t="shared" si="119"/>
        <v>10</v>
      </c>
      <c r="W150" s="38">
        <f t="shared" si="120"/>
        <v>20</v>
      </c>
      <c r="X150" s="68">
        <f t="shared" si="121"/>
        <v>30</v>
      </c>
      <c r="Y150" s="70">
        <f t="shared" si="100"/>
        <v>15.3</v>
      </c>
      <c r="Z150" s="38">
        <f t="shared" si="101"/>
        <v>9.1999999999999993</v>
      </c>
      <c r="AA150" s="68">
        <f t="shared" si="102"/>
        <v>7.2</v>
      </c>
      <c r="AB150" s="70">
        <f t="shared" si="123"/>
        <v>7</v>
      </c>
      <c r="AC150" s="38">
        <f t="shared" si="124"/>
        <v>5</v>
      </c>
      <c r="AD150" s="38">
        <f t="shared" si="125"/>
        <v>2</v>
      </c>
      <c r="AE150" s="38">
        <f t="shared" ca="1" si="103"/>
        <v>370</v>
      </c>
      <c r="AF150" s="68">
        <f t="shared" si="122"/>
        <v>370</v>
      </c>
      <c r="AG150" s="70">
        <f t="shared" si="126"/>
        <v>7</v>
      </c>
      <c r="AH150" s="38">
        <f t="shared" si="127"/>
        <v>5</v>
      </c>
      <c r="AI150" s="38">
        <f t="shared" si="128"/>
        <v>2</v>
      </c>
      <c r="AJ150" s="38">
        <f t="shared" ca="1" si="104"/>
        <v>525</v>
      </c>
      <c r="AK150" s="68">
        <f t="shared" si="129"/>
        <v>570</v>
      </c>
      <c r="AL150" s="38">
        <f t="shared" si="130"/>
        <v>7</v>
      </c>
      <c r="AM150" s="38">
        <f t="shared" si="131"/>
        <v>5</v>
      </c>
      <c r="AN150" s="38">
        <f t="shared" si="132"/>
        <v>2</v>
      </c>
      <c r="AO150" s="38">
        <f t="shared" ca="1" si="105"/>
        <v>575</v>
      </c>
      <c r="AP150" s="68">
        <f t="shared" si="133"/>
        <v>770</v>
      </c>
      <c r="AQ150" s="38">
        <f t="shared" si="106"/>
        <v>21</v>
      </c>
      <c r="AR150" s="38">
        <f t="shared" si="107"/>
        <v>15</v>
      </c>
      <c r="AS150" s="38">
        <f t="shared" si="108"/>
        <v>6</v>
      </c>
      <c r="AT150" s="38">
        <f t="shared" ca="1" si="109"/>
        <v>1470</v>
      </c>
      <c r="AU150" s="68">
        <f t="shared" si="110"/>
        <v>1710</v>
      </c>
    </row>
    <row r="151" spans="1:47" x14ac:dyDescent="0.25">
      <c r="A151" s="86" t="s">
        <v>253</v>
      </c>
      <c r="B151" s="14">
        <v>149</v>
      </c>
      <c r="C151" s="14">
        <f>关卡产出!C156</f>
        <v>118</v>
      </c>
      <c r="D151" s="14">
        <f>关卡产出!D156</f>
        <v>59</v>
      </c>
      <c r="E151" s="14">
        <f>关卡产出!E156</f>
        <v>29</v>
      </c>
      <c r="F151" s="14">
        <f>关卡产出!F156</f>
        <v>1550</v>
      </c>
      <c r="G151" s="38">
        <f t="shared" si="95"/>
        <v>59</v>
      </c>
      <c r="H151" s="38">
        <f t="shared" si="96"/>
        <v>30</v>
      </c>
      <c r="I151" s="38">
        <f t="shared" si="97"/>
        <v>15</v>
      </c>
      <c r="J151" s="38">
        <f t="shared" si="98"/>
        <v>1938</v>
      </c>
      <c r="K151" s="38">
        <f t="shared" ca="1" si="99"/>
        <v>1470</v>
      </c>
      <c r="R151" s="113" t="s">
        <v>253</v>
      </c>
      <c r="S151" s="14">
        <v>149</v>
      </c>
      <c r="T151" s="14">
        <f>关卡对比!AE155</f>
        <v>88</v>
      </c>
      <c r="U151" s="109">
        <f>关卡对比!AF155</f>
        <v>68</v>
      </c>
      <c r="V151" s="70">
        <f t="shared" si="119"/>
        <v>10</v>
      </c>
      <c r="W151" s="38">
        <f t="shared" si="120"/>
        <v>20</v>
      </c>
      <c r="X151" s="68">
        <f t="shared" si="121"/>
        <v>30</v>
      </c>
      <c r="Y151" s="70">
        <f t="shared" si="100"/>
        <v>15.4</v>
      </c>
      <c r="Z151" s="38">
        <f t="shared" si="101"/>
        <v>9.3000000000000007</v>
      </c>
      <c r="AA151" s="68">
        <f t="shared" si="102"/>
        <v>7.3</v>
      </c>
      <c r="AB151" s="70">
        <f t="shared" si="123"/>
        <v>7</v>
      </c>
      <c r="AC151" s="38">
        <f t="shared" si="124"/>
        <v>5</v>
      </c>
      <c r="AD151" s="38">
        <f t="shared" si="125"/>
        <v>2</v>
      </c>
      <c r="AE151" s="38">
        <f t="shared" ca="1" si="103"/>
        <v>370</v>
      </c>
      <c r="AF151" s="68">
        <f t="shared" si="122"/>
        <v>370</v>
      </c>
      <c r="AG151" s="70">
        <f t="shared" si="126"/>
        <v>7</v>
      </c>
      <c r="AH151" s="38">
        <f t="shared" si="127"/>
        <v>5</v>
      </c>
      <c r="AI151" s="38">
        <f t="shared" si="128"/>
        <v>2</v>
      </c>
      <c r="AJ151" s="38">
        <f t="shared" ca="1" si="104"/>
        <v>525</v>
      </c>
      <c r="AK151" s="68">
        <f t="shared" si="129"/>
        <v>570</v>
      </c>
      <c r="AL151" s="38">
        <f t="shared" si="130"/>
        <v>7</v>
      </c>
      <c r="AM151" s="38">
        <f t="shared" si="131"/>
        <v>5</v>
      </c>
      <c r="AN151" s="38">
        <f t="shared" si="132"/>
        <v>2</v>
      </c>
      <c r="AO151" s="38">
        <f t="shared" ca="1" si="105"/>
        <v>575</v>
      </c>
      <c r="AP151" s="68">
        <f t="shared" si="133"/>
        <v>770</v>
      </c>
      <c r="AQ151" s="38">
        <f t="shared" si="106"/>
        <v>21</v>
      </c>
      <c r="AR151" s="38">
        <f t="shared" si="107"/>
        <v>15</v>
      </c>
      <c r="AS151" s="38">
        <f t="shared" si="108"/>
        <v>6</v>
      </c>
      <c r="AT151" s="38">
        <f t="shared" ca="1" si="109"/>
        <v>1470</v>
      </c>
      <c r="AU151" s="68">
        <f t="shared" si="110"/>
        <v>1710</v>
      </c>
    </row>
    <row r="152" spans="1:47" x14ac:dyDescent="0.25">
      <c r="A152" s="86" t="s">
        <v>253</v>
      </c>
      <c r="B152" s="14">
        <v>150</v>
      </c>
      <c r="C152" s="14">
        <f>关卡产出!C157</f>
        <v>118</v>
      </c>
      <c r="D152" s="14">
        <f>关卡产出!D157</f>
        <v>59</v>
      </c>
      <c r="E152" s="14">
        <f>关卡产出!E157</f>
        <v>29</v>
      </c>
      <c r="F152" s="14">
        <f>关卡产出!F157</f>
        <v>1550</v>
      </c>
      <c r="G152" s="38">
        <f t="shared" si="95"/>
        <v>59</v>
      </c>
      <c r="H152" s="38">
        <f t="shared" si="96"/>
        <v>30</v>
      </c>
      <c r="I152" s="38">
        <f t="shared" si="97"/>
        <v>15</v>
      </c>
      <c r="J152" s="38">
        <f t="shared" si="98"/>
        <v>1938</v>
      </c>
      <c r="K152" s="38">
        <f t="shared" ca="1" si="99"/>
        <v>1470</v>
      </c>
      <c r="R152" s="113" t="s">
        <v>253</v>
      </c>
      <c r="S152" s="14">
        <v>150</v>
      </c>
      <c r="T152" s="14">
        <f>关卡对比!AE156</f>
        <v>88</v>
      </c>
      <c r="U152" s="109">
        <f>关卡对比!AF156</f>
        <v>68</v>
      </c>
      <c r="V152" s="70">
        <f t="shared" si="119"/>
        <v>10</v>
      </c>
      <c r="W152" s="38">
        <f t="shared" si="120"/>
        <v>20</v>
      </c>
      <c r="X152" s="68">
        <f t="shared" si="121"/>
        <v>30</v>
      </c>
      <c r="Y152" s="70">
        <f t="shared" si="100"/>
        <v>15.5</v>
      </c>
      <c r="Z152" s="38">
        <f t="shared" si="101"/>
        <v>9.3000000000000007</v>
      </c>
      <c r="AA152" s="68">
        <f t="shared" si="102"/>
        <v>7.3</v>
      </c>
      <c r="AB152" s="70">
        <f t="shared" si="123"/>
        <v>7</v>
      </c>
      <c r="AC152" s="38">
        <f t="shared" si="124"/>
        <v>5</v>
      </c>
      <c r="AD152" s="38">
        <f t="shared" si="125"/>
        <v>2</v>
      </c>
      <c r="AE152" s="38">
        <f t="shared" ca="1" si="103"/>
        <v>370</v>
      </c>
      <c r="AF152" s="68">
        <f t="shared" si="122"/>
        <v>370</v>
      </c>
      <c r="AG152" s="70">
        <f t="shared" si="126"/>
        <v>7</v>
      </c>
      <c r="AH152" s="38">
        <f t="shared" si="127"/>
        <v>5</v>
      </c>
      <c r="AI152" s="38">
        <f t="shared" si="128"/>
        <v>2</v>
      </c>
      <c r="AJ152" s="38">
        <f t="shared" ca="1" si="104"/>
        <v>525</v>
      </c>
      <c r="AK152" s="68">
        <f t="shared" si="129"/>
        <v>570</v>
      </c>
      <c r="AL152" s="38">
        <f t="shared" si="130"/>
        <v>7</v>
      </c>
      <c r="AM152" s="38">
        <f t="shared" si="131"/>
        <v>5</v>
      </c>
      <c r="AN152" s="38">
        <f t="shared" si="132"/>
        <v>2</v>
      </c>
      <c r="AO152" s="38">
        <f t="shared" ca="1" si="105"/>
        <v>575</v>
      </c>
      <c r="AP152" s="68">
        <f t="shared" si="133"/>
        <v>770</v>
      </c>
      <c r="AQ152" s="38">
        <f t="shared" si="106"/>
        <v>21</v>
      </c>
      <c r="AR152" s="38">
        <f t="shared" si="107"/>
        <v>15</v>
      </c>
      <c r="AS152" s="38">
        <f t="shared" si="108"/>
        <v>6</v>
      </c>
      <c r="AT152" s="38">
        <f t="shared" ca="1" si="109"/>
        <v>1470</v>
      </c>
      <c r="AU152" s="68">
        <f t="shared" si="110"/>
        <v>1710</v>
      </c>
    </row>
    <row r="153" spans="1:47" x14ac:dyDescent="0.25">
      <c r="A153" s="86" t="s">
        <v>253</v>
      </c>
      <c r="B153" s="14">
        <v>151</v>
      </c>
      <c r="C153" s="14">
        <f>关卡产出!C158</f>
        <v>119</v>
      </c>
      <c r="D153" s="14">
        <f>关卡产出!D158</f>
        <v>59</v>
      </c>
      <c r="E153" s="14">
        <f>关卡产出!E158</f>
        <v>29</v>
      </c>
      <c r="F153" s="14">
        <f>关卡产出!F158</f>
        <v>1570</v>
      </c>
      <c r="G153" s="38">
        <f t="shared" si="95"/>
        <v>60</v>
      </c>
      <c r="H153" s="38">
        <f t="shared" si="96"/>
        <v>30</v>
      </c>
      <c r="I153" s="38">
        <f t="shared" si="97"/>
        <v>15</v>
      </c>
      <c r="J153" s="38">
        <f t="shared" si="98"/>
        <v>1963</v>
      </c>
      <c r="K153" s="38">
        <f t="shared" ca="1" si="99"/>
        <v>1470</v>
      </c>
      <c r="R153" s="113" t="s">
        <v>253</v>
      </c>
      <c r="S153" s="14">
        <v>151</v>
      </c>
      <c r="T153" s="14">
        <f>关卡对比!AE157</f>
        <v>89</v>
      </c>
      <c r="U153" s="109">
        <f>关卡对比!AF157</f>
        <v>68</v>
      </c>
      <c r="V153" s="70">
        <f t="shared" si="119"/>
        <v>10</v>
      </c>
      <c r="W153" s="38">
        <f t="shared" si="120"/>
        <v>20</v>
      </c>
      <c r="X153" s="68">
        <f t="shared" si="121"/>
        <v>30</v>
      </c>
      <c r="Y153" s="70">
        <f t="shared" si="100"/>
        <v>15.6</v>
      </c>
      <c r="Z153" s="38">
        <f t="shared" si="101"/>
        <v>9.4</v>
      </c>
      <c r="AA153" s="68">
        <f t="shared" si="102"/>
        <v>7.3</v>
      </c>
      <c r="AB153" s="70">
        <f t="shared" si="123"/>
        <v>7</v>
      </c>
      <c r="AC153" s="38">
        <f t="shared" si="124"/>
        <v>5</v>
      </c>
      <c r="AD153" s="38">
        <f t="shared" si="125"/>
        <v>2</v>
      </c>
      <c r="AE153" s="38">
        <f t="shared" ca="1" si="103"/>
        <v>370</v>
      </c>
      <c r="AF153" s="68">
        <f t="shared" si="122"/>
        <v>370</v>
      </c>
      <c r="AG153" s="70">
        <f t="shared" si="126"/>
        <v>7</v>
      </c>
      <c r="AH153" s="38">
        <f t="shared" si="127"/>
        <v>5</v>
      </c>
      <c r="AI153" s="38">
        <f t="shared" si="128"/>
        <v>2</v>
      </c>
      <c r="AJ153" s="38">
        <f t="shared" ca="1" si="104"/>
        <v>525</v>
      </c>
      <c r="AK153" s="68">
        <f t="shared" si="129"/>
        <v>570</v>
      </c>
      <c r="AL153" s="38">
        <f t="shared" si="130"/>
        <v>7</v>
      </c>
      <c r="AM153" s="38">
        <f t="shared" si="131"/>
        <v>5</v>
      </c>
      <c r="AN153" s="38">
        <f t="shared" si="132"/>
        <v>2</v>
      </c>
      <c r="AO153" s="38">
        <f t="shared" ca="1" si="105"/>
        <v>575</v>
      </c>
      <c r="AP153" s="68">
        <f t="shared" si="133"/>
        <v>770</v>
      </c>
      <c r="AQ153" s="38">
        <f t="shared" si="106"/>
        <v>21</v>
      </c>
      <c r="AR153" s="38">
        <f t="shared" si="107"/>
        <v>15</v>
      </c>
      <c r="AS153" s="38">
        <f t="shared" si="108"/>
        <v>6</v>
      </c>
      <c r="AT153" s="38">
        <f t="shared" ca="1" si="109"/>
        <v>1470</v>
      </c>
      <c r="AU153" s="68">
        <f t="shared" si="110"/>
        <v>1710</v>
      </c>
    </row>
    <row r="154" spans="1:47" x14ac:dyDescent="0.25">
      <c r="A154" s="86" t="s">
        <v>253</v>
      </c>
      <c r="B154" s="14">
        <v>152</v>
      </c>
      <c r="C154" s="14">
        <f>关卡产出!C159</f>
        <v>120</v>
      </c>
      <c r="D154" s="14">
        <f>关卡产出!D159</f>
        <v>60</v>
      </c>
      <c r="E154" s="14">
        <f>关卡产出!E159</f>
        <v>29</v>
      </c>
      <c r="F154" s="14">
        <f>关卡产出!F159</f>
        <v>1570</v>
      </c>
      <c r="G154" s="38">
        <f t="shared" si="95"/>
        <v>60</v>
      </c>
      <c r="H154" s="38">
        <f t="shared" si="96"/>
        <v>30</v>
      </c>
      <c r="I154" s="38">
        <f t="shared" si="97"/>
        <v>15</v>
      </c>
      <c r="J154" s="38">
        <f t="shared" si="98"/>
        <v>1963</v>
      </c>
      <c r="K154" s="38">
        <f t="shared" ca="1" si="99"/>
        <v>1470</v>
      </c>
      <c r="R154" s="113" t="s">
        <v>253</v>
      </c>
      <c r="S154" s="14">
        <v>152</v>
      </c>
      <c r="T154" s="14">
        <f>关卡对比!AE158</f>
        <v>89</v>
      </c>
      <c r="U154" s="109">
        <f>关卡对比!AF158</f>
        <v>69</v>
      </c>
      <c r="V154" s="70">
        <f t="shared" si="119"/>
        <v>10</v>
      </c>
      <c r="W154" s="38">
        <f t="shared" si="120"/>
        <v>20</v>
      </c>
      <c r="X154" s="68">
        <f t="shared" si="121"/>
        <v>30</v>
      </c>
      <c r="Y154" s="70">
        <f t="shared" si="100"/>
        <v>15.7</v>
      </c>
      <c r="Z154" s="38">
        <f t="shared" si="101"/>
        <v>9.4</v>
      </c>
      <c r="AA154" s="68">
        <f t="shared" si="102"/>
        <v>7.4</v>
      </c>
      <c r="AB154" s="70">
        <f t="shared" si="123"/>
        <v>7</v>
      </c>
      <c r="AC154" s="38">
        <f t="shared" si="124"/>
        <v>5</v>
      </c>
      <c r="AD154" s="38">
        <f t="shared" si="125"/>
        <v>2</v>
      </c>
      <c r="AE154" s="38">
        <f t="shared" ca="1" si="103"/>
        <v>370</v>
      </c>
      <c r="AF154" s="68">
        <f t="shared" si="122"/>
        <v>370</v>
      </c>
      <c r="AG154" s="70">
        <f t="shared" si="126"/>
        <v>7</v>
      </c>
      <c r="AH154" s="38">
        <f t="shared" si="127"/>
        <v>5</v>
      </c>
      <c r="AI154" s="38">
        <f t="shared" si="128"/>
        <v>2</v>
      </c>
      <c r="AJ154" s="38">
        <f t="shared" ca="1" si="104"/>
        <v>525</v>
      </c>
      <c r="AK154" s="68">
        <f t="shared" si="129"/>
        <v>570</v>
      </c>
      <c r="AL154" s="38">
        <f t="shared" si="130"/>
        <v>7</v>
      </c>
      <c r="AM154" s="38">
        <f t="shared" si="131"/>
        <v>5</v>
      </c>
      <c r="AN154" s="38">
        <f t="shared" si="132"/>
        <v>2</v>
      </c>
      <c r="AO154" s="38">
        <f t="shared" ca="1" si="105"/>
        <v>575</v>
      </c>
      <c r="AP154" s="68">
        <f t="shared" si="133"/>
        <v>770</v>
      </c>
      <c r="AQ154" s="38">
        <f t="shared" si="106"/>
        <v>21</v>
      </c>
      <c r="AR154" s="38">
        <f t="shared" si="107"/>
        <v>15</v>
      </c>
      <c r="AS154" s="38">
        <f t="shared" si="108"/>
        <v>6</v>
      </c>
      <c r="AT154" s="38">
        <f t="shared" ca="1" si="109"/>
        <v>1470</v>
      </c>
      <c r="AU154" s="68">
        <f t="shared" si="110"/>
        <v>1710</v>
      </c>
    </row>
    <row r="155" spans="1:47" x14ac:dyDescent="0.25">
      <c r="A155" s="86" t="s">
        <v>253</v>
      </c>
      <c r="B155" s="14">
        <v>153</v>
      </c>
      <c r="C155" s="14">
        <f>关卡产出!C160</f>
        <v>121</v>
      </c>
      <c r="D155" s="14">
        <f>关卡产出!D160</f>
        <v>60</v>
      </c>
      <c r="E155" s="14">
        <f>关卡产出!E160</f>
        <v>30</v>
      </c>
      <c r="F155" s="14">
        <f>关卡产出!F160</f>
        <v>1590</v>
      </c>
      <c r="G155" s="38">
        <f t="shared" si="95"/>
        <v>61</v>
      </c>
      <c r="H155" s="38">
        <f t="shared" si="96"/>
        <v>30</v>
      </c>
      <c r="I155" s="38">
        <f t="shared" si="97"/>
        <v>15</v>
      </c>
      <c r="J155" s="38">
        <f t="shared" si="98"/>
        <v>1988</v>
      </c>
      <c r="K155" s="38">
        <f t="shared" ca="1" si="99"/>
        <v>1470</v>
      </c>
      <c r="R155" s="113" t="s">
        <v>253</v>
      </c>
      <c r="S155" s="14">
        <v>153</v>
      </c>
      <c r="T155" s="14">
        <f>关卡对比!AE159</f>
        <v>90</v>
      </c>
      <c r="U155" s="109">
        <f>关卡对比!AF159</f>
        <v>69</v>
      </c>
      <c r="V155" s="70">
        <f t="shared" si="119"/>
        <v>10</v>
      </c>
      <c r="W155" s="38">
        <f t="shared" si="120"/>
        <v>20</v>
      </c>
      <c r="X155" s="68">
        <f t="shared" si="121"/>
        <v>30</v>
      </c>
      <c r="Y155" s="70">
        <f t="shared" si="100"/>
        <v>15.8</v>
      </c>
      <c r="Z155" s="38">
        <f t="shared" si="101"/>
        <v>9.5</v>
      </c>
      <c r="AA155" s="68">
        <f t="shared" si="102"/>
        <v>7.4</v>
      </c>
      <c r="AB155" s="70">
        <f t="shared" si="123"/>
        <v>7</v>
      </c>
      <c r="AC155" s="38">
        <f t="shared" si="124"/>
        <v>5</v>
      </c>
      <c r="AD155" s="38">
        <f t="shared" si="125"/>
        <v>2</v>
      </c>
      <c r="AE155" s="38">
        <f t="shared" ca="1" si="103"/>
        <v>370</v>
      </c>
      <c r="AF155" s="68">
        <f t="shared" si="122"/>
        <v>370</v>
      </c>
      <c r="AG155" s="70">
        <f t="shared" si="126"/>
        <v>7</v>
      </c>
      <c r="AH155" s="38">
        <f t="shared" si="127"/>
        <v>5</v>
      </c>
      <c r="AI155" s="38">
        <f t="shared" si="128"/>
        <v>2</v>
      </c>
      <c r="AJ155" s="38">
        <f t="shared" ca="1" si="104"/>
        <v>525</v>
      </c>
      <c r="AK155" s="68">
        <f t="shared" si="129"/>
        <v>570</v>
      </c>
      <c r="AL155" s="38">
        <f t="shared" si="130"/>
        <v>7</v>
      </c>
      <c r="AM155" s="38">
        <f t="shared" si="131"/>
        <v>5</v>
      </c>
      <c r="AN155" s="38">
        <f t="shared" si="132"/>
        <v>2</v>
      </c>
      <c r="AO155" s="38">
        <f t="shared" ca="1" si="105"/>
        <v>575</v>
      </c>
      <c r="AP155" s="68">
        <f t="shared" si="133"/>
        <v>770</v>
      </c>
      <c r="AQ155" s="38">
        <f t="shared" si="106"/>
        <v>21</v>
      </c>
      <c r="AR155" s="38">
        <f t="shared" si="107"/>
        <v>15</v>
      </c>
      <c r="AS155" s="38">
        <f t="shared" si="108"/>
        <v>6</v>
      </c>
      <c r="AT155" s="38">
        <f t="shared" ca="1" si="109"/>
        <v>1470</v>
      </c>
      <c r="AU155" s="68">
        <f t="shared" si="110"/>
        <v>1710</v>
      </c>
    </row>
    <row r="156" spans="1:47" x14ac:dyDescent="0.25">
      <c r="A156" s="86" t="s">
        <v>253</v>
      </c>
      <c r="B156" s="14">
        <v>154</v>
      </c>
      <c r="C156" s="14">
        <f>关卡产出!C161</f>
        <v>122</v>
      </c>
      <c r="D156" s="14">
        <f>关卡产出!D161</f>
        <v>61</v>
      </c>
      <c r="E156" s="14">
        <f>关卡产出!E161</f>
        <v>30</v>
      </c>
      <c r="F156" s="14">
        <f>关卡产出!F161</f>
        <v>1590</v>
      </c>
      <c r="G156" s="38">
        <f t="shared" si="95"/>
        <v>61</v>
      </c>
      <c r="H156" s="38">
        <f t="shared" si="96"/>
        <v>31</v>
      </c>
      <c r="I156" s="38">
        <f t="shared" si="97"/>
        <v>15</v>
      </c>
      <c r="J156" s="38">
        <f t="shared" si="98"/>
        <v>1988</v>
      </c>
      <c r="K156" s="38">
        <f t="shared" ca="1" si="99"/>
        <v>1470</v>
      </c>
      <c r="R156" s="113" t="s">
        <v>253</v>
      </c>
      <c r="S156" s="14">
        <v>154</v>
      </c>
      <c r="T156" s="14">
        <f>关卡对比!AE160</f>
        <v>90</v>
      </c>
      <c r="U156" s="109">
        <f>关卡对比!AF160</f>
        <v>69</v>
      </c>
      <c r="V156" s="70">
        <f t="shared" si="119"/>
        <v>10</v>
      </c>
      <c r="W156" s="38">
        <f t="shared" si="120"/>
        <v>20</v>
      </c>
      <c r="X156" s="68">
        <f t="shared" si="121"/>
        <v>30</v>
      </c>
      <c r="Y156" s="70">
        <f t="shared" si="100"/>
        <v>15.9</v>
      </c>
      <c r="Z156" s="38">
        <f t="shared" si="101"/>
        <v>9.5</v>
      </c>
      <c r="AA156" s="68">
        <f t="shared" si="102"/>
        <v>7.4</v>
      </c>
      <c r="AB156" s="70">
        <f t="shared" si="123"/>
        <v>7</v>
      </c>
      <c r="AC156" s="38">
        <f t="shared" si="124"/>
        <v>5</v>
      </c>
      <c r="AD156" s="38">
        <f t="shared" si="125"/>
        <v>2</v>
      </c>
      <c r="AE156" s="38">
        <f t="shared" ca="1" si="103"/>
        <v>370</v>
      </c>
      <c r="AF156" s="68">
        <f t="shared" si="122"/>
        <v>370</v>
      </c>
      <c r="AG156" s="70">
        <f t="shared" si="126"/>
        <v>7</v>
      </c>
      <c r="AH156" s="38">
        <f t="shared" si="127"/>
        <v>5</v>
      </c>
      <c r="AI156" s="38">
        <f t="shared" si="128"/>
        <v>2</v>
      </c>
      <c r="AJ156" s="38">
        <f t="shared" ca="1" si="104"/>
        <v>525</v>
      </c>
      <c r="AK156" s="68">
        <f t="shared" si="129"/>
        <v>570</v>
      </c>
      <c r="AL156" s="38">
        <f t="shared" si="130"/>
        <v>7</v>
      </c>
      <c r="AM156" s="38">
        <f t="shared" si="131"/>
        <v>5</v>
      </c>
      <c r="AN156" s="38">
        <f t="shared" si="132"/>
        <v>2</v>
      </c>
      <c r="AO156" s="38">
        <f t="shared" ca="1" si="105"/>
        <v>575</v>
      </c>
      <c r="AP156" s="68">
        <f t="shared" si="133"/>
        <v>770</v>
      </c>
      <c r="AQ156" s="38">
        <f t="shared" si="106"/>
        <v>21</v>
      </c>
      <c r="AR156" s="38">
        <f t="shared" si="107"/>
        <v>15</v>
      </c>
      <c r="AS156" s="38">
        <f t="shared" si="108"/>
        <v>6</v>
      </c>
      <c r="AT156" s="38">
        <f t="shared" ca="1" si="109"/>
        <v>1470</v>
      </c>
      <c r="AU156" s="68">
        <f t="shared" si="110"/>
        <v>1710</v>
      </c>
    </row>
    <row r="157" spans="1:47" x14ac:dyDescent="0.25">
      <c r="A157" s="86" t="s">
        <v>253</v>
      </c>
      <c r="B157" s="14">
        <v>155</v>
      </c>
      <c r="C157" s="14">
        <f>关卡产出!C162</f>
        <v>122</v>
      </c>
      <c r="D157" s="14">
        <f>关卡产出!D162</f>
        <v>61</v>
      </c>
      <c r="E157" s="14">
        <f>关卡产出!E162</f>
        <v>30</v>
      </c>
      <c r="F157" s="14">
        <f>关卡产出!F162</f>
        <v>1610</v>
      </c>
      <c r="G157" s="38">
        <f t="shared" si="95"/>
        <v>61</v>
      </c>
      <c r="H157" s="38">
        <f t="shared" si="96"/>
        <v>31</v>
      </c>
      <c r="I157" s="38">
        <f t="shared" si="97"/>
        <v>15</v>
      </c>
      <c r="J157" s="38">
        <f t="shared" si="98"/>
        <v>2013</v>
      </c>
      <c r="K157" s="38">
        <f t="shared" ca="1" si="99"/>
        <v>1470</v>
      </c>
      <c r="R157" s="113" t="s">
        <v>253</v>
      </c>
      <c r="S157" s="14">
        <v>155</v>
      </c>
      <c r="T157" s="14">
        <f>关卡对比!AE161</f>
        <v>91</v>
      </c>
      <c r="U157" s="109">
        <f>关卡对比!AF161</f>
        <v>70</v>
      </c>
      <c r="V157" s="70">
        <f t="shared" si="119"/>
        <v>10</v>
      </c>
      <c r="W157" s="38">
        <f t="shared" si="120"/>
        <v>20</v>
      </c>
      <c r="X157" s="68">
        <f t="shared" si="121"/>
        <v>30</v>
      </c>
      <c r="Y157" s="70">
        <f t="shared" si="100"/>
        <v>16</v>
      </c>
      <c r="Z157" s="38">
        <f t="shared" si="101"/>
        <v>9.6</v>
      </c>
      <c r="AA157" s="68">
        <f t="shared" si="102"/>
        <v>7.5</v>
      </c>
      <c r="AB157" s="70">
        <f t="shared" si="123"/>
        <v>7</v>
      </c>
      <c r="AC157" s="38">
        <f t="shared" si="124"/>
        <v>5</v>
      </c>
      <c r="AD157" s="38">
        <f t="shared" si="125"/>
        <v>2</v>
      </c>
      <c r="AE157" s="38">
        <f t="shared" ca="1" si="103"/>
        <v>370</v>
      </c>
      <c r="AF157" s="68">
        <f t="shared" si="122"/>
        <v>370</v>
      </c>
      <c r="AG157" s="70">
        <f t="shared" si="126"/>
        <v>7</v>
      </c>
      <c r="AH157" s="38">
        <f t="shared" si="127"/>
        <v>5</v>
      </c>
      <c r="AI157" s="38">
        <f t="shared" si="128"/>
        <v>2</v>
      </c>
      <c r="AJ157" s="38">
        <f t="shared" ca="1" si="104"/>
        <v>525</v>
      </c>
      <c r="AK157" s="68">
        <f t="shared" si="129"/>
        <v>570</v>
      </c>
      <c r="AL157" s="38">
        <f t="shared" si="130"/>
        <v>7</v>
      </c>
      <c r="AM157" s="38">
        <f t="shared" si="131"/>
        <v>5</v>
      </c>
      <c r="AN157" s="38">
        <f t="shared" si="132"/>
        <v>2</v>
      </c>
      <c r="AO157" s="38">
        <f t="shared" ca="1" si="105"/>
        <v>575</v>
      </c>
      <c r="AP157" s="68">
        <f t="shared" si="133"/>
        <v>770</v>
      </c>
      <c r="AQ157" s="38">
        <f t="shared" si="106"/>
        <v>21</v>
      </c>
      <c r="AR157" s="38">
        <f t="shared" si="107"/>
        <v>15</v>
      </c>
      <c r="AS157" s="38">
        <f t="shared" si="108"/>
        <v>6</v>
      </c>
      <c r="AT157" s="38">
        <f t="shared" ca="1" si="109"/>
        <v>1470</v>
      </c>
      <c r="AU157" s="68">
        <f t="shared" si="110"/>
        <v>1710</v>
      </c>
    </row>
    <row r="158" spans="1:47" x14ac:dyDescent="0.25">
      <c r="A158" s="86" t="s">
        <v>253</v>
      </c>
      <c r="B158" s="14">
        <v>156</v>
      </c>
      <c r="C158" s="14">
        <f>关卡产出!C163</f>
        <v>123</v>
      </c>
      <c r="D158" s="14">
        <f>关卡产出!D163</f>
        <v>61</v>
      </c>
      <c r="E158" s="14">
        <f>关卡产出!E163</f>
        <v>30</v>
      </c>
      <c r="F158" s="14">
        <f>关卡产出!F163</f>
        <v>1610</v>
      </c>
      <c r="G158" s="38">
        <f t="shared" si="95"/>
        <v>62</v>
      </c>
      <c r="H158" s="38">
        <f t="shared" si="96"/>
        <v>31</v>
      </c>
      <c r="I158" s="38">
        <f t="shared" si="97"/>
        <v>15</v>
      </c>
      <c r="J158" s="38">
        <f t="shared" si="98"/>
        <v>2013</v>
      </c>
      <c r="K158" s="38">
        <f t="shared" ca="1" si="99"/>
        <v>1470</v>
      </c>
      <c r="R158" s="113" t="s">
        <v>253</v>
      </c>
      <c r="S158" s="14">
        <v>156</v>
      </c>
      <c r="T158" s="14">
        <f>关卡对比!AE162</f>
        <v>91</v>
      </c>
      <c r="U158" s="109">
        <f>关卡对比!AF162</f>
        <v>70</v>
      </c>
      <c r="V158" s="70">
        <f t="shared" si="119"/>
        <v>10</v>
      </c>
      <c r="W158" s="38">
        <f t="shared" si="120"/>
        <v>20</v>
      </c>
      <c r="X158" s="68">
        <f t="shared" si="121"/>
        <v>30</v>
      </c>
      <c r="Y158" s="70">
        <f t="shared" si="100"/>
        <v>16.100000000000001</v>
      </c>
      <c r="Z158" s="38">
        <f t="shared" si="101"/>
        <v>9.6</v>
      </c>
      <c r="AA158" s="68">
        <f t="shared" si="102"/>
        <v>7.5</v>
      </c>
      <c r="AB158" s="70">
        <f t="shared" si="123"/>
        <v>7</v>
      </c>
      <c r="AC158" s="38">
        <f t="shared" si="124"/>
        <v>5</v>
      </c>
      <c r="AD158" s="38">
        <f t="shared" si="125"/>
        <v>2</v>
      </c>
      <c r="AE158" s="38">
        <f t="shared" ca="1" si="103"/>
        <v>370</v>
      </c>
      <c r="AF158" s="68">
        <f t="shared" si="122"/>
        <v>370</v>
      </c>
      <c r="AG158" s="70">
        <f t="shared" si="126"/>
        <v>7</v>
      </c>
      <c r="AH158" s="38">
        <f t="shared" si="127"/>
        <v>5</v>
      </c>
      <c r="AI158" s="38">
        <f t="shared" si="128"/>
        <v>2</v>
      </c>
      <c r="AJ158" s="38">
        <f t="shared" ca="1" si="104"/>
        <v>525</v>
      </c>
      <c r="AK158" s="68">
        <f t="shared" si="129"/>
        <v>570</v>
      </c>
      <c r="AL158" s="38">
        <f t="shared" si="130"/>
        <v>7</v>
      </c>
      <c r="AM158" s="38">
        <f t="shared" si="131"/>
        <v>5</v>
      </c>
      <c r="AN158" s="38">
        <f t="shared" si="132"/>
        <v>2</v>
      </c>
      <c r="AO158" s="38">
        <f t="shared" ca="1" si="105"/>
        <v>575</v>
      </c>
      <c r="AP158" s="68">
        <f t="shared" si="133"/>
        <v>770</v>
      </c>
      <c r="AQ158" s="38">
        <f t="shared" si="106"/>
        <v>21</v>
      </c>
      <c r="AR158" s="38">
        <f t="shared" si="107"/>
        <v>15</v>
      </c>
      <c r="AS158" s="38">
        <f t="shared" si="108"/>
        <v>6</v>
      </c>
      <c r="AT158" s="38">
        <f t="shared" ca="1" si="109"/>
        <v>1470</v>
      </c>
      <c r="AU158" s="68">
        <f t="shared" si="110"/>
        <v>1710</v>
      </c>
    </row>
    <row r="159" spans="1:47" x14ac:dyDescent="0.25">
      <c r="A159" s="86" t="s">
        <v>253</v>
      </c>
      <c r="B159" s="14">
        <v>157</v>
      </c>
      <c r="C159" s="14">
        <f>关卡产出!C164</f>
        <v>124</v>
      </c>
      <c r="D159" s="14">
        <f>关卡产出!D164</f>
        <v>62</v>
      </c>
      <c r="E159" s="14">
        <f>关卡产出!E164</f>
        <v>30</v>
      </c>
      <c r="F159" s="14">
        <f>关卡产出!F164</f>
        <v>1630</v>
      </c>
      <c r="G159" s="38">
        <f t="shared" si="95"/>
        <v>62</v>
      </c>
      <c r="H159" s="38">
        <f t="shared" si="96"/>
        <v>31</v>
      </c>
      <c r="I159" s="38">
        <f t="shared" si="97"/>
        <v>15</v>
      </c>
      <c r="J159" s="38">
        <f t="shared" si="98"/>
        <v>2038</v>
      </c>
      <c r="K159" s="38">
        <f t="shared" ca="1" si="99"/>
        <v>1470</v>
      </c>
      <c r="R159" s="113" t="s">
        <v>253</v>
      </c>
      <c r="S159" s="14">
        <v>157</v>
      </c>
      <c r="T159" s="14">
        <f>关卡对比!AE163</f>
        <v>92</v>
      </c>
      <c r="U159" s="109">
        <f>关卡对比!AF163</f>
        <v>70</v>
      </c>
      <c r="V159" s="70">
        <f t="shared" si="119"/>
        <v>10</v>
      </c>
      <c r="W159" s="38">
        <f t="shared" si="120"/>
        <v>20</v>
      </c>
      <c r="X159" s="68">
        <f t="shared" si="121"/>
        <v>30</v>
      </c>
      <c r="Y159" s="70">
        <f t="shared" si="100"/>
        <v>16.2</v>
      </c>
      <c r="Z159" s="38">
        <f t="shared" si="101"/>
        <v>9.6999999999999993</v>
      </c>
      <c r="AA159" s="68">
        <f t="shared" si="102"/>
        <v>7.5</v>
      </c>
      <c r="AB159" s="70">
        <f t="shared" si="123"/>
        <v>7</v>
      </c>
      <c r="AC159" s="38">
        <f t="shared" si="124"/>
        <v>5</v>
      </c>
      <c r="AD159" s="38">
        <f t="shared" si="125"/>
        <v>2</v>
      </c>
      <c r="AE159" s="38">
        <f t="shared" ca="1" si="103"/>
        <v>370</v>
      </c>
      <c r="AF159" s="68">
        <f t="shared" si="122"/>
        <v>370</v>
      </c>
      <c r="AG159" s="70">
        <f t="shared" si="126"/>
        <v>7</v>
      </c>
      <c r="AH159" s="38">
        <f t="shared" si="127"/>
        <v>5</v>
      </c>
      <c r="AI159" s="38">
        <f t="shared" si="128"/>
        <v>2</v>
      </c>
      <c r="AJ159" s="38">
        <f t="shared" ca="1" si="104"/>
        <v>525</v>
      </c>
      <c r="AK159" s="68">
        <f t="shared" si="129"/>
        <v>570</v>
      </c>
      <c r="AL159" s="38">
        <f t="shared" si="130"/>
        <v>7</v>
      </c>
      <c r="AM159" s="38">
        <f t="shared" si="131"/>
        <v>5</v>
      </c>
      <c r="AN159" s="38">
        <f t="shared" si="132"/>
        <v>2</v>
      </c>
      <c r="AO159" s="38">
        <f t="shared" ca="1" si="105"/>
        <v>575</v>
      </c>
      <c r="AP159" s="68">
        <f t="shared" si="133"/>
        <v>770</v>
      </c>
      <c r="AQ159" s="38">
        <f t="shared" si="106"/>
        <v>21</v>
      </c>
      <c r="AR159" s="38">
        <f t="shared" si="107"/>
        <v>15</v>
      </c>
      <c r="AS159" s="38">
        <f t="shared" si="108"/>
        <v>6</v>
      </c>
      <c r="AT159" s="38">
        <f t="shared" ca="1" si="109"/>
        <v>1470</v>
      </c>
      <c r="AU159" s="68">
        <f t="shared" si="110"/>
        <v>1710</v>
      </c>
    </row>
    <row r="160" spans="1:47" x14ac:dyDescent="0.25">
      <c r="A160" s="86" t="s">
        <v>253</v>
      </c>
      <c r="B160" s="14">
        <v>158</v>
      </c>
      <c r="C160" s="14">
        <f>关卡产出!C165</f>
        <v>125</v>
      </c>
      <c r="D160" s="14">
        <f>关卡产出!D165</f>
        <v>62</v>
      </c>
      <c r="E160" s="14">
        <f>关卡产出!E165</f>
        <v>31</v>
      </c>
      <c r="F160" s="14">
        <f>关卡产出!F165</f>
        <v>1630</v>
      </c>
      <c r="G160" s="38">
        <f t="shared" si="95"/>
        <v>63</v>
      </c>
      <c r="H160" s="38">
        <f t="shared" si="96"/>
        <v>31</v>
      </c>
      <c r="I160" s="38">
        <f t="shared" si="97"/>
        <v>16</v>
      </c>
      <c r="J160" s="38">
        <f t="shared" si="98"/>
        <v>2038</v>
      </c>
      <c r="K160" s="38">
        <f t="shared" ca="1" si="99"/>
        <v>1470</v>
      </c>
      <c r="R160" s="113" t="s">
        <v>253</v>
      </c>
      <c r="S160" s="14">
        <v>158</v>
      </c>
      <c r="T160" s="14">
        <f>关卡对比!AE164</f>
        <v>92</v>
      </c>
      <c r="U160" s="109">
        <f>关卡对比!AF164</f>
        <v>71</v>
      </c>
      <c r="V160" s="70">
        <f t="shared" si="119"/>
        <v>10</v>
      </c>
      <c r="W160" s="38">
        <f t="shared" si="120"/>
        <v>20</v>
      </c>
      <c r="X160" s="68">
        <f t="shared" si="121"/>
        <v>30</v>
      </c>
      <c r="Y160" s="70">
        <f t="shared" si="100"/>
        <v>16.3</v>
      </c>
      <c r="Z160" s="38">
        <f t="shared" si="101"/>
        <v>9.6999999999999993</v>
      </c>
      <c r="AA160" s="68">
        <f t="shared" si="102"/>
        <v>7.6</v>
      </c>
      <c r="AB160" s="70">
        <f t="shared" si="123"/>
        <v>7</v>
      </c>
      <c r="AC160" s="38">
        <f t="shared" si="124"/>
        <v>5</v>
      </c>
      <c r="AD160" s="38">
        <f t="shared" si="125"/>
        <v>2</v>
      </c>
      <c r="AE160" s="38">
        <f t="shared" ca="1" si="103"/>
        <v>370</v>
      </c>
      <c r="AF160" s="68">
        <f t="shared" si="122"/>
        <v>370</v>
      </c>
      <c r="AG160" s="70">
        <f t="shared" si="126"/>
        <v>7</v>
      </c>
      <c r="AH160" s="38">
        <f t="shared" si="127"/>
        <v>5</v>
      </c>
      <c r="AI160" s="38">
        <f t="shared" si="128"/>
        <v>2</v>
      </c>
      <c r="AJ160" s="38">
        <f t="shared" ca="1" si="104"/>
        <v>525</v>
      </c>
      <c r="AK160" s="68">
        <f t="shared" si="129"/>
        <v>570</v>
      </c>
      <c r="AL160" s="38">
        <f t="shared" si="130"/>
        <v>7</v>
      </c>
      <c r="AM160" s="38">
        <f t="shared" si="131"/>
        <v>5</v>
      </c>
      <c r="AN160" s="38">
        <f t="shared" si="132"/>
        <v>2</v>
      </c>
      <c r="AO160" s="38">
        <f t="shared" ca="1" si="105"/>
        <v>575</v>
      </c>
      <c r="AP160" s="68">
        <f t="shared" si="133"/>
        <v>770</v>
      </c>
      <c r="AQ160" s="38">
        <f t="shared" si="106"/>
        <v>21</v>
      </c>
      <c r="AR160" s="38">
        <f t="shared" si="107"/>
        <v>15</v>
      </c>
      <c r="AS160" s="38">
        <f t="shared" si="108"/>
        <v>6</v>
      </c>
      <c r="AT160" s="38">
        <f t="shared" ca="1" si="109"/>
        <v>1470</v>
      </c>
      <c r="AU160" s="68">
        <f t="shared" si="110"/>
        <v>1710</v>
      </c>
    </row>
    <row r="161" spans="1:47" x14ac:dyDescent="0.25">
      <c r="A161" s="86" t="s">
        <v>253</v>
      </c>
      <c r="B161" s="14">
        <v>159</v>
      </c>
      <c r="C161" s="14">
        <f>关卡产出!C166</f>
        <v>126</v>
      </c>
      <c r="D161" s="14">
        <f>关卡产出!D166</f>
        <v>63</v>
      </c>
      <c r="E161" s="14">
        <f>关卡产出!E166</f>
        <v>31</v>
      </c>
      <c r="F161" s="14">
        <f>关卡产出!F166</f>
        <v>1650</v>
      </c>
      <c r="G161" s="38">
        <f t="shared" si="95"/>
        <v>63</v>
      </c>
      <c r="H161" s="38">
        <f t="shared" si="96"/>
        <v>32</v>
      </c>
      <c r="I161" s="38">
        <f t="shared" si="97"/>
        <v>16</v>
      </c>
      <c r="J161" s="38">
        <f t="shared" si="98"/>
        <v>2063</v>
      </c>
      <c r="K161" s="38">
        <f t="shared" ca="1" si="99"/>
        <v>1470</v>
      </c>
      <c r="R161" s="113" t="s">
        <v>253</v>
      </c>
      <c r="S161" s="14">
        <v>159</v>
      </c>
      <c r="T161" s="14">
        <f>关卡对比!AE165</f>
        <v>93</v>
      </c>
      <c r="U161" s="109">
        <f>关卡对比!AF165</f>
        <v>71</v>
      </c>
      <c r="V161" s="70">
        <f t="shared" si="119"/>
        <v>10</v>
      </c>
      <c r="W161" s="38">
        <f t="shared" si="120"/>
        <v>20</v>
      </c>
      <c r="X161" s="68">
        <f t="shared" si="121"/>
        <v>30</v>
      </c>
      <c r="Y161" s="70">
        <f t="shared" si="100"/>
        <v>16.399999999999999</v>
      </c>
      <c r="Z161" s="38">
        <f t="shared" si="101"/>
        <v>9.8000000000000007</v>
      </c>
      <c r="AA161" s="68">
        <f t="shared" si="102"/>
        <v>7.6</v>
      </c>
      <c r="AB161" s="70">
        <f t="shared" si="123"/>
        <v>7</v>
      </c>
      <c r="AC161" s="38">
        <f t="shared" si="124"/>
        <v>5</v>
      </c>
      <c r="AD161" s="38">
        <f t="shared" si="125"/>
        <v>2</v>
      </c>
      <c r="AE161" s="38">
        <f t="shared" ca="1" si="103"/>
        <v>370</v>
      </c>
      <c r="AF161" s="68">
        <f t="shared" si="122"/>
        <v>370</v>
      </c>
      <c r="AG161" s="70">
        <f t="shared" si="126"/>
        <v>7</v>
      </c>
      <c r="AH161" s="38">
        <f t="shared" si="127"/>
        <v>5</v>
      </c>
      <c r="AI161" s="38">
        <f t="shared" si="128"/>
        <v>2</v>
      </c>
      <c r="AJ161" s="38">
        <f t="shared" ca="1" si="104"/>
        <v>525</v>
      </c>
      <c r="AK161" s="68">
        <f t="shared" si="129"/>
        <v>570</v>
      </c>
      <c r="AL161" s="38">
        <f t="shared" si="130"/>
        <v>7</v>
      </c>
      <c r="AM161" s="38">
        <f t="shared" si="131"/>
        <v>5</v>
      </c>
      <c r="AN161" s="38">
        <f t="shared" si="132"/>
        <v>2</v>
      </c>
      <c r="AO161" s="38">
        <f t="shared" ca="1" si="105"/>
        <v>575</v>
      </c>
      <c r="AP161" s="68">
        <f t="shared" si="133"/>
        <v>770</v>
      </c>
      <c r="AQ161" s="38">
        <f t="shared" si="106"/>
        <v>21</v>
      </c>
      <c r="AR161" s="38">
        <f t="shared" si="107"/>
        <v>15</v>
      </c>
      <c r="AS161" s="38">
        <f t="shared" si="108"/>
        <v>6</v>
      </c>
      <c r="AT161" s="38">
        <f t="shared" ca="1" si="109"/>
        <v>1470</v>
      </c>
      <c r="AU161" s="68">
        <f t="shared" si="110"/>
        <v>1710</v>
      </c>
    </row>
    <row r="162" spans="1:47" x14ac:dyDescent="0.25">
      <c r="A162" s="86" t="s">
        <v>253</v>
      </c>
      <c r="B162" s="14">
        <v>160</v>
      </c>
      <c r="C162" s="14">
        <f>关卡产出!C167</f>
        <v>126</v>
      </c>
      <c r="D162" s="14">
        <f>关卡产出!D167</f>
        <v>63</v>
      </c>
      <c r="E162" s="14">
        <f>关卡产出!E167</f>
        <v>31</v>
      </c>
      <c r="F162" s="14">
        <f>关卡产出!F167</f>
        <v>1650</v>
      </c>
      <c r="G162" s="38">
        <f t="shared" si="95"/>
        <v>63</v>
      </c>
      <c r="H162" s="38">
        <f t="shared" si="96"/>
        <v>32</v>
      </c>
      <c r="I162" s="38">
        <f t="shared" si="97"/>
        <v>16</v>
      </c>
      <c r="J162" s="38">
        <f t="shared" si="98"/>
        <v>2063</v>
      </c>
      <c r="K162" s="38">
        <f t="shared" ca="1" si="99"/>
        <v>1470</v>
      </c>
      <c r="R162" s="113" t="s">
        <v>253</v>
      </c>
      <c r="S162" s="14">
        <v>160</v>
      </c>
      <c r="T162" s="14">
        <f>关卡对比!AE166</f>
        <v>93</v>
      </c>
      <c r="U162" s="109">
        <f>关卡对比!AF166</f>
        <v>71</v>
      </c>
      <c r="V162" s="70">
        <f t="shared" si="119"/>
        <v>10</v>
      </c>
      <c r="W162" s="38">
        <f t="shared" si="120"/>
        <v>20</v>
      </c>
      <c r="X162" s="68">
        <f t="shared" si="121"/>
        <v>30</v>
      </c>
      <c r="Y162" s="70">
        <f t="shared" si="100"/>
        <v>16.5</v>
      </c>
      <c r="Z162" s="38">
        <f t="shared" si="101"/>
        <v>9.8000000000000007</v>
      </c>
      <c r="AA162" s="68">
        <f t="shared" si="102"/>
        <v>7.6</v>
      </c>
      <c r="AB162" s="70">
        <f t="shared" si="123"/>
        <v>7</v>
      </c>
      <c r="AC162" s="38">
        <f t="shared" si="124"/>
        <v>5</v>
      </c>
      <c r="AD162" s="38">
        <f t="shared" si="125"/>
        <v>2</v>
      </c>
      <c r="AE162" s="38">
        <f t="shared" ca="1" si="103"/>
        <v>370</v>
      </c>
      <c r="AF162" s="68">
        <f t="shared" si="122"/>
        <v>370</v>
      </c>
      <c r="AG162" s="70">
        <f t="shared" si="126"/>
        <v>7</v>
      </c>
      <c r="AH162" s="38">
        <f t="shared" si="127"/>
        <v>5</v>
      </c>
      <c r="AI162" s="38">
        <f t="shared" si="128"/>
        <v>2</v>
      </c>
      <c r="AJ162" s="38">
        <f t="shared" ca="1" si="104"/>
        <v>525</v>
      </c>
      <c r="AK162" s="68">
        <f t="shared" si="129"/>
        <v>570</v>
      </c>
      <c r="AL162" s="38">
        <f t="shared" si="130"/>
        <v>7</v>
      </c>
      <c r="AM162" s="38">
        <f t="shared" si="131"/>
        <v>5</v>
      </c>
      <c r="AN162" s="38">
        <f t="shared" si="132"/>
        <v>2</v>
      </c>
      <c r="AO162" s="38">
        <f t="shared" ca="1" si="105"/>
        <v>575</v>
      </c>
      <c r="AP162" s="68">
        <f t="shared" si="133"/>
        <v>770</v>
      </c>
      <c r="AQ162" s="38">
        <f t="shared" si="106"/>
        <v>21</v>
      </c>
      <c r="AR162" s="38">
        <f t="shared" si="107"/>
        <v>15</v>
      </c>
      <c r="AS162" s="38">
        <f t="shared" si="108"/>
        <v>6</v>
      </c>
      <c r="AT162" s="38">
        <f t="shared" ca="1" si="109"/>
        <v>1470</v>
      </c>
      <c r="AU162" s="68">
        <f t="shared" si="110"/>
        <v>1710</v>
      </c>
    </row>
    <row r="163" spans="1:47" x14ac:dyDescent="0.25">
      <c r="A163" s="86" t="s">
        <v>253</v>
      </c>
      <c r="B163" s="14">
        <v>161</v>
      </c>
      <c r="C163" s="14">
        <f>关卡产出!C168</f>
        <v>127</v>
      </c>
      <c r="D163" s="14">
        <f>关卡产出!D168</f>
        <v>63</v>
      </c>
      <c r="E163" s="14">
        <f>关卡产出!E168</f>
        <v>31</v>
      </c>
      <c r="F163" s="14">
        <f>关卡产出!F168</f>
        <v>1670</v>
      </c>
      <c r="G163" s="38">
        <f t="shared" si="95"/>
        <v>64</v>
      </c>
      <c r="H163" s="38">
        <f t="shared" si="96"/>
        <v>32</v>
      </c>
      <c r="I163" s="38">
        <f t="shared" si="97"/>
        <v>16</v>
      </c>
      <c r="J163" s="38">
        <f t="shared" si="98"/>
        <v>2088</v>
      </c>
      <c r="K163" s="38">
        <f t="shared" ca="1" si="99"/>
        <v>1470</v>
      </c>
      <c r="R163" s="113" t="s">
        <v>253</v>
      </c>
      <c r="S163" s="14">
        <v>161</v>
      </c>
      <c r="T163" s="14">
        <f>关卡对比!AE167</f>
        <v>94</v>
      </c>
      <c r="U163" s="109">
        <f>关卡对比!AF167</f>
        <v>72</v>
      </c>
      <c r="V163" s="70">
        <f t="shared" ref="V163:V194" si="134">_xlfn.IFNA(INDEX($M:$M,MATCH($S163,N:N,1)),0)</f>
        <v>10</v>
      </c>
      <c r="W163" s="38">
        <f t="shared" ref="W163:W194" si="135">_xlfn.IFNA(INDEX($M:$M,MATCH($T163,O:O,1)),0)</f>
        <v>20</v>
      </c>
      <c r="X163" s="68">
        <f t="shared" ref="X163:X194" si="136">_xlfn.IFNA(INDEX($M:$M,MATCH($U163,P:P,1)),0)</f>
        <v>30</v>
      </c>
      <c r="Y163" s="70">
        <f t="shared" si="100"/>
        <v>16.600000000000001</v>
      </c>
      <c r="Z163" s="38">
        <f t="shared" si="101"/>
        <v>9.9</v>
      </c>
      <c r="AA163" s="68">
        <f t="shared" si="102"/>
        <v>7.7</v>
      </c>
      <c r="AB163" s="70">
        <f t="shared" si="123"/>
        <v>7</v>
      </c>
      <c r="AC163" s="38">
        <f t="shared" si="124"/>
        <v>5</v>
      </c>
      <c r="AD163" s="38">
        <f t="shared" si="125"/>
        <v>2</v>
      </c>
      <c r="AE163" s="38">
        <f t="shared" ca="1" si="103"/>
        <v>370</v>
      </c>
      <c r="AF163" s="68">
        <f t="shared" ref="AF163:AF194" si="137">$BA$3+SUMIFS($BQ:$BQ,$BC:$BC,"&lt;="&amp;V163)</f>
        <v>370</v>
      </c>
      <c r="AG163" s="70">
        <f t="shared" si="126"/>
        <v>7</v>
      </c>
      <c r="AH163" s="38">
        <f t="shared" si="127"/>
        <v>5</v>
      </c>
      <c r="AI163" s="38">
        <f t="shared" si="128"/>
        <v>2</v>
      </c>
      <c r="AJ163" s="38">
        <f t="shared" ca="1" si="104"/>
        <v>525</v>
      </c>
      <c r="AK163" s="68">
        <f t="shared" si="129"/>
        <v>570</v>
      </c>
      <c r="AL163" s="38">
        <f t="shared" si="130"/>
        <v>7</v>
      </c>
      <c r="AM163" s="38">
        <f t="shared" si="131"/>
        <v>5</v>
      </c>
      <c r="AN163" s="38">
        <f t="shared" si="132"/>
        <v>2</v>
      </c>
      <c r="AO163" s="38">
        <f t="shared" ca="1" si="105"/>
        <v>575</v>
      </c>
      <c r="AP163" s="68">
        <f t="shared" si="133"/>
        <v>770</v>
      </c>
      <c r="AQ163" s="38">
        <f t="shared" si="106"/>
        <v>21</v>
      </c>
      <c r="AR163" s="38">
        <f t="shared" si="107"/>
        <v>15</v>
      </c>
      <c r="AS163" s="38">
        <f t="shared" si="108"/>
        <v>6</v>
      </c>
      <c r="AT163" s="38">
        <f t="shared" ca="1" si="109"/>
        <v>1470</v>
      </c>
      <c r="AU163" s="68">
        <f t="shared" si="110"/>
        <v>1710</v>
      </c>
    </row>
    <row r="164" spans="1:47" x14ac:dyDescent="0.25">
      <c r="A164" s="86" t="s">
        <v>253</v>
      </c>
      <c r="B164" s="14">
        <v>162</v>
      </c>
      <c r="C164" s="14">
        <f>关卡产出!C169</f>
        <v>128</v>
      </c>
      <c r="D164" s="14">
        <f>关卡产出!D169</f>
        <v>64</v>
      </c>
      <c r="E164" s="14">
        <f>关卡产出!E169</f>
        <v>31</v>
      </c>
      <c r="F164" s="14">
        <f>关卡产出!F169</f>
        <v>1670</v>
      </c>
      <c r="G164" s="38">
        <f t="shared" si="95"/>
        <v>64</v>
      </c>
      <c r="H164" s="38">
        <f t="shared" si="96"/>
        <v>32</v>
      </c>
      <c r="I164" s="38">
        <f t="shared" si="97"/>
        <v>16</v>
      </c>
      <c r="J164" s="38">
        <f t="shared" si="98"/>
        <v>2088</v>
      </c>
      <c r="K164" s="38">
        <f t="shared" ca="1" si="99"/>
        <v>1470</v>
      </c>
      <c r="R164" s="113" t="s">
        <v>253</v>
      </c>
      <c r="S164" s="14">
        <v>162</v>
      </c>
      <c r="T164" s="14">
        <f>关卡对比!AE168</f>
        <v>94</v>
      </c>
      <c r="U164" s="109">
        <f>关卡对比!AF168</f>
        <v>72</v>
      </c>
      <c r="V164" s="70">
        <f t="shared" si="134"/>
        <v>10</v>
      </c>
      <c r="W164" s="38">
        <f t="shared" si="135"/>
        <v>20</v>
      </c>
      <c r="X164" s="68">
        <f t="shared" si="136"/>
        <v>30</v>
      </c>
      <c r="Y164" s="70">
        <f t="shared" si="100"/>
        <v>16.7</v>
      </c>
      <c r="Z164" s="38">
        <f t="shared" si="101"/>
        <v>9.9</v>
      </c>
      <c r="AA164" s="68">
        <f t="shared" si="102"/>
        <v>7.7</v>
      </c>
      <c r="AB164" s="70">
        <f t="shared" ref="AB164:AB195" si="138">AX$3+SUMIFS(BE:BE,$BC:$BC,"&lt;="&amp;V164)</f>
        <v>7</v>
      </c>
      <c r="AC164" s="38">
        <f t="shared" ref="AC164:AC195" si="139">AY$3+SUMIFS(BF:BF,$BC:$BC,"&lt;="&amp;$V164)</f>
        <v>5</v>
      </c>
      <c r="AD164" s="38">
        <f t="shared" ref="AD164:AD195" si="140">AZ$3+SUMIFS(BG:BG,$BC:$BC,"&lt;="&amp;$V164)</f>
        <v>2</v>
      </c>
      <c r="AE164" s="38">
        <f t="shared" ca="1" si="103"/>
        <v>370</v>
      </c>
      <c r="AF164" s="68">
        <f t="shared" si="137"/>
        <v>370</v>
      </c>
      <c r="AG164" s="70">
        <f t="shared" si="126"/>
        <v>7</v>
      </c>
      <c r="AH164" s="38">
        <f t="shared" si="127"/>
        <v>5</v>
      </c>
      <c r="AI164" s="38">
        <f t="shared" si="128"/>
        <v>2</v>
      </c>
      <c r="AJ164" s="38">
        <f t="shared" ca="1" si="104"/>
        <v>525</v>
      </c>
      <c r="AK164" s="68">
        <f t="shared" si="129"/>
        <v>570</v>
      </c>
      <c r="AL164" s="38">
        <f t="shared" si="130"/>
        <v>7</v>
      </c>
      <c r="AM164" s="38">
        <f t="shared" si="131"/>
        <v>5</v>
      </c>
      <c r="AN164" s="38">
        <f t="shared" si="132"/>
        <v>2</v>
      </c>
      <c r="AO164" s="38">
        <f t="shared" ca="1" si="105"/>
        <v>575</v>
      </c>
      <c r="AP164" s="68">
        <f t="shared" si="133"/>
        <v>770</v>
      </c>
      <c r="AQ164" s="38">
        <f t="shared" si="106"/>
        <v>21</v>
      </c>
      <c r="AR164" s="38">
        <f t="shared" si="107"/>
        <v>15</v>
      </c>
      <c r="AS164" s="38">
        <f t="shared" si="108"/>
        <v>6</v>
      </c>
      <c r="AT164" s="38">
        <f t="shared" ca="1" si="109"/>
        <v>1470</v>
      </c>
      <c r="AU164" s="68">
        <f t="shared" si="110"/>
        <v>1710</v>
      </c>
    </row>
    <row r="165" spans="1:47" x14ac:dyDescent="0.25">
      <c r="A165" s="86" t="s">
        <v>253</v>
      </c>
      <c r="B165" s="14">
        <v>163</v>
      </c>
      <c r="C165" s="14">
        <f>关卡产出!C170</f>
        <v>129</v>
      </c>
      <c r="D165" s="14">
        <f>关卡产出!D170</f>
        <v>64</v>
      </c>
      <c r="E165" s="14">
        <f>关卡产出!E170</f>
        <v>32</v>
      </c>
      <c r="F165" s="14">
        <f>关卡产出!F170</f>
        <v>1690</v>
      </c>
      <c r="G165" s="38">
        <f t="shared" si="95"/>
        <v>65</v>
      </c>
      <c r="H165" s="38">
        <f t="shared" si="96"/>
        <v>32</v>
      </c>
      <c r="I165" s="38">
        <f t="shared" si="97"/>
        <v>16</v>
      </c>
      <c r="J165" s="38">
        <f t="shared" si="98"/>
        <v>2113</v>
      </c>
      <c r="K165" s="38">
        <f t="shared" ca="1" si="99"/>
        <v>1515</v>
      </c>
      <c r="R165" s="113" t="s">
        <v>253</v>
      </c>
      <c r="S165" s="14">
        <v>163</v>
      </c>
      <c r="T165" s="14">
        <f>关卡对比!AE169</f>
        <v>95</v>
      </c>
      <c r="U165" s="109">
        <f>关卡对比!AF169</f>
        <v>72</v>
      </c>
      <c r="V165" s="70">
        <f t="shared" si="134"/>
        <v>10</v>
      </c>
      <c r="W165" s="38">
        <f t="shared" si="135"/>
        <v>20</v>
      </c>
      <c r="X165" s="68">
        <f t="shared" si="136"/>
        <v>30</v>
      </c>
      <c r="Y165" s="70">
        <f t="shared" si="100"/>
        <v>16.8</v>
      </c>
      <c r="Z165" s="38">
        <f t="shared" si="101"/>
        <v>10</v>
      </c>
      <c r="AA165" s="68">
        <f t="shared" si="102"/>
        <v>7.7</v>
      </c>
      <c r="AB165" s="70">
        <f t="shared" si="138"/>
        <v>7</v>
      </c>
      <c r="AC165" s="38">
        <f t="shared" si="139"/>
        <v>5</v>
      </c>
      <c r="AD165" s="38">
        <f t="shared" si="140"/>
        <v>2</v>
      </c>
      <c r="AE165" s="38">
        <f t="shared" ca="1" si="103"/>
        <v>370</v>
      </c>
      <c r="AF165" s="68">
        <f t="shared" si="137"/>
        <v>370</v>
      </c>
      <c r="AG165" s="70">
        <f t="shared" si="126"/>
        <v>7</v>
      </c>
      <c r="AH165" s="38">
        <f t="shared" si="127"/>
        <v>5</v>
      </c>
      <c r="AI165" s="38">
        <f t="shared" si="128"/>
        <v>2</v>
      </c>
      <c r="AJ165" s="38">
        <f t="shared" ca="1" si="104"/>
        <v>570</v>
      </c>
      <c r="AK165" s="68">
        <f t="shared" si="129"/>
        <v>570</v>
      </c>
      <c r="AL165" s="38">
        <f t="shared" si="130"/>
        <v>7</v>
      </c>
      <c r="AM165" s="38">
        <f t="shared" si="131"/>
        <v>5</v>
      </c>
      <c r="AN165" s="38">
        <f t="shared" si="132"/>
        <v>2</v>
      </c>
      <c r="AO165" s="38">
        <f t="shared" ca="1" si="105"/>
        <v>575</v>
      </c>
      <c r="AP165" s="68">
        <f t="shared" si="133"/>
        <v>770</v>
      </c>
      <c r="AQ165" s="38">
        <f t="shared" si="106"/>
        <v>21</v>
      </c>
      <c r="AR165" s="38">
        <f t="shared" si="107"/>
        <v>15</v>
      </c>
      <c r="AS165" s="38">
        <f t="shared" si="108"/>
        <v>6</v>
      </c>
      <c r="AT165" s="38">
        <f t="shared" ca="1" si="109"/>
        <v>1515</v>
      </c>
      <c r="AU165" s="68">
        <f t="shared" si="110"/>
        <v>1710</v>
      </c>
    </row>
    <row r="166" spans="1:47" x14ac:dyDescent="0.25">
      <c r="A166" s="86" t="s">
        <v>253</v>
      </c>
      <c r="B166" s="14">
        <v>164</v>
      </c>
      <c r="C166" s="14">
        <f>关卡产出!C171</f>
        <v>130</v>
      </c>
      <c r="D166" s="14">
        <f>关卡产出!D171</f>
        <v>65</v>
      </c>
      <c r="E166" s="14">
        <f>关卡产出!E171</f>
        <v>32</v>
      </c>
      <c r="F166" s="14">
        <f>关卡产出!F171</f>
        <v>1690</v>
      </c>
      <c r="G166" s="38">
        <f t="shared" si="95"/>
        <v>65</v>
      </c>
      <c r="H166" s="38">
        <f t="shared" si="96"/>
        <v>33</v>
      </c>
      <c r="I166" s="38">
        <f t="shared" si="97"/>
        <v>16</v>
      </c>
      <c r="J166" s="38">
        <f t="shared" si="98"/>
        <v>2113</v>
      </c>
      <c r="K166" s="38">
        <f t="shared" ca="1" si="99"/>
        <v>1515</v>
      </c>
      <c r="R166" s="113" t="s">
        <v>253</v>
      </c>
      <c r="S166" s="14">
        <v>164</v>
      </c>
      <c r="T166" s="14">
        <f>关卡对比!AE170</f>
        <v>95</v>
      </c>
      <c r="U166" s="109">
        <f>关卡对比!AF170</f>
        <v>73</v>
      </c>
      <c r="V166" s="70">
        <f t="shared" si="134"/>
        <v>10</v>
      </c>
      <c r="W166" s="38">
        <f t="shared" si="135"/>
        <v>20</v>
      </c>
      <c r="X166" s="68">
        <f t="shared" si="136"/>
        <v>30</v>
      </c>
      <c r="Y166" s="70">
        <f t="shared" si="100"/>
        <v>16.899999999999999</v>
      </c>
      <c r="Z166" s="38">
        <f t="shared" si="101"/>
        <v>10</v>
      </c>
      <c r="AA166" s="68">
        <f t="shared" si="102"/>
        <v>7.8</v>
      </c>
      <c r="AB166" s="70">
        <f t="shared" si="138"/>
        <v>7</v>
      </c>
      <c r="AC166" s="38">
        <f t="shared" si="139"/>
        <v>5</v>
      </c>
      <c r="AD166" s="38">
        <f t="shared" si="140"/>
        <v>2</v>
      </c>
      <c r="AE166" s="38">
        <f t="shared" ca="1" si="103"/>
        <v>370</v>
      </c>
      <c r="AF166" s="68">
        <f t="shared" si="137"/>
        <v>370</v>
      </c>
      <c r="AG166" s="70">
        <f t="shared" si="126"/>
        <v>7</v>
      </c>
      <c r="AH166" s="38">
        <f t="shared" si="127"/>
        <v>5</v>
      </c>
      <c r="AI166" s="38">
        <f t="shared" si="128"/>
        <v>2</v>
      </c>
      <c r="AJ166" s="38">
        <f t="shared" ca="1" si="104"/>
        <v>570</v>
      </c>
      <c r="AK166" s="68">
        <f t="shared" si="129"/>
        <v>570</v>
      </c>
      <c r="AL166" s="38">
        <f t="shared" si="130"/>
        <v>7</v>
      </c>
      <c r="AM166" s="38">
        <f t="shared" si="131"/>
        <v>5</v>
      </c>
      <c r="AN166" s="38">
        <f t="shared" si="132"/>
        <v>2</v>
      </c>
      <c r="AO166" s="38">
        <f t="shared" ca="1" si="105"/>
        <v>575</v>
      </c>
      <c r="AP166" s="68">
        <f t="shared" si="133"/>
        <v>770</v>
      </c>
      <c r="AQ166" s="38">
        <f t="shared" si="106"/>
        <v>21</v>
      </c>
      <c r="AR166" s="38">
        <f t="shared" si="107"/>
        <v>15</v>
      </c>
      <c r="AS166" s="38">
        <f t="shared" si="108"/>
        <v>6</v>
      </c>
      <c r="AT166" s="38">
        <f t="shared" ca="1" si="109"/>
        <v>1515</v>
      </c>
      <c r="AU166" s="68">
        <f t="shared" si="110"/>
        <v>1710</v>
      </c>
    </row>
    <row r="167" spans="1:47" x14ac:dyDescent="0.25">
      <c r="A167" s="86" t="s">
        <v>253</v>
      </c>
      <c r="B167" s="14">
        <v>165</v>
      </c>
      <c r="C167" s="14">
        <f>关卡产出!C172</f>
        <v>130</v>
      </c>
      <c r="D167" s="14">
        <f>关卡产出!D172</f>
        <v>65</v>
      </c>
      <c r="E167" s="14">
        <f>关卡产出!E172</f>
        <v>32</v>
      </c>
      <c r="F167" s="14">
        <f>关卡产出!F172</f>
        <v>1710</v>
      </c>
      <c r="G167" s="38">
        <f t="shared" ref="G167:G202" si="141">ROUNDUP(C167/2,0)</f>
        <v>65</v>
      </c>
      <c r="H167" s="38">
        <f t="shared" ref="H167:H202" si="142">ROUNDUP(D167/2,0)</f>
        <v>33</v>
      </c>
      <c r="I167" s="38">
        <f t="shared" ref="I167:I202" si="143">ROUNDUP(E167/2,0)</f>
        <v>16</v>
      </c>
      <c r="J167" s="38">
        <f t="shared" ref="J167:J202" si="144">ROUNDUP(F167/2*2.5,0)</f>
        <v>2138</v>
      </c>
      <c r="K167" s="38">
        <f t="shared" ref="K167:K202" ca="1" si="145">AT167</f>
        <v>1515</v>
      </c>
      <c r="R167" s="113" t="s">
        <v>253</v>
      </c>
      <c r="S167" s="14">
        <v>165</v>
      </c>
      <c r="T167" s="14">
        <f>关卡对比!AE171</f>
        <v>96</v>
      </c>
      <c r="U167" s="109">
        <f>关卡对比!AF171</f>
        <v>73</v>
      </c>
      <c r="V167" s="70">
        <f t="shared" si="134"/>
        <v>10</v>
      </c>
      <c r="W167" s="38">
        <f t="shared" si="135"/>
        <v>20</v>
      </c>
      <c r="X167" s="68">
        <f t="shared" si="136"/>
        <v>30</v>
      </c>
      <c r="Y167" s="70">
        <f t="shared" ref="Y167:Y202" si="146">IFERROR(($S167-5)/V167+1,0)</f>
        <v>17</v>
      </c>
      <c r="Z167" s="38">
        <f t="shared" ref="Z167:Z202" si="147">IF(W167=0,0,IFERROR(($T167-5)/(W167-10)+1,0))</f>
        <v>10.1</v>
      </c>
      <c r="AA167" s="68">
        <f t="shared" ref="AA167:AA202" si="148">IF(X167=0,0,IFERROR(($U167-5)/(X167-20)+1,0))</f>
        <v>7.8</v>
      </c>
      <c r="AB167" s="70">
        <f t="shared" si="138"/>
        <v>7</v>
      </c>
      <c r="AC167" s="38">
        <f t="shared" si="139"/>
        <v>5</v>
      </c>
      <c r="AD167" s="38">
        <f t="shared" si="140"/>
        <v>2</v>
      </c>
      <c r="AE167" s="38">
        <f t="shared" ref="AE167:AE202" ca="1" si="149">$BA$3+_xlfn.IFNA(SUM(OFFSET($BG$2,1,MATCH(Y167,$BH$2:$BQ$2,1),MATCH(V167,$BC$3:$BC$32,0),1)),0)</f>
        <v>370</v>
      </c>
      <c r="AF167" s="68">
        <f t="shared" si="137"/>
        <v>370</v>
      </c>
      <c r="AG167" s="70">
        <f t="shared" si="126"/>
        <v>7</v>
      </c>
      <c r="AH167" s="38">
        <f t="shared" si="127"/>
        <v>5</v>
      </c>
      <c r="AI167" s="38">
        <f t="shared" si="128"/>
        <v>2</v>
      </c>
      <c r="AJ167" s="38">
        <f t="shared" ref="AJ167:AJ202" ca="1" si="150">$BA$4+_xlfn.IFNA(SUM(OFFSET($BG$12,1,MATCH(Z167,$BH$2:$BQ$2,1),MATCH(W167,$BC$13:$BC$32,0),1)),0)</f>
        <v>570</v>
      </c>
      <c r="AK167" s="68">
        <f t="shared" si="129"/>
        <v>570</v>
      </c>
      <c r="AL167" s="38">
        <f t="shared" si="130"/>
        <v>7</v>
      </c>
      <c r="AM167" s="38">
        <f t="shared" si="131"/>
        <v>5</v>
      </c>
      <c r="AN167" s="38">
        <f t="shared" si="132"/>
        <v>2</v>
      </c>
      <c r="AO167" s="38">
        <f t="shared" ref="AO167:AO202" ca="1" si="151">$BA$5+_xlfn.IFNA(SUM(OFFSET($BG$22,1,MATCH(AA167,$BH$2:$BQ$2,1),MATCH(X167,$BC$23:$BC$32,0),1)),0)</f>
        <v>575</v>
      </c>
      <c r="AP167" s="68">
        <f t="shared" si="133"/>
        <v>770</v>
      </c>
      <c r="AQ167" s="38">
        <f t="shared" ref="AQ167:AQ202" si="152">AL167+AG167+AB167</f>
        <v>21</v>
      </c>
      <c r="AR167" s="38">
        <f t="shared" ref="AR167:AR202" si="153">AM167+AH167+AC167</f>
        <v>15</v>
      </c>
      <c r="AS167" s="38">
        <f t="shared" ref="AS167:AS202" si="154">AN167+AI167+AD167</f>
        <v>6</v>
      </c>
      <c r="AT167" s="38">
        <f t="shared" ref="AT167:AT202" ca="1" si="155">AO167+AJ167+AE167</f>
        <v>1515</v>
      </c>
      <c r="AU167" s="68">
        <f t="shared" ref="AU167:AU202" si="156">AP167+AK167+AF167</f>
        <v>1710</v>
      </c>
    </row>
    <row r="168" spans="1:47" x14ac:dyDescent="0.25">
      <c r="A168" s="86" t="s">
        <v>253</v>
      </c>
      <c r="B168" s="14">
        <v>166</v>
      </c>
      <c r="C168" s="14">
        <f>关卡产出!C173</f>
        <v>131</v>
      </c>
      <c r="D168" s="14">
        <f>关卡产出!D173</f>
        <v>65</v>
      </c>
      <c r="E168" s="14">
        <f>关卡产出!E173</f>
        <v>32</v>
      </c>
      <c r="F168" s="14">
        <f>关卡产出!F173</f>
        <v>1710</v>
      </c>
      <c r="G168" s="38">
        <f t="shared" si="141"/>
        <v>66</v>
      </c>
      <c r="H168" s="38">
        <f t="shared" si="142"/>
        <v>33</v>
      </c>
      <c r="I168" s="38">
        <f t="shared" si="143"/>
        <v>16</v>
      </c>
      <c r="J168" s="38">
        <f t="shared" si="144"/>
        <v>2138</v>
      </c>
      <c r="K168" s="38">
        <f t="shared" ca="1" si="145"/>
        <v>1515</v>
      </c>
      <c r="R168" s="113" t="s">
        <v>253</v>
      </c>
      <c r="S168" s="14">
        <v>166</v>
      </c>
      <c r="T168" s="14">
        <f>关卡对比!AE172</f>
        <v>96</v>
      </c>
      <c r="U168" s="109">
        <f>关卡对比!AF172</f>
        <v>73</v>
      </c>
      <c r="V168" s="70">
        <f t="shared" si="134"/>
        <v>10</v>
      </c>
      <c r="W168" s="38">
        <f t="shared" si="135"/>
        <v>20</v>
      </c>
      <c r="X168" s="68">
        <f t="shared" si="136"/>
        <v>30</v>
      </c>
      <c r="Y168" s="70">
        <f t="shared" si="146"/>
        <v>17.100000000000001</v>
      </c>
      <c r="Z168" s="38">
        <f t="shared" si="147"/>
        <v>10.1</v>
      </c>
      <c r="AA168" s="68">
        <f t="shared" si="148"/>
        <v>7.8</v>
      </c>
      <c r="AB168" s="70">
        <f t="shared" si="138"/>
        <v>7</v>
      </c>
      <c r="AC168" s="38">
        <f t="shared" si="139"/>
        <v>5</v>
      </c>
      <c r="AD168" s="38">
        <f t="shared" si="140"/>
        <v>2</v>
      </c>
      <c r="AE168" s="38">
        <f t="shared" ca="1" si="149"/>
        <v>370</v>
      </c>
      <c r="AF168" s="68">
        <f t="shared" si="137"/>
        <v>370</v>
      </c>
      <c r="AG168" s="70">
        <f t="shared" si="126"/>
        <v>7</v>
      </c>
      <c r="AH168" s="38">
        <f t="shared" si="127"/>
        <v>5</v>
      </c>
      <c r="AI168" s="38">
        <f t="shared" si="128"/>
        <v>2</v>
      </c>
      <c r="AJ168" s="38">
        <f t="shared" ca="1" si="150"/>
        <v>570</v>
      </c>
      <c r="AK168" s="68">
        <f t="shared" si="129"/>
        <v>570</v>
      </c>
      <c r="AL168" s="38">
        <f t="shared" si="130"/>
        <v>7</v>
      </c>
      <c r="AM168" s="38">
        <f t="shared" si="131"/>
        <v>5</v>
      </c>
      <c r="AN168" s="38">
        <f t="shared" si="132"/>
        <v>2</v>
      </c>
      <c r="AO168" s="38">
        <f t="shared" ca="1" si="151"/>
        <v>575</v>
      </c>
      <c r="AP168" s="68">
        <f t="shared" si="133"/>
        <v>770</v>
      </c>
      <c r="AQ168" s="38">
        <f t="shared" si="152"/>
        <v>21</v>
      </c>
      <c r="AR168" s="38">
        <f t="shared" si="153"/>
        <v>15</v>
      </c>
      <c r="AS168" s="38">
        <f t="shared" si="154"/>
        <v>6</v>
      </c>
      <c r="AT168" s="38">
        <f t="shared" ca="1" si="155"/>
        <v>1515</v>
      </c>
      <c r="AU168" s="68">
        <f t="shared" si="156"/>
        <v>1710</v>
      </c>
    </row>
    <row r="169" spans="1:47" x14ac:dyDescent="0.25">
      <c r="A169" s="86" t="s">
        <v>253</v>
      </c>
      <c r="B169" s="14">
        <v>167</v>
      </c>
      <c r="C169" s="14">
        <f>关卡产出!C174</f>
        <v>132</v>
      </c>
      <c r="D169" s="14">
        <f>关卡产出!D174</f>
        <v>66</v>
      </c>
      <c r="E169" s="14">
        <f>关卡产出!E174</f>
        <v>32</v>
      </c>
      <c r="F169" s="14">
        <f>关卡产出!F174</f>
        <v>1730</v>
      </c>
      <c r="G169" s="38">
        <f t="shared" si="141"/>
        <v>66</v>
      </c>
      <c r="H169" s="38">
        <f t="shared" si="142"/>
        <v>33</v>
      </c>
      <c r="I169" s="38">
        <f t="shared" si="143"/>
        <v>16</v>
      </c>
      <c r="J169" s="38">
        <f t="shared" si="144"/>
        <v>2163</v>
      </c>
      <c r="K169" s="38">
        <f t="shared" ca="1" si="145"/>
        <v>1515</v>
      </c>
      <c r="R169" s="113" t="s">
        <v>253</v>
      </c>
      <c r="S169" s="14">
        <v>167</v>
      </c>
      <c r="T169" s="14">
        <f>关卡对比!AE173</f>
        <v>97</v>
      </c>
      <c r="U169" s="109">
        <f>关卡对比!AF173</f>
        <v>74</v>
      </c>
      <c r="V169" s="70">
        <f t="shared" si="134"/>
        <v>10</v>
      </c>
      <c r="W169" s="38">
        <f t="shared" si="135"/>
        <v>20</v>
      </c>
      <c r="X169" s="68">
        <f t="shared" si="136"/>
        <v>30</v>
      </c>
      <c r="Y169" s="70">
        <f t="shared" si="146"/>
        <v>17.2</v>
      </c>
      <c r="Z169" s="38">
        <f t="shared" si="147"/>
        <v>10.199999999999999</v>
      </c>
      <c r="AA169" s="68">
        <f t="shared" si="148"/>
        <v>7.9</v>
      </c>
      <c r="AB169" s="70">
        <f t="shared" si="138"/>
        <v>7</v>
      </c>
      <c r="AC169" s="38">
        <f t="shared" si="139"/>
        <v>5</v>
      </c>
      <c r="AD169" s="38">
        <f t="shared" si="140"/>
        <v>2</v>
      </c>
      <c r="AE169" s="38">
        <f t="shared" ca="1" si="149"/>
        <v>370</v>
      </c>
      <c r="AF169" s="68">
        <f t="shared" si="137"/>
        <v>370</v>
      </c>
      <c r="AG169" s="70">
        <f t="shared" si="126"/>
        <v>7</v>
      </c>
      <c r="AH169" s="38">
        <f t="shared" si="127"/>
        <v>5</v>
      </c>
      <c r="AI169" s="38">
        <f t="shared" si="128"/>
        <v>2</v>
      </c>
      <c r="AJ169" s="38">
        <f t="shared" ca="1" si="150"/>
        <v>570</v>
      </c>
      <c r="AK169" s="68">
        <f t="shared" si="129"/>
        <v>570</v>
      </c>
      <c r="AL169" s="38">
        <f t="shared" si="130"/>
        <v>7</v>
      </c>
      <c r="AM169" s="38">
        <f t="shared" si="131"/>
        <v>5</v>
      </c>
      <c r="AN169" s="38">
        <f t="shared" si="132"/>
        <v>2</v>
      </c>
      <c r="AO169" s="38">
        <f t="shared" ca="1" si="151"/>
        <v>575</v>
      </c>
      <c r="AP169" s="68">
        <f t="shared" si="133"/>
        <v>770</v>
      </c>
      <c r="AQ169" s="38">
        <f t="shared" si="152"/>
        <v>21</v>
      </c>
      <c r="AR169" s="38">
        <f t="shared" si="153"/>
        <v>15</v>
      </c>
      <c r="AS169" s="38">
        <f t="shared" si="154"/>
        <v>6</v>
      </c>
      <c r="AT169" s="38">
        <f t="shared" ca="1" si="155"/>
        <v>1515</v>
      </c>
      <c r="AU169" s="68">
        <f t="shared" si="156"/>
        <v>1710</v>
      </c>
    </row>
    <row r="170" spans="1:47" x14ac:dyDescent="0.25">
      <c r="A170" s="86" t="s">
        <v>253</v>
      </c>
      <c r="B170" s="14">
        <v>168</v>
      </c>
      <c r="C170" s="14">
        <f>关卡产出!C175</f>
        <v>133</v>
      </c>
      <c r="D170" s="14">
        <f>关卡产出!D175</f>
        <v>66</v>
      </c>
      <c r="E170" s="14">
        <f>关卡产出!E175</f>
        <v>33</v>
      </c>
      <c r="F170" s="14">
        <f>关卡产出!F175</f>
        <v>1730</v>
      </c>
      <c r="G170" s="38">
        <f t="shared" si="141"/>
        <v>67</v>
      </c>
      <c r="H170" s="38">
        <f t="shared" si="142"/>
        <v>33</v>
      </c>
      <c r="I170" s="38">
        <f t="shared" si="143"/>
        <v>17</v>
      </c>
      <c r="J170" s="38">
        <f t="shared" si="144"/>
        <v>2163</v>
      </c>
      <c r="K170" s="38">
        <f t="shared" ca="1" si="145"/>
        <v>1515</v>
      </c>
      <c r="R170" s="113" t="s">
        <v>253</v>
      </c>
      <c r="S170" s="14">
        <v>168</v>
      </c>
      <c r="T170" s="14">
        <f>关卡对比!AE174</f>
        <v>97</v>
      </c>
      <c r="U170" s="109">
        <f>关卡对比!AF174</f>
        <v>74</v>
      </c>
      <c r="V170" s="70">
        <f t="shared" si="134"/>
        <v>10</v>
      </c>
      <c r="W170" s="38">
        <f t="shared" si="135"/>
        <v>20</v>
      </c>
      <c r="X170" s="68">
        <f t="shared" si="136"/>
        <v>30</v>
      </c>
      <c r="Y170" s="70">
        <f t="shared" si="146"/>
        <v>17.3</v>
      </c>
      <c r="Z170" s="38">
        <f t="shared" si="147"/>
        <v>10.199999999999999</v>
      </c>
      <c r="AA170" s="68">
        <f t="shared" si="148"/>
        <v>7.9</v>
      </c>
      <c r="AB170" s="70">
        <f t="shared" si="138"/>
        <v>7</v>
      </c>
      <c r="AC170" s="38">
        <f t="shared" si="139"/>
        <v>5</v>
      </c>
      <c r="AD170" s="38">
        <f t="shared" si="140"/>
        <v>2</v>
      </c>
      <c r="AE170" s="38">
        <f t="shared" ca="1" si="149"/>
        <v>370</v>
      </c>
      <c r="AF170" s="68">
        <f t="shared" si="137"/>
        <v>370</v>
      </c>
      <c r="AG170" s="70">
        <f t="shared" si="126"/>
        <v>7</v>
      </c>
      <c r="AH170" s="38">
        <f t="shared" si="127"/>
        <v>5</v>
      </c>
      <c r="AI170" s="38">
        <f t="shared" si="128"/>
        <v>2</v>
      </c>
      <c r="AJ170" s="38">
        <f t="shared" ca="1" si="150"/>
        <v>570</v>
      </c>
      <c r="AK170" s="68">
        <f t="shared" si="129"/>
        <v>570</v>
      </c>
      <c r="AL170" s="38">
        <f t="shared" si="130"/>
        <v>7</v>
      </c>
      <c r="AM170" s="38">
        <f t="shared" si="131"/>
        <v>5</v>
      </c>
      <c r="AN170" s="38">
        <f t="shared" si="132"/>
        <v>2</v>
      </c>
      <c r="AO170" s="38">
        <f t="shared" ca="1" si="151"/>
        <v>575</v>
      </c>
      <c r="AP170" s="68">
        <f t="shared" si="133"/>
        <v>770</v>
      </c>
      <c r="AQ170" s="38">
        <f t="shared" si="152"/>
        <v>21</v>
      </c>
      <c r="AR170" s="38">
        <f t="shared" si="153"/>
        <v>15</v>
      </c>
      <c r="AS170" s="38">
        <f t="shared" si="154"/>
        <v>6</v>
      </c>
      <c r="AT170" s="38">
        <f t="shared" ca="1" si="155"/>
        <v>1515</v>
      </c>
      <c r="AU170" s="68">
        <f t="shared" si="156"/>
        <v>1710</v>
      </c>
    </row>
    <row r="171" spans="1:47" x14ac:dyDescent="0.25">
      <c r="A171" s="86" t="s">
        <v>253</v>
      </c>
      <c r="B171" s="14">
        <v>169</v>
      </c>
      <c r="C171" s="14">
        <f>关卡产出!C176</f>
        <v>134</v>
      </c>
      <c r="D171" s="14">
        <f>关卡产出!D176</f>
        <v>67</v>
      </c>
      <c r="E171" s="14">
        <f>关卡产出!E176</f>
        <v>33</v>
      </c>
      <c r="F171" s="14">
        <f>关卡产出!F176</f>
        <v>1750</v>
      </c>
      <c r="G171" s="38">
        <f t="shared" si="141"/>
        <v>67</v>
      </c>
      <c r="H171" s="38">
        <f t="shared" si="142"/>
        <v>34</v>
      </c>
      <c r="I171" s="38">
        <f t="shared" si="143"/>
        <v>17</v>
      </c>
      <c r="J171" s="38">
        <f t="shared" si="144"/>
        <v>2188</v>
      </c>
      <c r="K171" s="38">
        <f t="shared" ca="1" si="145"/>
        <v>1515</v>
      </c>
      <c r="R171" s="113" t="s">
        <v>253</v>
      </c>
      <c r="S171" s="14">
        <v>169</v>
      </c>
      <c r="T171" s="14">
        <f>关卡对比!AE175</f>
        <v>98</v>
      </c>
      <c r="U171" s="109">
        <f>关卡对比!AF175</f>
        <v>74</v>
      </c>
      <c r="V171" s="70">
        <f t="shared" si="134"/>
        <v>10</v>
      </c>
      <c r="W171" s="38">
        <f t="shared" si="135"/>
        <v>20</v>
      </c>
      <c r="X171" s="68">
        <f t="shared" si="136"/>
        <v>30</v>
      </c>
      <c r="Y171" s="70">
        <f t="shared" si="146"/>
        <v>17.399999999999999</v>
      </c>
      <c r="Z171" s="38">
        <f t="shared" si="147"/>
        <v>10.3</v>
      </c>
      <c r="AA171" s="68">
        <f t="shared" si="148"/>
        <v>7.9</v>
      </c>
      <c r="AB171" s="70">
        <f t="shared" si="138"/>
        <v>7</v>
      </c>
      <c r="AC171" s="38">
        <f t="shared" si="139"/>
        <v>5</v>
      </c>
      <c r="AD171" s="38">
        <f t="shared" si="140"/>
        <v>2</v>
      </c>
      <c r="AE171" s="38">
        <f t="shared" ca="1" si="149"/>
        <v>370</v>
      </c>
      <c r="AF171" s="68">
        <f t="shared" si="137"/>
        <v>370</v>
      </c>
      <c r="AG171" s="70">
        <f t="shared" si="126"/>
        <v>7</v>
      </c>
      <c r="AH171" s="38">
        <f t="shared" si="127"/>
        <v>5</v>
      </c>
      <c r="AI171" s="38">
        <f t="shared" si="128"/>
        <v>2</v>
      </c>
      <c r="AJ171" s="38">
        <f t="shared" ca="1" si="150"/>
        <v>570</v>
      </c>
      <c r="AK171" s="68">
        <f t="shared" si="129"/>
        <v>570</v>
      </c>
      <c r="AL171" s="38">
        <f t="shared" si="130"/>
        <v>7</v>
      </c>
      <c r="AM171" s="38">
        <f t="shared" si="131"/>
        <v>5</v>
      </c>
      <c r="AN171" s="38">
        <f t="shared" si="132"/>
        <v>2</v>
      </c>
      <c r="AO171" s="38">
        <f t="shared" ca="1" si="151"/>
        <v>575</v>
      </c>
      <c r="AP171" s="68">
        <f t="shared" si="133"/>
        <v>770</v>
      </c>
      <c r="AQ171" s="38">
        <f t="shared" si="152"/>
        <v>21</v>
      </c>
      <c r="AR171" s="38">
        <f t="shared" si="153"/>
        <v>15</v>
      </c>
      <c r="AS171" s="38">
        <f t="shared" si="154"/>
        <v>6</v>
      </c>
      <c r="AT171" s="38">
        <f t="shared" ca="1" si="155"/>
        <v>1515</v>
      </c>
      <c r="AU171" s="68">
        <f t="shared" si="156"/>
        <v>1710</v>
      </c>
    </row>
    <row r="172" spans="1:47" x14ac:dyDescent="0.25">
      <c r="A172" s="86" t="s">
        <v>253</v>
      </c>
      <c r="B172" s="14">
        <v>170</v>
      </c>
      <c r="C172" s="14">
        <f>关卡产出!C177</f>
        <v>134</v>
      </c>
      <c r="D172" s="14">
        <f>关卡产出!D177</f>
        <v>67</v>
      </c>
      <c r="E172" s="14">
        <f>关卡产出!E177</f>
        <v>33</v>
      </c>
      <c r="F172" s="14">
        <f>关卡产出!F177</f>
        <v>1750</v>
      </c>
      <c r="G172" s="38">
        <f t="shared" si="141"/>
        <v>67</v>
      </c>
      <c r="H172" s="38">
        <f t="shared" si="142"/>
        <v>34</v>
      </c>
      <c r="I172" s="38">
        <f t="shared" si="143"/>
        <v>17</v>
      </c>
      <c r="J172" s="38">
        <f t="shared" si="144"/>
        <v>2188</v>
      </c>
      <c r="K172" s="38">
        <f t="shared" ca="1" si="145"/>
        <v>1580</v>
      </c>
      <c r="R172" s="113" t="s">
        <v>253</v>
      </c>
      <c r="S172" s="14">
        <v>170</v>
      </c>
      <c r="T172" s="14">
        <f>关卡对比!AE176</f>
        <v>98</v>
      </c>
      <c r="U172" s="109">
        <f>关卡对比!AF176</f>
        <v>75</v>
      </c>
      <c r="V172" s="70">
        <f t="shared" si="134"/>
        <v>10</v>
      </c>
      <c r="W172" s="38">
        <f t="shared" si="135"/>
        <v>20</v>
      </c>
      <c r="X172" s="68">
        <f t="shared" si="136"/>
        <v>30</v>
      </c>
      <c r="Y172" s="70">
        <f t="shared" si="146"/>
        <v>17.5</v>
      </c>
      <c r="Z172" s="38">
        <f t="shared" si="147"/>
        <v>10.3</v>
      </c>
      <c r="AA172" s="68">
        <f t="shared" si="148"/>
        <v>8</v>
      </c>
      <c r="AB172" s="70">
        <f t="shared" si="138"/>
        <v>7</v>
      </c>
      <c r="AC172" s="38">
        <f t="shared" si="139"/>
        <v>5</v>
      </c>
      <c r="AD172" s="38">
        <f t="shared" si="140"/>
        <v>2</v>
      </c>
      <c r="AE172" s="38">
        <f t="shared" ca="1" si="149"/>
        <v>370</v>
      </c>
      <c r="AF172" s="68">
        <f t="shared" si="137"/>
        <v>370</v>
      </c>
      <c r="AG172" s="70">
        <f t="shared" ref="AG172:AG202" si="157">AX$4+SUMIFS(BE:BE,$BC:$BC,"&lt;="&amp;$W172,$BC:$BC,"&gt;"&amp;10)</f>
        <v>7</v>
      </c>
      <c r="AH172" s="38">
        <f t="shared" ref="AH172:AH202" si="158">AY$4+SUMIFS(BF:BF,$BC:$BC,"&lt;="&amp;$W172,$BC:$BC,"&gt;"&amp;10)</f>
        <v>5</v>
      </c>
      <c r="AI172" s="38">
        <f t="shared" ref="AI172:AI202" si="159">AZ$4+SUMIFS(BG:BG,$BC:$BC,"&lt;="&amp;$W172,$BC:$BC,"&gt;"&amp;10)</f>
        <v>2</v>
      </c>
      <c r="AJ172" s="38">
        <f t="shared" ca="1" si="150"/>
        <v>570</v>
      </c>
      <c r="AK172" s="68">
        <f t="shared" ref="AK172:AK202" si="160">$BA$4+SUMIFS($BQ:$BQ,$BC:$BC,"&lt;="&amp;W172,$BC:$BC,"&gt;"&amp;10)</f>
        <v>570</v>
      </c>
      <c r="AL172" s="38">
        <f t="shared" si="130"/>
        <v>7</v>
      </c>
      <c r="AM172" s="38">
        <f t="shared" si="131"/>
        <v>5</v>
      </c>
      <c r="AN172" s="38">
        <f t="shared" si="132"/>
        <v>2</v>
      </c>
      <c r="AO172" s="38">
        <f t="shared" ca="1" si="151"/>
        <v>640</v>
      </c>
      <c r="AP172" s="68">
        <f t="shared" si="133"/>
        <v>770</v>
      </c>
      <c r="AQ172" s="38">
        <f t="shared" si="152"/>
        <v>21</v>
      </c>
      <c r="AR172" s="38">
        <f t="shared" si="153"/>
        <v>15</v>
      </c>
      <c r="AS172" s="38">
        <f t="shared" si="154"/>
        <v>6</v>
      </c>
      <c r="AT172" s="38">
        <f t="shared" ca="1" si="155"/>
        <v>1580</v>
      </c>
      <c r="AU172" s="68">
        <f t="shared" si="156"/>
        <v>1710</v>
      </c>
    </row>
    <row r="173" spans="1:47" x14ac:dyDescent="0.25">
      <c r="A173" s="86" t="s">
        <v>253</v>
      </c>
      <c r="B173" s="14">
        <v>171</v>
      </c>
      <c r="C173" s="14">
        <f>关卡产出!C178</f>
        <v>135</v>
      </c>
      <c r="D173" s="14">
        <f>关卡产出!D178</f>
        <v>67</v>
      </c>
      <c r="E173" s="14">
        <f>关卡产出!E178</f>
        <v>33</v>
      </c>
      <c r="F173" s="14">
        <f>关卡产出!F178</f>
        <v>1770</v>
      </c>
      <c r="G173" s="38">
        <f t="shared" si="141"/>
        <v>68</v>
      </c>
      <c r="H173" s="38">
        <f t="shared" si="142"/>
        <v>34</v>
      </c>
      <c r="I173" s="38">
        <f t="shared" si="143"/>
        <v>17</v>
      </c>
      <c r="J173" s="38">
        <f t="shared" si="144"/>
        <v>2213</v>
      </c>
      <c r="K173" s="38">
        <f t="shared" ca="1" si="145"/>
        <v>1580</v>
      </c>
      <c r="R173" s="113" t="s">
        <v>253</v>
      </c>
      <c r="S173" s="14">
        <v>171</v>
      </c>
      <c r="T173" s="14">
        <f>关卡对比!AE177</f>
        <v>99</v>
      </c>
      <c r="U173" s="109">
        <f>关卡对比!AF177</f>
        <v>75</v>
      </c>
      <c r="V173" s="70">
        <f t="shared" si="134"/>
        <v>10</v>
      </c>
      <c r="W173" s="38">
        <f t="shared" si="135"/>
        <v>20</v>
      </c>
      <c r="X173" s="68">
        <f t="shared" si="136"/>
        <v>30</v>
      </c>
      <c r="Y173" s="70">
        <f t="shared" si="146"/>
        <v>17.600000000000001</v>
      </c>
      <c r="Z173" s="38">
        <f t="shared" si="147"/>
        <v>10.4</v>
      </c>
      <c r="AA173" s="68">
        <f t="shared" si="148"/>
        <v>8</v>
      </c>
      <c r="AB173" s="70">
        <f t="shared" si="138"/>
        <v>7</v>
      </c>
      <c r="AC173" s="38">
        <f t="shared" si="139"/>
        <v>5</v>
      </c>
      <c r="AD173" s="38">
        <f t="shared" si="140"/>
        <v>2</v>
      </c>
      <c r="AE173" s="38">
        <f t="shared" ca="1" si="149"/>
        <v>370</v>
      </c>
      <c r="AF173" s="68">
        <f t="shared" si="137"/>
        <v>370</v>
      </c>
      <c r="AG173" s="70">
        <f t="shared" si="157"/>
        <v>7</v>
      </c>
      <c r="AH173" s="38">
        <f t="shared" si="158"/>
        <v>5</v>
      </c>
      <c r="AI173" s="38">
        <f t="shared" si="159"/>
        <v>2</v>
      </c>
      <c r="AJ173" s="38">
        <f t="shared" ca="1" si="150"/>
        <v>570</v>
      </c>
      <c r="AK173" s="68">
        <f t="shared" si="160"/>
        <v>570</v>
      </c>
      <c r="AL173" s="38">
        <f t="shared" si="130"/>
        <v>7</v>
      </c>
      <c r="AM173" s="38">
        <f t="shared" si="131"/>
        <v>5</v>
      </c>
      <c r="AN173" s="38">
        <f t="shared" si="132"/>
        <v>2</v>
      </c>
      <c r="AO173" s="38">
        <f t="shared" ca="1" si="151"/>
        <v>640</v>
      </c>
      <c r="AP173" s="68">
        <f t="shared" si="133"/>
        <v>770</v>
      </c>
      <c r="AQ173" s="38">
        <f t="shared" si="152"/>
        <v>21</v>
      </c>
      <c r="AR173" s="38">
        <f t="shared" si="153"/>
        <v>15</v>
      </c>
      <c r="AS173" s="38">
        <f t="shared" si="154"/>
        <v>6</v>
      </c>
      <c r="AT173" s="38">
        <f t="shared" ca="1" si="155"/>
        <v>1580</v>
      </c>
      <c r="AU173" s="68">
        <f t="shared" si="156"/>
        <v>1710</v>
      </c>
    </row>
    <row r="174" spans="1:47" x14ac:dyDescent="0.25">
      <c r="A174" s="86" t="s">
        <v>253</v>
      </c>
      <c r="B174" s="14">
        <v>172</v>
      </c>
      <c r="C174" s="14">
        <f>关卡产出!C179</f>
        <v>136</v>
      </c>
      <c r="D174" s="14">
        <f>关卡产出!D179</f>
        <v>68</v>
      </c>
      <c r="E174" s="14">
        <f>关卡产出!E179</f>
        <v>33</v>
      </c>
      <c r="F174" s="14">
        <f>关卡产出!F179</f>
        <v>1770</v>
      </c>
      <c r="G174" s="38">
        <f t="shared" si="141"/>
        <v>68</v>
      </c>
      <c r="H174" s="38">
        <f t="shared" si="142"/>
        <v>34</v>
      </c>
      <c r="I174" s="38">
        <f t="shared" si="143"/>
        <v>17</v>
      </c>
      <c r="J174" s="38">
        <f t="shared" si="144"/>
        <v>2213</v>
      </c>
      <c r="K174" s="38">
        <f t="shared" ca="1" si="145"/>
        <v>1580</v>
      </c>
      <c r="R174" s="113" t="s">
        <v>253</v>
      </c>
      <c r="S174" s="14">
        <v>172</v>
      </c>
      <c r="T174" s="14">
        <f>关卡对比!AE178</f>
        <v>99</v>
      </c>
      <c r="U174" s="109">
        <f>关卡对比!AF178</f>
        <v>75</v>
      </c>
      <c r="V174" s="70">
        <f t="shared" si="134"/>
        <v>10</v>
      </c>
      <c r="W174" s="38">
        <f t="shared" si="135"/>
        <v>20</v>
      </c>
      <c r="X174" s="68">
        <f t="shared" si="136"/>
        <v>30</v>
      </c>
      <c r="Y174" s="70">
        <f t="shared" si="146"/>
        <v>17.7</v>
      </c>
      <c r="Z174" s="38">
        <f t="shared" si="147"/>
        <v>10.4</v>
      </c>
      <c r="AA174" s="68">
        <f t="shared" si="148"/>
        <v>8</v>
      </c>
      <c r="AB174" s="70">
        <f t="shared" si="138"/>
        <v>7</v>
      </c>
      <c r="AC174" s="38">
        <f t="shared" si="139"/>
        <v>5</v>
      </c>
      <c r="AD174" s="38">
        <f t="shared" si="140"/>
        <v>2</v>
      </c>
      <c r="AE174" s="38">
        <f t="shared" ca="1" si="149"/>
        <v>370</v>
      </c>
      <c r="AF174" s="68">
        <f t="shared" si="137"/>
        <v>370</v>
      </c>
      <c r="AG174" s="70">
        <f t="shared" si="157"/>
        <v>7</v>
      </c>
      <c r="AH174" s="38">
        <f t="shared" si="158"/>
        <v>5</v>
      </c>
      <c r="AI174" s="38">
        <f t="shared" si="159"/>
        <v>2</v>
      </c>
      <c r="AJ174" s="38">
        <f t="shared" ca="1" si="150"/>
        <v>570</v>
      </c>
      <c r="AK174" s="68">
        <f t="shared" si="160"/>
        <v>570</v>
      </c>
      <c r="AL174" s="38">
        <f t="shared" si="130"/>
        <v>7</v>
      </c>
      <c r="AM174" s="38">
        <f t="shared" si="131"/>
        <v>5</v>
      </c>
      <c r="AN174" s="38">
        <f t="shared" si="132"/>
        <v>2</v>
      </c>
      <c r="AO174" s="38">
        <f t="shared" ca="1" si="151"/>
        <v>640</v>
      </c>
      <c r="AP174" s="68">
        <f t="shared" si="133"/>
        <v>770</v>
      </c>
      <c r="AQ174" s="38">
        <f t="shared" si="152"/>
        <v>21</v>
      </c>
      <c r="AR174" s="38">
        <f t="shared" si="153"/>
        <v>15</v>
      </c>
      <c r="AS174" s="38">
        <f t="shared" si="154"/>
        <v>6</v>
      </c>
      <c r="AT174" s="38">
        <f t="shared" ca="1" si="155"/>
        <v>1580</v>
      </c>
      <c r="AU174" s="68">
        <f t="shared" si="156"/>
        <v>1710</v>
      </c>
    </row>
    <row r="175" spans="1:47" x14ac:dyDescent="0.25">
      <c r="A175" s="86" t="s">
        <v>253</v>
      </c>
      <c r="B175" s="14">
        <v>173</v>
      </c>
      <c r="C175" s="14">
        <f>关卡产出!C180</f>
        <v>137</v>
      </c>
      <c r="D175" s="14">
        <f>关卡产出!D180</f>
        <v>68</v>
      </c>
      <c r="E175" s="14">
        <f>关卡产出!E180</f>
        <v>34</v>
      </c>
      <c r="F175" s="14">
        <f>关卡产出!F180</f>
        <v>1790</v>
      </c>
      <c r="G175" s="38">
        <f t="shared" si="141"/>
        <v>69</v>
      </c>
      <c r="H175" s="38">
        <f t="shared" si="142"/>
        <v>34</v>
      </c>
      <c r="I175" s="38">
        <f t="shared" si="143"/>
        <v>17</v>
      </c>
      <c r="J175" s="38">
        <f t="shared" si="144"/>
        <v>2238</v>
      </c>
      <c r="K175" s="38">
        <f t="shared" ca="1" si="145"/>
        <v>1580</v>
      </c>
      <c r="R175" s="113" t="s">
        <v>253</v>
      </c>
      <c r="S175" s="14">
        <v>173</v>
      </c>
      <c r="T175" s="14">
        <f>关卡对比!AE179</f>
        <v>100</v>
      </c>
      <c r="U175" s="109">
        <f>关卡对比!AF179</f>
        <v>76</v>
      </c>
      <c r="V175" s="70">
        <f t="shared" si="134"/>
        <v>10</v>
      </c>
      <c r="W175" s="38">
        <f t="shared" si="135"/>
        <v>20</v>
      </c>
      <c r="X175" s="68">
        <f t="shared" si="136"/>
        <v>30</v>
      </c>
      <c r="Y175" s="70">
        <f t="shared" si="146"/>
        <v>17.8</v>
      </c>
      <c r="Z175" s="38">
        <f t="shared" si="147"/>
        <v>10.5</v>
      </c>
      <c r="AA175" s="68">
        <f t="shared" si="148"/>
        <v>8.1</v>
      </c>
      <c r="AB175" s="70">
        <f t="shared" si="138"/>
        <v>7</v>
      </c>
      <c r="AC175" s="38">
        <f t="shared" si="139"/>
        <v>5</v>
      </c>
      <c r="AD175" s="38">
        <f t="shared" si="140"/>
        <v>2</v>
      </c>
      <c r="AE175" s="38">
        <f t="shared" ca="1" si="149"/>
        <v>370</v>
      </c>
      <c r="AF175" s="68">
        <f t="shared" si="137"/>
        <v>370</v>
      </c>
      <c r="AG175" s="70">
        <f t="shared" si="157"/>
        <v>7</v>
      </c>
      <c r="AH175" s="38">
        <f t="shared" si="158"/>
        <v>5</v>
      </c>
      <c r="AI175" s="38">
        <f t="shared" si="159"/>
        <v>2</v>
      </c>
      <c r="AJ175" s="38">
        <f t="shared" ca="1" si="150"/>
        <v>570</v>
      </c>
      <c r="AK175" s="68">
        <f t="shared" si="160"/>
        <v>570</v>
      </c>
      <c r="AL175" s="38">
        <f t="shared" si="130"/>
        <v>7</v>
      </c>
      <c r="AM175" s="38">
        <f t="shared" si="131"/>
        <v>5</v>
      </c>
      <c r="AN175" s="38">
        <f t="shared" si="132"/>
        <v>2</v>
      </c>
      <c r="AO175" s="38">
        <f t="shared" ca="1" si="151"/>
        <v>640</v>
      </c>
      <c r="AP175" s="68">
        <f t="shared" si="133"/>
        <v>770</v>
      </c>
      <c r="AQ175" s="38">
        <f t="shared" si="152"/>
        <v>21</v>
      </c>
      <c r="AR175" s="38">
        <f t="shared" si="153"/>
        <v>15</v>
      </c>
      <c r="AS175" s="38">
        <f t="shared" si="154"/>
        <v>6</v>
      </c>
      <c r="AT175" s="38">
        <f t="shared" ca="1" si="155"/>
        <v>1580</v>
      </c>
      <c r="AU175" s="68">
        <f t="shared" si="156"/>
        <v>1710</v>
      </c>
    </row>
    <row r="176" spans="1:47" x14ac:dyDescent="0.25">
      <c r="A176" s="86" t="s">
        <v>253</v>
      </c>
      <c r="B176" s="14">
        <v>174</v>
      </c>
      <c r="C176" s="14">
        <f>关卡产出!C181</f>
        <v>138</v>
      </c>
      <c r="D176" s="14">
        <f>关卡产出!D181</f>
        <v>69</v>
      </c>
      <c r="E176" s="14">
        <f>关卡产出!E181</f>
        <v>34</v>
      </c>
      <c r="F176" s="14">
        <f>关卡产出!F181</f>
        <v>1790</v>
      </c>
      <c r="G176" s="38">
        <f t="shared" si="141"/>
        <v>69</v>
      </c>
      <c r="H176" s="38">
        <f t="shared" si="142"/>
        <v>35</v>
      </c>
      <c r="I176" s="38">
        <f t="shared" si="143"/>
        <v>17</v>
      </c>
      <c r="J176" s="38">
        <f t="shared" si="144"/>
        <v>2238</v>
      </c>
      <c r="K176" s="38">
        <f t="shared" ca="1" si="145"/>
        <v>1580</v>
      </c>
      <c r="R176" s="113" t="s">
        <v>253</v>
      </c>
      <c r="S176" s="14">
        <v>174</v>
      </c>
      <c r="T176" s="14">
        <f>关卡对比!AE180</f>
        <v>100</v>
      </c>
      <c r="U176" s="109">
        <f>关卡对比!AF180</f>
        <v>76</v>
      </c>
      <c r="V176" s="70">
        <f t="shared" si="134"/>
        <v>10</v>
      </c>
      <c r="W176" s="38">
        <f t="shared" si="135"/>
        <v>20</v>
      </c>
      <c r="X176" s="68">
        <f t="shared" si="136"/>
        <v>30</v>
      </c>
      <c r="Y176" s="70">
        <f t="shared" si="146"/>
        <v>17.899999999999999</v>
      </c>
      <c r="Z176" s="38">
        <f t="shared" si="147"/>
        <v>10.5</v>
      </c>
      <c r="AA176" s="68">
        <f t="shared" si="148"/>
        <v>8.1</v>
      </c>
      <c r="AB176" s="70">
        <f t="shared" si="138"/>
        <v>7</v>
      </c>
      <c r="AC176" s="38">
        <f t="shared" si="139"/>
        <v>5</v>
      </c>
      <c r="AD176" s="38">
        <f t="shared" si="140"/>
        <v>2</v>
      </c>
      <c r="AE176" s="38">
        <f t="shared" ca="1" si="149"/>
        <v>370</v>
      </c>
      <c r="AF176" s="68">
        <f t="shared" si="137"/>
        <v>370</v>
      </c>
      <c r="AG176" s="70">
        <f t="shared" si="157"/>
        <v>7</v>
      </c>
      <c r="AH176" s="38">
        <f t="shared" si="158"/>
        <v>5</v>
      </c>
      <c r="AI176" s="38">
        <f t="shared" si="159"/>
        <v>2</v>
      </c>
      <c r="AJ176" s="38">
        <f t="shared" ca="1" si="150"/>
        <v>570</v>
      </c>
      <c r="AK176" s="68">
        <f t="shared" si="160"/>
        <v>570</v>
      </c>
      <c r="AL176" s="38">
        <f t="shared" ref="AL176:AL202" si="161">AX$5+SUMIFS(BE:BE,$BC:$BC,"&lt;="&amp;$X176,$BC:$BC,"&gt;"&amp;20)</f>
        <v>7</v>
      </c>
      <c r="AM176" s="38">
        <f t="shared" ref="AM176:AM202" si="162">AY$5+SUMIFS(BF:BF,$BC:$BC,"&lt;="&amp;$X176,$BC:$BC,"&gt;"&amp;20)</f>
        <v>5</v>
      </c>
      <c r="AN176" s="38">
        <f t="shared" ref="AN176:AN202" si="163">AZ$5+SUMIFS(BG:BG,$BC:$BC,"&lt;="&amp;$X176,$BC:$BC,"&gt;"&amp;20)</f>
        <v>2</v>
      </c>
      <c r="AO176" s="38">
        <f t="shared" ca="1" si="151"/>
        <v>640</v>
      </c>
      <c r="AP176" s="68">
        <f t="shared" ref="AP176:AP202" si="164">$BA$5+SUMIFS($BQ:$BQ,$BC:$BC,"&lt;="&amp;X176,$BC:$BC,"&gt;"&amp;20)</f>
        <v>770</v>
      </c>
      <c r="AQ176" s="38">
        <f t="shared" si="152"/>
        <v>21</v>
      </c>
      <c r="AR176" s="38">
        <f t="shared" si="153"/>
        <v>15</v>
      </c>
      <c r="AS176" s="38">
        <f t="shared" si="154"/>
        <v>6</v>
      </c>
      <c r="AT176" s="38">
        <f t="shared" ca="1" si="155"/>
        <v>1580</v>
      </c>
      <c r="AU176" s="68">
        <f t="shared" si="156"/>
        <v>1710</v>
      </c>
    </row>
    <row r="177" spans="1:47" x14ac:dyDescent="0.25">
      <c r="A177" s="86" t="s">
        <v>253</v>
      </c>
      <c r="B177" s="14">
        <v>175</v>
      </c>
      <c r="C177" s="14">
        <f>关卡产出!C182</f>
        <v>138</v>
      </c>
      <c r="D177" s="14">
        <f>关卡产出!D182</f>
        <v>69</v>
      </c>
      <c r="E177" s="14">
        <f>关卡产出!E182</f>
        <v>34</v>
      </c>
      <c r="F177" s="14">
        <f>关卡产出!F182</f>
        <v>1810</v>
      </c>
      <c r="G177" s="38">
        <f t="shared" si="141"/>
        <v>69</v>
      </c>
      <c r="H177" s="38">
        <f t="shared" si="142"/>
        <v>35</v>
      </c>
      <c r="I177" s="38">
        <f t="shared" si="143"/>
        <v>17</v>
      </c>
      <c r="J177" s="38">
        <f t="shared" si="144"/>
        <v>2263</v>
      </c>
      <c r="K177" s="38">
        <f t="shared" ca="1" si="145"/>
        <v>1580</v>
      </c>
      <c r="R177" s="113" t="s">
        <v>253</v>
      </c>
      <c r="S177" s="14">
        <v>175</v>
      </c>
      <c r="T177" s="14">
        <f>关卡对比!AE181</f>
        <v>101</v>
      </c>
      <c r="U177" s="109">
        <f>关卡对比!AF181</f>
        <v>76</v>
      </c>
      <c r="V177" s="70">
        <f t="shared" si="134"/>
        <v>10</v>
      </c>
      <c r="W177" s="38">
        <f t="shared" si="135"/>
        <v>20</v>
      </c>
      <c r="X177" s="68">
        <f t="shared" si="136"/>
        <v>30</v>
      </c>
      <c r="Y177" s="70">
        <f t="shared" si="146"/>
        <v>18</v>
      </c>
      <c r="Z177" s="38">
        <f t="shared" si="147"/>
        <v>10.6</v>
      </c>
      <c r="AA177" s="68">
        <f t="shared" si="148"/>
        <v>8.1</v>
      </c>
      <c r="AB177" s="70">
        <f t="shared" si="138"/>
        <v>7</v>
      </c>
      <c r="AC177" s="38">
        <f t="shared" si="139"/>
        <v>5</v>
      </c>
      <c r="AD177" s="38">
        <f t="shared" si="140"/>
        <v>2</v>
      </c>
      <c r="AE177" s="38">
        <f t="shared" ca="1" si="149"/>
        <v>370</v>
      </c>
      <c r="AF177" s="68">
        <f t="shared" si="137"/>
        <v>370</v>
      </c>
      <c r="AG177" s="70">
        <f t="shared" si="157"/>
        <v>7</v>
      </c>
      <c r="AH177" s="38">
        <f t="shared" si="158"/>
        <v>5</v>
      </c>
      <c r="AI177" s="38">
        <f t="shared" si="159"/>
        <v>2</v>
      </c>
      <c r="AJ177" s="38">
        <f t="shared" ca="1" si="150"/>
        <v>570</v>
      </c>
      <c r="AK177" s="68">
        <f t="shared" si="160"/>
        <v>570</v>
      </c>
      <c r="AL177" s="38">
        <f t="shared" si="161"/>
        <v>7</v>
      </c>
      <c r="AM177" s="38">
        <f t="shared" si="162"/>
        <v>5</v>
      </c>
      <c r="AN177" s="38">
        <f t="shared" si="163"/>
        <v>2</v>
      </c>
      <c r="AO177" s="38">
        <f t="shared" ca="1" si="151"/>
        <v>640</v>
      </c>
      <c r="AP177" s="68">
        <f t="shared" si="164"/>
        <v>770</v>
      </c>
      <c r="AQ177" s="38">
        <f t="shared" si="152"/>
        <v>21</v>
      </c>
      <c r="AR177" s="38">
        <f t="shared" si="153"/>
        <v>15</v>
      </c>
      <c r="AS177" s="38">
        <f t="shared" si="154"/>
        <v>6</v>
      </c>
      <c r="AT177" s="38">
        <f t="shared" ca="1" si="155"/>
        <v>1580</v>
      </c>
      <c r="AU177" s="68">
        <f t="shared" si="156"/>
        <v>1710</v>
      </c>
    </row>
    <row r="178" spans="1:47" x14ac:dyDescent="0.25">
      <c r="A178" s="86" t="s">
        <v>253</v>
      </c>
      <c r="B178" s="14">
        <v>176</v>
      </c>
      <c r="C178" s="14">
        <f>关卡产出!C183</f>
        <v>139</v>
      </c>
      <c r="D178" s="14">
        <f>关卡产出!D183</f>
        <v>69</v>
      </c>
      <c r="E178" s="14">
        <f>关卡产出!E183</f>
        <v>34</v>
      </c>
      <c r="F178" s="14">
        <f>关卡产出!F183</f>
        <v>1810</v>
      </c>
      <c r="G178" s="38">
        <f t="shared" si="141"/>
        <v>70</v>
      </c>
      <c r="H178" s="38">
        <f t="shared" si="142"/>
        <v>35</v>
      </c>
      <c r="I178" s="38">
        <f t="shared" si="143"/>
        <v>17</v>
      </c>
      <c r="J178" s="38">
        <f t="shared" si="144"/>
        <v>2263</v>
      </c>
      <c r="K178" s="38">
        <f t="shared" ca="1" si="145"/>
        <v>1580</v>
      </c>
      <c r="R178" s="113" t="s">
        <v>253</v>
      </c>
      <c r="S178" s="14">
        <v>176</v>
      </c>
      <c r="T178" s="14">
        <f>关卡对比!AE182</f>
        <v>101</v>
      </c>
      <c r="U178" s="109">
        <f>关卡对比!AF182</f>
        <v>77</v>
      </c>
      <c r="V178" s="70">
        <f t="shared" si="134"/>
        <v>10</v>
      </c>
      <c r="W178" s="38">
        <f t="shared" si="135"/>
        <v>20</v>
      </c>
      <c r="X178" s="68">
        <f t="shared" si="136"/>
        <v>30</v>
      </c>
      <c r="Y178" s="70">
        <f t="shared" si="146"/>
        <v>18.100000000000001</v>
      </c>
      <c r="Z178" s="38">
        <f t="shared" si="147"/>
        <v>10.6</v>
      </c>
      <c r="AA178" s="68">
        <f t="shared" si="148"/>
        <v>8.1999999999999993</v>
      </c>
      <c r="AB178" s="70">
        <f t="shared" si="138"/>
        <v>7</v>
      </c>
      <c r="AC178" s="38">
        <f t="shared" si="139"/>
        <v>5</v>
      </c>
      <c r="AD178" s="38">
        <f t="shared" si="140"/>
        <v>2</v>
      </c>
      <c r="AE178" s="38">
        <f t="shared" ca="1" si="149"/>
        <v>370</v>
      </c>
      <c r="AF178" s="68">
        <f t="shared" si="137"/>
        <v>370</v>
      </c>
      <c r="AG178" s="70">
        <f t="shared" si="157"/>
        <v>7</v>
      </c>
      <c r="AH178" s="38">
        <f t="shared" si="158"/>
        <v>5</v>
      </c>
      <c r="AI178" s="38">
        <f t="shared" si="159"/>
        <v>2</v>
      </c>
      <c r="AJ178" s="38">
        <f t="shared" ca="1" si="150"/>
        <v>570</v>
      </c>
      <c r="AK178" s="68">
        <f t="shared" si="160"/>
        <v>570</v>
      </c>
      <c r="AL178" s="38">
        <f t="shared" si="161"/>
        <v>7</v>
      </c>
      <c r="AM178" s="38">
        <f t="shared" si="162"/>
        <v>5</v>
      </c>
      <c r="AN178" s="38">
        <f t="shared" si="163"/>
        <v>2</v>
      </c>
      <c r="AO178" s="38">
        <f t="shared" ca="1" si="151"/>
        <v>640</v>
      </c>
      <c r="AP178" s="68">
        <f t="shared" si="164"/>
        <v>770</v>
      </c>
      <c r="AQ178" s="38">
        <f t="shared" si="152"/>
        <v>21</v>
      </c>
      <c r="AR178" s="38">
        <f t="shared" si="153"/>
        <v>15</v>
      </c>
      <c r="AS178" s="38">
        <f t="shared" si="154"/>
        <v>6</v>
      </c>
      <c r="AT178" s="38">
        <f t="shared" ca="1" si="155"/>
        <v>1580</v>
      </c>
      <c r="AU178" s="68">
        <f t="shared" si="156"/>
        <v>1710</v>
      </c>
    </row>
    <row r="179" spans="1:47" x14ac:dyDescent="0.25">
      <c r="A179" s="86" t="s">
        <v>253</v>
      </c>
      <c r="B179" s="14">
        <v>177</v>
      </c>
      <c r="C179" s="14">
        <f>关卡产出!C184</f>
        <v>140</v>
      </c>
      <c r="D179" s="14">
        <f>关卡产出!D184</f>
        <v>70</v>
      </c>
      <c r="E179" s="14">
        <f>关卡产出!E184</f>
        <v>34</v>
      </c>
      <c r="F179" s="14">
        <f>关卡产出!F184</f>
        <v>1830</v>
      </c>
      <c r="G179" s="38">
        <f t="shared" si="141"/>
        <v>70</v>
      </c>
      <c r="H179" s="38">
        <f t="shared" si="142"/>
        <v>35</v>
      </c>
      <c r="I179" s="38">
        <f t="shared" si="143"/>
        <v>17</v>
      </c>
      <c r="J179" s="38">
        <f t="shared" si="144"/>
        <v>2288</v>
      </c>
      <c r="K179" s="38">
        <f t="shared" ca="1" si="145"/>
        <v>1580</v>
      </c>
      <c r="R179" s="113" t="s">
        <v>253</v>
      </c>
      <c r="S179" s="14">
        <v>177</v>
      </c>
      <c r="T179" s="14">
        <f>关卡对比!AE183</f>
        <v>102</v>
      </c>
      <c r="U179" s="109">
        <f>关卡对比!AF183</f>
        <v>77</v>
      </c>
      <c r="V179" s="70">
        <f t="shared" si="134"/>
        <v>10</v>
      </c>
      <c r="W179" s="38">
        <f t="shared" si="135"/>
        <v>20</v>
      </c>
      <c r="X179" s="68">
        <f t="shared" si="136"/>
        <v>30</v>
      </c>
      <c r="Y179" s="70">
        <f t="shared" si="146"/>
        <v>18.2</v>
      </c>
      <c r="Z179" s="38">
        <f t="shared" si="147"/>
        <v>10.7</v>
      </c>
      <c r="AA179" s="68">
        <f t="shared" si="148"/>
        <v>8.1999999999999993</v>
      </c>
      <c r="AB179" s="70">
        <f t="shared" si="138"/>
        <v>7</v>
      </c>
      <c r="AC179" s="38">
        <f t="shared" si="139"/>
        <v>5</v>
      </c>
      <c r="AD179" s="38">
        <f t="shared" si="140"/>
        <v>2</v>
      </c>
      <c r="AE179" s="38">
        <f t="shared" ca="1" si="149"/>
        <v>370</v>
      </c>
      <c r="AF179" s="68">
        <f t="shared" si="137"/>
        <v>370</v>
      </c>
      <c r="AG179" s="70">
        <f t="shared" si="157"/>
        <v>7</v>
      </c>
      <c r="AH179" s="38">
        <f t="shared" si="158"/>
        <v>5</v>
      </c>
      <c r="AI179" s="38">
        <f t="shared" si="159"/>
        <v>2</v>
      </c>
      <c r="AJ179" s="38">
        <f t="shared" ca="1" si="150"/>
        <v>570</v>
      </c>
      <c r="AK179" s="68">
        <f t="shared" si="160"/>
        <v>570</v>
      </c>
      <c r="AL179" s="38">
        <f t="shared" si="161"/>
        <v>7</v>
      </c>
      <c r="AM179" s="38">
        <f t="shared" si="162"/>
        <v>5</v>
      </c>
      <c r="AN179" s="38">
        <f t="shared" si="163"/>
        <v>2</v>
      </c>
      <c r="AO179" s="38">
        <f t="shared" ca="1" si="151"/>
        <v>640</v>
      </c>
      <c r="AP179" s="68">
        <f t="shared" si="164"/>
        <v>770</v>
      </c>
      <c r="AQ179" s="38">
        <f t="shared" si="152"/>
        <v>21</v>
      </c>
      <c r="AR179" s="38">
        <f t="shared" si="153"/>
        <v>15</v>
      </c>
      <c r="AS179" s="38">
        <f t="shared" si="154"/>
        <v>6</v>
      </c>
      <c r="AT179" s="38">
        <f t="shared" ca="1" si="155"/>
        <v>1580</v>
      </c>
      <c r="AU179" s="68">
        <f t="shared" si="156"/>
        <v>1710</v>
      </c>
    </row>
    <row r="180" spans="1:47" x14ac:dyDescent="0.25">
      <c r="A180" s="86" t="s">
        <v>253</v>
      </c>
      <c r="B180" s="14">
        <v>178</v>
      </c>
      <c r="C180" s="14">
        <f>关卡产出!C185</f>
        <v>141</v>
      </c>
      <c r="D180" s="14">
        <f>关卡产出!D185</f>
        <v>70</v>
      </c>
      <c r="E180" s="14">
        <f>关卡产出!E185</f>
        <v>35</v>
      </c>
      <c r="F180" s="14">
        <f>关卡产出!F185</f>
        <v>1830</v>
      </c>
      <c r="G180" s="38">
        <f t="shared" si="141"/>
        <v>71</v>
      </c>
      <c r="H180" s="38">
        <f t="shared" si="142"/>
        <v>35</v>
      </c>
      <c r="I180" s="38">
        <f t="shared" si="143"/>
        <v>18</v>
      </c>
      <c r="J180" s="38">
        <f t="shared" si="144"/>
        <v>2288</v>
      </c>
      <c r="K180" s="38">
        <f t="shared" ca="1" si="145"/>
        <v>1580</v>
      </c>
      <c r="R180" s="113" t="s">
        <v>253</v>
      </c>
      <c r="S180" s="14">
        <v>178</v>
      </c>
      <c r="T180" s="14">
        <f>关卡对比!AE184</f>
        <v>102</v>
      </c>
      <c r="U180" s="109">
        <f>关卡对比!AF184</f>
        <v>77</v>
      </c>
      <c r="V180" s="70">
        <f t="shared" si="134"/>
        <v>10</v>
      </c>
      <c r="W180" s="38">
        <f t="shared" si="135"/>
        <v>20</v>
      </c>
      <c r="X180" s="68">
        <f t="shared" si="136"/>
        <v>30</v>
      </c>
      <c r="Y180" s="70">
        <f t="shared" si="146"/>
        <v>18.3</v>
      </c>
      <c r="Z180" s="38">
        <f t="shared" si="147"/>
        <v>10.7</v>
      </c>
      <c r="AA180" s="68">
        <f t="shared" si="148"/>
        <v>8.1999999999999993</v>
      </c>
      <c r="AB180" s="70">
        <f t="shared" si="138"/>
        <v>7</v>
      </c>
      <c r="AC180" s="38">
        <f t="shared" si="139"/>
        <v>5</v>
      </c>
      <c r="AD180" s="38">
        <f t="shared" si="140"/>
        <v>2</v>
      </c>
      <c r="AE180" s="38">
        <f t="shared" ca="1" si="149"/>
        <v>370</v>
      </c>
      <c r="AF180" s="68">
        <f t="shared" si="137"/>
        <v>370</v>
      </c>
      <c r="AG180" s="70">
        <f t="shared" si="157"/>
        <v>7</v>
      </c>
      <c r="AH180" s="38">
        <f t="shared" si="158"/>
        <v>5</v>
      </c>
      <c r="AI180" s="38">
        <f t="shared" si="159"/>
        <v>2</v>
      </c>
      <c r="AJ180" s="38">
        <f t="shared" ca="1" si="150"/>
        <v>570</v>
      </c>
      <c r="AK180" s="68">
        <f t="shared" si="160"/>
        <v>570</v>
      </c>
      <c r="AL180" s="38">
        <f t="shared" si="161"/>
        <v>7</v>
      </c>
      <c r="AM180" s="38">
        <f t="shared" si="162"/>
        <v>5</v>
      </c>
      <c r="AN180" s="38">
        <f t="shared" si="163"/>
        <v>2</v>
      </c>
      <c r="AO180" s="38">
        <f t="shared" ca="1" si="151"/>
        <v>640</v>
      </c>
      <c r="AP180" s="68">
        <f t="shared" si="164"/>
        <v>770</v>
      </c>
      <c r="AQ180" s="38">
        <f t="shared" si="152"/>
        <v>21</v>
      </c>
      <c r="AR180" s="38">
        <f t="shared" si="153"/>
        <v>15</v>
      </c>
      <c r="AS180" s="38">
        <f t="shared" si="154"/>
        <v>6</v>
      </c>
      <c r="AT180" s="38">
        <f t="shared" ca="1" si="155"/>
        <v>1580</v>
      </c>
      <c r="AU180" s="68">
        <f t="shared" si="156"/>
        <v>1710</v>
      </c>
    </row>
    <row r="181" spans="1:47" x14ac:dyDescent="0.25">
      <c r="A181" s="86" t="s">
        <v>253</v>
      </c>
      <c r="B181" s="14">
        <v>179</v>
      </c>
      <c r="C181" s="14">
        <f>关卡产出!C186</f>
        <v>142</v>
      </c>
      <c r="D181" s="14">
        <f>关卡产出!D186</f>
        <v>71</v>
      </c>
      <c r="E181" s="14">
        <f>关卡产出!E186</f>
        <v>35</v>
      </c>
      <c r="F181" s="14">
        <f>关卡产出!F186</f>
        <v>1850</v>
      </c>
      <c r="G181" s="38">
        <f t="shared" si="141"/>
        <v>71</v>
      </c>
      <c r="H181" s="38">
        <f t="shared" si="142"/>
        <v>36</v>
      </c>
      <c r="I181" s="38">
        <f t="shared" si="143"/>
        <v>18</v>
      </c>
      <c r="J181" s="38">
        <f t="shared" si="144"/>
        <v>2313</v>
      </c>
      <c r="K181" s="38">
        <f t="shared" ca="1" si="145"/>
        <v>1580</v>
      </c>
      <c r="R181" s="113" t="s">
        <v>253</v>
      </c>
      <c r="S181" s="14">
        <v>179</v>
      </c>
      <c r="T181" s="14">
        <f>关卡对比!AE185</f>
        <v>103</v>
      </c>
      <c r="U181" s="109">
        <f>关卡对比!AF185</f>
        <v>78</v>
      </c>
      <c r="V181" s="70">
        <f t="shared" si="134"/>
        <v>10</v>
      </c>
      <c r="W181" s="38">
        <f t="shared" si="135"/>
        <v>20</v>
      </c>
      <c r="X181" s="68">
        <f t="shared" si="136"/>
        <v>30</v>
      </c>
      <c r="Y181" s="70">
        <f t="shared" si="146"/>
        <v>18.399999999999999</v>
      </c>
      <c r="Z181" s="38">
        <f t="shared" si="147"/>
        <v>10.8</v>
      </c>
      <c r="AA181" s="68">
        <f t="shared" si="148"/>
        <v>8.3000000000000007</v>
      </c>
      <c r="AB181" s="70">
        <f t="shared" si="138"/>
        <v>7</v>
      </c>
      <c r="AC181" s="38">
        <f t="shared" si="139"/>
        <v>5</v>
      </c>
      <c r="AD181" s="38">
        <f t="shared" si="140"/>
        <v>2</v>
      </c>
      <c r="AE181" s="38">
        <f t="shared" ca="1" si="149"/>
        <v>370</v>
      </c>
      <c r="AF181" s="68">
        <f t="shared" si="137"/>
        <v>370</v>
      </c>
      <c r="AG181" s="70">
        <f t="shared" si="157"/>
        <v>7</v>
      </c>
      <c r="AH181" s="38">
        <f t="shared" si="158"/>
        <v>5</v>
      </c>
      <c r="AI181" s="38">
        <f t="shared" si="159"/>
        <v>2</v>
      </c>
      <c r="AJ181" s="38">
        <f t="shared" ca="1" si="150"/>
        <v>570</v>
      </c>
      <c r="AK181" s="68">
        <f t="shared" si="160"/>
        <v>570</v>
      </c>
      <c r="AL181" s="38">
        <f t="shared" si="161"/>
        <v>7</v>
      </c>
      <c r="AM181" s="38">
        <f t="shared" si="162"/>
        <v>5</v>
      </c>
      <c r="AN181" s="38">
        <f t="shared" si="163"/>
        <v>2</v>
      </c>
      <c r="AO181" s="38">
        <f t="shared" ca="1" si="151"/>
        <v>640</v>
      </c>
      <c r="AP181" s="68">
        <f t="shared" si="164"/>
        <v>770</v>
      </c>
      <c r="AQ181" s="38">
        <f t="shared" si="152"/>
        <v>21</v>
      </c>
      <c r="AR181" s="38">
        <f t="shared" si="153"/>
        <v>15</v>
      </c>
      <c r="AS181" s="38">
        <f t="shared" si="154"/>
        <v>6</v>
      </c>
      <c r="AT181" s="38">
        <f t="shared" ca="1" si="155"/>
        <v>1580</v>
      </c>
      <c r="AU181" s="68">
        <f t="shared" si="156"/>
        <v>1710</v>
      </c>
    </row>
    <row r="182" spans="1:47" x14ac:dyDescent="0.25">
      <c r="A182" s="86" t="s">
        <v>253</v>
      </c>
      <c r="B182" s="14">
        <v>180</v>
      </c>
      <c r="C182" s="14">
        <f>关卡产出!C187</f>
        <v>142</v>
      </c>
      <c r="D182" s="14">
        <f>关卡产出!D187</f>
        <v>71</v>
      </c>
      <c r="E182" s="14">
        <f>关卡产出!E187</f>
        <v>35</v>
      </c>
      <c r="F182" s="14">
        <f>关卡产出!F187</f>
        <v>1850</v>
      </c>
      <c r="G182" s="38">
        <f t="shared" si="141"/>
        <v>71</v>
      </c>
      <c r="H182" s="38">
        <f t="shared" si="142"/>
        <v>36</v>
      </c>
      <c r="I182" s="38">
        <f t="shared" si="143"/>
        <v>18</v>
      </c>
      <c r="J182" s="38">
        <f t="shared" si="144"/>
        <v>2313</v>
      </c>
      <c r="K182" s="38">
        <f t="shared" ca="1" si="145"/>
        <v>1580</v>
      </c>
      <c r="R182" s="113" t="s">
        <v>253</v>
      </c>
      <c r="S182" s="14">
        <v>180</v>
      </c>
      <c r="T182" s="14">
        <f>关卡对比!AE186</f>
        <v>103</v>
      </c>
      <c r="U182" s="109">
        <f>关卡对比!AF186</f>
        <v>78</v>
      </c>
      <c r="V182" s="70">
        <f t="shared" si="134"/>
        <v>10</v>
      </c>
      <c r="W182" s="38">
        <f t="shared" si="135"/>
        <v>20</v>
      </c>
      <c r="X182" s="68">
        <f t="shared" si="136"/>
        <v>30</v>
      </c>
      <c r="Y182" s="70">
        <f t="shared" si="146"/>
        <v>18.5</v>
      </c>
      <c r="Z182" s="38">
        <f t="shared" si="147"/>
        <v>10.8</v>
      </c>
      <c r="AA182" s="68">
        <f t="shared" si="148"/>
        <v>8.3000000000000007</v>
      </c>
      <c r="AB182" s="70">
        <f t="shared" si="138"/>
        <v>7</v>
      </c>
      <c r="AC182" s="38">
        <f t="shared" si="139"/>
        <v>5</v>
      </c>
      <c r="AD182" s="38">
        <f t="shared" si="140"/>
        <v>2</v>
      </c>
      <c r="AE182" s="38">
        <f t="shared" ca="1" si="149"/>
        <v>370</v>
      </c>
      <c r="AF182" s="68">
        <f t="shared" si="137"/>
        <v>370</v>
      </c>
      <c r="AG182" s="70">
        <f t="shared" si="157"/>
        <v>7</v>
      </c>
      <c r="AH182" s="38">
        <f t="shared" si="158"/>
        <v>5</v>
      </c>
      <c r="AI182" s="38">
        <f t="shared" si="159"/>
        <v>2</v>
      </c>
      <c r="AJ182" s="38">
        <f t="shared" ca="1" si="150"/>
        <v>570</v>
      </c>
      <c r="AK182" s="68">
        <f t="shared" si="160"/>
        <v>570</v>
      </c>
      <c r="AL182" s="38">
        <f t="shared" si="161"/>
        <v>7</v>
      </c>
      <c r="AM182" s="38">
        <f t="shared" si="162"/>
        <v>5</v>
      </c>
      <c r="AN182" s="38">
        <f t="shared" si="163"/>
        <v>2</v>
      </c>
      <c r="AO182" s="38">
        <f t="shared" ca="1" si="151"/>
        <v>640</v>
      </c>
      <c r="AP182" s="68">
        <f t="shared" si="164"/>
        <v>770</v>
      </c>
      <c r="AQ182" s="38">
        <f t="shared" si="152"/>
        <v>21</v>
      </c>
      <c r="AR182" s="38">
        <f t="shared" si="153"/>
        <v>15</v>
      </c>
      <c r="AS182" s="38">
        <f t="shared" si="154"/>
        <v>6</v>
      </c>
      <c r="AT182" s="38">
        <f t="shared" ca="1" si="155"/>
        <v>1580</v>
      </c>
      <c r="AU182" s="68">
        <f t="shared" si="156"/>
        <v>1710</v>
      </c>
    </row>
    <row r="183" spans="1:47" x14ac:dyDescent="0.25">
      <c r="A183" s="86" t="s">
        <v>253</v>
      </c>
      <c r="B183" s="14">
        <v>181</v>
      </c>
      <c r="C183" s="14">
        <f>关卡产出!C188</f>
        <v>143</v>
      </c>
      <c r="D183" s="14">
        <f>关卡产出!D188</f>
        <v>71</v>
      </c>
      <c r="E183" s="14">
        <f>关卡产出!E188</f>
        <v>35</v>
      </c>
      <c r="F183" s="14">
        <f>关卡产出!F188</f>
        <v>1870</v>
      </c>
      <c r="G183" s="38">
        <f t="shared" si="141"/>
        <v>72</v>
      </c>
      <c r="H183" s="38">
        <f t="shared" si="142"/>
        <v>36</v>
      </c>
      <c r="I183" s="38">
        <f t="shared" si="143"/>
        <v>18</v>
      </c>
      <c r="J183" s="38">
        <f t="shared" si="144"/>
        <v>2338</v>
      </c>
      <c r="K183" s="38">
        <f t="shared" ca="1" si="145"/>
        <v>1580</v>
      </c>
      <c r="R183" s="113" t="s">
        <v>253</v>
      </c>
      <c r="S183" s="14">
        <v>181</v>
      </c>
      <c r="T183" s="14">
        <f>关卡对比!AE187</f>
        <v>104</v>
      </c>
      <c r="U183" s="109">
        <f>关卡对比!AF187</f>
        <v>78</v>
      </c>
      <c r="V183" s="70">
        <f t="shared" si="134"/>
        <v>10</v>
      </c>
      <c r="W183" s="38">
        <f t="shared" si="135"/>
        <v>20</v>
      </c>
      <c r="X183" s="68">
        <f t="shared" si="136"/>
        <v>30</v>
      </c>
      <c r="Y183" s="70">
        <f t="shared" si="146"/>
        <v>18.600000000000001</v>
      </c>
      <c r="Z183" s="38">
        <f t="shared" si="147"/>
        <v>10.9</v>
      </c>
      <c r="AA183" s="68">
        <f t="shared" si="148"/>
        <v>8.3000000000000007</v>
      </c>
      <c r="AB183" s="70">
        <f t="shared" si="138"/>
        <v>7</v>
      </c>
      <c r="AC183" s="38">
        <f t="shared" si="139"/>
        <v>5</v>
      </c>
      <c r="AD183" s="38">
        <f t="shared" si="140"/>
        <v>2</v>
      </c>
      <c r="AE183" s="38">
        <f t="shared" ca="1" si="149"/>
        <v>370</v>
      </c>
      <c r="AF183" s="68">
        <f t="shared" si="137"/>
        <v>370</v>
      </c>
      <c r="AG183" s="70">
        <f t="shared" si="157"/>
        <v>7</v>
      </c>
      <c r="AH183" s="38">
        <f t="shared" si="158"/>
        <v>5</v>
      </c>
      <c r="AI183" s="38">
        <f t="shared" si="159"/>
        <v>2</v>
      </c>
      <c r="AJ183" s="38">
        <f t="shared" ca="1" si="150"/>
        <v>570</v>
      </c>
      <c r="AK183" s="68">
        <f t="shared" si="160"/>
        <v>570</v>
      </c>
      <c r="AL183" s="38">
        <f t="shared" si="161"/>
        <v>7</v>
      </c>
      <c r="AM183" s="38">
        <f t="shared" si="162"/>
        <v>5</v>
      </c>
      <c r="AN183" s="38">
        <f t="shared" si="163"/>
        <v>2</v>
      </c>
      <c r="AO183" s="38">
        <f t="shared" ca="1" si="151"/>
        <v>640</v>
      </c>
      <c r="AP183" s="68">
        <f t="shared" si="164"/>
        <v>770</v>
      </c>
      <c r="AQ183" s="38">
        <f t="shared" si="152"/>
        <v>21</v>
      </c>
      <c r="AR183" s="38">
        <f t="shared" si="153"/>
        <v>15</v>
      </c>
      <c r="AS183" s="38">
        <f t="shared" si="154"/>
        <v>6</v>
      </c>
      <c r="AT183" s="38">
        <f t="shared" ca="1" si="155"/>
        <v>1580</v>
      </c>
      <c r="AU183" s="68">
        <f t="shared" si="156"/>
        <v>1710</v>
      </c>
    </row>
    <row r="184" spans="1:47" x14ac:dyDescent="0.25">
      <c r="A184" s="86" t="s">
        <v>253</v>
      </c>
      <c r="B184" s="14">
        <v>182</v>
      </c>
      <c r="C184" s="14">
        <f>关卡产出!C189</f>
        <v>144</v>
      </c>
      <c r="D184" s="14">
        <f>关卡产出!D189</f>
        <v>72</v>
      </c>
      <c r="E184" s="14">
        <f>关卡产出!E189</f>
        <v>35</v>
      </c>
      <c r="F184" s="14">
        <f>关卡产出!F189</f>
        <v>1870</v>
      </c>
      <c r="G184" s="38">
        <f t="shared" si="141"/>
        <v>72</v>
      </c>
      <c r="H184" s="38">
        <f t="shared" si="142"/>
        <v>36</v>
      </c>
      <c r="I184" s="38">
        <f t="shared" si="143"/>
        <v>18</v>
      </c>
      <c r="J184" s="38">
        <f t="shared" si="144"/>
        <v>2338</v>
      </c>
      <c r="K184" s="38">
        <f t="shared" ca="1" si="145"/>
        <v>1580</v>
      </c>
      <c r="R184" s="113" t="s">
        <v>253</v>
      </c>
      <c r="S184" s="14">
        <v>182</v>
      </c>
      <c r="T184" s="14">
        <f>关卡对比!AE188</f>
        <v>104</v>
      </c>
      <c r="U184" s="109">
        <f>关卡对比!AF188</f>
        <v>79</v>
      </c>
      <c r="V184" s="70">
        <f t="shared" si="134"/>
        <v>10</v>
      </c>
      <c r="W184" s="38">
        <f t="shared" si="135"/>
        <v>20</v>
      </c>
      <c r="X184" s="68">
        <f t="shared" si="136"/>
        <v>30</v>
      </c>
      <c r="Y184" s="70">
        <f t="shared" si="146"/>
        <v>18.7</v>
      </c>
      <c r="Z184" s="38">
        <f t="shared" si="147"/>
        <v>10.9</v>
      </c>
      <c r="AA184" s="68">
        <f t="shared" si="148"/>
        <v>8.4</v>
      </c>
      <c r="AB184" s="70">
        <f t="shared" si="138"/>
        <v>7</v>
      </c>
      <c r="AC184" s="38">
        <f t="shared" si="139"/>
        <v>5</v>
      </c>
      <c r="AD184" s="38">
        <f t="shared" si="140"/>
        <v>2</v>
      </c>
      <c r="AE184" s="38">
        <f t="shared" ca="1" si="149"/>
        <v>370</v>
      </c>
      <c r="AF184" s="68">
        <f t="shared" si="137"/>
        <v>370</v>
      </c>
      <c r="AG184" s="70">
        <f t="shared" si="157"/>
        <v>7</v>
      </c>
      <c r="AH184" s="38">
        <f t="shared" si="158"/>
        <v>5</v>
      </c>
      <c r="AI184" s="38">
        <f t="shared" si="159"/>
        <v>2</v>
      </c>
      <c r="AJ184" s="38">
        <f t="shared" ca="1" si="150"/>
        <v>570</v>
      </c>
      <c r="AK184" s="68">
        <f t="shared" si="160"/>
        <v>570</v>
      </c>
      <c r="AL184" s="38">
        <f t="shared" si="161"/>
        <v>7</v>
      </c>
      <c r="AM184" s="38">
        <f t="shared" si="162"/>
        <v>5</v>
      </c>
      <c r="AN184" s="38">
        <f t="shared" si="163"/>
        <v>2</v>
      </c>
      <c r="AO184" s="38">
        <f t="shared" ca="1" si="151"/>
        <v>640</v>
      </c>
      <c r="AP184" s="68">
        <f t="shared" si="164"/>
        <v>770</v>
      </c>
      <c r="AQ184" s="38">
        <f t="shared" si="152"/>
        <v>21</v>
      </c>
      <c r="AR184" s="38">
        <f t="shared" si="153"/>
        <v>15</v>
      </c>
      <c r="AS184" s="38">
        <f t="shared" si="154"/>
        <v>6</v>
      </c>
      <c r="AT184" s="38">
        <f t="shared" ca="1" si="155"/>
        <v>1580</v>
      </c>
      <c r="AU184" s="68">
        <f t="shared" si="156"/>
        <v>1710</v>
      </c>
    </row>
    <row r="185" spans="1:47" x14ac:dyDescent="0.25">
      <c r="A185" s="86" t="s">
        <v>253</v>
      </c>
      <c r="B185" s="14">
        <v>183</v>
      </c>
      <c r="C185" s="14">
        <f>关卡产出!C190</f>
        <v>145</v>
      </c>
      <c r="D185" s="14">
        <f>关卡产出!D190</f>
        <v>72</v>
      </c>
      <c r="E185" s="14">
        <f>关卡产出!E190</f>
        <v>36</v>
      </c>
      <c r="F185" s="14">
        <f>关卡产出!F190</f>
        <v>1890</v>
      </c>
      <c r="G185" s="38">
        <f t="shared" si="141"/>
        <v>73</v>
      </c>
      <c r="H185" s="38">
        <f t="shared" si="142"/>
        <v>36</v>
      </c>
      <c r="I185" s="38">
        <f t="shared" si="143"/>
        <v>18</v>
      </c>
      <c r="J185" s="38">
        <f t="shared" si="144"/>
        <v>2363</v>
      </c>
      <c r="K185" s="38">
        <f t="shared" ca="1" si="145"/>
        <v>1580</v>
      </c>
      <c r="R185" s="113" t="s">
        <v>253</v>
      </c>
      <c r="S185" s="14">
        <v>183</v>
      </c>
      <c r="T185" s="14">
        <f>关卡对比!AE189</f>
        <v>105</v>
      </c>
      <c r="U185" s="109">
        <f>关卡对比!AF189</f>
        <v>79</v>
      </c>
      <c r="V185" s="70">
        <f t="shared" si="134"/>
        <v>10</v>
      </c>
      <c r="W185" s="38">
        <f t="shared" si="135"/>
        <v>20</v>
      </c>
      <c r="X185" s="68">
        <f t="shared" si="136"/>
        <v>30</v>
      </c>
      <c r="Y185" s="70">
        <f t="shared" si="146"/>
        <v>18.8</v>
      </c>
      <c r="Z185" s="38">
        <f t="shared" si="147"/>
        <v>11</v>
      </c>
      <c r="AA185" s="68">
        <f t="shared" si="148"/>
        <v>8.4</v>
      </c>
      <c r="AB185" s="70">
        <f t="shared" si="138"/>
        <v>7</v>
      </c>
      <c r="AC185" s="38">
        <f t="shared" si="139"/>
        <v>5</v>
      </c>
      <c r="AD185" s="38">
        <f t="shared" si="140"/>
        <v>2</v>
      </c>
      <c r="AE185" s="38">
        <f t="shared" ca="1" si="149"/>
        <v>370</v>
      </c>
      <c r="AF185" s="68">
        <f t="shared" si="137"/>
        <v>370</v>
      </c>
      <c r="AG185" s="70">
        <f t="shared" si="157"/>
        <v>7</v>
      </c>
      <c r="AH185" s="38">
        <f t="shared" si="158"/>
        <v>5</v>
      </c>
      <c r="AI185" s="38">
        <f t="shared" si="159"/>
        <v>2</v>
      </c>
      <c r="AJ185" s="38">
        <f t="shared" ca="1" si="150"/>
        <v>570</v>
      </c>
      <c r="AK185" s="68">
        <f t="shared" si="160"/>
        <v>570</v>
      </c>
      <c r="AL185" s="38">
        <f t="shared" si="161"/>
        <v>7</v>
      </c>
      <c r="AM185" s="38">
        <f t="shared" si="162"/>
        <v>5</v>
      </c>
      <c r="AN185" s="38">
        <f t="shared" si="163"/>
        <v>2</v>
      </c>
      <c r="AO185" s="38">
        <f t="shared" ca="1" si="151"/>
        <v>640</v>
      </c>
      <c r="AP185" s="68">
        <f t="shared" si="164"/>
        <v>770</v>
      </c>
      <c r="AQ185" s="38">
        <f t="shared" si="152"/>
        <v>21</v>
      </c>
      <c r="AR185" s="38">
        <f t="shared" si="153"/>
        <v>15</v>
      </c>
      <c r="AS185" s="38">
        <f t="shared" si="154"/>
        <v>6</v>
      </c>
      <c r="AT185" s="38">
        <f t="shared" ca="1" si="155"/>
        <v>1580</v>
      </c>
      <c r="AU185" s="68">
        <f t="shared" si="156"/>
        <v>1710</v>
      </c>
    </row>
    <row r="186" spans="1:47" x14ac:dyDescent="0.25">
      <c r="A186" s="86" t="s">
        <v>253</v>
      </c>
      <c r="B186" s="14">
        <v>184</v>
      </c>
      <c r="C186" s="14">
        <f>关卡产出!C191</f>
        <v>146</v>
      </c>
      <c r="D186" s="14">
        <f>关卡产出!D191</f>
        <v>73</v>
      </c>
      <c r="E186" s="14">
        <f>关卡产出!E191</f>
        <v>36</v>
      </c>
      <c r="F186" s="14">
        <f>关卡产出!F191</f>
        <v>1890</v>
      </c>
      <c r="G186" s="38">
        <f t="shared" si="141"/>
        <v>73</v>
      </c>
      <c r="H186" s="38">
        <f t="shared" si="142"/>
        <v>37</v>
      </c>
      <c r="I186" s="38">
        <f t="shared" si="143"/>
        <v>18</v>
      </c>
      <c r="J186" s="38">
        <f t="shared" si="144"/>
        <v>2363</v>
      </c>
      <c r="K186" s="38">
        <f t="shared" ca="1" si="145"/>
        <v>1580</v>
      </c>
      <c r="R186" s="113" t="s">
        <v>253</v>
      </c>
      <c r="S186" s="14">
        <v>184</v>
      </c>
      <c r="T186" s="14">
        <f>关卡对比!AE190</f>
        <v>105</v>
      </c>
      <c r="U186" s="109">
        <f>关卡对比!AF190</f>
        <v>79</v>
      </c>
      <c r="V186" s="70">
        <f t="shared" si="134"/>
        <v>10</v>
      </c>
      <c r="W186" s="38">
        <f t="shared" si="135"/>
        <v>20</v>
      </c>
      <c r="X186" s="68">
        <f t="shared" si="136"/>
        <v>30</v>
      </c>
      <c r="Y186" s="70">
        <f t="shared" si="146"/>
        <v>18.899999999999999</v>
      </c>
      <c r="Z186" s="38">
        <f t="shared" si="147"/>
        <v>11</v>
      </c>
      <c r="AA186" s="68">
        <f t="shared" si="148"/>
        <v>8.4</v>
      </c>
      <c r="AB186" s="70">
        <f t="shared" si="138"/>
        <v>7</v>
      </c>
      <c r="AC186" s="38">
        <f t="shared" si="139"/>
        <v>5</v>
      </c>
      <c r="AD186" s="38">
        <f t="shared" si="140"/>
        <v>2</v>
      </c>
      <c r="AE186" s="38">
        <f t="shared" ca="1" si="149"/>
        <v>370</v>
      </c>
      <c r="AF186" s="68">
        <f t="shared" si="137"/>
        <v>370</v>
      </c>
      <c r="AG186" s="70">
        <f t="shared" si="157"/>
        <v>7</v>
      </c>
      <c r="AH186" s="38">
        <f t="shared" si="158"/>
        <v>5</v>
      </c>
      <c r="AI186" s="38">
        <f t="shared" si="159"/>
        <v>2</v>
      </c>
      <c r="AJ186" s="38">
        <f t="shared" ca="1" si="150"/>
        <v>570</v>
      </c>
      <c r="AK186" s="68">
        <f t="shared" si="160"/>
        <v>570</v>
      </c>
      <c r="AL186" s="38">
        <f t="shared" si="161"/>
        <v>7</v>
      </c>
      <c r="AM186" s="38">
        <f t="shared" si="162"/>
        <v>5</v>
      </c>
      <c r="AN186" s="38">
        <f t="shared" si="163"/>
        <v>2</v>
      </c>
      <c r="AO186" s="38">
        <f t="shared" ca="1" si="151"/>
        <v>640</v>
      </c>
      <c r="AP186" s="68">
        <f t="shared" si="164"/>
        <v>770</v>
      </c>
      <c r="AQ186" s="38">
        <f t="shared" si="152"/>
        <v>21</v>
      </c>
      <c r="AR186" s="38">
        <f t="shared" si="153"/>
        <v>15</v>
      </c>
      <c r="AS186" s="38">
        <f t="shared" si="154"/>
        <v>6</v>
      </c>
      <c r="AT186" s="38">
        <f t="shared" ca="1" si="155"/>
        <v>1580</v>
      </c>
      <c r="AU186" s="68">
        <f t="shared" si="156"/>
        <v>1710</v>
      </c>
    </row>
    <row r="187" spans="1:47" x14ac:dyDescent="0.25">
      <c r="A187" s="86" t="s">
        <v>253</v>
      </c>
      <c r="B187" s="14">
        <v>185</v>
      </c>
      <c r="C187" s="14">
        <f>关卡产出!C192</f>
        <v>146</v>
      </c>
      <c r="D187" s="14">
        <f>关卡产出!D192</f>
        <v>73</v>
      </c>
      <c r="E187" s="14">
        <f>关卡产出!E192</f>
        <v>36</v>
      </c>
      <c r="F187" s="14">
        <f>关卡产出!F192</f>
        <v>1910</v>
      </c>
      <c r="G187" s="38">
        <f t="shared" si="141"/>
        <v>73</v>
      </c>
      <c r="H187" s="38">
        <f t="shared" si="142"/>
        <v>37</v>
      </c>
      <c r="I187" s="38">
        <f t="shared" si="143"/>
        <v>18</v>
      </c>
      <c r="J187" s="38">
        <f>ROUNDUP(F187/2*2.5,0)</f>
        <v>2388</v>
      </c>
      <c r="K187" s="38">
        <f t="shared" ca="1" si="145"/>
        <v>1580</v>
      </c>
      <c r="R187" s="113" t="s">
        <v>253</v>
      </c>
      <c r="S187" s="14">
        <v>185</v>
      </c>
      <c r="T187" s="14">
        <f>关卡对比!AE191</f>
        <v>106</v>
      </c>
      <c r="U187" s="109">
        <f>关卡对比!AF191</f>
        <v>80</v>
      </c>
      <c r="V187" s="70">
        <f t="shared" si="134"/>
        <v>10</v>
      </c>
      <c r="W187" s="38">
        <f t="shared" si="135"/>
        <v>20</v>
      </c>
      <c r="X187" s="68">
        <f t="shared" si="136"/>
        <v>30</v>
      </c>
      <c r="Y187" s="70">
        <f t="shared" si="146"/>
        <v>19</v>
      </c>
      <c r="Z187" s="38">
        <f t="shared" si="147"/>
        <v>11.1</v>
      </c>
      <c r="AA187" s="68">
        <f t="shared" si="148"/>
        <v>8.5</v>
      </c>
      <c r="AB187" s="70">
        <f t="shared" si="138"/>
        <v>7</v>
      </c>
      <c r="AC187" s="38">
        <f t="shared" si="139"/>
        <v>5</v>
      </c>
      <c r="AD187" s="38">
        <f t="shared" si="140"/>
        <v>2</v>
      </c>
      <c r="AE187" s="38">
        <f t="shared" ca="1" si="149"/>
        <v>370</v>
      </c>
      <c r="AF187" s="68">
        <f t="shared" si="137"/>
        <v>370</v>
      </c>
      <c r="AG187" s="70">
        <f t="shared" si="157"/>
        <v>7</v>
      </c>
      <c r="AH187" s="38">
        <f t="shared" si="158"/>
        <v>5</v>
      </c>
      <c r="AI187" s="38">
        <f t="shared" si="159"/>
        <v>2</v>
      </c>
      <c r="AJ187" s="38">
        <f t="shared" ca="1" si="150"/>
        <v>570</v>
      </c>
      <c r="AK187" s="68">
        <f t="shared" si="160"/>
        <v>570</v>
      </c>
      <c r="AL187" s="38">
        <f t="shared" si="161"/>
        <v>7</v>
      </c>
      <c r="AM187" s="38">
        <f t="shared" si="162"/>
        <v>5</v>
      </c>
      <c r="AN187" s="38">
        <f t="shared" si="163"/>
        <v>2</v>
      </c>
      <c r="AO187" s="38">
        <f t="shared" ca="1" si="151"/>
        <v>640</v>
      </c>
      <c r="AP187" s="68">
        <f t="shared" si="164"/>
        <v>770</v>
      </c>
      <c r="AQ187" s="38">
        <f t="shared" si="152"/>
        <v>21</v>
      </c>
      <c r="AR187" s="38">
        <f t="shared" si="153"/>
        <v>15</v>
      </c>
      <c r="AS187" s="38">
        <f t="shared" si="154"/>
        <v>6</v>
      </c>
      <c r="AT187" s="38">
        <f t="shared" ca="1" si="155"/>
        <v>1580</v>
      </c>
      <c r="AU187" s="68">
        <f t="shared" si="156"/>
        <v>1710</v>
      </c>
    </row>
    <row r="188" spans="1:47" x14ac:dyDescent="0.25">
      <c r="A188" s="86" t="s">
        <v>253</v>
      </c>
      <c r="B188" s="14">
        <v>186</v>
      </c>
      <c r="C188" s="14">
        <f>关卡产出!C193</f>
        <v>147</v>
      </c>
      <c r="D188" s="14">
        <f>关卡产出!D193</f>
        <v>73</v>
      </c>
      <c r="E188" s="14">
        <f>关卡产出!E193</f>
        <v>36</v>
      </c>
      <c r="F188" s="14">
        <f>关卡产出!F193</f>
        <v>1910</v>
      </c>
      <c r="G188" s="38">
        <f t="shared" si="141"/>
        <v>74</v>
      </c>
      <c r="H188" s="38">
        <f t="shared" si="142"/>
        <v>37</v>
      </c>
      <c r="I188" s="38">
        <f t="shared" si="143"/>
        <v>18</v>
      </c>
      <c r="J188" s="38">
        <f t="shared" si="144"/>
        <v>2388</v>
      </c>
      <c r="K188" s="38">
        <f t="shared" ca="1" si="145"/>
        <v>1580</v>
      </c>
      <c r="R188" s="113" t="s">
        <v>253</v>
      </c>
      <c r="S188" s="14">
        <v>186</v>
      </c>
      <c r="T188" s="14">
        <f>关卡对比!AE192</f>
        <v>106</v>
      </c>
      <c r="U188" s="109">
        <f>关卡对比!AF192</f>
        <v>80</v>
      </c>
      <c r="V188" s="70">
        <f t="shared" si="134"/>
        <v>10</v>
      </c>
      <c r="W188" s="38">
        <f t="shared" si="135"/>
        <v>20</v>
      </c>
      <c r="X188" s="68">
        <f t="shared" si="136"/>
        <v>30</v>
      </c>
      <c r="Y188" s="70">
        <f t="shared" si="146"/>
        <v>19.100000000000001</v>
      </c>
      <c r="Z188" s="38">
        <f t="shared" si="147"/>
        <v>11.1</v>
      </c>
      <c r="AA188" s="68">
        <f t="shared" si="148"/>
        <v>8.5</v>
      </c>
      <c r="AB188" s="70">
        <f t="shared" si="138"/>
        <v>7</v>
      </c>
      <c r="AC188" s="38">
        <f t="shared" si="139"/>
        <v>5</v>
      </c>
      <c r="AD188" s="38">
        <f t="shared" si="140"/>
        <v>2</v>
      </c>
      <c r="AE188" s="38">
        <f t="shared" ca="1" si="149"/>
        <v>370</v>
      </c>
      <c r="AF188" s="68">
        <f t="shared" si="137"/>
        <v>370</v>
      </c>
      <c r="AG188" s="70">
        <f t="shared" si="157"/>
        <v>7</v>
      </c>
      <c r="AH188" s="38">
        <f t="shared" si="158"/>
        <v>5</v>
      </c>
      <c r="AI188" s="38">
        <f t="shared" si="159"/>
        <v>2</v>
      </c>
      <c r="AJ188" s="38">
        <f t="shared" ca="1" si="150"/>
        <v>570</v>
      </c>
      <c r="AK188" s="68">
        <f t="shared" si="160"/>
        <v>570</v>
      </c>
      <c r="AL188" s="38">
        <f t="shared" si="161"/>
        <v>7</v>
      </c>
      <c r="AM188" s="38">
        <f t="shared" si="162"/>
        <v>5</v>
      </c>
      <c r="AN188" s="38">
        <f t="shared" si="163"/>
        <v>2</v>
      </c>
      <c r="AO188" s="38">
        <f t="shared" ca="1" si="151"/>
        <v>640</v>
      </c>
      <c r="AP188" s="68">
        <f t="shared" si="164"/>
        <v>770</v>
      </c>
      <c r="AQ188" s="38">
        <f t="shared" si="152"/>
        <v>21</v>
      </c>
      <c r="AR188" s="38">
        <f t="shared" si="153"/>
        <v>15</v>
      </c>
      <c r="AS188" s="38">
        <f t="shared" si="154"/>
        <v>6</v>
      </c>
      <c r="AT188" s="38">
        <f t="shared" ca="1" si="155"/>
        <v>1580</v>
      </c>
      <c r="AU188" s="68">
        <f t="shared" si="156"/>
        <v>1710</v>
      </c>
    </row>
    <row r="189" spans="1:47" x14ac:dyDescent="0.25">
      <c r="A189" s="86" t="s">
        <v>253</v>
      </c>
      <c r="B189" s="14">
        <v>187</v>
      </c>
      <c r="C189" s="14">
        <f>关卡产出!C194</f>
        <v>148</v>
      </c>
      <c r="D189" s="14">
        <f>关卡产出!D194</f>
        <v>74</v>
      </c>
      <c r="E189" s="14">
        <f>关卡产出!E194</f>
        <v>36</v>
      </c>
      <c r="F189" s="14">
        <f>关卡产出!F194</f>
        <v>1930</v>
      </c>
      <c r="G189" s="38">
        <f t="shared" si="141"/>
        <v>74</v>
      </c>
      <c r="H189" s="38">
        <f t="shared" si="142"/>
        <v>37</v>
      </c>
      <c r="I189" s="38">
        <f t="shared" si="143"/>
        <v>18</v>
      </c>
      <c r="J189" s="38">
        <f t="shared" si="144"/>
        <v>2413</v>
      </c>
      <c r="K189" s="38">
        <f t="shared" ca="1" si="145"/>
        <v>1580</v>
      </c>
      <c r="R189" s="113" t="s">
        <v>253</v>
      </c>
      <c r="S189" s="14">
        <v>187</v>
      </c>
      <c r="T189" s="14">
        <f>关卡对比!AE193</f>
        <v>107</v>
      </c>
      <c r="U189" s="109">
        <f>关卡对比!AF193</f>
        <v>80</v>
      </c>
      <c r="V189" s="70">
        <f t="shared" si="134"/>
        <v>10</v>
      </c>
      <c r="W189" s="38">
        <f t="shared" si="135"/>
        <v>20</v>
      </c>
      <c r="X189" s="68">
        <f t="shared" si="136"/>
        <v>30</v>
      </c>
      <c r="Y189" s="70">
        <f t="shared" si="146"/>
        <v>19.2</v>
      </c>
      <c r="Z189" s="38">
        <f t="shared" si="147"/>
        <v>11.2</v>
      </c>
      <c r="AA189" s="68">
        <f t="shared" si="148"/>
        <v>8.5</v>
      </c>
      <c r="AB189" s="70">
        <f t="shared" si="138"/>
        <v>7</v>
      </c>
      <c r="AC189" s="38">
        <f t="shared" si="139"/>
        <v>5</v>
      </c>
      <c r="AD189" s="38">
        <f t="shared" si="140"/>
        <v>2</v>
      </c>
      <c r="AE189" s="38">
        <f t="shared" ca="1" si="149"/>
        <v>370</v>
      </c>
      <c r="AF189" s="68">
        <f t="shared" si="137"/>
        <v>370</v>
      </c>
      <c r="AG189" s="70">
        <f t="shared" si="157"/>
        <v>7</v>
      </c>
      <c r="AH189" s="38">
        <f t="shared" si="158"/>
        <v>5</v>
      </c>
      <c r="AI189" s="38">
        <f t="shared" si="159"/>
        <v>2</v>
      </c>
      <c r="AJ189" s="38">
        <f t="shared" ca="1" si="150"/>
        <v>570</v>
      </c>
      <c r="AK189" s="68">
        <f t="shared" si="160"/>
        <v>570</v>
      </c>
      <c r="AL189" s="38">
        <f t="shared" si="161"/>
        <v>7</v>
      </c>
      <c r="AM189" s="38">
        <f t="shared" si="162"/>
        <v>5</v>
      </c>
      <c r="AN189" s="38">
        <f t="shared" si="163"/>
        <v>2</v>
      </c>
      <c r="AO189" s="38">
        <f t="shared" ca="1" si="151"/>
        <v>640</v>
      </c>
      <c r="AP189" s="68">
        <f t="shared" si="164"/>
        <v>770</v>
      </c>
      <c r="AQ189" s="38">
        <f t="shared" si="152"/>
        <v>21</v>
      </c>
      <c r="AR189" s="38">
        <f t="shared" si="153"/>
        <v>15</v>
      </c>
      <c r="AS189" s="38">
        <f t="shared" si="154"/>
        <v>6</v>
      </c>
      <c r="AT189" s="38">
        <f t="shared" ca="1" si="155"/>
        <v>1580</v>
      </c>
      <c r="AU189" s="68">
        <f t="shared" si="156"/>
        <v>1710</v>
      </c>
    </row>
    <row r="190" spans="1:47" x14ac:dyDescent="0.25">
      <c r="A190" s="86" t="s">
        <v>253</v>
      </c>
      <c r="B190" s="14">
        <v>188</v>
      </c>
      <c r="C190" s="14">
        <f>关卡产出!C195</f>
        <v>149</v>
      </c>
      <c r="D190" s="14">
        <f>关卡产出!D195</f>
        <v>74</v>
      </c>
      <c r="E190" s="14">
        <f>关卡产出!E195</f>
        <v>37</v>
      </c>
      <c r="F190" s="14">
        <f>关卡产出!F195</f>
        <v>1930</v>
      </c>
      <c r="G190" s="38">
        <f t="shared" si="141"/>
        <v>75</v>
      </c>
      <c r="H190" s="38">
        <f t="shared" si="142"/>
        <v>37</v>
      </c>
      <c r="I190" s="38">
        <f t="shared" si="143"/>
        <v>19</v>
      </c>
      <c r="J190" s="38">
        <f t="shared" si="144"/>
        <v>2413</v>
      </c>
      <c r="K190" s="38">
        <f t="shared" ca="1" si="145"/>
        <v>1580</v>
      </c>
      <c r="R190" s="113" t="s">
        <v>253</v>
      </c>
      <c r="S190" s="14">
        <v>188</v>
      </c>
      <c r="T190" s="14">
        <f>关卡对比!AE194</f>
        <v>107</v>
      </c>
      <c r="U190" s="109">
        <f>关卡对比!AF194</f>
        <v>81</v>
      </c>
      <c r="V190" s="70">
        <f t="shared" si="134"/>
        <v>10</v>
      </c>
      <c r="W190" s="38">
        <f t="shared" si="135"/>
        <v>20</v>
      </c>
      <c r="X190" s="68">
        <f t="shared" si="136"/>
        <v>30</v>
      </c>
      <c r="Y190" s="70">
        <f t="shared" si="146"/>
        <v>19.3</v>
      </c>
      <c r="Z190" s="38">
        <f t="shared" si="147"/>
        <v>11.2</v>
      </c>
      <c r="AA190" s="68">
        <f t="shared" si="148"/>
        <v>8.6</v>
      </c>
      <c r="AB190" s="70">
        <f t="shared" si="138"/>
        <v>7</v>
      </c>
      <c r="AC190" s="38">
        <f t="shared" si="139"/>
        <v>5</v>
      </c>
      <c r="AD190" s="38">
        <f t="shared" si="140"/>
        <v>2</v>
      </c>
      <c r="AE190" s="38">
        <f t="shared" ca="1" si="149"/>
        <v>370</v>
      </c>
      <c r="AF190" s="68">
        <f t="shared" si="137"/>
        <v>370</v>
      </c>
      <c r="AG190" s="70">
        <f t="shared" si="157"/>
        <v>7</v>
      </c>
      <c r="AH190" s="38">
        <f t="shared" si="158"/>
        <v>5</v>
      </c>
      <c r="AI190" s="38">
        <f t="shared" si="159"/>
        <v>2</v>
      </c>
      <c r="AJ190" s="38">
        <f t="shared" ca="1" si="150"/>
        <v>570</v>
      </c>
      <c r="AK190" s="68">
        <f t="shared" si="160"/>
        <v>570</v>
      </c>
      <c r="AL190" s="38">
        <f t="shared" si="161"/>
        <v>7</v>
      </c>
      <c r="AM190" s="38">
        <f t="shared" si="162"/>
        <v>5</v>
      </c>
      <c r="AN190" s="38">
        <f t="shared" si="163"/>
        <v>2</v>
      </c>
      <c r="AO190" s="38">
        <f t="shared" ca="1" si="151"/>
        <v>640</v>
      </c>
      <c r="AP190" s="68">
        <f t="shared" si="164"/>
        <v>770</v>
      </c>
      <c r="AQ190" s="38">
        <f t="shared" si="152"/>
        <v>21</v>
      </c>
      <c r="AR190" s="38">
        <f t="shared" si="153"/>
        <v>15</v>
      </c>
      <c r="AS190" s="38">
        <f t="shared" si="154"/>
        <v>6</v>
      </c>
      <c r="AT190" s="38">
        <f t="shared" ca="1" si="155"/>
        <v>1580</v>
      </c>
      <c r="AU190" s="68">
        <f t="shared" si="156"/>
        <v>1710</v>
      </c>
    </row>
    <row r="191" spans="1:47" x14ac:dyDescent="0.25">
      <c r="A191" s="86" t="s">
        <v>253</v>
      </c>
      <c r="B191" s="14">
        <v>189</v>
      </c>
      <c r="C191" s="14">
        <f>关卡产出!C196</f>
        <v>150</v>
      </c>
      <c r="D191" s="14">
        <f>关卡产出!D196</f>
        <v>75</v>
      </c>
      <c r="E191" s="14">
        <f>关卡产出!E196</f>
        <v>37</v>
      </c>
      <c r="F191" s="14">
        <f>关卡产出!F196</f>
        <v>1950</v>
      </c>
      <c r="G191" s="38">
        <f t="shared" si="141"/>
        <v>75</v>
      </c>
      <c r="H191" s="38">
        <f t="shared" si="142"/>
        <v>38</v>
      </c>
      <c r="I191" s="38">
        <f t="shared" si="143"/>
        <v>19</v>
      </c>
      <c r="J191" s="38">
        <f t="shared" si="144"/>
        <v>2438</v>
      </c>
      <c r="K191" s="38">
        <f t="shared" ca="1" si="145"/>
        <v>1580</v>
      </c>
      <c r="R191" s="113" t="s">
        <v>253</v>
      </c>
      <c r="S191" s="14">
        <v>189</v>
      </c>
      <c r="T191" s="14">
        <f>关卡对比!AE195</f>
        <v>108</v>
      </c>
      <c r="U191" s="109">
        <f>关卡对比!AF195</f>
        <v>81</v>
      </c>
      <c r="V191" s="70">
        <f t="shared" si="134"/>
        <v>10</v>
      </c>
      <c r="W191" s="38">
        <f t="shared" si="135"/>
        <v>20</v>
      </c>
      <c r="X191" s="68">
        <f t="shared" si="136"/>
        <v>30</v>
      </c>
      <c r="Y191" s="70">
        <f t="shared" si="146"/>
        <v>19.399999999999999</v>
      </c>
      <c r="Z191" s="38">
        <f t="shared" si="147"/>
        <v>11.3</v>
      </c>
      <c r="AA191" s="68">
        <f t="shared" si="148"/>
        <v>8.6</v>
      </c>
      <c r="AB191" s="70">
        <f t="shared" si="138"/>
        <v>7</v>
      </c>
      <c r="AC191" s="38">
        <f t="shared" si="139"/>
        <v>5</v>
      </c>
      <c r="AD191" s="38">
        <f t="shared" si="140"/>
        <v>2</v>
      </c>
      <c r="AE191" s="38">
        <f t="shared" ca="1" si="149"/>
        <v>370</v>
      </c>
      <c r="AF191" s="68">
        <f t="shared" si="137"/>
        <v>370</v>
      </c>
      <c r="AG191" s="70">
        <f t="shared" si="157"/>
        <v>7</v>
      </c>
      <c r="AH191" s="38">
        <f t="shared" si="158"/>
        <v>5</v>
      </c>
      <c r="AI191" s="38">
        <f t="shared" si="159"/>
        <v>2</v>
      </c>
      <c r="AJ191" s="38">
        <f t="shared" ca="1" si="150"/>
        <v>570</v>
      </c>
      <c r="AK191" s="68">
        <f t="shared" si="160"/>
        <v>570</v>
      </c>
      <c r="AL191" s="38">
        <f t="shared" si="161"/>
        <v>7</v>
      </c>
      <c r="AM191" s="38">
        <f t="shared" si="162"/>
        <v>5</v>
      </c>
      <c r="AN191" s="38">
        <f t="shared" si="163"/>
        <v>2</v>
      </c>
      <c r="AO191" s="38">
        <f t="shared" ca="1" si="151"/>
        <v>640</v>
      </c>
      <c r="AP191" s="68">
        <f t="shared" si="164"/>
        <v>770</v>
      </c>
      <c r="AQ191" s="38">
        <f t="shared" si="152"/>
        <v>21</v>
      </c>
      <c r="AR191" s="38">
        <f t="shared" si="153"/>
        <v>15</v>
      </c>
      <c r="AS191" s="38">
        <f t="shared" si="154"/>
        <v>6</v>
      </c>
      <c r="AT191" s="38">
        <f t="shared" ca="1" si="155"/>
        <v>1580</v>
      </c>
      <c r="AU191" s="68">
        <f t="shared" si="156"/>
        <v>1710</v>
      </c>
    </row>
    <row r="192" spans="1:47" x14ac:dyDescent="0.25">
      <c r="A192" s="86" t="s">
        <v>253</v>
      </c>
      <c r="B192" s="14">
        <v>190</v>
      </c>
      <c r="C192" s="14">
        <f>关卡产出!C197</f>
        <v>150</v>
      </c>
      <c r="D192" s="14">
        <f>关卡产出!D197</f>
        <v>75</v>
      </c>
      <c r="E192" s="14">
        <f>关卡产出!E197</f>
        <v>37</v>
      </c>
      <c r="F192" s="14">
        <f>关卡产出!F197</f>
        <v>1950</v>
      </c>
      <c r="G192" s="38">
        <f t="shared" si="141"/>
        <v>75</v>
      </c>
      <c r="H192" s="38">
        <f t="shared" si="142"/>
        <v>38</v>
      </c>
      <c r="I192" s="38">
        <f t="shared" si="143"/>
        <v>19</v>
      </c>
      <c r="J192" s="38">
        <f t="shared" si="144"/>
        <v>2438</v>
      </c>
      <c r="K192" s="38">
        <f t="shared" ca="1" si="145"/>
        <v>1580</v>
      </c>
      <c r="R192" s="113" t="s">
        <v>253</v>
      </c>
      <c r="S192" s="14">
        <v>190</v>
      </c>
      <c r="T192" s="14">
        <f>关卡对比!AE196</f>
        <v>108</v>
      </c>
      <c r="U192" s="109">
        <f>关卡对比!AF196</f>
        <v>81</v>
      </c>
      <c r="V192" s="70">
        <f t="shared" si="134"/>
        <v>10</v>
      </c>
      <c r="W192" s="38">
        <f t="shared" si="135"/>
        <v>20</v>
      </c>
      <c r="X192" s="68">
        <f t="shared" si="136"/>
        <v>30</v>
      </c>
      <c r="Y192" s="70">
        <f t="shared" si="146"/>
        <v>19.5</v>
      </c>
      <c r="Z192" s="38">
        <f t="shared" si="147"/>
        <v>11.3</v>
      </c>
      <c r="AA192" s="68">
        <f t="shared" si="148"/>
        <v>8.6</v>
      </c>
      <c r="AB192" s="70">
        <f t="shared" si="138"/>
        <v>7</v>
      </c>
      <c r="AC192" s="38">
        <f t="shared" si="139"/>
        <v>5</v>
      </c>
      <c r="AD192" s="38">
        <f t="shared" si="140"/>
        <v>2</v>
      </c>
      <c r="AE192" s="38">
        <f t="shared" ca="1" si="149"/>
        <v>370</v>
      </c>
      <c r="AF192" s="68">
        <f t="shared" si="137"/>
        <v>370</v>
      </c>
      <c r="AG192" s="70">
        <f t="shared" si="157"/>
        <v>7</v>
      </c>
      <c r="AH192" s="38">
        <f t="shared" si="158"/>
        <v>5</v>
      </c>
      <c r="AI192" s="38">
        <f t="shared" si="159"/>
        <v>2</v>
      </c>
      <c r="AJ192" s="38">
        <f t="shared" ca="1" si="150"/>
        <v>570</v>
      </c>
      <c r="AK192" s="68">
        <f t="shared" si="160"/>
        <v>570</v>
      </c>
      <c r="AL192" s="38">
        <f t="shared" si="161"/>
        <v>7</v>
      </c>
      <c r="AM192" s="38">
        <f t="shared" si="162"/>
        <v>5</v>
      </c>
      <c r="AN192" s="38">
        <f t="shared" si="163"/>
        <v>2</v>
      </c>
      <c r="AO192" s="38">
        <f t="shared" ca="1" si="151"/>
        <v>640</v>
      </c>
      <c r="AP192" s="68">
        <f t="shared" si="164"/>
        <v>770</v>
      </c>
      <c r="AQ192" s="38">
        <f t="shared" si="152"/>
        <v>21</v>
      </c>
      <c r="AR192" s="38">
        <f t="shared" si="153"/>
        <v>15</v>
      </c>
      <c r="AS192" s="38">
        <f t="shared" si="154"/>
        <v>6</v>
      </c>
      <c r="AT192" s="38">
        <f t="shared" ca="1" si="155"/>
        <v>1580</v>
      </c>
      <c r="AU192" s="68">
        <f t="shared" si="156"/>
        <v>1710</v>
      </c>
    </row>
    <row r="193" spans="1:47" x14ac:dyDescent="0.25">
      <c r="A193" s="86" t="s">
        <v>253</v>
      </c>
      <c r="B193" s="14">
        <v>191</v>
      </c>
      <c r="C193" s="14">
        <f>关卡产出!C198</f>
        <v>151</v>
      </c>
      <c r="D193" s="14">
        <f>关卡产出!D198</f>
        <v>75</v>
      </c>
      <c r="E193" s="14">
        <f>关卡产出!E198</f>
        <v>37</v>
      </c>
      <c r="F193" s="14">
        <f>关卡产出!F198</f>
        <v>1970</v>
      </c>
      <c r="G193" s="38">
        <f t="shared" si="141"/>
        <v>76</v>
      </c>
      <c r="H193" s="38">
        <f t="shared" si="142"/>
        <v>38</v>
      </c>
      <c r="I193" s="38">
        <f t="shared" si="143"/>
        <v>19</v>
      </c>
      <c r="J193" s="38">
        <f t="shared" si="144"/>
        <v>2463</v>
      </c>
      <c r="K193" s="38">
        <f t="shared" ca="1" si="145"/>
        <v>1580</v>
      </c>
      <c r="R193" s="113" t="s">
        <v>253</v>
      </c>
      <c r="S193" s="14">
        <v>191</v>
      </c>
      <c r="T193" s="14">
        <f>关卡对比!AE197</f>
        <v>109</v>
      </c>
      <c r="U193" s="109">
        <f>关卡对比!AF197</f>
        <v>82</v>
      </c>
      <c r="V193" s="70">
        <f t="shared" si="134"/>
        <v>10</v>
      </c>
      <c r="W193" s="38">
        <f t="shared" si="135"/>
        <v>20</v>
      </c>
      <c r="X193" s="68">
        <f t="shared" si="136"/>
        <v>30</v>
      </c>
      <c r="Y193" s="70">
        <f t="shared" si="146"/>
        <v>19.600000000000001</v>
      </c>
      <c r="Z193" s="38">
        <f t="shared" si="147"/>
        <v>11.4</v>
      </c>
      <c r="AA193" s="68">
        <f t="shared" si="148"/>
        <v>8.6999999999999993</v>
      </c>
      <c r="AB193" s="70">
        <f t="shared" si="138"/>
        <v>7</v>
      </c>
      <c r="AC193" s="38">
        <f t="shared" si="139"/>
        <v>5</v>
      </c>
      <c r="AD193" s="38">
        <f t="shared" si="140"/>
        <v>2</v>
      </c>
      <c r="AE193" s="38">
        <f t="shared" ca="1" si="149"/>
        <v>370</v>
      </c>
      <c r="AF193" s="68">
        <f t="shared" si="137"/>
        <v>370</v>
      </c>
      <c r="AG193" s="70">
        <f t="shared" si="157"/>
        <v>7</v>
      </c>
      <c r="AH193" s="38">
        <f t="shared" si="158"/>
        <v>5</v>
      </c>
      <c r="AI193" s="38">
        <f t="shared" si="159"/>
        <v>2</v>
      </c>
      <c r="AJ193" s="38">
        <f t="shared" ca="1" si="150"/>
        <v>570</v>
      </c>
      <c r="AK193" s="68">
        <f t="shared" si="160"/>
        <v>570</v>
      </c>
      <c r="AL193" s="38">
        <f t="shared" si="161"/>
        <v>7</v>
      </c>
      <c r="AM193" s="38">
        <f t="shared" si="162"/>
        <v>5</v>
      </c>
      <c r="AN193" s="38">
        <f t="shared" si="163"/>
        <v>2</v>
      </c>
      <c r="AO193" s="38">
        <f t="shared" ca="1" si="151"/>
        <v>640</v>
      </c>
      <c r="AP193" s="68">
        <f t="shared" si="164"/>
        <v>770</v>
      </c>
      <c r="AQ193" s="38">
        <f t="shared" si="152"/>
        <v>21</v>
      </c>
      <c r="AR193" s="38">
        <f t="shared" si="153"/>
        <v>15</v>
      </c>
      <c r="AS193" s="38">
        <f t="shared" si="154"/>
        <v>6</v>
      </c>
      <c r="AT193" s="38">
        <f t="shared" ca="1" si="155"/>
        <v>1580</v>
      </c>
      <c r="AU193" s="68">
        <f t="shared" si="156"/>
        <v>1710</v>
      </c>
    </row>
    <row r="194" spans="1:47" x14ac:dyDescent="0.25">
      <c r="A194" s="86" t="s">
        <v>253</v>
      </c>
      <c r="B194" s="14">
        <v>192</v>
      </c>
      <c r="C194" s="14">
        <f>关卡产出!C199</f>
        <v>152</v>
      </c>
      <c r="D194" s="14">
        <f>关卡产出!D199</f>
        <v>76</v>
      </c>
      <c r="E194" s="14">
        <f>关卡产出!E199</f>
        <v>37</v>
      </c>
      <c r="F194" s="14">
        <f>关卡产出!F199</f>
        <v>1970</v>
      </c>
      <c r="G194" s="38">
        <f t="shared" si="141"/>
        <v>76</v>
      </c>
      <c r="H194" s="38">
        <f t="shared" si="142"/>
        <v>38</v>
      </c>
      <c r="I194" s="38">
        <f t="shared" si="143"/>
        <v>19</v>
      </c>
      <c r="J194" s="38">
        <f t="shared" si="144"/>
        <v>2463</v>
      </c>
      <c r="K194" s="38">
        <f t="shared" ca="1" si="145"/>
        <v>1580</v>
      </c>
      <c r="R194" s="113" t="s">
        <v>253</v>
      </c>
      <c r="S194" s="14">
        <v>192</v>
      </c>
      <c r="T194" s="14">
        <f>关卡对比!AE198</f>
        <v>109</v>
      </c>
      <c r="U194" s="109">
        <f>关卡对比!AF198</f>
        <v>82</v>
      </c>
      <c r="V194" s="70">
        <f t="shared" si="134"/>
        <v>10</v>
      </c>
      <c r="W194" s="38">
        <f t="shared" si="135"/>
        <v>20</v>
      </c>
      <c r="X194" s="68">
        <f t="shared" si="136"/>
        <v>30</v>
      </c>
      <c r="Y194" s="70">
        <f t="shared" si="146"/>
        <v>19.7</v>
      </c>
      <c r="Z194" s="38">
        <f t="shared" si="147"/>
        <v>11.4</v>
      </c>
      <c r="AA194" s="68">
        <f t="shared" si="148"/>
        <v>8.6999999999999993</v>
      </c>
      <c r="AB194" s="70">
        <f t="shared" si="138"/>
        <v>7</v>
      </c>
      <c r="AC194" s="38">
        <f t="shared" si="139"/>
        <v>5</v>
      </c>
      <c r="AD194" s="38">
        <f t="shared" si="140"/>
        <v>2</v>
      </c>
      <c r="AE194" s="38">
        <f t="shared" ca="1" si="149"/>
        <v>370</v>
      </c>
      <c r="AF194" s="68">
        <f t="shared" si="137"/>
        <v>370</v>
      </c>
      <c r="AG194" s="70">
        <f t="shared" si="157"/>
        <v>7</v>
      </c>
      <c r="AH194" s="38">
        <f t="shared" si="158"/>
        <v>5</v>
      </c>
      <c r="AI194" s="38">
        <f t="shared" si="159"/>
        <v>2</v>
      </c>
      <c r="AJ194" s="38">
        <f t="shared" ca="1" si="150"/>
        <v>570</v>
      </c>
      <c r="AK194" s="68">
        <f t="shared" si="160"/>
        <v>570</v>
      </c>
      <c r="AL194" s="38">
        <f t="shared" si="161"/>
        <v>7</v>
      </c>
      <c r="AM194" s="38">
        <f t="shared" si="162"/>
        <v>5</v>
      </c>
      <c r="AN194" s="38">
        <f t="shared" si="163"/>
        <v>2</v>
      </c>
      <c r="AO194" s="38">
        <f t="shared" ca="1" si="151"/>
        <v>640</v>
      </c>
      <c r="AP194" s="68">
        <f t="shared" si="164"/>
        <v>770</v>
      </c>
      <c r="AQ194" s="38">
        <f t="shared" si="152"/>
        <v>21</v>
      </c>
      <c r="AR194" s="38">
        <f t="shared" si="153"/>
        <v>15</v>
      </c>
      <c r="AS194" s="38">
        <f t="shared" si="154"/>
        <v>6</v>
      </c>
      <c r="AT194" s="38">
        <f t="shared" ca="1" si="155"/>
        <v>1580</v>
      </c>
      <c r="AU194" s="68">
        <f t="shared" si="156"/>
        <v>1710</v>
      </c>
    </row>
    <row r="195" spans="1:47" x14ac:dyDescent="0.25">
      <c r="A195" s="86" t="s">
        <v>253</v>
      </c>
      <c r="B195" s="14">
        <v>193</v>
      </c>
      <c r="C195" s="14">
        <f>关卡产出!C200</f>
        <v>153</v>
      </c>
      <c r="D195" s="14">
        <f>关卡产出!D200</f>
        <v>76</v>
      </c>
      <c r="E195" s="14">
        <f>关卡产出!E200</f>
        <v>38</v>
      </c>
      <c r="F195" s="14">
        <f>关卡产出!F200</f>
        <v>1990</v>
      </c>
      <c r="G195" s="38">
        <f t="shared" si="141"/>
        <v>77</v>
      </c>
      <c r="H195" s="38">
        <f t="shared" si="142"/>
        <v>38</v>
      </c>
      <c r="I195" s="38">
        <f t="shared" si="143"/>
        <v>19</v>
      </c>
      <c r="J195" s="38">
        <f t="shared" si="144"/>
        <v>2488</v>
      </c>
      <c r="K195" s="38">
        <f t="shared" ca="1" si="145"/>
        <v>1580</v>
      </c>
      <c r="R195" s="113" t="s">
        <v>253</v>
      </c>
      <c r="S195" s="14">
        <v>193</v>
      </c>
      <c r="T195" s="14">
        <f>关卡对比!AE199</f>
        <v>110</v>
      </c>
      <c r="U195" s="109">
        <f>关卡对比!AF199</f>
        <v>82</v>
      </c>
      <c r="V195" s="70">
        <f t="shared" ref="V195:V202" si="165">_xlfn.IFNA(INDEX($M:$M,MATCH($S195,N:N,1)),0)</f>
        <v>10</v>
      </c>
      <c r="W195" s="38">
        <f t="shared" ref="W195:W202" si="166">_xlfn.IFNA(INDEX($M:$M,MATCH($T195,O:O,1)),0)</f>
        <v>20</v>
      </c>
      <c r="X195" s="68">
        <f t="shared" ref="X195:X202" si="167">_xlfn.IFNA(INDEX($M:$M,MATCH($U195,P:P,1)),0)</f>
        <v>30</v>
      </c>
      <c r="Y195" s="70">
        <f t="shared" si="146"/>
        <v>19.8</v>
      </c>
      <c r="Z195" s="38">
        <f t="shared" si="147"/>
        <v>11.5</v>
      </c>
      <c r="AA195" s="68">
        <f t="shared" si="148"/>
        <v>8.6999999999999993</v>
      </c>
      <c r="AB195" s="70">
        <f t="shared" si="138"/>
        <v>7</v>
      </c>
      <c r="AC195" s="38">
        <f t="shared" si="139"/>
        <v>5</v>
      </c>
      <c r="AD195" s="38">
        <f t="shared" si="140"/>
        <v>2</v>
      </c>
      <c r="AE195" s="38">
        <f t="shared" ca="1" si="149"/>
        <v>370</v>
      </c>
      <c r="AF195" s="68">
        <f t="shared" ref="AF195:AF202" si="168">$BA$3+SUMIFS($BQ:$BQ,$BC:$BC,"&lt;="&amp;V195)</f>
        <v>370</v>
      </c>
      <c r="AG195" s="70">
        <f t="shared" si="157"/>
        <v>7</v>
      </c>
      <c r="AH195" s="38">
        <f t="shared" si="158"/>
        <v>5</v>
      </c>
      <c r="AI195" s="38">
        <f t="shared" si="159"/>
        <v>2</v>
      </c>
      <c r="AJ195" s="38">
        <f t="shared" ca="1" si="150"/>
        <v>570</v>
      </c>
      <c r="AK195" s="68">
        <f t="shared" si="160"/>
        <v>570</v>
      </c>
      <c r="AL195" s="38">
        <f t="shared" si="161"/>
        <v>7</v>
      </c>
      <c r="AM195" s="38">
        <f t="shared" si="162"/>
        <v>5</v>
      </c>
      <c r="AN195" s="38">
        <f t="shared" si="163"/>
        <v>2</v>
      </c>
      <c r="AO195" s="38">
        <f t="shared" ca="1" si="151"/>
        <v>640</v>
      </c>
      <c r="AP195" s="68">
        <f t="shared" si="164"/>
        <v>770</v>
      </c>
      <c r="AQ195" s="38">
        <f t="shared" si="152"/>
        <v>21</v>
      </c>
      <c r="AR195" s="38">
        <f t="shared" si="153"/>
        <v>15</v>
      </c>
      <c r="AS195" s="38">
        <f t="shared" si="154"/>
        <v>6</v>
      </c>
      <c r="AT195" s="38">
        <f t="shared" ca="1" si="155"/>
        <v>1580</v>
      </c>
      <c r="AU195" s="68">
        <f t="shared" si="156"/>
        <v>1710</v>
      </c>
    </row>
    <row r="196" spans="1:47" x14ac:dyDescent="0.25">
      <c r="A196" s="86" t="s">
        <v>253</v>
      </c>
      <c r="B196" s="14">
        <v>194</v>
      </c>
      <c r="C196" s="14">
        <f>关卡产出!C201</f>
        <v>154</v>
      </c>
      <c r="D196" s="14">
        <f>关卡产出!D201</f>
        <v>77</v>
      </c>
      <c r="E196" s="14">
        <f>关卡产出!E201</f>
        <v>38</v>
      </c>
      <c r="F196" s="14">
        <f>关卡产出!F201</f>
        <v>1990</v>
      </c>
      <c r="G196" s="38">
        <f t="shared" si="141"/>
        <v>77</v>
      </c>
      <c r="H196" s="38">
        <f t="shared" si="142"/>
        <v>39</v>
      </c>
      <c r="I196" s="38">
        <f t="shared" si="143"/>
        <v>19</v>
      </c>
      <c r="J196" s="38">
        <f t="shared" si="144"/>
        <v>2488</v>
      </c>
      <c r="K196" s="38">
        <f t="shared" ca="1" si="145"/>
        <v>1580</v>
      </c>
      <c r="R196" s="113" t="s">
        <v>253</v>
      </c>
      <c r="S196" s="14">
        <v>194</v>
      </c>
      <c r="T196" s="14">
        <f>关卡对比!AE200</f>
        <v>110</v>
      </c>
      <c r="U196" s="109">
        <f>关卡对比!AF200</f>
        <v>83</v>
      </c>
      <c r="V196" s="70">
        <f t="shared" si="165"/>
        <v>10</v>
      </c>
      <c r="W196" s="38">
        <f t="shared" si="166"/>
        <v>20</v>
      </c>
      <c r="X196" s="68">
        <f t="shared" si="167"/>
        <v>30</v>
      </c>
      <c r="Y196" s="70">
        <f t="shared" si="146"/>
        <v>19.899999999999999</v>
      </c>
      <c r="Z196" s="38">
        <f t="shared" si="147"/>
        <v>11.5</v>
      </c>
      <c r="AA196" s="68">
        <f t="shared" si="148"/>
        <v>8.8000000000000007</v>
      </c>
      <c r="AB196" s="70">
        <f t="shared" ref="AB196:AB202" si="169">AX$3+SUMIFS(BE:BE,$BC:$BC,"&lt;="&amp;V196)</f>
        <v>7</v>
      </c>
      <c r="AC196" s="38">
        <f t="shared" ref="AC196:AC202" si="170">AY$3+SUMIFS(BF:BF,$BC:$BC,"&lt;="&amp;$V196)</f>
        <v>5</v>
      </c>
      <c r="AD196" s="38">
        <f t="shared" ref="AD196:AD202" si="171">AZ$3+SUMIFS(BG:BG,$BC:$BC,"&lt;="&amp;$V196)</f>
        <v>2</v>
      </c>
      <c r="AE196" s="38">
        <f t="shared" ca="1" si="149"/>
        <v>370</v>
      </c>
      <c r="AF196" s="68">
        <f t="shared" si="168"/>
        <v>370</v>
      </c>
      <c r="AG196" s="70">
        <f t="shared" si="157"/>
        <v>7</v>
      </c>
      <c r="AH196" s="38">
        <f t="shared" si="158"/>
        <v>5</v>
      </c>
      <c r="AI196" s="38">
        <f t="shared" si="159"/>
        <v>2</v>
      </c>
      <c r="AJ196" s="38">
        <f t="shared" ca="1" si="150"/>
        <v>570</v>
      </c>
      <c r="AK196" s="68">
        <f t="shared" si="160"/>
        <v>570</v>
      </c>
      <c r="AL196" s="38">
        <f t="shared" si="161"/>
        <v>7</v>
      </c>
      <c r="AM196" s="38">
        <f t="shared" si="162"/>
        <v>5</v>
      </c>
      <c r="AN196" s="38">
        <f t="shared" si="163"/>
        <v>2</v>
      </c>
      <c r="AO196" s="38">
        <f t="shared" ca="1" si="151"/>
        <v>640</v>
      </c>
      <c r="AP196" s="68">
        <f t="shared" si="164"/>
        <v>770</v>
      </c>
      <c r="AQ196" s="38">
        <f t="shared" si="152"/>
        <v>21</v>
      </c>
      <c r="AR196" s="38">
        <f t="shared" si="153"/>
        <v>15</v>
      </c>
      <c r="AS196" s="38">
        <f t="shared" si="154"/>
        <v>6</v>
      </c>
      <c r="AT196" s="38">
        <f t="shared" ca="1" si="155"/>
        <v>1580</v>
      </c>
      <c r="AU196" s="68">
        <f t="shared" si="156"/>
        <v>1710</v>
      </c>
    </row>
    <row r="197" spans="1:47" x14ac:dyDescent="0.25">
      <c r="A197" s="86" t="s">
        <v>253</v>
      </c>
      <c r="B197" s="14">
        <v>195</v>
      </c>
      <c r="C197" s="14">
        <f>关卡产出!C202</f>
        <v>154</v>
      </c>
      <c r="D197" s="14">
        <f>关卡产出!D202</f>
        <v>77</v>
      </c>
      <c r="E197" s="14">
        <f>关卡产出!E202</f>
        <v>38</v>
      </c>
      <c r="F197" s="14">
        <f>关卡产出!F202</f>
        <v>2010</v>
      </c>
      <c r="G197" s="38">
        <f t="shared" si="141"/>
        <v>77</v>
      </c>
      <c r="H197" s="38">
        <f t="shared" si="142"/>
        <v>39</v>
      </c>
      <c r="I197" s="38">
        <f t="shared" si="143"/>
        <v>19</v>
      </c>
      <c r="J197" s="38">
        <f t="shared" si="144"/>
        <v>2513</v>
      </c>
      <c r="K197" s="38">
        <f t="shared" ca="1" si="145"/>
        <v>1580</v>
      </c>
      <c r="R197" s="113" t="s">
        <v>253</v>
      </c>
      <c r="S197" s="14">
        <v>195</v>
      </c>
      <c r="T197" s="14">
        <f>关卡对比!AE201</f>
        <v>111</v>
      </c>
      <c r="U197" s="109">
        <f>关卡对比!AF201</f>
        <v>83</v>
      </c>
      <c r="V197" s="70">
        <f t="shared" si="165"/>
        <v>10</v>
      </c>
      <c r="W197" s="38">
        <f t="shared" si="166"/>
        <v>20</v>
      </c>
      <c r="X197" s="68">
        <f t="shared" si="167"/>
        <v>30</v>
      </c>
      <c r="Y197" s="70">
        <f t="shared" si="146"/>
        <v>20</v>
      </c>
      <c r="Z197" s="38">
        <f t="shared" si="147"/>
        <v>11.6</v>
      </c>
      <c r="AA197" s="68">
        <f t="shared" si="148"/>
        <v>8.8000000000000007</v>
      </c>
      <c r="AB197" s="70">
        <f t="shared" si="169"/>
        <v>7</v>
      </c>
      <c r="AC197" s="38">
        <f t="shared" si="170"/>
        <v>5</v>
      </c>
      <c r="AD197" s="38">
        <f t="shared" si="171"/>
        <v>2</v>
      </c>
      <c r="AE197" s="38">
        <f t="shared" ca="1" si="149"/>
        <v>370</v>
      </c>
      <c r="AF197" s="68">
        <f t="shared" si="168"/>
        <v>370</v>
      </c>
      <c r="AG197" s="70">
        <f t="shared" si="157"/>
        <v>7</v>
      </c>
      <c r="AH197" s="38">
        <f t="shared" si="158"/>
        <v>5</v>
      </c>
      <c r="AI197" s="38">
        <f t="shared" si="159"/>
        <v>2</v>
      </c>
      <c r="AJ197" s="38">
        <f t="shared" ca="1" si="150"/>
        <v>570</v>
      </c>
      <c r="AK197" s="68">
        <f t="shared" si="160"/>
        <v>570</v>
      </c>
      <c r="AL197" s="38">
        <f t="shared" si="161"/>
        <v>7</v>
      </c>
      <c r="AM197" s="38">
        <f t="shared" si="162"/>
        <v>5</v>
      </c>
      <c r="AN197" s="38">
        <f t="shared" si="163"/>
        <v>2</v>
      </c>
      <c r="AO197" s="38">
        <f t="shared" ca="1" si="151"/>
        <v>640</v>
      </c>
      <c r="AP197" s="68">
        <f t="shared" si="164"/>
        <v>770</v>
      </c>
      <c r="AQ197" s="38">
        <f t="shared" si="152"/>
        <v>21</v>
      </c>
      <c r="AR197" s="38">
        <f t="shared" si="153"/>
        <v>15</v>
      </c>
      <c r="AS197" s="38">
        <f t="shared" si="154"/>
        <v>6</v>
      </c>
      <c r="AT197" s="38">
        <f t="shared" ca="1" si="155"/>
        <v>1580</v>
      </c>
      <c r="AU197" s="68">
        <f t="shared" si="156"/>
        <v>1710</v>
      </c>
    </row>
    <row r="198" spans="1:47" x14ac:dyDescent="0.25">
      <c r="A198" s="86" t="s">
        <v>253</v>
      </c>
      <c r="B198" s="14">
        <v>196</v>
      </c>
      <c r="C198" s="14">
        <f>关卡产出!C203</f>
        <v>155</v>
      </c>
      <c r="D198" s="14">
        <f>关卡产出!D203</f>
        <v>77</v>
      </c>
      <c r="E198" s="14">
        <f>关卡产出!E203</f>
        <v>38</v>
      </c>
      <c r="F198" s="14">
        <f>关卡产出!F203</f>
        <v>2010</v>
      </c>
      <c r="G198" s="38">
        <f t="shared" si="141"/>
        <v>78</v>
      </c>
      <c r="H198" s="38">
        <f t="shared" si="142"/>
        <v>39</v>
      </c>
      <c r="I198" s="38">
        <f t="shared" si="143"/>
        <v>19</v>
      </c>
      <c r="J198" s="38">
        <f t="shared" si="144"/>
        <v>2513</v>
      </c>
      <c r="K198" s="38">
        <f t="shared" ca="1" si="145"/>
        <v>1580</v>
      </c>
      <c r="R198" s="113" t="s">
        <v>253</v>
      </c>
      <c r="S198" s="14">
        <v>196</v>
      </c>
      <c r="T198" s="14">
        <f>关卡对比!AE202</f>
        <v>111</v>
      </c>
      <c r="U198" s="109">
        <f>关卡对比!AF202</f>
        <v>83</v>
      </c>
      <c r="V198" s="70">
        <f t="shared" si="165"/>
        <v>10</v>
      </c>
      <c r="W198" s="38">
        <f t="shared" si="166"/>
        <v>20</v>
      </c>
      <c r="X198" s="68">
        <f t="shared" si="167"/>
        <v>30</v>
      </c>
      <c r="Y198" s="70">
        <f t="shared" si="146"/>
        <v>20.100000000000001</v>
      </c>
      <c r="Z198" s="38">
        <f t="shared" si="147"/>
        <v>11.6</v>
      </c>
      <c r="AA198" s="68">
        <f t="shared" si="148"/>
        <v>8.8000000000000007</v>
      </c>
      <c r="AB198" s="70">
        <f t="shared" si="169"/>
        <v>7</v>
      </c>
      <c r="AC198" s="38">
        <f t="shared" si="170"/>
        <v>5</v>
      </c>
      <c r="AD198" s="38">
        <f t="shared" si="171"/>
        <v>2</v>
      </c>
      <c r="AE198" s="38">
        <f t="shared" ca="1" si="149"/>
        <v>370</v>
      </c>
      <c r="AF198" s="68">
        <f t="shared" si="168"/>
        <v>370</v>
      </c>
      <c r="AG198" s="70">
        <f t="shared" si="157"/>
        <v>7</v>
      </c>
      <c r="AH198" s="38">
        <f t="shared" si="158"/>
        <v>5</v>
      </c>
      <c r="AI198" s="38">
        <f t="shared" si="159"/>
        <v>2</v>
      </c>
      <c r="AJ198" s="38">
        <f t="shared" ca="1" si="150"/>
        <v>570</v>
      </c>
      <c r="AK198" s="68">
        <f t="shared" si="160"/>
        <v>570</v>
      </c>
      <c r="AL198" s="38">
        <f t="shared" si="161"/>
        <v>7</v>
      </c>
      <c r="AM198" s="38">
        <f t="shared" si="162"/>
        <v>5</v>
      </c>
      <c r="AN198" s="38">
        <f t="shared" si="163"/>
        <v>2</v>
      </c>
      <c r="AO198" s="38">
        <f t="shared" ca="1" si="151"/>
        <v>640</v>
      </c>
      <c r="AP198" s="68">
        <f t="shared" si="164"/>
        <v>770</v>
      </c>
      <c r="AQ198" s="38">
        <f t="shared" si="152"/>
        <v>21</v>
      </c>
      <c r="AR198" s="38">
        <f t="shared" si="153"/>
        <v>15</v>
      </c>
      <c r="AS198" s="38">
        <f t="shared" si="154"/>
        <v>6</v>
      </c>
      <c r="AT198" s="38">
        <f t="shared" ca="1" si="155"/>
        <v>1580</v>
      </c>
      <c r="AU198" s="68">
        <f t="shared" si="156"/>
        <v>1710</v>
      </c>
    </row>
    <row r="199" spans="1:47" x14ac:dyDescent="0.25">
      <c r="A199" s="86" t="s">
        <v>253</v>
      </c>
      <c r="B199" s="14">
        <v>197</v>
      </c>
      <c r="C199" s="14">
        <f>关卡产出!C204</f>
        <v>156</v>
      </c>
      <c r="D199" s="14">
        <f>关卡产出!D204</f>
        <v>78</v>
      </c>
      <c r="E199" s="14">
        <f>关卡产出!E204</f>
        <v>38</v>
      </c>
      <c r="F199" s="14">
        <f>关卡产出!F204</f>
        <v>2030</v>
      </c>
      <c r="G199" s="38">
        <f t="shared" si="141"/>
        <v>78</v>
      </c>
      <c r="H199" s="38">
        <f t="shared" si="142"/>
        <v>39</v>
      </c>
      <c r="I199" s="38">
        <f t="shared" si="143"/>
        <v>19</v>
      </c>
      <c r="J199" s="38">
        <f t="shared" si="144"/>
        <v>2538</v>
      </c>
      <c r="K199" s="38">
        <f t="shared" ca="1" si="145"/>
        <v>1580</v>
      </c>
      <c r="R199" s="113" t="s">
        <v>253</v>
      </c>
      <c r="S199" s="14">
        <v>197</v>
      </c>
      <c r="T199" s="14">
        <f>关卡对比!AE203</f>
        <v>112</v>
      </c>
      <c r="U199" s="109">
        <f>关卡对比!AF203</f>
        <v>84</v>
      </c>
      <c r="V199" s="70">
        <f t="shared" si="165"/>
        <v>10</v>
      </c>
      <c r="W199" s="38">
        <f t="shared" si="166"/>
        <v>20</v>
      </c>
      <c r="X199" s="68">
        <f t="shared" si="167"/>
        <v>30</v>
      </c>
      <c r="Y199" s="70">
        <f t="shared" si="146"/>
        <v>20.2</v>
      </c>
      <c r="Z199" s="38">
        <f t="shared" si="147"/>
        <v>11.7</v>
      </c>
      <c r="AA199" s="68">
        <f t="shared" si="148"/>
        <v>8.9</v>
      </c>
      <c r="AB199" s="70">
        <f t="shared" si="169"/>
        <v>7</v>
      </c>
      <c r="AC199" s="38">
        <f t="shared" si="170"/>
        <v>5</v>
      </c>
      <c r="AD199" s="38">
        <f t="shared" si="171"/>
        <v>2</v>
      </c>
      <c r="AE199" s="38">
        <f t="shared" ca="1" si="149"/>
        <v>370</v>
      </c>
      <c r="AF199" s="68">
        <f t="shared" si="168"/>
        <v>370</v>
      </c>
      <c r="AG199" s="70">
        <f t="shared" si="157"/>
        <v>7</v>
      </c>
      <c r="AH199" s="38">
        <f t="shared" si="158"/>
        <v>5</v>
      </c>
      <c r="AI199" s="38">
        <f t="shared" si="159"/>
        <v>2</v>
      </c>
      <c r="AJ199" s="38">
        <f t="shared" ca="1" si="150"/>
        <v>570</v>
      </c>
      <c r="AK199" s="68">
        <f t="shared" si="160"/>
        <v>570</v>
      </c>
      <c r="AL199" s="38">
        <f t="shared" si="161"/>
        <v>7</v>
      </c>
      <c r="AM199" s="38">
        <f t="shared" si="162"/>
        <v>5</v>
      </c>
      <c r="AN199" s="38">
        <f t="shared" si="163"/>
        <v>2</v>
      </c>
      <c r="AO199" s="38">
        <f t="shared" ca="1" si="151"/>
        <v>640</v>
      </c>
      <c r="AP199" s="68">
        <f t="shared" si="164"/>
        <v>770</v>
      </c>
      <c r="AQ199" s="38">
        <f t="shared" si="152"/>
        <v>21</v>
      </c>
      <c r="AR199" s="38">
        <f t="shared" si="153"/>
        <v>15</v>
      </c>
      <c r="AS199" s="38">
        <f t="shared" si="154"/>
        <v>6</v>
      </c>
      <c r="AT199" s="38">
        <f t="shared" ca="1" si="155"/>
        <v>1580</v>
      </c>
      <c r="AU199" s="68">
        <f t="shared" si="156"/>
        <v>1710</v>
      </c>
    </row>
    <row r="200" spans="1:47" x14ac:dyDescent="0.25">
      <c r="A200" s="86" t="s">
        <v>253</v>
      </c>
      <c r="B200" s="14">
        <v>198</v>
      </c>
      <c r="C200" s="14">
        <f>关卡产出!C205</f>
        <v>157</v>
      </c>
      <c r="D200" s="14">
        <f>关卡产出!D205</f>
        <v>78</v>
      </c>
      <c r="E200" s="14">
        <f>关卡产出!E205</f>
        <v>39</v>
      </c>
      <c r="F200" s="14">
        <f>关卡产出!F205</f>
        <v>2030</v>
      </c>
      <c r="G200" s="38">
        <f t="shared" si="141"/>
        <v>79</v>
      </c>
      <c r="H200" s="38">
        <f t="shared" si="142"/>
        <v>39</v>
      </c>
      <c r="I200" s="38">
        <f t="shared" si="143"/>
        <v>20</v>
      </c>
      <c r="J200" s="38">
        <f t="shared" si="144"/>
        <v>2538</v>
      </c>
      <c r="K200" s="38">
        <f t="shared" ca="1" si="145"/>
        <v>1580</v>
      </c>
      <c r="R200" s="113" t="s">
        <v>253</v>
      </c>
      <c r="S200" s="14">
        <v>198</v>
      </c>
      <c r="T200" s="14">
        <f>关卡对比!AE204</f>
        <v>112</v>
      </c>
      <c r="U200" s="109">
        <f>关卡对比!AF204</f>
        <v>84</v>
      </c>
      <c r="V200" s="70">
        <f t="shared" si="165"/>
        <v>10</v>
      </c>
      <c r="W200" s="38">
        <f t="shared" si="166"/>
        <v>20</v>
      </c>
      <c r="X200" s="68">
        <f t="shared" si="167"/>
        <v>30</v>
      </c>
      <c r="Y200" s="70">
        <f t="shared" si="146"/>
        <v>20.3</v>
      </c>
      <c r="Z200" s="38">
        <f t="shared" si="147"/>
        <v>11.7</v>
      </c>
      <c r="AA200" s="68">
        <f t="shared" si="148"/>
        <v>8.9</v>
      </c>
      <c r="AB200" s="70">
        <f t="shared" si="169"/>
        <v>7</v>
      </c>
      <c r="AC200" s="38">
        <f t="shared" si="170"/>
        <v>5</v>
      </c>
      <c r="AD200" s="38">
        <f t="shared" si="171"/>
        <v>2</v>
      </c>
      <c r="AE200" s="38">
        <f t="shared" ca="1" si="149"/>
        <v>370</v>
      </c>
      <c r="AF200" s="68">
        <f t="shared" si="168"/>
        <v>370</v>
      </c>
      <c r="AG200" s="70">
        <f t="shared" si="157"/>
        <v>7</v>
      </c>
      <c r="AH200" s="38">
        <f t="shared" si="158"/>
        <v>5</v>
      </c>
      <c r="AI200" s="38">
        <f t="shared" si="159"/>
        <v>2</v>
      </c>
      <c r="AJ200" s="38">
        <f t="shared" ca="1" si="150"/>
        <v>570</v>
      </c>
      <c r="AK200" s="68">
        <f t="shared" si="160"/>
        <v>570</v>
      </c>
      <c r="AL200" s="38">
        <f t="shared" si="161"/>
        <v>7</v>
      </c>
      <c r="AM200" s="38">
        <f t="shared" si="162"/>
        <v>5</v>
      </c>
      <c r="AN200" s="38">
        <f t="shared" si="163"/>
        <v>2</v>
      </c>
      <c r="AO200" s="38">
        <f t="shared" ca="1" si="151"/>
        <v>640</v>
      </c>
      <c r="AP200" s="68">
        <f t="shared" si="164"/>
        <v>770</v>
      </c>
      <c r="AQ200" s="38">
        <f t="shared" si="152"/>
        <v>21</v>
      </c>
      <c r="AR200" s="38">
        <f t="shared" si="153"/>
        <v>15</v>
      </c>
      <c r="AS200" s="38">
        <f t="shared" si="154"/>
        <v>6</v>
      </c>
      <c r="AT200" s="38">
        <f t="shared" ca="1" si="155"/>
        <v>1580</v>
      </c>
      <c r="AU200" s="68">
        <f t="shared" si="156"/>
        <v>1710</v>
      </c>
    </row>
    <row r="201" spans="1:47" x14ac:dyDescent="0.25">
      <c r="A201" s="86" t="s">
        <v>253</v>
      </c>
      <c r="B201" s="14">
        <v>199</v>
      </c>
      <c r="C201" s="14">
        <f>关卡产出!C206</f>
        <v>158</v>
      </c>
      <c r="D201" s="14">
        <f>关卡产出!D206</f>
        <v>79</v>
      </c>
      <c r="E201" s="14">
        <f>关卡产出!E206</f>
        <v>39</v>
      </c>
      <c r="F201" s="14">
        <f>关卡产出!F206</f>
        <v>2050</v>
      </c>
      <c r="G201" s="38">
        <f t="shared" si="141"/>
        <v>79</v>
      </c>
      <c r="H201" s="38">
        <f t="shared" si="142"/>
        <v>40</v>
      </c>
      <c r="I201" s="38">
        <f t="shared" si="143"/>
        <v>20</v>
      </c>
      <c r="J201" s="38">
        <f t="shared" si="144"/>
        <v>2563</v>
      </c>
      <c r="K201" s="38">
        <f t="shared" ca="1" si="145"/>
        <v>1580</v>
      </c>
      <c r="R201" s="113" t="s">
        <v>253</v>
      </c>
      <c r="S201" s="14">
        <v>199</v>
      </c>
      <c r="T201" s="14">
        <f>关卡对比!AE205</f>
        <v>113</v>
      </c>
      <c r="U201" s="109">
        <f>关卡对比!AF205</f>
        <v>84</v>
      </c>
      <c r="V201" s="70">
        <f t="shared" si="165"/>
        <v>10</v>
      </c>
      <c r="W201" s="38">
        <f t="shared" si="166"/>
        <v>20</v>
      </c>
      <c r="X201" s="68">
        <f t="shared" si="167"/>
        <v>30</v>
      </c>
      <c r="Y201" s="70">
        <f t="shared" si="146"/>
        <v>20.399999999999999</v>
      </c>
      <c r="Z201" s="38">
        <f t="shared" si="147"/>
        <v>11.8</v>
      </c>
      <c r="AA201" s="68">
        <f t="shared" si="148"/>
        <v>8.9</v>
      </c>
      <c r="AB201" s="70">
        <f t="shared" si="169"/>
        <v>7</v>
      </c>
      <c r="AC201" s="38">
        <f t="shared" si="170"/>
        <v>5</v>
      </c>
      <c r="AD201" s="38">
        <f t="shared" si="171"/>
        <v>2</v>
      </c>
      <c r="AE201" s="38">
        <f t="shared" ca="1" si="149"/>
        <v>370</v>
      </c>
      <c r="AF201" s="68">
        <f t="shared" si="168"/>
        <v>370</v>
      </c>
      <c r="AG201" s="70">
        <f t="shared" si="157"/>
        <v>7</v>
      </c>
      <c r="AH201" s="38">
        <f t="shared" si="158"/>
        <v>5</v>
      </c>
      <c r="AI201" s="38">
        <f t="shared" si="159"/>
        <v>2</v>
      </c>
      <c r="AJ201" s="38">
        <f t="shared" ca="1" si="150"/>
        <v>570</v>
      </c>
      <c r="AK201" s="68">
        <f t="shared" si="160"/>
        <v>570</v>
      </c>
      <c r="AL201" s="38">
        <f t="shared" si="161"/>
        <v>7</v>
      </c>
      <c r="AM201" s="38">
        <f t="shared" si="162"/>
        <v>5</v>
      </c>
      <c r="AN201" s="38">
        <f t="shared" si="163"/>
        <v>2</v>
      </c>
      <c r="AO201" s="38">
        <f t="shared" ca="1" si="151"/>
        <v>640</v>
      </c>
      <c r="AP201" s="68">
        <f t="shared" si="164"/>
        <v>770</v>
      </c>
      <c r="AQ201" s="38">
        <f t="shared" si="152"/>
        <v>21</v>
      </c>
      <c r="AR201" s="38">
        <f t="shared" si="153"/>
        <v>15</v>
      </c>
      <c r="AS201" s="38">
        <f t="shared" si="154"/>
        <v>6</v>
      </c>
      <c r="AT201" s="38">
        <f t="shared" ca="1" si="155"/>
        <v>1580</v>
      </c>
      <c r="AU201" s="68">
        <f t="shared" si="156"/>
        <v>1710</v>
      </c>
    </row>
    <row r="202" spans="1:47" x14ac:dyDescent="0.25">
      <c r="A202" s="86" t="s">
        <v>253</v>
      </c>
      <c r="B202" s="14">
        <v>200</v>
      </c>
      <c r="C202" s="14">
        <f>关卡产出!C207</f>
        <v>158</v>
      </c>
      <c r="D202" s="14">
        <f>关卡产出!D207</f>
        <v>79</v>
      </c>
      <c r="E202" s="14">
        <f>关卡产出!E207</f>
        <v>39</v>
      </c>
      <c r="F202" s="14">
        <f>关卡产出!F207</f>
        <v>2050</v>
      </c>
      <c r="G202" s="38">
        <f t="shared" si="141"/>
        <v>79</v>
      </c>
      <c r="H202" s="38">
        <f t="shared" si="142"/>
        <v>40</v>
      </c>
      <c r="I202" s="38">
        <f t="shared" si="143"/>
        <v>20</v>
      </c>
      <c r="J202" s="38">
        <f t="shared" si="144"/>
        <v>2563</v>
      </c>
      <c r="K202" s="38">
        <f t="shared" ca="1" si="145"/>
        <v>1645</v>
      </c>
      <c r="R202" s="113" t="s">
        <v>253</v>
      </c>
      <c r="S202" s="14">
        <v>200</v>
      </c>
      <c r="T202" s="14">
        <f>关卡对比!AE206</f>
        <v>113</v>
      </c>
      <c r="U202" s="109">
        <f>关卡对比!AF206</f>
        <v>85</v>
      </c>
      <c r="V202" s="70">
        <f t="shared" si="165"/>
        <v>10</v>
      </c>
      <c r="W202" s="38">
        <f t="shared" si="166"/>
        <v>20</v>
      </c>
      <c r="X202" s="68">
        <f t="shared" si="167"/>
        <v>30</v>
      </c>
      <c r="Y202" s="70">
        <f t="shared" si="146"/>
        <v>20.5</v>
      </c>
      <c r="Z202" s="38">
        <f t="shared" si="147"/>
        <v>11.8</v>
      </c>
      <c r="AA202" s="68">
        <f t="shared" si="148"/>
        <v>9</v>
      </c>
      <c r="AB202" s="70">
        <f t="shared" si="169"/>
        <v>7</v>
      </c>
      <c r="AC202" s="38">
        <f t="shared" si="170"/>
        <v>5</v>
      </c>
      <c r="AD202" s="38">
        <f t="shared" si="171"/>
        <v>2</v>
      </c>
      <c r="AE202" s="38">
        <f t="shared" ca="1" si="149"/>
        <v>370</v>
      </c>
      <c r="AF202" s="68">
        <f t="shared" si="168"/>
        <v>370</v>
      </c>
      <c r="AG202" s="70">
        <f t="shared" si="157"/>
        <v>7</v>
      </c>
      <c r="AH202" s="38">
        <f t="shared" si="158"/>
        <v>5</v>
      </c>
      <c r="AI202" s="38">
        <f t="shared" si="159"/>
        <v>2</v>
      </c>
      <c r="AJ202" s="38">
        <f t="shared" ca="1" si="150"/>
        <v>570</v>
      </c>
      <c r="AK202" s="68">
        <f t="shared" si="160"/>
        <v>570</v>
      </c>
      <c r="AL202" s="38">
        <f t="shared" si="161"/>
        <v>7</v>
      </c>
      <c r="AM202" s="38">
        <f t="shared" si="162"/>
        <v>5</v>
      </c>
      <c r="AN202" s="38">
        <f t="shared" si="163"/>
        <v>2</v>
      </c>
      <c r="AO202" s="38">
        <f t="shared" ca="1" si="151"/>
        <v>705</v>
      </c>
      <c r="AP202" s="68">
        <f t="shared" si="164"/>
        <v>770</v>
      </c>
      <c r="AQ202" s="38">
        <f t="shared" si="152"/>
        <v>21</v>
      </c>
      <c r="AR202" s="38">
        <f t="shared" si="153"/>
        <v>15</v>
      </c>
      <c r="AS202" s="38">
        <f t="shared" si="154"/>
        <v>6</v>
      </c>
      <c r="AT202" s="38">
        <f t="shared" ca="1" si="155"/>
        <v>1645</v>
      </c>
      <c r="AU202" s="68">
        <f t="shared" si="156"/>
        <v>1710</v>
      </c>
    </row>
  </sheetData>
  <phoneticPr fontId="1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tabColor rgb="FFFFC000"/>
  </sheetPr>
  <dimension ref="A1:O22"/>
  <sheetViews>
    <sheetView workbookViewId="0"/>
  </sheetViews>
  <sheetFormatPr defaultColWidth="9" defaultRowHeight="13.8" x14ac:dyDescent="0.25"/>
  <cols>
    <col min="1" max="1" width="12.33203125" bestFit="1" customWidth="1"/>
    <col min="2" max="2" width="12.44140625" bestFit="1" customWidth="1"/>
    <col min="4" max="4" width="12.44140625" bestFit="1" customWidth="1"/>
    <col min="5" max="5" width="11.88671875" customWidth="1"/>
    <col min="6" max="7" width="12.33203125" customWidth="1"/>
    <col min="9" max="9" width="12.33203125" customWidth="1"/>
    <col min="10" max="10" width="10.5546875" customWidth="1"/>
    <col min="12" max="12" width="16.21875" customWidth="1"/>
    <col min="13" max="15" width="8.6640625" style="37"/>
    <col min="19" max="19" width="11.88671875" customWidth="1"/>
  </cols>
  <sheetData>
    <row r="1" spans="1:15" ht="25.2" x14ac:dyDescent="0.45">
      <c r="A1" s="87" t="s">
        <v>197</v>
      </c>
      <c r="F1" s="44" t="s">
        <v>272</v>
      </c>
      <c r="L1" s="87" t="s">
        <v>273</v>
      </c>
    </row>
    <row r="2" spans="1:15" ht="16.2" x14ac:dyDescent="0.25">
      <c r="A2" s="24" t="s">
        <v>90</v>
      </c>
      <c r="B2" s="24" t="s">
        <v>91</v>
      </c>
      <c r="C2" s="24" t="s">
        <v>265</v>
      </c>
      <c r="D2" s="24" t="s">
        <v>266</v>
      </c>
      <c r="F2" s="24" t="s">
        <v>267</v>
      </c>
      <c r="G2" s="24" t="s">
        <v>269</v>
      </c>
      <c r="H2" s="24" t="s">
        <v>268</v>
      </c>
      <c r="I2" s="24" t="s">
        <v>270</v>
      </c>
      <c r="L2" s="9" t="s">
        <v>77</v>
      </c>
      <c r="M2" s="9" t="s">
        <v>85</v>
      </c>
      <c r="N2" s="24" t="s">
        <v>263</v>
      </c>
      <c r="O2"/>
    </row>
    <row r="3" spans="1:15" x14ac:dyDescent="0.25">
      <c r="A3" t="s">
        <v>55</v>
      </c>
      <c r="B3">
        <v>10</v>
      </c>
      <c r="C3">
        <v>50</v>
      </c>
      <c r="D3">
        <v>10</v>
      </c>
      <c r="F3">
        <v>5</v>
      </c>
      <c r="G3">
        <v>10</v>
      </c>
      <c r="H3" s="95">
        <f>G3/SUM($G$3:$G$6)</f>
        <v>0.2</v>
      </c>
      <c r="I3">
        <f>SUMPRODUCT(H3:H6,F3:F6)</f>
        <v>7.8</v>
      </c>
      <c r="L3" t="s">
        <v>53</v>
      </c>
      <c r="M3">
        <v>1</v>
      </c>
      <c r="N3">
        <v>3</v>
      </c>
      <c r="O3"/>
    </row>
    <row r="4" spans="1:15" x14ac:dyDescent="0.25">
      <c r="A4" t="s">
        <v>55</v>
      </c>
      <c r="B4">
        <v>20</v>
      </c>
      <c r="C4">
        <v>100</v>
      </c>
      <c r="D4">
        <v>20</v>
      </c>
      <c r="F4">
        <v>7</v>
      </c>
      <c r="G4">
        <v>15</v>
      </c>
      <c r="H4" s="95">
        <f>G4/SUM($G$3:$G$6)</f>
        <v>0.3</v>
      </c>
      <c r="L4" t="s">
        <v>54</v>
      </c>
      <c r="M4">
        <v>0.2</v>
      </c>
      <c r="N4">
        <v>1</v>
      </c>
      <c r="O4"/>
    </row>
    <row r="5" spans="1:15" x14ac:dyDescent="0.25">
      <c r="A5" t="s">
        <v>56</v>
      </c>
      <c r="B5">
        <v>3</v>
      </c>
      <c r="C5">
        <v>75</v>
      </c>
      <c r="D5">
        <v>15</v>
      </c>
      <c r="F5">
        <v>9</v>
      </c>
      <c r="G5">
        <v>15</v>
      </c>
      <c r="H5" s="95">
        <f>G5/SUM($G$3:$G$6)</f>
        <v>0.3</v>
      </c>
      <c r="L5" t="s">
        <v>58</v>
      </c>
      <c r="M5">
        <v>6</v>
      </c>
      <c r="N5">
        <v>2</v>
      </c>
      <c r="O5"/>
    </row>
    <row r="6" spans="1:15" x14ac:dyDescent="0.25">
      <c r="A6" t="s">
        <v>56</v>
      </c>
      <c r="B6">
        <v>5</v>
      </c>
      <c r="C6">
        <v>125</v>
      </c>
      <c r="D6">
        <v>25</v>
      </c>
      <c r="F6">
        <v>10</v>
      </c>
      <c r="G6">
        <v>10</v>
      </c>
      <c r="H6" s="95">
        <f>G6/SUM($G$3:$G$6)</f>
        <v>0.2</v>
      </c>
      <c r="L6" t="s">
        <v>55</v>
      </c>
      <c r="M6">
        <v>1</v>
      </c>
      <c r="N6">
        <v>104</v>
      </c>
      <c r="O6"/>
    </row>
    <row r="7" spans="1:15" x14ac:dyDescent="0.25">
      <c r="A7" t="s">
        <v>57</v>
      </c>
      <c r="B7">
        <v>1</v>
      </c>
      <c r="C7">
        <v>225</v>
      </c>
      <c r="D7">
        <v>45</v>
      </c>
      <c r="L7" t="s">
        <v>56</v>
      </c>
      <c r="M7">
        <v>5</v>
      </c>
      <c r="N7">
        <v>105</v>
      </c>
      <c r="O7"/>
    </row>
    <row r="8" spans="1:15" x14ac:dyDescent="0.25">
      <c r="L8" t="s">
        <v>57</v>
      </c>
      <c r="M8">
        <v>45</v>
      </c>
      <c r="N8">
        <v>106</v>
      </c>
      <c r="O8"/>
    </row>
    <row r="10" spans="1:15" ht="25.2" x14ac:dyDescent="0.45">
      <c r="A10" s="87" t="s">
        <v>275</v>
      </c>
      <c r="M10"/>
      <c r="N10"/>
      <c r="O10"/>
    </row>
    <row r="11" spans="1:15" ht="16.2" x14ac:dyDescent="0.25">
      <c r="A11" s="24" t="s">
        <v>86</v>
      </c>
      <c r="B11" s="24" t="s">
        <v>87</v>
      </c>
      <c r="C11" s="24" t="s">
        <v>271</v>
      </c>
      <c r="D11" s="24" t="s">
        <v>88</v>
      </c>
      <c r="E11" s="24" t="s">
        <v>89</v>
      </c>
    </row>
    <row r="12" spans="1:15" x14ac:dyDescent="0.25">
      <c r="A12" t="s">
        <v>53</v>
      </c>
      <c r="B12">
        <v>100</v>
      </c>
      <c r="C12">
        <v>5</v>
      </c>
      <c r="D12">
        <v>100</v>
      </c>
      <c r="E12">
        <v>500</v>
      </c>
      <c r="M12"/>
      <c r="N12"/>
      <c r="O12"/>
    </row>
    <row r="13" spans="1:15" x14ac:dyDescent="0.25">
      <c r="A13" t="s">
        <v>92</v>
      </c>
      <c r="B13">
        <v>1</v>
      </c>
      <c r="C13">
        <v>1</v>
      </c>
      <c r="D13">
        <v>30</v>
      </c>
      <c r="E13">
        <f>D13*C13</f>
        <v>30</v>
      </c>
      <c r="M13"/>
      <c r="N13"/>
      <c r="O13"/>
    </row>
    <row r="14" spans="1:15" x14ac:dyDescent="0.25">
      <c r="A14" t="s">
        <v>93</v>
      </c>
      <c r="B14">
        <v>1</v>
      </c>
      <c r="C14">
        <v>1</v>
      </c>
      <c r="D14">
        <v>200</v>
      </c>
      <c r="E14">
        <f>D14*C14</f>
        <v>200</v>
      </c>
      <c r="N14"/>
      <c r="O14"/>
    </row>
    <row r="15" spans="1:15" x14ac:dyDescent="0.25">
      <c r="A15" t="s">
        <v>54</v>
      </c>
      <c r="B15">
        <v>500</v>
      </c>
      <c r="C15">
        <v>5</v>
      </c>
      <c r="D15">
        <v>100</v>
      </c>
      <c r="E15">
        <f>D15*C15</f>
        <v>500</v>
      </c>
      <c r="M15"/>
      <c r="N15"/>
      <c r="O15"/>
    </row>
    <row r="16" spans="1:15" x14ac:dyDescent="0.25">
      <c r="A16" t="s">
        <v>58</v>
      </c>
      <c r="B16">
        <v>15</v>
      </c>
      <c r="C16">
        <v>5</v>
      </c>
      <c r="D16">
        <v>90</v>
      </c>
      <c r="E16">
        <f>D16*C16</f>
        <v>450</v>
      </c>
      <c r="M16"/>
      <c r="N16"/>
      <c r="O16"/>
    </row>
    <row r="17" spans="1:15" x14ac:dyDescent="0.25">
      <c r="A17" t="s">
        <v>94</v>
      </c>
      <c r="C17">
        <v>10</v>
      </c>
      <c r="M17"/>
      <c r="N17"/>
      <c r="O17"/>
    </row>
    <row r="18" spans="1:15" x14ac:dyDescent="0.25">
      <c r="N18"/>
      <c r="O18"/>
    </row>
    <row r="19" spans="1:15" ht="16.2" x14ac:dyDescent="0.25">
      <c r="B19" s="24" t="s">
        <v>274</v>
      </c>
      <c r="C19">
        <f>SUM(C12:C17)</f>
        <v>27</v>
      </c>
      <c r="N19"/>
      <c r="O19"/>
    </row>
    <row r="20" spans="1:15" x14ac:dyDescent="0.25">
      <c r="M20"/>
      <c r="N20"/>
      <c r="O20"/>
    </row>
    <row r="21" spans="1:15" ht="25.2" x14ac:dyDescent="0.45">
      <c r="A21" s="87" t="s">
        <v>277</v>
      </c>
      <c r="G21" s="44" t="s">
        <v>199</v>
      </c>
    </row>
    <row r="22" spans="1:15" ht="16.2" x14ac:dyDescent="0.25">
      <c r="A22" s="24" t="s">
        <v>86</v>
      </c>
      <c r="B22" s="24" t="s">
        <v>87</v>
      </c>
      <c r="C22" s="24" t="s">
        <v>271</v>
      </c>
      <c r="D22" s="24" t="s">
        <v>88</v>
      </c>
      <c r="E22" s="24" t="s">
        <v>89</v>
      </c>
    </row>
  </sheetData>
  <phoneticPr fontId="1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tabColor rgb="FF7030A0"/>
  </sheetPr>
  <dimension ref="A1:Y205"/>
  <sheetViews>
    <sheetView workbookViewId="0">
      <selection activeCell="L30" sqref="L30"/>
    </sheetView>
  </sheetViews>
  <sheetFormatPr defaultColWidth="9" defaultRowHeight="13.8" x14ac:dyDescent="0.25"/>
  <cols>
    <col min="4" max="4" width="12.44140625" customWidth="1"/>
    <col min="5" max="5" width="17.44140625" customWidth="1"/>
    <col min="12" max="12" width="8.6640625" style="48"/>
  </cols>
  <sheetData>
    <row r="1" spans="1:25" ht="16.2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H1" t="s">
        <v>5</v>
      </c>
      <c r="I1">
        <v>120</v>
      </c>
      <c r="J1">
        <v>40</v>
      </c>
      <c r="K1">
        <v>15</v>
      </c>
      <c r="L1">
        <v>1</v>
      </c>
      <c r="M1" t="s">
        <v>6</v>
      </c>
      <c r="N1">
        <f>M52/N52</f>
        <v>2.876123164584703</v>
      </c>
      <c r="O1">
        <f>N52/O52</f>
        <v>2.5339441899208661</v>
      </c>
      <c r="P1">
        <f>O52/P52</f>
        <v>5.9950062421972534</v>
      </c>
      <c r="S1">
        <f>I1*0.8</f>
        <v>96</v>
      </c>
      <c r="T1">
        <f>J1*0.8</f>
        <v>32</v>
      </c>
      <c r="U1">
        <f>K1*0.8</f>
        <v>12</v>
      </c>
    </row>
    <row r="2" spans="1:25" ht="16.2" x14ac:dyDescent="0.25">
      <c r="A2" s="14">
        <v>1</v>
      </c>
      <c r="B2" s="14" t="s">
        <v>7</v>
      </c>
      <c r="C2" s="49" t="s">
        <v>8</v>
      </c>
      <c r="D2" s="14"/>
      <c r="E2" s="38" t="s">
        <v>9</v>
      </c>
      <c r="H2" s="9" t="s">
        <v>10</v>
      </c>
      <c r="I2" s="49" t="s">
        <v>8</v>
      </c>
      <c r="J2" s="50" t="s">
        <v>11</v>
      </c>
      <c r="K2" s="51" t="s">
        <v>12</v>
      </c>
      <c r="L2" s="52" t="s">
        <v>13</v>
      </c>
      <c r="M2" s="49" t="s">
        <v>8</v>
      </c>
      <c r="N2" s="50" t="s">
        <v>11</v>
      </c>
      <c r="O2" s="51" t="s">
        <v>12</v>
      </c>
      <c r="P2" s="52" t="s">
        <v>13</v>
      </c>
      <c r="Q2" s="9" t="s">
        <v>410</v>
      </c>
    </row>
    <row r="3" spans="1:25" x14ac:dyDescent="0.25">
      <c r="A3" s="14">
        <v>2</v>
      </c>
      <c r="B3" s="14" t="s">
        <v>14</v>
      </c>
      <c r="C3" s="50" t="s">
        <v>11</v>
      </c>
      <c r="D3" s="14"/>
      <c r="E3" s="38" t="s">
        <v>9</v>
      </c>
      <c r="H3" s="38">
        <v>1</v>
      </c>
      <c r="I3" s="38">
        <v>5</v>
      </c>
      <c r="J3" s="38">
        <v>4</v>
      </c>
      <c r="K3" s="38">
        <v>3</v>
      </c>
      <c r="L3" s="38">
        <v>1</v>
      </c>
      <c r="M3" s="38">
        <f>SUM(I$3:I3)</f>
        <v>5</v>
      </c>
      <c r="N3" s="38">
        <f>SUM(J$3:J3)</f>
        <v>4</v>
      </c>
      <c r="O3" s="38">
        <f>SUM(K$3:K3)</f>
        <v>3</v>
      </c>
      <c r="P3" s="38">
        <f>SUM(L$3:L3)</f>
        <v>1</v>
      </c>
      <c r="Q3" s="38">
        <v>0.5</v>
      </c>
      <c r="V3">
        <v>120</v>
      </c>
      <c r="W3">
        <v>40</v>
      </c>
      <c r="X3">
        <v>15</v>
      </c>
      <c r="Y3">
        <v>1</v>
      </c>
    </row>
    <row r="4" spans="1:25" x14ac:dyDescent="0.25">
      <c r="A4" s="14">
        <v>6</v>
      </c>
      <c r="B4" s="14" t="s">
        <v>15</v>
      </c>
      <c r="C4" s="50" t="s">
        <v>11</v>
      </c>
      <c r="D4" s="14"/>
      <c r="E4" s="38" t="s">
        <v>9</v>
      </c>
      <c r="H4" s="38">
        <v>2</v>
      </c>
      <c r="I4" s="38">
        <v>15</v>
      </c>
      <c r="J4" s="38">
        <v>8</v>
      </c>
      <c r="K4" s="38">
        <v>6</v>
      </c>
      <c r="L4" s="38">
        <v>2</v>
      </c>
      <c r="M4" s="38">
        <f>SUM(I$3:I4)</f>
        <v>20</v>
      </c>
      <c r="N4" s="38">
        <f>SUM(J$3:J4)</f>
        <v>12</v>
      </c>
      <c r="O4" s="38">
        <f>SUM(K$3:K4)</f>
        <v>9</v>
      </c>
      <c r="P4" s="38">
        <f>SUM(L$3:L4)</f>
        <v>3</v>
      </c>
      <c r="Q4" s="38">
        <v>0.6</v>
      </c>
      <c r="W4" s="66">
        <f>V3/W3</f>
        <v>3</v>
      </c>
      <c r="X4" s="66">
        <f>W3/X3</f>
        <v>2.6666666666666665</v>
      </c>
      <c r="Y4" s="66">
        <f>X3/Y3</f>
        <v>15</v>
      </c>
    </row>
    <row r="5" spans="1:25" x14ac:dyDescent="0.25">
      <c r="A5" s="14">
        <v>5</v>
      </c>
      <c r="B5" s="14" t="s">
        <v>16</v>
      </c>
      <c r="C5" s="49" t="s">
        <v>8</v>
      </c>
      <c r="D5" s="14"/>
      <c r="E5" s="38" t="s">
        <v>9</v>
      </c>
      <c r="H5" s="38">
        <v>3</v>
      </c>
      <c r="I5" s="38">
        <v>30</v>
      </c>
      <c r="J5" s="38">
        <v>20</v>
      </c>
      <c r="K5" s="38">
        <v>15</v>
      </c>
      <c r="L5" s="38">
        <v>3</v>
      </c>
      <c r="M5" s="38">
        <f>SUM(I$3:I5)</f>
        <v>50</v>
      </c>
      <c r="N5" s="38">
        <f>SUM(J$3:J5)</f>
        <v>32</v>
      </c>
      <c r="O5" s="38">
        <f>SUM(K$3:K5)</f>
        <v>24</v>
      </c>
      <c r="P5" s="38">
        <f>SUM(L$3:L5)</f>
        <v>6</v>
      </c>
      <c r="Q5" s="38">
        <v>0.7</v>
      </c>
    </row>
    <row r="6" spans="1:25" x14ac:dyDescent="0.25">
      <c r="A6" s="53">
        <v>3</v>
      </c>
      <c r="B6" s="53" t="s">
        <v>17</v>
      </c>
      <c r="C6" s="53" t="s">
        <v>12</v>
      </c>
      <c r="D6" s="53"/>
      <c r="E6" s="38" t="s">
        <v>18</v>
      </c>
      <c r="H6" s="38">
        <v>4</v>
      </c>
      <c r="I6" s="38">
        <v>60</v>
      </c>
      <c r="J6" s="38">
        <v>40</v>
      </c>
      <c r="K6" s="38">
        <v>30</v>
      </c>
      <c r="L6" s="38">
        <v>5</v>
      </c>
      <c r="M6" s="38">
        <f>SUM(I$3:I6)</f>
        <v>110</v>
      </c>
      <c r="N6" s="38">
        <f>SUM(J$3:J6)</f>
        <v>72</v>
      </c>
      <c r="O6" s="38">
        <f>SUM(K$3:K6)</f>
        <v>54</v>
      </c>
      <c r="P6" s="38">
        <f>SUM(L$3:L6)</f>
        <v>11</v>
      </c>
      <c r="Q6" s="38">
        <v>0.8</v>
      </c>
      <c r="R6" s="75"/>
    </row>
    <row r="7" spans="1:25" x14ac:dyDescent="0.25">
      <c r="A7" s="14">
        <v>4</v>
      </c>
      <c r="B7" s="14" t="s">
        <v>19</v>
      </c>
      <c r="C7" s="50" t="s">
        <v>11</v>
      </c>
      <c r="D7" s="14"/>
      <c r="E7" s="38" t="s">
        <v>9</v>
      </c>
      <c r="H7" s="38">
        <v>5</v>
      </c>
      <c r="I7" s="38">
        <v>120</v>
      </c>
      <c r="J7" s="38">
        <f>J6+32</f>
        <v>72</v>
      </c>
      <c r="K7" s="38">
        <f>K6+12</f>
        <v>42</v>
      </c>
      <c r="L7" s="38">
        <v>7</v>
      </c>
      <c r="M7" s="38">
        <f>SUM(I$3:I7)</f>
        <v>230</v>
      </c>
      <c r="N7" s="38">
        <f>SUM(J$3:J7)</f>
        <v>144</v>
      </c>
      <c r="O7" s="38">
        <f>SUM(K$3:K7)</f>
        <v>96</v>
      </c>
      <c r="P7" s="38">
        <f>SUM(L$3:L7)</f>
        <v>18</v>
      </c>
      <c r="Q7" s="38">
        <v>0.9</v>
      </c>
    </row>
    <row r="8" spans="1:25" x14ac:dyDescent="0.25">
      <c r="A8" s="14">
        <v>7</v>
      </c>
      <c r="B8" s="14" t="s">
        <v>20</v>
      </c>
      <c r="C8" s="49" t="s">
        <v>8</v>
      </c>
      <c r="D8" s="14" t="s">
        <v>21</v>
      </c>
      <c r="E8" s="38" t="s">
        <v>9</v>
      </c>
      <c r="H8" s="38">
        <v>6</v>
      </c>
      <c r="I8" s="38">
        <f>I7+96</f>
        <v>216</v>
      </c>
      <c r="J8" s="38">
        <f t="shared" ref="J8:J71" si="0">J7+32</f>
        <v>104</v>
      </c>
      <c r="K8" s="38">
        <f t="shared" ref="K8:K71" si="1">K7+12</f>
        <v>54</v>
      </c>
      <c r="L8" s="38">
        <v>9</v>
      </c>
      <c r="M8" s="38">
        <f>SUM(I$3:I8)</f>
        <v>446</v>
      </c>
      <c r="N8" s="38">
        <f>SUM(J$3:J8)</f>
        <v>248</v>
      </c>
      <c r="O8" s="38">
        <f>SUM(K$3:K8)</f>
        <v>150</v>
      </c>
      <c r="P8" s="38">
        <f>SUM(L$3:L8)</f>
        <v>27</v>
      </c>
      <c r="Q8" s="38">
        <v>1</v>
      </c>
    </row>
    <row r="9" spans="1:25" x14ac:dyDescent="0.25">
      <c r="A9" s="14">
        <v>8</v>
      </c>
      <c r="B9" s="14" t="s">
        <v>22</v>
      </c>
      <c r="C9" s="51" t="s">
        <v>12</v>
      </c>
      <c r="D9" s="14"/>
      <c r="E9" s="38" t="s">
        <v>23</v>
      </c>
      <c r="H9" s="38">
        <v>7</v>
      </c>
      <c r="I9" s="38">
        <f t="shared" ref="I9:I72" si="2">I8+96</f>
        <v>312</v>
      </c>
      <c r="J9" s="38">
        <f t="shared" si="0"/>
        <v>136</v>
      </c>
      <c r="K9" s="38">
        <f t="shared" si="1"/>
        <v>66</v>
      </c>
      <c r="L9" s="38">
        <v>11</v>
      </c>
      <c r="M9" s="38">
        <f>SUM(I$3:I9)</f>
        <v>758</v>
      </c>
      <c r="N9" s="38">
        <f>SUM(J$3:J9)</f>
        <v>384</v>
      </c>
      <c r="O9" s="38">
        <f>SUM(K$3:K9)</f>
        <v>216</v>
      </c>
      <c r="P9" s="38">
        <f>SUM(L$3:L9)</f>
        <v>38</v>
      </c>
      <c r="Q9" s="38">
        <v>1.1000000000000001</v>
      </c>
    </row>
    <row r="10" spans="1:25" x14ac:dyDescent="0.25">
      <c r="A10" s="14">
        <v>9</v>
      </c>
      <c r="B10" s="14" t="s">
        <v>24</v>
      </c>
      <c r="C10" s="50" t="s">
        <v>11</v>
      </c>
      <c r="D10" s="14"/>
      <c r="E10" s="38" t="s">
        <v>9</v>
      </c>
      <c r="H10" s="38">
        <v>8</v>
      </c>
      <c r="I10" s="38">
        <f t="shared" si="2"/>
        <v>408</v>
      </c>
      <c r="J10" s="38">
        <f t="shared" si="0"/>
        <v>168</v>
      </c>
      <c r="K10" s="38">
        <f t="shared" si="1"/>
        <v>78</v>
      </c>
      <c r="L10" s="38">
        <v>13</v>
      </c>
      <c r="M10" s="38">
        <f>SUM(I$3:I10)</f>
        <v>1166</v>
      </c>
      <c r="N10" s="38">
        <f>SUM(J$3:J10)</f>
        <v>552</v>
      </c>
      <c r="O10" s="38">
        <f>SUM(K$3:K10)</f>
        <v>294</v>
      </c>
      <c r="P10" s="38">
        <f>SUM(L$3:L10)</f>
        <v>51</v>
      </c>
      <c r="Q10" s="38">
        <v>1.2</v>
      </c>
    </row>
    <row r="11" spans="1:25" x14ac:dyDescent="0.25">
      <c r="A11" s="14">
        <v>10</v>
      </c>
      <c r="B11" s="14" t="s">
        <v>25</v>
      </c>
      <c r="C11" s="51" t="s">
        <v>12</v>
      </c>
      <c r="D11" s="14"/>
      <c r="E11" s="38" t="s">
        <v>26</v>
      </c>
      <c r="H11" s="38">
        <v>9</v>
      </c>
      <c r="I11" s="38">
        <f t="shared" si="2"/>
        <v>504</v>
      </c>
      <c r="J11" s="38">
        <f t="shared" si="0"/>
        <v>200</v>
      </c>
      <c r="K11" s="38">
        <f t="shared" si="1"/>
        <v>90</v>
      </c>
      <c r="L11" s="38">
        <v>15</v>
      </c>
      <c r="M11" s="38">
        <f>SUM(I$3:I11)</f>
        <v>1670</v>
      </c>
      <c r="N11" s="38">
        <f>SUM(J$3:J11)</f>
        <v>752</v>
      </c>
      <c r="O11" s="38">
        <f>SUM(K$3:K11)</f>
        <v>384</v>
      </c>
      <c r="P11" s="38">
        <f>SUM(L$3:L11)</f>
        <v>66</v>
      </c>
      <c r="Q11" s="38">
        <v>1.3</v>
      </c>
    </row>
    <row r="12" spans="1:25" x14ac:dyDescent="0.25">
      <c r="A12" s="14">
        <v>11</v>
      </c>
      <c r="B12" s="14" t="s">
        <v>27</v>
      </c>
      <c r="C12" s="50" t="s">
        <v>11</v>
      </c>
      <c r="D12" s="14"/>
      <c r="E12" s="38" t="s">
        <v>9</v>
      </c>
      <c r="H12" s="38">
        <v>10</v>
      </c>
      <c r="I12" s="38">
        <f t="shared" si="2"/>
        <v>600</v>
      </c>
      <c r="J12" s="38">
        <f t="shared" si="0"/>
        <v>232</v>
      </c>
      <c r="K12" s="38">
        <f t="shared" si="1"/>
        <v>102</v>
      </c>
      <c r="L12" s="38">
        <v>17</v>
      </c>
      <c r="M12" s="38">
        <f>SUM(I$3:I12)</f>
        <v>2270</v>
      </c>
      <c r="N12" s="38">
        <f>SUM(J$3:J12)</f>
        <v>984</v>
      </c>
      <c r="O12" s="38">
        <f>SUM(K$3:K12)</f>
        <v>486</v>
      </c>
      <c r="P12" s="38">
        <f>SUM(L$3:L12)</f>
        <v>83</v>
      </c>
      <c r="Q12" s="38">
        <v>1.4</v>
      </c>
    </row>
    <row r="13" spans="1:25" x14ac:dyDescent="0.25">
      <c r="A13" s="14">
        <v>12</v>
      </c>
      <c r="B13" s="14" t="s">
        <v>28</v>
      </c>
      <c r="C13" s="51" t="s">
        <v>12</v>
      </c>
      <c r="D13" s="14"/>
      <c r="E13" s="38" t="s">
        <v>29</v>
      </c>
      <c r="H13" s="38">
        <v>11</v>
      </c>
      <c r="I13" s="38">
        <f t="shared" si="2"/>
        <v>696</v>
      </c>
      <c r="J13" s="38">
        <f t="shared" si="0"/>
        <v>264</v>
      </c>
      <c r="K13" s="38">
        <f t="shared" si="1"/>
        <v>114</v>
      </c>
      <c r="L13" s="38">
        <v>19</v>
      </c>
      <c r="M13" s="38">
        <f>SUM(I$3:I13)</f>
        <v>2966</v>
      </c>
      <c r="N13" s="38">
        <f>SUM(J$3:J13)</f>
        <v>1248</v>
      </c>
      <c r="O13" s="38">
        <f>SUM(K$3:K13)</f>
        <v>600</v>
      </c>
      <c r="P13" s="38">
        <f>SUM(L$3:L13)</f>
        <v>102</v>
      </c>
      <c r="Q13" s="38">
        <v>1.5</v>
      </c>
    </row>
    <row r="14" spans="1:25" x14ac:dyDescent="0.25">
      <c r="A14" s="14">
        <v>13</v>
      </c>
      <c r="B14" s="14" t="s">
        <v>30</v>
      </c>
      <c r="C14" s="50" t="s">
        <v>11</v>
      </c>
      <c r="D14" s="14" t="s">
        <v>21</v>
      </c>
      <c r="E14" s="38" t="s">
        <v>31</v>
      </c>
      <c r="H14" s="38">
        <v>12</v>
      </c>
      <c r="I14" s="38">
        <f t="shared" si="2"/>
        <v>792</v>
      </c>
      <c r="J14" s="38">
        <f t="shared" si="0"/>
        <v>296</v>
      </c>
      <c r="K14" s="38">
        <f t="shared" si="1"/>
        <v>126</v>
      </c>
      <c r="L14" s="38">
        <v>21</v>
      </c>
      <c r="M14" s="38">
        <f>SUM(I$3:I14)</f>
        <v>3758</v>
      </c>
      <c r="N14" s="38">
        <f>SUM(J$3:J14)</f>
        <v>1544</v>
      </c>
      <c r="O14" s="38">
        <f>SUM(K$3:K14)</f>
        <v>726</v>
      </c>
      <c r="P14" s="38">
        <f>SUM(L$3:L14)</f>
        <v>123</v>
      </c>
      <c r="Q14" s="38">
        <v>1.6</v>
      </c>
    </row>
    <row r="15" spans="1:25" x14ac:dyDescent="0.25">
      <c r="A15" s="38"/>
      <c r="B15" s="38"/>
      <c r="C15" s="54" t="s">
        <v>12</v>
      </c>
      <c r="D15" s="38"/>
      <c r="E15" s="38" t="s">
        <v>32</v>
      </c>
      <c r="F15" t="s">
        <v>33</v>
      </c>
      <c r="H15" s="38">
        <v>13</v>
      </c>
      <c r="I15" s="38">
        <f t="shared" si="2"/>
        <v>888</v>
      </c>
      <c r="J15" s="38">
        <f t="shared" si="0"/>
        <v>328</v>
      </c>
      <c r="K15" s="38">
        <f t="shared" si="1"/>
        <v>138</v>
      </c>
      <c r="L15" s="38">
        <v>23</v>
      </c>
      <c r="M15" s="38">
        <f>SUM(I$3:I15)</f>
        <v>4646</v>
      </c>
      <c r="N15" s="38">
        <f>SUM(J$3:J15)</f>
        <v>1872</v>
      </c>
      <c r="O15" s="38">
        <f>SUM(K$3:K15)</f>
        <v>864</v>
      </c>
      <c r="P15" s="38">
        <f>SUM(L$3:L15)</f>
        <v>146</v>
      </c>
      <c r="Q15" s="38">
        <v>1.7</v>
      </c>
    </row>
    <row r="16" spans="1:25" x14ac:dyDescent="0.25">
      <c r="A16" s="38"/>
      <c r="B16" s="38"/>
      <c r="C16" s="54" t="s">
        <v>12</v>
      </c>
      <c r="D16" s="38"/>
      <c r="E16" s="38" t="s">
        <v>34</v>
      </c>
      <c r="F16" t="s">
        <v>35</v>
      </c>
      <c r="H16" s="38">
        <v>14</v>
      </c>
      <c r="I16" s="38">
        <f t="shared" si="2"/>
        <v>984</v>
      </c>
      <c r="J16" s="38">
        <f t="shared" si="0"/>
        <v>360</v>
      </c>
      <c r="K16" s="38">
        <f t="shared" si="1"/>
        <v>150</v>
      </c>
      <c r="L16" s="38">
        <v>25</v>
      </c>
      <c r="M16" s="38">
        <f>SUM(I$3:I16)</f>
        <v>5630</v>
      </c>
      <c r="N16" s="38">
        <f>SUM(J$3:J16)</f>
        <v>2232</v>
      </c>
      <c r="O16" s="38">
        <f>SUM(K$3:K16)</f>
        <v>1014</v>
      </c>
      <c r="P16" s="38">
        <f>SUM(L$3:L16)</f>
        <v>171</v>
      </c>
      <c r="Q16" s="38">
        <v>1.8</v>
      </c>
    </row>
    <row r="17" spans="1:17" x14ac:dyDescent="0.25">
      <c r="A17" s="38"/>
      <c r="B17" s="38"/>
      <c r="C17" s="54" t="s">
        <v>12</v>
      </c>
      <c r="D17" s="38"/>
      <c r="E17" s="38" t="s">
        <v>18</v>
      </c>
      <c r="F17" t="s">
        <v>36</v>
      </c>
      <c r="H17" s="38">
        <v>15</v>
      </c>
      <c r="I17" s="38">
        <f t="shared" si="2"/>
        <v>1080</v>
      </c>
      <c r="J17" s="38">
        <f t="shared" si="0"/>
        <v>392</v>
      </c>
      <c r="K17" s="38">
        <f t="shared" si="1"/>
        <v>162</v>
      </c>
      <c r="L17" s="38">
        <v>27</v>
      </c>
      <c r="M17" s="38">
        <f>SUM(I$3:I17)</f>
        <v>6710</v>
      </c>
      <c r="N17" s="38">
        <f>SUM(J$3:J17)</f>
        <v>2624</v>
      </c>
      <c r="O17" s="38">
        <f>SUM(K$3:K17)</f>
        <v>1176</v>
      </c>
      <c r="P17" s="38">
        <f>SUM(L$3:L17)</f>
        <v>198</v>
      </c>
      <c r="Q17" s="38">
        <v>1.9</v>
      </c>
    </row>
    <row r="18" spans="1:17" x14ac:dyDescent="0.25">
      <c r="A18" s="38"/>
      <c r="B18" s="38"/>
      <c r="C18" s="54" t="s">
        <v>12</v>
      </c>
      <c r="D18" s="38"/>
      <c r="E18" s="38" t="s">
        <v>37</v>
      </c>
      <c r="F18" t="s">
        <v>38</v>
      </c>
      <c r="H18" s="38">
        <v>16</v>
      </c>
      <c r="I18" s="38">
        <f t="shared" si="2"/>
        <v>1176</v>
      </c>
      <c r="J18" s="38">
        <f t="shared" si="0"/>
        <v>424</v>
      </c>
      <c r="K18" s="38">
        <f t="shared" si="1"/>
        <v>174</v>
      </c>
      <c r="L18" s="38">
        <v>29</v>
      </c>
      <c r="M18" s="38">
        <f>SUM(I$3:I18)</f>
        <v>7886</v>
      </c>
      <c r="N18" s="38">
        <f>SUM(J$3:J18)</f>
        <v>3048</v>
      </c>
      <c r="O18" s="38">
        <f>SUM(K$3:K18)</f>
        <v>1350</v>
      </c>
      <c r="P18" s="38">
        <f>SUM(L$3:L18)</f>
        <v>227</v>
      </c>
      <c r="Q18" s="38">
        <v>2</v>
      </c>
    </row>
    <row r="19" spans="1:17" x14ac:dyDescent="0.25">
      <c r="A19" s="38"/>
      <c r="B19" s="38"/>
      <c r="C19" s="54" t="s">
        <v>12</v>
      </c>
      <c r="D19" s="38"/>
      <c r="E19" s="38" t="s">
        <v>39</v>
      </c>
      <c r="F19" t="s">
        <v>40</v>
      </c>
      <c r="H19" s="38">
        <v>17</v>
      </c>
      <c r="I19" s="38">
        <f t="shared" si="2"/>
        <v>1272</v>
      </c>
      <c r="J19" s="38">
        <f t="shared" si="0"/>
        <v>456</v>
      </c>
      <c r="K19" s="38">
        <f t="shared" si="1"/>
        <v>186</v>
      </c>
      <c r="L19" s="38">
        <v>31</v>
      </c>
      <c r="M19" s="38">
        <f>SUM(I$3:I19)</f>
        <v>9158</v>
      </c>
      <c r="N19" s="38">
        <f>SUM(J$3:J19)</f>
        <v>3504</v>
      </c>
      <c r="O19" s="38">
        <f>SUM(K$3:K19)</f>
        <v>1536</v>
      </c>
      <c r="P19" s="38">
        <f>SUM(L$3:L19)</f>
        <v>258</v>
      </c>
      <c r="Q19" s="38">
        <v>2.1</v>
      </c>
    </row>
    <row r="20" spans="1:17" x14ac:dyDescent="0.25">
      <c r="A20" s="38"/>
      <c r="B20" s="38"/>
      <c r="C20" s="54" t="s">
        <v>12</v>
      </c>
      <c r="D20" s="38"/>
      <c r="E20" s="38" t="s">
        <v>41</v>
      </c>
      <c r="F20" t="s">
        <v>42</v>
      </c>
      <c r="H20" s="38">
        <v>18</v>
      </c>
      <c r="I20" s="38">
        <f t="shared" si="2"/>
        <v>1368</v>
      </c>
      <c r="J20" s="38">
        <f t="shared" si="0"/>
        <v>488</v>
      </c>
      <c r="K20" s="38">
        <f t="shared" si="1"/>
        <v>198</v>
      </c>
      <c r="L20" s="38">
        <v>33</v>
      </c>
      <c r="M20" s="38">
        <f>SUM(I$3:I20)</f>
        <v>10526</v>
      </c>
      <c r="N20" s="38">
        <f>SUM(J$3:J20)</f>
        <v>3992</v>
      </c>
      <c r="O20" s="38">
        <f>SUM(K$3:K20)</f>
        <v>1734</v>
      </c>
      <c r="P20" s="38">
        <f>SUM(L$3:L20)</f>
        <v>291</v>
      </c>
      <c r="Q20" s="38">
        <v>2.2000000000000002</v>
      </c>
    </row>
    <row r="21" spans="1:17" x14ac:dyDescent="0.25">
      <c r="A21" s="38"/>
      <c r="B21" s="38"/>
      <c r="C21" s="54" t="s">
        <v>12</v>
      </c>
      <c r="D21" s="38"/>
      <c r="E21" s="38" t="s">
        <v>29</v>
      </c>
      <c r="F21" t="s">
        <v>43</v>
      </c>
      <c r="H21" s="38">
        <v>19</v>
      </c>
      <c r="I21" s="38">
        <f t="shared" si="2"/>
        <v>1464</v>
      </c>
      <c r="J21" s="38">
        <f t="shared" si="0"/>
        <v>520</v>
      </c>
      <c r="K21" s="38">
        <f t="shared" si="1"/>
        <v>210</v>
      </c>
      <c r="L21" s="38">
        <v>35</v>
      </c>
      <c r="M21" s="38">
        <f>SUM(I$3:I21)</f>
        <v>11990</v>
      </c>
      <c r="N21" s="38">
        <f>SUM(J$3:J21)</f>
        <v>4512</v>
      </c>
      <c r="O21" s="38">
        <f>SUM(K$3:K21)</f>
        <v>1944</v>
      </c>
      <c r="P21" s="38">
        <f>SUM(L$3:L21)</f>
        <v>326</v>
      </c>
      <c r="Q21" s="38">
        <v>2.2999999999999998</v>
      </c>
    </row>
    <row r="22" spans="1:17" x14ac:dyDescent="0.25">
      <c r="A22" s="38"/>
      <c r="B22" s="38"/>
      <c r="C22" s="55" t="s">
        <v>13</v>
      </c>
      <c r="D22" s="38"/>
      <c r="E22" s="38" t="s">
        <v>44</v>
      </c>
      <c r="F22" t="s">
        <v>45</v>
      </c>
      <c r="H22" s="38">
        <v>20</v>
      </c>
      <c r="I22" s="38">
        <f t="shared" si="2"/>
        <v>1560</v>
      </c>
      <c r="J22" s="38">
        <f t="shared" si="0"/>
        <v>552</v>
      </c>
      <c r="K22" s="38">
        <f t="shared" si="1"/>
        <v>222</v>
      </c>
      <c r="L22" s="38">
        <v>37</v>
      </c>
      <c r="M22" s="38">
        <f>SUM(I$3:I22)</f>
        <v>13550</v>
      </c>
      <c r="N22" s="38">
        <f>SUM(J$3:J22)</f>
        <v>5064</v>
      </c>
      <c r="O22" s="38">
        <f>SUM(K$3:K22)</f>
        <v>2166</v>
      </c>
      <c r="P22" s="38">
        <f>SUM(L$3:L22)</f>
        <v>363</v>
      </c>
      <c r="Q22" s="38">
        <v>2.4</v>
      </c>
    </row>
    <row r="23" spans="1:17" x14ac:dyDescent="0.25">
      <c r="A23" s="38"/>
      <c r="B23" s="38"/>
      <c r="C23" s="55" t="s">
        <v>13</v>
      </c>
      <c r="D23" s="38"/>
      <c r="E23" s="38" t="s">
        <v>44</v>
      </c>
      <c r="F23" t="s">
        <v>46</v>
      </c>
      <c r="H23" s="38">
        <v>21</v>
      </c>
      <c r="I23" s="38">
        <f t="shared" si="2"/>
        <v>1656</v>
      </c>
      <c r="J23" s="38">
        <f t="shared" si="0"/>
        <v>584</v>
      </c>
      <c r="K23" s="38">
        <f t="shared" si="1"/>
        <v>234</v>
      </c>
      <c r="L23" s="38">
        <v>39</v>
      </c>
      <c r="M23" s="38">
        <f>SUM(I$3:I23)</f>
        <v>15206</v>
      </c>
      <c r="N23" s="38">
        <f>SUM(J$3:J23)</f>
        <v>5648</v>
      </c>
      <c r="O23" s="38">
        <f>SUM(K$3:K23)</f>
        <v>2400</v>
      </c>
      <c r="P23" s="38">
        <f>SUM(L$3:L23)</f>
        <v>402</v>
      </c>
      <c r="Q23" s="38">
        <v>2.5</v>
      </c>
    </row>
    <row r="24" spans="1:17" x14ac:dyDescent="0.25">
      <c r="A24" s="38"/>
      <c r="B24" s="38"/>
      <c r="C24" s="55" t="s">
        <v>13</v>
      </c>
      <c r="D24" s="38"/>
      <c r="E24" s="38" t="s">
        <v>44</v>
      </c>
      <c r="F24" t="s">
        <v>47</v>
      </c>
      <c r="H24" s="38">
        <v>22</v>
      </c>
      <c r="I24" s="38">
        <f t="shared" si="2"/>
        <v>1752</v>
      </c>
      <c r="J24" s="38">
        <f t="shared" si="0"/>
        <v>616</v>
      </c>
      <c r="K24" s="38">
        <f t="shared" si="1"/>
        <v>246</v>
      </c>
      <c r="L24" s="38">
        <v>41</v>
      </c>
      <c r="M24" s="38">
        <f>SUM(I$3:I24)</f>
        <v>16958</v>
      </c>
      <c r="N24" s="38">
        <f>SUM(J$3:J24)</f>
        <v>6264</v>
      </c>
      <c r="O24" s="38">
        <f>SUM(K$3:K24)</f>
        <v>2646</v>
      </c>
      <c r="P24" s="38">
        <f>SUM(L$3:L24)</f>
        <v>443</v>
      </c>
      <c r="Q24" s="38">
        <v>2.6</v>
      </c>
    </row>
    <row r="25" spans="1:17" x14ac:dyDescent="0.25">
      <c r="A25" s="38"/>
      <c r="B25" s="38"/>
      <c r="C25" s="55" t="s">
        <v>13</v>
      </c>
      <c r="D25" s="38"/>
      <c r="E25" s="38" t="s">
        <v>44</v>
      </c>
      <c r="F25" t="s">
        <v>48</v>
      </c>
      <c r="H25" s="38">
        <v>23</v>
      </c>
      <c r="I25" s="38">
        <f t="shared" si="2"/>
        <v>1848</v>
      </c>
      <c r="J25" s="38">
        <f t="shared" si="0"/>
        <v>648</v>
      </c>
      <c r="K25" s="38">
        <f t="shared" si="1"/>
        <v>258</v>
      </c>
      <c r="L25" s="38">
        <v>43</v>
      </c>
      <c r="M25" s="38">
        <f>SUM(I$3:I25)</f>
        <v>18806</v>
      </c>
      <c r="N25" s="38">
        <f>SUM(J$3:J25)</f>
        <v>6912</v>
      </c>
      <c r="O25" s="38">
        <f>SUM(K$3:K25)</f>
        <v>2904</v>
      </c>
      <c r="P25" s="38">
        <f>SUM(L$3:L25)</f>
        <v>486</v>
      </c>
      <c r="Q25" s="38">
        <v>2.7</v>
      </c>
    </row>
    <row r="26" spans="1:17" x14ac:dyDescent="0.25">
      <c r="H26" s="38">
        <v>24</v>
      </c>
      <c r="I26" s="38">
        <f t="shared" si="2"/>
        <v>1944</v>
      </c>
      <c r="J26" s="38">
        <f t="shared" si="0"/>
        <v>680</v>
      </c>
      <c r="K26" s="38">
        <f t="shared" si="1"/>
        <v>270</v>
      </c>
      <c r="L26" s="38">
        <v>45</v>
      </c>
      <c r="M26" s="38">
        <f>SUM(I$3:I26)</f>
        <v>20750</v>
      </c>
      <c r="N26" s="38">
        <f>SUM(J$3:J26)</f>
        <v>7592</v>
      </c>
      <c r="O26" s="38">
        <f>SUM(K$3:K26)</f>
        <v>3174</v>
      </c>
      <c r="P26" s="38">
        <f>SUM(L$3:L26)</f>
        <v>531</v>
      </c>
      <c r="Q26" s="38">
        <v>2.8</v>
      </c>
    </row>
    <row r="27" spans="1:17" x14ac:dyDescent="0.25">
      <c r="A27" t="s">
        <v>49</v>
      </c>
      <c r="H27" s="38">
        <v>25</v>
      </c>
      <c r="I27" s="38">
        <f t="shared" si="2"/>
        <v>2040</v>
      </c>
      <c r="J27" s="38">
        <f t="shared" si="0"/>
        <v>712</v>
      </c>
      <c r="K27" s="38">
        <f t="shared" si="1"/>
        <v>282</v>
      </c>
      <c r="L27" s="38">
        <v>47</v>
      </c>
      <c r="M27" s="38">
        <f>SUM(I$3:I27)</f>
        <v>22790</v>
      </c>
      <c r="N27" s="38">
        <f>SUM(J$3:J27)</f>
        <v>8304</v>
      </c>
      <c r="O27" s="38">
        <f>SUM(K$3:K27)</f>
        <v>3456</v>
      </c>
      <c r="P27" s="38">
        <f>SUM(L$3:L27)</f>
        <v>578</v>
      </c>
      <c r="Q27" s="38">
        <v>2.9</v>
      </c>
    </row>
    <row r="28" spans="1:17" x14ac:dyDescent="0.25">
      <c r="H28" s="38">
        <v>26</v>
      </c>
      <c r="I28" s="38">
        <f t="shared" si="2"/>
        <v>2136</v>
      </c>
      <c r="J28" s="38">
        <f t="shared" si="0"/>
        <v>744</v>
      </c>
      <c r="K28" s="38">
        <f t="shared" si="1"/>
        <v>294</v>
      </c>
      <c r="L28" s="38">
        <v>49</v>
      </c>
      <c r="M28" s="38">
        <f>SUM(I$3:I28)</f>
        <v>24926</v>
      </c>
      <c r="N28" s="38">
        <f>SUM(J$3:J28)</f>
        <v>9048</v>
      </c>
      <c r="O28" s="38">
        <f>SUM(K$3:K28)</f>
        <v>3750</v>
      </c>
      <c r="P28" s="38">
        <f>SUM(L$3:L28)</f>
        <v>627</v>
      </c>
      <c r="Q28" s="38">
        <v>3</v>
      </c>
    </row>
    <row r="29" spans="1:17" x14ac:dyDescent="0.25">
      <c r="H29" s="38">
        <v>27</v>
      </c>
      <c r="I29" s="38">
        <f t="shared" si="2"/>
        <v>2232</v>
      </c>
      <c r="J29" s="38">
        <f t="shared" si="0"/>
        <v>776</v>
      </c>
      <c r="K29" s="38">
        <f t="shared" si="1"/>
        <v>306</v>
      </c>
      <c r="L29" s="38">
        <v>51</v>
      </c>
      <c r="M29" s="38">
        <f>SUM(I$3:I29)</f>
        <v>27158</v>
      </c>
      <c r="N29" s="38">
        <f>SUM(J$3:J29)</f>
        <v>9824</v>
      </c>
      <c r="O29" s="38">
        <f>SUM(K$3:K29)</f>
        <v>4056</v>
      </c>
      <c r="P29" s="38">
        <f>SUM(L$3:L29)</f>
        <v>678</v>
      </c>
      <c r="Q29" s="38">
        <v>3.1</v>
      </c>
    </row>
    <row r="30" spans="1:17" x14ac:dyDescent="0.25">
      <c r="H30" s="38">
        <v>28</v>
      </c>
      <c r="I30" s="38">
        <f t="shared" si="2"/>
        <v>2328</v>
      </c>
      <c r="J30" s="38">
        <f t="shared" si="0"/>
        <v>808</v>
      </c>
      <c r="K30" s="38">
        <f t="shared" si="1"/>
        <v>318</v>
      </c>
      <c r="L30" s="38">
        <v>53</v>
      </c>
      <c r="M30" s="38">
        <f>SUM(I$3:I30)</f>
        <v>29486</v>
      </c>
      <c r="N30" s="38">
        <f>SUM(J$3:J30)</f>
        <v>10632</v>
      </c>
      <c r="O30" s="38">
        <f>SUM(K$3:K30)</f>
        <v>4374</v>
      </c>
      <c r="P30" s="38">
        <f>SUM(L$3:L30)</f>
        <v>731</v>
      </c>
      <c r="Q30" s="38">
        <v>3.2</v>
      </c>
    </row>
    <row r="31" spans="1:17" x14ac:dyDescent="0.25">
      <c r="H31" s="38">
        <v>29</v>
      </c>
      <c r="I31" s="38">
        <f t="shared" si="2"/>
        <v>2424</v>
      </c>
      <c r="J31" s="38">
        <f t="shared" si="0"/>
        <v>840</v>
      </c>
      <c r="K31" s="38">
        <f t="shared" si="1"/>
        <v>330</v>
      </c>
      <c r="L31" s="38">
        <v>55</v>
      </c>
      <c r="M31" s="38">
        <f>SUM(I$3:I31)</f>
        <v>31910</v>
      </c>
      <c r="N31" s="38">
        <f>SUM(J$3:J31)</f>
        <v>11472</v>
      </c>
      <c r="O31" s="38">
        <f>SUM(K$3:K31)</f>
        <v>4704</v>
      </c>
      <c r="P31" s="38">
        <f>SUM(L$3:L31)</f>
        <v>786</v>
      </c>
      <c r="Q31" s="38">
        <v>3.3</v>
      </c>
    </row>
    <row r="32" spans="1:17" x14ac:dyDescent="0.25">
      <c r="H32" s="38">
        <v>30</v>
      </c>
      <c r="I32" s="38">
        <f t="shared" si="2"/>
        <v>2520</v>
      </c>
      <c r="J32" s="38">
        <f t="shared" si="0"/>
        <v>872</v>
      </c>
      <c r="K32" s="38">
        <f t="shared" si="1"/>
        <v>342</v>
      </c>
      <c r="L32" s="38">
        <v>57</v>
      </c>
      <c r="M32" s="38">
        <f>SUM(I$3:I32)</f>
        <v>34430</v>
      </c>
      <c r="N32" s="38">
        <f>SUM(J$3:J32)</f>
        <v>12344</v>
      </c>
      <c r="O32" s="38">
        <f>SUM(K$3:K32)</f>
        <v>5046</v>
      </c>
      <c r="P32" s="38">
        <f>SUM(L$3:L32)</f>
        <v>843</v>
      </c>
      <c r="Q32" s="38">
        <v>3.4</v>
      </c>
    </row>
    <row r="33" spans="7:17" x14ac:dyDescent="0.25">
      <c r="H33" s="38">
        <v>31</v>
      </c>
      <c r="I33" s="38">
        <f t="shared" si="2"/>
        <v>2616</v>
      </c>
      <c r="J33" s="38">
        <f t="shared" si="0"/>
        <v>904</v>
      </c>
      <c r="K33" s="38">
        <f t="shared" si="1"/>
        <v>354</v>
      </c>
      <c r="L33" s="38">
        <v>59</v>
      </c>
      <c r="M33" s="38">
        <f>SUM(I$3:I33)</f>
        <v>37046</v>
      </c>
      <c r="N33" s="38">
        <f>SUM(J$3:J33)</f>
        <v>13248</v>
      </c>
      <c r="O33" s="38">
        <f>SUM(K$3:K33)</f>
        <v>5400</v>
      </c>
      <c r="P33" s="38">
        <f>SUM(L$3:L33)</f>
        <v>902</v>
      </c>
      <c r="Q33" s="38">
        <v>3.5</v>
      </c>
    </row>
    <row r="34" spans="7:17" x14ac:dyDescent="0.25">
      <c r="H34" s="38">
        <v>32</v>
      </c>
      <c r="I34" s="38">
        <f t="shared" si="2"/>
        <v>2712</v>
      </c>
      <c r="J34" s="38">
        <f t="shared" si="0"/>
        <v>936</v>
      </c>
      <c r="K34" s="38">
        <f t="shared" si="1"/>
        <v>366</v>
      </c>
      <c r="L34" s="38">
        <v>61</v>
      </c>
      <c r="M34" s="38">
        <f>SUM(I$3:I34)</f>
        <v>39758</v>
      </c>
      <c r="N34" s="38">
        <f>SUM(J$3:J34)</f>
        <v>14184</v>
      </c>
      <c r="O34" s="38">
        <f>SUM(K$3:K34)</f>
        <v>5766</v>
      </c>
      <c r="P34" s="38">
        <f>SUM(L$3:L34)</f>
        <v>963</v>
      </c>
      <c r="Q34" s="38">
        <v>3.6</v>
      </c>
    </row>
    <row r="35" spans="7:17" x14ac:dyDescent="0.25">
      <c r="H35" s="38">
        <v>33</v>
      </c>
      <c r="I35" s="38">
        <f t="shared" si="2"/>
        <v>2808</v>
      </c>
      <c r="J35" s="38">
        <f t="shared" si="0"/>
        <v>968</v>
      </c>
      <c r="K35" s="38">
        <f t="shared" si="1"/>
        <v>378</v>
      </c>
      <c r="L35" s="38">
        <v>63</v>
      </c>
      <c r="M35" s="38">
        <f>SUM(I$3:I35)</f>
        <v>42566</v>
      </c>
      <c r="N35" s="38">
        <f>SUM(J$3:J35)</f>
        <v>15152</v>
      </c>
      <c r="O35" s="38">
        <f>SUM(K$3:K35)</f>
        <v>6144</v>
      </c>
      <c r="P35" s="38">
        <f>SUM(L$3:L35)</f>
        <v>1026</v>
      </c>
      <c r="Q35" s="38">
        <v>3.7</v>
      </c>
    </row>
    <row r="36" spans="7:17" x14ac:dyDescent="0.25">
      <c r="H36" s="38">
        <v>34</v>
      </c>
      <c r="I36" s="38">
        <f t="shared" si="2"/>
        <v>2904</v>
      </c>
      <c r="J36" s="38">
        <f t="shared" si="0"/>
        <v>1000</v>
      </c>
      <c r="K36" s="38">
        <f t="shared" si="1"/>
        <v>390</v>
      </c>
      <c r="L36" s="38">
        <v>65</v>
      </c>
      <c r="M36" s="38">
        <f>SUM(I$3:I36)</f>
        <v>45470</v>
      </c>
      <c r="N36" s="38">
        <f>SUM(J$3:J36)</f>
        <v>16152</v>
      </c>
      <c r="O36" s="38">
        <f>SUM(K$3:K36)</f>
        <v>6534</v>
      </c>
      <c r="P36" s="38">
        <f>SUM(L$3:L36)</f>
        <v>1091</v>
      </c>
      <c r="Q36" s="38">
        <v>3.8</v>
      </c>
    </row>
    <row r="37" spans="7:17" x14ac:dyDescent="0.25">
      <c r="H37" s="38">
        <v>35</v>
      </c>
      <c r="I37" s="38">
        <f t="shared" si="2"/>
        <v>3000</v>
      </c>
      <c r="J37" s="38">
        <f t="shared" si="0"/>
        <v>1032</v>
      </c>
      <c r="K37" s="38">
        <f t="shared" si="1"/>
        <v>402</v>
      </c>
      <c r="L37" s="38">
        <v>67</v>
      </c>
      <c r="M37" s="38">
        <f>SUM(I$3:I37)</f>
        <v>48470</v>
      </c>
      <c r="N37" s="38">
        <f>SUM(J$3:J37)</f>
        <v>17184</v>
      </c>
      <c r="O37" s="38">
        <f>SUM(K$3:K37)</f>
        <v>6936</v>
      </c>
      <c r="P37" s="38">
        <f>SUM(L$3:L37)</f>
        <v>1158</v>
      </c>
      <c r="Q37" s="38">
        <v>3.9</v>
      </c>
    </row>
    <row r="38" spans="7:17" x14ac:dyDescent="0.25">
      <c r="H38" s="38">
        <v>36</v>
      </c>
      <c r="I38" s="38">
        <f t="shared" si="2"/>
        <v>3096</v>
      </c>
      <c r="J38" s="38">
        <f t="shared" si="0"/>
        <v>1064</v>
      </c>
      <c r="K38" s="38">
        <f t="shared" si="1"/>
        <v>414</v>
      </c>
      <c r="L38" s="38">
        <v>69</v>
      </c>
      <c r="M38" s="38">
        <f>SUM(I$3:I38)</f>
        <v>51566</v>
      </c>
      <c r="N38" s="38">
        <f>SUM(J$3:J38)</f>
        <v>18248</v>
      </c>
      <c r="O38" s="38">
        <f>SUM(K$3:K38)</f>
        <v>7350</v>
      </c>
      <c r="P38" s="38">
        <f>SUM(L$3:L38)</f>
        <v>1227</v>
      </c>
      <c r="Q38" s="38">
        <v>4</v>
      </c>
    </row>
    <row r="39" spans="7:17" x14ac:dyDescent="0.25">
      <c r="H39" s="38">
        <v>37</v>
      </c>
      <c r="I39" s="38">
        <f t="shared" si="2"/>
        <v>3192</v>
      </c>
      <c r="J39" s="38">
        <f t="shared" si="0"/>
        <v>1096</v>
      </c>
      <c r="K39" s="38">
        <f t="shared" si="1"/>
        <v>426</v>
      </c>
      <c r="L39" s="38">
        <v>71</v>
      </c>
      <c r="M39" s="38">
        <f>SUM(I$3:I39)</f>
        <v>54758</v>
      </c>
      <c r="N39" s="38">
        <f>SUM(J$3:J39)</f>
        <v>19344</v>
      </c>
      <c r="O39" s="38">
        <f>SUM(K$3:K39)</f>
        <v>7776</v>
      </c>
      <c r="P39" s="38">
        <f>SUM(L$3:L39)</f>
        <v>1298</v>
      </c>
      <c r="Q39" s="38">
        <v>4.0999999999999996</v>
      </c>
    </row>
    <row r="40" spans="7:17" x14ac:dyDescent="0.25">
      <c r="H40" s="38">
        <v>38</v>
      </c>
      <c r="I40" s="38">
        <f t="shared" si="2"/>
        <v>3288</v>
      </c>
      <c r="J40" s="38">
        <f t="shared" si="0"/>
        <v>1128</v>
      </c>
      <c r="K40" s="38">
        <f t="shared" si="1"/>
        <v>438</v>
      </c>
      <c r="L40" s="38">
        <v>73</v>
      </c>
      <c r="M40" s="38">
        <f>SUM(I$3:I40)</f>
        <v>58046</v>
      </c>
      <c r="N40" s="38">
        <f>SUM(J$3:J40)</f>
        <v>20472</v>
      </c>
      <c r="O40" s="38">
        <f>SUM(K$3:K40)</f>
        <v>8214</v>
      </c>
      <c r="P40" s="38">
        <f>SUM(L$3:L40)</f>
        <v>1371</v>
      </c>
      <c r="Q40" s="38">
        <v>4.2</v>
      </c>
    </row>
    <row r="41" spans="7:17" x14ac:dyDescent="0.25">
      <c r="H41" s="38">
        <v>39</v>
      </c>
      <c r="I41" s="38">
        <f t="shared" si="2"/>
        <v>3384</v>
      </c>
      <c r="J41" s="38">
        <f t="shared" si="0"/>
        <v>1160</v>
      </c>
      <c r="K41" s="38">
        <f t="shared" si="1"/>
        <v>450</v>
      </c>
      <c r="L41" s="38">
        <v>75</v>
      </c>
      <c r="M41" s="38">
        <f>SUM(I$3:I41)</f>
        <v>61430</v>
      </c>
      <c r="N41" s="38">
        <f>SUM(J$3:J41)</f>
        <v>21632</v>
      </c>
      <c r="O41" s="38">
        <f>SUM(K$3:K41)</f>
        <v>8664</v>
      </c>
      <c r="P41" s="38">
        <f>SUM(L$3:L41)</f>
        <v>1446</v>
      </c>
      <c r="Q41" s="38">
        <v>4.3</v>
      </c>
    </row>
    <row r="42" spans="7:17" x14ac:dyDescent="0.25">
      <c r="H42" s="38">
        <v>40</v>
      </c>
      <c r="I42" s="38">
        <f t="shared" si="2"/>
        <v>3480</v>
      </c>
      <c r="J42" s="38">
        <f t="shared" si="0"/>
        <v>1192</v>
      </c>
      <c r="K42" s="38">
        <f t="shared" si="1"/>
        <v>462</v>
      </c>
      <c r="L42" s="38">
        <v>77</v>
      </c>
      <c r="M42" s="38">
        <f>SUM(I$3:I42)</f>
        <v>64910</v>
      </c>
      <c r="N42" s="38">
        <f>SUM(J$3:J42)</f>
        <v>22824</v>
      </c>
      <c r="O42" s="38">
        <f>SUM(K$3:K42)</f>
        <v>9126</v>
      </c>
      <c r="P42" s="38">
        <f>SUM(L$3:L42)</f>
        <v>1523</v>
      </c>
      <c r="Q42" s="38">
        <v>4.4000000000000004</v>
      </c>
    </row>
    <row r="43" spans="7:17" x14ac:dyDescent="0.25">
      <c r="H43" s="38">
        <v>41</v>
      </c>
      <c r="I43" s="38">
        <f t="shared" si="2"/>
        <v>3576</v>
      </c>
      <c r="J43" s="38">
        <f t="shared" si="0"/>
        <v>1224</v>
      </c>
      <c r="K43" s="38">
        <f t="shared" si="1"/>
        <v>474</v>
      </c>
      <c r="L43" s="38">
        <v>79</v>
      </c>
      <c r="M43" s="38">
        <f>SUM(I$3:I43)</f>
        <v>68486</v>
      </c>
      <c r="N43" s="38">
        <f>SUM(J$3:J43)</f>
        <v>24048</v>
      </c>
      <c r="O43" s="38">
        <f>SUM(K$3:K43)</f>
        <v>9600</v>
      </c>
      <c r="P43" s="38">
        <f>SUM(L$3:L43)</f>
        <v>1602</v>
      </c>
      <c r="Q43" s="38">
        <v>4.5</v>
      </c>
    </row>
    <row r="44" spans="7:17" x14ac:dyDescent="0.25">
      <c r="H44" s="38">
        <v>42</v>
      </c>
      <c r="I44" s="38">
        <f t="shared" si="2"/>
        <v>3672</v>
      </c>
      <c r="J44" s="38">
        <f t="shared" si="0"/>
        <v>1256</v>
      </c>
      <c r="K44" s="38">
        <f t="shared" si="1"/>
        <v>486</v>
      </c>
      <c r="L44" s="38">
        <v>81</v>
      </c>
      <c r="M44" s="38">
        <f>SUM(I$3:I44)</f>
        <v>72158</v>
      </c>
      <c r="N44" s="38">
        <f>SUM(J$3:J44)</f>
        <v>25304</v>
      </c>
      <c r="O44" s="38">
        <f>SUM(K$3:K44)</f>
        <v>10086</v>
      </c>
      <c r="P44" s="38">
        <f>SUM(L$3:L44)</f>
        <v>1683</v>
      </c>
      <c r="Q44" s="38">
        <v>4.5999999999999996</v>
      </c>
    </row>
    <row r="45" spans="7:17" x14ac:dyDescent="0.25">
      <c r="H45" s="38">
        <v>43</v>
      </c>
      <c r="I45" s="38">
        <f t="shared" si="2"/>
        <v>3768</v>
      </c>
      <c r="J45" s="38">
        <f t="shared" si="0"/>
        <v>1288</v>
      </c>
      <c r="K45" s="38">
        <f t="shared" si="1"/>
        <v>498</v>
      </c>
      <c r="L45" s="38">
        <v>83</v>
      </c>
      <c r="M45" s="38">
        <f>SUM(I$3:I45)</f>
        <v>75926</v>
      </c>
      <c r="N45" s="38">
        <f>SUM(J$3:J45)</f>
        <v>26592</v>
      </c>
      <c r="O45" s="38">
        <f>SUM(K$3:K45)</f>
        <v>10584</v>
      </c>
      <c r="P45" s="38">
        <f>SUM(L$3:L45)</f>
        <v>1766</v>
      </c>
      <c r="Q45" s="38">
        <v>4.7</v>
      </c>
    </row>
    <row r="46" spans="7:17" x14ac:dyDescent="0.25">
      <c r="H46" s="38">
        <v>44</v>
      </c>
      <c r="I46" s="38">
        <f t="shared" si="2"/>
        <v>3864</v>
      </c>
      <c r="J46" s="38">
        <f t="shared" si="0"/>
        <v>1320</v>
      </c>
      <c r="K46" s="38">
        <f t="shared" si="1"/>
        <v>510</v>
      </c>
      <c r="L46" s="38">
        <v>85</v>
      </c>
      <c r="M46" s="38">
        <f>SUM(I$3:I46)</f>
        <v>79790</v>
      </c>
      <c r="N46" s="38">
        <f>SUM(J$3:J46)</f>
        <v>27912</v>
      </c>
      <c r="O46" s="38">
        <f>SUM(K$3:K46)</f>
        <v>11094</v>
      </c>
      <c r="P46" s="38">
        <f>SUM(L$3:L46)</f>
        <v>1851</v>
      </c>
      <c r="Q46" s="38">
        <v>4.8</v>
      </c>
    </row>
    <row r="47" spans="7:17" x14ac:dyDescent="0.25">
      <c r="G47">
        <f>K47/商城宝箱!$H$42</f>
        <v>3.7285714285714286</v>
      </c>
      <c r="H47" s="38">
        <v>45</v>
      </c>
      <c r="I47" s="38">
        <f t="shared" si="2"/>
        <v>3960</v>
      </c>
      <c r="J47" s="38">
        <f t="shared" si="0"/>
        <v>1352</v>
      </c>
      <c r="K47" s="38">
        <f t="shared" si="1"/>
        <v>522</v>
      </c>
      <c r="L47" s="38">
        <v>87</v>
      </c>
      <c r="M47" s="38">
        <f>SUM(I$3:I47)</f>
        <v>83750</v>
      </c>
      <c r="N47" s="38">
        <f>SUM(J$3:J47)</f>
        <v>29264</v>
      </c>
      <c r="O47" s="38">
        <f>SUM(K$3:K47)</f>
        <v>11616</v>
      </c>
      <c r="P47" s="38">
        <f>SUM(L$3:L47)</f>
        <v>1938</v>
      </c>
      <c r="Q47" s="38">
        <v>4.9000000000000004</v>
      </c>
    </row>
    <row r="48" spans="7:17" x14ac:dyDescent="0.25">
      <c r="G48">
        <f>K48/商城宝箱!$H$42</f>
        <v>3.8142857142857145</v>
      </c>
      <c r="H48" s="38">
        <v>46</v>
      </c>
      <c r="I48" s="38">
        <f t="shared" si="2"/>
        <v>4056</v>
      </c>
      <c r="J48" s="38">
        <f t="shared" si="0"/>
        <v>1384</v>
      </c>
      <c r="K48" s="38">
        <f t="shared" si="1"/>
        <v>534</v>
      </c>
      <c r="L48" s="38">
        <v>89</v>
      </c>
      <c r="M48" s="38">
        <f>SUM(I$3:I48)</f>
        <v>87806</v>
      </c>
      <c r="N48" s="38">
        <f>SUM(J$3:J48)</f>
        <v>30648</v>
      </c>
      <c r="O48" s="38">
        <f>SUM(K$3:K48)</f>
        <v>12150</v>
      </c>
      <c r="P48" s="38">
        <f>SUM(L$3:L48)</f>
        <v>2027</v>
      </c>
      <c r="Q48" s="38">
        <v>5</v>
      </c>
    </row>
    <row r="49" spans="7:17" x14ac:dyDescent="0.25">
      <c r="G49">
        <f>K49/商城宝箱!$H$42</f>
        <v>3.9</v>
      </c>
      <c r="H49" s="38">
        <v>47</v>
      </c>
      <c r="I49" s="38">
        <f t="shared" si="2"/>
        <v>4152</v>
      </c>
      <c r="J49" s="38">
        <f t="shared" si="0"/>
        <v>1416</v>
      </c>
      <c r="K49" s="38">
        <f t="shared" si="1"/>
        <v>546</v>
      </c>
      <c r="L49" s="38">
        <v>91</v>
      </c>
      <c r="M49" s="38">
        <f>SUM(I$3:I49)</f>
        <v>91958</v>
      </c>
      <c r="N49" s="38">
        <f>SUM(J$3:J49)</f>
        <v>32064</v>
      </c>
      <c r="O49" s="38">
        <f>SUM(K$3:K49)</f>
        <v>12696</v>
      </c>
      <c r="P49" s="38">
        <f>SUM(L$3:L49)</f>
        <v>2118</v>
      </c>
      <c r="Q49" s="38">
        <v>5.0999999999999996</v>
      </c>
    </row>
    <row r="50" spans="7:17" x14ac:dyDescent="0.25">
      <c r="G50">
        <f>K50/商城宝箱!$H$42</f>
        <v>3.9857142857142858</v>
      </c>
      <c r="H50" s="38">
        <v>48</v>
      </c>
      <c r="I50" s="38">
        <f t="shared" si="2"/>
        <v>4248</v>
      </c>
      <c r="J50" s="38">
        <f t="shared" si="0"/>
        <v>1448</v>
      </c>
      <c r="K50" s="38">
        <f t="shared" si="1"/>
        <v>558</v>
      </c>
      <c r="L50" s="38">
        <v>93</v>
      </c>
      <c r="M50" s="38">
        <f>SUM(I$3:I50)</f>
        <v>96206</v>
      </c>
      <c r="N50" s="38">
        <f>SUM(J$3:J50)</f>
        <v>33512</v>
      </c>
      <c r="O50" s="38">
        <f>SUM(K$3:K50)</f>
        <v>13254</v>
      </c>
      <c r="P50" s="38">
        <f>SUM(L$3:L50)</f>
        <v>2211</v>
      </c>
      <c r="Q50" s="38">
        <v>5.2</v>
      </c>
    </row>
    <row r="51" spans="7:17" x14ac:dyDescent="0.25">
      <c r="G51">
        <f>K51/商城宝箱!$H$42</f>
        <v>4.0714285714285712</v>
      </c>
      <c r="H51" s="38">
        <v>49</v>
      </c>
      <c r="I51" s="38">
        <f t="shared" si="2"/>
        <v>4344</v>
      </c>
      <c r="J51" s="38">
        <f t="shared" si="0"/>
        <v>1480</v>
      </c>
      <c r="K51" s="38">
        <f t="shared" si="1"/>
        <v>570</v>
      </c>
      <c r="L51" s="38">
        <v>95</v>
      </c>
      <c r="M51" s="38">
        <f>SUM(I$3:I51)</f>
        <v>100550</v>
      </c>
      <c r="N51" s="38">
        <f>SUM(J$3:J51)</f>
        <v>34992</v>
      </c>
      <c r="O51" s="38">
        <f>SUM(K$3:K51)</f>
        <v>13824</v>
      </c>
      <c r="P51" s="38">
        <f>SUM(L$3:L51)</f>
        <v>2306</v>
      </c>
      <c r="Q51" s="38">
        <v>5.3</v>
      </c>
    </row>
    <row r="52" spans="7:17" x14ac:dyDescent="0.25">
      <c r="G52">
        <f>K52/商城宝箱!$H$42</f>
        <v>4.1571428571428575</v>
      </c>
      <c r="H52" s="38">
        <v>50</v>
      </c>
      <c r="I52" s="38">
        <f t="shared" si="2"/>
        <v>4440</v>
      </c>
      <c r="J52" s="38">
        <f t="shared" si="0"/>
        <v>1512</v>
      </c>
      <c r="K52" s="38">
        <f t="shared" si="1"/>
        <v>582</v>
      </c>
      <c r="L52" s="38">
        <v>97</v>
      </c>
      <c r="M52" s="38">
        <f>SUM(I$3:I52)</f>
        <v>104990</v>
      </c>
      <c r="N52" s="38">
        <f>SUM(J$3:J52)</f>
        <v>36504</v>
      </c>
      <c r="O52" s="38">
        <f>SUM(K$3:K52)</f>
        <v>14406</v>
      </c>
      <c r="P52" s="38">
        <f>SUM(L$3:L52)</f>
        <v>2403</v>
      </c>
      <c r="Q52" s="38">
        <v>5.4</v>
      </c>
    </row>
    <row r="53" spans="7:17" x14ac:dyDescent="0.25">
      <c r="G53">
        <f>K53/商城宝箱!$H$42</f>
        <v>4.2428571428571429</v>
      </c>
      <c r="H53" s="38">
        <v>51</v>
      </c>
      <c r="I53" s="38">
        <f t="shared" si="2"/>
        <v>4536</v>
      </c>
      <c r="J53" s="38">
        <f t="shared" si="0"/>
        <v>1544</v>
      </c>
      <c r="K53" s="38">
        <f t="shared" si="1"/>
        <v>594</v>
      </c>
      <c r="L53" s="38">
        <v>99</v>
      </c>
      <c r="M53" s="38">
        <f>SUM(I$3:I53)</f>
        <v>109526</v>
      </c>
      <c r="N53" s="38">
        <f>SUM(J$3:J53)</f>
        <v>38048</v>
      </c>
      <c r="O53" s="38">
        <f>SUM(K$3:K53)</f>
        <v>15000</v>
      </c>
      <c r="P53" s="38">
        <f>SUM(L$3:L53)</f>
        <v>2502</v>
      </c>
      <c r="Q53" s="38">
        <v>5.5</v>
      </c>
    </row>
    <row r="54" spans="7:17" x14ac:dyDescent="0.25">
      <c r="G54">
        <f>K54/商城宝箱!$H$42</f>
        <v>4.3285714285714283</v>
      </c>
      <c r="H54" s="38">
        <v>52</v>
      </c>
      <c r="I54" s="38">
        <f t="shared" si="2"/>
        <v>4632</v>
      </c>
      <c r="J54" s="38">
        <f t="shared" si="0"/>
        <v>1576</v>
      </c>
      <c r="K54" s="38">
        <f t="shared" si="1"/>
        <v>606</v>
      </c>
      <c r="L54" s="38">
        <v>101</v>
      </c>
      <c r="M54" s="38">
        <f>SUM(I$3:I54)</f>
        <v>114158</v>
      </c>
      <c r="N54" s="38">
        <f>SUM(J$3:J54)</f>
        <v>39624</v>
      </c>
      <c r="O54" s="38">
        <f>SUM(K$3:K54)</f>
        <v>15606</v>
      </c>
      <c r="P54" s="38">
        <f>SUM(L$3:L54)</f>
        <v>2603</v>
      </c>
      <c r="Q54" s="38">
        <v>5.6</v>
      </c>
    </row>
    <row r="55" spans="7:17" x14ac:dyDescent="0.25">
      <c r="G55">
        <f>K55/商城宝箱!$H$42</f>
        <v>4.4142857142857146</v>
      </c>
      <c r="H55" s="38">
        <v>53</v>
      </c>
      <c r="I55" s="38">
        <f t="shared" si="2"/>
        <v>4728</v>
      </c>
      <c r="J55" s="38">
        <f t="shared" si="0"/>
        <v>1608</v>
      </c>
      <c r="K55" s="38">
        <f t="shared" si="1"/>
        <v>618</v>
      </c>
      <c r="L55" s="38">
        <v>103</v>
      </c>
      <c r="M55" s="38">
        <f>SUM(I$3:I55)</f>
        <v>118886</v>
      </c>
      <c r="N55" s="38">
        <f>SUM(J$3:J55)</f>
        <v>41232</v>
      </c>
      <c r="O55" s="38">
        <f>SUM(K$3:K55)</f>
        <v>16224</v>
      </c>
      <c r="P55" s="38">
        <f>SUM(L$3:L55)</f>
        <v>2706</v>
      </c>
      <c r="Q55" s="38">
        <v>5.7</v>
      </c>
    </row>
    <row r="56" spans="7:17" x14ac:dyDescent="0.25">
      <c r="G56">
        <f>K56/商城宝箱!$H$42</f>
        <v>4.5</v>
      </c>
      <c r="H56" s="38">
        <v>54</v>
      </c>
      <c r="I56" s="38">
        <f t="shared" si="2"/>
        <v>4824</v>
      </c>
      <c r="J56" s="38">
        <f t="shared" si="0"/>
        <v>1640</v>
      </c>
      <c r="K56" s="38">
        <f t="shared" si="1"/>
        <v>630</v>
      </c>
      <c r="L56" s="38">
        <v>105</v>
      </c>
      <c r="M56" s="38">
        <f>SUM(I$3:I56)</f>
        <v>123710</v>
      </c>
      <c r="N56" s="38">
        <f>SUM(J$3:J56)</f>
        <v>42872</v>
      </c>
      <c r="O56" s="38">
        <f>SUM(K$3:K56)</f>
        <v>16854</v>
      </c>
      <c r="P56" s="38">
        <f>SUM(L$3:L56)</f>
        <v>2811</v>
      </c>
      <c r="Q56" s="38">
        <v>5.8</v>
      </c>
    </row>
    <row r="57" spans="7:17" x14ac:dyDescent="0.25">
      <c r="G57">
        <f>K57/商城宝箱!$H$42</f>
        <v>4.5857142857142854</v>
      </c>
      <c r="H57" s="38">
        <v>55</v>
      </c>
      <c r="I57" s="38">
        <f t="shared" si="2"/>
        <v>4920</v>
      </c>
      <c r="J57" s="38">
        <f t="shared" si="0"/>
        <v>1672</v>
      </c>
      <c r="K57" s="38">
        <f t="shared" si="1"/>
        <v>642</v>
      </c>
      <c r="L57" s="38">
        <v>107</v>
      </c>
      <c r="M57" s="38">
        <f>SUM(I$3:I57)</f>
        <v>128630</v>
      </c>
      <c r="N57" s="38">
        <f>SUM(J$3:J57)</f>
        <v>44544</v>
      </c>
      <c r="O57" s="38">
        <f>SUM(K$3:K57)</f>
        <v>17496</v>
      </c>
      <c r="P57" s="38">
        <f>SUM(L$3:L57)</f>
        <v>2918</v>
      </c>
      <c r="Q57" s="38">
        <v>5.9</v>
      </c>
    </row>
    <row r="58" spans="7:17" x14ac:dyDescent="0.25">
      <c r="G58">
        <f>K58/商城宝箱!$H$42</f>
        <v>4.6714285714285717</v>
      </c>
      <c r="H58" s="38">
        <v>56</v>
      </c>
      <c r="I58" s="38">
        <f t="shared" si="2"/>
        <v>5016</v>
      </c>
      <c r="J58" s="38">
        <f t="shared" si="0"/>
        <v>1704</v>
      </c>
      <c r="K58" s="38">
        <f t="shared" si="1"/>
        <v>654</v>
      </c>
      <c r="L58" s="38">
        <v>109</v>
      </c>
      <c r="M58" s="38">
        <f>SUM(I$3:I58)</f>
        <v>133646</v>
      </c>
      <c r="N58" s="38">
        <f>SUM(J$3:J58)</f>
        <v>46248</v>
      </c>
      <c r="O58" s="38">
        <f>SUM(K$3:K58)</f>
        <v>18150</v>
      </c>
      <c r="P58" s="38">
        <f>SUM(L$3:L58)</f>
        <v>3027</v>
      </c>
      <c r="Q58" s="38">
        <v>6</v>
      </c>
    </row>
    <row r="59" spans="7:17" x14ac:dyDescent="0.25">
      <c r="G59">
        <f>K59/商城宝箱!$H$42</f>
        <v>4.7571428571428571</v>
      </c>
      <c r="H59" s="38">
        <v>57</v>
      </c>
      <c r="I59" s="38">
        <f t="shared" si="2"/>
        <v>5112</v>
      </c>
      <c r="J59" s="38">
        <f t="shared" si="0"/>
        <v>1736</v>
      </c>
      <c r="K59" s="38">
        <f t="shared" si="1"/>
        <v>666</v>
      </c>
      <c r="L59" s="38">
        <v>111</v>
      </c>
      <c r="M59" s="38">
        <f>SUM(I$3:I59)</f>
        <v>138758</v>
      </c>
      <c r="N59" s="38">
        <f>SUM(J$3:J59)</f>
        <v>47984</v>
      </c>
      <c r="O59" s="38">
        <f>SUM(K$3:K59)</f>
        <v>18816</v>
      </c>
      <c r="P59" s="38">
        <f>SUM(L$3:L59)</f>
        <v>3138</v>
      </c>
      <c r="Q59" s="38">
        <v>6.1</v>
      </c>
    </row>
    <row r="60" spans="7:17" x14ac:dyDescent="0.25">
      <c r="G60">
        <f>K60/商城宝箱!$H$42</f>
        <v>4.8428571428571425</v>
      </c>
      <c r="H60" s="38">
        <v>58</v>
      </c>
      <c r="I60" s="38">
        <f t="shared" si="2"/>
        <v>5208</v>
      </c>
      <c r="J60" s="38">
        <f t="shared" si="0"/>
        <v>1768</v>
      </c>
      <c r="K60" s="38">
        <f t="shared" si="1"/>
        <v>678</v>
      </c>
      <c r="L60" s="38">
        <v>113</v>
      </c>
      <c r="M60" s="38">
        <f>SUM(I$3:I60)</f>
        <v>143966</v>
      </c>
      <c r="N60" s="38">
        <f>SUM(J$3:J60)</f>
        <v>49752</v>
      </c>
      <c r="O60" s="38">
        <f>SUM(K$3:K60)</f>
        <v>19494</v>
      </c>
      <c r="P60" s="38">
        <f>SUM(L$3:L60)</f>
        <v>3251</v>
      </c>
      <c r="Q60" s="38">
        <v>6.2</v>
      </c>
    </row>
    <row r="61" spans="7:17" x14ac:dyDescent="0.25">
      <c r="G61">
        <f>K61/商城宝箱!$H$42</f>
        <v>4.9285714285714288</v>
      </c>
      <c r="H61" s="38">
        <v>59</v>
      </c>
      <c r="I61" s="38">
        <f t="shared" si="2"/>
        <v>5304</v>
      </c>
      <c r="J61" s="38">
        <f t="shared" si="0"/>
        <v>1800</v>
      </c>
      <c r="K61" s="38">
        <f t="shared" si="1"/>
        <v>690</v>
      </c>
      <c r="L61" s="38">
        <v>115</v>
      </c>
      <c r="M61" s="38">
        <f>SUM(I$3:I61)</f>
        <v>149270</v>
      </c>
      <c r="N61" s="38">
        <f>SUM(J$3:J61)</f>
        <v>51552</v>
      </c>
      <c r="O61" s="38">
        <f>SUM(K$3:K61)</f>
        <v>20184</v>
      </c>
      <c r="P61" s="38">
        <f>SUM(L$3:L61)</f>
        <v>3366</v>
      </c>
      <c r="Q61" s="38">
        <v>6.3</v>
      </c>
    </row>
    <row r="62" spans="7:17" x14ac:dyDescent="0.25">
      <c r="G62">
        <f>K62/商城宝箱!$H$42</f>
        <v>5.0142857142857142</v>
      </c>
      <c r="H62" s="38">
        <v>60</v>
      </c>
      <c r="I62" s="38">
        <f t="shared" si="2"/>
        <v>5400</v>
      </c>
      <c r="J62" s="38">
        <f t="shared" si="0"/>
        <v>1832</v>
      </c>
      <c r="K62" s="38">
        <f t="shared" si="1"/>
        <v>702</v>
      </c>
      <c r="L62" s="38">
        <v>117</v>
      </c>
      <c r="M62" s="38">
        <f>SUM(I$3:I62)</f>
        <v>154670</v>
      </c>
      <c r="N62" s="38">
        <f>SUM(J$3:J62)</f>
        <v>53384</v>
      </c>
      <c r="O62" s="38">
        <f>SUM(K$3:K62)</f>
        <v>20886</v>
      </c>
      <c r="P62" s="38">
        <f>SUM(L$3:L62)</f>
        <v>3483</v>
      </c>
      <c r="Q62" s="38">
        <v>6.4</v>
      </c>
    </row>
    <row r="63" spans="7:17" x14ac:dyDescent="0.25">
      <c r="G63">
        <f>K63/商城宝箱!$H$42</f>
        <v>5.0999999999999996</v>
      </c>
      <c r="H63" s="38">
        <v>61</v>
      </c>
      <c r="I63" s="38">
        <f t="shared" si="2"/>
        <v>5496</v>
      </c>
      <c r="J63" s="38">
        <f t="shared" si="0"/>
        <v>1864</v>
      </c>
      <c r="K63" s="38">
        <f t="shared" si="1"/>
        <v>714</v>
      </c>
      <c r="L63" s="38">
        <v>119</v>
      </c>
      <c r="M63" s="38">
        <f>SUM(I$3:I63)</f>
        <v>160166</v>
      </c>
      <c r="N63" s="38">
        <f>SUM(J$3:J63)</f>
        <v>55248</v>
      </c>
      <c r="O63" s="38">
        <f>SUM(K$3:K63)</f>
        <v>21600</v>
      </c>
      <c r="P63" s="38">
        <f>SUM(L$3:L63)</f>
        <v>3602</v>
      </c>
      <c r="Q63" s="38">
        <v>6.5</v>
      </c>
    </row>
    <row r="64" spans="7:17" x14ac:dyDescent="0.25">
      <c r="G64">
        <f>K64/商城宝箱!$H$42</f>
        <v>5.1857142857142859</v>
      </c>
      <c r="H64" s="38">
        <v>62</v>
      </c>
      <c r="I64" s="38">
        <f t="shared" si="2"/>
        <v>5592</v>
      </c>
      <c r="J64" s="38">
        <f t="shared" si="0"/>
        <v>1896</v>
      </c>
      <c r="K64" s="38">
        <f t="shared" si="1"/>
        <v>726</v>
      </c>
      <c r="L64" s="38">
        <v>121</v>
      </c>
      <c r="M64" s="38">
        <f>SUM(I$3:I64)</f>
        <v>165758</v>
      </c>
      <c r="N64" s="38">
        <f>SUM(J$3:J64)</f>
        <v>57144</v>
      </c>
      <c r="O64" s="38">
        <f>SUM(K$3:K64)</f>
        <v>22326</v>
      </c>
      <c r="P64" s="38">
        <f>SUM(L$3:L64)</f>
        <v>3723</v>
      </c>
      <c r="Q64" s="38">
        <v>6.6</v>
      </c>
    </row>
    <row r="65" spans="7:17" x14ac:dyDescent="0.25">
      <c r="G65">
        <f>K65/商城宝箱!$H$42</f>
        <v>5.2714285714285714</v>
      </c>
      <c r="H65" s="38">
        <v>63</v>
      </c>
      <c r="I65" s="38">
        <f t="shared" si="2"/>
        <v>5688</v>
      </c>
      <c r="J65" s="38">
        <f t="shared" si="0"/>
        <v>1928</v>
      </c>
      <c r="K65" s="38">
        <f t="shared" si="1"/>
        <v>738</v>
      </c>
      <c r="L65" s="38">
        <v>123</v>
      </c>
      <c r="M65" s="38">
        <f>SUM(I$3:I65)</f>
        <v>171446</v>
      </c>
      <c r="N65" s="38">
        <f>SUM(J$3:J65)</f>
        <v>59072</v>
      </c>
      <c r="O65" s="38">
        <f>SUM(K$3:K65)</f>
        <v>23064</v>
      </c>
      <c r="P65" s="38">
        <f>SUM(L$3:L65)</f>
        <v>3846</v>
      </c>
      <c r="Q65" s="38">
        <v>6.7</v>
      </c>
    </row>
    <row r="66" spans="7:17" x14ac:dyDescent="0.25">
      <c r="G66">
        <f>K66/商城宝箱!$H$42</f>
        <v>5.3571428571428568</v>
      </c>
      <c r="H66" s="38">
        <v>64</v>
      </c>
      <c r="I66" s="38">
        <f t="shared" si="2"/>
        <v>5784</v>
      </c>
      <c r="J66" s="38">
        <f t="shared" si="0"/>
        <v>1960</v>
      </c>
      <c r="K66" s="38">
        <f t="shared" si="1"/>
        <v>750</v>
      </c>
      <c r="L66" s="38">
        <v>125</v>
      </c>
      <c r="M66" s="38">
        <f>SUM(I$3:I66)</f>
        <v>177230</v>
      </c>
      <c r="N66" s="38">
        <f>SUM(J$3:J66)</f>
        <v>61032</v>
      </c>
      <c r="O66" s="38">
        <f>SUM(K$3:K66)</f>
        <v>23814</v>
      </c>
      <c r="P66" s="38">
        <f>SUM(L$3:L66)</f>
        <v>3971</v>
      </c>
      <c r="Q66" s="38">
        <v>6.8</v>
      </c>
    </row>
    <row r="67" spans="7:17" x14ac:dyDescent="0.25">
      <c r="G67">
        <f>K67/商城宝箱!$H$42</f>
        <v>5.4428571428571431</v>
      </c>
      <c r="H67" s="38">
        <v>65</v>
      </c>
      <c r="I67" s="38">
        <f t="shared" si="2"/>
        <v>5880</v>
      </c>
      <c r="J67" s="38">
        <f t="shared" si="0"/>
        <v>1992</v>
      </c>
      <c r="K67" s="38">
        <f t="shared" si="1"/>
        <v>762</v>
      </c>
      <c r="L67" s="38">
        <v>127</v>
      </c>
      <c r="M67" s="38">
        <f>SUM(I$3:I67)</f>
        <v>183110</v>
      </c>
      <c r="N67" s="38">
        <f>SUM(J$3:J67)</f>
        <v>63024</v>
      </c>
      <c r="O67" s="38">
        <f>SUM(K$3:K67)</f>
        <v>24576</v>
      </c>
      <c r="P67" s="38">
        <f>SUM(L$3:L67)</f>
        <v>4098</v>
      </c>
      <c r="Q67" s="38">
        <v>6.9</v>
      </c>
    </row>
    <row r="68" spans="7:17" x14ac:dyDescent="0.25">
      <c r="G68">
        <f>K68/商城宝箱!$H$42</f>
        <v>5.5285714285714285</v>
      </c>
      <c r="H68" s="38">
        <v>66</v>
      </c>
      <c r="I68" s="38">
        <f t="shared" si="2"/>
        <v>5976</v>
      </c>
      <c r="J68" s="38">
        <f t="shared" si="0"/>
        <v>2024</v>
      </c>
      <c r="K68" s="38">
        <f t="shared" si="1"/>
        <v>774</v>
      </c>
      <c r="L68" s="38">
        <v>129</v>
      </c>
      <c r="M68" s="38">
        <f>SUM(I$3:I68)</f>
        <v>189086</v>
      </c>
      <c r="N68" s="38">
        <f>SUM(J$3:J68)</f>
        <v>65048</v>
      </c>
      <c r="O68" s="38">
        <f>SUM(K$3:K68)</f>
        <v>25350</v>
      </c>
      <c r="P68" s="38">
        <f>SUM(L$3:L68)</f>
        <v>4227</v>
      </c>
      <c r="Q68" s="38">
        <v>7</v>
      </c>
    </row>
    <row r="69" spans="7:17" x14ac:dyDescent="0.25">
      <c r="G69">
        <f>K69/商城宝箱!$H$42</f>
        <v>5.6142857142857139</v>
      </c>
      <c r="H69" s="38">
        <v>67</v>
      </c>
      <c r="I69" s="38">
        <f t="shared" si="2"/>
        <v>6072</v>
      </c>
      <c r="J69" s="38">
        <f t="shared" si="0"/>
        <v>2056</v>
      </c>
      <c r="K69" s="38">
        <f t="shared" si="1"/>
        <v>786</v>
      </c>
      <c r="L69" s="38">
        <v>131</v>
      </c>
      <c r="M69" s="38">
        <f>SUM(I$3:I69)</f>
        <v>195158</v>
      </c>
      <c r="N69" s="38">
        <f>SUM(J$3:J69)</f>
        <v>67104</v>
      </c>
      <c r="O69" s="38">
        <f>SUM(K$3:K69)</f>
        <v>26136</v>
      </c>
      <c r="P69" s="38">
        <f>SUM(L$3:L69)</f>
        <v>4358</v>
      </c>
      <c r="Q69" s="38">
        <v>7.1</v>
      </c>
    </row>
    <row r="70" spans="7:17" x14ac:dyDescent="0.25">
      <c r="G70">
        <f>K70/商城宝箱!$H$42</f>
        <v>5.7</v>
      </c>
      <c r="H70" s="38">
        <v>68</v>
      </c>
      <c r="I70" s="38">
        <f t="shared" si="2"/>
        <v>6168</v>
      </c>
      <c r="J70" s="38">
        <f t="shared" si="0"/>
        <v>2088</v>
      </c>
      <c r="K70" s="38">
        <f t="shared" si="1"/>
        <v>798</v>
      </c>
      <c r="L70" s="38">
        <v>133</v>
      </c>
      <c r="M70" s="38">
        <f>SUM(I$3:I70)</f>
        <v>201326</v>
      </c>
      <c r="N70" s="38">
        <f>SUM(J$3:J70)</f>
        <v>69192</v>
      </c>
      <c r="O70" s="38">
        <f>SUM(K$3:K70)</f>
        <v>26934</v>
      </c>
      <c r="P70" s="38">
        <f>SUM(L$3:L70)</f>
        <v>4491</v>
      </c>
      <c r="Q70" s="38">
        <v>7.2</v>
      </c>
    </row>
    <row r="71" spans="7:17" x14ac:dyDescent="0.25">
      <c r="G71">
        <f>K71/商城宝箱!$H$42</f>
        <v>5.7857142857142856</v>
      </c>
      <c r="H71" s="38">
        <v>69</v>
      </c>
      <c r="I71" s="38">
        <f t="shared" si="2"/>
        <v>6264</v>
      </c>
      <c r="J71" s="38">
        <f t="shared" si="0"/>
        <v>2120</v>
      </c>
      <c r="K71" s="38">
        <f t="shared" si="1"/>
        <v>810</v>
      </c>
      <c r="L71" s="38">
        <v>135</v>
      </c>
      <c r="M71" s="38">
        <f>SUM(I$3:I71)</f>
        <v>207590</v>
      </c>
      <c r="N71" s="38">
        <f>SUM(J$3:J71)</f>
        <v>71312</v>
      </c>
      <c r="O71" s="38">
        <f>SUM(K$3:K71)</f>
        <v>27744</v>
      </c>
      <c r="P71" s="38">
        <f>SUM(L$3:L71)</f>
        <v>4626</v>
      </c>
      <c r="Q71" s="38">
        <v>7.3</v>
      </c>
    </row>
    <row r="72" spans="7:17" x14ac:dyDescent="0.25">
      <c r="G72">
        <f>K72/商城宝箱!$H$42</f>
        <v>5.871428571428571</v>
      </c>
      <c r="H72" s="38">
        <v>70</v>
      </c>
      <c r="I72" s="38">
        <f t="shared" si="2"/>
        <v>6360</v>
      </c>
      <c r="J72" s="38">
        <f t="shared" ref="J72:J135" si="3">J71+32</f>
        <v>2152</v>
      </c>
      <c r="K72" s="38">
        <f t="shared" ref="K72:K135" si="4">K71+12</f>
        <v>822</v>
      </c>
      <c r="L72" s="38">
        <v>137</v>
      </c>
      <c r="M72" s="38">
        <f>SUM(I$3:I72)</f>
        <v>213950</v>
      </c>
      <c r="N72" s="38">
        <f>SUM(J$3:J72)</f>
        <v>73464</v>
      </c>
      <c r="O72" s="38">
        <f>SUM(K$3:K72)</f>
        <v>28566</v>
      </c>
      <c r="P72" s="38">
        <f>SUM(L$3:L72)</f>
        <v>4763</v>
      </c>
      <c r="Q72" s="38">
        <v>7.4</v>
      </c>
    </row>
    <row r="73" spans="7:17" x14ac:dyDescent="0.25">
      <c r="G73">
        <f>K73/商城宝箱!$H$42</f>
        <v>5.9571428571428573</v>
      </c>
      <c r="H73" s="38">
        <v>71</v>
      </c>
      <c r="I73" s="38">
        <f t="shared" ref="I73:I136" si="5">I72+96</f>
        <v>6456</v>
      </c>
      <c r="J73" s="38">
        <f t="shared" si="3"/>
        <v>2184</v>
      </c>
      <c r="K73" s="38">
        <f t="shared" si="4"/>
        <v>834</v>
      </c>
      <c r="L73" s="38">
        <v>139</v>
      </c>
      <c r="M73" s="38">
        <f>SUM(I$3:I73)</f>
        <v>220406</v>
      </c>
      <c r="N73" s="38">
        <f>SUM(J$3:J73)</f>
        <v>75648</v>
      </c>
      <c r="O73" s="38">
        <f>SUM(K$3:K73)</f>
        <v>29400</v>
      </c>
      <c r="P73" s="38">
        <f>SUM(L$3:L73)</f>
        <v>4902</v>
      </c>
      <c r="Q73" s="38">
        <v>7.4999999999999902</v>
      </c>
    </row>
    <row r="74" spans="7:17" x14ac:dyDescent="0.25">
      <c r="G74">
        <f>K74/商城宝箱!$H$42</f>
        <v>6.0428571428571427</v>
      </c>
      <c r="H74" s="38">
        <v>72</v>
      </c>
      <c r="I74" s="38">
        <f t="shared" si="5"/>
        <v>6552</v>
      </c>
      <c r="J74" s="38">
        <f t="shared" si="3"/>
        <v>2216</v>
      </c>
      <c r="K74" s="38">
        <f t="shared" si="4"/>
        <v>846</v>
      </c>
      <c r="L74" s="38">
        <v>141</v>
      </c>
      <c r="M74" s="38">
        <f>SUM(I$3:I74)</f>
        <v>226958</v>
      </c>
      <c r="N74" s="38">
        <f>SUM(J$3:J74)</f>
        <v>77864</v>
      </c>
      <c r="O74" s="38">
        <f>SUM(K$3:K74)</f>
        <v>30246</v>
      </c>
      <c r="P74" s="38">
        <f>SUM(L$3:L74)</f>
        <v>5043</v>
      </c>
      <c r="Q74" s="38">
        <v>7.5999999999999899</v>
      </c>
    </row>
    <row r="75" spans="7:17" x14ac:dyDescent="0.25">
      <c r="G75">
        <f>K75/商城宝箱!$H$42</f>
        <v>6.128571428571429</v>
      </c>
      <c r="H75" s="38">
        <v>73</v>
      </c>
      <c r="I75" s="38">
        <f t="shared" si="5"/>
        <v>6648</v>
      </c>
      <c r="J75" s="38">
        <f t="shared" si="3"/>
        <v>2248</v>
      </c>
      <c r="K75" s="38">
        <f t="shared" si="4"/>
        <v>858</v>
      </c>
      <c r="L75" s="38">
        <v>143</v>
      </c>
      <c r="M75" s="38">
        <f>SUM(I$3:I75)</f>
        <v>233606</v>
      </c>
      <c r="N75" s="38">
        <f>SUM(J$3:J75)</f>
        <v>80112</v>
      </c>
      <c r="O75" s="38">
        <f>SUM(K$3:K75)</f>
        <v>31104</v>
      </c>
      <c r="P75" s="38">
        <f>SUM(L$3:L75)</f>
        <v>5186</v>
      </c>
      <c r="Q75" s="38">
        <v>7.6999999999999904</v>
      </c>
    </row>
    <row r="76" spans="7:17" x14ac:dyDescent="0.25">
      <c r="G76">
        <f>K76/商城宝箱!$H$42</f>
        <v>6.2142857142857144</v>
      </c>
      <c r="H76" s="38">
        <v>74</v>
      </c>
      <c r="I76" s="38">
        <f t="shared" si="5"/>
        <v>6744</v>
      </c>
      <c r="J76" s="38">
        <f t="shared" si="3"/>
        <v>2280</v>
      </c>
      <c r="K76" s="38">
        <f t="shared" si="4"/>
        <v>870</v>
      </c>
      <c r="L76" s="38">
        <v>145</v>
      </c>
      <c r="M76" s="38">
        <f>SUM(I$3:I76)</f>
        <v>240350</v>
      </c>
      <c r="N76" s="38">
        <f>SUM(J$3:J76)</f>
        <v>82392</v>
      </c>
      <c r="O76" s="38">
        <f>SUM(K$3:K76)</f>
        <v>31974</v>
      </c>
      <c r="P76" s="38">
        <f>SUM(L$3:L76)</f>
        <v>5331</v>
      </c>
      <c r="Q76" s="38">
        <v>7.7999999999999901</v>
      </c>
    </row>
    <row r="77" spans="7:17" x14ac:dyDescent="0.25">
      <c r="G77">
        <f>K77/商城宝箱!$H$42</f>
        <v>6.3</v>
      </c>
      <c r="H77" s="38">
        <v>75</v>
      </c>
      <c r="I77" s="38">
        <f t="shared" si="5"/>
        <v>6840</v>
      </c>
      <c r="J77" s="38">
        <f t="shared" si="3"/>
        <v>2312</v>
      </c>
      <c r="K77" s="38">
        <f t="shared" si="4"/>
        <v>882</v>
      </c>
      <c r="L77" s="38">
        <v>147</v>
      </c>
      <c r="M77" s="38">
        <f>SUM(I$3:I77)</f>
        <v>247190</v>
      </c>
      <c r="N77" s="38">
        <f>SUM(J$3:J77)</f>
        <v>84704</v>
      </c>
      <c r="O77" s="38">
        <f>SUM(K$3:K77)</f>
        <v>32856</v>
      </c>
      <c r="P77" s="38">
        <f>SUM(L$3:L77)</f>
        <v>5478</v>
      </c>
      <c r="Q77" s="38">
        <v>7.8999999999999897</v>
      </c>
    </row>
    <row r="78" spans="7:17" x14ac:dyDescent="0.25">
      <c r="G78">
        <f>K78/商城宝箱!$H$42</f>
        <v>6.3857142857142861</v>
      </c>
      <c r="H78" s="38">
        <v>76</v>
      </c>
      <c r="I78" s="38">
        <f t="shared" si="5"/>
        <v>6936</v>
      </c>
      <c r="J78" s="38">
        <f t="shared" si="3"/>
        <v>2344</v>
      </c>
      <c r="K78" s="38">
        <f t="shared" si="4"/>
        <v>894</v>
      </c>
      <c r="L78" s="38">
        <v>149</v>
      </c>
      <c r="M78" s="38">
        <f>SUM(I$3:I78)</f>
        <v>254126</v>
      </c>
      <c r="N78" s="38">
        <f>SUM(J$3:J78)</f>
        <v>87048</v>
      </c>
      <c r="O78" s="38">
        <f>SUM(K$3:K78)</f>
        <v>33750</v>
      </c>
      <c r="P78" s="38">
        <f>SUM(L$3:L78)</f>
        <v>5627</v>
      </c>
      <c r="Q78" s="38">
        <v>7.9999999999999902</v>
      </c>
    </row>
    <row r="79" spans="7:17" x14ac:dyDescent="0.25">
      <c r="G79">
        <f>K79/商城宝箱!$H$42</f>
        <v>6.4714285714285715</v>
      </c>
      <c r="H79" s="38">
        <v>77</v>
      </c>
      <c r="I79" s="38">
        <f t="shared" si="5"/>
        <v>7032</v>
      </c>
      <c r="J79" s="38">
        <f t="shared" si="3"/>
        <v>2376</v>
      </c>
      <c r="K79" s="38">
        <f t="shared" si="4"/>
        <v>906</v>
      </c>
      <c r="L79" s="38">
        <v>151</v>
      </c>
      <c r="M79" s="38">
        <f>SUM(I$3:I79)</f>
        <v>261158</v>
      </c>
      <c r="N79" s="38">
        <f>SUM(J$3:J79)</f>
        <v>89424</v>
      </c>
      <c r="O79" s="38">
        <f>SUM(K$3:K79)</f>
        <v>34656</v>
      </c>
      <c r="P79" s="38">
        <f>SUM(L$3:L79)</f>
        <v>5778</v>
      </c>
      <c r="Q79" s="38">
        <v>8.0999999999999908</v>
      </c>
    </row>
    <row r="80" spans="7:17" x14ac:dyDescent="0.25">
      <c r="G80">
        <f>K80/商城宝箱!$H$42</f>
        <v>6.5571428571428569</v>
      </c>
      <c r="H80" s="38">
        <v>78</v>
      </c>
      <c r="I80" s="38">
        <f t="shared" si="5"/>
        <v>7128</v>
      </c>
      <c r="J80" s="38">
        <f t="shared" si="3"/>
        <v>2408</v>
      </c>
      <c r="K80" s="38">
        <f t="shared" si="4"/>
        <v>918</v>
      </c>
      <c r="L80" s="38">
        <v>153</v>
      </c>
      <c r="M80" s="38">
        <f>SUM(I$3:I80)</f>
        <v>268286</v>
      </c>
      <c r="N80" s="38">
        <f>SUM(J$3:J80)</f>
        <v>91832</v>
      </c>
      <c r="O80" s="38">
        <f>SUM(K$3:K80)</f>
        <v>35574</v>
      </c>
      <c r="P80" s="38">
        <f>SUM(L$3:L80)</f>
        <v>5931</v>
      </c>
      <c r="Q80" s="38">
        <v>8.1999999999999904</v>
      </c>
    </row>
    <row r="81" spans="7:17" x14ac:dyDescent="0.25">
      <c r="G81">
        <f>K81/商城宝箱!$H$42</f>
        <v>6.6428571428571432</v>
      </c>
      <c r="H81" s="38">
        <v>79</v>
      </c>
      <c r="I81" s="38">
        <f t="shared" si="5"/>
        <v>7224</v>
      </c>
      <c r="J81" s="38">
        <f t="shared" si="3"/>
        <v>2440</v>
      </c>
      <c r="K81" s="38">
        <f t="shared" si="4"/>
        <v>930</v>
      </c>
      <c r="L81" s="38">
        <v>155</v>
      </c>
      <c r="M81" s="38">
        <f>SUM(I$3:I81)</f>
        <v>275510</v>
      </c>
      <c r="N81" s="38">
        <f>SUM(J$3:J81)</f>
        <v>94272</v>
      </c>
      <c r="O81" s="38">
        <f>SUM(K$3:K81)</f>
        <v>36504</v>
      </c>
      <c r="P81" s="38">
        <f>SUM(L$3:L81)</f>
        <v>6086</v>
      </c>
      <c r="Q81" s="38">
        <v>8.2999999999999901</v>
      </c>
    </row>
    <row r="82" spans="7:17" x14ac:dyDescent="0.25">
      <c r="G82">
        <f>K82/商城宝箱!$H$42</f>
        <v>6.7285714285714286</v>
      </c>
      <c r="H82" s="38">
        <v>80</v>
      </c>
      <c r="I82" s="38">
        <f t="shared" si="5"/>
        <v>7320</v>
      </c>
      <c r="J82" s="38">
        <f t="shared" si="3"/>
        <v>2472</v>
      </c>
      <c r="K82" s="38">
        <f t="shared" si="4"/>
        <v>942</v>
      </c>
      <c r="L82" s="38">
        <v>157</v>
      </c>
      <c r="M82" s="38">
        <f>SUM(I$3:I82)</f>
        <v>282830</v>
      </c>
      <c r="N82" s="38">
        <f>SUM(J$3:J82)</f>
        <v>96744</v>
      </c>
      <c r="O82" s="38">
        <f>SUM(K$3:K82)</f>
        <v>37446</v>
      </c>
      <c r="P82" s="38">
        <f>SUM(L$3:L82)</f>
        <v>6243</v>
      </c>
      <c r="Q82" s="38">
        <v>8.3999999999999897</v>
      </c>
    </row>
    <row r="83" spans="7:17" x14ac:dyDescent="0.25">
      <c r="G83">
        <f>K83/商城宝箱!$H$42</f>
        <v>6.8142857142857141</v>
      </c>
      <c r="H83" s="38">
        <v>81</v>
      </c>
      <c r="I83" s="38">
        <f t="shared" si="5"/>
        <v>7416</v>
      </c>
      <c r="J83" s="38">
        <f t="shared" si="3"/>
        <v>2504</v>
      </c>
      <c r="K83" s="38">
        <f t="shared" si="4"/>
        <v>954</v>
      </c>
      <c r="L83" s="38">
        <v>159</v>
      </c>
      <c r="M83" s="38">
        <f>SUM(I$3:I83)</f>
        <v>290246</v>
      </c>
      <c r="N83" s="38">
        <f>SUM(J$3:J83)</f>
        <v>99248</v>
      </c>
      <c r="O83" s="38">
        <f>SUM(K$3:K83)</f>
        <v>38400</v>
      </c>
      <c r="P83" s="38">
        <f>SUM(L$3:L83)</f>
        <v>6402</v>
      </c>
      <c r="Q83" s="38">
        <v>8.4999999999999893</v>
      </c>
    </row>
    <row r="84" spans="7:17" x14ac:dyDescent="0.25">
      <c r="G84">
        <f>K84/商城宝箱!$H$42</f>
        <v>6.9</v>
      </c>
      <c r="H84" s="38">
        <v>82</v>
      </c>
      <c r="I84" s="38">
        <f t="shared" si="5"/>
        <v>7512</v>
      </c>
      <c r="J84" s="38">
        <f t="shared" si="3"/>
        <v>2536</v>
      </c>
      <c r="K84" s="38">
        <f t="shared" si="4"/>
        <v>966</v>
      </c>
      <c r="L84" s="38">
        <v>161</v>
      </c>
      <c r="M84" s="38">
        <f>SUM(I$3:I84)</f>
        <v>297758</v>
      </c>
      <c r="N84" s="38">
        <f>SUM(J$3:J84)</f>
        <v>101784</v>
      </c>
      <c r="O84" s="38">
        <f>SUM(K$3:K84)</f>
        <v>39366</v>
      </c>
      <c r="P84" s="38">
        <f>SUM(L$3:L84)</f>
        <v>6563</v>
      </c>
      <c r="Q84" s="38">
        <v>8.5999999999999908</v>
      </c>
    </row>
    <row r="85" spans="7:17" x14ac:dyDescent="0.25">
      <c r="G85">
        <f>K85/商城宝箱!$H$42</f>
        <v>6.9857142857142858</v>
      </c>
      <c r="H85" s="38">
        <v>83</v>
      </c>
      <c r="I85" s="38">
        <f t="shared" si="5"/>
        <v>7608</v>
      </c>
      <c r="J85" s="38">
        <f t="shared" si="3"/>
        <v>2568</v>
      </c>
      <c r="K85" s="38">
        <f t="shared" si="4"/>
        <v>978</v>
      </c>
      <c r="L85" s="38">
        <v>163</v>
      </c>
      <c r="M85" s="38">
        <f>SUM(I$3:I85)</f>
        <v>305366</v>
      </c>
      <c r="N85" s="38">
        <f>SUM(J$3:J85)</f>
        <v>104352</v>
      </c>
      <c r="O85" s="38">
        <f>SUM(K$3:K85)</f>
        <v>40344</v>
      </c>
      <c r="P85" s="38">
        <f>SUM(L$3:L85)</f>
        <v>6726</v>
      </c>
      <c r="Q85" s="38">
        <v>8.6999999999999904</v>
      </c>
    </row>
    <row r="86" spans="7:17" x14ac:dyDescent="0.25">
      <c r="G86">
        <f>K86/商城宝箱!$H$42</f>
        <v>7.0714285714285712</v>
      </c>
      <c r="H86" s="38">
        <v>84</v>
      </c>
      <c r="I86" s="38">
        <f t="shared" si="5"/>
        <v>7704</v>
      </c>
      <c r="J86" s="38">
        <f t="shared" si="3"/>
        <v>2600</v>
      </c>
      <c r="K86" s="38">
        <f t="shared" si="4"/>
        <v>990</v>
      </c>
      <c r="L86" s="38">
        <v>165</v>
      </c>
      <c r="M86" s="38">
        <f>SUM(I$3:I86)</f>
        <v>313070</v>
      </c>
      <c r="N86" s="38">
        <f>SUM(J$3:J86)</f>
        <v>106952</v>
      </c>
      <c r="O86" s="38">
        <f>SUM(K$3:K86)</f>
        <v>41334</v>
      </c>
      <c r="P86" s="38">
        <f>SUM(L$3:L86)</f>
        <v>6891</v>
      </c>
      <c r="Q86" s="38">
        <v>8.7999999999999901</v>
      </c>
    </row>
    <row r="87" spans="7:17" x14ac:dyDescent="0.25">
      <c r="G87">
        <f>K87/商城宝箱!$H$42</f>
        <v>7.1571428571428575</v>
      </c>
      <c r="H87" s="38">
        <v>85</v>
      </c>
      <c r="I87" s="38">
        <f t="shared" si="5"/>
        <v>7800</v>
      </c>
      <c r="J87" s="38">
        <f t="shared" si="3"/>
        <v>2632</v>
      </c>
      <c r="K87" s="38">
        <f t="shared" si="4"/>
        <v>1002</v>
      </c>
      <c r="L87" s="38">
        <v>167</v>
      </c>
      <c r="M87" s="38">
        <f>SUM(I$3:I87)</f>
        <v>320870</v>
      </c>
      <c r="N87" s="38">
        <f>SUM(J$3:J87)</f>
        <v>109584</v>
      </c>
      <c r="O87" s="38">
        <f>SUM(K$3:K87)</f>
        <v>42336</v>
      </c>
      <c r="P87" s="38">
        <f>SUM(L$3:L87)</f>
        <v>7058</v>
      </c>
      <c r="Q87" s="38">
        <v>8.8999999999999897</v>
      </c>
    </row>
    <row r="88" spans="7:17" x14ac:dyDescent="0.25">
      <c r="G88">
        <f>K88/商城宝箱!$H$42</f>
        <v>7.2428571428571429</v>
      </c>
      <c r="H88" s="38">
        <v>86</v>
      </c>
      <c r="I88" s="38">
        <f t="shared" si="5"/>
        <v>7896</v>
      </c>
      <c r="J88" s="38">
        <f t="shared" si="3"/>
        <v>2664</v>
      </c>
      <c r="K88" s="38">
        <f t="shared" si="4"/>
        <v>1014</v>
      </c>
      <c r="L88" s="38">
        <v>169</v>
      </c>
      <c r="M88" s="38">
        <f>SUM(I$3:I88)</f>
        <v>328766</v>
      </c>
      <c r="N88" s="38">
        <f>SUM(J$3:J88)</f>
        <v>112248</v>
      </c>
      <c r="O88" s="38">
        <f>SUM(K$3:K88)</f>
        <v>43350</v>
      </c>
      <c r="P88" s="38">
        <f>SUM(L$3:L88)</f>
        <v>7227</v>
      </c>
      <c r="Q88" s="38">
        <v>8.9999999999999893</v>
      </c>
    </row>
    <row r="89" spans="7:17" x14ac:dyDescent="0.25">
      <c r="G89">
        <f>K89/商城宝箱!$H$42</f>
        <v>7.3285714285714283</v>
      </c>
      <c r="H89" s="38">
        <v>87</v>
      </c>
      <c r="I89" s="38">
        <f t="shared" si="5"/>
        <v>7992</v>
      </c>
      <c r="J89" s="38">
        <f t="shared" si="3"/>
        <v>2696</v>
      </c>
      <c r="K89" s="38">
        <f t="shared" si="4"/>
        <v>1026</v>
      </c>
      <c r="L89" s="38">
        <v>171</v>
      </c>
      <c r="M89" s="38">
        <f>SUM(I$3:I89)</f>
        <v>336758</v>
      </c>
      <c r="N89" s="38">
        <f>SUM(J$3:J89)</f>
        <v>114944</v>
      </c>
      <c r="O89" s="38">
        <f>SUM(K$3:K89)</f>
        <v>44376</v>
      </c>
      <c r="P89" s="38">
        <f>SUM(L$3:L89)</f>
        <v>7398</v>
      </c>
      <c r="Q89" s="38">
        <v>9.0999999999999908</v>
      </c>
    </row>
    <row r="90" spans="7:17" x14ac:dyDescent="0.25">
      <c r="G90">
        <f>K90/商城宝箱!$H$42</f>
        <v>7.4142857142857146</v>
      </c>
      <c r="H90" s="38">
        <v>88</v>
      </c>
      <c r="I90" s="38">
        <f t="shared" si="5"/>
        <v>8088</v>
      </c>
      <c r="J90" s="38">
        <f t="shared" si="3"/>
        <v>2728</v>
      </c>
      <c r="K90" s="38">
        <f t="shared" si="4"/>
        <v>1038</v>
      </c>
      <c r="L90" s="38">
        <v>173</v>
      </c>
      <c r="M90" s="38">
        <f>SUM(I$3:I90)</f>
        <v>344846</v>
      </c>
      <c r="N90" s="38">
        <f>SUM(J$3:J90)</f>
        <v>117672</v>
      </c>
      <c r="O90" s="38">
        <f>SUM(K$3:K90)</f>
        <v>45414</v>
      </c>
      <c r="P90" s="38">
        <f>SUM(L$3:L90)</f>
        <v>7571</v>
      </c>
      <c r="Q90" s="38">
        <v>9.1999999999999904</v>
      </c>
    </row>
    <row r="91" spans="7:17" x14ac:dyDescent="0.25">
      <c r="G91">
        <f>K91/商城宝箱!$H$42</f>
        <v>7.5</v>
      </c>
      <c r="H91" s="38">
        <v>89</v>
      </c>
      <c r="I91" s="38">
        <f t="shared" si="5"/>
        <v>8184</v>
      </c>
      <c r="J91" s="38">
        <f t="shared" si="3"/>
        <v>2760</v>
      </c>
      <c r="K91" s="38">
        <f t="shared" si="4"/>
        <v>1050</v>
      </c>
      <c r="L91" s="38">
        <v>175</v>
      </c>
      <c r="M91" s="38">
        <f>SUM(I$3:I91)</f>
        <v>353030</v>
      </c>
      <c r="N91" s="38">
        <f>SUM(J$3:J91)</f>
        <v>120432</v>
      </c>
      <c r="O91" s="38">
        <f>SUM(K$3:K91)</f>
        <v>46464</v>
      </c>
      <c r="P91" s="38">
        <f>SUM(L$3:L91)</f>
        <v>7746</v>
      </c>
      <c r="Q91" s="38">
        <v>9.2999999999999901</v>
      </c>
    </row>
    <row r="92" spans="7:17" x14ac:dyDescent="0.25">
      <c r="G92">
        <f>K92/商城宝箱!$H$42</f>
        <v>7.5857142857142854</v>
      </c>
      <c r="H92" s="38">
        <v>90</v>
      </c>
      <c r="I92" s="38">
        <f t="shared" si="5"/>
        <v>8280</v>
      </c>
      <c r="J92" s="38">
        <f t="shared" si="3"/>
        <v>2792</v>
      </c>
      <c r="K92" s="38">
        <f t="shared" si="4"/>
        <v>1062</v>
      </c>
      <c r="L92" s="38">
        <v>177</v>
      </c>
      <c r="M92" s="38">
        <f>SUM(I$3:I92)</f>
        <v>361310</v>
      </c>
      <c r="N92" s="38">
        <f>SUM(J$3:J92)</f>
        <v>123224</v>
      </c>
      <c r="O92" s="38">
        <f>SUM(K$3:K92)</f>
        <v>47526</v>
      </c>
      <c r="P92" s="38">
        <f>SUM(L$3:L92)</f>
        <v>7923</v>
      </c>
      <c r="Q92" s="38">
        <v>9.3999999999999897</v>
      </c>
    </row>
    <row r="93" spans="7:17" x14ac:dyDescent="0.25">
      <c r="G93">
        <f>K93/商城宝箱!$H$42</f>
        <v>7.6714285714285717</v>
      </c>
      <c r="H93" s="38">
        <v>91</v>
      </c>
      <c r="I93" s="38">
        <f t="shared" si="5"/>
        <v>8376</v>
      </c>
      <c r="J93" s="38">
        <f t="shared" si="3"/>
        <v>2824</v>
      </c>
      <c r="K93" s="38">
        <f t="shared" si="4"/>
        <v>1074</v>
      </c>
      <c r="L93" s="38">
        <v>179</v>
      </c>
      <c r="M93" s="38">
        <f>SUM(I$3:I93)</f>
        <v>369686</v>
      </c>
      <c r="N93" s="38">
        <f>SUM(J$3:J93)</f>
        <v>126048</v>
      </c>
      <c r="O93" s="38">
        <f>SUM(K$3:K93)</f>
        <v>48600</v>
      </c>
      <c r="P93" s="38">
        <f>SUM(L$3:L93)</f>
        <v>8102</v>
      </c>
      <c r="Q93" s="38">
        <v>9.4999999999999893</v>
      </c>
    </row>
    <row r="94" spans="7:17" x14ac:dyDescent="0.25">
      <c r="G94">
        <f>K94/商城宝箱!$H$42</f>
        <v>7.7571428571428571</v>
      </c>
      <c r="H94" s="38">
        <v>92</v>
      </c>
      <c r="I94" s="38">
        <f t="shared" si="5"/>
        <v>8472</v>
      </c>
      <c r="J94" s="38">
        <f t="shared" si="3"/>
        <v>2856</v>
      </c>
      <c r="K94" s="38">
        <f t="shared" si="4"/>
        <v>1086</v>
      </c>
      <c r="L94" s="38">
        <v>181</v>
      </c>
      <c r="M94" s="38">
        <f>SUM(I$3:I94)</f>
        <v>378158</v>
      </c>
      <c r="N94" s="38">
        <f>SUM(J$3:J94)</f>
        <v>128904</v>
      </c>
      <c r="O94" s="38">
        <f>SUM(K$3:K94)</f>
        <v>49686</v>
      </c>
      <c r="P94" s="38">
        <f>SUM(L$3:L94)</f>
        <v>8283</v>
      </c>
      <c r="Q94" s="38">
        <v>9.5999999999999908</v>
      </c>
    </row>
    <row r="95" spans="7:17" x14ac:dyDescent="0.25">
      <c r="G95">
        <f>K95/商城宝箱!$H$42</f>
        <v>7.8428571428571425</v>
      </c>
      <c r="H95" s="38">
        <v>93</v>
      </c>
      <c r="I95" s="38">
        <f t="shared" si="5"/>
        <v>8568</v>
      </c>
      <c r="J95" s="38">
        <f t="shared" si="3"/>
        <v>2888</v>
      </c>
      <c r="K95" s="38">
        <f t="shared" si="4"/>
        <v>1098</v>
      </c>
      <c r="L95" s="38">
        <v>183</v>
      </c>
      <c r="M95" s="38">
        <f>SUM(I$3:I95)</f>
        <v>386726</v>
      </c>
      <c r="N95" s="38">
        <f>SUM(J$3:J95)</f>
        <v>131792</v>
      </c>
      <c r="O95" s="38">
        <f>SUM(K$3:K95)</f>
        <v>50784</v>
      </c>
      <c r="P95" s="38">
        <f>SUM(L$3:L95)</f>
        <v>8466</v>
      </c>
      <c r="Q95" s="38">
        <v>9.6999999999999904</v>
      </c>
    </row>
    <row r="96" spans="7:17" x14ac:dyDescent="0.25">
      <c r="G96">
        <f>K96/商城宝箱!$H$42</f>
        <v>7.9285714285714288</v>
      </c>
      <c r="H96" s="38">
        <v>94</v>
      </c>
      <c r="I96" s="38">
        <f t="shared" si="5"/>
        <v>8664</v>
      </c>
      <c r="J96" s="38">
        <f t="shared" si="3"/>
        <v>2920</v>
      </c>
      <c r="K96" s="38">
        <f t="shared" si="4"/>
        <v>1110</v>
      </c>
      <c r="L96" s="38">
        <v>185</v>
      </c>
      <c r="M96" s="38">
        <f>SUM(I$3:I96)</f>
        <v>395390</v>
      </c>
      <c r="N96" s="38">
        <f>SUM(J$3:J96)</f>
        <v>134712</v>
      </c>
      <c r="O96" s="38">
        <f>SUM(K$3:K96)</f>
        <v>51894</v>
      </c>
      <c r="P96" s="38">
        <f>SUM(L$3:L96)</f>
        <v>8651</v>
      </c>
      <c r="Q96" s="38">
        <v>9.7999999999999901</v>
      </c>
    </row>
    <row r="97" spans="7:17" x14ac:dyDescent="0.25">
      <c r="G97">
        <f>K97/商城宝箱!$H$42</f>
        <v>8.0142857142857142</v>
      </c>
      <c r="H97" s="38">
        <v>95</v>
      </c>
      <c r="I97" s="38">
        <f t="shared" si="5"/>
        <v>8760</v>
      </c>
      <c r="J97" s="38">
        <f t="shared" si="3"/>
        <v>2952</v>
      </c>
      <c r="K97" s="38">
        <f t="shared" si="4"/>
        <v>1122</v>
      </c>
      <c r="L97" s="38">
        <v>187</v>
      </c>
      <c r="M97" s="38">
        <f>SUM(I$3:I97)</f>
        <v>404150</v>
      </c>
      <c r="N97" s="38">
        <f>SUM(J$3:J97)</f>
        <v>137664</v>
      </c>
      <c r="O97" s="38">
        <f>SUM(K$3:K97)</f>
        <v>53016</v>
      </c>
      <c r="P97" s="38">
        <f>SUM(L$3:L97)</f>
        <v>8838</v>
      </c>
      <c r="Q97" s="38">
        <v>9.8999999999999897</v>
      </c>
    </row>
    <row r="98" spans="7:17" x14ac:dyDescent="0.25">
      <c r="G98">
        <f>K98/商城宝箱!$H$42</f>
        <v>8.1</v>
      </c>
      <c r="H98" s="38">
        <v>96</v>
      </c>
      <c r="I98" s="38">
        <f t="shared" si="5"/>
        <v>8856</v>
      </c>
      <c r="J98" s="38">
        <f t="shared" si="3"/>
        <v>2984</v>
      </c>
      <c r="K98" s="38">
        <f t="shared" si="4"/>
        <v>1134</v>
      </c>
      <c r="L98" s="38">
        <v>189</v>
      </c>
      <c r="M98" s="38">
        <f>SUM(I$3:I98)</f>
        <v>413006</v>
      </c>
      <c r="N98" s="38">
        <f>SUM(J$3:J98)</f>
        <v>140648</v>
      </c>
      <c r="O98" s="38">
        <f>SUM(K$3:K98)</f>
        <v>54150</v>
      </c>
      <c r="P98" s="38">
        <f>SUM(L$3:L98)</f>
        <v>9027</v>
      </c>
      <c r="Q98" s="38">
        <v>9.9999999999999893</v>
      </c>
    </row>
    <row r="99" spans="7:17" x14ac:dyDescent="0.25">
      <c r="G99">
        <f>K99/商城宝箱!$H$42</f>
        <v>8.1857142857142851</v>
      </c>
      <c r="H99" s="38">
        <v>97</v>
      </c>
      <c r="I99" s="38">
        <f t="shared" si="5"/>
        <v>8952</v>
      </c>
      <c r="J99" s="38">
        <f t="shared" si="3"/>
        <v>3016</v>
      </c>
      <c r="K99" s="38">
        <f t="shared" si="4"/>
        <v>1146</v>
      </c>
      <c r="L99" s="38">
        <v>191</v>
      </c>
      <c r="M99" s="38">
        <f>SUM(I$3:I99)</f>
        <v>421958</v>
      </c>
      <c r="N99" s="38">
        <f>SUM(J$3:J99)</f>
        <v>143664</v>
      </c>
      <c r="O99" s="38">
        <f>SUM(K$3:K99)</f>
        <v>55296</v>
      </c>
      <c r="P99" s="38">
        <f>SUM(L$3:L99)</f>
        <v>9218</v>
      </c>
      <c r="Q99" s="38">
        <v>10.1</v>
      </c>
    </row>
    <row r="100" spans="7:17" x14ac:dyDescent="0.25">
      <c r="G100">
        <f>K100/商城宝箱!$H$42</f>
        <v>8.2714285714285722</v>
      </c>
      <c r="H100" s="38">
        <v>98</v>
      </c>
      <c r="I100" s="38">
        <f t="shared" si="5"/>
        <v>9048</v>
      </c>
      <c r="J100" s="38">
        <f t="shared" si="3"/>
        <v>3048</v>
      </c>
      <c r="K100" s="38">
        <f t="shared" si="4"/>
        <v>1158</v>
      </c>
      <c r="L100" s="38">
        <v>193</v>
      </c>
      <c r="M100" s="38">
        <f>SUM(I$3:I100)</f>
        <v>431006</v>
      </c>
      <c r="N100" s="38">
        <f>SUM(J$3:J100)</f>
        <v>146712</v>
      </c>
      <c r="O100" s="38">
        <f>SUM(K$3:K100)</f>
        <v>56454</v>
      </c>
      <c r="P100" s="38">
        <f>SUM(L$3:L100)</f>
        <v>9411</v>
      </c>
      <c r="Q100" s="38">
        <v>10.199999999999999</v>
      </c>
    </row>
    <row r="101" spans="7:17" x14ac:dyDescent="0.25">
      <c r="G101">
        <f>K101/商城宝箱!$H$42</f>
        <v>8.3571428571428577</v>
      </c>
      <c r="H101" s="38">
        <v>99</v>
      </c>
      <c r="I101" s="38">
        <f t="shared" si="5"/>
        <v>9144</v>
      </c>
      <c r="J101" s="38">
        <f t="shared" si="3"/>
        <v>3080</v>
      </c>
      <c r="K101" s="38">
        <f t="shared" si="4"/>
        <v>1170</v>
      </c>
      <c r="L101" s="38">
        <v>195</v>
      </c>
      <c r="M101" s="38">
        <f>SUM(I$3:I101)</f>
        <v>440150</v>
      </c>
      <c r="N101" s="38">
        <f>SUM(J$3:J101)</f>
        <v>149792</v>
      </c>
      <c r="O101" s="38">
        <f>SUM(K$3:K101)</f>
        <v>57624</v>
      </c>
      <c r="P101" s="38">
        <f>SUM(L$3:L101)</f>
        <v>9606</v>
      </c>
      <c r="Q101" s="38">
        <v>10.3</v>
      </c>
    </row>
    <row r="102" spans="7:17" x14ac:dyDescent="0.25">
      <c r="G102">
        <f>K102/商城宝箱!$H$42</f>
        <v>8.4428571428571431</v>
      </c>
      <c r="H102" s="38">
        <v>100</v>
      </c>
      <c r="I102" s="38">
        <f t="shared" si="5"/>
        <v>9240</v>
      </c>
      <c r="J102" s="38">
        <f t="shared" si="3"/>
        <v>3112</v>
      </c>
      <c r="K102" s="38">
        <f t="shared" si="4"/>
        <v>1182</v>
      </c>
      <c r="L102" s="38">
        <v>197</v>
      </c>
      <c r="M102" s="38">
        <f>SUM(I$3:I102)</f>
        <v>449390</v>
      </c>
      <c r="N102" s="38">
        <f>SUM(J$3:J102)</f>
        <v>152904</v>
      </c>
      <c r="O102" s="38">
        <f>SUM(K$3:K102)</f>
        <v>58806</v>
      </c>
      <c r="P102" s="38">
        <f>SUM(L$3:L102)</f>
        <v>9803</v>
      </c>
      <c r="Q102" s="38">
        <v>10.4</v>
      </c>
    </row>
    <row r="103" spans="7:17" x14ac:dyDescent="0.25">
      <c r="G103">
        <f>K103/商城宝箱!$H$42</f>
        <v>8.5285714285714285</v>
      </c>
      <c r="H103" s="38">
        <v>101</v>
      </c>
      <c r="I103" s="38">
        <f t="shared" si="5"/>
        <v>9336</v>
      </c>
      <c r="J103" s="38">
        <f t="shared" si="3"/>
        <v>3144</v>
      </c>
      <c r="K103" s="38">
        <f t="shared" si="4"/>
        <v>1194</v>
      </c>
      <c r="L103" s="38">
        <v>199</v>
      </c>
      <c r="M103" s="38">
        <f>SUM(I$3:I103)</f>
        <v>458726</v>
      </c>
      <c r="N103" s="38">
        <f>SUM(J$3:J103)</f>
        <v>156048</v>
      </c>
      <c r="O103" s="38">
        <f>SUM(K$3:K103)</f>
        <v>60000</v>
      </c>
      <c r="P103" s="38">
        <f>SUM(L$3:L103)</f>
        <v>10002</v>
      </c>
      <c r="Q103" s="38">
        <v>10.5</v>
      </c>
    </row>
    <row r="104" spans="7:17" x14ac:dyDescent="0.25">
      <c r="G104">
        <f>K104/商城宝箱!$H$42</f>
        <v>8.6142857142857139</v>
      </c>
      <c r="H104" s="38">
        <v>102</v>
      </c>
      <c r="I104" s="38">
        <f t="shared" si="5"/>
        <v>9432</v>
      </c>
      <c r="J104" s="38">
        <f t="shared" si="3"/>
        <v>3176</v>
      </c>
      <c r="K104" s="38">
        <f t="shared" si="4"/>
        <v>1206</v>
      </c>
      <c r="L104" s="38">
        <v>201</v>
      </c>
      <c r="M104" s="38">
        <f>SUM(I$3:I104)</f>
        <v>468158</v>
      </c>
      <c r="N104" s="38">
        <f>SUM(J$3:J104)</f>
        <v>159224</v>
      </c>
      <c r="O104" s="38">
        <f>SUM(K$3:K104)</f>
        <v>61206</v>
      </c>
      <c r="P104" s="38">
        <f>SUM(L$3:L104)</f>
        <v>10203</v>
      </c>
      <c r="Q104" s="38">
        <v>10.6</v>
      </c>
    </row>
    <row r="105" spans="7:17" x14ac:dyDescent="0.25">
      <c r="G105">
        <f>K105/商城宝箱!$H$42</f>
        <v>8.6999999999999993</v>
      </c>
      <c r="H105" s="38">
        <v>103</v>
      </c>
      <c r="I105" s="38">
        <f t="shared" si="5"/>
        <v>9528</v>
      </c>
      <c r="J105" s="38">
        <f t="shared" si="3"/>
        <v>3208</v>
      </c>
      <c r="K105" s="38">
        <f t="shared" si="4"/>
        <v>1218</v>
      </c>
      <c r="L105" s="38">
        <v>203</v>
      </c>
      <c r="M105" s="38">
        <f>SUM(I$3:I105)</f>
        <v>477686</v>
      </c>
      <c r="N105" s="38">
        <f>SUM(J$3:J105)</f>
        <v>162432</v>
      </c>
      <c r="O105" s="38">
        <f>SUM(K$3:K105)</f>
        <v>62424</v>
      </c>
      <c r="P105" s="38">
        <f>SUM(L$3:L105)</f>
        <v>10406</v>
      </c>
      <c r="Q105" s="38">
        <v>10.7</v>
      </c>
    </row>
    <row r="106" spans="7:17" x14ac:dyDescent="0.25">
      <c r="G106">
        <f>K106/商城宝箱!$H$42</f>
        <v>8.7857142857142865</v>
      </c>
      <c r="H106" s="38">
        <v>104</v>
      </c>
      <c r="I106" s="38">
        <f t="shared" si="5"/>
        <v>9624</v>
      </c>
      <c r="J106" s="38">
        <f t="shared" si="3"/>
        <v>3240</v>
      </c>
      <c r="K106" s="38">
        <f t="shared" si="4"/>
        <v>1230</v>
      </c>
      <c r="L106" s="38">
        <v>205</v>
      </c>
      <c r="M106" s="38">
        <f>SUM(I$3:I106)</f>
        <v>487310</v>
      </c>
      <c r="N106" s="38">
        <f>SUM(J$3:J106)</f>
        <v>165672</v>
      </c>
      <c r="O106" s="38">
        <f>SUM(K$3:K106)</f>
        <v>63654</v>
      </c>
      <c r="P106" s="38">
        <f>SUM(L$3:L106)</f>
        <v>10611</v>
      </c>
      <c r="Q106" s="38">
        <v>10.8</v>
      </c>
    </row>
    <row r="107" spans="7:17" x14ac:dyDescent="0.25">
      <c r="G107">
        <f>K107/商城宝箱!$H$42</f>
        <v>8.8714285714285719</v>
      </c>
      <c r="H107" s="38">
        <v>105</v>
      </c>
      <c r="I107" s="38">
        <f t="shared" si="5"/>
        <v>9720</v>
      </c>
      <c r="J107" s="38">
        <f t="shared" si="3"/>
        <v>3272</v>
      </c>
      <c r="K107" s="38">
        <f t="shared" si="4"/>
        <v>1242</v>
      </c>
      <c r="L107" s="38">
        <v>207</v>
      </c>
      <c r="M107" s="38">
        <f>SUM(I$3:I107)</f>
        <v>497030</v>
      </c>
      <c r="N107" s="38">
        <f>SUM(J$3:J107)</f>
        <v>168944</v>
      </c>
      <c r="O107" s="38">
        <f>SUM(K$3:K107)</f>
        <v>64896</v>
      </c>
      <c r="P107" s="38">
        <f>SUM(L$3:L107)</f>
        <v>10818</v>
      </c>
      <c r="Q107" s="38">
        <v>10.9</v>
      </c>
    </row>
    <row r="108" spans="7:17" x14ac:dyDescent="0.25">
      <c r="G108">
        <f>K108/商城宝箱!$H$42</f>
        <v>8.9571428571428573</v>
      </c>
      <c r="H108" s="38">
        <v>106</v>
      </c>
      <c r="I108" s="38">
        <f t="shared" si="5"/>
        <v>9816</v>
      </c>
      <c r="J108" s="38">
        <f t="shared" si="3"/>
        <v>3304</v>
      </c>
      <c r="K108" s="38">
        <f t="shared" si="4"/>
        <v>1254</v>
      </c>
      <c r="L108" s="38">
        <v>209</v>
      </c>
      <c r="M108" s="38">
        <f>SUM(I$3:I108)</f>
        <v>506846</v>
      </c>
      <c r="N108" s="38">
        <f>SUM(J$3:J108)</f>
        <v>172248</v>
      </c>
      <c r="O108" s="38">
        <f>SUM(K$3:K108)</f>
        <v>66150</v>
      </c>
      <c r="P108" s="38">
        <f>SUM(L$3:L108)</f>
        <v>11027</v>
      </c>
      <c r="Q108" s="38">
        <v>11</v>
      </c>
    </row>
    <row r="109" spans="7:17" x14ac:dyDescent="0.25">
      <c r="G109">
        <f>K109/商城宝箱!$H$42</f>
        <v>9.0428571428571427</v>
      </c>
      <c r="H109" s="38">
        <v>107</v>
      </c>
      <c r="I109" s="38">
        <f t="shared" si="5"/>
        <v>9912</v>
      </c>
      <c r="J109" s="38">
        <f t="shared" si="3"/>
        <v>3336</v>
      </c>
      <c r="K109" s="38">
        <f t="shared" si="4"/>
        <v>1266</v>
      </c>
      <c r="L109" s="38">
        <v>211</v>
      </c>
      <c r="M109" s="38">
        <f>SUM(I$3:I109)</f>
        <v>516758</v>
      </c>
      <c r="N109" s="38">
        <f>SUM(J$3:J109)</f>
        <v>175584</v>
      </c>
      <c r="O109" s="38">
        <f>SUM(K$3:K109)</f>
        <v>67416</v>
      </c>
      <c r="P109" s="38">
        <f>SUM(L$3:L109)</f>
        <v>11238</v>
      </c>
      <c r="Q109" s="38">
        <v>11.1</v>
      </c>
    </row>
    <row r="110" spans="7:17" x14ac:dyDescent="0.25">
      <c r="G110">
        <f>K110/商城宝箱!$H$42</f>
        <v>9.1285714285714281</v>
      </c>
      <c r="H110" s="38">
        <v>108</v>
      </c>
      <c r="I110" s="38">
        <f t="shared" si="5"/>
        <v>10008</v>
      </c>
      <c r="J110" s="38">
        <f t="shared" si="3"/>
        <v>3368</v>
      </c>
      <c r="K110" s="38">
        <f t="shared" si="4"/>
        <v>1278</v>
      </c>
      <c r="L110" s="38">
        <v>213</v>
      </c>
      <c r="M110" s="38">
        <f>SUM(I$3:I110)</f>
        <v>526766</v>
      </c>
      <c r="N110" s="38">
        <f>SUM(J$3:J110)</f>
        <v>178952</v>
      </c>
      <c r="O110" s="38">
        <f>SUM(K$3:K110)</f>
        <v>68694</v>
      </c>
      <c r="P110" s="38">
        <f>SUM(L$3:L110)</f>
        <v>11451</v>
      </c>
      <c r="Q110" s="38">
        <v>11.2</v>
      </c>
    </row>
    <row r="111" spans="7:17" x14ac:dyDescent="0.25">
      <c r="G111">
        <f>K111/商城宝箱!$H$42</f>
        <v>9.2142857142857135</v>
      </c>
      <c r="H111" s="38">
        <v>109</v>
      </c>
      <c r="I111" s="38">
        <f t="shared" si="5"/>
        <v>10104</v>
      </c>
      <c r="J111" s="38">
        <f t="shared" si="3"/>
        <v>3400</v>
      </c>
      <c r="K111" s="38">
        <f t="shared" si="4"/>
        <v>1290</v>
      </c>
      <c r="L111" s="38">
        <v>215</v>
      </c>
      <c r="M111" s="38">
        <f>SUM(I$3:I111)</f>
        <v>536870</v>
      </c>
      <c r="N111" s="38">
        <f>SUM(J$3:J111)</f>
        <v>182352</v>
      </c>
      <c r="O111" s="38">
        <f>SUM(K$3:K111)</f>
        <v>69984</v>
      </c>
      <c r="P111" s="38">
        <f>SUM(L$3:L111)</f>
        <v>11666</v>
      </c>
      <c r="Q111" s="38">
        <v>11.3</v>
      </c>
    </row>
    <row r="112" spans="7:17" x14ac:dyDescent="0.25">
      <c r="G112">
        <f>K112/商城宝箱!$H$42</f>
        <v>9.3000000000000007</v>
      </c>
      <c r="H112" s="38">
        <v>110</v>
      </c>
      <c r="I112" s="38">
        <f t="shared" si="5"/>
        <v>10200</v>
      </c>
      <c r="J112" s="38">
        <f t="shared" si="3"/>
        <v>3432</v>
      </c>
      <c r="K112" s="38">
        <f t="shared" si="4"/>
        <v>1302</v>
      </c>
      <c r="L112" s="38">
        <v>217</v>
      </c>
      <c r="M112" s="38">
        <f>SUM(I$3:I112)</f>
        <v>547070</v>
      </c>
      <c r="N112" s="38">
        <f>SUM(J$3:J112)</f>
        <v>185784</v>
      </c>
      <c r="O112" s="38">
        <f>SUM(K$3:K112)</f>
        <v>71286</v>
      </c>
      <c r="P112" s="38">
        <f>SUM(L$3:L112)</f>
        <v>11883</v>
      </c>
      <c r="Q112" s="38">
        <v>11.4</v>
      </c>
    </row>
    <row r="113" spans="7:17" x14ac:dyDescent="0.25">
      <c r="G113">
        <f>K113/商城宝箱!$H$42</f>
        <v>9.3857142857142861</v>
      </c>
      <c r="H113" s="38">
        <v>111</v>
      </c>
      <c r="I113" s="38">
        <f t="shared" si="5"/>
        <v>10296</v>
      </c>
      <c r="J113" s="38">
        <f t="shared" si="3"/>
        <v>3464</v>
      </c>
      <c r="K113" s="38">
        <f t="shared" si="4"/>
        <v>1314</v>
      </c>
      <c r="L113" s="38">
        <v>219</v>
      </c>
      <c r="M113" s="38">
        <f>SUM(I$3:I113)</f>
        <v>557366</v>
      </c>
      <c r="N113" s="38">
        <f>SUM(J$3:J113)</f>
        <v>189248</v>
      </c>
      <c r="O113" s="38">
        <f>SUM(K$3:K113)</f>
        <v>72600</v>
      </c>
      <c r="P113" s="38">
        <f>SUM(L$3:L113)</f>
        <v>12102</v>
      </c>
      <c r="Q113" s="38">
        <v>11.5</v>
      </c>
    </row>
    <row r="114" spans="7:17" x14ac:dyDescent="0.25">
      <c r="G114">
        <f>K114/商城宝箱!$H$42</f>
        <v>9.4714285714285715</v>
      </c>
      <c r="H114" s="38">
        <v>112</v>
      </c>
      <c r="I114" s="38">
        <f t="shared" si="5"/>
        <v>10392</v>
      </c>
      <c r="J114" s="38">
        <f t="shared" si="3"/>
        <v>3496</v>
      </c>
      <c r="K114" s="38">
        <f t="shared" si="4"/>
        <v>1326</v>
      </c>
      <c r="L114" s="38">
        <v>221</v>
      </c>
      <c r="M114" s="38">
        <f>SUM(I$3:I114)</f>
        <v>567758</v>
      </c>
      <c r="N114" s="38">
        <f>SUM(J$3:J114)</f>
        <v>192744</v>
      </c>
      <c r="O114" s="38">
        <f>SUM(K$3:K114)</f>
        <v>73926</v>
      </c>
      <c r="P114" s="38">
        <f>SUM(L$3:L114)</f>
        <v>12323</v>
      </c>
      <c r="Q114" s="38">
        <v>11.6</v>
      </c>
    </row>
    <row r="115" spans="7:17" x14ac:dyDescent="0.25">
      <c r="G115">
        <f>K115/商城宝箱!$H$42</f>
        <v>9.5571428571428569</v>
      </c>
      <c r="H115" s="38">
        <v>113</v>
      </c>
      <c r="I115" s="38">
        <f t="shared" si="5"/>
        <v>10488</v>
      </c>
      <c r="J115" s="38">
        <f t="shared" si="3"/>
        <v>3528</v>
      </c>
      <c r="K115" s="38">
        <f t="shared" si="4"/>
        <v>1338</v>
      </c>
      <c r="L115" s="38">
        <v>223</v>
      </c>
      <c r="M115" s="38">
        <f>SUM(I$3:I115)</f>
        <v>578246</v>
      </c>
      <c r="N115" s="38">
        <f>SUM(J$3:J115)</f>
        <v>196272</v>
      </c>
      <c r="O115" s="38">
        <f>SUM(K$3:K115)</f>
        <v>75264</v>
      </c>
      <c r="P115" s="38">
        <f>SUM(L$3:L115)</f>
        <v>12546</v>
      </c>
      <c r="Q115" s="38">
        <v>11.7</v>
      </c>
    </row>
    <row r="116" spans="7:17" x14ac:dyDescent="0.25">
      <c r="G116">
        <f>K116/商城宝箱!$H$42</f>
        <v>9.6428571428571423</v>
      </c>
      <c r="H116" s="38">
        <v>114</v>
      </c>
      <c r="I116" s="38">
        <f t="shared" si="5"/>
        <v>10584</v>
      </c>
      <c r="J116" s="38">
        <f t="shared" si="3"/>
        <v>3560</v>
      </c>
      <c r="K116" s="38">
        <f t="shared" si="4"/>
        <v>1350</v>
      </c>
      <c r="L116" s="38">
        <v>225</v>
      </c>
      <c r="M116" s="38">
        <f>SUM(I$3:I116)</f>
        <v>588830</v>
      </c>
      <c r="N116" s="38">
        <f>SUM(J$3:J116)</f>
        <v>199832</v>
      </c>
      <c r="O116" s="38">
        <f>SUM(K$3:K116)</f>
        <v>76614</v>
      </c>
      <c r="P116" s="38">
        <f>SUM(L$3:L116)</f>
        <v>12771</v>
      </c>
      <c r="Q116" s="38">
        <v>11.8</v>
      </c>
    </row>
    <row r="117" spans="7:17" x14ac:dyDescent="0.25">
      <c r="G117">
        <f>K117/商城宝箱!$H$42</f>
        <v>9.7285714285714278</v>
      </c>
      <c r="H117" s="38">
        <v>115</v>
      </c>
      <c r="I117" s="38">
        <f t="shared" si="5"/>
        <v>10680</v>
      </c>
      <c r="J117" s="38">
        <f t="shared" si="3"/>
        <v>3592</v>
      </c>
      <c r="K117" s="38">
        <f t="shared" si="4"/>
        <v>1362</v>
      </c>
      <c r="L117" s="38">
        <v>227</v>
      </c>
      <c r="M117" s="38">
        <f>SUM(I$3:I117)</f>
        <v>599510</v>
      </c>
      <c r="N117" s="38">
        <f>SUM(J$3:J117)</f>
        <v>203424</v>
      </c>
      <c r="O117" s="38">
        <f>SUM(K$3:K117)</f>
        <v>77976</v>
      </c>
      <c r="P117" s="38">
        <f>SUM(L$3:L117)</f>
        <v>12998</v>
      </c>
      <c r="Q117" s="38">
        <v>11.9</v>
      </c>
    </row>
    <row r="118" spans="7:17" x14ac:dyDescent="0.25">
      <c r="G118">
        <f>K118/商城宝箱!$H$42</f>
        <v>9.8142857142857149</v>
      </c>
      <c r="H118" s="38">
        <v>116</v>
      </c>
      <c r="I118" s="38">
        <f t="shared" si="5"/>
        <v>10776</v>
      </c>
      <c r="J118" s="38">
        <f t="shared" si="3"/>
        <v>3624</v>
      </c>
      <c r="K118" s="38">
        <f t="shared" si="4"/>
        <v>1374</v>
      </c>
      <c r="L118" s="38">
        <v>229</v>
      </c>
      <c r="M118" s="38">
        <f>SUM(I$3:I118)</f>
        <v>610286</v>
      </c>
      <c r="N118" s="38">
        <f>SUM(J$3:J118)</f>
        <v>207048</v>
      </c>
      <c r="O118" s="38">
        <f>SUM(K$3:K118)</f>
        <v>79350</v>
      </c>
      <c r="P118" s="38">
        <f>SUM(L$3:L118)</f>
        <v>13227</v>
      </c>
      <c r="Q118" s="38">
        <v>12</v>
      </c>
    </row>
    <row r="119" spans="7:17" x14ac:dyDescent="0.25">
      <c r="G119">
        <f>K119/商城宝箱!$H$42</f>
        <v>9.9</v>
      </c>
      <c r="H119" s="38">
        <v>117</v>
      </c>
      <c r="I119" s="38">
        <f t="shared" si="5"/>
        <v>10872</v>
      </c>
      <c r="J119" s="38">
        <f t="shared" si="3"/>
        <v>3656</v>
      </c>
      <c r="K119" s="38">
        <f t="shared" si="4"/>
        <v>1386</v>
      </c>
      <c r="L119" s="38">
        <v>231</v>
      </c>
      <c r="M119" s="38">
        <f>SUM(I$3:I119)</f>
        <v>621158</v>
      </c>
      <c r="N119" s="38">
        <f>SUM(J$3:J119)</f>
        <v>210704</v>
      </c>
      <c r="O119" s="38">
        <f>SUM(K$3:K119)</f>
        <v>80736</v>
      </c>
      <c r="P119" s="38">
        <f>SUM(L$3:L119)</f>
        <v>13458</v>
      </c>
      <c r="Q119" s="38">
        <v>12.1</v>
      </c>
    </row>
    <row r="120" spans="7:17" x14ac:dyDescent="0.25">
      <c r="G120">
        <f>K120/商城宝箱!$H$42</f>
        <v>9.9857142857142858</v>
      </c>
      <c r="H120" s="38">
        <v>118</v>
      </c>
      <c r="I120" s="38">
        <f t="shared" si="5"/>
        <v>10968</v>
      </c>
      <c r="J120" s="38">
        <f t="shared" si="3"/>
        <v>3688</v>
      </c>
      <c r="K120" s="38">
        <f t="shared" si="4"/>
        <v>1398</v>
      </c>
      <c r="L120" s="38">
        <v>233</v>
      </c>
      <c r="M120" s="38">
        <f>SUM(I$3:I120)</f>
        <v>632126</v>
      </c>
      <c r="N120" s="38">
        <f>SUM(J$3:J120)</f>
        <v>214392</v>
      </c>
      <c r="O120" s="38">
        <f>SUM(K$3:K120)</f>
        <v>82134</v>
      </c>
      <c r="P120" s="38">
        <f>SUM(L$3:L120)</f>
        <v>13691</v>
      </c>
      <c r="Q120" s="38">
        <v>12.2</v>
      </c>
    </row>
    <row r="121" spans="7:17" x14ac:dyDescent="0.25">
      <c r="G121">
        <f>K121/商城宝箱!$H$42</f>
        <v>10.071428571428571</v>
      </c>
      <c r="H121" s="38">
        <v>119</v>
      </c>
      <c r="I121" s="38">
        <f t="shared" si="5"/>
        <v>11064</v>
      </c>
      <c r="J121" s="38">
        <f t="shared" si="3"/>
        <v>3720</v>
      </c>
      <c r="K121" s="38">
        <f t="shared" si="4"/>
        <v>1410</v>
      </c>
      <c r="L121" s="38">
        <v>235</v>
      </c>
      <c r="M121" s="38">
        <f>SUM(I$3:I121)</f>
        <v>643190</v>
      </c>
      <c r="N121" s="38">
        <f>SUM(J$3:J121)</f>
        <v>218112</v>
      </c>
      <c r="O121" s="38">
        <f>SUM(K$3:K121)</f>
        <v>83544</v>
      </c>
      <c r="P121" s="38">
        <f>SUM(L$3:L121)</f>
        <v>13926</v>
      </c>
      <c r="Q121" s="38">
        <v>12.3</v>
      </c>
    </row>
    <row r="122" spans="7:17" x14ac:dyDescent="0.25">
      <c r="G122">
        <f>K122/商城宝箱!$H$42</f>
        <v>10.157142857142857</v>
      </c>
      <c r="H122" s="38">
        <v>120</v>
      </c>
      <c r="I122" s="38">
        <f t="shared" si="5"/>
        <v>11160</v>
      </c>
      <c r="J122" s="38">
        <f t="shared" si="3"/>
        <v>3752</v>
      </c>
      <c r="K122" s="38">
        <f t="shared" si="4"/>
        <v>1422</v>
      </c>
      <c r="L122" s="38">
        <v>237</v>
      </c>
      <c r="M122" s="38">
        <f>SUM(I$3:I122)</f>
        <v>654350</v>
      </c>
      <c r="N122" s="38">
        <f>SUM(J$3:J122)</f>
        <v>221864</v>
      </c>
      <c r="O122" s="38">
        <f>SUM(K$3:K122)</f>
        <v>84966</v>
      </c>
      <c r="P122" s="38">
        <f>SUM(L$3:L122)</f>
        <v>14163</v>
      </c>
      <c r="Q122" s="38">
        <v>12.4</v>
      </c>
    </row>
    <row r="123" spans="7:17" x14ac:dyDescent="0.25">
      <c r="G123">
        <f>K123/商城宝箱!$H$42</f>
        <v>10.242857142857142</v>
      </c>
      <c r="H123" s="38">
        <v>121</v>
      </c>
      <c r="I123" s="38">
        <f t="shared" si="5"/>
        <v>11256</v>
      </c>
      <c r="J123" s="38">
        <f t="shared" si="3"/>
        <v>3784</v>
      </c>
      <c r="K123" s="38">
        <f t="shared" si="4"/>
        <v>1434</v>
      </c>
      <c r="L123" s="38">
        <v>239</v>
      </c>
      <c r="M123" s="38">
        <f>SUM(I$3:I123)</f>
        <v>665606</v>
      </c>
      <c r="N123" s="38">
        <f>SUM(J$3:J123)</f>
        <v>225648</v>
      </c>
      <c r="O123" s="38">
        <f>SUM(K$3:K123)</f>
        <v>86400</v>
      </c>
      <c r="P123" s="38">
        <f>SUM(L$3:L123)</f>
        <v>14402</v>
      </c>
      <c r="Q123" s="38">
        <v>12.5</v>
      </c>
    </row>
    <row r="124" spans="7:17" x14ac:dyDescent="0.25">
      <c r="G124">
        <f>K124/商城宝箱!$H$42</f>
        <v>10.328571428571429</v>
      </c>
      <c r="H124" s="38">
        <v>122</v>
      </c>
      <c r="I124" s="38">
        <f t="shared" si="5"/>
        <v>11352</v>
      </c>
      <c r="J124" s="38">
        <f t="shared" si="3"/>
        <v>3816</v>
      </c>
      <c r="K124" s="38">
        <f t="shared" si="4"/>
        <v>1446</v>
      </c>
      <c r="L124" s="38">
        <v>241</v>
      </c>
      <c r="M124" s="38">
        <f>SUM(I$3:I124)</f>
        <v>676958</v>
      </c>
      <c r="N124" s="38">
        <f>SUM(J$3:J124)</f>
        <v>229464</v>
      </c>
      <c r="O124" s="38">
        <f>SUM(K$3:K124)</f>
        <v>87846</v>
      </c>
      <c r="P124" s="38">
        <f>SUM(L$3:L124)</f>
        <v>14643</v>
      </c>
      <c r="Q124" s="38">
        <v>12.6</v>
      </c>
    </row>
    <row r="125" spans="7:17" x14ac:dyDescent="0.25">
      <c r="G125">
        <f>K125/商城宝箱!$H$42</f>
        <v>10.414285714285715</v>
      </c>
      <c r="H125" s="38">
        <v>123</v>
      </c>
      <c r="I125" s="38">
        <f t="shared" si="5"/>
        <v>11448</v>
      </c>
      <c r="J125" s="38">
        <f t="shared" si="3"/>
        <v>3848</v>
      </c>
      <c r="K125" s="38">
        <f t="shared" si="4"/>
        <v>1458</v>
      </c>
      <c r="L125" s="38">
        <v>243</v>
      </c>
      <c r="M125" s="38">
        <f>SUM(I$3:I125)</f>
        <v>688406</v>
      </c>
      <c r="N125" s="38">
        <f>SUM(J$3:J125)</f>
        <v>233312</v>
      </c>
      <c r="O125" s="38">
        <f>SUM(K$3:K125)</f>
        <v>89304</v>
      </c>
      <c r="P125" s="38">
        <f>SUM(L$3:L125)</f>
        <v>14886</v>
      </c>
      <c r="Q125" s="38">
        <v>12.7</v>
      </c>
    </row>
    <row r="126" spans="7:17" x14ac:dyDescent="0.25">
      <c r="G126">
        <f>K126/商城宝箱!$H$42</f>
        <v>10.5</v>
      </c>
      <c r="H126" s="38">
        <v>124</v>
      </c>
      <c r="I126" s="38">
        <f t="shared" si="5"/>
        <v>11544</v>
      </c>
      <c r="J126" s="38">
        <f t="shared" si="3"/>
        <v>3880</v>
      </c>
      <c r="K126" s="38">
        <f t="shared" si="4"/>
        <v>1470</v>
      </c>
      <c r="L126" s="38">
        <v>245</v>
      </c>
      <c r="M126" s="38">
        <f>SUM(I$3:I126)</f>
        <v>699950</v>
      </c>
      <c r="N126" s="38">
        <f>SUM(J$3:J126)</f>
        <v>237192</v>
      </c>
      <c r="O126" s="38">
        <f>SUM(K$3:K126)</f>
        <v>90774</v>
      </c>
      <c r="P126" s="38">
        <f>SUM(L$3:L126)</f>
        <v>15131</v>
      </c>
      <c r="Q126" s="38">
        <v>12.8</v>
      </c>
    </row>
    <row r="127" spans="7:17" x14ac:dyDescent="0.25">
      <c r="G127">
        <f>K127/商城宝箱!$H$42</f>
        <v>10.585714285714285</v>
      </c>
      <c r="H127" s="38">
        <v>125</v>
      </c>
      <c r="I127" s="38">
        <f t="shared" si="5"/>
        <v>11640</v>
      </c>
      <c r="J127" s="38">
        <f t="shared" si="3"/>
        <v>3912</v>
      </c>
      <c r="K127" s="38">
        <f t="shared" si="4"/>
        <v>1482</v>
      </c>
      <c r="L127" s="38">
        <v>247</v>
      </c>
      <c r="M127" s="38">
        <f>SUM(I$3:I127)</f>
        <v>711590</v>
      </c>
      <c r="N127" s="38">
        <f>SUM(J$3:J127)</f>
        <v>241104</v>
      </c>
      <c r="O127" s="38">
        <f>SUM(K$3:K127)</f>
        <v>92256</v>
      </c>
      <c r="P127" s="38">
        <f>SUM(L$3:L127)</f>
        <v>15378</v>
      </c>
      <c r="Q127" s="38">
        <v>12.9</v>
      </c>
    </row>
    <row r="128" spans="7:17" x14ac:dyDescent="0.25">
      <c r="G128">
        <f>K128/商城宝箱!$H$42</f>
        <v>10.671428571428571</v>
      </c>
      <c r="H128" s="38">
        <v>126</v>
      </c>
      <c r="I128" s="38">
        <f t="shared" si="5"/>
        <v>11736</v>
      </c>
      <c r="J128" s="38">
        <f t="shared" si="3"/>
        <v>3944</v>
      </c>
      <c r="K128" s="38">
        <f t="shared" si="4"/>
        <v>1494</v>
      </c>
      <c r="L128" s="38">
        <v>249</v>
      </c>
      <c r="M128" s="38">
        <f>SUM(I$3:I128)</f>
        <v>723326</v>
      </c>
      <c r="N128" s="38">
        <f>SUM(J$3:J128)</f>
        <v>245048</v>
      </c>
      <c r="O128" s="38">
        <f>SUM(K$3:K128)</f>
        <v>93750</v>
      </c>
      <c r="P128" s="38">
        <f>SUM(L$3:L128)</f>
        <v>15627</v>
      </c>
      <c r="Q128" s="38">
        <v>13</v>
      </c>
    </row>
    <row r="129" spans="7:17" x14ac:dyDescent="0.25">
      <c r="G129">
        <f>K129/商城宝箱!$H$42</f>
        <v>10.757142857142858</v>
      </c>
      <c r="H129" s="38">
        <v>127</v>
      </c>
      <c r="I129" s="38">
        <f t="shared" si="5"/>
        <v>11832</v>
      </c>
      <c r="J129" s="38">
        <f t="shared" si="3"/>
        <v>3976</v>
      </c>
      <c r="K129" s="38">
        <f t="shared" si="4"/>
        <v>1506</v>
      </c>
      <c r="L129" s="38">
        <v>251</v>
      </c>
      <c r="M129" s="38">
        <f>SUM(I$3:I129)</f>
        <v>735158</v>
      </c>
      <c r="N129" s="38">
        <f>SUM(J$3:J129)</f>
        <v>249024</v>
      </c>
      <c r="O129" s="38">
        <f>SUM(K$3:K129)</f>
        <v>95256</v>
      </c>
      <c r="P129" s="38">
        <f>SUM(L$3:L129)</f>
        <v>15878</v>
      </c>
      <c r="Q129" s="38">
        <v>13.1</v>
      </c>
    </row>
    <row r="130" spans="7:17" x14ac:dyDescent="0.25">
      <c r="G130">
        <f>K130/商城宝箱!$H$42</f>
        <v>10.842857142857143</v>
      </c>
      <c r="H130" s="38">
        <v>128</v>
      </c>
      <c r="I130" s="38">
        <f t="shared" si="5"/>
        <v>11928</v>
      </c>
      <c r="J130" s="38">
        <f t="shared" si="3"/>
        <v>4008</v>
      </c>
      <c r="K130" s="38">
        <f t="shared" si="4"/>
        <v>1518</v>
      </c>
      <c r="L130" s="38">
        <v>253</v>
      </c>
      <c r="M130" s="38">
        <f>SUM(I$3:I130)</f>
        <v>747086</v>
      </c>
      <c r="N130" s="38">
        <f>SUM(J$3:J130)</f>
        <v>253032</v>
      </c>
      <c r="O130" s="38">
        <f>SUM(K$3:K130)</f>
        <v>96774</v>
      </c>
      <c r="P130" s="38">
        <f>SUM(L$3:L130)</f>
        <v>16131</v>
      </c>
      <c r="Q130" s="38">
        <v>13.2</v>
      </c>
    </row>
    <row r="131" spans="7:17" x14ac:dyDescent="0.25">
      <c r="G131">
        <f>K131/商城宝箱!$H$42</f>
        <v>10.928571428571429</v>
      </c>
      <c r="H131" s="38">
        <v>129</v>
      </c>
      <c r="I131" s="38">
        <f t="shared" si="5"/>
        <v>12024</v>
      </c>
      <c r="J131" s="38">
        <f t="shared" si="3"/>
        <v>4040</v>
      </c>
      <c r="K131" s="38">
        <f t="shared" si="4"/>
        <v>1530</v>
      </c>
      <c r="L131" s="38">
        <v>255</v>
      </c>
      <c r="M131" s="38">
        <f>SUM(I$3:I131)</f>
        <v>759110</v>
      </c>
      <c r="N131" s="38">
        <f>SUM(J$3:J131)</f>
        <v>257072</v>
      </c>
      <c r="O131" s="38">
        <f>SUM(K$3:K131)</f>
        <v>98304</v>
      </c>
      <c r="P131" s="38">
        <f>SUM(L$3:L131)</f>
        <v>16386</v>
      </c>
      <c r="Q131" s="38">
        <v>13.3</v>
      </c>
    </row>
    <row r="132" spans="7:17" x14ac:dyDescent="0.25">
      <c r="G132">
        <f>K132/商城宝箱!$H$42</f>
        <v>11.014285714285714</v>
      </c>
      <c r="H132" s="38">
        <v>130</v>
      </c>
      <c r="I132" s="38">
        <f t="shared" si="5"/>
        <v>12120</v>
      </c>
      <c r="J132" s="38">
        <f t="shared" si="3"/>
        <v>4072</v>
      </c>
      <c r="K132" s="38">
        <f t="shared" si="4"/>
        <v>1542</v>
      </c>
      <c r="L132" s="38">
        <v>257</v>
      </c>
      <c r="M132" s="38">
        <f>SUM(I$3:I132)</f>
        <v>771230</v>
      </c>
      <c r="N132" s="38">
        <f>SUM(J$3:J132)</f>
        <v>261144</v>
      </c>
      <c r="O132" s="38">
        <f>SUM(K$3:K132)</f>
        <v>99846</v>
      </c>
      <c r="P132" s="38">
        <f>SUM(L$3:L132)</f>
        <v>16643</v>
      </c>
      <c r="Q132" s="38">
        <v>13.4</v>
      </c>
    </row>
    <row r="133" spans="7:17" x14ac:dyDescent="0.25">
      <c r="G133">
        <f>K133/商城宝箱!$H$42</f>
        <v>11.1</v>
      </c>
      <c r="H133" s="38">
        <v>131</v>
      </c>
      <c r="I133" s="38">
        <f t="shared" si="5"/>
        <v>12216</v>
      </c>
      <c r="J133" s="38">
        <f t="shared" si="3"/>
        <v>4104</v>
      </c>
      <c r="K133" s="38">
        <f t="shared" si="4"/>
        <v>1554</v>
      </c>
      <c r="L133" s="38">
        <v>259</v>
      </c>
      <c r="M133" s="38">
        <f>SUM(I$3:I133)</f>
        <v>783446</v>
      </c>
      <c r="N133" s="38">
        <f>SUM(J$3:J133)</f>
        <v>265248</v>
      </c>
      <c r="O133" s="38">
        <f>SUM(K$3:K133)</f>
        <v>101400</v>
      </c>
      <c r="P133" s="38">
        <f>SUM(L$3:L133)</f>
        <v>16902</v>
      </c>
      <c r="Q133" s="38">
        <v>13.5</v>
      </c>
    </row>
    <row r="134" spans="7:17" x14ac:dyDescent="0.25">
      <c r="G134">
        <f>K134/商城宝箱!$H$42</f>
        <v>11.185714285714285</v>
      </c>
      <c r="H134" s="38">
        <v>132</v>
      </c>
      <c r="I134" s="38">
        <f t="shared" si="5"/>
        <v>12312</v>
      </c>
      <c r="J134" s="38">
        <f t="shared" si="3"/>
        <v>4136</v>
      </c>
      <c r="K134" s="38">
        <f t="shared" si="4"/>
        <v>1566</v>
      </c>
      <c r="L134" s="38">
        <v>261</v>
      </c>
      <c r="M134" s="38">
        <f>SUM(I$3:I134)</f>
        <v>795758</v>
      </c>
      <c r="N134" s="38">
        <f>SUM(J$3:J134)</f>
        <v>269384</v>
      </c>
      <c r="O134" s="38">
        <f>SUM(K$3:K134)</f>
        <v>102966</v>
      </c>
      <c r="P134" s="38">
        <f>SUM(L$3:L134)</f>
        <v>17163</v>
      </c>
      <c r="Q134" s="38">
        <v>13.6</v>
      </c>
    </row>
    <row r="135" spans="7:17" x14ac:dyDescent="0.25">
      <c r="G135">
        <f>K135/商城宝箱!$H$42</f>
        <v>11.271428571428572</v>
      </c>
      <c r="H135" s="38">
        <v>133</v>
      </c>
      <c r="I135" s="38">
        <f t="shared" si="5"/>
        <v>12408</v>
      </c>
      <c r="J135" s="38">
        <f t="shared" si="3"/>
        <v>4168</v>
      </c>
      <c r="K135" s="38">
        <f t="shared" si="4"/>
        <v>1578</v>
      </c>
      <c r="L135" s="38">
        <v>263</v>
      </c>
      <c r="M135" s="38">
        <f>SUM(I$3:I135)</f>
        <v>808166</v>
      </c>
      <c r="N135" s="38">
        <f>SUM(J$3:J135)</f>
        <v>273552</v>
      </c>
      <c r="O135" s="38">
        <f>SUM(K$3:K135)</f>
        <v>104544</v>
      </c>
      <c r="P135" s="38">
        <f>SUM(L$3:L135)</f>
        <v>17426</v>
      </c>
      <c r="Q135" s="38">
        <v>13.7</v>
      </c>
    </row>
    <row r="136" spans="7:17" x14ac:dyDescent="0.25">
      <c r="G136">
        <f>K136/商城宝箱!$H$42</f>
        <v>11.357142857142858</v>
      </c>
      <c r="H136" s="38">
        <v>134</v>
      </c>
      <c r="I136" s="38">
        <f t="shared" si="5"/>
        <v>12504</v>
      </c>
      <c r="J136" s="38">
        <f t="shared" ref="J136:J199" si="6">J135+32</f>
        <v>4200</v>
      </c>
      <c r="K136" s="38">
        <f t="shared" ref="K136:K199" si="7">K135+12</f>
        <v>1590</v>
      </c>
      <c r="L136" s="38">
        <v>265</v>
      </c>
      <c r="M136" s="38">
        <f>SUM(I$3:I136)</f>
        <v>820670</v>
      </c>
      <c r="N136" s="38">
        <f>SUM(J$3:J136)</f>
        <v>277752</v>
      </c>
      <c r="O136" s="38">
        <f>SUM(K$3:K136)</f>
        <v>106134</v>
      </c>
      <c r="P136" s="38">
        <f>SUM(L$3:L136)</f>
        <v>17691</v>
      </c>
      <c r="Q136" s="38">
        <v>13.8</v>
      </c>
    </row>
    <row r="137" spans="7:17" x14ac:dyDescent="0.25">
      <c r="G137">
        <f>K137/商城宝箱!$H$42</f>
        <v>11.442857142857143</v>
      </c>
      <c r="H137" s="38">
        <v>135</v>
      </c>
      <c r="I137" s="38">
        <f t="shared" ref="I137:I200" si="8">I136+96</f>
        <v>12600</v>
      </c>
      <c r="J137" s="38">
        <f t="shared" si="6"/>
        <v>4232</v>
      </c>
      <c r="K137" s="38">
        <f t="shared" si="7"/>
        <v>1602</v>
      </c>
      <c r="L137" s="38">
        <v>267</v>
      </c>
      <c r="M137" s="38">
        <f>SUM(I$3:I137)</f>
        <v>833270</v>
      </c>
      <c r="N137" s="38">
        <f>SUM(J$3:J137)</f>
        <v>281984</v>
      </c>
      <c r="O137" s="38">
        <f>SUM(K$3:K137)</f>
        <v>107736</v>
      </c>
      <c r="P137" s="38">
        <f>SUM(L$3:L137)</f>
        <v>17958</v>
      </c>
      <c r="Q137" s="38">
        <v>13.9</v>
      </c>
    </row>
    <row r="138" spans="7:17" x14ac:dyDescent="0.25">
      <c r="G138">
        <f>K138/商城宝箱!$H$42</f>
        <v>11.528571428571428</v>
      </c>
      <c r="H138" s="38">
        <v>136</v>
      </c>
      <c r="I138" s="38">
        <f t="shared" si="8"/>
        <v>12696</v>
      </c>
      <c r="J138" s="38">
        <f t="shared" si="6"/>
        <v>4264</v>
      </c>
      <c r="K138" s="38">
        <f t="shared" si="7"/>
        <v>1614</v>
      </c>
      <c r="L138" s="38">
        <v>269</v>
      </c>
      <c r="M138" s="38">
        <f>SUM(I$3:I138)</f>
        <v>845966</v>
      </c>
      <c r="N138" s="38">
        <f>SUM(J$3:J138)</f>
        <v>286248</v>
      </c>
      <c r="O138" s="38">
        <f>SUM(K$3:K138)</f>
        <v>109350</v>
      </c>
      <c r="P138" s="38">
        <f>SUM(L$3:L138)</f>
        <v>18227</v>
      </c>
      <c r="Q138" s="38">
        <v>14</v>
      </c>
    </row>
    <row r="139" spans="7:17" x14ac:dyDescent="0.25">
      <c r="G139">
        <f>K139/商城宝箱!$H$42</f>
        <v>11.614285714285714</v>
      </c>
      <c r="H139" s="38">
        <v>137</v>
      </c>
      <c r="I139" s="38">
        <f t="shared" si="8"/>
        <v>12792</v>
      </c>
      <c r="J139" s="38">
        <f t="shared" si="6"/>
        <v>4296</v>
      </c>
      <c r="K139" s="38">
        <f t="shared" si="7"/>
        <v>1626</v>
      </c>
      <c r="L139" s="38">
        <v>271</v>
      </c>
      <c r="M139" s="38">
        <f>SUM(I$3:I139)</f>
        <v>858758</v>
      </c>
      <c r="N139" s="38">
        <f>SUM(J$3:J139)</f>
        <v>290544</v>
      </c>
      <c r="O139" s="38">
        <f>SUM(K$3:K139)</f>
        <v>110976</v>
      </c>
      <c r="P139" s="38">
        <f>SUM(L$3:L139)</f>
        <v>18498</v>
      </c>
      <c r="Q139" s="38">
        <v>14.1</v>
      </c>
    </row>
    <row r="140" spans="7:17" x14ac:dyDescent="0.25">
      <c r="G140">
        <f>K140/商城宝箱!$H$42</f>
        <v>11.7</v>
      </c>
      <c r="H140" s="38">
        <v>138</v>
      </c>
      <c r="I140" s="38">
        <f t="shared" si="8"/>
        <v>12888</v>
      </c>
      <c r="J140" s="38">
        <f t="shared" si="6"/>
        <v>4328</v>
      </c>
      <c r="K140" s="38">
        <f t="shared" si="7"/>
        <v>1638</v>
      </c>
      <c r="L140" s="38">
        <v>273</v>
      </c>
      <c r="M140" s="38">
        <f>SUM(I$3:I140)</f>
        <v>871646</v>
      </c>
      <c r="N140" s="38">
        <f>SUM(J$3:J140)</f>
        <v>294872</v>
      </c>
      <c r="O140" s="38">
        <f>SUM(K$3:K140)</f>
        <v>112614</v>
      </c>
      <c r="P140" s="38">
        <f>SUM(L$3:L140)</f>
        <v>18771</v>
      </c>
      <c r="Q140" s="38">
        <v>14.2</v>
      </c>
    </row>
    <row r="141" spans="7:17" x14ac:dyDescent="0.25">
      <c r="G141">
        <f>K141/商城宝箱!$H$42</f>
        <v>11.785714285714286</v>
      </c>
      <c r="H141" s="38">
        <v>139</v>
      </c>
      <c r="I141" s="38">
        <f t="shared" si="8"/>
        <v>12984</v>
      </c>
      <c r="J141" s="38">
        <f t="shared" si="6"/>
        <v>4360</v>
      </c>
      <c r="K141" s="38">
        <f t="shared" si="7"/>
        <v>1650</v>
      </c>
      <c r="L141" s="38">
        <v>275</v>
      </c>
      <c r="M141" s="38">
        <f>SUM(I$3:I141)</f>
        <v>884630</v>
      </c>
      <c r="N141" s="38">
        <f>SUM(J$3:J141)</f>
        <v>299232</v>
      </c>
      <c r="O141" s="38">
        <f>SUM(K$3:K141)</f>
        <v>114264</v>
      </c>
      <c r="P141" s="38">
        <f>SUM(L$3:L141)</f>
        <v>19046</v>
      </c>
      <c r="Q141" s="38">
        <v>14.3</v>
      </c>
    </row>
    <row r="142" spans="7:17" x14ac:dyDescent="0.25">
      <c r="G142">
        <f>K142/商城宝箱!$H$42</f>
        <v>11.871428571428572</v>
      </c>
      <c r="H142" s="38">
        <v>140</v>
      </c>
      <c r="I142" s="38">
        <f t="shared" si="8"/>
        <v>13080</v>
      </c>
      <c r="J142" s="38">
        <f t="shared" si="6"/>
        <v>4392</v>
      </c>
      <c r="K142" s="38">
        <f t="shared" si="7"/>
        <v>1662</v>
      </c>
      <c r="L142" s="38">
        <v>277</v>
      </c>
      <c r="M142" s="38">
        <f>SUM(I$3:I142)</f>
        <v>897710</v>
      </c>
      <c r="N142" s="38">
        <f>SUM(J$3:J142)</f>
        <v>303624</v>
      </c>
      <c r="O142" s="38">
        <f>SUM(K$3:K142)</f>
        <v>115926</v>
      </c>
      <c r="P142" s="38">
        <f>SUM(L$3:L142)</f>
        <v>19323</v>
      </c>
      <c r="Q142" s="38">
        <v>14.4</v>
      </c>
    </row>
    <row r="143" spans="7:17" x14ac:dyDescent="0.25">
      <c r="G143">
        <f>K143/商城宝箱!$H$42</f>
        <v>11.957142857142857</v>
      </c>
      <c r="H143" s="38">
        <v>141</v>
      </c>
      <c r="I143" s="38">
        <f t="shared" si="8"/>
        <v>13176</v>
      </c>
      <c r="J143" s="38">
        <f t="shared" si="6"/>
        <v>4424</v>
      </c>
      <c r="K143" s="38">
        <f t="shared" si="7"/>
        <v>1674</v>
      </c>
      <c r="L143" s="38">
        <v>279</v>
      </c>
      <c r="M143" s="38">
        <f>SUM(I$3:I143)</f>
        <v>910886</v>
      </c>
      <c r="N143" s="38">
        <f>SUM(J$3:J143)</f>
        <v>308048</v>
      </c>
      <c r="O143" s="38">
        <f>SUM(K$3:K143)</f>
        <v>117600</v>
      </c>
      <c r="P143" s="38">
        <f>SUM(L$3:L143)</f>
        <v>19602</v>
      </c>
      <c r="Q143" s="38">
        <v>14.5</v>
      </c>
    </row>
    <row r="144" spans="7:17" x14ac:dyDescent="0.25">
      <c r="G144">
        <f>K144/商城宝箱!$H$42</f>
        <v>12.042857142857143</v>
      </c>
      <c r="H144" s="38">
        <v>142</v>
      </c>
      <c r="I144" s="38">
        <f t="shared" si="8"/>
        <v>13272</v>
      </c>
      <c r="J144" s="38">
        <f t="shared" si="6"/>
        <v>4456</v>
      </c>
      <c r="K144" s="38">
        <f t="shared" si="7"/>
        <v>1686</v>
      </c>
      <c r="L144" s="38">
        <v>281</v>
      </c>
      <c r="M144" s="38">
        <f>SUM(I$3:I144)</f>
        <v>924158</v>
      </c>
      <c r="N144" s="38">
        <f>SUM(J$3:J144)</f>
        <v>312504</v>
      </c>
      <c r="O144" s="38">
        <f>SUM(K$3:K144)</f>
        <v>119286</v>
      </c>
      <c r="P144" s="38">
        <f>SUM(L$3:L144)</f>
        <v>19883</v>
      </c>
      <c r="Q144" s="38">
        <v>14.6</v>
      </c>
    </row>
    <row r="145" spans="7:17" x14ac:dyDescent="0.25">
      <c r="G145">
        <f>K145/商城宝箱!$H$42</f>
        <v>12.128571428571428</v>
      </c>
      <c r="H145" s="38">
        <v>143</v>
      </c>
      <c r="I145" s="38">
        <f t="shared" si="8"/>
        <v>13368</v>
      </c>
      <c r="J145" s="38">
        <f t="shared" si="6"/>
        <v>4488</v>
      </c>
      <c r="K145" s="38">
        <f t="shared" si="7"/>
        <v>1698</v>
      </c>
      <c r="L145" s="38">
        <v>283</v>
      </c>
      <c r="M145" s="38">
        <f>SUM(I$3:I145)</f>
        <v>937526</v>
      </c>
      <c r="N145" s="38">
        <f>SUM(J$3:J145)</f>
        <v>316992</v>
      </c>
      <c r="O145" s="38">
        <f>SUM(K$3:K145)</f>
        <v>120984</v>
      </c>
      <c r="P145" s="38">
        <f>SUM(L$3:L145)</f>
        <v>20166</v>
      </c>
      <c r="Q145" s="38">
        <v>14.7</v>
      </c>
    </row>
    <row r="146" spans="7:17" x14ac:dyDescent="0.25">
      <c r="G146">
        <f>K146/商城宝箱!$H$42</f>
        <v>12.214285714285714</v>
      </c>
      <c r="H146" s="38">
        <v>144</v>
      </c>
      <c r="I146" s="38">
        <f t="shared" si="8"/>
        <v>13464</v>
      </c>
      <c r="J146" s="38">
        <f t="shared" si="6"/>
        <v>4520</v>
      </c>
      <c r="K146" s="38">
        <f t="shared" si="7"/>
        <v>1710</v>
      </c>
      <c r="L146" s="38">
        <v>285</v>
      </c>
      <c r="M146" s="38">
        <f>SUM(I$3:I146)</f>
        <v>950990</v>
      </c>
      <c r="N146" s="38">
        <f>SUM(J$3:J146)</f>
        <v>321512</v>
      </c>
      <c r="O146" s="38">
        <f>SUM(K$3:K146)</f>
        <v>122694</v>
      </c>
      <c r="P146" s="38">
        <f>SUM(L$3:L146)</f>
        <v>20451</v>
      </c>
      <c r="Q146" s="38">
        <v>14.8</v>
      </c>
    </row>
    <row r="147" spans="7:17" x14ac:dyDescent="0.25">
      <c r="G147">
        <f>K147/商城宝箱!$H$42</f>
        <v>12.3</v>
      </c>
      <c r="H147" s="38">
        <v>145</v>
      </c>
      <c r="I147" s="38">
        <f t="shared" si="8"/>
        <v>13560</v>
      </c>
      <c r="J147" s="38">
        <f t="shared" si="6"/>
        <v>4552</v>
      </c>
      <c r="K147" s="38">
        <f t="shared" si="7"/>
        <v>1722</v>
      </c>
      <c r="L147" s="38">
        <v>287</v>
      </c>
      <c r="M147" s="38">
        <f>SUM(I$3:I147)</f>
        <v>964550</v>
      </c>
      <c r="N147" s="38">
        <f>SUM(J$3:J147)</f>
        <v>326064</v>
      </c>
      <c r="O147" s="38">
        <f>SUM(K$3:K147)</f>
        <v>124416</v>
      </c>
      <c r="P147" s="38">
        <f>SUM(L$3:L147)</f>
        <v>20738</v>
      </c>
      <c r="Q147" s="38">
        <v>14.9</v>
      </c>
    </row>
    <row r="148" spans="7:17" x14ac:dyDescent="0.25">
      <c r="G148">
        <f>K148/商城宝箱!$H$42</f>
        <v>12.385714285714286</v>
      </c>
      <c r="H148" s="38">
        <v>146</v>
      </c>
      <c r="I148" s="38">
        <f t="shared" si="8"/>
        <v>13656</v>
      </c>
      <c r="J148" s="38">
        <f t="shared" si="6"/>
        <v>4584</v>
      </c>
      <c r="K148" s="38">
        <f t="shared" si="7"/>
        <v>1734</v>
      </c>
      <c r="L148" s="38">
        <v>289</v>
      </c>
      <c r="M148" s="38">
        <f>SUM(I$3:I148)</f>
        <v>978206</v>
      </c>
      <c r="N148" s="38">
        <f>SUM(J$3:J148)</f>
        <v>330648</v>
      </c>
      <c r="O148" s="38">
        <f>SUM(K$3:K148)</f>
        <v>126150</v>
      </c>
      <c r="P148" s="38">
        <f>SUM(L$3:L148)</f>
        <v>21027</v>
      </c>
      <c r="Q148" s="38">
        <v>15</v>
      </c>
    </row>
    <row r="149" spans="7:17" x14ac:dyDescent="0.25">
      <c r="G149">
        <f>K149/商城宝箱!$H$42</f>
        <v>12.471428571428572</v>
      </c>
      <c r="H149" s="38">
        <v>147</v>
      </c>
      <c r="I149" s="38">
        <f t="shared" si="8"/>
        <v>13752</v>
      </c>
      <c r="J149" s="38">
        <f t="shared" si="6"/>
        <v>4616</v>
      </c>
      <c r="K149" s="38">
        <f t="shared" si="7"/>
        <v>1746</v>
      </c>
      <c r="L149" s="38">
        <v>291</v>
      </c>
      <c r="M149" s="38">
        <f>SUM(I$3:I149)</f>
        <v>991958</v>
      </c>
      <c r="N149" s="38">
        <f>SUM(J$3:J149)</f>
        <v>335264</v>
      </c>
      <c r="O149" s="38">
        <f>SUM(K$3:K149)</f>
        <v>127896</v>
      </c>
      <c r="P149" s="38">
        <f>SUM(L$3:L149)</f>
        <v>21318</v>
      </c>
      <c r="Q149" s="38">
        <v>15.1</v>
      </c>
    </row>
    <row r="150" spans="7:17" x14ac:dyDescent="0.25">
      <c r="G150">
        <f>K150/商城宝箱!$H$42</f>
        <v>12.557142857142857</v>
      </c>
      <c r="H150" s="38">
        <v>148</v>
      </c>
      <c r="I150" s="38">
        <f t="shared" si="8"/>
        <v>13848</v>
      </c>
      <c r="J150" s="38">
        <f t="shared" si="6"/>
        <v>4648</v>
      </c>
      <c r="K150" s="38">
        <f t="shared" si="7"/>
        <v>1758</v>
      </c>
      <c r="L150" s="38">
        <v>293</v>
      </c>
      <c r="M150" s="38">
        <f>SUM(I$3:I150)</f>
        <v>1005806</v>
      </c>
      <c r="N150" s="38">
        <f>SUM(J$3:J150)</f>
        <v>339912</v>
      </c>
      <c r="O150" s="38">
        <f>SUM(K$3:K150)</f>
        <v>129654</v>
      </c>
      <c r="P150" s="38">
        <f>SUM(L$3:L150)</f>
        <v>21611</v>
      </c>
      <c r="Q150" s="38">
        <v>15.2</v>
      </c>
    </row>
    <row r="151" spans="7:17" x14ac:dyDescent="0.25">
      <c r="G151">
        <f>K151/商城宝箱!$H$42</f>
        <v>12.642857142857142</v>
      </c>
      <c r="H151" s="38">
        <v>149</v>
      </c>
      <c r="I151" s="38">
        <f t="shared" si="8"/>
        <v>13944</v>
      </c>
      <c r="J151" s="38">
        <f t="shared" si="6"/>
        <v>4680</v>
      </c>
      <c r="K151" s="38">
        <f t="shared" si="7"/>
        <v>1770</v>
      </c>
      <c r="L151" s="38">
        <v>295</v>
      </c>
      <c r="M151" s="38">
        <f>SUM(I$3:I151)</f>
        <v>1019750</v>
      </c>
      <c r="N151" s="38">
        <f>SUM(J$3:J151)</f>
        <v>344592</v>
      </c>
      <c r="O151" s="38">
        <f>SUM(K$3:K151)</f>
        <v>131424</v>
      </c>
      <c r="P151" s="38">
        <f>SUM(L$3:L151)</f>
        <v>21906</v>
      </c>
      <c r="Q151" s="38">
        <v>15.3</v>
      </c>
    </row>
    <row r="152" spans="7:17" x14ac:dyDescent="0.25">
      <c r="G152">
        <f>K152/商城宝箱!$H$42</f>
        <v>12.728571428571428</v>
      </c>
      <c r="H152" s="38">
        <v>150</v>
      </c>
      <c r="I152" s="38">
        <f t="shared" si="8"/>
        <v>14040</v>
      </c>
      <c r="J152" s="38">
        <f t="shared" si="6"/>
        <v>4712</v>
      </c>
      <c r="K152" s="38">
        <f t="shared" si="7"/>
        <v>1782</v>
      </c>
      <c r="L152" s="38">
        <v>297</v>
      </c>
      <c r="M152" s="38">
        <f>SUM(I$3:I152)</f>
        <v>1033790</v>
      </c>
      <c r="N152" s="38">
        <f>SUM(J$3:J152)</f>
        <v>349304</v>
      </c>
      <c r="O152" s="38">
        <f>SUM(K$3:K152)</f>
        <v>133206</v>
      </c>
      <c r="P152" s="38">
        <f>SUM(L$3:L152)</f>
        <v>22203</v>
      </c>
      <c r="Q152" s="38">
        <v>15.4</v>
      </c>
    </row>
    <row r="153" spans="7:17" x14ac:dyDescent="0.25">
      <c r="G153">
        <f>K153/商城宝箱!$H$42</f>
        <v>12.814285714285715</v>
      </c>
      <c r="H153" s="38">
        <v>151</v>
      </c>
      <c r="I153" s="38">
        <f t="shared" si="8"/>
        <v>14136</v>
      </c>
      <c r="J153" s="38">
        <f t="shared" si="6"/>
        <v>4744</v>
      </c>
      <c r="K153" s="38">
        <f t="shared" si="7"/>
        <v>1794</v>
      </c>
      <c r="L153" s="38">
        <v>299</v>
      </c>
      <c r="M153" s="38">
        <f>SUM(I$3:I153)</f>
        <v>1047926</v>
      </c>
      <c r="N153" s="38">
        <f>SUM(J$3:J153)</f>
        <v>354048</v>
      </c>
      <c r="O153" s="38">
        <f>SUM(K$3:K153)</f>
        <v>135000</v>
      </c>
      <c r="P153" s="38">
        <f>SUM(L$3:L153)</f>
        <v>22502</v>
      </c>
      <c r="Q153" s="38">
        <v>15.5</v>
      </c>
    </row>
    <row r="154" spans="7:17" x14ac:dyDescent="0.25">
      <c r="G154">
        <f>K154/商城宝箱!$H$42</f>
        <v>12.9</v>
      </c>
      <c r="H154" s="38">
        <v>152</v>
      </c>
      <c r="I154" s="38">
        <f t="shared" si="8"/>
        <v>14232</v>
      </c>
      <c r="J154" s="38">
        <f t="shared" si="6"/>
        <v>4776</v>
      </c>
      <c r="K154" s="38">
        <f t="shared" si="7"/>
        <v>1806</v>
      </c>
      <c r="L154" s="38">
        <v>301</v>
      </c>
      <c r="M154" s="38">
        <f>SUM(I$3:I154)</f>
        <v>1062158</v>
      </c>
      <c r="N154" s="38">
        <f>SUM(J$3:J154)</f>
        <v>358824</v>
      </c>
      <c r="O154" s="38">
        <f>SUM(K$3:K154)</f>
        <v>136806</v>
      </c>
      <c r="P154" s="38">
        <f>SUM(L$3:L154)</f>
        <v>22803</v>
      </c>
      <c r="Q154" s="38">
        <v>15.6</v>
      </c>
    </row>
    <row r="155" spans="7:17" x14ac:dyDescent="0.25">
      <c r="G155">
        <f>K155/商城宝箱!$H$42</f>
        <v>12.985714285714286</v>
      </c>
      <c r="H155" s="38">
        <v>153</v>
      </c>
      <c r="I155" s="38">
        <f t="shared" si="8"/>
        <v>14328</v>
      </c>
      <c r="J155" s="38">
        <f t="shared" si="6"/>
        <v>4808</v>
      </c>
      <c r="K155" s="38">
        <f t="shared" si="7"/>
        <v>1818</v>
      </c>
      <c r="L155" s="38">
        <v>303</v>
      </c>
      <c r="M155" s="38">
        <f>SUM(I$3:I155)</f>
        <v>1076486</v>
      </c>
      <c r="N155" s="38">
        <f>SUM(J$3:J155)</f>
        <v>363632</v>
      </c>
      <c r="O155" s="38">
        <f>SUM(K$3:K155)</f>
        <v>138624</v>
      </c>
      <c r="P155" s="38">
        <f>SUM(L$3:L155)</f>
        <v>23106</v>
      </c>
      <c r="Q155" s="38">
        <v>15.7</v>
      </c>
    </row>
    <row r="156" spans="7:17" x14ac:dyDescent="0.25">
      <c r="G156">
        <f>K156/商城宝箱!$H$42</f>
        <v>13.071428571428571</v>
      </c>
      <c r="H156" s="38">
        <v>154</v>
      </c>
      <c r="I156" s="38">
        <f t="shared" si="8"/>
        <v>14424</v>
      </c>
      <c r="J156" s="38">
        <f t="shared" si="6"/>
        <v>4840</v>
      </c>
      <c r="K156" s="38">
        <f t="shared" si="7"/>
        <v>1830</v>
      </c>
      <c r="L156" s="38">
        <v>305</v>
      </c>
      <c r="M156" s="38">
        <f>SUM(I$3:I156)</f>
        <v>1090910</v>
      </c>
      <c r="N156" s="38">
        <f>SUM(J$3:J156)</f>
        <v>368472</v>
      </c>
      <c r="O156" s="38">
        <f>SUM(K$3:K156)</f>
        <v>140454</v>
      </c>
      <c r="P156" s="38">
        <f>SUM(L$3:L156)</f>
        <v>23411</v>
      </c>
      <c r="Q156" s="38">
        <v>15.8</v>
      </c>
    </row>
    <row r="157" spans="7:17" x14ac:dyDescent="0.25">
      <c r="G157">
        <f>K157/商城宝箱!$H$42</f>
        <v>13.157142857142857</v>
      </c>
      <c r="H157" s="38">
        <v>155</v>
      </c>
      <c r="I157" s="38">
        <f t="shared" si="8"/>
        <v>14520</v>
      </c>
      <c r="J157" s="38">
        <f t="shared" si="6"/>
        <v>4872</v>
      </c>
      <c r="K157" s="38">
        <f t="shared" si="7"/>
        <v>1842</v>
      </c>
      <c r="L157" s="38">
        <v>307</v>
      </c>
      <c r="M157" s="38">
        <f>SUM(I$3:I157)</f>
        <v>1105430</v>
      </c>
      <c r="N157" s="38">
        <f>SUM(J$3:J157)</f>
        <v>373344</v>
      </c>
      <c r="O157" s="38">
        <f>SUM(K$3:K157)</f>
        <v>142296</v>
      </c>
      <c r="P157" s="38">
        <f>SUM(L$3:L157)</f>
        <v>23718</v>
      </c>
      <c r="Q157" s="38">
        <v>15.9</v>
      </c>
    </row>
    <row r="158" spans="7:17" x14ac:dyDescent="0.25">
      <c r="G158">
        <f>K158/商城宝箱!$H$42</f>
        <v>13.242857142857142</v>
      </c>
      <c r="H158" s="38">
        <v>156</v>
      </c>
      <c r="I158" s="38">
        <f t="shared" si="8"/>
        <v>14616</v>
      </c>
      <c r="J158" s="38">
        <f t="shared" si="6"/>
        <v>4904</v>
      </c>
      <c r="K158" s="38">
        <f t="shared" si="7"/>
        <v>1854</v>
      </c>
      <c r="L158" s="38">
        <v>309</v>
      </c>
      <c r="M158" s="38">
        <f>SUM(I$3:I158)</f>
        <v>1120046</v>
      </c>
      <c r="N158" s="38">
        <f>SUM(J$3:J158)</f>
        <v>378248</v>
      </c>
      <c r="O158" s="38">
        <f>SUM(K$3:K158)</f>
        <v>144150</v>
      </c>
      <c r="P158" s="38">
        <f>SUM(L$3:L158)</f>
        <v>24027</v>
      </c>
      <c r="Q158" s="38">
        <v>16</v>
      </c>
    </row>
    <row r="159" spans="7:17" x14ac:dyDescent="0.25">
      <c r="G159">
        <f>K159/商城宝箱!$H$42</f>
        <v>13.328571428571429</v>
      </c>
      <c r="H159" s="38">
        <v>157</v>
      </c>
      <c r="I159" s="38">
        <f t="shared" si="8"/>
        <v>14712</v>
      </c>
      <c r="J159" s="38">
        <f t="shared" si="6"/>
        <v>4936</v>
      </c>
      <c r="K159" s="38">
        <f t="shared" si="7"/>
        <v>1866</v>
      </c>
      <c r="L159" s="38">
        <v>311</v>
      </c>
      <c r="M159" s="38">
        <f>SUM(I$3:I159)</f>
        <v>1134758</v>
      </c>
      <c r="N159" s="38">
        <f>SUM(J$3:J159)</f>
        <v>383184</v>
      </c>
      <c r="O159" s="38">
        <f>SUM(K$3:K159)</f>
        <v>146016</v>
      </c>
      <c r="P159" s="38">
        <f>SUM(L$3:L159)</f>
        <v>24338</v>
      </c>
      <c r="Q159" s="38">
        <v>16.100000000000001</v>
      </c>
    </row>
    <row r="160" spans="7:17" x14ac:dyDescent="0.25">
      <c r="G160">
        <f>K160/商城宝箱!$H$42</f>
        <v>13.414285714285715</v>
      </c>
      <c r="H160" s="38">
        <v>158</v>
      </c>
      <c r="I160" s="38">
        <f t="shared" si="8"/>
        <v>14808</v>
      </c>
      <c r="J160" s="38">
        <f t="shared" si="6"/>
        <v>4968</v>
      </c>
      <c r="K160" s="38">
        <f t="shared" si="7"/>
        <v>1878</v>
      </c>
      <c r="L160" s="38">
        <v>313</v>
      </c>
      <c r="M160" s="38">
        <f>SUM(I$3:I160)</f>
        <v>1149566</v>
      </c>
      <c r="N160" s="38">
        <f>SUM(J$3:J160)</f>
        <v>388152</v>
      </c>
      <c r="O160" s="38">
        <f>SUM(K$3:K160)</f>
        <v>147894</v>
      </c>
      <c r="P160" s="38">
        <f>SUM(L$3:L160)</f>
        <v>24651</v>
      </c>
      <c r="Q160" s="38">
        <v>16.2</v>
      </c>
    </row>
    <row r="161" spans="7:17" x14ac:dyDescent="0.25">
      <c r="G161">
        <f>K161/商城宝箱!$H$42</f>
        <v>13.5</v>
      </c>
      <c r="H161" s="38">
        <v>159</v>
      </c>
      <c r="I161" s="38">
        <f t="shared" si="8"/>
        <v>14904</v>
      </c>
      <c r="J161" s="38">
        <f t="shared" si="6"/>
        <v>5000</v>
      </c>
      <c r="K161" s="38">
        <f t="shared" si="7"/>
        <v>1890</v>
      </c>
      <c r="L161" s="38">
        <v>315</v>
      </c>
      <c r="M161" s="38">
        <f>SUM(I$3:I161)</f>
        <v>1164470</v>
      </c>
      <c r="N161" s="38">
        <f>SUM(J$3:J161)</f>
        <v>393152</v>
      </c>
      <c r="O161" s="38">
        <f>SUM(K$3:K161)</f>
        <v>149784</v>
      </c>
      <c r="P161" s="38">
        <f>SUM(L$3:L161)</f>
        <v>24966</v>
      </c>
      <c r="Q161" s="38">
        <v>16.3</v>
      </c>
    </row>
    <row r="162" spans="7:17" x14ac:dyDescent="0.25">
      <c r="G162">
        <f>K162/商城宝箱!$H$42</f>
        <v>13.585714285714285</v>
      </c>
      <c r="H162" s="38">
        <v>160</v>
      </c>
      <c r="I162" s="38">
        <f t="shared" si="8"/>
        <v>15000</v>
      </c>
      <c r="J162" s="38">
        <f t="shared" si="6"/>
        <v>5032</v>
      </c>
      <c r="K162" s="38">
        <f t="shared" si="7"/>
        <v>1902</v>
      </c>
      <c r="L162" s="38">
        <v>317</v>
      </c>
      <c r="M162" s="38">
        <f>SUM(I$3:I162)</f>
        <v>1179470</v>
      </c>
      <c r="N162" s="38">
        <f>SUM(J$3:J162)</f>
        <v>398184</v>
      </c>
      <c r="O162" s="38">
        <f>SUM(K$3:K162)</f>
        <v>151686</v>
      </c>
      <c r="P162" s="38">
        <f>SUM(L$3:L162)</f>
        <v>25283</v>
      </c>
      <c r="Q162" s="38">
        <v>16.399999999999999</v>
      </c>
    </row>
    <row r="163" spans="7:17" x14ac:dyDescent="0.25">
      <c r="G163">
        <f>K163/商城宝箱!$H$42</f>
        <v>13.671428571428571</v>
      </c>
      <c r="H163" s="38">
        <v>161</v>
      </c>
      <c r="I163" s="38">
        <f t="shared" si="8"/>
        <v>15096</v>
      </c>
      <c r="J163" s="38">
        <f t="shared" si="6"/>
        <v>5064</v>
      </c>
      <c r="K163" s="38">
        <f t="shared" si="7"/>
        <v>1914</v>
      </c>
      <c r="L163" s="38">
        <v>319</v>
      </c>
      <c r="M163" s="38">
        <f>SUM(I$3:I163)</f>
        <v>1194566</v>
      </c>
      <c r="N163" s="38">
        <f>SUM(J$3:J163)</f>
        <v>403248</v>
      </c>
      <c r="O163" s="38">
        <f>SUM(K$3:K163)</f>
        <v>153600</v>
      </c>
      <c r="P163" s="38">
        <f>SUM(L$3:L163)</f>
        <v>25602</v>
      </c>
      <c r="Q163" s="38">
        <v>16.5</v>
      </c>
    </row>
    <row r="164" spans="7:17" x14ac:dyDescent="0.25">
      <c r="G164">
        <f>K164/商城宝箱!$H$42</f>
        <v>13.757142857142858</v>
      </c>
      <c r="H164" s="38">
        <v>162</v>
      </c>
      <c r="I164" s="38">
        <f t="shared" si="8"/>
        <v>15192</v>
      </c>
      <c r="J164" s="38">
        <f t="shared" si="6"/>
        <v>5096</v>
      </c>
      <c r="K164" s="38">
        <f t="shared" si="7"/>
        <v>1926</v>
      </c>
      <c r="L164" s="38">
        <v>321</v>
      </c>
      <c r="M164" s="38">
        <f>SUM(I$3:I164)</f>
        <v>1209758</v>
      </c>
      <c r="N164" s="38">
        <f>SUM(J$3:J164)</f>
        <v>408344</v>
      </c>
      <c r="O164" s="38">
        <f>SUM(K$3:K164)</f>
        <v>155526</v>
      </c>
      <c r="P164" s="38">
        <f>SUM(L$3:L164)</f>
        <v>25923</v>
      </c>
      <c r="Q164" s="38">
        <v>16.600000000000001</v>
      </c>
    </row>
    <row r="165" spans="7:17" x14ac:dyDescent="0.25">
      <c r="G165">
        <f>K165/商城宝箱!$H$42</f>
        <v>13.842857142857143</v>
      </c>
      <c r="H165" s="38">
        <v>163</v>
      </c>
      <c r="I165" s="38">
        <f t="shared" si="8"/>
        <v>15288</v>
      </c>
      <c r="J165" s="38">
        <f t="shared" si="6"/>
        <v>5128</v>
      </c>
      <c r="K165" s="38">
        <f t="shared" si="7"/>
        <v>1938</v>
      </c>
      <c r="L165" s="38">
        <v>323</v>
      </c>
      <c r="M165" s="38">
        <f>SUM(I$3:I165)</f>
        <v>1225046</v>
      </c>
      <c r="N165" s="38">
        <f>SUM(J$3:J165)</f>
        <v>413472</v>
      </c>
      <c r="O165" s="38">
        <f>SUM(K$3:K165)</f>
        <v>157464</v>
      </c>
      <c r="P165" s="38">
        <f>SUM(L$3:L165)</f>
        <v>26246</v>
      </c>
      <c r="Q165" s="38">
        <v>16.7</v>
      </c>
    </row>
    <row r="166" spans="7:17" x14ac:dyDescent="0.25">
      <c r="G166">
        <f>K166/商城宝箱!$H$42</f>
        <v>13.928571428571429</v>
      </c>
      <c r="H166" s="38">
        <v>164</v>
      </c>
      <c r="I166" s="38">
        <f t="shared" si="8"/>
        <v>15384</v>
      </c>
      <c r="J166" s="38">
        <f t="shared" si="6"/>
        <v>5160</v>
      </c>
      <c r="K166" s="38">
        <f t="shared" si="7"/>
        <v>1950</v>
      </c>
      <c r="L166" s="38">
        <v>325</v>
      </c>
      <c r="M166" s="38">
        <f>SUM(I$3:I166)</f>
        <v>1240430</v>
      </c>
      <c r="N166" s="38">
        <f>SUM(J$3:J166)</f>
        <v>418632</v>
      </c>
      <c r="O166" s="38">
        <f>SUM(K$3:K166)</f>
        <v>159414</v>
      </c>
      <c r="P166" s="38">
        <f>SUM(L$3:L166)</f>
        <v>26571</v>
      </c>
      <c r="Q166" s="38">
        <v>16.8</v>
      </c>
    </row>
    <row r="167" spans="7:17" x14ac:dyDescent="0.25">
      <c r="G167">
        <f>K167/商城宝箱!$H$42</f>
        <v>14.014285714285714</v>
      </c>
      <c r="H167" s="38">
        <v>165</v>
      </c>
      <c r="I167" s="38">
        <f t="shared" si="8"/>
        <v>15480</v>
      </c>
      <c r="J167" s="38">
        <f t="shared" si="6"/>
        <v>5192</v>
      </c>
      <c r="K167" s="38">
        <f t="shared" si="7"/>
        <v>1962</v>
      </c>
      <c r="L167" s="38">
        <v>327</v>
      </c>
      <c r="M167" s="38">
        <f>SUM(I$3:I167)</f>
        <v>1255910</v>
      </c>
      <c r="N167" s="38">
        <f>SUM(J$3:J167)</f>
        <v>423824</v>
      </c>
      <c r="O167" s="38">
        <f>SUM(K$3:K167)</f>
        <v>161376</v>
      </c>
      <c r="P167" s="38">
        <f>SUM(L$3:L167)</f>
        <v>26898</v>
      </c>
      <c r="Q167" s="38">
        <v>16.899999999999999</v>
      </c>
    </row>
    <row r="168" spans="7:17" x14ac:dyDescent="0.25">
      <c r="G168">
        <f>K168/商城宝箱!$H$42</f>
        <v>14.1</v>
      </c>
      <c r="H168" s="38">
        <v>166</v>
      </c>
      <c r="I168" s="38">
        <f t="shared" si="8"/>
        <v>15576</v>
      </c>
      <c r="J168" s="38">
        <f t="shared" si="6"/>
        <v>5224</v>
      </c>
      <c r="K168" s="38">
        <f t="shared" si="7"/>
        <v>1974</v>
      </c>
      <c r="L168" s="38">
        <v>329</v>
      </c>
      <c r="M168" s="38">
        <f>SUM(I$3:I168)</f>
        <v>1271486</v>
      </c>
      <c r="N168" s="38">
        <f>SUM(J$3:J168)</f>
        <v>429048</v>
      </c>
      <c r="O168" s="38">
        <f>SUM(K$3:K168)</f>
        <v>163350</v>
      </c>
      <c r="P168" s="38">
        <f>SUM(L$3:L168)</f>
        <v>27227</v>
      </c>
      <c r="Q168" s="38">
        <v>17</v>
      </c>
    </row>
    <row r="169" spans="7:17" x14ac:dyDescent="0.25">
      <c r="G169">
        <f>K169/商城宝箱!$H$42</f>
        <v>14.185714285714285</v>
      </c>
      <c r="H169" s="38">
        <v>167</v>
      </c>
      <c r="I169" s="38">
        <f t="shared" si="8"/>
        <v>15672</v>
      </c>
      <c r="J169" s="38">
        <f t="shared" si="6"/>
        <v>5256</v>
      </c>
      <c r="K169" s="38">
        <f t="shared" si="7"/>
        <v>1986</v>
      </c>
      <c r="L169" s="38">
        <v>331</v>
      </c>
      <c r="M169" s="38">
        <f>SUM(I$3:I169)</f>
        <v>1287158</v>
      </c>
      <c r="N169" s="38">
        <f>SUM(J$3:J169)</f>
        <v>434304</v>
      </c>
      <c r="O169" s="38">
        <f>SUM(K$3:K169)</f>
        <v>165336</v>
      </c>
      <c r="P169" s="38">
        <f>SUM(L$3:L169)</f>
        <v>27558</v>
      </c>
      <c r="Q169" s="38">
        <v>17.100000000000001</v>
      </c>
    </row>
    <row r="170" spans="7:17" x14ac:dyDescent="0.25">
      <c r="G170">
        <f>K170/商城宝箱!$H$42</f>
        <v>14.271428571428572</v>
      </c>
      <c r="H170" s="38">
        <v>168</v>
      </c>
      <c r="I170" s="38">
        <f t="shared" si="8"/>
        <v>15768</v>
      </c>
      <c r="J170" s="38">
        <f t="shared" si="6"/>
        <v>5288</v>
      </c>
      <c r="K170" s="38">
        <f t="shared" si="7"/>
        <v>1998</v>
      </c>
      <c r="L170" s="38">
        <v>333</v>
      </c>
      <c r="M170" s="38">
        <f>SUM(I$3:I170)</f>
        <v>1302926</v>
      </c>
      <c r="N170" s="38">
        <f>SUM(J$3:J170)</f>
        <v>439592</v>
      </c>
      <c r="O170" s="38">
        <f>SUM(K$3:K170)</f>
        <v>167334</v>
      </c>
      <c r="P170" s="38">
        <f>SUM(L$3:L170)</f>
        <v>27891</v>
      </c>
      <c r="Q170" s="38">
        <v>17.2</v>
      </c>
    </row>
    <row r="171" spans="7:17" x14ac:dyDescent="0.25">
      <c r="G171">
        <f>K171/商城宝箱!$H$42</f>
        <v>14.357142857142858</v>
      </c>
      <c r="H171" s="38">
        <v>169</v>
      </c>
      <c r="I171" s="38">
        <f t="shared" si="8"/>
        <v>15864</v>
      </c>
      <c r="J171" s="38">
        <f t="shared" si="6"/>
        <v>5320</v>
      </c>
      <c r="K171" s="38">
        <f t="shared" si="7"/>
        <v>2010</v>
      </c>
      <c r="L171" s="38">
        <v>335</v>
      </c>
      <c r="M171" s="38">
        <f>SUM(I$3:I171)</f>
        <v>1318790</v>
      </c>
      <c r="N171" s="38">
        <f>SUM(J$3:J171)</f>
        <v>444912</v>
      </c>
      <c r="O171" s="38">
        <f>SUM(K$3:K171)</f>
        <v>169344</v>
      </c>
      <c r="P171" s="38">
        <f>SUM(L$3:L171)</f>
        <v>28226</v>
      </c>
      <c r="Q171" s="38">
        <v>17.3</v>
      </c>
    </row>
    <row r="172" spans="7:17" x14ac:dyDescent="0.25">
      <c r="G172">
        <f>K172/商城宝箱!$H$42</f>
        <v>14.442857142857143</v>
      </c>
      <c r="H172" s="38">
        <v>170</v>
      </c>
      <c r="I172" s="38">
        <f t="shared" si="8"/>
        <v>15960</v>
      </c>
      <c r="J172" s="38">
        <f t="shared" si="6"/>
        <v>5352</v>
      </c>
      <c r="K172" s="38">
        <f t="shared" si="7"/>
        <v>2022</v>
      </c>
      <c r="L172" s="38">
        <v>337</v>
      </c>
      <c r="M172" s="38">
        <f>SUM(I$3:I172)</f>
        <v>1334750</v>
      </c>
      <c r="N172" s="38">
        <f>SUM(J$3:J172)</f>
        <v>450264</v>
      </c>
      <c r="O172" s="38">
        <f>SUM(K$3:K172)</f>
        <v>171366</v>
      </c>
      <c r="P172" s="38">
        <f>SUM(L$3:L172)</f>
        <v>28563</v>
      </c>
      <c r="Q172" s="38">
        <v>17.399999999999999</v>
      </c>
    </row>
    <row r="173" spans="7:17" x14ac:dyDescent="0.25">
      <c r="G173">
        <f>K173/商城宝箱!$H$42</f>
        <v>14.528571428571428</v>
      </c>
      <c r="H173" s="38">
        <v>171</v>
      </c>
      <c r="I173" s="38">
        <f t="shared" si="8"/>
        <v>16056</v>
      </c>
      <c r="J173" s="38">
        <f t="shared" si="6"/>
        <v>5384</v>
      </c>
      <c r="K173" s="38">
        <f t="shared" si="7"/>
        <v>2034</v>
      </c>
      <c r="L173" s="38">
        <v>339</v>
      </c>
      <c r="M173" s="38">
        <f>SUM(I$3:I173)</f>
        <v>1350806</v>
      </c>
      <c r="N173" s="38">
        <f>SUM(J$3:J173)</f>
        <v>455648</v>
      </c>
      <c r="O173" s="38">
        <f>SUM(K$3:K173)</f>
        <v>173400</v>
      </c>
      <c r="P173" s="38">
        <f>SUM(L$3:L173)</f>
        <v>28902</v>
      </c>
      <c r="Q173" s="38">
        <v>17.5</v>
      </c>
    </row>
    <row r="174" spans="7:17" x14ac:dyDescent="0.25">
      <c r="G174">
        <f>K174/商城宝箱!$H$42</f>
        <v>14.614285714285714</v>
      </c>
      <c r="H174" s="38">
        <v>172</v>
      </c>
      <c r="I174" s="38">
        <f t="shared" si="8"/>
        <v>16152</v>
      </c>
      <c r="J174" s="38">
        <f t="shared" si="6"/>
        <v>5416</v>
      </c>
      <c r="K174" s="38">
        <f t="shared" si="7"/>
        <v>2046</v>
      </c>
      <c r="L174" s="38">
        <v>341</v>
      </c>
      <c r="M174" s="38">
        <f>SUM(I$3:I174)</f>
        <v>1366958</v>
      </c>
      <c r="N174" s="38">
        <f>SUM(J$3:J174)</f>
        <v>461064</v>
      </c>
      <c r="O174" s="38">
        <f>SUM(K$3:K174)</f>
        <v>175446</v>
      </c>
      <c r="P174" s="38">
        <f>SUM(L$3:L174)</f>
        <v>29243</v>
      </c>
      <c r="Q174" s="38">
        <v>17.600000000000001</v>
      </c>
    </row>
    <row r="175" spans="7:17" x14ac:dyDescent="0.25">
      <c r="G175">
        <f>K175/商城宝箱!$H$42</f>
        <v>14.7</v>
      </c>
      <c r="H175" s="38">
        <v>173</v>
      </c>
      <c r="I175" s="38">
        <f t="shared" si="8"/>
        <v>16248</v>
      </c>
      <c r="J175" s="38">
        <f t="shared" si="6"/>
        <v>5448</v>
      </c>
      <c r="K175" s="38">
        <f t="shared" si="7"/>
        <v>2058</v>
      </c>
      <c r="L175" s="38">
        <v>343</v>
      </c>
      <c r="M175" s="38">
        <f>SUM(I$3:I175)</f>
        <v>1383206</v>
      </c>
      <c r="N175" s="38">
        <f>SUM(J$3:J175)</f>
        <v>466512</v>
      </c>
      <c r="O175" s="38">
        <f>SUM(K$3:K175)</f>
        <v>177504</v>
      </c>
      <c r="P175" s="38">
        <f>SUM(L$3:L175)</f>
        <v>29586</v>
      </c>
      <c r="Q175" s="38">
        <v>17.7</v>
      </c>
    </row>
    <row r="176" spans="7:17" x14ac:dyDescent="0.25">
      <c r="G176">
        <f>K176/商城宝箱!$H$42</f>
        <v>14.785714285714286</v>
      </c>
      <c r="H176" s="38">
        <v>174</v>
      </c>
      <c r="I176" s="38">
        <f t="shared" si="8"/>
        <v>16344</v>
      </c>
      <c r="J176" s="38">
        <f t="shared" si="6"/>
        <v>5480</v>
      </c>
      <c r="K176" s="38">
        <f t="shared" si="7"/>
        <v>2070</v>
      </c>
      <c r="L176" s="38">
        <v>345</v>
      </c>
      <c r="M176" s="38">
        <f>SUM(I$3:I176)</f>
        <v>1399550</v>
      </c>
      <c r="N176" s="38">
        <f>SUM(J$3:J176)</f>
        <v>471992</v>
      </c>
      <c r="O176" s="38">
        <f>SUM(K$3:K176)</f>
        <v>179574</v>
      </c>
      <c r="P176" s="38">
        <f>SUM(L$3:L176)</f>
        <v>29931</v>
      </c>
      <c r="Q176" s="38">
        <v>17.8</v>
      </c>
    </row>
    <row r="177" spans="7:17" x14ac:dyDescent="0.25">
      <c r="G177">
        <f>K177/商城宝箱!$H$42</f>
        <v>14.871428571428572</v>
      </c>
      <c r="H177" s="38">
        <v>175</v>
      </c>
      <c r="I177" s="38">
        <f t="shared" si="8"/>
        <v>16440</v>
      </c>
      <c r="J177" s="38">
        <f t="shared" si="6"/>
        <v>5512</v>
      </c>
      <c r="K177" s="38">
        <f t="shared" si="7"/>
        <v>2082</v>
      </c>
      <c r="L177" s="38">
        <v>347</v>
      </c>
      <c r="M177" s="38">
        <f>SUM(I$3:I177)</f>
        <v>1415990</v>
      </c>
      <c r="N177" s="38">
        <f>SUM(J$3:J177)</f>
        <v>477504</v>
      </c>
      <c r="O177" s="38">
        <f>SUM(K$3:K177)</f>
        <v>181656</v>
      </c>
      <c r="P177" s="38">
        <f>SUM(L$3:L177)</f>
        <v>30278</v>
      </c>
      <c r="Q177" s="38">
        <v>17.899999999999999</v>
      </c>
    </row>
    <row r="178" spans="7:17" x14ac:dyDescent="0.25">
      <c r="G178">
        <f>K178/商城宝箱!$H$42</f>
        <v>14.957142857142857</v>
      </c>
      <c r="H178" s="38">
        <v>176</v>
      </c>
      <c r="I178" s="38">
        <f t="shared" si="8"/>
        <v>16536</v>
      </c>
      <c r="J178" s="38">
        <f t="shared" si="6"/>
        <v>5544</v>
      </c>
      <c r="K178" s="38">
        <f t="shared" si="7"/>
        <v>2094</v>
      </c>
      <c r="L178" s="38">
        <v>349</v>
      </c>
      <c r="M178" s="38">
        <f>SUM(I$3:I178)</f>
        <v>1432526</v>
      </c>
      <c r="N178" s="38">
        <f>SUM(J$3:J178)</f>
        <v>483048</v>
      </c>
      <c r="O178" s="38">
        <f>SUM(K$3:K178)</f>
        <v>183750</v>
      </c>
      <c r="P178" s="38">
        <f>SUM(L$3:L178)</f>
        <v>30627</v>
      </c>
      <c r="Q178" s="38">
        <v>18</v>
      </c>
    </row>
    <row r="179" spans="7:17" x14ac:dyDescent="0.25">
      <c r="G179">
        <f>K179/商城宝箱!$H$42</f>
        <v>15.042857142857143</v>
      </c>
      <c r="H179" s="38">
        <v>177</v>
      </c>
      <c r="I179" s="38">
        <f t="shared" si="8"/>
        <v>16632</v>
      </c>
      <c r="J179" s="38">
        <f t="shared" si="6"/>
        <v>5576</v>
      </c>
      <c r="K179" s="38">
        <f t="shared" si="7"/>
        <v>2106</v>
      </c>
      <c r="L179" s="38">
        <v>351</v>
      </c>
      <c r="M179" s="38">
        <f>SUM(I$3:I179)</f>
        <v>1449158</v>
      </c>
      <c r="N179" s="38">
        <f>SUM(J$3:J179)</f>
        <v>488624</v>
      </c>
      <c r="O179" s="38">
        <f>SUM(K$3:K179)</f>
        <v>185856</v>
      </c>
      <c r="P179" s="38">
        <f>SUM(L$3:L179)</f>
        <v>30978</v>
      </c>
      <c r="Q179" s="38">
        <v>18.100000000000001</v>
      </c>
    </row>
    <row r="180" spans="7:17" x14ac:dyDescent="0.25">
      <c r="G180">
        <f>K180/商城宝箱!$H$42</f>
        <v>15.128571428571428</v>
      </c>
      <c r="H180" s="38">
        <v>178</v>
      </c>
      <c r="I180" s="38">
        <f t="shared" si="8"/>
        <v>16728</v>
      </c>
      <c r="J180" s="38">
        <f t="shared" si="6"/>
        <v>5608</v>
      </c>
      <c r="K180" s="38">
        <f t="shared" si="7"/>
        <v>2118</v>
      </c>
      <c r="L180" s="38">
        <v>353</v>
      </c>
      <c r="M180" s="38">
        <f>SUM(I$3:I180)</f>
        <v>1465886</v>
      </c>
      <c r="N180" s="38">
        <f>SUM(J$3:J180)</f>
        <v>494232</v>
      </c>
      <c r="O180" s="38">
        <f>SUM(K$3:K180)</f>
        <v>187974</v>
      </c>
      <c r="P180" s="38">
        <f>SUM(L$3:L180)</f>
        <v>31331</v>
      </c>
      <c r="Q180" s="38">
        <v>18.2</v>
      </c>
    </row>
    <row r="181" spans="7:17" x14ac:dyDescent="0.25">
      <c r="G181">
        <f>K181/商城宝箱!$H$42</f>
        <v>15.214285714285714</v>
      </c>
      <c r="H181" s="38">
        <v>179</v>
      </c>
      <c r="I181" s="38">
        <f t="shared" si="8"/>
        <v>16824</v>
      </c>
      <c r="J181" s="38">
        <f t="shared" si="6"/>
        <v>5640</v>
      </c>
      <c r="K181" s="38">
        <f t="shared" si="7"/>
        <v>2130</v>
      </c>
      <c r="L181" s="38">
        <v>355</v>
      </c>
      <c r="M181" s="38">
        <f>SUM(I$3:I181)</f>
        <v>1482710</v>
      </c>
      <c r="N181" s="38">
        <f>SUM(J$3:J181)</f>
        <v>499872</v>
      </c>
      <c r="O181" s="38">
        <f>SUM(K$3:K181)</f>
        <v>190104</v>
      </c>
      <c r="P181" s="38">
        <f>SUM(L$3:L181)</f>
        <v>31686</v>
      </c>
      <c r="Q181" s="38">
        <v>18.3</v>
      </c>
    </row>
    <row r="182" spans="7:17" x14ac:dyDescent="0.25">
      <c r="G182">
        <f>K182/商城宝箱!$H$42</f>
        <v>15.3</v>
      </c>
      <c r="H182" s="38">
        <v>180</v>
      </c>
      <c r="I182" s="38">
        <f t="shared" si="8"/>
        <v>16920</v>
      </c>
      <c r="J182" s="38">
        <f t="shared" si="6"/>
        <v>5672</v>
      </c>
      <c r="K182" s="38">
        <f t="shared" si="7"/>
        <v>2142</v>
      </c>
      <c r="L182" s="38">
        <v>357</v>
      </c>
      <c r="M182" s="38">
        <f>SUM(I$3:I182)</f>
        <v>1499630</v>
      </c>
      <c r="N182" s="38">
        <f>SUM(J$3:J182)</f>
        <v>505544</v>
      </c>
      <c r="O182" s="38">
        <f>SUM(K$3:K182)</f>
        <v>192246</v>
      </c>
      <c r="P182" s="38">
        <f>SUM(L$3:L182)</f>
        <v>32043</v>
      </c>
      <c r="Q182" s="38">
        <v>18.399999999999999</v>
      </c>
    </row>
    <row r="183" spans="7:17" x14ac:dyDescent="0.25">
      <c r="G183">
        <f>K183/商城宝箱!$H$42</f>
        <v>15.385714285714286</v>
      </c>
      <c r="H183" s="38">
        <v>181</v>
      </c>
      <c r="I183" s="38">
        <f t="shared" si="8"/>
        <v>17016</v>
      </c>
      <c r="J183" s="38">
        <f t="shared" si="6"/>
        <v>5704</v>
      </c>
      <c r="K183" s="38">
        <f t="shared" si="7"/>
        <v>2154</v>
      </c>
      <c r="L183" s="38">
        <v>359</v>
      </c>
      <c r="M183" s="38">
        <f>SUM(I$3:I183)</f>
        <v>1516646</v>
      </c>
      <c r="N183" s="38">
        <f>SUM(J$3:J183)</f>
        <v>511248</v>
      </c>
      <c r="O183" s="38">
        <f>SUM(K$3:K183)</f>
        <v>194400</v>
      </c>
      <c r="P183" s="38">
        <f>SUM(L$3:L183)</f>
        <v>32402</v>
      </c>
      <c r="Q183" s="38">
        <v>18.5</v>
      </c>
    </row>
    <row r="184" spans="7:17" x14ac:dyDescent="0.25">
      <c r="G184">
        <f>K184/商城宝箱!$H$42</f>
        <v>15.471428571428572</v>
      </c>
      <c r="H184" s="38">
        <v>182</v>
      </c>
      <c r="I184" s="38">
        <f t="shared" si="8"/>
        <v>17112</v>
      </c>
      <c r="J184" s="38">
        <f t="shared" si="6"/>
        <v>5736</v>
      </c>
      <c r="K184" s="38">
        <f t="shared" si="7"/>
        <v>2166</v>
      </c>
      <c r="L184" s="38">
        <v>361</v>
      </c>
      <c r="M184" s="38">
        <f>SUM(I$3:I184)</f>
        <v>1533758</v>
      </c>
      <c r="N184" s="38">
        <f>SUM(J$3:J184)</f>
        <v>516984</v>
      </c>
      <c r="O184" s="38">
        <f>SUM(K$3:K184)</f>
        <v>196566</v>
      </c>
      <c r="P184" s="38">
        <f>SUM(L$3:L184)</f>
        <v>32763</v>
      </c>
      <c r="Q184" s="38">
        <v>18.600000000000001</v>
      </c>
    </row>
    <row r="185" spans="7:17" x14ac:dyDescent="0.25">
      <c r="G185">
        <f>K185/商城宝箱!$H$42</f>
        <v>15.557142857142857</v>
      </c>
      <c r="H185" s="38">
        <v>183</v>
      </c>
      <c r="I185" s="38">
        <f t="shared" si="8"/>
        <v>17208</v>
      </c>
      <c r="J185" s="38">
        <f t="shared" si="6"/>
        <v>5768</v>
      </c>
      <c r="K185" s="38">
        <f t="shared" si="7"/>
        <v>2178</v>
      </c>
      <c r="L185" s="38">
        <v>363</v>
      </c>
      <c r="M185" s="38">
        <f>SUM(I$3:I185)</f>
        <v>1550966</v>
      </c>
      <c r="N185" s="38">
        <f>SUM(J$3:J185)</f>
        <v>522752</v>
      </c>
      <c r="O185" s="38">
        <f>SUM(K$3:K185)</f>
        <v>198744</v>
      </c>
      <c r="P185" s="38">
        <f>SUM(L$3:L185)</f>
        <v>33126</v>
      </c>
      <c r="Q185" s="38">
        <v>18.7</v>
      </c>
    </row>
    <row r="186" spans="7:17" x14ac:dyDescent="0.25">
      <c r="G186">
        <f>K186/商城宝箱!$H$42</f>
        <v>15.642857142857142</v>
      </c>
      <c r="H186" s="38">
        <v>184</v>
      </c>
      <c r="I186" s="38">
        <f t="shared" si="8"/>
        <v>17304</v>
      </c>
      <c r="J186" s="38">
        <f t="shared" si="6"/>
        <v>5800</v>
      </c>
      <c r="K186" s="38">
        <f t="shared" si="7"/>
        <v>2190</v>
      </c>
      <c r="L186" s="38">
        <v>365</v>
      </c>
      <c r="M186" s="38">
        <f>SUM(I$3:I186)</f>
        <v>1568270</v>
      </c>
      <c r="N186" s="38">
        <f>SUM(J$3:J186)</f>
        <v>528552</v>
      </c>
      <c r="O186" s="38">
        <f>SUM(K$3:K186)</f>
        <v>200934</v>
      </c>
      <c r="P186" s="38">
        <f>SUM(L$3:L186)</f>
        <v>33491</v>
      </c>
      <c r="Q186" s="38">
        <v>18.8</v>
      </c>
    </row>
    <row r="187" spans="7:17" x14ac:dyDescent="0.25">
      <c r="G187">
        <f>K187/商城宝箱!$H$42</f>
        <v>15.728571428571428</v>
      </c>
      <c r="H187" s="38">
        <v>185</v>
      </c>
      <c r="I187" s="38">
        <f t="shared" si="8"/>
        <v>17400</v>
      </c>
      <c r="J187" s="38">
        <f t="shared" si="6"/>
        <v>5832</v>
      </c>
      <c r="K187" s="38">
        <f t="shared" si="7"/>
        <v>2202</v>
      </c>
      <c r="L187" s="38">
        <v>367</v>
      </c>
      <c r="M187" s="38">
        <f>SUM(I$3:I187)</f>
        <v>1585670</v>
      </c>
      <c r="N187" s="38">
        <f>SUM(J$3:J187)</f>
        <v>534384</v>
      </c>
      <c r="O187" s="38">
        <f>SUM(K$3:K187)</f>
        <v>203136</v>
      </c>
      <c r="P187" s="38">
        <f>SUM(L$3:L187)</f>
        <v>33858</v>
      </c>
      <c r="Q187" s="38">
        <v>18.899999999999999</v>
      </c>
    </row>
    <row r="188" spans="7:17" x14ac:dyDescent="0.25">
      <c r="G188">
        <f>K188/商城宝箱!$H$42</f>
        <v>15.814285714285715</v>
      </c>
      <c r="H188" s="38">
        <v>186</v>
      </c>
      <c r="I188" s="38">
        <f t="shared" si="8"/>
        <v>17496</v>
      </c>
      <c r="J188" s="38">
        <f t="shared" si="6"/>
        <v>5864</v>
      </c>
      <c r="K188" s="38">
        <f t="shared" si="7"/>
        <v>2214</v>
      </c>
      <c r="L188" s="38">
        <v>369</v>
      </c>
      <c r="M188" s="38">
        <f>SUM(I$3:I188)</f>
        <v>1603166</v>
      </c>
      <c r="N188" s="38">
        <f>SUM(J$3:J188)</f>
        <v>540248</v>
      </c>
      <c r="O188" s="38">
        <f>SUM(K$3:K188)</f>
        <v>205350</v>
      </c>
      <c r="P188" s="38">
        <f>SUM(L$3:L188)</f>
        <v>34227</v>
      </c>
      <c r="Q188" s="38">
        <v>19</v>
      </c>
    </row>
    <row r="189" spans="7:17" x14ac:dyDescent="0.25">
      <c r="G189">
        <f>K189/商城宝箱!$H$42</f>
        <v>15.9</v>
      </c>
      <c r="H189" s="38">
        <v>187</v>
      </c>
      <c r="I189" s="38">
        <f t="shared" si="8"/>
        <v>17592</v>
      </c>
      <c r="J189" s="38">
        <f t="shared" si="6"/>
        <v>5896</v>
      </c>
      <c r="K189" s="38">
        <f t="shared" si="7"/>
        <v>2226</v>
      </c>
      <c r="L189" s="38">
        <v>371</v>
      </c>
      <c r="M189" s="38">
        <f>SUM(I$3:I189)</f>
        <v>1620758</v>
      </c>
      <c r="N189" s="38">
        <f>SUM(J$3:J189)</f>
        <v>546144</v>
      </c>
      <c r="O189" s="38">
        <f>SUM(K$3:K189)</f>
        <v>207576</v>
      </c>
      <c r="P189" s="38">
        <f>SUM(L$3:L189)</f>
        <v>34598</v>
      </c>
      <c r="Q189" s="38">
        <v>19.100000000000001</v>
      </c>
    </row>
    <row r="190" spans="7:17" x14ac:dyDescent="0.25">
      <c r="G190">
        <f>K190/商城宝箱!$H$42</f>
        <v>15.985714285714286</v>
      </c>
      <c r="H190" s="38">
        <v>188</v>
      </c>
      <c r="I190" s="38">
        <f t="shared" si="8"/>
        <v>17688</v>
      </c>
      <c r="J190" s="38">
        <f t="shared" si="6"/>
        <v>5928</v>
      </c>
      <c r="K190" s="38">
        <f t="shared" si="7"/>
        <v>2238</v>
      </c>
      <c r="L190" s="38">
        <v>373</v>
      </c>
      <c r="M190" s="38">
        <f>SUM(I$3:I190)</f>
        <v>1638446</v>
      </c>
      <c r="N190" s="38">
        <f>SUM(J$3:J190)</f>
        <v>552072</v>
      </c>
      <c r="O190" s="38">
        <f>SUM(K$3:K190)</f>
        <v>209814</v>
      </c>
      <c r="P190" s="38">
        <f>SUM(L$3:L190)</f>
        <v>34971</v>
      </c>
      <c r="Q190" s="38">
        <v>19.2</v>
      </c>
    </row>
    <row r="191" spans="7:17" x14ac:dyDescent="0.25">
      <c r="G191">
        <f>K191/商城宝箱!$H$42</f>
        <v>16.071428571428573</v>
      </c>
      <c r="H191" s="38">
        <v>189</v>
      </c>
      <c r="I191" s="38">
        <f t="shared" si="8"/>
        <v>17784</v>
      </c>
      <c r="J191" s="38">
        <f t="shared" si="6"/>
        <v>5960</v>
      </c>
      <c r="K191" s="38">
        <f t="shared" si="7"/>
        <v>2250</v>
      </c>
      <c r="L191" s="38">
        <v>375</v>
      </c>
      <c r="M191" s="38">
        <f>SUM(I$3:I191)</f>
        <v>1656230</v>
      </c>
      <c r="N191" s="38">
        <f>SUM(J$3:J191)</f>
        <v>558032</v>
      </c>
      <c r="O191" s="38">
        <f>SUM(K$3:K191)</f>
        <v>212064</v>
      </c>
      <c r="P191" s="38">
        <f>SUM(L$3:L191)</f>
        <v>35346</v>
      </c>
      <c r="Q191" s="38">
        <v>19.3</v>
      </c>
    </row>
    <row r="192" spans="7:17" x14ac:dyDescent="0.25">
      <c r="G192">
        <f>K192/商城宝箱!$H$42</f>
        <v>16.157142857142858</v>
      </c>
      <c r="H192" s="38">
        <v>190</v>
      </c>
      <c r="I192" s="38">
        <f t="shared" si="8"/>
        <v>17880</v>
      </c>
      <c r="J192" s="38">
        <f t="shared" si="6"/>
        <v>5992</v>
      </c>
      <c r="K192" s="38">
        <f t="shared" si="7"/>
        <v>2262</v>
      </c>
      <c r="L192" s="38">
        <v>377</v>
      </c>
      <c r="M192" s="38">
        <f>SUM(I$3:I192)</f>
        <v>1674110</v>
      </c>
      <c r="N192" s="38">
        <f>SUM(J$3:J192)</f>
        <v>564024</v>
      </c>
      <c r="O192" s="38">
        <f>SUM(K$3:K192)</f>
        <v>214326</v>
      </c>
      <c r="P192" s="38">
        <f>SUM(L$3:L192)</f>
        <v>35723</v>
      </c>
      <c r="Q192" s="38">
        <v>19.399999999999999</v>
      </c>
    </row>
    <row r="193" spans="7:17" x14ac:dyDescent="0.25">
      <c r="G193">
        <f>K193/商城宝箱!$H$42</f>
        <v>16.242857142857144</v>
      </c>
      <c r="H193" s="38">
        <v>191</v>
      </c>
      <c r="I193" s="38">
        <f t="shared" si="8"/>
        <v>17976</v>
      </c>
      <c r="J193" s="38">
        <f t="shared" si="6"/>
        <v>6024</v>
      </c>
      <c r="K193" s="38">
        <f t="shared" si="7"/>
        <v>2274</v>
      </c>
      <c r="L193" s="38">
        <v>379</v>
      </c>
      <c r="M193" s="38">
        <f>SUM(I$3:I193)</f>
        <v>1692086</v>
      </c>
      <c r="N193" s="38">
        <f>SUM(J$3:J193)</f>
        <v>570048</v>
      </c>
      <c r="O193" s="38">
        <f>SUM(K$3:K193)</f>
        <v>216600</v>
      </c>
      <c r="P193" s="38">
        <f>SUM(L$3:L193)</f>
        <v>36102</v>
      </c>
      <c r="Q193" s="38">
        <v>19.5</v>
      </c>
    </row>
    <row r="194" spans="7:17" x14ac:dyDescent="0.25">
      <c r="G194">
        <f>K194/商城宝箱!$H$42</f>
        <v>16.328571428571429</v>
      </c>
      <c r="H194" s="38">
        <v>192</v>
      </c>
      <c r="I194" s="38">
        <f t="shared" si="8"/>
        <v>18072</v>
      </c>
      <c r="J194" s="38">
        <f t="shared" si="6"/>
        <v>6056</v>
      </c>
      <c r="K194" s="38">
        <f t="shared" si="7"/>
        <v>2286</v>
      </c>
      <c r="L194" s="38">
        <v>381</v>
      </c>
      <c r="M194" s="38">
        <f>SUM(I$3:I194)</f>
        <v>1710158</v>
      </c>
      <c r="N194" s="38">
        <f>SUM(J$3:J194)</f>
        <v>576104</v>
      </c>
      <c r="O194" s="38">
        <f>SUM(K$3:K194)</f>
        <v>218886</v>
      </c>
      <c r="P194" s="38">
        <f>SUM(L$3:L194)</f>
        <v>36483</v>
      </c>
      <c r="Q194" s="38">
        <v>19.600000000000001</v>
      </c>
    </row>
    <row r="195" spans="7:17" x14ac:dyDescent="0.25">
      <c r="G195">
        <f>K195/商城宝箱!$H$42</f>
        <v>16.414285714285715</v>
      </c>
      <c r="H195" s="38">
        <v>193</v>
      </c>
      <c r="I195" s="38">
        <f t="shared" si="8"/>
        <v>18168</v>
      </c>
      <c r="J195" s="38">
        <f t="shared" si="6"/>
        <v>6088</v>
      </c>
      <c r="K195" s="38">
        <f t="shared" si="7"/>
        <v>2298</v>
      </c>
      <c r="L195" s="38">
        <v>383</v>
      </c>
      <c r="M195" s="38">
        <f>SUM(I$3:I195)</f>
        <v>1728326</v>
      </c>
      <c r="N195" s="38">
        <f>SUM(J$3:J195)</f>
        <v>582192</v>
      </c>
      <c r="O195" s="38">
        <f>SUM(K$3:K195)</f>
        <v>221184</v>
      </c>
      <c r="P195" s="38">
        <f>SUM(L$3:L195)</f>
        <v>36866</v>
      </c>
      <c r="Q195" s="38">
        <v>19.7</v>
      </c>
    </row>
    <row r="196" spans="7:17" x14ac:dyDescent="0.25">
      <c r="G196">
        <f>K196/商城宝箱!$H$42</f>
        <v>16.5</v>
      </c>
      <c r="H196" s="38">
        <v>194</v>
      </c>
      <c r="I196" s="38">
        <f t="shared" si="8"/>
        <v>18264</v>
      </c>
      <c r="J196" s="38">
        <f t="shared" si="6"/>
        <v>6120</v>
      </c>
      <c r="K196" s="38">
        <f t="shared" si="7"/>
        <v>2310</v>
      </c>
      <c r="L196" s="38">
        <v>385</v>
      </c>
      <c r="M196" s="38">
        <f>SUM(I$3:I196)</f>
        <v>1746590</v>
      </c>
      <c r="N196" s="38">
        <f>SUM(J$3:J196)</f>
        <v>588312</v>
      </c>
      <c r="O196" s="38">
        <f>SUM(K$3:K196)</f>
        <v>223494</v>
      </c>
      <c r="P196" s="38">
        <f>SUM(L$3:L196)</f>
        <v>37251</v>
      </c>
      <c r="Q196" s="38">
        <v>19.8</v>
      </c>
    </row>
    <row r="197" spans="7:17" x14ac:dyDescent="0.25">
      <c r="G197">
        <f>K197/商城宝箱!$H$42</f>
        <v>16.585714285714285</v>
      </c>
      <c r="H197" s="38">
        <v>195</v>
      </c>
      <c r="I197" s="38">
        <f t="shared" si="8"/>
        <v>18360</v>
      </c>
      <c r="J197" s="38">
        <f t="shared" si="6"/>
        <v>6152</v>
      </c>
      <c r="K197" s="38">
        <f t="shared" si="7"/>
        <v>2322</v>
      </c>
      <c r="L197" s="38">
        <v>387</v>
      </c>
      <c r="M197" s="38">
        <f>SUM(I$3:I197)</f>
        <v>1764950</v>
      </c>
      <c r="N197" s="38">
        <f>SUM(J$3:J197)</f>
        <v>594464</v>
      </c>
      <c r="O197" s="38">
        <f>SUM(K$3:K197)</f>
        <v>225816</v>
      </c>
      <c r="P197" s="38">
        <f>SUM(L$3:L197)</f>
        <v>37638</v>
      </c>
      <c r="Q197" s="38">
        <v>19.899999999999999</v>
      </c>
    </row>
    <row r="198" spans="7:17" x14ac:dyDescent="0.25">
      <c r="G198">
        <f>K198/商城宝箱!$H$42</f>
        <v>16.671428571428571</v>
      </c>
      <c r="H198" s="38">
        <v>196</v>
      </c>
      <c r="I198" s="38">
        <f t="shared" si="8"/>
        <v>18456</v>
      </c>
      <c r="J198" s="38">
        <f t="shared" si="6"/>
        <v>6184</v>
      </c>
      <c r="K198" s="38">
        <f t="shared" si="7"/>
        <v>2334</v>
      </c>
      <c r="L198" s="38">
        <v>389</v>
      </c>
      <c r="M198" s="38">
        <f>SUM(I$3:I198)</f>
        <v>1783406</v>
      </c>
      <c r="N198" s="38">
        <f>SUM(J$3:J198)</f>
        <v>600648</v>
      </c>
      <c r="O198" s="38">
        <f>SUM(K$3:K198)</f>
        <v>228150</v>
      </c>
      <c r="P198" s="38">
        <f>SUM(L$3:L198)</f>
        <v>38027</v>
      </c>
      <c r="Q198" s="38">
        <v>20</v>
      </c>
    </row>
    <row r="199" spans="7:17" x14ac:dyDescent="0.25">
      <c r="G199">
        <f>K199/商城宝箱!$H$42</f>
        <v>16.757142857142856</v>
      </c>
      <c r="H199" s="38">
        <v>197</v>
      </c>
      <c r="I199" s="38">
        <f t="shared" si="8"/>
        <v>18552</v>
      </c>
      <c r="J199" s="38">
        <f t="shared" si="6"/>
        <v>6216</v>
      </c>
      <c r="K199" s="38">
        <f t="shared" si="7"/>
        <v>2346</v>
      </c>
      <c r="L199" s="38">
        <v>391</v>
      </c>
      <c r="M199" s="38">
        <f>SUM(I$3:I199)</f>
        <v>1801958</v>
      </c>
      <c r="N199" s="38">
        <f>SUM(J$3:J199)</f>
        <v>606864</v>
      </c>
      <c r="O199" s="38">
        <f>SUM(K$3:K199)</f>
        <v>230496</v>
      </c>
      <c r="P199" s="38">
        <f>SUM(L$3:L199)</f>
        <v>38418</v>
      </c>
      <c r="Q199" s="38">
        <v>20.100000000000001</v>
      </c>
    </row>
    <row r="200" spans="7:17" x14ac:dyDescent="0.25">
      <c r="G200">
        <f>K200/商城宝箱!$H$42</f>
        <v>16.842857142857142</v>
      </c>
      <c r="H200" s="38">
        <v>198</v>
      </c>
      <c r="I200" s="38">
        <f t="shared" si="8"/>
        <v>18648</v>
      </c>
      <c r="J200" s="38">
        <f t="shared" ref="J200:J202" si="9">J199+32</f>
        <v>6248</v>
      </c>
      <c r="K200" s="38">
        <f t="shared" ref="K200:K202" si="10">K199+12</f>
        <v>2358</v>
      </c>
      <c r="L200" s="38">
        <v>393</v>
      </c>
      <c r="M200" s="38">
        <f>SUM(I$3:I200)</f>
        <v>1820606</v>
      </c>
      <c r="N200" s="38">
        <f>SUM(J$3:J200)</f>
        <v>613112</v>
      </c>
      <c r="O200" s="38">
        <f>SUM(K$3:K200)</f>
        <v>232854</v>
      </c>
      <c r="P200" s="38">
        <f>SUM(L$3:L200)</f>
        <v>38811</v>
      </c>
      <c r="Q200" s="38">
        <v>20.2</v>
      </c>
    </row>
    <row r="201" spans="7:17" x14ac:dyDescent="0.25">
      <c r="G201">
        <f>K201/商城宝箱!$H$42</f>
        <v>16.928571428571427</v>
      </c>
      <c r="H201" s="38">
        <v>199</v>
      </c>
      <c r="I201" s="38">
        <f t="shared" ref="I201:I202" si="11">I200+96</f>
        <v>18744</v>
      </c>
      <c r="J201" s="38">
        <f t="shared" si="9"/>
        <v>6280</v>
      </c>
      <c r="K201" s="38">
        <f t="shared" si="10"/>
        <v>2370</v>
      </c>
      <c r="L201" s="38">
        <v>395</v>
      </c>
      <c r="M201" s="38">
        <f>SUM(I$3:I201)</f>
        <v>1839350</v>
      </c>
      <c r="N201" s="38">
        <f>SUM(J$3:J201)</f>
        <v>619392</v>
      </c>
      <c r="O201" s="38">
        <f>SUM(K$3:K201)</f>
        <v>235224</v>
      </c>
      <c r="P201" s="38">
        <f>SUM(L$3:L201)</f>
        <v>39206</v>
      </c>
      <c r="Q201" s="38">
        <v>20.3</v>
      </c>
    </row>
    <row r="202" spans="7:17" x14ac:dyDescent="0.25">
      <c r="G202">
        <f>K202/商城宝箱!$H$42</f>
        <v>17.014285714285716</v>
      </c>
      <c r="H202" s="38">
        <v>200</v>
      </c>
      <c r="I202" s="38">
        <f t="shared" si="11"/>
        <v>18840</v>
      </c>
      <c r="J202" s="38">
        <f t="shared" si="9"/>
        <v>6312</v>
      </c>
      <c r="K202" s="38">
        <f t="shared" si="10"/>
        <v>2382</v>
      </c>
      <c r="L202" s="38">
        <v>397</v>
      </c>
      <c r="M202" s="38">
        <f>SUM(I$3:I202)</f>
        <v>1858190</v>
      </c>
      <c r="N202" s="38">
        <f>SUM(J$3:J202)</f>
        <v>625704</v>
      </c>
      <c r="O202" s="38">
        <f>SUM(K$3:K202)</f>
        <v>237606</v>
      </c>
      <c r="P202" s="38">
        <f>SUM(L$3:L202)</f>
        <v>39603</v>
      </c>
      <c r="Q202" s="38">
        <v>20.399999999999999</v>
      </c>
    </row>
    <row r="204" spans="7:17" x14ac:dyDescent="0.25">
      <c r="M204">
        <v>3</v>
      </c>
      <c r="N204">
        <v>6</v>
      </c>
      <c r="O204">
        <v>9</v>
      </c>
    </row>
    <row r="205" spans="7:17" x14ac:dyDescent="0.25">
      <c r="M205">
        <f>M204*M52</f>
        <v>314970</v>
      </c>
      <c r="N205">
        <f>N204*N52</f>
        <v>219024</v>
      </c>
      <c r="O205">
        <f>O204*O52</f>
        <v>129654</v>
      </c>
    </row>
  </sheetData>
  <phoneticPr fontId="1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tabColor rgb="FF7030A0"/>
  </sheetPr>
  <dimension ref="A1:AC43"/>
  <sheetViews>
    <sheetView workbookViewId="0">
      <selection activeCell="J42" sqref="J42"/>
    </sheetView>
  </sheetViews>
  <sheetFormatPr defaultColWidth="9" defaultRowHeight="13.8" x14ac:dyDescent="0.25"/>
  <cols>
    <col min="2" max="2" width="10.5546875" customWidth="1"/>
    <col min="24" max="24" width="12.44140625" bestFit="1" customWidth="1"/>
  </cols>
  <sheetData>
    <row r="1" spans="1:29" x14ac:dyDescent="0.25">
      <c r="F1">
        <v>1</v>
      </c>
      <c r="G1">
        <v>5</v>
      </c>
      <c r="H1">
        <v>45</v>
      </c>
      <c r="P1" s="44" t="s">
        <v>389</v>
      </c>
      <c r="T1" s="44" t="s">
        <v>390</v>
      </c>
      <c r="X1" s="44" t="s">
        <v>236</v>
      </c>
    </row>
    <row r="2" spans="1:29" ht="16.2" x14ac:dyDescent="0.25">
      <c r="A2" s="24" t="s">
        <v>95</v>
      </c>
      <c r="B2" s="24" t="s">
        <v>96</v>
      </c>
      <c r="C2" s="24" t="s">
        <v>10</v>
      </c>
      <c r="D2" s="24" t="s">
        <v>97</v>
      </c>
      <c r="E2" s="24" t="s">
        <v>54</v>
      </c>
      <c r="F2" s="9" t="s">
        <v>55</v>
      </c>
      <c r="G2" s="9" t="s">
        <v>56</v>
      </c>
      <c r="H2" s="9" t="s">
        <v>57</v>
      </c>
      <c r="I2" s="24" t="s">
        <v>98</v>
      </c>
      <c r="L2" s="24" t="s">
        <v>59</v>
      </c>
      <c r="M2" s="24" t="s">
        <v>99</v>
      </c>
      <c r="N2" s="24" t="s">
        <v>100</v>
      </c>
      <c r="O2" s="24" t="s">
        <v>101</v>
      </c>
      <c r="P2" s="24" t="s">
        <v>54</v>
      </c>
      <c r="Q2" s="9" t="s">
        <v>55</v>
      </c>
      <c r="R2" s="9" t="s">
        <v>56</v>
      </c>
      <c r="S2" s="9" t="s">
        <v>57</v>
      </c>
      <c r="T2" s="24" t="s">
        <v>54</v>
      </c>
      <c r="U2" s="9" t="s">
        <v>55</v>
      </c>
      <c r="V2" s="9" t="s">
        <v>56</v>
      </c>
      <c r="W2" s="9" t="s">
        <v>57</v>
      </c>
      <c r="X2" s="9" t="s">
        <v>233</v>
      </c>
      <c r="Y2" s="9" t="s">
        <v>234</v>
      </c>
      <c r="Z2" s="9" t="s">
        <v>235</v>
      </c>
    </row>
    <row r="3" spans="1:29" x14ac:dyDescent="0.25">
      <c r="A3" t="s">
        <v>102</v>
      </c>
      <c r="B3" t="str">
        <f>A3&amp;C3</f>
        <v>普通宝箱1</v>
      </c>
      <c r="C3" s="36">
        <v>1</v>
      </c>
      <c r="D3" s="36">
        <v>30</v>
      </c>
      <c r="E3">
        <v>50</v>
      </c>
      <c r="F3">
        <v>8</v>
      </c>
      <c r="G3">
        <v>1</v>
      </c>
      <c r="I3">
        <f>SUMPRODUCT($F$1:$H$1,F3:H3)</f>
        <v>13</v>
      </c>
      <c r="L3" s="36">
        <v>1</v>
      </c>
      <c r="M3" s="36">
        <v>300</v>
      </c>
      <c r="N3">
        <f>SUM($M$3:M3)</f>
        <v>300</v>
      </c>
      <c r="O3">
        <f>M3/200</f>
        <v>1.5</v>
      </c>
      <c r="P3">
        <f>O3*E23</f>
        <v>750</v>
      </c>
      <c r="Q3">
        <f>$O3*F23</f>
        <v>63</v>
      </c>
      <c r="R3">
        <f t="shared" ref="R3:S3" si="0">$O3*G23</f>
        <v>9</v>
      </c>
      <c r="S3">
        <f t="shared" si="0"/>
        <v>0</v>
      </c>
      <c r="T3">
        <f>SUM(P$3:P3)</f>
        <v>750</v>
      </c>
      <c r="U3">
        <f>SUM(Q$3:Q3)</f>
        <v>63</v>
      </c>
      <c r="V3">
        <f>SUM(R$3:R3)</f>
        <v>9</v>
      </c>
      <c r="W3">
        <f>SUM(S$3:S3)</f>
        <v>0</v>
      </c>
      <c r="X3">
        <f>INDEX(武器升级消耗!$H:$H,MATCH(U3/武器升级消耗!M$204,武器升级消耗!M:M,1))</f>
        <v>2</v>
      </c>
      <c r="Y3" t="e">
        <f>INDEX(武器升级消耗!$H:$H,MATCH(V3/武器升级消耗!N$204,武器升级消耗!N:N,1))</f>
        <v>#N/A</v>
      </c>
      <c r="Z3" t="e">
        <f>INDEX(武器升级消耗!$H:$H,MATCH(W3/武器升级消耗!O$204,武器升级消耗!O:O,1))</f>
        <v>#N/A</v>
      </c>
    </row>
    <row r="4" spans="1:29" x14ac:dyDescent="0.25">
      <c r="A4" t="s">
        <v>102</v>
      </c>
      <c r="B4" t="str">
        <f t="shared" ref="B4:B42" si="1">A4&amp;C4</f>
        <v>普通宝箱2</v>
      </c>
      <c r="C4" s="36">
        <v>2</v>
      </c>
      <c r="D4" s="36">
        <v>30</v>
      </c>
      <c r="E4">
        <v>50</v>
      </c>
      <c r="F4">
        <v>9</v>
      </c>
      <c r="G4">
        <v>1</v>
      </c>
      <c r="I4">
        <f t="shared" ref="I4:I42" si="2">SUMPRODUCT($F$1:$H$1,F4:H4)</f>
        <v>14</v>
      </c>
      <c r="L4" s="36">
        <v>2</v>
      </c>
      <c r="M4" s="36">
        <v>1200</v>
      </c>
      <c r="N4" s="1">
        <f>SUM($M$3:M4)</f>
        <v>1500</v>
      </c>
      <c r="O4">
        <f>M4/200</f>
        <v>6</v>
      </c>
      <c r="P4">
        <f>O4*E24</f>
        <v>3000</v>
      </c>
      <c r="Q4">
        <f>$O4*F24</f>
        <v>312</v>
      </c>
      <c r="R4">
        <f t="shared" ref="R4:R22" si="3">$O4*G24</f>
        <v>72</v>
      </c>
      <c r="S4">
        <f t="shared" ref="S4:S22" si="4">$O4*H24</f>
        <v>0</v>
      </c>
      <c r="T4">
        <f>SUM(P$3:P4)</f>
        <v>3750</v>
      </c>
      <c r="U4">
        <f>SUM(Q$3:Q4)</f>
        <v>375</v>
      </c>
      <c r="V4">
        <f>SUM(R$3:R4)</f>
        <v>81</v>
      </c>
      <c r="W4">
        <f>SUM(S$3:S4)</f>
        <v>0</v>
      </c>
      <c r="X4">
        <f>INDEX(武器升级消耗!$H:$H,MATCH(U4/武器升级消耗!M$204,武器升级消耗!M:M,1))</f>
        <v>4</v>
      </c>
      <c r="Y4">
        <f>INDEX(武器升级消耗!$H:$H,MATCH(R4/武器升级消耗!N$204,武器升级消耗!N:N,1))</f>
        <v>2</v>
      </c>
      <c r="Z4" t="e">
        <f>INDEX(武器升级消耗!$H:$H,MATCH(W4/武器升级消耗!O$204,武器升级消耗!O:O,1))</f>
        <v>#N/A</v>
      </c>
      <c r="AA4">
        <f>$O4/(X4-X3)</f>
        <v>3</v>
      </c>
      <c r="AB4" t="e">
        <f t="shared" ref="AB4:AC4" si="5">$O4/(Y4-Y3)</f>
        <v>#N/A</v>
      </c>
      <c r="AC4" t="e">
        <f t="shared" si="5"/>
        <v>#N/A</v>
      </c>
    </row>
    <row r="5" spans="1:29" x14ac:dyDescent="0.25">
      <c r="A5" t="s">
        <v>102</v>
      </c>
      <c r="B5" t="str">
        <f t="shared" si="1"/>
        <v>普通宝箱3</v>
      </c>
      <c r="C5" s="36">
        <v>3</v>
      </c>
      <c r="D5" s="36">
        <v>30</v>
      </c>
      <c r="E5">
        <v>50</v>
      </c>
      <c r="F5">
        <v>13</v>
      </c>
      <c r="G5">
        <v>2</v>
      </c>
      <c r="I5">
        <f t="shared" si="2"/>
        <v>23</v>
      </c>
      <c r="L5" s="36">
        <v>3</v>
      </c>
      <c r="M5" s="36">
        <v>2100</v>
      </c>
      <c r="N5">
        <f>SUM($M$3:M5)</f>
        <v>3600</v>
      </c>
      <c r="O5">
        <f t="shared" ref="O5:O22" si="6">M5/200</f>
        <v>10.5</v>
      </c>
      <c r="P5">
        <f t="shared" ref="P5:P22" si="7">O5*E25</f>
        <v>5250</v>
      </c>
      <c r="Q5">
        <f>$O5*F25</f>
        <v>787.5</v>
      </c>
      <c r="R5">
        <f t="shared" si="3"/>
        <v>231</v>
      </c>
      <c r="S5">
        <f t="shared" si="4"/>
        <v>31.5</v>
      </c>
      <c r="T5">
        <f>SUM(P$3:P5)</f>
        <v>9000</v>
      </c>
      <c r="U5">
        <f>SUM(Q$3:Q5)</f>
        <v>1162.5</v>
      </c>
      <c r="V5">
        <f>SUM(R$3:R5)</f>
        <v>312</v>
      </c>
      <c r="W5">
        <f>SUM(S$3:S5)</f>
        <v>31.5</v>
      </c>
      <c r="X5">
        <f>INDEX(武器升级消耗!$H:$H,MATCH(U5/武器升级消耗!M$204,武器升级消耗!M:M,1))</f>
        <v>5</v>
      </c>
      <c r="Y5">
        <f>INDEX(武器升级消耗!$H:$H,MATCH(R5/武器升级消耗!N$204,武器升级消耗!N:N,1))</f>
        <v>3</v>
      </c>
      <c r="Z5">
        <f>INDEX(武器升级消耗!$H:$H,MATCH(W5/武器升级消耗!O$204,武器升级消耗!O:O,1))</f>
        <v>1</v>
      </c>
      <c r="AA5">
        <f t="shared" ref="AA5:AA22" si="8">$O5/(X5-X4)</f>
        <v>10.5</v>
      </c>
      <c r="AB5">
        <f t="shared" ref="AB5:AB22" si="9">$O5/(Y5-Y4)</f>
        <v>10.5</v>
      </c>
      <c r="AC5" t="e">
        <f t="shared" ref="AC5:AC22" si="10">$O5/(Z5-Z4)</f>
        <v>#N/A</v>
      </c>
    </row>
    <row r="6" spans="1:29" x14ac:dyDescent="0.25">
      <c r="A6" t="s">
        <v>102</v>
      </c>
      <c r="B6" t="str">
        <f t="shared" si="1"/>
        <v>普通宝箱4</v>
      </c>
      <c r="C6" s="36">
        <v>4</v>
      </c>
      <c r="D6" s="36">
        <v>30</v>
      </c>
      <c r="E6">
        <v>50</v>
      </c>
      <c r="F6">
        <v>20</v>
      </c>
      <c r="G6">
        <v>4</v>
      </c>
      <c r="I6">
        <f t="shared" si="2"/>
        <v>40</v>
      </c>
      <c r="L6" s="36">
        <v>4</v>
      </c>
      <c r="M6" s="36">
        <v>3000</v>
      </c>
      <c r="N6">
        <f>SUM($M$3:M6)</f>
        <v>6600</v>
      </c>
      <c r="O6">
        <f t="shared" si="6"/>
        <v>15</v>
      </c>
      <c r="P6">
        <f>O6*E26</f>
        <v>7500</v>
      </c>
      <c r="Q6">
        <f t="shared" ref="Q6:Q22" si="11">$O6*F26</f>
        <v>1650</v>
      </c>
      <c r="R6">
        <f t="shared" si="3"/>
        <v>675</v>
      </c>
      <c r="S6">
        <f t="shared" si="4"/>
        <v>105</v>
      </c>
      <c r="T6">
        <f>SUM(P$3:P6)</f>
        <v>16500</v>
      </c>
      <c r="U6">
        <f>SUM(Q$3:Q6)</f>
        <v>2812.5</v>
      </c>
      <c r="V6">
        <f>SUM(R$3:R6)</f>
        <v>987</v>
      </c>
      <c r="W6">
        <f>SUM(S$3:S6)</f>
        <v>136.5</v>
      </c>
      <c r="X6">
        <f>INDEX(武器升级消耗!$H:$H,MATCH(U6/武器升级消耗!M$204,武器升级消耗!M:M,1))</f>
        <v>7</v>
      </c>
      <c r="Y6">
        <f>INDEX(武器升级消耗!$H:$H,MATCH(R6/武器升级消耗!N$204,武器升级消耗!N:N,1))</f>
        <v>4</v>
      </c>
      <c r="Z6">
        <f>INDEX(武器升级消耗!$H:$H,MATCH(W6/武器升级消耗!O$204,武器升级消耗!O:O,1))</f>
        <v>2</v>
      </c>
      <c r="AA6">
        <f t="shared" si="8"/>
        <v>7.5</v>
      </c>
      <c r="AB6">
        <f t="shared" si="9"/>
        <v>15</v>
      </c>
      <c r="AC6">
        <f t="shared" si="10"/>
        <v>15</v>
      </c>
    </row>
    <row r="7" spans="1:29" x14ac:dyDescent="0.25">
      <c r="A7" t="s">
        <v>102</v>
      </c>
      <c r="B7" t="str">
        <f t="shared" si="1"/>
        <v>普通宝箱5</v>
      </c>
      <c r="C7" s="36">
        <v>5</v>
      </c>
      <c r="D7" s="36">
        <v>30</v>
      </c>
      <c r="E7">
        <v>50</v>
      </c>
      <c r="F7">
        <v>28</v>
      </c>
      <c r="G7">
        <v>7</v>
      </c>
      <c r="I7">
        <f t="shared" si="2"/>
        <v>63</v>
      </c>
      <c r="L7" s="36">
        <v>5</v>
      </c>
      <c r="M7" s="36">
        <v>4000</v>
      </c>
      <c r="N7">
        <f>SUM($M$3:M7)</f>
        <v>10600</v>
      </c>
      <c r="O7">
        <f t="shared" si="6"/>
        <v>20</v>
      </c>
      <c r="P7">
        <f t="shared" si="7"/>
        <v>10000</v>
      </c>
      <c r="Q7">
        <f t="shared" si="11"/>
        <v>3000</v>
      </c>
      <c r="R7">
        <f t="shared" si="3"/>
        <v>1500</v>
      </c>
      <c r="S7">
        <f t="shared" si="4"/>
        <v>220</v>
      </c>
      <c r="T7">
        <f>SUM(P$3:P7)</f>
        <v>26500</v>
      </c>
      <c r="U7">
        <f>SUM(Q$3:Q7)</f>
        <v>5812.5</v>
      </c>
      <c r="V7">
        <f>SUM(R$3:R7)</f>
        <v>2487</v>
      </c>
      <c r="W7">
        <f>SUM(S$3:S7)</f>
        <v>356.5</v>
      </c>
      <c r="X7">
        <f>INDEX(武器升级消耗!$H:$H,MATCH(U7/武器升级消耗!M$204,武器升级消耗!M:M,1))</f>
        <v>9</v>
      </c>
      <c r="Y7">
        <f>INDEX(武器升级消耗!$H:$H,MATCH(R7/武器升级消耗!N$204,武器升级消耗!N:N,1))</f>
        <v>6</v>
      </c>
      <c r="Z7">
        <f>INDEX(武器升级消耗!$H:$H,MATCH(W7/武器升级消耗!O$204,武器升级消耗!O:O,1))</f>
        <v>3</v>
      </c>
      <c r="AA7">
        <f>$O7/(X7-X6)</f>
        <v>10</v>
      </c>
      <c r="AB7">
        <f t="shared" si="9"/>
        <v>10</v>
      </c>
      <c r="AC7">
        <f t="shared" si="10"/>
        <v>20</v>
      </c>
    </row>
    <row r="8" spans="1:29" x14ac:dyDescent="0.25">
      <c r="A8" t="s">
        <v>102</v>
      </c>
      <c r="B8" t="str">
        <f t="shared" si="1"/>
        <v>普通宝箱6</v>
      </c>
      <c r="C8" s="36">
        <v>6</v>
      </c>
      <c r="D8" s="36">
        <v>30</v>
      </c>
      <c r="E8">
        <v>50</v>
      </c>
      <c r="F8">
        <v>38</v>
      </c>
      <c r="G8">
        <v>11</v>
      </c>
      <c r="I8">
        <f t="shared" si="2"/>
        <v>93</v>
      </c>
      <c r="L8" s="36">
        <v>6</v>
      </c>
      <c r="M8" s="36">
        <v>5500</v>
      </c>
      <c r="N8">
        <f>SUM($M$3:M8)</f>
        <v>16100</v>
      </c>
      <c r="O8">
        <f t="shared" si="6"/>
        <v>27.5</v>
      </c>
      <c r="P8">
        <f t="shared" si="7"/>
        <v>13750</v>
      </c>
      <c r="Q8">
        <f t="shared" si="11"/>
        <v>5500</v>
      </c>
      <c r="R8">
        <f t="shared" si="3"/>
        <v>3300</v>
      </c>
      <c r="S8">
        <f t="shared" si="4"/>
        <v>440</v>
      </c>
      <c r="T8">
        <f>SUM(P$3:P8)</f>
        <v>40250</v>
      </c>
      <c r="U8">
        <f>SUM(Q$3:Q8)</f>
        <v>11312.5</v>
      </c>
      <c r="V8">
        <f>SUM(R$3:R8)</f>
        <v>5787</v>
      </c>
      <c r="W8">
        <f>SUM(S$3:S8)</f>
        <v>796.5</v>
      </c>
      <c r="X8">
        <f>INDEX(武器升级消耗!$H:$H,MATCH(U8/武器升级消耗!M$204,武器升级消耗!M:M,1))</f>
        <v>12</v>
      </c>
      <c r="Y8">
        <f>INDEX(武器升级消耗!$H:$H,MATCH(R8/武器升级消耗!N$204,武器升级消耗!N:N,1))</f>
        <v>7</v>
      </c>
      <c r="Z8">
        <f>INDEX(武器升级消耗!$H:$H,MATCH(W8/武器升级消耗!O$204,武器升级消耗!O:O,1))</f>
        <v>4</v>
      </c>
      <c r="AA8">
        <f t="shared" si="8"/>
        <v>9.1666666666666661</v>
      </c>
      <c r="AB8">
        <f t="shared" si="9"/>
        <v>27.5</v>
      </c>
      <c r="AC8">
        <f t="shared" si="10"/>
        <v>27.5</v>
      </c>
    </row>
    <row r="9" spans="1:29" x14ac:dyDescent="0.25">
      <c r="A9" t="s">
        <v>102</v>
      </c>
      <c r="B9" t="str">
        <f t="shared" si="1"/>
        <v>普通宝箱7</v>
      </c>
      <c r="C9" s="36">
        <v>7</v>
      </c>
      <c r="D9" s="36">
        <v>30</v>
      </c>
      <c r="E9">
        <v>50</v>
      </c>
      <c r="F9">
        <v>50</v>
      </c>
      <c r="G9">
        <v>16</v>
      </c>
      <c r="I9">
        <f t="shared" si="2"/>
        <v>130</v>
      </c>
      <c r="L9" s="36">
        <v>7</v>
      </c>
      <c r="M9" s="36">
        <v>7000</v>
      </c>
      <c r="N9">
        <f>SUM($M$3:M9)</f>
        <v>23100</v>
      </c>
      <c r="O9">
        <f t="shared" si="6"/>
        <v>35</v>
      </c>
      <c r="P9">
        <f t="shared" si="7"/>
        <v>17500</v>
      </c>
      <c r="Q9">
        <f t="shared" si="11"/>
        <v>9100</v>
      </c>
      <c r="R9">
        <f t="shared" si="3"/>
        <v>5950</v>
      </c>
      <c r="S9">
        <f t="shared" si="4"/>
        <v>805</v>
      </c>
      <c r="T9">
        <f>SUM(P$3:P9)</f>
        <v>57750</v>
      </c>
      <c r="U9">
        <f>SUM(Q$3:Q9)</f>
        <v>20412.5</v>
      </c>
      <c r="V9">
        <f>SUM(R$3:R9)</f>
        <v>11737</v>
      </c>
      <c r="W9">
        <f>SUM(S$3:S9)</f>
        <v>1601.5</v>
      </c>
      <c r="X9">
        <f>INDEX(武器升级消耗!$H:$H,MATCH(U9/武器升级消耗!M$204,武器升级消耗!M:M,1))</f>
        <v>15</v>
      </c>
      <c r="Y9">
        <f>INDEX(武器升级消耗!$H:$H,MATCH(R9/武器升级消耗!N$204,武器升级消耗!N:N,1))</f>
        <v>10</v>
      </c>
      <c r="Z9">
        <f>INDEX(武器升级消耗!$H:$H,MATCH(W9/武器升级消耗!O$204,武器升级消耗!O:O,1))</f>
        <v>6</v>
      </c>
      <c r="AA9">
        <f t="shared" si="8"/>
        <v>11.666666666666666</v>
      </c>
      <c r="AB9">
        <f t="shared" si="9"/>
        <v>11.666666666666666</v>
      </c>
      <c r="AC9">
        <f t="shared" si="10"/>
        <v>17.5</v>
      </c>
    </row>
    <row r="10" spans="1:29" x14ac:dyDescent="0.25">
      <c r="A10" t="s">
        <v>102</v>
      </c>
      <c r="B10" t="str">
        <f t="shared" si="1"/>
        <v>普通宝箱8</v>
      </c>
      <c r="C10" s="36">
        <v>8</v>
      </c>
      <c r="D10" s="36">
        <v>30</v>
      </c>
      <c r="E10">
        <v>50</v>
      </c>
      <c r="F10">
        <v>62</v>
      </c>
      <c r="G10">
        <v>23</v>
      </c>
      <c r="I10">
        <f t="shared" si="2"/>
        <v>177</v>
      </c>
      <c r="L10" s="36">
        <v>8</v>
      </c>
      <c r="M10" s="36">
        <v>9000</v>
      </c>
      <c r="N10">
        <f>SUM($M$3:M10)</f>
        <v>32100</v>
      </c>
      <c r="O10">
        <f t="shared" si="6"/>
        <v>45</v>
      </c>
      <c r="P10">
        <f t="shared" si="7"/>
        <v>22500</v>
      </c>
      <c r="Q10">
        <f t="shared" si="11"/>
        <v>15750</v>
      </c>
      <c r="R10">
        <f t="shared" si="3"/>
        <v>10350</v>
      </c>
      <c r="S10">
        <f t="shared" si="4"/>
        <v>1350</v>
      </c>
      <c r="T10">
        <f>SUM(P$3:P10)</f>
        <v>80250</v>
      </c>
      <c r="U10">
        <f>SUM(Q$3:Q10)</f>
        <v>36162.5</v>
      </c>
      <c r="V10">
        <f>SUM(R$3:R10)</f>
        <v>22087</v>
      </c>
      <c r="W10">
        <f>SUM(S$3:S10)</f>
        <v>2951.5</v>
      </c>
      <c r="X10">
        <f>INDEX(武器升级消耗!$H:$H,MATCH(U10/武器升级消耗!M$204,武器升级消耗!M:M,1))</f>
        <v>19</v>
      </c>
      <c r="Y10">
        <f>INDEX(武器升级消耗!$H:$H,MATCH(R10/武器升级消耗!N$204,武器升级消耗!N:N,1))</f>
        <v>12</v>
      </c>
      <c r="Z10">
        <f>INDEX(武器升级消耗!$H:$H,MATCH(W10/武器升级消耗!O$204,武器升级消耗!O:O,1))</f>
        <v>8</v>
      </c>
      <c r="AA10">
        <f t="shared" si="8"/>
        <v>11.25</v>
      </c>
      <c r="AB10">
        <f t="shared" si="9"/>
        <v>22.5</v>
      </c>
      <c r="AC10">
        <f t="shared" si="10"/>
        <v>22.5</v>
      </c>
    </row>
    <row r="11" spans="1:29" x14ac:dyDescent="0.25">
      <c r="A11" t="s">
        <v>102</v>
      </c>
      <c r="B11" t="str">
        <f t="shared" si="1"/>
        <v>普通宝箱9</v>
      </c>
      <c r="C11" s="36">
        <v>9</v>
      </c>
      <c r="D11" s="36">
        <v>30</v>
      </c>
      <c r="E11">
        <v>50</v>
      </c>
      <c r="F11">
        <v>80</v>
      </c>
      <c r="G11">
        <v>30</v>
      </c>
      <c r="I11">
        <f t="shared" si="2"/>
        <v>230</v>
      </c>
      <c r="L11" s="36">
        <v>9</v>
      </c>
      <c r="M11" s="36">
        <v>12000</v>
      </c>
      <c r="N11">
        <f>SUM($M$3:M11)</f>
        <v>44100</v>
      </c>
      <c r="O11">
        <f t="shared" si="6"/>
        <v>60</v>
      </c>
      <c r="P11">
        <f t="shared" si="7"/>
        <v>30000</v>
      </c>
      <c r="Q11">
        <f t="shared" si="11"/>
        <v>26400</v>
      </c>
      <c r="R11">
        <f t="shared" si="3"/>
        <v>19800</v>
      </c>
      <c r="S11">
        <f t="shared" si="4"/>
        <v>2280</v>
      </c>
      <c r="T11">
        <f>SUM(P$3:P11)</f>
        <v>110250</v>
      </c>
      <c r="U11">
        <f>SUM(Q$3:Q11)</f>
        <v>62562.5</v>
      </c>
      <c r="V11">
        <f>SUM(R$3:R11)</f>
        <v>41887</v>
      </c>
      <c r="W11">
        <f>SUM(S$3:S11)</f>
        <v>5231.5</v>
      </c>
      <c r="X11">
        <f>INDEX(武器升级消耗!$H:$H,MATCH(U11/武器升级消耗!M$204,武器升级消耗!M:M,1))</f>
        <v>24</v>
      </c>
      <c r="Y11">
        <f>INDEX(武器升级消耗!$H:$H,MATCH(R11/武器升级消耗!N$204,武器升级消耗!N:N,1))</f>
        <v>16</v>
      </c>
      <c r="Z11">
        <f>INDEX(武器升级消耗!$H:$H,MATCH(W11/武器升级消耗!O$204,武器升级消耗!O:O,1))</f>
        <v>10</v>
      </c>
      <c r="AA11">
        <f t="shared" si="8"/>
        <v>12</v>
      </c>
      <c r="AB11">
        <f t="shared" si="9"/>
        <v>15</v>
      </c>
      <c r="AC11">
        <f t="shared" si="10"/>
        <v>30</v>
      </c>
    </row>
    <row r="12" spans="1:29" x14ac:dyDescent="0.25">
      <c r="A12" t="s">
        <v>102</v>
      </c>
      <c r="B12" t="str">
        <f t="shared" si="1"/>
        <v>普通宝箱10</v>
      </c>
      <c r="C12" s="36">
        <v>10</v>
      </c>
      <c r="D12" s="36">
        <v>30</v>
      </c>
      <c r="E12">
        <v>50</v>
      </c>
      <c r="F12">
        <v>100</v>
      </c>
      <c r="G12">
        <v>40</v>
      </c>
      <c r="I12">
        <f t="shared" si="2"/>
        <v>300</v>
      </c>
      <c r="L12" s="36">
        <v>10</v>
      </c>
      <c r="M12" s="36">
        <v>15000</v>
      </c>
      <c r="N12">
        <f>SUM($M$3:M12)</f>
        <v>59100</v>
      </c>
      <c r="O12">
        <f t="shared" si="6"/>
        <v>75</v>
      </c>
      <c r="P12">
        <f t="shared" si="7"/>
        <v>37500</v>
      </c>
      <c r="Q12">
        <f t="shared" si="11"/>
        <v>40500</v>
      </c>
      <c r="R12">
        <f t="shared" si="3"/>
        <v>18750</v>
      </c>
      <c r="S12">
        <f t="shared" si="4"/>
        <v>3000</v>
      </c>
      <c r="T12">
        <f>SUM(P$3:P12)</f>
        <v>147750</v>
      </c>
      <c r="U12">
        <f>SUM(Q$3:Q12)</f>
        <v>103062.5</v>
      </c>
      <c r="V12">
        <f>SUM(R$3:R12)</f>
        <v>60637</v>
      </c>
      <c r="W12">
        <f>SUM(S$3:S12)</f>
        <v>8231.5</v>
      </c>
      <c r="X12">
        <f>INDEX(武器升级消耗!$H:$H,MATCH(U12/武器升级消耗!M$204,武器升级消耗!M:M,1))</f>
        <v>29</v>
      </c>
      <c r="Y12">
        <f>INDEX(武器升级消耗!$H:$H,MATCH(R12/武器升级消耗!N$204,武器升级消耗!N:N,1))</f>
        <v>16</v>
      </c>
      <c r="Z12">
        <f>INDEX(武器升级消耗!$H:$H,MATCH(W12/武器升级消耗!O$204,武器升级消耗!O:O,1))</f>
        <v>13</v>
      </c>
      <c r="AA12">
        <f t="shared" si="8"/>
        <v>15</v>
      </c>
      <c r="AB12" t="e">
        <f t="shared" si="9"/>
        <v>#DIV/0!</v>
      </c>
      <c r="AC12">
        <f t="shared" si="10"/>
        <v>25</v>
      </c>
    </row>
    <row r="13" spans="1:29" x14ac:dyDescent="0.25">
      <c r="A13" t="s">
        <v>102</v>
      </c>
      <c r="B13" t="str">
        <f t="shared" si="1"/>
        <v>普通宝箱11</v>
      </c>
      <c r="C13" s="36">
        <v>11</v>
      </c>
      <c r="D13" s="36">
        <v>30</v>
      </c>
      <c r="E13">
        <v>50</v>
      </c>
      <c r="F13">
        <v>120</v>
      </c>
      <c r="G13">
        <v>50</v>
      </c>
      <c r="I13">
        <f t="shared" si="2"/>
        <v>370</v>
      </c>
      <c r="L13" s="36">
        <v>11</v>
      </c>
      <c r="M13" s="36">
        <v>20000</v>
      </c>
      <c r="N13">
        <f>SUM($M$3:M13)</f>
        <v>79100</v>
      </c>
      <c r="O13">
        <f t="shared" si="6"/>
        <v>100</v>
      </c>
      <c r="P13">
        <f t="shared" si="7"/>
        <v>50000</v>
      </c>
      <c r="Q13">
        <f t="shared" si="11"/>
        <v>64000</v>
      </c>
      <c r="R13">
        <f t="shared" si="3"/>
        <v>30000</v>
      </c>
      <c r="S13">
        <f t="shared" si="4"/>
        <v>5000</v>
      </c>
      <c r="T13">
        <f>SUM(P$3:P13)</f>
        <v>197750</v>
      </c>
      <c r="U13">
        <f>SUM(Q$3:Q13)</f>
        <v>167062.5</v>
      </c>
      <c r="V13">
        <f>SUM(R$3:R13)</f>
        <v>90637</v>
      </c>
      <c r="W13">
        <f>SUM(S$3:S13)</f>
        <v>13231.5</v>
      </c>
      <c r="X13">
        <f>INDEX(武器升级消耗!$H:$H,MATCH(U13/武器升级消耗!M$204,武器升级消耗!M:M,1))</f>
        <v>37</v>
      </c>
      <c r="Y13">
        <f>INDEX(武器升级消耗!$H:$H,MATCH(R13/武器升级消耗!N$204,武器升级消耗!N:N,1))</f>
        <v>19</v>
      </c>
      <c r="Z13">
        <f>INDEX(武器升级消耗!$H:$H,MATCH(W13/武器升级消耗!O$204,武器升级消耗!O:O,1))</f>
        <v>16</v>
      </c>
      <c r="AA13">
        <f t="shared" si="8"/>
        <v>12.5</v>
      </c>
      <c r="AB13">
        <f t="shared" si="9"/>
        <v>33.333333333333336</v>
      </c>
      <c r="AC13">
        <f t="shared" si="10"/>
        <v>33.333333333333336</v>
      </c>
    </row>
    <row r="14" spans="1:29" x14ac:dyDescent="0.25">
      <c r="A14" t="s">
        <v>102</v>
      </c>
      <c r="B14" t="str">
        <f t="shared" si="1"/>
        <v>普通宝箱12</v>
      </c>
      <c r="C14" s="36">
        <v>12</v>
      </c>
      <c r="D14" s="36">
        <v>30</v>
      </c>
      <c r="E14">
        <v>50</v>
      </c>
      <c r="F14">
        <v>130</v>
      </c>
      <c r="G14">
        <v>60</v>
      </c>
      <c r="I14">
        <f t="shared" si="2"/>
        <v>430</v>
      </c>
      <c r="L14" s="36">
        <v>12</v>
      </c>
      <c r="M14" s="36">
        <v>25000</v>
      </c>
      <c r="N14">
        <f>SUM($M$3:M14)</f>
        <v>104100</v>
      </c>
      <c r="O14">
        <f t="shared" si="6"/>
        <v>125</v>
      </c>
      <c r="P14">
        <f t="shared" si="7"/>
        <v>62500</v>
      </c>
      <c r="Q14">
        <f t="shared" si="11"/>
        <v>92500</v>
      </c>
      <c r="R14">
        <f t="shared" si="3"/>
        <v>43750</v>
      </c>
      <c r="S14">
        <f t="shared" si="4"/>
        <v>7500</v>
      </c>
      <c r="T14">
        <f>SUM(P$3:P14)</f>
        <v>260250</v>
      </c>
      <c r="U14">
        <f>SUM(Q$3:Q14)</f>
        <v>259562.5</v>
      </c>
      <c r="V14">
        <f>SUM(R$3:R14)</f>
        <v>134387</v>
      </c>
      <c r="W14">
        <f>SUM(S$3:S14)</f>
        <v>20731.5</v>
      </c>
      <c r="X14">
        <f>INDEX(武器升级消耗!$H:$H,MATCH(U14/武器升级消耗!M$204,武器升级消耗!M:M,1))</f>
        <v>45</v>
      </c>
      <c r="Y14">
        <f>INDEX(武器升级消耗!$H:$H,MATCH(R14/武器升级消耗!N$204,武器升级消耗!N:N,1))</f>
        <v>23</v>
      </c>
      <c r="Z14">
        <f>INDEX(武器升级消耗!$H:$H,MATCH(W14/武器升级消耗!O$204,武器升级消耗!O:O,1))</f>
        <v>20</v>
      </c>
      <c r="AA14">
        <f t="shared" si="8"/>
        <v>15.625</v>
      </c>
      <c r="AB14">
        <f t="shared" si="9"/>
        <v>31.25</v>
      </c>
      <c r="AC14">
        <f t="shared" si="10"/>
        <v>31.25</v>
      </c>
    </row>
    <row r="15" spans="1:29" x14ac:dyDescent="0.25">
      <c r="A15" t="s">
        <v>102</v>
      </c>
      <c r="B15" t="str">
        <f t="shared" si="1"/>
        <v>普通宝箱13</v>
      </c>
      <c r="C15" s="36">
        <v>13</v>
      </c>
      <c r="D15" s="36">
        <v>30</v>
      </c>
      <c r="E15">
        <v>50</v>
      </c>
      <c r="F15">
        <v>140</v>
      </c>
      <c r="G15">
        <v>70</v>
      </c>
      <c r="I15">
        <f t="shared" si="2"/>
        <v>490</v>
      </c>
      <c r="L15" s="36">
        <v>13</v>
      </c>
      <c r="M15" s="36">
        <v>30000</v>
      </c>
      <c r="N15">
        <f>SUM($M$3:M15)</f>
        <v>134100</v>
      </c>
      <c r="O15">
        <f t="shared" si="6"/>
        <v>150</v>
      </c>
      <c r="P15">
        <f t="shared" si="7"/>
        <v>75000</v>
      </c>
      <c r="Q15">
        <f t="shared" si="11"/>
        <v>126000</v>
      </c>
      <c r="R15">
        <f t="shared" si="3"/>
        <v>60000</v>
      </c>
      <c r="S15">
        <f t="shared" si="4"/>
        <v>10500</v>
      </c>
      <c r="T15">
        <f>SUM(P$3:P15)</f>
        <v>335250</v>
      </c>
      <c r="U15">
        <f>SUM(Q$3:Q15)</f>
        <v>385562.5</v>
      </c>
      <c r="V15">
        <f>SUM(R$3:R15)</f>
        <v>194387</v>
      </c>
      <c r="W15">
        <f>SUM(S$3:S15)</f>
        <v>31231.5</v>
      </c>
      <c r="X15">
        <f>INDEX(武器升级消耗!$H:$H,MATCH(U15/武器升级消耗!M$204,武器升级消耗!M:M,1))</f>
        <v>54</v>
      </c>
      <c r="Y15">
        <f>INDEX(武器升级消耗!$H:$H,MATCH(R15/武器升级消耗!N$204,武器升级消耗!N:N,1))</f>
        <v>27</v>
      </c>
      <c r="Z15">
        <f>INDEX(武器升级消耗!$H:$H,MATCH(W15/武器升级消耗!O$204,武器升级消耗!O:O,1))</f>
        <v>25</v>
      </c>
      <c r="AA15">
        <f t="shared" si="8"/>
        <v>16.666666666666668</v>
      </c>
      <c r="AB15">
        <f t="shared" si="9"/>
        <v>37.5</v>
      </c>
      <c r="AC15">
        <f t="shared" si="10"/>
        <v>30</v>
      </c>
    </row>
    <row r="16" spans="1:29" x14ac:dyDescent="0.25">
      <c r="A16" t="s">
        <v>102</v>
      </c>
      <c r="B16" t="str">
        <f t="shared" si="1"/>
        <v>普通宝箱14</v>
      </c>
      <c r="C16" s="36">
        <v>14</v>
      </c>
      <c r="D16" s="36">
        <v>30</v>
      </c>
      <c r="E16">
        <v>50</v>
      </c>
      <c r="F16">
        <v>150</v>
      </c>
      <c r="G16">
        <v>80</v>
      </c>
      <c r="I16">
        <f t="shared" si="2"/>
        <v>550</v>
      </c>
      <c r="L16" s="36">
        <v>14</v>
      </c>
      <c r="M16" s="36">
        <v>40000</v>
      </c>
      <c r="N16">
        <f>SUM($M$3:M16)</f>
        <v>174100</v>
      </c>
      <c r="O16">
        <f t="shared" si="6"/>
        <v>200</v>
      </c>
      <c r="P16">
        <f t="shared" si="7"/>
        <v>100000</v>
      </c>
      <c r="Q16">
        <f t="shared" si="11"/>
        <v>188000</v>
      </c>
      <c r="R16">
        <f t="shared" si="3"/>
        <v>90000</v>
      </c>
      <c r="S16">
        <f t="shared" si="4"/>
        <v>16000</v>
      </c>
      <c r="T16">
        <f>SUM(P$3:P16)</f>
        <v>435250</v>
      </c>
      <c r="U16">
        <f>SUM(Q$3:Q16)</f>
        <v>573562.5</v>
      </c>
      <c r="V16">
        <f>SUM(R$3:R16)</f>
        <v>284387</v>
      </c>
      <c r="W16">
        <f>SUM(S$3:S16)</f>
        <v>47231.5</v>
      </c>
      <c r="X16">
        <f>INDEX(武器升级消耗!$H:$H,MATCH(U16/武器升级消耗!M$204,武器升级消耗!M:M,1))</f>
        <v>66</v>
      </c>
      <c r="Y16">
        <f>INDEX(武器升级消耗!$H:$H,MATCH(R16/武器升级消耗!N$204,武器升级消耗!N:N,1))</f>
        <v>32</v>
      </c>
      <c r="Z16">
        <f>INDEX(武器升级消耗!$H:$H,MATCH(W16/武器升级消耗!O$204,武器升级消耗!O:O,1))</f>
        <v>30</v>
      </c>
      <c r="AA16">
        <f t="shared" si="8"/>
        <v>16.666666666666668</v>
      </c>
      <c r="AB16">
        <f t="shared" si="9"/>
        <v>40</v>
      </c>
      <c r="AC16">
        <f t="shared" si="10"/>
        <v>40</v>
      </c>
    </row>
    <row r="17" spans="1:29" x14ac:dyDescent="0.25">
      <c r="A17" t="s">
        <v>102</v>
      </c>
      <c r="B17" t="str">
        <f t="shared" si="1"/>
        <v>普通宝箱15</v>
      </c>
      <c r="C17" s="36">
        <v>15</v>
      </c>
      <c r="D17" s="36">
        <v>30</v>
      </c>
      <c r="E17">
        <v>50</v>
      </c>
      <c r="F17">
        <v>160</v>
      </c>
      <c r="G17">
        <v>90</v>
      </c>
      <c r="I17">
        <f t="shared" si="2"/>
        <v>610</v>
      </c>
      <c r="L17" s="36">
        <v>15</v>
      </c>
      <c r="M17" s="36">
        <v>50000</v>
      </c>
      <c r="N17">
        <f>SUM($M$3:M17)</f>
        <v>224100</v>
      </c>
      <c r="O17">
        <f t="shared" si="6"/>
        <v>250</v>
      </c>
      <c r="P17">
        <f t="shared" si="7"/>
        <v>125000</v>
      </c>
      <c r="Q17">
        <f t="shared" si="11"/>
        <v>260000</v>
      </c>
      <c r="R17">
        <f t="shared" si="3"/>
        <v>125000</v>
      </c>
      <c r="S17">
        <f t="shared" si="4"/>
        <v>22500</v>
      </c>
      <c r="T17">
        <f>SUM(P$3:P17)</f>
        <v>560250</v>
      </c>
      <c r="U17">
        <f>SUM(Q$3:Q17)</f>
        <v>833562.5</v>
      </c>
      <c r="V17">
        <f>SUM(R$3:R17)</f>
        <v>409387</v>
      </c>
      <c r="W17">
        <f>SUM(S$3:S17)</f>
        <v>69731.5</v>
      </c>
      <c r="X17">
        <f>INDEX(武器升级消耗!$H:$H,MATCH(U17/武器升级消耗!M$204,武器升级消耗!M:M,1))</f>
        <v>79</v>
      </c>
      <c r="Y17">
        <f>INDEX(武器升级消耗!$H:$H,MATCH(R17/武器升级消耗!N$204,武器升级消耗!N:N,1))</f>
        <v>38</v>
      </c>
      <c r="Z17">
        <f>INDEX(武器升级消耗!$H:$H,MATCH(W17/武器升级消耗!O$204,武器升级消耗!O:O,1))</f>
        <v>36</v>
      </c>
      <c r="AA17">
        <f t="shared" si="8"/>
        <v>19.23076923076923</v>
      </c>
      <c r="AB17">
        <f t="shared" si="9"/>
        <v>41.666666666666664</v>
      </c>
      <c r="AC17">
        <f t="shared" si="10"/>
        <v>41.666666666666664</v>
      </c>
    </row>
    <row r="18" spans="1:29" x14ac:dyDescent="0.25">
      <c r="A18" t="s">
        <v>102</v>
      </c>
      <c r="B18" t="str">
        <f t="shared" si="1"/>
        <v>普通宝箱16</v>
      </c>
      <c r="C18" s="36">
        <v>16</v>
      </c>
      <c r="D18" s="36">
        <v>30</v>
      </c>
      <c r="E18">
        <v>50</v>
      </c>
      <c r="F18">
        <v>170</v>
      </c>
      <c r="G18">
        <v>100</v>
      </c>
      <c r="I18">
        <f t="shared" si="2"/>
        <v>670</v>
      </c>
      <c r="L18" s="36">
        <v>16</v>
      </c>
      <c r="M18" s="36">
        <v>65000</v>
      </c>
      <c r="N18">
        <f>SUM($M$3:M18)</f>
        <v>289100</v>
      </c>
      <c r="O18">
        <f t="shared" si="6"/>
        <v>325</v>
      </c>
      <c r="P18">
        <f t="shared" si="7"/>
        <v>162500</v>
      </c>
      <c r="Q18">
        <f t="shared" si="11"/>
        <v>370500</v>
      </c>
      <c r="R18">
        <f t="shared" si="3"/>
        <v>178750</v>
      </c>
      <c r="S18">
        <f t="shared" si="4"/>
        <v>32500</v>
      </c>
      <c r="T18">
        <f>SUM(P$3:P18)</f>
        <v>722750</v>
      </c>
      <c r="U18">
        <f>SUM(Q$3:Q18)</f>
        <v>1204062.5</v>
      </c>
      <c r="V18">
        <f>SUM(R$3:R18)</f>
        <v>588137</v>
      </c>
      <c r="W18">
        <f>SUM(S$3:S18)</f>
        <v>102231.5</v>
      </c>
      <c r="X18">
        <f>INDEX(武器升级消耗!$H:$H,MATCH(U18/武器升级消耗!M$204,武器升级消耗!M:M,1))</f>
        <v>94</v>
      </c>
      <c r="Y18">
        <f>INDEX(武器升级消耗!$H:$H,MATCH(R18/武器升级消耗!N$204,武器升级消耗!N:N,1))</f>
        <v>45</v>
      </c>
      <c r="Z18">
        <f>INDEX(武器升级消耗!$H:$H,MATCH(W18/武器升级消耗!O$204,武器升级消耗!O:O,1))</f>
        <v>44</v>
      </c>
      <c r="AA18">
        <f t="shared" si="8"/>
        <v>21.666666666666668</v>
      </c>
      <c r="AB18">
        <f t="shared" si="9"/>
        <v>46.428571428571431</v>
      </c>
      <c r="AC18">
        <f t="shared" si="10"/>
        <v>40.625</v>
      </c>
    </row>
    <row r="19" spans="1:29" x14ac:dyDescent="0.25">
      <c r="A19" t="s">
        <v>102</v>
      </c>
      <c r="B19" t="str">
        <f t="shared" si="1"/>
        <v>普通宝箱17</v>
      </c>
      <c r="C19" s="36">
        <v>17</v>
      </c>
      <c r="D19" s="36">
        <v>30</v>
      </c>
      <c r="E19">
        <v>50</v>
      </c>
      <c r="F19">
        <v>180</v>
      </c>
      <c r="G19">
        <v>110</v>
      </c>
      <c r="I19">
        <f t="shared" si="2"/>
        <v>730</v>
      </c>
      <c r="L19" s="36">
        <v>17</v>
      </c>
      <c r="M19" s="36">
        <v>80000</v>
      </c>
      <c r="N19">
        <f>SUM($M$3:M19)</f>
        <v>369100</v>
      </c>
      <c r="O19">
        <f t="shared" si="6"/>
        <v>400</v>
      </c>
      <c r="P19">
        <f t="shared" si="7"/>
        <v>200000</v>
      </c>
      <c r="Q19">
        <f t="shared" si="11"/>
        <v>496000</v>
      </c>
      <c r="R19">
        <f t="shared" si="3"/>
        <v>240000</v>
      </c>
      <c r="S19">
        <f t="shared" si="4"/>
        <v>44000</v>
      </c>
      <c r="T19">
        <f>SUM(P$3:P19)</f>
        <v>922750</v>
      </c>
      <c r="U19">
        <f>SUM(Q$3:Q19)</f>
        <v>1700062.5</v>
      </c>
      <c r="V19">
        <f>SUM(R$3:R19)</f>
        <v>828137</v>
      </c>
      <c r="W19">
        <f>SUM(S$3:S19)</f>
        <v>146231.5</v>
      </c>
      <c r="X19">
        <f>INDEX(武器升级消耗!$H:$H,MATCH(U19/武器升级消耗!M$204,武器升级消耗!M:M,1))</f>
        <v>111</v>
      </c>
      <c r="Y19">
        <f>INDEX(武器升级消耗!$H:$H,MATCH(R19/武器升级消耗!N$204,武器升级消耗!N:N,1))</f>
        <v>52</v>
      </c>
      <c r="Z19">
        <f>INDEX(武器升级消耗!$H:$H,MATCH(W19/武器升级消耗!O$204,武器升级消耗!O:O,1))</f>
        <v>53</v>
      </c>
      <c r="AA19">
        <f t="shared" si="8"/>
        <v>23.529411764705884</v>
      </c>
      <c r="AB19">
        <f t="shared" si="9"/>
        <v>57.142857142857146</v>
      </c>
      <c r="AC19">
        <f t="shared" si="10"/>
        <v>44.444444444444443</v>
      </c>
    </row>
    <row r="20" spans="1:29" x14ac:dyDescent="0.25">
      <c r="A20" t="s">
        <v>102</v>
      </c>
      <c r="B20" t="str">
        <f t="shared" si="1"/>
        <v>普通宝箱18</v>
      </c>
      <c r="C20" s="36">
        <v>18</v>
      </c>
      <c r="D20" s="36">
        <v>30</v>
      </c>
      <c r="E20">
        <v>50</v>
      </c>
      <c r="F20">
        <v>190</v>
      </c>
      <c r="G20">
        <v>120</v>
      </c>
      <c r="I20">
        <f t="shared" si="2"/>
        <v>790</v>
      </c>
      <c r="L20" s="36">
        <v>18</v>
      </c>
      <c r="M20" s="36">
        <v>100000</v>
      </c>
      <c r="N20">
        <f>SUM($M$3:M20)</f>
        <v>469100</v>
      </c>
      <c r="O20">
        <f t="shared" si="6"/>
        <v>500</v>
      </c>
      <c r="P20">
        <f t="shared" si="7"/>
        <v>250000</v>
      </c>
      <c r="Q20">
        <f t="shared" si="11"/>
        <v>670000</v>
      </c>
      <c r="R20">
        <f t="shared" si="3"/>
        <v>325000</v>
      </c>
      <c r="S20">
        <f t="shared" si="4"/>
        <v>60000</v>
      </c>
      <c r="T20">
        <f>SUM(P$3:P20)</f>
        <v>1172750</v>
      </c>
      <c r="U20">
        <f>SUM(Q$3:Q20)</f>
        <v>2370062.5</v>
      </c>
      <c r="V20">
        <f>SUM(R$3:R20)</f>
        <v>1153137</v>
      </c>
      <c r="W20">
        <f>SUM(S$3:S20)</f>
        <v>206231.5</v>
      </c>
      <c r="X20">
        <f>INDEX(武器升级消耗!$H:$H,MATCH(U20/武器升级消耗!M$204,武器升级消耗!M:M,1))</f>
        <v>131</v>
      </c>
      <c r="Y20">
        <f>INDEX(武器升级消耗!$H:$H,MATCH(R20/武器升级消耗!N$204,武器升级消耗!N:N,1))</f>
        <v>60</v>
      </c>
      <c r="Z20">
        <f>INDEX(武器升级消耗!$H:$H,MATCH(W20/武器升级消耗!O$204,武器升级消耗!O:O,1))</f>
        <v>62</v>
      </c>
      <c r="AA20">
        <f t="shared" si="8"/>
        <v>25</v>
      </c>
      <c r="AB20">
        <f t="shared" si="9"/>
        <v>62.5</v>
      </c>
      <c r="AC20">
        <f>$O20/(Z20-Z19)</f>
        <v>55.555555555555557</v>
      </c>
    </row>
    <row r="21" spans="1:29" x14ac:dyDescent="0.25">
      <c r="A21" t="s">
        <v>102</v>
      </c>
      <c r="B21" t="str">
        <f t="shared" si="1"/>
        <v>普通宝箱19</v>
      </c>
      <c r="C21" s="36">
        <v>19</v>
      </c>
      <c r="D21" s="36">
        <v>30</v>
      </c>
      <c r="E21">
        <v>50</v>
      </c>
      <c r="F21">
        <v>200</v>
      </c>
      <c r="G21">
        <v>130</v>
      </c>
      <c r="I21">
        <f t="shared" si="2"/>
        <v>850</v>
      </c>
      <c r="L21" s="36">
        <v>19</v>
      </c>
      <c r="M21" s="36">
        <v>200000</v>
      </c>
      <c r="N21">
        <f>SUM($M$3:M21)</f>
        <v>669100</v>
      </c>
      <c r="O21">
        <f t="shared" si="6"/>
        <v>1000</v>
      </c>
      <c r="P21">
        <f t="shared" si="7"/>
        <v>500000</v>
      </c>
      <c r="Q21">
        <f t="shared" si="11"/>
        <v>1440000</v>
      </c>
      <c r="R21">
        <f t="shared" si="3"/>
        <v>700000</v>
      </c>
      <c r="S21">
        <f>$O21*H41</f>
        <v>130000</v>
      </c>
      <c r="T21">
        <f>SUM(P$3:P21)</f>
        <v>1672750</v>
      </c>
      <c r="U21">
        <f>SUM(Q$3:Q21)</f>
        <v>3810062.5</v>
      </c>
      <c r="V21">
        <f>SUM(R$3:R21)</f>
        <v>1853137</v>
      </c>
      <c r="W21">
        <f>SUM(S$3:S21)</f>
        <v>336231.5</v>
      </c>
      <c r="X21">
        <f>INDEX(武器升级消耗!$H:$H,MATCH(U21/武器升级消耗!M$204,武器升级消耗!M:M,1))</f>
        <v>165</v>
      </c>
      <c r="Y21">
        <f>INDEX(武器升级消耗!$H:$H,MATCH(R21/武器升级消耗!N$204,武器升级消耗!N:N,1))</f>
        <v>87</v>
      </c>
      <c r="Z21">
        <f>INDEX(武器升级消耗!$H:$H,MATCH(W21/武器升级消耗!O$204,武器升级消耗!O:O,1))</f>
        <v>79</v>
      </c>
      <c r="AA21">
        <f t="shared" si="8"/>
        <v>29.411764705882351</v>
      </c>
      <c r="AB21">
        <f t="shared" si="9"/>
        <v>37.037037037037038</v>
      </c>
      <c r="AC21">
        <f>$O21/(Z21-Z20)</f>
        <v>58.823529411764703</v>
      </c>
    </row>
    <row r="22" spans="1:29" x14ac:dyDescent="0.25">
      <c r="A22" t="s">
        <v>102</v>
      </c>
      <c r="B22" t="str">
        <f t="shared" si="1"/>
        <v>普通宝箱20</v>
      </c>
      <c r="C22" s="36">
        <v>20</v>
      </c>
      <c r="D22" s="36">
        <v>30</v>
      </c>
      <c r="E22">
        <v>50</v>
      </c>
      <c r="F22">
        <v>210</v>
      </c>
      <c r="G22">
        <v>140</v>
      </c>
      <c r="I22">
        <f t="shared" si="2"/>
        <v>910</v>
      </c>
      <c r="L22" s="36">
        <v>20</v>
      </c>
      <c r="M22" s="36"/>
      <c r="N22">
        <v>999999999999999</v>
      </c>
      <c r="O22">
        <f t="shared" si="6"/>
        <v>0</v>
      </c>
      <c r="P22">
        <f t="shared" si="7"/>
        <v>0</v>
      </c>
      <c r="Q22">
        <f t="shared" si="11"/>
        <v>0</v>
      </c>
      <c r="R22">
        <f t="shared" si="3"/>
        <v>0</v>
      </c>
      <c r="S22">
        <f t="shared" si="4"/>
        <v>0</v>
      </c>
      <c r="T22">
        <f>SUM(P$3:P22)</f>
        <v>1672750</v>
      </c>
      <c r="U22">
        <f>SUM(Q$3:Q22)</f>
        <v>3810062.5</v>
      </c>
      <c r="V22">
        <f>SUM(R$3:R22)</f>
        <v>1853137</v>
      </c>
      <c r="W22">
        <f>SUM(S$3:S22)</f>
        <v>336231.5</v>
      </c>
      <c r="X22">
        <f>INDEX(武器升级消耗!$H:$H,MATCH(U22/武器升级消耗!M$204,武器升级消耗!M:M,1))</f>
        <v>165</v>
      </c>
      <c r="Y22" t="e">
        <f>INDEX(武器升级消耗!$H:$H,MATCH(R22/武器升级消耗!N$204,武器升级消耗!N:N,1))</f>
        <v>#N/A</v>
      </c>
      <c r="Z22">
        <f>INDEX(武器升级消耗!$H:$H,MATCH(W22/武器升级消耗!O$204,武器升级消耗!O:O,1))</f>
        <v>79</v>
      </c>
      <c r="AA22" t="e">
        <f t="shared" si="8"/>
        <v>#DIV/0!</v>
      </c>
      <c r="AB22" t="e">
        <f t="shared" si="9"/>
        <v>#N/A</v>
      </c>
      <c r="AC22" t="e">
        <f t="shared" si="10"/>
        <v>#DIV/0!</v>
      </c>
    </row>
    <row r="23" spans="1:29" x14ac:dyDescent="0.25">
      <c r="A23" s="36" t="s">
        <v>103</v>
      </c>
      <c r="B23" t="str">
        <f t="shared" si="1"/>
        <v>钻石宝箱1</v>
      </c>
      <c r="C23" s="36">
        <v>1</v>
      </c>
      <c r="D23" s="36">
        <v>200</v>
      </c>
      <c r="E23">
        <v>500</v>
      </c>
      <c r="F23">
        <v>42</v>
      </c>
      <c r="G23">
        <v>6</v>
      </c>
      <c r="I23">
        <f t="shared" si="2"/>
        <v>72</v>
      </c>
    </row>
    <row r="24" spans="1:29" x14ac:dyDescent="0.25">
      <c r="A24" s="36" t="s">
        <v>103</v>
      </c>
      <c r="B24" t="str">
        <f t="shared" si="1"/>
        <v>钻石宝箱2</v>
      </c>
      <c r="C24" s="36">
        <v>2</v>
      </c>
      <c r="D24" s="36">
        <v>200</v>
      </c>
      <c r="E24">
        <v>500</v>
      </c>
      <c r="F24">
        <v>52</v>
      </c>
      <c r="G24">
        <v>12</v>
      </c>
      <c r="I24">
        <f t="shared" si="2"/>
        <v>112</v>
      </c>
    </row>
    <row r="25" spans="1:29" x14ac:dyDescent="0.25">
      <c r="A25" s="36" t="s">
        <v>103</v>
      </c>
      <c r="B25" t="str">
        <f t="shared" si="1"/>
        <v>钻石宝箱3</v>
      </c>
      <c r="C25" s="36">
        <v>3</v>
      </c>
      <c r="D25" s="36">
        <v>200</v>
      </c>
      <c r="E25">
        <v>500</v>
      </c>
      <c r="F25">
        <v>75</v>
      </c>
      <c r="G25">
        <v>22</v>
      </c>
      <c r="H25">
        <v>3</v>
      </c>
      <c r="I25">
        <f t="shared" si="2"/>
        <v>320</v>
      </c>
      <c r="J25">
        <f>I25/D25</f>
        <v>1.6</v>
      </c>
      <c r="K25">
        <f>F25/G25</f>
        <v>3.4090909090909092</v>
      </c>
      <c r="L25">
        <f t="shared" ref="L25:L41" si="12">G25/H25</f>
        <v>7.333333333333333</v>
      </c>
    </row>
    <row r="26" spans="1:29" x14ac:dyDescent="0.25">
      <c r="A26" s="36" t="s">
        <v>103</v>
      </c>
      <c r="B26" t="str">
        <f t="shared" si="1"/>
        <v>钻石宝箱4</v>
      </c>
      <c r="C26" s="36">
        <v>4</v>
      </c>
      <c r="D26" s="36">
        <v>200</v>
      </c>
      <c r="E26">
        <v>500</v>
      </c>
      <c r="F26">
        <v>110</v>
      </c>
      <c r="G26">
        <v>45</v>
      </c>
      <c r="H26">
        <v>7</v>
      </c>
      <c r="I26">
        <f t="shared" si="2"/>
        <v>650</v>
      </c>
      <c r="J26">
        <f t="shared" ref="J26:J42" si="13">I26/D26</f>
        <v>3.25</v>
      </c>
      <c r="K26">
        <f t="shared" ref="K26:K41" si="14">F26/G26</f>
        <v>2.4444444444444446</v>
      </c>
      <c r="L26">
        <f t="shared" si="12"/>
        <v>6.4285714285714288</v>
      </c>
    </row>
    <row r="27" spans="1:29" x14ac:dyDescent="0.25">
      <c r="A27" s="36" t="s">
        <v>103</v>
      </c>
      <c r="B27" t="str">
        <f t="shared" si="1"/>
        <v>钻石宝箱5</v>
      </c>
      <c r="C27" s="36">
        <v>5</v>
      </c>
      <c r="D27" s="36">
        <v>200</v>
      </c>
      <c r="E27">
        <v>500</v>
      </c>
      <c r="F27">
        <v>150</v>
      </c>
      <c r="G27">
        <v>75</v>
      </c>
      <c r="H27">
        <v>11</v>
      </c>
      <c r="I27">
        <f t="shared" si="2"/>
        <v>1020</v>
      </c>
      <c r="J27">
        <f t="shared" si="13"/>
        <v>5.0999999999999996</v>
      </c>
      <c r="K27">
        <f t="shared" si="14"/>
        <v>2</v>
      </c>
      <c r="L27">
        <f t="shared" si="12"/>
        <v>6.8181818181818183</v>
      </c>
    </row>
    <row r="28" spans="1:29" x14ac:dyDescent="0.25">
      <c r="A28" s="36" t="s">
        <v>103</v>
      </c>
      <c r="B28" t="str">
        <f t="shared" si="1"/>
        <v>钻石宝箱6</v>
      </c>
      <c r="C28" s="36">
        <v>6</v>
      </c>
      <c r="D28" s="36">
        <v>200</v>
      </c>
      <c r="E28">
        <v>500</v>
      </c>
      <c r="F28">
        <v>200</v>
      </c>
      <c r="G28">
        <v>120</v>
      </c>
      <c r="H28">
        <v>16</v>
      </c>
      <c r="I28">
        <f t="shared" si="2"/>
        <v>1520</v>
      </c>
      <c r="J28">
        <f t="shared" si="13"/>
        <v>7.6</v>
      </c>
      <c r="K28">
        <f t="shared" si="14"/>
        <v>1.6666666666666667</v>
      </c>
      <c r="L28">
        <f t="shared" si="12"/>
        <v>7.5</v>
      </c>
    </row>
    <row r="29" spans="1:29" x14ac:dyDescent="0.25">
      <c r="A29" s="36" t="s">
        <v>103</v>
      </c>
      <c r="B29" t="str">
        <f t="shared" si="1"/>
        <v>钻石宝箱7</v>
      </c>
      <c r="C29" s="36">
        <v>7</v>
      </c>
      <c r="D29" s="36">
        <v>200</v>
      </c>
      <c r="E29">
        <v>500</v>
      </c>
      <c r="F29">
        <v>260</v>
      </c>
      <c r="G29">
        <v>170</v>
      </c>
      <c r="H29">
        <v>23</v>
      </c>
      <c r="I29">
        <f t="shared" si="2"/>
        <v>2145</v>
      </c>
      <c r="J29">
        <f t="shared" si="13"/>
        <v>10.725</v>
      </c>
      <c r="K29">
        <f t="shared" si="14"/>
        <v>1.5294117647058822</v>
      </c>
      <c r="L29">
        <f t="shared" si="12"/>
        <v>7.3913043478260869</v>
      </c>
    </row>
    <row r="30" spans="1:29" x14ac:dyDescent="0.25">
      <c r="A30" s="36" t="s">
        <v>103</v>
      </c>
      <c r="B30" t="str">
        <f t="shared" si="1"/>
        <v>钻石宝箱8</v>
      </c>
      <c r="C30" s="36">
        <v>8</v>
      </c>
      <c r="D30" s="36">
        <v>200</v>
      </c>
      <c r="E30">
        <v>500</v>
      </c>
      <c r="F30">
        <v>350</v>
      </c>
      <c r="G30">
        <v>230</v>
      </c>
      <c r="H30">
        <v>30</v>
      </c>
      <c r="I30">
        <f t="shared" si="2"/>
        <v>2850</v>
      </c>
      <c r="J30">
        <f t="shared" si="13"/>
        <v>14.25</v>
      </c>
      <c r="K30">
        <f t="shared" si="14"/>
        <v>1.5217391304347827</v>
      </c>
      <c r="L30">
        <f t="shared" si="12"/>
        <v>7.666666666666667</v>
      </c>
    </row>
    <row r="31" spans="1:29" x14ac:dyDescent="0.25">
      <c r="A31" s="36" t="s">
        <v>103</v>
      </c>
      <c r="B31" t="str">
        <f t="shared" si="1"/>
        <v>钻石宝箱9</v>
      </c>
      <c r="C31" s="36">
        <v>9</v>
      </c>
      <c r="D31" s="36">
        <v>200</v>
      </c>
      <c r="E31">
        <v>500</v>
      </c>
      <c r="F31">
        <v>440</v>
      </c>
      <c r="G31">
        <v>330</v>
      </c>
      <c r="H31">
        <v>38</v>
      </c>
      <c r="I31">
        <f t="shared" si="2"/>
        <v>3800</v>
      </c>
      <c r="J31">
        <f t="shared" si="13"/>
        <v>19</v>
      </c>
      <c r="K31">
        <f t="shared" si="14"/>
        <v>1.3333333333333333</v>
      </c>
      <c r="L31">
        <f t="shared" si="12"/>
        <v>8.6842105263157894</v>
      </c>
    </row>
    <row r="32" spans="1:29" x14ac:dyDescent="0.25">
      <c r="A32" s="36" t="s">
        <v>103</v>
      </c>
      <c r="B32" t="str">
        <f t="shared" si="1"/>
        <v>钻石宝箱10</v>
      </c>
      <c r="C32" s="36">
        <v>10</v>
      </c>
      <c r="D32" s="36">
        <v>200</v>
      </c>
      <c r="E32">
        <v>500</v>
      </c>
      <c r="F32">
        <v>540</v>
      </c>
      <c r="G32">
        <v>250</v>
      </c>
      <c r="H32">
        <v>40</v>
      </c>
      <c r="I32">
        <f t="shared" si="2"/>
        <v>3590</v>
      </c>
      <c r="J32">
        <f t="shared" si="13"/>
        <v>17.95</v>
      </c>
      <c r="K32">
        <f t="shared" si="14"/>
        <v>2.16</v>
      </c>
      <c r="L32">
        <f t="shared" si="12"/>
        <v>6.25</v>
      </c>
    </row>
    <row r="33" spans="1:12" x14ac:dyDescent="0.25">
      <c r="A33" s="36" t="s">
        <v>103</v>
      </c>
      <c r="B33" t="str">
        <f t="shared" si="1"/>
        <v>钻石宝箱11</v>
      </c>
      <c r="C33" s="36">
        <v>11</v>
      </c>
      <c r="D33" s="36">
        <v>200</v>
      </c>
      <c r="E33">
        <v>500</v>
      </c>
      <c r="F33">
        <v>640</v>
      </c>
      <c r="G33">
        <v>300</v>
      </c>
      <c r="H33">
        <v>50</v>
      </c>
      <c r="I33">
        <f t="shared" si="2"/>
        <v>4390</v>
      </c>
      <c r="J33">
        <f t="shared" si="13"/>
        <v>21.95</v>
      </c>
      <c r="K33">
        <f t="shared" si="14"/>
        <v>2.1333333333333333</v>
      </c>
      <c r="L33">
        <f t="shared" si="12"/>
        <v>6</v>
      </c>
    </row>
    <row r="34" spans="1:12" x14ac:dyDescent="0.25">
      <c r="A34" s="36" t="s">
        <v>103</v>
      </c>
      <c r="B34" t="str">
        <f t="shared" si="1"/>
        <v>钻石宝箱12</v>
      </c>
      <c r="C34" s="36">
        <v>12</v>
      </c>
      <c r="D34" s="36">
        <v>200</v>
      </c>
      <c r="E34">
        <v>500</v>
      </c>
      <c r="F34">
        <v>740</v>
      </c>
      <c r="G34">
        <v>350</v>
      </c>
      <c r="H34">
        <v>60</v>
      </c>
      <c r="I34">
        <f t="shared" si="2"/>
        <v>5190</v>
      </c>
      <c r="J34">
        <f t="shared" si="13"/>
        <v>25.95</v>
      </c>
      <c r="K34">
        <f t="shared" si="14"/>
        <v>2.1142857142857143</v>
      </c>
      <c r="L34">
        <f t="shared" si="12"/>
        <v>5.833333333333333</v>
      </c>
    </row>
    <row r="35" spans="1:12" x14ac:dyDescent="0.25">
      <c r="A35" s="36" t="s">
        <v>103</v>
      </c>
      <c r="B35" t="str">
        <f t="shared" si="1"/>
        <v>钻石宝箱13</v>
      </c>
      <c r="C35" s="36">
        <v>13</v>
      </c>
      <c r="D35" s="36">
        <v>200</v>
      </c>
      <c r="E35">
        <v>500</v>
      </c>
      <c r="F35">
        <v>840</v>
      </c>
      <c r="G35">
        <v>400</v>
      </c>
      <c r="H35">
        <v>70</v>
      </c>
      <c r="I35">
        <f t="shared" si="2"/>
        <v>5990</v>
      </c>
      <c r="J35">
        <f t="shared" si="13"/>
        <v>29.95</v>
      </c>
      <c r="K35">
        <f t="shared" si="14"/>
        <v>2.1</v>
      </c>
      <c r="L35">
        <f t="shared" si="12"/>
        <v>5.7142857142857144</v>
      </c>
    </row>
    <row r="36" spans="1:12" x14ac:dyDescent="0.25">
      <c r="A36" s="36" t="s">
        <v>103</v>
      </c>
      <c r="B36" t="str">
        <f t="shared" si="1"/>
        <v>钻石宝箱14</v>
      </c>
      <c r="C36" s="36">
        <v>14</v>
      </c>
      <c r="D36" s="36">
        <v>200</v>
      </c>
      <c r="E36">
        <v>500</v>
      </c>
      <c r="F36">
        <v>940</v>
      </c>
      <c r="G36">
        <v>450</v>
      </c>
      <c r="H36">
        <v>80</v>
      </c>
      <c r="I36">
        <f t="shared" si="2"/>
        <v>6790</v>
      </c>
      <c r="J36">
        <f t="shared" si="13"/>
        <v>33.950000000000003</v>
      </c>
      <c r="K36">
        <f t="shared" si="14"/>
        <v>2.088888888888889</v>
      </c>
      <c r="L36">
        <f t="shared" si="12"/>
        <v>5.625</v>
      </c>
    </row>
    <row r="37" spans="1:12" x14ac:dyDescent="0.25">
      <c r="A37" s="36" t="s">
        <v>103</v>
      </c>
      <c r="B37" t="str">
        <f t="shared" si="1"/>
        <v>钻石宝箱15</v>
      </c>
      <c r="C37" s="36">
        <v>15</v>
      </c>
      <c r="D37" s="36">
        <v>200</v>
      </c>
      <c r="E37">
        <v>500</v>
      </c>
      <c r="F37">
        <v>1040</v>
      </c>
      <c r="G37">
        <v>500</v>
      </c>
      <c r="H37">
        <v>90</v>
      </c>
      <c r="I37">
        <f>SUMPRODUCT($F$1:$H$1,F37:H37)</f>
        <v>7590</v>
      </c>
      <c r="J37">
        <f t="shared" si="13"/>
        <v>37.950000000000003</v>
      </c>
      <c r="K37">
        <f t="shared" si="14"/>
        <v>2.08</v>
      </c>
      <c r="L37">
        <f t="shared" si="12"/>
        <v>5.5555555555555554</v>
      </c>
    </row>
    <row r="38" spans="1:12" x14ac:dyDescent="0.25">
      <c r="A38" s="36" t="s">
        <v>103</v>
      </c>
      <c r="B38" t="str">
        <f t="shared" si="1"/>
        <v>钻石宝箱16</v>
      </c>
      <c r="C38" s="36">
        <v>16</v>
      </c>
      <c r="D38" s="36">
        <v>200</v>
      </c>
      <c r="E38">
        <v>500</v>
      </c>
      <c r="F38">
        <v>1140</v>
      </c>
      <c r="G38">
        <v>550</v>
      </c>
      <c r="H38">
        <v>100</v>
      </c>
      <c r="I38">
        <f t="shared" si="2"/>
        <v>8390</v>
      </c>
      <c r="J38">
        <f t="shared" si="13"/>
        <v>41.95</v>
      </c>
      <c r="K38">
        <f t="shared" si="14"/>
        <v>2.0727272727272728</v>
      </c>
      <c r="L38">
        <f t="shared" si="12"/>
        <v>5.5</v>
      </c>
    </row>
    <row r="39" spans="1:12" x14ac:dyDescent="0.25">
      <c r="A39" s="36" t="s">
        <v>103</v>
      </c>
      <c r="B39" t="str">
        <f t="shared" si="1"/>
        <v>钻石宝箱17</v>
      </c>
      <c r="C39" s="36">
        <v>17</v>
      </c>
      <c r="D39" s="36">
        <v>200</v>
      </c>
      <c r="E39">
        <v>500</v>
      </c>
      <c r="F39">
        <v>1240</v>
      </c>
      <c r="G39">
        <v>600</v>
      </c>
      <c r="H39">
        <v>110</v>
      </c>
      <c r="I39">
        <f t="shared" si="2"/>
        <v>9190</v>
      </c>
      <c r="J39">
        <f t="shared" si="13"/>
        <v>45.95</v>
      </c>
      <c r="K39">
        <f t="shared" si="14"/>
        <v>2.0666666666666669</v>
      </c>
      <c r="L39">
        <f t="shared" si="12"/>
        <v>5.4545454545454541</v>
      </c>
    </row>
    <row r="40" spans="1:12" x14ac:dyDescent="0.25">
      <c r="A40" s="36" t="s">
        <v>103</v>
      </c>
      <c r="B40" t="str">
        <f t="shared" si="1"/>
        <v>钻石宝箱18</v>
      </c>
      <c r="C40" s="36">
        <v>18</v>
      </c>
      <c r="D40" s="36">
        <v>200</v>
      </c>
      <c r="E40">
        <v>500</v>
      </c>
      <c r="F40">
        <v>1340</v>
      </c>
      <c r="G40">
        <v>650</v>
      </c>
      <c r="H40">
        <v>120</v>
      </c>
      <c r="I40">
        <f t="shared" si="2"/>
        <v>9990</v>
      </c>
      <c r="J40">
        <f t="shared" si="13"/>
        <v>49.95</v>
      </c>
      <c r="K40">
        <f>F40/G40</f>
        <v>2.0615384615384613</v>
      </c>
      <c r="L40">
        <f t="shared" si="12"/>
        <v>5.416666666666667</v>
      </c>
    </row>
    <row r="41" spans="1:12" x14ac:dyDescent="0.25">
      <c r="A41" s="36" t="s">
        <v>103</v>
      </c>
      <c r="B41" t="str">
        <f t="shared" si="1"/>
        <v>钻石宝箱19</v>
      </c>
      <c r="C41" s="36">
        <v>19</v>
      </c>
      <c r="D41" s="36">
        <v>200</v>
      </c>
      <c r="E41">
        <v>500</v>
      </c>
      <c r="F41">
        <v>1440</v>
      </c>
      <c r="G41">
        <v>700</v>
      </c>
      <c r="H41">
        <v>130</v>
      </c>
      <c r="I41">
        <f t="shared" si="2"/>
        <v>10790</v>
      </c>
      <c r="J41">
        <f t="shared" si="13"/>
        <v>53.95</v>
      </c>
      <c r="K41">
        <f t="shared" si="14"/>
        <v>2.0571428571428569</v>
      </c>
      <c r="L41">
        <f t="shared" si="12"/>
        <v>5.384615384615385</v>
      </c>
    </row>
    <row r="42" spans="1:12" x14ac:dyDescent="0.25">
      <c r="A42" s="36" t="s">
        <v>103</v>
      </c>
      <c r="B42" t="str">
        <f t="shared" si="1"/>
        <v>钻石宝箱20</v>
      </c>
      <c r="C42" s="36">
        <v>20</v>
      </c>
      <c r="D42" s="36">
        <v>200</v>
      </c>
      <c r="E42">
        <v>500</v>
      </c>
      <c r="F42">
        <v>1540</v>
      </c>
      <c r="G42">
        <v>850</v>
      </c>
      <c r="H42">
        <v>140</v>
      </c>
      <c r="I42">
        <f t="shared" si="2"/>
        <v>12090</v>
      </c>
      <c r="J42">
        <f t="shared" si="13"/>
        <v>60.45</v>
      </c>
      <c r="K42">
        <f>F42/G42</f>
        <v>1.8117647058823529</v>
      </c>
      <c r="L42">
        <f>G42/H42</f>
        <v>6.0714285714285712</v>
      </c>
    </row>
    <row r="43" spans="1:12" x14ac:dyDescent="0.25">
      <c r="F43" s="80"/>
      <c r="G43" s="80"/>
      <c r="H43" s="80"/>
    </row>
  </sheetData>
  <phoneticPr fontId="1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>
    <tabColor rgb="FF00B050"/>
  </sheetPr>
  <dimension ref="A1:BD1050"/>
  <sheetViews>
    <sheetView topLeftCell="A64" workbookViewId="0">
      <selection activeCell="A92" sqref="A92:XFD92"/>
    </sheetView>
  </sheetViews>
  <sheetFormatPr defaultColWidth="9" defaultRowHeight="13.8" x14ac:dyDescent="0.25"/>
  <cols>
    <col min="1" max="2" width="4.77734375" customWidth="1"/>
    <col min="3" max="3" width="6.77734375" customWidth="1"/>
    <col min="4" max="4" width="6.6640625" customWidth="1"/>
    <col min="5" max="5" width="6.77734375" customWidth="1"/>
    <col min="6" max="6" width="5.44140625" customWidth="1"/>
    <col min="7" max="7" width="8.44140625" customWidth="1"/>
    <col min="8" max="8" width="6.77734375" customWidth="1"/>
    <col min="9" max="9" width="6.109375" customWidth="1"/>
    <col min="10" max="12" width="10.5546875" customWidth="1"/>
    <col min="13" max="13" width="8.6640625" customWidth="1"/>
    <col min="14" max="14" width="7.109375" customWidth="1"/>
    <col min="15" max="17" width="12.33203125" customWidth="1"/>
    <col min="18" max="20" width="13.77734375" customWidth="1"/>
    <col min="25" max="25" width="5" customWidth="1"/>
    <col min="26" max="26" width="10.5546875" customWidth="1"/>
    <col min="27" max="27" width="20.44140625" customWidth="1"/>
    <col min="28" max="28" width="18.44140625" customWidth="1"/>
    <col min="29" max="29" width="10.5546875" customWidth="1"/>
    <col min="30" max="30" width="20.44140625" customWidth="1"/>
    <col min="31" max="31" width="18.44140625" customWidth="1"/>
    <col min="32" max="34" width="11.77734375" customWidth="1"/>
    <col min="35" max="37" width="13.77734375" customWidth="1"/>
    <col min="42" max="42" width="5.109375" customWidth="1"/>
    <col min="43" max="43" width="11.33203125" customWidth="1"/>
    <col min="44" max="44" width="21.6640625" bestFit="1" customWidth="1"/>
    <col min="45" max="45" width="11.33203125" customWidth="1"/>
    <col min="49" max="49" width="13.44140625" customWidth="1"/>
    <col min="55" max="55" width="14.33203125" bestFit="1" customWidth="1"/>
  </cols>
  <sheetData>
    <row r="1" spans="1:56" x14ac:dyDescent="0.25">
      <c r="D1" t="s">
        <v>104</v>
      </c>
      <c r="G1" t="s">
        <v>105</v>
      </c>
      <c r="R1" t="s">
        <v>106</v>
      </c>
      <c r="S1">
        <v>100</v>
      </c>
    </row>
    <row r="2" spans="1:56" ht="16.2" x14ac:dyDescent="0.25">
      <c r="A2" s="24" t="s">
        <v>10</v>
      </c>
      <c r="B2" s="24" t="s">
        <v>107</v>
      </c>
      <c r="C2" s="24" t="s">
        <v>108</v>
      </c>
      <c r="D2" s="24" t="s">
        <v>60</v>
      </c>
      <c r="E2" s="24" t="s">
        <v>61</v>
      </c>
      <c r="F2" s="24" t="s">
        <v>62</v>
      </c>
      <c r="G2" s="24" t="s">
        <v>60</v>
      </c>
      <c r="H2" s="24" t="s">
        <v>61</v>
      </c>
      <c r="I2" s="24" t="s">
        <v>62</v>
      </c>
      <c r="J2" s="24" t="s">
        <v>109</v>
      </c>
      <c r="K2" s="24" t="s">
        <v>110</v>
      </c>
      <c r="L2" s="24" t="s">
        <v>111</v>
      </c>
      <c r="M2" s="24" t="s">
        <v>112</v>
      </c>
      <c r="N2" s="24" t="s">
        <v>79</v>
      </c>
      <c r="O2" s="24" t="s">
        <v>113</v>
      </c>
      <c r="P2" s="46" t="s">
        <v>335</v>
      </c>
      <c r="Q2" s="46" t="s">
        <v>336</v>
      </c>
      <c r="S2" t="s">
        <v>114</v>
      </c>
      <c r="Y2" s="24" t="s">
        <v>107</v>
      </c>
      <c r="Z2" s="24" t="s">
        <v>115</v>
      </c>
      <c r="AA2" s="24" t="s">
        <v>116</v>
      </c>
      <c r="AB2" s="24" t="s">
        <v>117</v>
      </c>
      <c r="AC2" s="24" t="s">
        <v>110</v>
      </c>
      <c r="AD2" s="24" t="s">
        <v>118</v>
      </c>
      <c r="AE2" s="24" t="s">
        <v>119</v>
      </c>
      <c r="AF2" s="24" t="s">
        <v>120</v>
      </c>
      <c r="AG2" s="24" t="s">
        <v>121</v>
      </c>
      <c r="AH2" s="24" t="s">
        <v>122</v>
      </c>
      <c r="AI2" s="24" t="s">
        <v>123</v>
      </c>
      <c r="AJ2" s="24" t="s">
        <v>124</v>
      </c>
      <c r="AK2" s="24" t="s">
        <v>125</v>
      </c>
      <c r="AP2" s="24" t="s">
        <v>10</v>
      </c>
      <c r="AQ2" s="24" t="s">
        <v>126</v>
      </c>
      <c r="AR2" s="47" t="s">
        <v>127</v>
      </c>
      <c r="AS2" s="24" t="s">
        <v>252</v>
      </c>
      <c r="AV2" s="24" t="s">
        <v>10</v>
      </c>
      <c r="AW2" s="24" t="s">
        <v>324</v>
      </c>
      <c r="AX2" s="24" t="s">
        <v>322</v>
      </c>
      <c r="AY2" s="24" t="s">
        <v>263</v>
      </c>
      <c r="AZ2" s="24" t="s">
        <v>323</v>
      </c>
      <c r="BB2" s="9" t="s">
        <v>320</v>
      </c>
      <c r="BC2" s="9" t="s">
        <v>321</v>
      </c>
      <c r="BD2" s="9" t="s">
        <v>319</v>
      </c>
    </row>
    <row r="3" spans="1:56" x14ac:dyDescent="0.25">
      <c r="A3">
        <v>1</v>
      </c>
      <c r="B3">
        <v>1</v>
      </c>
      <c r="C3">
        <v>1</v>
      </c>
      <c r="D3">
        <f t="shared" ref="D3:D66" si="0">IF($C3=1,INDEX($Z:$Z,MATCH($B3,$Y:$Y,0))+MOD($A3-1,10)*INDEX($AC:$AC,MATCH($B3,$Y:$Y,0)),"")</f>
        <v>10</v>
      </c>
      <c r="E3" t="str">
        <f t="shared" ref="E3:E66" si="1">IF($C3=2,INDEX($AA:$AA,MATCH($B3,$Y:$Y,0))+MOD($A3-1,10)*INDEX($AD:$AD,MATCH($B3,$Y:$Y,0)),"")</f>
        <v/>
      </c>
      <c r="F3" t="str">
        <f t="shared" ref="F3:F66" si="2">IF($C3=3,INDEX($AB:$AB,MATCH($B3,$Y:$Y,0))+MOD($A3-1,10)*INDEX($AE:$AE,MATCH($B3,$Y:$Y,0)),"")</f>
        <v/>
      </c>
      <c r="G3">
        <f t="shared" ref="G3:G66" si="3">IF($C3=1,INDEX($AF:$AF,MATCH($B3,$Y:$Y,0))+MOD($A3-1,10)*INDEX($AI:$AI,MATCH($B3,$Y:$Y,0)),"")</f>
        <v>200</v>
      </c>
      <c r="H3" t="str">
        <f t="shared" ref="H3:H66" si="4">IF($C3=2,INDEX($AG:$AG,MATCH($B3,$Y:$Y,0))+MOD($A3-1,10)*INDEX($AJ:$AJ,MATCH($B3,$Y:$Y,0)),"")</f>
        <v/>
      </c>
      <c r="I3" t="str">
        <f t="shared" ref="I3:I66" si="5">IF($C3=3,INDEX($AH:$AH,MATCH($B3,$Y:$Y,0))+MOD($A3-1,10)*INDEX($AK:$AK,MATCH($B3,$Y:$Y,0)),"")</f>
        <v/>
      </c>
      <c r="J3">
        <f>SUM($G$3:I3)</f>
        <v>200</v>
      </c>
      <c r="K3">
        <f>_xlfn.MAXIFS($D:$D,$A:$A,"&lt;="&amp;A3)/10*100</f>
        <v>100</v>
      </c>
      <c r="L3">
        <f>_xlfn.MAXIFS($E:$E,$A:$A,"&lt;="&amp;A3)/10000+1</f>
        <v>1</v>
      </c>
      <c r="M3">
        <f>_xlfn.MAXIFS($F:$F,$A:$A,"&lt;="&amp;A3)/10000+1</f>
        <v>1</v>
      </c>
      <c r="N3">
        <f>J3*0.2</f>
        <v>40</v>
      </c>
      <c r="O3">
        <f>K3*L3*M3</f>
        <v>100</v>
      </c>
      <c r="P3">
        <f>SUMIFS($AZ:$AZ,$AW:$AW,$AW$3,$AY:$AY,3,$AV:$AV,"&lt;="&amp;A3)</f>
        <v>0</v>
      </c>
      <c r="Q3">
        <f>SUMIFS($AZ:$AZ,$AY:$AY,98,$AV:$AV,"&lt;="&amp;A3)*10/100</f>
        <v>0</v>
      </c>
      <c r="Y3" s="25">
        <v>1</v>
      </c>
      <c r="Z3" s="25">
        <v>10</v>
      </c>
      <c r="AA3" s="25">
        <v>0</v>
      </c>
      <c r="AB3" s="25">
        <v>0</v>
      </c>
      <c r="AC3" s="25">
        <v>1</v>
      </c>
      <c r="AD3" s="25">
        <v>10</v>
      </c>
      <c r="AE3" s="25">
        <v>5</v>
      </c>
      <c r="AF3" s="25">
        <v>200</v>
      </c>
      <c r="AG3" s="25">
        <v>133</v>
      </c>
      <c r="AH3" s="25">
        <v>100</v>
      </c>
      <c r="AI3" s="25">
        <v>75</v>
      </c>
      <c r="AJ3" s="25">
        <v>20</v>
      </c>
      <c r="AK3" s="25">
        <v>15</v>
      </c>
      <c r="AP3" s="26">
        <v>10</v>
      </c>
      <c r="AQ3" s="27" t="s">
        <v>128</v>
      </c>
      <c r="AR3" s="28"/>
      <c r="AS3" s="27">
        <f t="shared" ref="AS3:AS34" si="6">SUMIFS($AZ:$AZ,$AY:$AY,$BB$5,$AP:$AP,"&lt;="&amp;AP3,$AW:$AW,$AW$3)</f>
        <v>0</v>
      </c>
      <c r="AV3" s="96">
        <v>10</v>
      </c>
      <c r="AW3" s="96">
        <v>1</v>
      </c>
      <c r="AX3" s="96"/>
      <c r="AY3" s="96">
        <v>104</v>
      </c>
      <c r="AZ3" s="96">
        <v>10</v>
      </c>
      <c r="BB3" s="38">
        <v>98</v>
      </c>
      <c r="BC3" s="43" t="s">
        <v>316</v>
      </c>
      <c r="BD3" s="38">
        <f>SUMIFS($AZ:$AZ,$AY:$AY,BB3)*10</f>
        <v>220</v>
      </c>
    </row>
    <row r="4" spans="1:56" x14ac:dyDescent="0.25">
      <c r="A4">
        <v>2</v>
      </c>
      <c r="B4">
        <v>1</v>
      </c>
      <c r="C4">
        <v>1</v>
      </c>
      <c r="D4">
        <f t="shared" si="0"/>
        <v>11</v>
      </c>
      <c r="E4" t="str">
        <f t="shared" si="1"/>
        <v/>
      </c>
      <c r="F4" t="str">
        <f t="shared" si="2"/>
        <v/>
      </c>
      <c r="G4">
        <f t="shared" si="3"/>
        <v>275</v>
      </c>
      <c r="H4" t="str">
        <f t="shared" si="4"/>
        <v/>
      </c>
      <c r="I4" t="str">
        <f t="shared" si="5"/>
        <v/>
      </c>
      <c r="J4">
        <f>SUM($G$3:I4)</f>
        <v>475</v>
      </c>
      <c r="K4">
        <f t="shared" ref="K4:K67" si="7">_xlfn.MAXIFS($D:$D,$A:$A,"&lt;="&amp;A4)/10*100</f>
        <v>110.00000000000001</v>
      </c>
      <c r="L4">
        <f t="shared" ref="L4:L67" si="8">_xlfn.MAXIFS($E:$E,$A:$A,"&lt;="&amp;A4)/10000+1</f>
        <v>1</v>
      </c>
      <c r="M4">
        <f t="shared" ref="M4:M67" si="9">_xlfn.MAXIFS($F:$F,$A:$A,"&lt;="&amp;A4)/10000+1</f>
        <v>1</v>
      </c>
      <c r="N4">
        <f t="shared" ref="N4:N67" si="10">J4*0.2</f>
        <v>95</v>
      </c>
      <c r="O4">
        <f t="shared" ref="O4:O67" si="11">K4*L4*M4</f>
        <v>110.00000000000001</v>
      </c>
      <c r="P4">
        <f t="shared" ref="P4:P67" si="12">SUMIFS($AZ:$AZ,$AW:$AW,$AW$3,$AY:$AY,3,$AV:$AV,"&lt;="&amp;A4)</f>
        <v>0</v>
      </c>
      <c r="Q4">
        <f t="shared" ref="Q4:Q67" si="13">SUMIFS($AZ:$AZ,$AY:$AY,98,$AV:$AV,"&lt;="&amp;A4)*10/100</f>
        <v>0</v>
      </c>
      <c r="Y4" s="25">
        <v>2</v>
      </c>
      <c r="Z4" s="25">
        <v>20</v>
      </c>
      <c r="AA4" s="25">
        <v>100</v>
      </c>
      <c r="AB4" s="25">
        <v>50</v>
      </c>
      <c r="AC4" s="25">
        <v>2</v>
      </c>
      <c r="AD4" s="25">
        <v>10</v>
      </c>
      <c r="AE4" s="25">
        <v>5</v>
      </c>
      <c r="AF4" s="25">
        <v>1000</v>
      </c>
      <c r="AG4" s="25">
        <v>333</v>
      </c>
      <c r="AH4" s="25">
        <v>250</v>
      </c>
      <c r="AI4" s="25">
        <v>100</v>
      </c>
      <c r="AJ4" s="25">
        <v>27</v>
      </c>
      <c r="AK4" s="25">
        <v>20</v>
      </c>
      <c r="AP4" s="29">
        <v>20</v>
      </c>
      <c r="AQ4" s="30" t="s">
        <v>129</v>
      </c>
      <c r="AR4" s="31" t="s">
        <v>311</v>
      </c>
      <c r="AS4" s="30">
        <f t="shared" si="6"/>
        <v>0</v>
      </c>
      <c r="AV4" s="96">
        <v>20</v>
      </c>
      <c r="AW4" s="96">
        <v>2</v>
      </c>
      <c r="AX4" s="96"/>
      <c r="AY4" s="96">
        <v>8</v>
      </c>
      <c r="AZ4" s="96">
        <v>1</v>
      </c>
      <c r="BB4" s="38">
        <v>99</v>
      </c>
      <c r="BC4" s="43" t="s">
        <v>317</v>
      </c>
      <c r="BD4" s="38">
        <f>SUMIFS($AZ:$AZ,$AY:$AY,BB4)*5</f>
        <v>30</v>
      </c>
    </row>
    <row r="5" spans="1:56" x14ac:dyDescent="0.25">
      <c r="A5">
        <v>3</v>
      </c>
      <c r="B5">
        <v>1</v>
      </c>
      <c r="C5">
        <v>1</v>
      </c>
      <c r="D5">
        <f t="shared" si="0"/>
        <v>12</v>
      </c>
      <c r="E5" t="str">
        <f t="shared" si="1"/>
        <v/>
      </c>
      <c r="F5" t="str">
        <f t="shared" si="2"/>
        <v/>
      </c>
      <c r="G5">
        <f t="shared" si="3"/>
        <v>350</v>
      </c>
      <c r="H5" t="str">
        <f t="shared" si="4"/>
        <v/>
      </c>
      <c r="I5" t="str">
        <f t="shared" si="5"/>
        <v/>
      </c>
      <c r="J5">
        <f>SUM($G$3:I5)</f>
        <v>825</v>
      </c>
      <c r="K5">
        <f t="shared" si="7"/>
        <v>120</v>
      </c>
      <c r="L5">
        <f t="shared" si="8"/>
        <v>1</v>
      </c>
      <c r="M5">
        <f t="shared" si="9"/>
        <v>1</v>
      </c>
      <c r="N5">
        <f t="shared" si="10"/>
        <v>165</v>
      </c>
      <c r="O5">
        <f t="shared" si="11"/>
        <v>120</v>
      </c>
      <c r="P5">
        <f t="shared" si="12"/>
        <v>0</v>
      </c>
      <c r="Q5">
        <f t="shared" si="13"/>
        <v>0</v>
      </c>
      <c r="S5" t="s">
        <v>130</v>
      </c>
      <c r="Y5" s="25">
        <v>3</v>
      </c>
      <c r="Z5" s="25">
        <v>40</v>
      </c>
      <c r="AA5" s="25">
        <v>200</v>
      </c>
      <c r="AB5" s="25">
        <v>100</v>
      </c>
      <c r="AC5" s="25">
        <v>3</v>
      </c>
      <c r="AD5" s="25">
        <v>10</v>
      </c>
      <c r="AE5" s="25">
        <v>5</v>
      </c>
      <c r="AF5" s="25">
        <v>2000</v>
      </c>
      <c r="AG5" s="25">
        <v>667</v>
      </c>
      <c r="AH5" s="25">
        <v>500</v>
      </c>
      <c r="AI5" s="25">
        <v>100</v>
      </c>
      <c r="AJ5" s="25">
        <v>33</v>
      </c>
      <c r="AK5" s="25">
        <v>50</v>
      </c>
      <c r="AP5" s="32">
        <v>30</v>
      </c>
      <c r="AQ5" s="33" t="s">
        <v>131</v>
      </c>
      <c r="AR5" s="34"/>
      <c r="AS5" s="33">
        <f t="shared" si="6"/>
        <v>0</v>
      </c>
      <c r="AV5" s="97">
        <v>30</v>
      </c>
      <c r="AW5" s="97">
        <v>4</v>
      </c>
      <c r="AX5" s="97" t="s">
        <v>278</v>
      </c>
      <c r="AY5" s="97"/>
      <c r="AZ5" s="97"/>
      <c r="BB5" s="38">
        <v>3</v>
      </c>
      <c r="BC5" s="43" t="s">
        <v>252</v>
      </c>
      <c r="BD5" s="38">
        <f>SUMIFS($AZ:$AZ,$AY:$AY,BB5)</f>
        <v>40801</v>
      </c>
    </row>
    <row r="6" spans="1:56" x14ac:dyDescent="0.25">
      <c r="A6">
        <v>4</v>
      </c>
      <c r="B6">
        <v>1</v>
      </c>
      <c r="C6">
        <v>1</v>
      </c>
      <c r="D6">
        <f t="shared" si="0"/>
        <v>13</v>
      </c>
      <c r="E6" t="str">
        <f t="shared" si="1"/>
        <v/>
      </c>
      <c r="F6" t="str">
        <f t="shared" si="2"/>
        <v/>
      </c>
      <c r="G6">
        <f t="shared" si="3"/>
        <v>425</v>
      </c>
      <c r="H6" t="str">
        <f t="shared" si="4"/>
        <v/>
      </c>
      <c r="I6" t="str">
        <f t="shared" si="5"/>
        <v/>
      </c>
      <c r="J6">
        <f>SUM($G$3:I6)</f>
        <v>1250</v>
      </c>
      <c r="K6">
        <f t="shared" si="7"/>
        <v>130</v>
      </c>
      <c r="L6">
        <f t="shared" si="8"/>
        <v>1</v>
      </c>
      <c r="M6">
        <f t="shared" si="9"/>
        <v>1</v>
      </c>
      <c r="N6">
        <f t="shared" si="10"/>
        <v>250</v>
      </c>
      <c r="O6">
        <f t="shared" si="11"/>
        <v>130</v>
      </c>
      <c r="P6">
        <f t="shared" si="12"/>
        <v>0</v>
      </c>
      <c r="Q6">
        <f t="shared" si="13"/>
        <v>0</v>
      </c>
      <c r="S6" t="s">
        <v>132</v>
      </c>
      <c r="Y6" s="25">
        <v>4</v>
      </c>
      <c r="Z6" s="25">
        <v>70</v>
      </c>
      <c r="AA6" s="25">
        <v>300</v>
      </c>
      <c r="AB6" s="25">
        <v>150</v>
      </c>
      <c r="AC6" s="25">
        <v>4</v>
      </c>
      <c r="AD6" s="25">
        <v>10</v>
      </c>
      <c r="AE6" s="25">
        <v>5</v>
      </c>
      <c r="AF6" s="25">
        <v>3200</v>
      </c>
      <c r="AG6" s="25">
        <v>1000</v>
      </c>
      <c r="AH6" s="25">
        <v>1000</v>
      </c>
      <c r="AI6" s="25">
        <v>100</v>
      </c>
      <c r="AJ6" s="25">
        <v>40</v>
      </c>
      <c r="AK6" s="25">
        <v>50</v>
      </c>
      <c r="AP6" s="26">
        <v>40</v>
      </c>
      <c r="AQ6" s="27" t="s">
        <v>133</v>
      </c>
      <c r="AR6" s="28"/>
      <c r="AS6" s="27">
        <f t="shared" si="6"/>
        <v>50</v>
      </c>
      <c r="AV6" s="97">
        <v>40</v>
      </c>
      <c r="AW6" s="97">
        <v>1</v>
      </c>
      <c r="AX6" s="97"/>
      <c r="AY6" s="97">
        <v>3</v>
      </c>
      <c r="AZ6" s="97">
        <v>50</v>
      </c>
    </row>
    <row r="7" spans="1:56" x14ac:dyDescent="0.25">
      <c r="A7">
        <v>5</v>
      </c>
      <c r="B7">
        <v>1</v>
      </c>
      <c r="C7">
        <v>1</v>
      </c>
      <c r="D7">
        <f t="shared" si="0"/>
        <v>14</v>
      </c>
      <c r="E7" t="str">
        <f t="shared" si="1"/>
        <v/>
      </c>
      <c r="F7" t="str">
        <f t="shared" si="2"/>
        <v/>
      </c>
      <c r="G7">
        <f t="shared" si="3"/>
        <v>500</v>
      </c>
      <c r="H7" t="str">
        <f t="shared" si="4"/>
        <v/>
      </c>
      <c r="I7" t="str">
        <f t="shared" si="5"/>
        <v/>
      </c>
      <c r="J7">
        <f>SUM($G$3:I7)</f>
        <v>1750</v>
      </c>
      <c r="K7">
        <f t="shared" si="7"/>
        <v>140</v>
      </c>
      <c r="L7">
        <f t="shared" si="8"/>
        <v>1</v>
      </c>
      <c r="M7">
        <f t="shared" si="9"/>
        <v>1</v>
      </c>
      <c r="N7">
        <f t="shared" si="10"/>
        <v>350</v>
      </c>
      <c r="O7">
        <f t="shared" si="11"/>
        <v>140</v>
      </c>
      <c r="P7">
        <f t="shared" si="12"/>
        <v>0</v>
      </c>
      <c r="Q7">
        <f t="shared" si="13"/>
        <v>0</v>
      </c>
      <c r="S7" t="s">
        <v>134</v>
      </c>
      <c r="Y7" s="25">
        <v>5</v>
      </c>
      <c r="Z7" s="25">
        <v>110</v>
      </c>
      <c r="AA7" s="25">
        <v>400</v>
      </c>
      <c r="AB7" s="25">
        <v>200</v>
      </c>
      <c r="AC7" s="25">
        <v>5</v>
      </c>
      <c r="AD7" s="25">
        <v>10</v>
      </c>
      <c r="AE7" s="25">
        <v>5</v>
      </c>
      <c r="AF7" s="25">
        <v>4200</v>
      </c>
      <c r="AG7" s="25">
        <v>1400</v>
      </c>
      <c r="AH7" s="25">
        <v>1500</v>
      </c>
      <c r="AI7" s="25">
        <v>100</v>
      </c>
      <c r="AJ7" s="25">
        <v>47</v>
      </c>
      <c r="AK7" s="25">
        <v>50</v>
      </c>
      <c r="AP7" s="29">
        <v>50</v>
      </c>
      <c r="AQ7" s="30" t="s">
        <v>129</v>
      </c>
      <c r="AR7" s="31" t="s">
        <v>312</v>
      </c>
      <c r="AS7" s="30">
        <f t="shared" si="6"/>
        <v>50</v>
      </c>
      <c r="AV7" s="97">
        <v>50</v>
      </c>
      <c r="AW7" s="97">
        <v>2</v>
      </c>
      <c r="AX7" s="97"/>
      <c r="AY7" s="98">
        <v>16</v>
      </c>
      <c r="AZ7" s="97">
        <v>1</v>
      </c>
    </row>
    <row r="8" spans="1:56" x14ac:dyDescent="0.25">
      <c r="A8">
        <v>6</v>
      </c>
      <c r="B8">
        <v>1</v>
      </c>
      <c r="C8">
        <v>1</v>
      </c>
      <c r="D8">
        <f t="shared" si="0"/>
        <v>15</v>
      </c>
      <c r="E8" t="str">
        <f t="shared" si="1"/>
        <v/>
      </c>
      <c r="F8" t="str">
        <f t="shared" si="2"/>
        <v/>
      </c>
      <c r="G8">
        <f t="shared" si="3"/>
        <v>575</v>
      </c>
      <c r="H8" t="str">
        <f t="shared" si="4"/>
        <v/>
      </c>
      <c r="I8" t="str">
        <f t="shared" si="5"/>
        <v/>
      </c>
      <c r="J8">
        <f>SUM($G$3:I8)</f>
        <v>2325</v>
      </c>
      <c r="K8">
        <f t="shared" si="7"/>
        <v>150</v>
      </c>
      <c r="L8">
        <f t="shared" si="8"/>
        <v>1</v>
      </c>
      <c r="M8">
        <f t="shared" si="9"/>
        <v>1</v>
      </c>
      <c r="N8">
        <f t="shared" si="10"/>
        <v>465</v>
      </c>
      <c r="O8">
        <f>K8*L8*M8</f>
        <v>150</v>
      </c>
      <c r="P8">
        <f t="shared" si="12"/>
        <v>0</v>
      </c>
      <c r="Q8">
        <f t="shared" si="13"/>
        <v>0</v>
      </c>
      <c r="Y8" s="25">
        <v>6</v>
      </c>
      <c r="Z8" s="25">
        <v>160</v>
      </c>
      <c r="AA8" s="25">
        <v>500</v>
      </c>
      <c r="AB8" s="25">
        <v>250</v>
      </c>
      <c r="AC8" s="25">
        <v>6</v>
      </c>
      <c r="AD8" s="25">
        <v>10</v>
      </c>
      <c r="AE8" s="25">
        <v>5</v>
      </c>
      <c r="AF8" s="25">
        <v>5200</v>
      </c>
      <c r="AG8" s="25">
        <v>1867</v>
      </c>
      <c r="AH8" s="25">
        <v>2000</v>
      </c>
      <c r="AI8" s="25">
        <v>100</v>
      </c>
      <c r="AJ8" s="25">
        <v>53</v>
      </c>
      <c r="AK8" s="25">
        <v>50</v>
      </c>
      <c r="AP8" s="32">
        <v>60</v>
      </c>
      <c r="AQ8" s="33" t="s">
        <v>131</v>
      </c>
      <c r="AR8" s="34"/>
      <c r="AS8" s="33">
        <f t="shared" si="6"/>
        <v>50</v>
      </c>
      <c r="AV8" s="97">
        <v>60</v>
      </c>
      <c r="AW8" s="97">
        <v>4</v>
      </c>
      <c r="AX8" s="97" t="s">
        <v>279</v>
      </c>
      <c r="AY8" s="97"/>
      <c r="AZ8" s="97"/>
    </row>
    <row r="9" spans="1:56" x14ac:dyDescent="0.25">
      <c r="A9">
        <v>7</v>
      </c>
      <c r="B9">
        <v>1</v>
      </c>
      <c r="C9">
        <v>1</v>
      </c>
      <c r="D9">
        <f t="shared" si="0"/>
        <v>16</v>
      </c>
      <c r="E9" t="str">
        <f t="shared" si="1"/>
        <v/>
      </c>
      <c r="F9" t="str">
        <f t="shared" si="2"/>
        <v/>
      </c>
      <c r="G9">
        <f t="shared" si="3"/>
        <v>650</v>
      </c>
      <c r="H9" t="str">
        <f t="shared" si="4"/>
        <v/>
      </c>
      <c r="I9" t="str">
        <f t="shared" si="5"/>
        <v/>
      </c>
      <c r="J9">
        <f>SUM($G$3:I9)</f>
        <v>2975</v>
      </c>
      <c r="K9">
        <f t="shared" si="7"/>
        <v>160</v>
      </c>
      <c r="L9">
        <f t="shared" si="8"/>
        <v>1</v>
      </c>
      <c r="M9">
        <f t="shared" si="9"/>
        <v>1</v>
      </c>
      <c r="N9">
        <f t="shared" si="10"/>
        <v>595</v>
      </c>
      <c r="O9">
        <f t="shared" si="11"/>
        <v>160</v>
      </c>
      <c r="P9">
        <f t="shared" si="12"/>
        <v>0</v>
      </c>
      <c r="Q9">
        <f t="shared" si="13"/>
        <v>0</v>
      </c>
      <c r="Y9" s="25">
        <v>7</v>
      </c>
      <c r="Z9" s="25">
        <v>220</v>
      </c>
      <c r="AA9" s="25">
        <v>600</v>
      </c>
      <c r="AB9" s="25">
        <v>300</v>
      </c>
      <c r="AC9" s="25">
        <v>7</v>
      </c>
      <c r="AD9" s="25">
        <v>10</v>
      </c>
      <c r="AE9" s="25">
        <v>5</v>
      </c>
      <c r="AF9" s="25">
        <v>6200</v>
      </c>
      <c r="AG9" s="25">
        <v>2533</v>
      </c>
      <c r="AH9" s="25">
        <v>2500</v>
      </c>
      <c r="AI9" s="25">
        <v>100</v>
      </c>
      <c r="AJ9" s="25">
        <v>60</v>
      </c>
      <c r="AK9" s="25">
        <v>50</v>
      </c>
      <c r="AP9" s="26">
        <v>70</v>
      </c>
      <c r="AQ9" s="27" t="s">
        <v>135</v>
      </c>
      <c r="AR9" s="28"/>
      <c r="AS9" s="27">
        <f t="shared" si="6"/>
        <v>50</v>
      </c>
      <c r="AV9" s="97">
        <v>70</v>
      </c>
      <c r="AW9" s="97">
        <v>1</v>
      </c>
      <c r="AX9" s="97"/>
      <c r="AY9" s="97">
        <v>106</v>
      </c>
      <c r="AZ9" s="97">
        <v>5</v>
      </c>
    </row>
    <row r="10" spans="1:56" x14ac:dyDescent="0.25">
      <c r="A10">
        <v>8</v>
      </c>
      <c r="B10">
        <v>1</v>
      </c>
      <c r="C10">
        <v>1</v>
      </c>
      <c r="D10">
        <f t="shared" si="0"/>
        <v>17</v>
      </c>
      <c r="E10" t="str">
        <f t="shared" si="1"/>
        <v/>
      </c>
      <c r="F10" t="str">
        <f t="shared" si="2"/>
        <v/>
      </c>
      <c r="G10">
        <f t="shared" si="3"/>
        <v>725</v>
      </c>
      <c r="H10" t="str">
        <f t="shared" si="4"/>
        <v/>
      </c>
      <c r="I10" t="str">
        <f t="shared" si="5"/>
        <v/>
      </c>
      <c r="J10">
        <f>SUM($G$3:I10)</f>
        <v>3700</v>
      </c>
      <c r="K10">
        <f t="shared" si="7"/>
        <v>170</v>
      </c>
      <c r="L10">
        <f t="shared" si="8"/>
        <v>1</v>
      </c>
      <c r="M10">
        <f t="shared" si="9"/>
        <v>1</v>
      </c>
      <c r="N10">
        <f t="shared" si="10"/>
        <v>740</v>
      </c>
      <c r="O10">
        <f t="shared" si="11"/>
        <v>170</v>
      </c>
      <c r="P10">
        <f t="shared" si="12"/>
        <v>0</v>
      </c>
      <c r="Q10">
        <f t="shared" si="13"/>
        <v>0</v>
      </c>
      <c r="Y10" s="25">
        <v>8</v>
      </c>
      <c r="Z10" s="25">
        <v>290</v>
      </c>
      <c r="AA10" s="25">
        <v>700</v>
      </c>
      <c r="AB10" s="25">
        <v>350</v>
      </c>
      <c r="AC10" s="25">
        <v>8</v>
      </c>
      <c r="AD10" s="25">
        <v>10</v>
      </c>
      <c r="AE10" s="25">
        <v>5</v>
      </c>
      <c r="AF10" s="25">
        <v>7200</v>
      </c>
      <c r="AG10" s="25">
        <v>3333</v>
      </c>
      <c r="AH10" s="25">
        <v>3000</v>
      </c>
      <c r="AI10" s="25">
        <v>100</v>
      </c>
      <c r="AJ10" s="25">
        <v>67</v>
      </c>
      <c r="AK10" s="25">
        <v>50</v>
      </c>
      <c r="AP10" s="29">
        <v>80</v>
      </c>
      <c r="AQ10" s="30" t="s">
        <v>136</v>
      </c>
      <c r="AR10" s="31" t="s">
        <v>137</v>
      </c>
      <c r="AS10" s="30">
        <f t="shared" si="6"/>
        <v>50</v>
      </c>
      <c r="AV10" s="97">
        <v>80</v>
      </c>
      <c r="AW10" s="97">
        <v>3</v>
      </c>
      <c r="AX10" s="97"/>
      <c r="AY10" s="97">
        <v>99</v>
      </c>
      <c r="AZ10" s="97">
        <v>1</v>
      </c>
    </row>
    <row r="11" spans="1:56" x14ac:dyDescent="0.25">
      <c r="A11">
        <v>9</v>
      </c>
      <c r="B11">
        <v>1</v>
      </c>
      <c r="C11">
        <v>1</v>
      </c>
      <c r="D11">
        <f t="shared" si="0"/>
        <v>18</v>
      </c>
      <c r="E11" t="str">
        <f t="shared" si="1"/>
        <v/>
      </c>
      <c r="F11" t="str">
        <f t="shared" si="2"/>
        <v/>
      </c>
      <c r="G11">
        <f t="shared" si="3"/>
        <v>800</v>
      </c>
      <c r="H11" t="str">
        <f t="shared" si="4"/>
        <v/>
      </c>
      <c r="I11" t="str">
        <f t="shared" si="5"/>
        <v/>
      </c>
      <c r="J11">
        <f>SUM($G$3:I11)</f>
        <v>4500</v>
      </c>
      <c r="K11">
        <f t="shared" si="7"/>
        <v>180</v>
      </c>
      <c r="L11">
        <f t="shared" si="8"/>
        <v>1</v>
      </c>
      <c r="M11">
        <f t="shared" si="9"/>
        <v>1</v>
      </c>
      <c r="N11">
        <f t="shared" si="10"/>
        <v>900</v>
      </c>
      <c r="O11">
        <f t="shared" si="11"/>
        <v>180</v>
      </c>
      <c r="P11">
        <f t="shared" si="12"/>
        <v>0</v>
      </c>
      <c r="Q11">
        <f t="shared" si="13"/>
        <v>0</v>
      </c>
      <c r="Y11" s="25">
        <v>9</v>
      </c>
      <c r="Z11" s="25">
        <v>370</v>
      </c>
      <c r="AA11" s="25">
        <v>800</v>
      </c>
      <c r="AB11" s="25">
        <v>400</v>
      </c>
      <c r="AC11" s="25">
        <v>9</v>
      </c>
      <c r="AD11" s="25">
        <v>10</v>
      </c>
      <c r="AE11" s="25">
        <v>5</v>
      </c>
      <c r="AF11" s="25">
        <v>8200</v>
      </c>
      <c r="AG11" s="25">
        <v>4133</v>
      </c>
      <c r="AH11" s="25">
        <v>3500</v>
      </c>
      <c r="AI11" s="25">
        <v>100</v>
      </c>
      <c r="AJ11" s="25">
        <v>73</v>
      </c>
      <c r="AK11" s="25">
        <v>50</v>
      </c>
      <c r="AP11" s="32">
        <v>90</v>
      </c>
      <c r="AQ11" s="33" t="s">
        <v>131</v>
      </c>
      <c r="AR11" s="34"/>
      <c r="AS11" s="33">
        <f t="shared" si="6"/>
        <v>50</v>
      </c>
      <c r="AV11" s="97">
        <v>90</v>
      </c>
      <c r="AW11" s="97">
        <v>4</v>
      </c>
      <c r="AX11" s="97" t="s">
        <v>280</v>
      </c>
      <c r="AY11" s="97"/>
      <c r="AZ11" s="97"/>
    </row>
    <row r="12" spans="1:56" x14ac:dyDescent="0.25">
      <c r="A12">
        <v>10</v>
      </c>
      <c r="B12">
        <v>1</v>
      </c>
      <c r="C12">
        <v>1</v>
      </c>
      <c r="D12">
        <f t="shared" si="0"/>
        <v>19</v>
      </c>
      <c r="E12" t="str">
        <f t="shared" si="1"/>
        <v/>
      </c>
      <c r="F12" t="str">
        <f t="shared" si="2"/>
        <v/>
      </c>
      <c r="G12">
        <f t="shared" si="3"/>
        <v>875</v>
      </c>
      <c r="H12" t="str">
        <f t="shared" si="4"/>
        <v/>
      </c>
      <c r="I12" t="str">
        <f t="shared" si="5"/>
        <v/>
      </c>
      <c r="J12">
        <f>SUM($G$3:I12)</f>
        <v>5375</v>
      </c>
      <c r="K12">
        <f t="shared" si="7"/>
        <v>190</v>
      </c>
      <c r="L12">
        <f t="shared" si="8"/>
        <v>1</v>
      </c>
      <c r="M12">
        <f t="shared" si="9"/>
        <v>1</v>
      </c>
      <c r="N12">
        <f t="shared" si="10"/>
        <v>1075</v>
      </c>
      <c r="O12">
        <f t="shared" si="11"/>
        <v>190</v>
      </c>
      <c r="P12">
        <f t="shared" si="12"/>
        <v>0</v>
      </c>
      <c r="Q12">
        <f t="shared" si="13"/>
        <v>0</v>
      </c>
      <c r="T12" s="35"/>
      <c r="U12" s="35"/>
      <c r="Y12" s="25">
        <v>10</v>
      </c>
      <c r="Z12" s="25">
        <v>460</v>
      </c>
      <c r="AA12" s="25">
        <v>900</v>
      </c>
      <c r="AB12" s="25">
        <v>450</v>
      </c>
      <c r="AC12" s="25">
        <v>10</v>
      </c>
      <c r="AD12" s="25">
        <v>10</v>
      </c>
      <c r="AE12" s="25">
        <v>5</v>
      </c>
      <c r="AF12" s="25">
        <v>9200</v>
      </c>
      <c r="AG12" s="25">
        <v>5000</v>
      </c>
      <c r="AH12" s="25">
        <v>4000</v>
      </c>
      <c r="AI12" s="25">
        <v>100</v>
      </c>
      <c r="AJ12" s="25">
        <v>80</v>
      </c>
      <c r="AK12" s="25">
        <v>50</v>
      </c>
      <c r="AP12" s="26">
        <v>100</v>
      </c>
      <c r="AQ12" s="27" t="s">
        <v>138</v>
      </c>
      <c r="AR12" s="28"/>
      <c r="AS12" s="27">
        <f t="shared" si="6"/>
        <v>200</v>
      </c>
      <c r="AV12" s="97">
        <v>100</v>
      </c>
      <c r="AW12" s="97">
        <v>1</v>
      </c>
      <c r="AX12" s="97"/>
      <c r="AY12" s="97">
        <v>3</v>
      </c>
      <c r="AZ12" s="97">
        <v>150</v>
      </c>
      <c r="BB12" t="s">
        <v>428</v>
      </c>
      <c r="BC12" t="s">
        <v>31</v>
      </c>
      <c r="BD12">
        <v>7</v>
      </c>
    </row>
    <row r="13" spans="1:56" x14ac:dyDescent="0.25">
      <c r="A13">
        <v>11</v>
      </c>
      <c r="B13">
        <v>1</v>
      </c>
      <c r="C13">
        <v>2</v>
      </c>
      <c r="D13" t="str">
        <f t="shared" si="0"/>
        <v/>
      </c>
      <c r="E13">
        <f t="shared" si="1"/>
        <v>0</v>
      </c>
      <c r="F13" t="str">
        <f t="shared" si="2"/>
        <v/>
      </c>
      <c r="G13" t="str">
        <f t="shared" si="3"/>
        <v/>
      </c>
      <c r="H13">
        <f t="shared" si="4"/>
        <v>133</v>
      </c>
      <c r="I13" t="str">
        <f t="shared" si="5"/>
        <v/>
      </c>
      <c r="J13">
        <f>SUM($G$3:I13)</f>
        <v>5508</v>
      </c>
      <c r="K13">
        <f t="shared" si="7"/>
        <v>190</v>
      </c>
      <c r="L13">
        <f t="shared" si="8"/>
        <v>1</v>
      </c>
      <c r="M13">
        <f t="shared" si="9"/>
        <v>1</v>
      </c>
      <c r="N13">
        <f t="shared" si="10"/>
        <v>1101.6000000000001</v>
      </c>
      <c r="O13">
        <f t="shared" si="11"/>
        <v>190</v>
      </c>
      <c r="P13">
        <f t="shared" si="12"/>
        <v>0</v>
      </c>
      <c r="Q13">
        <f t="shared" si="13"/>
        <v>0</v>
      </c>
      <c r="X13" s="25"/>
      <c r="Y13" s="25">
        <v>11</v>
      </c>
      <c r="Z13" s="25">
        <v>560</v>
      </c>
      <c r="AA13" s="25">
        <v>1000</v>
      </c>
      <c r="AB13" s="25">
        <v>500</v>
      </c>
      <c r="AC13" s="25">
        <v>11</v>
      </c>
      <c r="AD13" s="25">
        <v>10</v>
      </c>
      <c r="AE13" s="25">
        <v>5</v>
      </c>
      <c r="AF13" s="25">
        <v>10200</v>
      </c>
      <c r="AG13" s="25">
        <v>5867</v>
      </c>
      <c r="AH13" s="25">
        <v>4500</v>
      </c>
      <c r="AI13" s="25">
        <v>100</v>
      </c>
      <c r="AJ13" s="25">
        <v>87</v>
      </c>
      <c r="AK13" s="25">
        <v>50</v>
      </c>
      <c r="AP13" s="29">
        <v>110</v>
      </c>
      <c r="AQ13" s="30" t="s">
        <v>129</v>
      </c>
      <c r="AR13" s="31" t="s">
        <v>313</v>
      </c>
      <c r="AS13" s="30">
        <f t="shared" si="6"/>
        <v>200</v>
      </c>
      <c r="AV13" s="97">
        <v>110</v>
      </c>
      <c r="AW13" s="97">
        <v>2</v>
      </c>
      <c r="AX13" s="97"/>
      <c r="AY13" s="99">
        <v>17</v>
      </c>
      <c r="AZ13" s="97">
        <v>1</v>
      </c>
      <c r="BB13" t="s">
        <v>210</v>
      </c>
      <c r="BC13" t="s">
        <v>26</v>
      </c>
      <c r="BD13">
        <v>15</v>
      </c>
    </row>
    <row r="14" spans="1:56" x14ac:dyDescent="0.25">
      <c r="A14">
        <v>12</v>
      </c>
      <c r="B14">
        <v>1</v>
      </c>
      <c r="C14">
        <v>2</v>
      </c>
      <c r="D14" t="str">
        <f t="shared" si="0"/>
        <v/>
      </c>
      <c r="E14">
        <f t="shared" si="1"/>
        <v>10</v>
      </c>
      <c r="F14" t="str">
        <f t="shared" si="2"/>
        <v/>
      </c>
      <c r="G14" t="str">
        <f t="shared" si="3"/>
        <v/>
      </c>
      <c r="H14">
        <f t="shared" si="4"/>
        <v>153</v>
      </c>
      <c r="I14" t="str">
        <f t="shared" si="5"/>
        <v/>
      </c>
      <c r="J14">
        <f>SUM($G$3:I14)</f>
        <v>5661</v>
      </c>
      <c r="K14">
        <f t="shared" si="7"/>
        <v>190</v>
      </c>
      <c r="L14">
        <f t="shared" si="8"/>
        <v>1.0009999999999999</v>
      </c>
      <c r="M14">
        <f t="shared" si="9"/>
        <v>1</v>
      </c>
      <c r="N14">
        <f t="shared" si="10"/>
        <v>1132.2</v>
      </c>
      <c r="O14">
        <f t="shared" si="11"/>
        <v>190.18999999999997</v>
      </c>
      <c r="P14">
        <f t="shared" si="12"/>
        <v>0</v>
      </c>
      <c r="Q14">
        <f t="shared" si="13"/>
        <v>0</v>
      </c>
      <c r="X14" s="25"/>
      <c r="Y14" s="25">
        <v>12</v>
      </c>
      <c r="Z14" s="25">
        <v>670</v>
      </c>
      <c r="AA14" s="25">
        <v>1100</v>
      </c>
      <c r="AB14" s="25">
        <v>550</v>
      </c>
      <c r="AC14" s="25">
        <v>12</v>
      </c>
      <c r="AD14" s="25">
        <v>10</v>
      </c>
      <c r="AE14" s="25">
        <v>5</v>
      </c>
      <c r="AF14" s="25">
        <v>11200</v>
      </c>
      <c r="AG14" s="25">
        <v>7000</v>
      </c>
      <c r="AH14" s="25">
        <v>5250</v>
      </c>
      <c r="AI14" s="25">
        <v>100</v>
      </c>
      <c r="AJ14" s="25">
        <v>93</v>
      </c>
      <c r="AK14" s="25">
        <v>100</v>
      </c>
      <c r="AP14" s="32">
        <v>120</v>
      </c>
      <c r="AQ14" s="33" t="s">
        <v>131</v>
      </c>
      <c r="AR14" s="34"/>
      <c r="AS14" s="33">
        <f t="shared" si="6"/>
        <v>200</v>
      </c>
      <c r="AV14" s="97">
        <v>120</v>
      </c>
      <c r="AW14" s="97">
        <v>4</v>
      </c>
      <c r="AX14" s="97" t="s">
        <v>281</v>
      </c>
      <c r="AY14" s="97"/>
      <c r="AZ14" s="97"/>
      <c r="BB14" t="s">
        <v>211</v>
      </c>
      <c r="BC14" t="s">
        <v>32</v>
      </c>
      <c r="BD14">
        <v>18</v>
      </c>
    </row>
    <row r="15" spans="1:56" x14ac:dyDescent="0.25">
      <c r="A15">
        <v>13</v>
      </c>
      <c r="B15">
        <v>1</v>
      </c>
      <c r="C15">
        <v>2</v>
      </c>
      <c r="D15" t="str">
        <f t="shared" si="0"/>
        <v/>
      </c>
      <c r="E15">
        <f t="shared" si="1"/>
        <v>20</v>
      </c>
      <c r="F15" t="str">
        <f t="shared" si="2"/>
        <v/>
      </c>
      <c r="G15" t="str">
        <f t="shared" si="3"/>
        <v/>
      </c>
      <c r="H15">
        <f t="shared" si="4"/>
        <v>173</v>
      </c>
      <c r="I15" t="str">
        <f t="shared" si="5"/>
        <v/>
      </c>
      <c r="J15">
        <f>SUM($G$3:I15)</f>
        <v>5834</v>
      </c>
      <c r="K15">
        <f t="shared" si="7"/>
        <v>190</v>
      </c>
      <c r="L15">
        <f t="shared" si="8"/>
        <v>1.002</v>
      </c>
      <c r="M15">
        <f t="shared" si="9"/>
        <v>1</v>
      </c>
      <c r="N15">
        <f t="shared" si="10"/>
        <v>1166.8</v>
      </c>
      <c r="O15">
        <f t="shared" si="11"/>
        <v>190.38</v>
      </c>
      <c r="P15">
        <f t="shared" si="12"/>
        <v>0</v>
      </c>
      <c r="Q15">
        <f t="shared" si="13"/>
        <v>0</v>
      </c>
      <c r="Y15" s="25">
        <v>13</v>
      </c>
      <c r="Z15" s="25">
        <v>790</v>
      </c>
      <c r="AA15" s="25">
        <v>1200</v>
      </c>
      <c r="AB15" s="25">
        <v>600</v>
      </c>
      <c r="AC15" s="25">
        <v>13</v>
      </c>
      <c r="AD15" s="25">
        <v>10</v>
      </c>
      <c r="AE15" s="25">
        <v>5</v>
      </c>
      <c r="AF15" s="25">
        <f t="shared" ref="AF15" si="14">AF14+(10*AI14)</f>
        <v>12200</v>
      </c>
      <c r="AG15" s="25">
        <v>7933</v>
      </c>
      <c r="AH15" s="25">
        <v>6250</v>
      </c>
      <c r="AI15" s="25">
        <v>150</v>
      </c>
      <c r="AJ15" s="25">
        <v>100</v>
      </c>
      <c r="AK15" s="25">
        <v>100</v>
      </c>
      <c r="AP15" s="26">
        <v>130</v>
      </c>
      <c r="AQ15" s="27" t="s">
        <v>139</v>
      </c>
      <c r="AR15" s="28"/>
      <c r="AS15" s="27">
        <f t="shared" si="6"/>
        <v>400</v>
      </c>
      <c r="AV15" s="97">
        <v>130</v>
      </c>
      <c r="AW15" s="97">
        <v>1</v>
      </c>
      <c r="AX15" s="97"/>
      <c r="AY15" s="97">
        <v>3</v>
      </c>
      <c r="AZ15" s="97">
        <v>200</v>
      </c>
      <c r="BB15" t="s">
        <v>429</v>
      </c>
      <c r="BC15" t="s">
        <v>34</v>
      </c>
      <c r="BD15">
        <v>10</v>
      </c>
    </row>
    <row r="16" spans="1:56" x14ac:dyDescent="0.25">
      <c r="A16">
        <v>14</v>
      </c>
      <c r="B16">
        <v>1</v>
      </c>
      <c r="C16">
        <v>2</v>
      </c>
      <c r="D16" t="str">
        <f t="shared" si="0"/>
        <v/>
      </c>
      <c r="E16">
        <f t="shared" si="1"/>
        <v>30</v>
      </c>
      <c r="F16" t="str">
        <f t="shared" si="2"/>
        <v/>
      </c>
      <c r="G16" t="str">
        <f t="shared" si="3"/>
        <v/>
      </c>
      <c r="H16">
        <f t="shared" si="4"/>
        <v>193</v>
      </c>
      <c r="I16" t="str">
        <f t="shared" si="5"/>
        <v/>
      </c>
      <c r="J16">
        <f>SUM($G$3:I16)</f>
        <v>6027</v>
      </c>
      <c r="K16">
        <f t="shared" si="7"/>
        <v>190</v>
      </c>
      <c r="L16">
        <f t="shared" si="8"/>
        <v>1.0029999999999999</v>
      </c>
      <c r="M16">
        <f t="shared" si="9"/>
        <v>1</v>
      </c>
      <c r="N16">
        <f t="shared" si="10"/>
        <v>1205.4000000000001</v>
      </c>
      <c r="O16">
        <f t="shared" si="11"/>
        <v>190.57</v>
      </c>
      <c r="P16">
        <f t="shared" si="12"/>
        <v>0</v>
      </c>
      <c r="Q16">
        <f t="shared" si="13"/>
        <v>0</v>
      </c>
      <c r="Y16" s="25">
        <v>14</v>
      </c>
      <c r="Z16" s="25">
        <v>920</v>
      </c>
      <c r="AA16" s="25">
        <v>1300</v>
      </c>
      <c r="AB16" s="25">
        <v>650</v>
      </c>
      <c r="AC16" s="25">
        <v>14</v>
      </c>
      <c r="AD16" s="25">
        <v>10</v>
      </c>
      <c r="AE16" s="25">
        <v>5</v>
      </c>
      <c r="AF16" s="25">
        <v>14800</v>
      </c>
      <c r="AG16" s="25">
        <v>9867</v>
      </c>
      <c r="AH16" s="25">
        <v>7400</v>
      </c>
      <c r="AI16" s="25">
        <v>160</v>
      </c>
      <c r="AJ16" s="25">
        <v>107</v>
      </c>
      <c r="AK16" s="25">
        <v>150</v>
      </c>
      <c r="AP16" s="29">
        <v>140</v>
      </c>
      <c r="AQ16" s="30" t="s">
        <v>140</v>
      </c>
      <c r="AR16" s="31" t="s">
        <v>141</v>
      </c>
      <c r="AS16" s="30">
        <f t="shared" si="6"/>
        <v>400</v>
      </c>
      <c r="AV16" s="100">
        <v>140</v>
      </c>
      <c r="AW16" s="100">
        <v>3</v>
      </c>
      <c r="AX16" s="100"/>
      <c r="AY16" s="100">
        <v>98</v>
      </c>
      <c r="AZ16" s="100">
        <v>1</v>
      </c>
      <c r="BB16" t="s">
        <v>430</v>
      </c>
      <c r="BC16" t="s">
        <v>23</v>
      </c>
      <c r="BD16">
        <v>14</v>
      </c>
    </row>
    <row r="17" spans="1:56" x14ac:dyDescent="0.25">
      <c r="A17">
        <v>15</v>
      </c>
      <c r="B17">
        <v>1</v>
      </c>
      <c r="C17">
        <v>2</v>
      </c>
      <c r="D17" t="str">
        <f t="shared" si="0"/>
        <v/>
      </c>
      <c r="E17">
        <f t="shared" si="1"/>
        <v>40</v>
      </c>
      <c r="F17" t="str">
        <f t="shared" si="2"/>
        <v/>
      </c>
      <c r="G17" t="str">
        <f t="shared" si="3"/>
        <v/>
      </c>
      <c r="H17">
        <f t="shared" si="4"/>
        <v>213</v>
      </c>
      <c r="I17" t="str">
        <f t="shared" si="5"/>
        <v/>
      </c>
      <c r="J17">
        <f>SUM($G$3:I17)</f>
        <v>6240</v>
      </c>
      <c r="K17">
        <f t="shared" si="7"/>
        <v>190</v>
      </c>
      <c r="L17">
        <f t="shared" si="8"/>
        <v>1.004</v>
      </c>
      <c r="M17">
        <f t="shared" si="9"/>
        <v>1</v>
      </c>
      <c r="N17">
        <f t="shared" si="10"/>
        <v>1248</v>
      </c>
      <c r="O17">
        <f t="shared" si="11"/>
        <v>190.76</v>
      </c>
      <c r="P17">
        <f t="shared" si="12"/>
        <v>0</v>
      </c>
      <c r="Q17">
        <f t="shared" si="13"/>
        <v>0</v>
      </c>
      <c r="T17" s="35"/>
      <c r="U17" s="35"/>
      <c r="Y17" s="25">
        <v>15</v>
      </c>
      <c r="Z17" s="56">
        <f>Z16+(AC16*10)</f>
        <v>1060</v>
      </c>
      <c r="AA17" s="25">
        <v>1400</v>
      </c>
      <c r="AB17" s="25">
        <v>700</v>
      </c>
      <c r="AC17" s="25">
        <v>15</v>
      </c>
      <c r="AD17" s="25">
        <v>10</v>
      </c>
      <c r="AE17" s="25">
        <v>5</v>
      </c>
      <c r="AF17" s="25">
        <v>17500</v>
      </c>
      <c r="AG17" s="25">
        <v>11667</v>
      </c>
      <c r="AH17" s="25">
        <v>8900</v>
      </c>
      <c r="AI17" s="25">
        <v>170</v>
      </c>
      <c r="AJ17" s="25">
        <v>113</v>
      </c>
      <c r="AK17" s="25">
        <v>150</v>
      </c>
      <c r="AP17" s="32">
        <v>150</v>
      </c>
      <c r="AQ17" s="33" t="s">
        <v>131</v>
      </c>
      <c r="AR17" s="34"/>
      <c r="AS17" s="33">
        <f t="shared" si="6"/>
        <v>400</v>
      </c>
      <c r="AV17" s="97">
        <v>150</v>
      </c>
      <c r="AW17" s="97">
        <v>4</v>
      </c>
      <c r="AX17" s="97" t="s">
        <v>282</v>
      </c>
      <c r="AY17" s="97"/>
      <c r="AZ17" s="97"/>
      <c r="BB17" t="s">
        <v>431</v>
      </c>
      <c r="BC17" t="s">
        <v>18</v>
      </c>
      <c r="BD17">
        <v>17</v>
      </c>
    </row>
    <row r="18" spans="1:56" x14ac:dyDescent="0.25">
      <c r="A18">
        <v>16</v>
      </c>
      <c r="B18">
        <v>1</v>
      </c>
      <c r="C18">
        <v>2</v>
      </c>
      <c r="D18" t="str">
        <f t="shared" si="0"/>
        <v/>
      </c>
      <c r="E18">
        <f t="shared" si="1"/>
        <v>50</v>
      </c>
      <c r="F18" t="str">
        <f t="shared" si="2"/>
        <v/>
      </c>
      <c r="G18" t="str">
        <f t="shared" si="3"/>
        <v/>
      </c>
      <c r="H18">
        <f t="shared" si="4"/>
        <v>233</v>
      </c>
      <c r="I18" t="str">
        <f t="shared" si="5"/>
        <v/>
      </c>
      <c r="J18">
        <f>SUM($G$3:I18)</f>
        <v>6473</v>
      </c>
      <c r="K18">
        <f t="shared" si="7"/>
        <v>190</v>
      </c>
      <c r="L18">
        <f t="shared" si="8"/>
        <v>1.0049999999999999</v>
      </c>
      <c r="M18">
        <f t="shared" si="9"/>
        <v>1</v>
      </c>
      <c r="N18">
        <f t="shared" si="10"/>
        <v>1294.6000000000001</v>
      </c>
      <c r="O18">
        <f t="shared" si="11"/>
        <v>190.95</v>
      </c>
      <c r="P18">
        <f t="shared" si="12"/>
        <v>0</v>
      </c>
      <c r="Q18">
        <f t="shared" si="13"/>
        <v>0</v>
      </c>
      <c r="Y18" s="25">
        <v>16</v>
      </c>
      <c r="Z18" s="56">
        <f t="shared" ref="Z18:Z45" si="15">Z17+(AC17*10)</f>
        <v>1210</v>
      </c>
      <c r="AA18" s="25">
        <v>1500</v>
      </c>
      <c r="AB18" s="25">
        <v>750</v>
      </c>
      <c r="AC18" s="25">
        <v>16</v>
      </c>
      <c r="AD18" s="25">
        <v>10</v>
      </c>
      <c r="AE18" s="25">
        <v>5</v>
      </c>
      <c r="AF18" s="25">
        <v>20500</v>
      </c>
      <c r="AG18" s="25">
        <v>13667</v>
      </c>
      <c r="AH18" s="25">
        <v>10400</v>
      </c>
      <c r="AI18" s="25">
        <v>180</v>
      </c>
      <c r="AJ18" s="25">
        <v>120</v>
      </c>
      <c r="AK18" s="25">
        <v>150</v>
      </c>
      <c r="AP18" s="26">
        <v>160</v>
      </c>
      <c r="AQ18" s="27" t="s">
        <v>142</v>
      </c>
      <c r="AR18" s="28"/>
      <c r="AS18" s="27">
        <f t="shared" si="6"/>
        <v>400</v>
      </c>
      <c r="AV18" s="97">
        <v>160</v>
      </c>
      <c r="AW18" s="97">
        <v>1</v>
      </c>
      <c r="AX18" s="97"/>
      <c r="AY18" s="97">
        <v>106</v>
      </c>
      <c r="AZ18" s="97">
        <v>10</v>
      </c>
      <c r="BB18" t="s">
        <v>432</v>
      </c>
      <c r="BC18" t="s">
        <v>37</v>
      </c>
      <c r="BD18">
        <v>8</v>
      </c>
    </row>
    <row r="19" spans="1:56" x14ac:dyDescent="0.25">
      <c r="A19">
        <v>17</v>
      </c>
      <c r="B19">
        <v>1</v>
      </c>
      <c r="C19">
        <v>2</v>
      </c>
      <c r="D19" t="str">
        <f t="shared" si="0"/>
        <v/>
      </c>
      <c r="E19">
        <f t="shared" si="1"/>
        <v>60</v>
      </c>
      <c r="F19" t="str">
        <f t="shared" si="2"/>
        <v/>
      </c>
      <c r="G19" t="str">
        <f t="shared" si="3"/>
        <v/>
      </c>
      <c r="H19">
        <f t="shared" si="4"/>
        <v>253</v>
      </c>
      <c r="I19" t="str">
        <f t="shared" si="5"/>
        <v/>
      </c>
      <c r="J19">
        <f>SUM($G$3:I19)</f>
        <v>6726</v>
      </c>
      <c r="K19">
        <f t="shared" si="7"/>
        <v>190</v>
      </c>
      <c r="L19">
        <f t="shared" si="8"/>
        <v>1.006</v>
      </c>
      <c r="M19">
        <f t="shared" si="9"/>
        <v>1</v>
      </c>
      <c r="N19">
        <f t="shared" si="10"/>
        <v>1345.2</v>
      </c>
      <c r="O19">
        <f t="shared" si="11"/>
        <v>191.14000000000001</v>
      </c>
      <c r="P19">
        <f t="shared" si="12"/>
        <v>0</v>
      </c>
      <c r="Q19">
        <f t="shared" si="13"/>
        <v>0</v>
      </c>
      <c r="Y19" s="25">
        <v>17</v>
      </c>
      <c r="Z19" s="56">
        <f t="shared" si="15"/>
        <v>1370</v>
      </c>
      <c r="AA19" s="25">
        <v>1600</v>
      </c>
      <c r="AB19" s="25">
        <v>800</v>
      </c>
      <c r="AC19" s="25">
        <v>17</v>
      </c>
      <c r="AD19" s="25">
        <v>10</v>
      </c>
      <c r="AE19" s="25">
        <v>5</v>
      </c>
      <c r="AF19" s="25">
        <v>24000</v>
      </c>
      <c r="AG19" s="25">
        <v>16000</v>
      </c>
      <c r="AH19" s="25">
        <v>11900</v>
      </c>
      <c r="AI19" s="25">
        <v>190</v>
      </c>
      <c r="AJ19" s="25">
        <v>127</v>
      </c>
      <c r="AK19" s="25">
        <v>150</v>
      </c>
      <c r="AP19" s="29">
        <v>170</v>
      </c>
      <c r="AQ19" s="30" t="s">
        <v>129</v>
      </c>
      <c r="AR19" s="31" t="s">
        <v>314</v>
      </c>
      <c r="AS19" s="30">
        <f t="shared" si="6"/>
        <v>400</v>
      </c>
      <c r="AV19" s="97">
        <v>170</v>
      </c>
      <c r="AW19" s="97">
        <v>2</v>
      </c>
      <c r="AX19" s="97"/>
      <c r="AY19" s="97">
        <v>18</v>
      </c>
      <c r="AZ19" s="97">
        <v>1</v>
      </c>
      <c r="BB19" t="s">
        <v>433</v>
      </c>
      <c r="BC19" t="s">
        <v>39</v>
      </c>
      <c r="BD19">
        <v>16</v>
      </c>
    </row>
    <row r="20" spans="1:56" x14ac:dyDescent="0.25">
      <c r="A20">
        <v>18</v>
      </c>
      <c r="B20">
        <v>1</v>
      </c>
      <c r="C20">
        <v>2</v>
      </c>
      <c r="D20" t="str">
        <f t="shared" si="0"/>
        <v/>
      </c>
      <c r="E20">
        <f t="shared" si="1"/>
        <v>70</v>
      </c>
      <c r="F20" t="str">
        <f t="shared" si="2"/>
        <v/>
      </c>
      <c r="G20" t="str">
        <f t="shared" si="3"/>
        <v/>
      </c>
      <c r="H20">
        <f t="shared" si="4"/>
        <v>273</v>
      </c>
      <c r="I20" t="str">
        <f t="shared" si="5"/>
        <v/>
      </c>
      <c r="J20">
        <f>SUM($G$3:I20)</f>
        <v>6999</v>
      </c>
      <c r="K20">
        <f t="shared" si="7"/>
        <v>190</v>
      </c>
      <c r="L20">
        <f t="shared" si="8"/>
        <v>1.0069999999999999</v>
      </c>
      <c r="M20">
        <f t="shared" si="9"/>
        <v>1</v>
      </c>
      <c r="N20">
        <f t="shared" si="10"/>
        <v>1399.8000000000002</v>
      </c>
      <c r="O20">
        <f t="shared" si="11"/>
        <v>191.32999999999998</v>
      </c>
      <c r="P20">
        <f t="shared" si="12"/>
        <v>0</v>
      </c>
      <c r="Q20">
        <f t="shared" si="13"/>
        <v>0</v>
      </c>
      <c r="Y20" s="25">
        <v>18</v>
      </c>
      <c r="Z20" s="56">
        <f t="shared" si="15"/>
        <v>1540</v>
      </c>
      <c r="AA20" s="25">
        <v>1700</v>
      </c>
      <c r="AB20" s="25">
        <v>850</v>
      </c>
      <c r="AC20" s="25">
        <v>18</v>
      </c>
      <c r="AD20" s="25">
        <v>10</v>
      </c>
      <c r="AE20" s="25">
        <v>5</v>
      </c>
      <c r="AF20" s="25">
        <v>28000</v>
      </c>
      <c r="AG20" s="25">
        <v>18667</v>
      </c>
      <c r="AH20" s="25">
        <v>13400</v>
      </c>
      <c r="AI20" s="25">
        <v>200</v>
      </c>
      <c r="AJ20" s="25">
        <v>133</v>
      </c>
      <c r="AK20" s="25">
        <v>150</v>
      </c>
      <c r="AP20" s="32">
        <v>180</v>
      </c>
      <c r="AQ20" s="33" t="s">
        <v>131</v>
      </c>
      <c r="AR20" s="34"/>
      <c r="AS20" s="33">
        <f t="shared" si="6"/>
        <v>400</v>
      </c>
      <c r="AV20" s="97">
        <v>180</v>
      </c>
      <c r="AW20" s="97">
        <v>4</v>
      </c>
      <c r="AX20" s="97" t="s">
        <v>283</v>
      </c>
      <c r="AY20" s="97"/>
      <c r="AZ20" s="97"/>
      <c r="BB20" s="181" t="s">
        <v>434</v>
      </c>
      <c r="BC20" t="s">
        <v>41</v>
      </c>
      <c r="BD20">
        <v>23</v>
      </c>
    </row>
    <row r="21" spans="1:56" x14ac:dyDescent="0.25">
      <c r="A21">
        <v>19</v>
      </c>
      <c r="B21">
        <v>1</v>
      </c>
      <c r="C21">
        <v>2</v>
      </c>
      <c r="D21" t="str">
        <f t="shared" si="0"/>
        <v/>
      </c>
      <c r="E21">
        <f t="shared" si="1"/>
        <v>80</v>
      </c>
      <c r="F21" t="str">
        <f t="shared" si="2"/>
        <v/>
      </c>
      <c r="G21" t="str">
        <f t="shared" si="3"/>
        <v/>
      </c>
      <c r="H21">
        <f t="shared" si="4"/>
        <v>293</v>
      </c>
      <c r="I21" t="str">
        <f t="shared" si="5"/>
        <v/>
      </c>
      <c r="J21">
        <f>SUM($G$3:I21)</f>
        <v>7292</v>
      </c>
      <c r="K21">
        <f t="shared" si="7"/>
        <v>190</v>
      </c>
      <c r="L21">
        <f t="shared" si="8"/>
        <v>1.008</v>
      </c>
      <c r="M21">
        <f t="shared" si="9"/>
        <v>1</v>
      </c>
      <c r="N21">
        <f t="shared" si="10"/>
        <v>1458.4</v>
      </c>
      <c r="O21">
        <f t="shared" si="11"/>
        <v>191.52</v>
      </c>
      <c r="P21">
        <f t="shared" si="12"/>
        <v>0</v>
      </c>
      <c r="Q21">
        <f t="shared" si="13"/>
        <v>0</v>
      </c>
      <c r="Y21" s="25">
        <v>19</v>
      </c>
      <c r="Z21" s="56">
        <f t="shared" si="15"/>
        <v>1720</v>
      </c>
      <c r="AA21" s="25">
        <v>1800</v>
      </c>
      <c r="AB21" s="25">
        <v>900</v>
      </c>
      <c r="AC21" s="25">
        <v>19</v>
      </c>
      <c r="AD21" s="25">
        <v>10</v>
      </c>
      <c r="AE21" s="25">
        <v>5</v>
      </c>
      <c r="AF21" s="25">
        <v>33500</v>
      </c>
      <c r="AG21" s="25">
        <v>22333</v>
      </c>
      <c r="AH21" s="25">
        <v>16750</v>
      </c>
      <c r="AI21" s="25">
        <v>210</v>
      </c>
      <c r="AJ21" s="25">
        <v>140</v>
      </c>
      <c r="AK21" s="25">
        <v>110</v>
      </c>
      <c r="AP21" s="26">
        <v>190</v>
      </c>
      <c r="AQ21" s="27" t="s">
        <v>143</v>
      </c>
      <c r="AR21" s="28"/>
      <c r="AS21" s="27">
        <f t="shared" si="6"/>
        <v>650</v>
      </c>
      <c r="AV21" s="97">
        <v>190</v>
      </c>
      <c r="AW21" s="97">
        <v>1</v>
      </c>
      <c r="AX21" s="97"/>
      <c r="AY21" s="97">
        <v>3</v>
      </c>
      <c r="AZ21" s="97">
        <v>250</v>
      </c>
    </row>
    <row r="22" spans="1:56" x14ac:dyDescent="0.25">
      <c r="A22">
        <v>20</v>
      </c>
      <c r="B22">
        <v>1</v>
      </c>
      <c r="C22">
        <v>2</v>
      </c>
      <c r="D22" t="str">
        <f t="shared" si="0"/>
        <v/>
      </c>
      <c r="E22">
        <f t="shared" si="1"/>
        <v>90</v>
      </c>
      <c r="F22" t="str">
        <f t="shared" si="2"/>
        <v/>
      </c>
      <c r="G22" t="str">
        <f t="shared" si="3"/>
        <v/>
      </c>
      <c r="H22">
        <f t="shared" si="4"/>
        <v>313</v>
      </c>
      <c r="I22" t="str">
        <f t="shared" si="5"/>
        <v/>
      </c>
      <c r="J22">
        <f>SUM($G$3:I22)</f>
        <v>7605</v>
      </c>
      <c r="K22">
        <f t="shared" si="7"/>
        <v>190</v>
      </c>
      <c r="L22">
        <f t="shared" si="8"/>
        <v>1.0089999999999999</v>
      </c>
      <c r="M22">
        <f t="shared" si="9"/>
        <v>1</v>
      </c>
      <c r="N22">
        <f t="shared" si="10"/>
        <v>1521</v>
      </c>
      <c r="O22">
        <f t="shared" si="11"/>
        <v>191.70999999999998</v>
      </c>
      <c r="P22">
        <f t="shared" si="12"/>
        <v>0</v>
      </c>
      <c r="Q22">
        <f t="shared" si="13"/>
        <v>0</v>
      </c>
      <c r="Y22" s="25">
        <v>20</v>
      </c>
      <c r="Z22" s="56">
        <f t="shared" si="15"/>
        <v>1910</v>
      </c>
      <c r="AA22" s="25">
        <v>1900</v>
      </c>
      <c r="AB22" s="25">
        <v>950</v>
      </c>
      <c r="AC22" s="25">
        <v>20</v>
      </c>
      <c r="AD22" s="25">
        <v>10</v>
      </c>
      <c r="AE22" s="25">
        <v>5</v>
      </c>
      <c r="AF22" s="25">
        <v>40000</v>
      </c>
      <c r="AG22" s="25">
        <v>26667</v>
      </c>
      <c r="AH22" s="25">
        <v>20000</v>
      </c>
      <c r="AI22" s="25">
        <v>220</v>
      </c>
      <c r="AJ22" s="25">
        <v>147</v>
      </c>
      <c r="AK22" s="25">
        <v>110</v>
      </c>
      <c r="AP22" s="29">
        <v>200</v>
      </c>
      <c r="AQ22" s="30" t="s">
        <v>136</v>
      </c>
      <c r="AR22" s="31" t="s">
        <v>137</v>
      </c>
      <c r="AS22" s="30">
        <f t="shared" si="6"/>
        <v>650</v>
      </c>
      <c r="AV22" s="97">
        <v>200</v>
      </c>
      <c r="AW22" s="97">
        <v>3</v>
      </c>
      <c r="AX22" s="97"/>
      <c r="AY22" s="97">
        <v>99</v>
      </c>
      <c r="AZ22" s="97">
        <v>1</v>
      </c>
    </row>
    <row r="23" spans="1:56" x14ac:dyDescent="0.25">
      <c r="A23">
        <v>21</v>
      </c>
      <c r="B23">
        <v>1</v>
      </c>
      <c r="C23">
        <v>3</v>
      </c>
      <c r="D23" t="str">
        <f t="shared" si="0"/>
        <v/>
      </c>
      <c r="E23" t="str">
        <f t="shared" si="1"/>
        <v/>
      </c>
      <c r="F23">
        <f t="shared" si="2"/>
        <v>0</v>
      </c>
      <c r="G23" t="str">
        <f t="shared" si="3"/>
        <v/>
      </c>
      <c r="H23" t="str">
        <f t="shared" si="4"/>
        <v/>
      </c>
      <c r="I23">
        <f t="shared" si="5"/>
        <v>100</v>
      </c>
      <c r="J23">
        <f>SUM($G$3:I23)</f>
        <v>7705</v>
      </c>
      <c r="K23">
        <f t="shared" si="7"/>
        <v>190</v>
      </c>
      <c r="L23">
        <f t="shared" si="8"/>
        <v>1.0089999999999999</v>
      </c>
      <c r="M23">
        <f t="shared" si="9"/>
        <v>1</v>
      </c>
      <c r="N23">
        <f t="shared" si="10"/>
        <v>1541</v>
      </c>
      <c r="O23">
        <f t="shared" si="11"/>
        <v>191.70999999999998</v>
      </c>
      <c r="P23">
        <f t="shared" si="12"/>
        <v>0</v>
      </c>
      <c r="Q23">
        <f t="shared" si="13"/>
        <v>0</v>
      </c>
      <c r="Y23" s="25">
        <v>21</v>
      </c>
      <c r="Z23" s="56">
        <f t="shared" si="15"/>
        <v>2110</v>
      </c>
      <c r="AA23" s="25">
        <v>2000</v>
      </c>
      <c r="AB23" s="25">
        <v>1000</v>
      </c>
      <c r="AC23" s="25">
        <v>21</v>
      </c>
      <c r="AD23" s="25">
        <v>10</v>
      </c>
      <c r="AE23" s="25">
        <v>5</v>
      </c>
      <c r="AF23" s="25">
        <v>42200</v>
      </c>
      <c r="AG23" s="25">
        <v>28133</v>
      </c>
      <c r="AH23" s="25">
        <v>21100</v>
      </c>
      <c r="AI23" s="25">
        <v>220</v>
      </c>
      <c r="AJ23" s="25">
        <v>147</v>
      </c>
      <c r="AK23" s="25">
        <v>110</v>
      </c>
      <c r="AP23" s="32">
        <v>210</v>
      </c>
      <c r="AQ23" s="33" t="s">
        <v>131</v>
      </c>
      <c r="AR23" s="34"/>
      <c r="AS23" s="33">
        <f t="shared" si="6"/>
        <v>650</v>
      </c>
      <c r="AV23" s="97">
        <v>210</v>
      </c>
      <c r="AW23" s="97">
        <v>4</v>
      </c>
      <c r="AX23" s="97" t="s">
        <v>284</v>
      </c>
      <c r="AY23" s="97"/>
      <c r="AZ23" s="97"/>
    </row>
    <row r="24" spans="1:56" x14ac:dyDescent="0.25">
      <c r="A24">
        <v>22</v>
      </c>
      <c r="B24">
        <v>1</v>
      </c>
      <c r="C24">
        <v>3</v>
      </c>
      <c r="D24" t="str">
        <f t="shared" si="0"/>
        <v/>
      </c>
      <c r="E24" t="str">
        <f t="shared" si="1"/>
        <v/>
      </c>
      <c r="F24">
        <f t="shared" si="2"/>
        <v>5</v>
      </c>
      <c r="G24" t="str">
        <f t="shared" si="3"/>
        <v/>
      </c>
      <c r="H24" t="str">
        <f t="shared" si="4"/>
        <v/>
      </c>
      <c r="I24">
        <f t="shared" si="5"/>
        <v>115</v>
      </c>
      <c r="J24">
        <f>SUM($G$3:I24)</f>
        <v>7820</v>
      </c>
      <c r="K24">
        <f t="shared" si="7"/>
        <v>190</v>
      </c>
      <c r="L24">
        <f t="shared" si="8"/>
        <v>1.0089999999999999</v>
      </c>
      <c r="M24">
        <f t="shared" si="9"/>
        <v>1.0004999999999999</v>
      </c>
      <c r="N24">
        <f t="shared" si="10"/>
        <v>1564</v>
      </c>
      <c r="O24">
        <f t="shared" si="11"/>
        <v>191.80585499999998</v>
      </c>
      <c r="P24">
        <f t="shared" si="12"/>
        <v>0</v>
      </c>
      <c r="Q24">
        <f t="shared" si="13"/>
        <v>0</v>
      </c>
      <c r="Y24" s="25">
        <v>22</v>
      </c>
      <c r="Z24" s="56">
        <f t="shared" si="15"/>
        <v>2320</v>
      </c>
      <c r="AA24" s="25">
        <v>2100</v>
      </c>
      <c r="AB24" s="25">
        <v>1050</v>
      </c>
      <c r="AC24" s="25">
        <v>22</v>
      </c>
      <c r="AD24" s="25">
        <v>10</v>
      </c>
      <c r="AE24" s="25">
        <v>5</v>
      </c>
      <c r="AF24" s="25">
        <f t="shared" ref="AF24:AF39" si="16">AF23+(10*AI23)</f>
        <v>44400</v>
      </c>
      <c r="AG24" s="25">
        <v>29600</v>
      </c>
      <c r="AH24" s="25">
        <v>22200</v>
      </c>
      <c r="AI24" s="25">
        <v>220</v>
      </c>
      <c r="AJ24" s="25">
        <v>147</v>
      </c>
      <c r="AK24" s="25">
        <v>110</v>
      </c>
      <c r="AP24" s="26">
        <v>220</v>
      </c>
      <c r="AQ24" s="27" t="s">
        <v>144</v>
      </c>
      <c r="AR24" s="28"/>
      <c r="AS24" s="27">
        <f t="shared" si="6"/>
        <v>950</v>
      </c>
      <c r="AV24" s="97">
        <v>220</v>
      </c>
      <c r="AW24" s="97">
        <v>1</v>
      </c>
      <c r="AX24" s="97"/>
      <c r="AY24" s="97">
        <v>3</v>
      </c>
      <c r="AZ24" s="97">
        <v>300</v>
      </c>
    </row>
    <row r="25" spans="1:56" x14ac:dyDescent="0.25">
      <c r="A25">
        <v>23</v>
      </c>
      <c r="B25">
        <v>1</v>
      </c>
      <c r="C25">
        <v>3</v>
      </c>
      <c r="D25" t="str">
        <f t="shared" si="0"/>
        <v/>
      </c>
      <c r="E25" t="str">
        <f t="shared" si="1"/>
        <v/>
      </c>
      <c r="F25">
        <f t="shared" si="2"/>
        <v>10</v>
      </c>
      <c r="G25" t="str">
        <f t="shared" si="3"/>
        <v/>
      </c>
      <c r="H25" t="str">
        <f t="shared" si="4"/>
        <v/>
      </c>
      <c r="I25">
        <f t="shared" si="5"/>
        <v>130</v>
      </c>
      <c r="J25">
        <f>SUM($G$3:I25)</f>
        <v>7950</v>
      </c>
      <c r="K25">
        <f t="shared" si="7"/>
        <v>190</v>
      </c>
      <c r="L25">
        <f t="shared" si="8"/>
        <v>1.0089999999999999</v>
      </c>
      <c r="M25">
        <f t="shared" si="9"/>
        <v>1.0009999999999999</v>
      </c>
      <c r="N25">
        <f t="shared" si="10"/>
        <v>1590</v>
      </c>
      <c r="O25">
        <f t="shared" si="11"/>
        <v>191.90170999999995</v>
      </c>
      <c r="P25">
        <f t="shared" si="12"/>
        <v>0</v>
      </c>
      <c r="Q25">
        <f t="shared" si="13"/>
        <v>0</v>
      </c>
      <c r="Y25" s="25">
        <v>23</v>
      </c>
      <c r="Z25" s="56">
        <f t="shared" si="15"/>
        <v>2540</v>
      </c>
      <c r="AA25" s="25">
        <v>2200</v>
      </c>
      <c r="AB25" s="25">
        <v>1100</v>
      </c>
      <c r="AC25" s="25">
        <v>23</v>
      </c>
      <c r="AD25" s="25">
        <v>10</v>
      </c>
      <c r="AE25" s="25">
        <v>5</v>
      </c>
      <c r="AF25" s="25">
        <f t="shared" si="16"/>
        <v>46600</v>
      </c>
      <c r="AG25" s="25">
        <v>31067</v>
      </c>
      <c r="AH25" s="25">
        <v>23300</v>
      </c>
      <c r="AI25" s="25">
        <v>220</v>
      </c>
      <c r="AJ25" s="25">
        <v>147</v>
      </c>
      <c r="AK25" s="25">
        <v>110</v>
      </c>
      <c r="AP25" s="29">
        <v>230</v>
      </c>
      <c r="AQ25" s="30" t="s">
        <v>129</v>
      </c>
      <c r="AR25" s="31" t="s">
        <v>315</v>
      </c>
      <c r="AS25" s="30">
        <f t="shared" si="6"/>
        <v>950</v>
      </c>
      <c r="AV25" s="97">
        <v>230</v>
      </c>
      <c r="AW25" s="97">
        <v>2</v>
      </c>
      <c r="AX25" s="97"/>
      <c r="AY25" s="97">
        <v>3</v>
      </c>
      <c r="AZ25" s="97">
        <v>1</v>
      </c>
    </row>
    <row r="26" spans="1:56" x14ac:dyDescent="0.25">
      <c r="A26">
        <v>24</v>
      </c>
      <c r="B26">
        <v>1</v>
      </c>
      <c r="C26">
        <v>3</v>
      </c>
      <c r="D26" t="str">
        <f t="shared" si="0"/>
        <v/>
      </c>
      <c r="E26" t="str">
        <f t="shared" si="1"/>
        <v/>
      </c>
      <c r="F26">
        <f t="shared" si="2"/>
        <v>15</v>
      </c>
      <c r="G26" t="str">
        <f t="shared" si="3"/>
        <v/>
      </c>
      <c r="H26" t="str">
        <f t="shared" si="4"/>
        <v/>
      </c>
      <c r="I26">
        <f t="shared" si="5"/>
        <v>145</v>
      </c>
      <c r="J26">
        <f>SUM($G$3:I26)</f>
        <v>8095</v>
      </c>
      <c r="K26">
        <f t="shared" si="7"/>
        <v>190</v>
      </c>
      <c r="L26">
        <f t="shared" si="8"/>
        <v>1.0089999999999999</v>
      </c>
      <c r="M26">
        <f t="shared" si="9"/>
        <v>1.0015000000000001</v>
      </c>
      <c r="N26">
        <f t="shared" si="10"/>
        <v>1619</v>
      </c>
      <c r="O26">
        <f t="shared" si="11"/>
        <v>191.99756499999998</v>
      </c>
      <c r="P26">
        <f t="shared" si="12"/>
        <v>0</v>
      </c>
      <c r="Q26">
        <f t="shared" si="13"/>
        <v>0</v>
      </c>
      <c r="Y26" s="25">
        <v>24</v>
      </c>
      <c r="Z26" s="56">
        <f t="shared" si="15"/>
        <v>2770</v>
      </c>
      <c r="AA26" s="25">
        <v>2300</v>
      </c>
      <c r="AB26" s="25">
        <v>1150</v>
      </c>
      <c r="AC26" s="25">
        <v>24</v>
      </c>
      <c r="AD26" s="25">
        <v>10</v>
      </c>
      <c r="AE26" s="25">
        <v>5</v>
      </c>
      <c r="AF26" s="25">
        <f t="shared" si="16"/>
        <v>48800</v>
      </c>
      <c r="AG26" s="25">
        <v>32533</v>
      </c>
      <c r="AH26" s="25">
        <v>24400</v>
      </c>
      <c r="AI26" s="25">
        <v>220</v>
      </c>
      <c r="AJ26" s="25">
        <v>147</v>
      </c>
      <c r="AK26" s="25">
        <v>110</v>
      </c>
      <c r="AP26" s="32">
        <v>240</v>
      </c>
      <c r="AQ26" s="33" t="s">
        <v>131</v>
      </c>
      <c r="AR26" s="34"/>
      <c r="AS26" s="33">
        <f t="shared" si="6"/>
        <v>950</v>
      </c>
      <c r="AV26" s="97">
        <v>240</v>
      </c>
      <c r="AW26" s="97">
        <v>4</v>
      </c>
      <c r="AX26" s="97" t="s">
        <v>285</v>
      </c>
      <c r="AY26" s="97"/>
      <c r="AZ26" s="97"/>
    </row>
    <row r="27" spans="1:56" x14ac:dyDescent="0.25">
      <c r="A27">
        <v>25</v>
      </c>
      <c r="B27">
        <v>1</v>
      </c>
      <c r="C27">
        <v>3</v>
      </c>
      <c r="D27" t="str">
        <f t="shared" si="0"/>
        <v/>
      </c>
      <c r="E27" t="str">
        <f t="shared" si="1"/>
        <v/>
      </c>
      <c r="F27">
        <f t="shared" si="2"/>
        <v>20</v>
      </c>
      <c r="G27" t="str">
        <f t="shared" si="3"/>
        <v/>
      </c>
      <c r="H27" t="str">
        <f t="shared" si="4"/>
        <v/>
      </c>
      <c r="I27">
        <f t="shared" si="5"/>
        <v>160</v>
      </c>
      <c r="J27">
        <f>SUM($G$3:I27)</f>
        <v>8255</v>
      </c>
      <c r="K27">
        <f t="shared" si="7"/>
        <v>190</v>
      </c>
      <c r="L27">
        <f t="shared" si="8"/>
        <v>1.0089999999999999</v>
      </c>
      <c r="M27">
        <f t="shared" si="9"/>
        <v>1.002</v>
      </c>
      <c r="N27">
        <f t="shared" si="10"/>
        <v>1651</v>
      </c>
      <c r="O27">
        <f t="shared" si="11"/>
        <v>192.09341999999998</v>
      </c>
      <c r="P27">
        <f t="shared" si="12"/>
        <v>0</v>
      </c>
      <c r="Q27">
        <f t="shared" si="13"/>
        <v>0</v>
      </c>
      <c r="Y27" s="25">
        <v>25</v>
      </c>
      <c r="Z27" s="56">
        <f t="shared" si="15"/>
        <v>3010</v>
      </c>
      <c r="AA27" s="25">
        <v>2400</v>
      </c>
      <c r="AB27" s="25">
        <v>1200</v>
      </c>
      <c r="AC27" s="25">
        <v>25</v>
      </c>
      <c r="AD27" s="25">
        <v>10</v>
      </c>
      <c r="AE27" s="25">
        <v>5</v>
      </c>
      <c r="AF27" s="25">
        <f t="shared" si="16"/>
        <v>51000</v>
      </c>
      <c r="AG27" s="25">
        <v>34000</v>
      </c>
      <c r="AH27" s="25">
        <v>25500</v>
      </c>
      <c r="AI27" s="25">
        <v>220</v>
      </c>
      <c r="AJ27" s="25">
        <v>147</v>
      </c>
      <c r="AK27" s="25">
        <v>110</v>
      </c>
      <c r="AP27" s="26">
        <v>250</v>
      </c>
      <c r="AQ27" s="27" t="s">
        <v>145</v>
      </c>
      <c r="AR27" s="28"/>
      <c r="AS27" s="27">
        <f t="shared" si="6"/>
        <v>1300</v>
      </c>
      <c r="AV27" s="97">
        <v>250</v>
      </c>
      <c r="AW27" s="97">
        <v>1</v>
      </c>
      <c r="AX27" s="97"/>
      <c r="AY27" s="97">
        <v>3</v>
      </c>
      <c r="AZ27" s="97">
        <v>350</v>
      </c>
    </row>
    <row r="28" spans="1:56" x14ac:dyDescent="0.25">
      <c r="A28">
        <v>26</v>
      </c>
      <c r="B28">
        <v>1</v>
      </c>
      <c r="C28">
        <v>3</v>
      </c>
      <c r="D28" t="str">
        <f t="shared" si="0"/>
        <v/>
      </c>
      <c r="E28" t="str">
        <f t="shared" si="1"/>
        <v/>
      </c>
      <c r="F28">
        <f t="shared" si="2"/>
        <v>25</v>
      </c>
      <c r="G28" t="str">
        <f t="shared" si="3"/>
        <v/>
      </c>
      <c r="H28" t="str">
        <f t="shared" si="4"/>
        <v/>
      </c>
      <c r="I28">
        <f t="shared" si="5"/>
        <v>175</v>
      </c>
      <c r="J28">
        <f>SUM($G$3:I28)</f>
        <v>8430</v>
      </c>
      <c r="K28">
        <f t="shared" si="7"/>
        <v>190</v>
      </c>
      <c r="L28">
        <f t="shared" si="8"/>
        <v>1.0089999999999999</v>
      </c>
      <c r="M28">
        <f t="shared" si="9"/>
        <v>1.0024999999999999</v>
      </c>
      <c r="N28">
        <f t="shared" si="10"/>
        <v>1686</v>
      </c>
      <c r="O28">
        <f t="shared" si="11"/>
        <v>192.18927499999998</v>
      </c>
      <c r="P28">
        <f t="shared" si="12"/>
        <v>0</v>
      </c>
      <c r="Q28">
        <f t="shared" si="13"/>
        <v>0</v>
      </c>
      <c r="Y28" s="25">
        <v>26</v>
      </c>
      <c r="Z28" s="56">
        <f t="shared" si="15"/>
        <v>3260</v>
      </c>
      <c r="AA28" s="25">
        <v>2500</v>
      </c>
      <c r="AB28" s="25">
        <v>1250</v>
      </c>
      <c r="AC28" s="25">
        <v>26</v>
      </c>
      <c r="AD28" s="25">
        <v>10</v>
      </c>
      <c r="AE28" s="25">
        <v>5</v>
      </c>
      <c r="AF28" s="25">
        <f t="shared" si="16"/>
        <v>53200</v>
      </c>
      <c r="AG28" s="25">
        <v>35467</v>
      </c>
      <c r="AH28" s="25">
        <v>26600</v>
      </c>
      <c r="AI28" s="25">
        <v>220</v>
      </c>
      <c r="AJ28" s="25">
        <v>147</v>
      </c>
      <c r="AK28" s="25">
        <v>110</v>
      </c>
      <c r="AP28" s="29">
        <v>260</v>
      </c>
      <c r="AQ28" s="30" t="s">
        <v>146</v>
      </c>
      <c r="AR28" s="31" t="s">
        <v>141</v>
      </c>
      <c r="AS28" s="30">
        <f t="shared" si="6"/>
        <v>1300</v>
      </c>
      <c r="AV28" s="97">
        <v>260</v>
      </c>
      <c r="AW28" s="97">
        <v>3</v>
      </c>
      <c r="AX28" s="97"/>
      <c r="AY28" s="97">
        <v>98</v>
      </c>
      <c r="AZ28" s="97">
        <v>1</v>
      </c>
    </row>
    <row r="29" spans="1:56" x14ac:dyDescent="0.25">
      <c r="A29">
        <v>27</v>
      </c>
      <c r="B29">
        <v>1</v>
      </c>
      <c r="C29">
        <v>3</v>
      </c>
      <c r="D29" t="str">
        <f t="shared" si="0"/>
        <v/>
      </c>
      <c r="E29" t="str">
        <f t="shared" si="1"/>
        <v/>
      </c>
      <c r="F29">
        <f t="shared" si="2"/>
        <v>30</v>
      </c>
      <c r="G29" t="str">
        <f t="shared" si="3"/>
        <v/>
      </c>
      <c r="H29" t="str">
        <f t="shared" si="4"/>
        <v/>
      </c>
      <c r="I29">
        <f t="shared" si="5"/>
        <v>190</v>
      </c>
      <c r="J29">
        <f>SUM($G$3:I29)</f>
        <v>8620</v>
      </c>
      <c r="K29">
        <f t="shared" si="7"/>
        <v>190</v>
      </c>
      <c r="L29">
        <f t="shared" si="8"/>
        <v>1.0089999999999999</v>
      </c>
      <c r="M29">
        <f t="shared" si="9"/>
        <v>1.0029999999999999</v>
      </c>
      <c r="N29">
        <f t="shared" si="10"/>
        <v>1724</v>
      </c>
      <c r="O29">
        <f t="shared" si="11"/>
        <v>192.28512999999995</v>
      </c>
      <c r="P29">
        <f t="shared" si="12"/>
        <v>0</v>
      </c>
      <c r="Q29">
        <f t="shared" si="13"/>
        <v>0</v>
      </c>
      <c r="Y29" s="25">
        <v>27</v>
      </c>
      <c r="Z29" s="56">
        <f t="shared" si="15"/>
        <v>3520</v>
      </c>
      <c r="AA29" s="25">
        <v>2600</v>
      </c>
      <c r="AB29" s="25">
        <v>1300</v>
      </c>
      <c r="AC29" s="25">
        <v>27</v>
      </c>
      <c r="AD29" s="25">
        <v>10</v>
      </c>
      <c r="AE29" s="25">
        <v>5</v>
      </c>
      <c r="AF29" s="25">
        <f t="shared" si="16"/>
        <v>55400</v>
      </c>
      <c r="AG29" s="25">
        <v>36933</v>
      </c>
      <c r="AH29" s="25">
        <v>27700</v>
      </c>
      <c r="AI29" s="25">
        <v>220</v>
      </c>
      <c r="AJ29" s="25">
        <v>147</v>
      </c>
      <c r="AK29" s="25">
        <v>110</v>
      </c>
      <c r="AP29" s="32">
        <v>270</v>
      </c>
      <c r="AQ29" s="33" t="s">
        <v>131</v>
      </c>
      <c r="AR29" s="34"/>
      <c r="AS29" s="33">
        <f t="shared" si="6"/>
        <v>1300</v>
      </c>
      <c r="AV29" s="97">
        <v>270</v>
      </c>
      <c r="AW29" s="97">
        <v>4</v>
      </c>
      <c r="AX29" s="97" t="s">
        <v>286</v>
      </c>
      <c r="AY29" s="97"/>
      <c r="AZ29" s="97"/>
    </row>
    <row r="30" spans="1:56" x14ac:dyDescent="0.25">
      <c r="A30">
        <v>28</v>
      </c>
      <c r="B30">
        <v>1</v>
      </c>
      <c r="C30">
        <v>3</v>
      </c>
      <c r="D30" t="str">
        <f t="shared" si="0"/>
        <v/>
      </c>
      <c r="E30" t="str">
        <f t="shared" si="1"/>
        <v/>
      </c>
      <c r="F30">
        <f t="shared" si="2"/>
        <v>35</v>
      </c>
      <c r="G30" t="str">
        <f t="shared" si="3"/>
        <v/>
      </c>
      <c r="H30" t="str">
        <f t="shared" si="4"/>
        <v/>
      </c>
      <c r="I30">
        <f t="shared" si="5"/>
        <v>205</v>
      </c>
      <c r="J30">
        <f>SUM($G$3:I30)</f>
        <v>8825</v>
      </c>
      <c r="K30">
        <f t="shared" si="7"/>
        <v>190</v>
      </c>
      <c r="L30">
        <f t="shared" si="8"/>
        <v>1.0089999999999999</v>
      </c>
      <c r="M30">
        <f t="shared" si="9"/>
        <v>1.0035000000000001</v>
      </c>
      <c r="N30">
        <f t="shared" si="10"/>
        <v>1765</v>
      </c>
      <c r="O30">
        <f t="shared" si="11"/>
        <v>192.38098499999998</v>
      </c>
      <c r="P30">
        <f t="shared" si="12"/>
        <v>0</v>
      </c>
      <c r="Q30">
        <f t="shared" si="13"/>
        <v>0</v>
      </c>
      <c r="Y30" s="25">
        <v>28</v>
      </c>
      <c r="Z30" s="56">
        <f t="shared" si="15"/>
        <v>3790</v>
      </c>
      <c r="AA30" s="25">
        <v>2700</v>
      </c>
      <c r="AB30" s="25">
        <v>1350</v>
      </c>
      <c r="AC30" s="25">
        <v>28</v>
      </c>
      <c r="AD30" s="25">
        <v>10</v>
      </c>
      <c r="AE30" s="25">
        <v>5</v>
      </c>
      <c r="AF30" s="25">
        <f t="shared" si="16"/>
        <v>57600</v>
      </c>
      <c r="AG30" s="25">
        <v>38400</v>
      </c>
      <c r="AH30" s="25">
        <v>28800</v>
      </c>
      <c r="AI30" s="25">
        <v>220</v>
      </c>
      <c r="AJ30" s="25">
        <v>147</v>
      </c>
      <c r="AK30" s="25">
        <v>110</v>
      </c>
      <c r="AP30" s="26">
        <v>280</v>
      </c>
      <c r="AQ30" s="27" t="s">
        <v>147</v>
      </c>
      <c r="AR30" s="28"/>
      <c r="AS30" s="27">
        <f t="shared" si="6"/>
        <v>1700</v>
      </c>
      <c r="AV30" s="97">
        <v>280</v>
      </c>
      <c r="AW30" s="97">
        <v>1</v>
      </c>
      <c r="AX30" s="97"/>
      <c r="AY30" s="97">
        <v>3</v>
      </c>
      <c r="AZ30" s="97">
        <v>400</v>
      </c>
    </row>
    <row r="31" spans="1:56" x14ac:dyDescent="0.25">
      <c r="A31">
        <v>29</v>
      </c>
      <c r="B31">
        <v>1</v>
      </c>
      <c r="C31">
        <v>3</v>
      </c>
      <c r="D31" t="str">
        <f t="shared" si="0"/>
        <v/>
      </c>
      <c r="E31" t="str">
        <f t="shared" si="1"/>
        <v/>
      </c>
      <c r="F31">
        <f t="shared" si="2"/>
        <v>40</v>
      </c>
      <c r="G31" t="str">
        <f t="shared" si="3"/>
        <v/>
      </c>
      <c r="H31" t="str">
        <f t="shared" si="4"/>
        <v/>
      </c>
      <c r="I31">
        <f t="shared" si="5"/>
        <v>220</v>
      </c>
      <c r="J31">
        <f>SUM($G$3:I31)</f>
        <v>9045</v>
      </c>
      <c r="K31">
        <f t="shared" si="7"/>
        <v>190</v>
      </c>
      <c r="L31">
        <f t="shared" si="8"/>
        <v>1.0089999999999999</v>
      </c>
      <c r="M31">
        <f t="shared" si="9"/>
        <v>1.004</v>
      </c>
      <c r="N31">
        <f t="shared" si="10"/>
        <v>1809</v>
      </c>
      <c r="O31">
        <f t="shared" si="11"/>
        <v>192.47683999999998</v>
      </c>
      <c r="P31">
        <f t="shared" si="12"/>
        <v>0</v>
      </c>
      <c r="Q31">
        <f t="shared" si="13"/>
        <v>0</v>
      </c>
      <c r="Y31" s="25">
        <v>29</v>
      </c>
      <c r="Z31" s="56">
        <f t="shared" si="15"/>
        <v>4070</v>
      </c>
      <c r="AA31" s="25">
        <v>2800</v>
      </c>
      <c r="AB31" s="25">
        <v>1400</v>
      </c>
      <c r="AC31" s="25">
        <v>29</v>
      </c>
      <c r="AD31" s="25">
        <v>10</v>
      </c>
      <c r="AE31" s="25">
        <v>5</v>
      </c>
      <c r="AF31" s="25">
        <f t="shared" si="16"/>
        <v>59800</v>
      </c>
      <c r="AG31" s="25">
        <v>39867</v>
      </c>
      <c r="AH31" s="25">
        <v>29900</v>
      </c>
      <c r="AI31" s="25">
        <v>220</v>
      </c>
      <c r="AJ31" s="25">
        <v>147</v>
      </c>
      <c r="AK31" s="25">
        <v>110</v>
      </c>
      <c r="AP31" s="29">
        <v>290</v>
      </c>
      <c r="AQ31" s="30"/>
      <c r="AR31" s="31" t="s">
        <v>141</v>
      </c>
      <c r="AS31" s="30">
        <f t="shared" si="6"/>
        <v>1700</v>
      </c>
      <c r="AV31" s="97">
        <v>290</v>
      </c>
      <c r="AW31" s="97">
        <v>3</v>
      </c>
      <c r="AX31" s="97"/>
      <c r="AY31" s="100">
        <v>98</v>
      </c>
      <c r="AZ31" s="100">
        <v>1</v>
      </c>
    </row>
    <row r="32" spans="1:56" x14ac:dyDescent="0.25">
      <c r="A32">
        <v>30</v>
      </c>
      <c r="B32">
        <v>1</v>
      </c>
      <c r="C32">
        <v>3</v>
      </c>
      <c r="D32" t="str">
        <f t="shared" si="0"/>
        <v/>
      </c>
      <c r="E32" t="str">
        <f t="shared" si="1"/>
        <v/>
      </c>
      <c r="F32">
        <f t="shared" si="2"/>
        <v>45</v>
      </c>
      <c r="G32" t="str">
        <f t="shared" si="3"/>
        <v/>
      </c>
      <c r="H32" t="str">
        <f t="shared" si="4"/>
        <v/>
      </c>
      <c r="I32">
        <f t="shared" si="5"/>
        <v>235</v>
      </c>
      <c r="J32">
        <f>SUM($G$3:I32)</f>
        <v>9280</v>
      </c>
      <c r="K32">
        <f t="shared" si="7"/>
        <v>190</v>
      </c>
      <c r="L32">
        <f t="shared" si="8"/>
        <v>1.0089999999999999</v>
      </c>
      <c r="M32">
        <f t="shared" si="9"/>
        <v>1.0044999999999999</v>
      </c>
      <c r="N32">
        <f t="shared" si="10"/>
        <v>1856</v>
      </c>
      <c r="O32">
        <f t="shared" si="11"/>
        <v>192.57269499999998</v>
      </c>
      <c r="P32">
        <f t="shared" si="12"/>
        <v>0</v>
      </c>
      <c r="Q32">
        <f t="shared" si="13"/>
        <v>0</v>
      </c>
      <c r="Y32" s="25">
        <v>30</v>
      </c>
      <c r="Z32" s="56">
        <f t="shared" si="15"/>
        <v>4360</v>
      </c>
      <c r="AA32" s="25">
        <v>2900</v>
      </c>
      <c r="AB32" s="25">
        <v>1450</v>
      </c>
      <c r="AC32" s="25">
        <v>30</v>
      </c>
      <c r="AD32" s="25">
        <v>10</v>
      </c>
      <c r="AE32" s="25">
        <v>5</v>
      </c>
      <c r="AF32" s="25">
        <f t="shared" si="16"/>
        <v>62000</v>
      </c>
      <c r="AG32" s="25">
        <v>41333</v>
      </c>
      <c r="AH32" s="25">
        <v>31000</v>
      </c>
      <c r="AI32" s="25">
        <v>220</v>
      </c>
      <c r="AJ32" s="25">
        <v>147</v>
      </c>
      <c r="AK32" s="25">
        <v>110</v>
      </c>
      <c r="AP32" s="32">
        <v>300</v>
      </c>
      <c r="AQ32" s="33" t="s">
        <v>131</v>
      </c>
      <c r="AR32" s="34"/>
      <c r="AS32" s="33">
        <f t="shared" si="6"/>
        <v>1700</v>
      </c>
      <c r="AV32" s="97">
        <v>300</v>
      </c>
      <c r="AW32" s="97">
        <v>4</v>
      </c>
      <c r="AX32" s="97" t="s">
        <v>287</v>
      </c>
      <c r="AY32" s="97"/>
      <c r="AZ32" s="97"/>
    </row>
    <row r="33" spans="1:52" x14ac:dyDescent="0.25">
      <c r="A33">
        <v>31</v>
      </c>
      <c r="B33">
        <f>B3+1</f>
        <v>2</v>
      </c>
      <c r="C33">
        <f>C3</f>
        <v>1</v>
      </c>
      <c r="D33">
        <f t="shared" si="0"/>
        <v>20</v>
      </c>
      <c r="E33" t="str">
        <f t="shared" si="1"/>
        <v/>
      </c>
      <c r="F33" t="str">
        <f t="shared" si="2"/>
        <v/>
      </c>
      <c r="G33">
        <f t="shared" si="3"/>
        <v>1000</v>
      </c>
      <c r="H33" t="str">
        <f t="shared" si="4"/>
        <v/>
      </c>
      <c r="I33" t="str">
        <f t="shared" si="5"/>
        <v/>
      </c>
      <c r="J33">
        <f>SUM($G$3:I33)</f>
        <v>10280</v>
      </c>
      <c r="K33">
        <f t="shared" si="7"/>
        <v>200</v>
      </c>
      <c r="L33">
        <f t="shared" si="8"/>
        <v>1.0089999999999999</v>
      </c>
      <c r="M33">
        <f t="shared" si="9"/>
        <v>1.0044999999999999</v>
      </c>
      <c r="N33">
        <f t="shared" si="10"/>
        <v>2056</v>
      </c>
      <c r="O33">
        <f t="shared" si="11"/>
        <v>202.70809999999997</v>
      </c>
      <c r="P33">
        <f t="shared" si="12"/>
        <v>0</v>
      </c>
      <c r="Q33">
        <f t="shared" si="13"/>
        <v>0</v>
      </c>
      <c r="Y33" s="25">
        <v>31</v>
      </c>
      <c r="Z33" s="56">
        <f t="shared" si="15"/>
        <v>4660</v>
      </c>
      <c r="AA33" s="25">
        <v>3000</v>
      </c>
      <c r="AB33" s="25">
        <v>1500</v>
      </c>
      <c r="AC33" s="25">
        <v>31</v>
      </c>
      <c r="AD33" s="25">
        <v>10</v>
      </c>
      <c r="AE33" s="25">
        <v>5</v>
      </c>
      <c r="AF33" s="25">
        <f t="shared" si="16"/>
        <v>64200</v>
      </c>
      <c r="AG33" s="25">
        <v>42800</v>
      </c>
      <c r="AH33" s="25">
        <v>32100</v>
      </c>
      <c r="AI33" s="25">
        <v>220</v>
      </c>
      <c r="AJ33" s="25">
        <v>147</v>
      </c>
      <c r="AK33" s="25">
        <v>110</v>
      </c>
      <c r="AP33" s="26">
        <v>310</v>
      </c>
      <c r="AQ33" s="27" t="s">
        <v>148</v>
      </c>
      <c r="AR33" s="28"/>
      <c r="AS33" s="27">
        <f t="shared" si="6"/>
        <v>2150</v>
      </c>
      <c r="AV33" s="97">
        <v>310</v>
      </c>
      <c r="AW33" s="97">
        <v>1</v>
      </c>
      <c r="AX33" s="97"/>
      <c r="AY33" s="97">
        <v>3</v>
      </c>
      <c r="AZ33" s="97">
        <v>450</v>
      </c>
    </row>
    <row r="34" spans="1:52" x14ac:dyDescent="0.25">
      <c r="A34">
        <v>32</v>
      </c>
      <c r="B34">
        <f t="shared" ref="B34:B97" si="17">B4+1</f>
        <v>2</v>
      </c>
      <c r="C34">
        <f t="shared" ref="C34:C97" si="18">C4</f>
        <v>1</v>
      </c>
      <c r="D34">
        <f t="shared" si="0"/>
        <v>22</v>
      </c>
      <c r="E34" t="str">
        <f t="shared" si="1"/>
        <v/>
      </c>
      <c r="F34" t="str">
        <f t="shared" si="2"/>
        <v/>
      </c>
      <c r="G34">
        <f t="shared" si="3"/>
        <v>1100</v>
      </c>
      <c r="H34" t="str">
        <f t="shared" si="4"/>
        <v/>
      </c>
      <c r="I34" t="str">
        <f t="shared" si="5"/>
        <v/>
      </c>
      <c r="J34">
        <f>SUM($G$3:I34)</f>
        <v>11380</v>
      </c>
      <c r="K34">
        <f t="shared" si="7"/>
        <v>220.00000000000003</v>
      </c>
      <c r="L34">
        <f t="shared" si="8"/>
        <v>1.0089999999999999</v>
      </c>
      <c r="M34">
        <f t="shared" si="9"/>
        <v>1.0044999999999999</v>
      </c>
      <c r="N34">
        <f t="shared" si="10"/>
        <v>2276</v>
      </c>
      <c r="O34">
        <f t="shared" si="11"/>
        <v>222.97891000000001</v>
      </c>
      <c r="P34">
        <f t="shared" si="12"/>
        <v>0</v>
      </c>
      <c r="Q34">
        <f t="shared" si="13"/>
        <v>0</v>
      </c>
      <c r="Y34" s="25">
        <v>32</v>
      </c>
      <c r="Z34" s="56">
        <f t="shared" si="15"/>
        <v>4970</v>
      </c>
      <c r="AA34" s="25">
        <v>3100</v>
      </c>
      <c r="AB34" s="25">
        <v>1550</v>
      </c>
      <c r="AC34" s="25">
        <v>32</v>
      </c>
      <c r="AD34" s="25">
        <v>10</v>
      </c>
      <c r="AE34" s="25">
        <v>5</v>
      </c>
      <c r="AF34" s="25">
        <f t="shared" si="16"/>
        <v>66400</v>
      </c>
      <c r="AG34" s="25">
        <v>44267</v>
      </c>
      <c r="AH34" s="25">
        <v>33200</v>
      </c>
      <c r="AI34" s="25">
        <v>220</v>
      </c>
      <c r="AJ34" s="25">
        <v>147</v>
      </c>
      <c r="AK34" s="25">
        <v>110</v>
      </c>
      <c r="AP34" s="29">
        <v>320</v>
      </c>
      <c r="AQ34" s="30" t="s">
        <v>136</v>
      </c>
      <c r="AR34" s="31" t="s">
        <v>137</v>
      </c>
      <c r="AS34" s="30">
        <f t="shared" si="6"/>
        <v>2150</v>
      </c>
      <c r="AV34" s="97">
        <v>320</v>
      </c>
      <c r="AW34" s="97">
        <v>3</v>
      </c>
      <c r="AX34" s="97"/>
      <c r="AY34" s="97">
        <v>99</v>
      </c>
      <c r="AZ34" s="97">
        <v>1</v>
      </c>
    </row>
    <row r="35" spans="1:52" x14ac:dyDescent="0.25">
      <c r="A35">
        <v>33</v>
      </c>
      <c r="B35">
        <f t="shared" si="17"/>
        <v>2</v>
      </c>
      <c r="C35">
        <f t="shared" si="18"/>
        <v>1</v>
      </c>
      <c r="D35">
        <f t="shared" si="0"/>
        <v>24</v>
      </c>
      <c r="E35" t="str">
        <f t="shared" si="1"/>
        <v/>
      </c>
      <c r="F35" t="str">
        <f t="shared" si="2"/>
        <v/>
      </c>
      <c r="G35">
        <f t="shared" si="3"/>
        <v>1200</v>
      </c>
      <c r="H35" t="str">
        <f t="shared" si="4"/>
        <v/>
      </c>
      <c r="I35" t="str">
        <f t="shared" si="5"/>
        <v/>
      </c>
      <c r="J35">
        <f>SUM($G$3:I35)</f>
        <v>12580</v>
      </c>
      <c r="K35">
        <f t="shared" si="7"/>
        <v>240</v>
      </c>
      <c r="L35">
        <f t="shared" si="8"/>
        <v>1.0089999999999999</v>
      </c>
      <c r="M35">
        <f t="shared" si="9"/>
        <v>1.0044999999999999</v>
      </c>
      <c r="N35">
        <f t="shared" si="10"/>
        <v>2516</v>
      </c>
      <c r="O35">
        <f t="shared" si="11"/>
        <v>243.24971999999997</v>
      </c>
      <c r="P35">
        <f t="shared" si="12"/>
        <v>0</v>
      </c>
      <c r="Q35">
        <f t="shared" si="13"/>
        <v>0</v>
      </c>
      <c r="Y35" s="25">
        <v>33</v>
      </c>
      <c r="Z35" s="56">
        <f t="shared" si="15"/>
        <v>5290</v>
      </c>
      <c r="AA35" s="25">
        <v>3200</v>
      </c>
      <c r="AB35" s="25">
        <v>1600</v>
      </c>
      <c r="AC35" s="25">
        <v>33</v>
      </c>
      <c r="AD35" s="25">
        <v>10</v>
      </c>
      <c r="AE35" s="25">
        <v>5</v>
      </c>
      <c r="AF35" s="25">
        <f t="shared" si="16"/>
        <v>68600</v>
      </c>
      <c r="AG35" s="25">
        <v>45733</v>
      </c>
      <c r="AH35" s="25">
        <v>34300</v>
      </c>
      <c r="AI35" s="25">
        <v>220</v>
      </c>
      <c r="AJ35" s="25">
        <v>147</v>
      </c>
      <c r="AK35" s="25">
        <v>110</v>
      </c>
      <c r="AP35" s="32">
        <v>330</v>
      </c>
      <c r="AQ35" s="33" t="s">
        <v>131</v>
      </c>
      <c r="AR35" s="34"/>
      <c r="AS35" s="33">
        <f t="shared" ref="AS35:AS66" si="19">SUMIFS($AZ:$AZ,$AY:$AY,$BB$5,$AP:$AP,"&lt;="&amp;AP35,$AW:$AW,$AW$3)</f>
        <v>2150</v>
      </c>
      <c r="AV35" s="97">
        <v>330</v>
      </c>
      <c r="AW35" s="97">
        <v>4</v>
      </c>
      <c r="AX35" s="97" t="s">
        <v>288</v>
      </c>
      <c r="AY35" s="97"/>
      <c r="AZ35" s="97"/>
    </row>
    <row r="36" spans="1:52" x14ac:dyDescent="0.25">
      <c r="A36">
        <v>34</v>
      </c>
      <c r="B36">
        <f t="shared" si="17"/>
        <v>2</v>
      </c>
      <c r="C36">
        <f t="shared" si="18"/>
        <v>1</v>
      </c>
      <c r="D36">
        <f t="shared" si="0"/>
        <v>26</v>
      </c>
      <c r="E36" t="str">
        <f t="shared" si="1"/>
        <v/>
      </c>
      <c r="F36" t="str">
        <f t="shared" si="2"/>
        <v/>
      </c>
      <c r="G36">
        <f t="shared" si="3"/>
        <v>1300</v>
      </c>
      <c r="H36" t="str">
        <f t="shared" si="4"/>
        <v/>
      </c>
      <c r="I36" t="str">
        <f t="shared" si="5"/>
        <v/>
      </c>
      <c r="J36">
        <f>SUM($G$3:I36)</f>
        <v>13880</v>
      </c>
      <c r="K36">
        <f t="shared" si="7"/>
        <v>260</v>
      </c>
      <c r="L36">
        <f t="shared" si="8"/>
        <v>1.0089999999999999</v>
      </c>
      <c r="M36">
        <f t="shared" si="9"/>
        <v>1.0044999999999999</v>
      </c>
      <c r="N36">
        <f t="shared" si="10"/>
        <v>2776</v>
      </c>
      <c r="O36">
        <f t="shared" si="11"/>
        <v>263.52052999999995</v>
      </c>
      <c r="P36">
        <f t="shared" si="12"/>
        <v>0</v>
      </c>
      <c r="Q36">
        <f t="shared" si="13"/>
        <v>0</v>
      </c>
      <c r="Y36" s="25">
        <v>34</v>
      </c>
      <c r="Z36" s="56">
        <f t="shared" si="15"/>
        <v>5620</v>
      </c>
      <c r="AA36" s="25">
        <v>3300</v>
      </c>
      <c r="AB36" s="25">
        <v>1650</v>
      </c>
      <c r="AC36" s="25">
        <v>34</v>
      </c>
      <c r="AD36" s="25">
        <v>10</v>
      </c>
      <c r="AE36" s="25">
        <v>5</v>
      </c>
      <c r="AF36" s="25">
        <f t="shared" si="16"/>
        <v>70800</v>
      </c>
      <c r="AG36" s="25">
        <v>47200</v>
      </c>
      <c r="AH36" s="25">
        <v>35400</v>
      </c>
      <c r="AI36" s="25">
        <v>220</v>
      </c>
      <c r="AJ36" s="25">
        <v>147</v>
      </c>
      <c r="AK36" s="25">
        <v>110</v>
      </c>
      <c r="AP36" s="26">
        <v>340</v>
      </c>
      <c r="AQ36" s="27" t="s">
        <v>149</v>
      </c>
      <c r="AR36" s="28"/>
      <c r="AS36" s="27">
        <f t="shared" si="19"/>
        <v>2650</v>
      </c>
      <c r="AV36" s="97">
        <v>340</v>
      </c>
      <c r="AW36" s="97">
        <v>1</v>
      </c>
      <c r="AX36" s="97"/>
      <c r="AY36" s="97">
        <v>3</v>
      </c>
      <c r="AZ36" s="97">
        <v>500</v>
      </c>
    </row>
    <row r="37" spans="1:52" x14ac:dyDescent="0.25">
      <c r="A37">
        <v>35</v>
      </c>
      <c r="B37">
        <f t="shared" si="17"/>
        <v>2</v>
      </c>
      <c r="C37">
        <f t="shared" si="18"/>
        <v>1</v>
      </c>
      <c r="D37">
        <f t="shared" si="0"/>
        <v>28</v>
      </c>
      <c r="E37" t="str">
        <f t="shared" si="1"/>
        <v/>
      </c>
      <c r="F37" t="str">
        <f t="shared" si="2"/>
        <v/>
      </c>
      <c r="G37">
        <f t="shared" si="3"/>
        <v>1400</v>
      </c>
      <c r="H37" t="str">
        <f t="shared" si="4"/>
        <v/>
      </c>
      <c r="I37" t="str">
        <f t="shared" si="5"/>
        <v/>
      </c>
      <c r="J37">
        <f>SUM($G$3:I37)</f>
        <v>15280</v>
      </c>
      <c r="K37">
        <f t="shared" si="7"/>
        <v>280</v>
      </c>
      <c r="L37">
        <f t="shared" si="8"/>
        <v>1.0089999999999999</v>
      </c>
      <c r="M37">
        <f t="shared" si="9"/>
        <v>1.0044999999999999</v>
      </c>
      <c r="N37">
        <f t="shared" si="10"/>
        <v>3056</v>
      </c>
      <c r="O37">
        <f t="shared" si="11"/>
        <v>283.79133999999999</v>
      </c>
      <c r="P37">
        <f t="shared" si="12"/>
        <v>0</v>
      </c>
      <c r="Q37">
        <f t="shared" si="13"/>
        <v>0</v>
      </c>
      <c r="Y37" s="25">
        <v>35</v>
      </c>
      <c r="Z37" s="56">
        <f t="shared" si="15"/>
        <v>5960</v>
      </c>
      <c r="AA37" s="25">
        <v>3400</v>
      </c>
      <c r="AB37" s="25">
        <v>1700</v>
      </c>
      <c r="AC37" s="25">
        <v>35</v>
      </c>
      <c r="AD37" s="25">
        <v>10</v>
      </c>
      <c r="AE37" s="25">
        <v>5</v>
      </c>
      <c r="AF37" s="25">
        <f t="shared" si="16"/>
        <v>73000</v>
      </c>
      <c r="AG37" s="25">
        <v>48667</v>
      </c>
      <c r="AH37" s="25">
        <v>36500</v>
      </c>
      <c r="AI37" s="25">
        <v>220</v>
      </c>
      <c r="AJ37" s="25">
        <v>147</v>
      </c>
      <c r="AK37" s="25">
        <v>110</v>
      </c>
      <c r="AP37" s="29">
        <v>350</v>
      </c>
      <c r="AQ37" s="30" t="s">
        <v>140</v>
      </c>
      <c r="AR37" s="31" t="s">
        <v>141</v>
      </c>
      <c r="AS37" s="30">
        <f t="shared" si="19"/>
        <v>2650</v>
      </c>
      <c r="AV37" s="97">
        <v>350</v>
      </c>
      <c r="AW37" s="97">
        <v>3</v>
      </c>
      <c r="AX37" s="97"/>
      <c r="AY37" s="100">
        <v>98</v>
      </c>
      <c r="AZ37" s="100">
        <v>1</v>
      </c>
    </row>
    <row r="38" spans="1:52" x14ac:dyDescent="0.25">
      <c r="A38">
        <v>36</v>
      </c>
      <c r="B38">
        <f t="shared" si="17"/>
        <v>2</v>
      </c>
      <c r="C38">
        <f t="shared" si="18"/>
        <v>1</v>
      </c>
      <c r="D38">
        <f t="shared" si="0"/>
        <v>30</v>
      </c>
      <c r="E38" t="str">
        <f t="shared" si="1"/>
        <v/>
      </c>
      <c r="F38" t="str">
        <f t="shared" si="2"/>
        <v/>
      </c>
      <c r="G38">
        <f t="shared" si="3"/>
        <v>1500</v>
      </c>
      <c r="H38" t="str">
        <f t="shared" si="4"/>
        <v/>
      </c>
      <c r="I38" t="str">
        <f t="shared" si="5"/>
        <v/>
      </c>
      <c r="J38">
        <f>SUM($G$3:I38)</f>
        <v>16780</v>
      </c>
      <c r="K38">
        <f t="shared" si="7"/>
        <v>300</v>
      </c>
      <c r="L38">
        <f t="shared" si="8"/>
        <v>1.0089999999999999</v>
      </c>
      <c r="M38">
        <f t="shared" si="9"/>
        <v>1.0044999999999999</v>
      </c>
      <c r="N38">
        <f t="shared" si="10"/>
        <v>3356</v>
      </c>
      <c r="O38">
        <f t="shared" si="11"/>
        <v>304.06214999999997</v>
      </c>
      <c r="P38">
        <f t="shared" si="12"/>
        <v>0</v>
      </c>
      <c r="Q38">
        <f t="shared" si="13"/>
        <v>0</v>
      </c>
      <c r="Y38" s="25">
        <v>36</v>
      </c>
      <c r="Z38" s="56">
        <f t="shared" si="15"/>
        <v>6310</v>
      </c>
      <c r="AA38" s="25">
        <v>3500</v>
      </c>
      <c r="AB38" s="25">
        <v>1750</v>
      </c>
      <c r="AC38" s="25">
        <v>36</v>
      </c>
      <c r="AD38" s="25">
        <v>10</v>
      </c>
      <c r="AE38" s="25">
        <v>5</v>
      </c>
      <c r="AF38" s="25">
        <f t="shared" si="16"/>
        <v>75200</v>
      </c>
      <c r="AG38" s="25">
        <v>50133</v>
      </c>
      <c r="AH38" s="25">
        <v>37600</v>
      </c>
      <c r="AI38" s="25">
        <v>220</v>
      </c>
      <c r="AJ38" s="25">
        <v>147</v>
      </c>
      <c r="AK38" s="25">
        <v>110</v>
      </c>
      <c r="AP38" s="32">
        <v>360</v>
      </c>
      <c r="AQ38" s="33" t="s">
        <v>131</v>
      </c>
      <c r="AR38" s="34"/>
      <c r="AS38" s="33">
        <f t="shared" si="19"/>
        <v>2650</v>
      </c>
      <c r="AV38" s="97">
        <v>360</v>
      </c>
      <c r="AW38" s="97">
        <v>4</v>
      </c>
      <c r="AX38" s="97" t="s">
        <v>289</v>
      </c>
      <c r="AY38" s="97"/>
      <c r="AZ38" s="97"/>
    </row>
    <row r="39" spans="1:52" x14ac:dyDescent="0.25">
      <c r="A39">
        <v>37</v>
      </c>
      <c r="B39">
        <f t="shared" si="17"/>
        <v>2</v>
      </c>
      <c r="C39">
        <f t="shared" si="18"/>
        <v>1</v>
      </c>
      <c r="D39">
        <f t="shared" si="0"/>
        <v>32</v>
      </c>
      <c r="E39" t="str">
        <f t="shared" si="1"/>
        <v/>
      </c>
      <c r="F39" t="str">
        <f t="shared" si="2"/>
        <v/>
      </c>
      <c r="G39">
        <f t="shared" si="3"/>
        <v>1600</v>
      </c>
      <c r="H39" t="str">
        <f t="shared" si="4"/>
        <v/>
      </c>
      <c r="I39" t="str">
        <f t="shared" si="5"/>
        <v/>
      </c>
      <c r="J39">
        <f>SUM($G$3:I39)</f>
        <v>18380</v>
      </c>
      <c r="K39">
        <f t="shared" si="7"/>
        <v>320</v>
      </c>
      <c r="L39">
        <f t="shared" si="8"/>
        <v>1.0089999999999999</v>
      </c>
      <c r="M39">
        <f t="shared" si="9"/>
        <v>1.0044999999999999</v>
      </c>
      <c r="N39">
        <f t="shared" si="10"/>
        <v>3676</v>
      </c>
      <c r="O39">
        <f t="shared" si="11"/>
        <v>324.33295999999996</v>
      </c>
      <c r="P39">
        <f t="shared" si="12"/>
        <v>0</v>
      </c>
      <c r="Q39">
        <f t="shared" si="13"/>
        <v>0</v>
      </c>
      <c r="Y39" s="25">
        <v>37</v>
      </c>
      <c r="Z39" s="56">
        <f t="shared" si="15"/>
        <v>6670</v>
      </c>
      <c r="AA39" s="25">
        <v>3600</v>
      </c>
      <c r="AB39" s="25">
        <v>1800</v>
      </c>
      <c r="AC39" s="25">
        <v>37</v>
      </c>
      <c r="AD39" s="25">
        <v>10</v>
      </c>
      <c r="AE39" s="25">
        <v>5</v>
      </c>
      <c r="AF39" s="25">
        <f t="shared" si="16"/>
        <v>77400</v>
      </c>
      <c r="AG39" s="25">
        <v>51600</v>
      </c>
      <c r="AH39" s="25">
        <v>38700</v>
      </c>
      <c r="AI39" s="25">
        <v>220</v>
      </c>
      <c r="AJ39" s="25">
        <v>147</v>
      </c>
      <c r="AK39" s="25">
        <v>110</v>
      </c>
      <c r="AP39" s="26">
        <v>370</v>
      </c>
      <c r="AQ39" s="27" t="s">
        <v>150</v>
      </c>
      <c r="AR39" s="28"/>
      <c r="AS39" s="27">
        <f t="shared" si="19"/>
        <v>3200</v>
      </c>
      <c r="AV39" s="97">
        <v>370</v>
      </c>
      <c r="AW39" s="97">
        <v>1</v>
      </c>
      <c r="AX39" s="97"/>
      <c r="AY39" s="97">
        <v>3</v>
      </c>
      <c r="AZ39" s="97">
        <v>550</v>
      </c>
    </row>
    <row r="40" spans="1:52" x14ac:dyDescent="0.25">
      <c r="A40">
        <v>38</v>
      </c>
      <c r="B40">
        <f t="shared" si="17"/>
        <v>2</v>
      </c>
      <c r="C40">
        <f t="shared" si="18"/>
        <v>1</v>
      </c>
      <c r="D40">
        <f t="shared" si="0"/>
        <v>34</v>
      </c>
      <c r="E40" t="str">
        <f t="shared" si="1"/>
        <v/>
      </c>
      <c r="F40" t="str">
        <f t="shared" si="2"/>
        <v/>
      </c>
      <c r="G40">
        <f t="shared" si="3"/>
        <v>1700</v>
      </c>
      <c r="H40" t="str">
        <f t="shared" si="4"/>
        <v/>
      </c>
      <c r="I40" t="str">
        <f t="shared" si="5"/>
        <v/>
      </c>
      <c r="J40">
        <f>SUM($G$3:I40)</f>
        <v>20080</v>
      </c>
      <c r="K40">
        <f t="shared" si="7"/>
        <v>340</v>
      </c>
      <c r="L40">
        <f t="shared" si="8"/>
        <v>1.0089999999999999</v>
      </c>
      <c r="M40">
        <f t="shared" si="9"/>
        <v>1.0044999999999999</v>
      </c>
      <c r="N40">
        <f t="shared" si="10"/>
        <v>4016</v>
      </c>
      <c r="O40">
        <f t="shared" si="11"/>
        <v>344.60376999999994</v>
      </c>
      <c r="P40">
        <f t="shared" si="12"/>
        <v>0</v>
      </c>
      <c r="Q40">
        <f t="shared" si="13"/>
        <v>0</v>
      </c>
      <c r="Y40" s="25">
        <v>38</v>
      </c>
      <c r="Z40" s="56">
        <f t="shared" si="15"/>
        <v>7040</v>
      </c>
      <c r="AA40" s="25">
        <v>3700</v>
      </c>
      <c r="AB40" s="25">
        <v>1850</v>
      </c>
      <c r="AC40" s="25">
        <v>38</v>
      </c>
      <c r="AD40" s="25">
        <v>10</v>
      </c>
      <c r="AE40" s="25">
        <v>5</v>
      </c>
      <c r="AF40" s="25">
        <f t="shared" ref="AF40:AF45" si="20">AF39+(10*AI39)</f>
        <v>79600</v>
      </c>
      <c r="AG40" s="25">
        <v>53067</v>
      </c>
      <c r="AH40" s="25">
        <v>39800</v>
      </c>
      <c r="AI40" s="25">
        <v>220</v>
      </c>
      <c r="AJ40" s="25">
        <v>147</v>
      </c>
      <c r="AK40" s="25">
        <v>110</v>
      </c>
      <c r="AP40" s="29">
        <v>380</v>
      </c>
      <c r="AQ40" s="30" t="s">
        <v>136</v>
      </c>
      <c r="AR40" s="31" t="s">
        <v>137</v>
      </c>
      <c r="AS40" s="30">
        <f t="shared" si="19"/>
        <v>3200</v>
      </c>
      <c r="AV40" s="97">
        <v>380</v>
      </c>
      <c r="AW40" s="97">
        <v>3</v>
      </c>
      <c r="AX40" s="97"/>
      <c r="AY40" s="100">
        <v>98</v>
      </c>
      <c r="AZ40" s="100">
        <v>1</v>
      </c>
    </row>
    <row r="41" spans="1:52" x14ac:dyDescent="0.25">
      <c r="A41">
        <v>39</v>
      </c>
      <c r="B41">
        <f t="shared" si="17"/>
        <v>2</v>
      </c>
      <c r="C41">
        <f t="shared" si="18"/>
        <v>1</v>
      </c>
      <c r="D41">
        <f t="shared" si="0"/>
        <v>36</v>
      </c>
      <c r="E41" t="str">
        <f t="shared" si="1"/>
        <v/>
      </c>
      <c r="F41" t="str">
        <f t="shared" si="2"/>
        <v/>
      </c>
      <c r="G41">
        <f t="shared" si="3"/>
        <v>1800</v>
      </c>
      <c r="H41" t="str">
        <f t="shared" si="4"/>
        <v/>
      </c>
      <c r="I41" t="str">
        <f t="shared" si="5"/>
        <v/>
      </c>
      <c r="J41">
        <f>SUM($G$3:I41)</f>
        <v>21880</v>
      </c>
      <c r="K41">
        <f t="shared" si="7"/>
        <v>360</v>
      </c>
      <c r="L41">
        <f t="shared" si="8"/>
        <v>1.0089999999999999</v>
      </c>
      <c r="M41">
        <f t="shared" si="9"/>
        <v>1.0044999999999999</v>
      </c>
      <c r="N41">
        <f t="shared" si="10"/>
        <v>4376</v>
      </c>
      <c r="O41">
        <f t="shared" si="11"/>
        <v>364.87457999999992</v>
      </c>
      <c r="P41">
        <f t="shared" si="12"/>
        <v>0</v>
      </c>
      <c r="Q41">
        <f t="shared" si="13"/>
        <v>0</v>
      </c>
      <c r="Y41" s="25">
        <v>39</v>
      </c>
      <c r="Z41" s="56">
        <f t="shared" si="15"/>
        <v>7420</v>
      </c>
      <c r="AA41" s="25">
        <v>3800</v>
      </c>
      <c r="AB41" s="25">
        <v>1900</v>
      </c>
      <c r="AC41" s="25">
        <v>39</v>
      </c>
      <c r="AD41" s="25">
        <v>10</v>
      </c>
      <c r="AE41" s="25">
        <v>5</v>
      </c>
      <c r="AF41" s="25">
        <f t="shared" si="20"/>
        <v>81800</v>
      </c>
      <c r="AG41" s="25">
        <v>54533</v>
      </c>
      <c r="AH41" s="25">
        <v>40900</v>
      </c>
      <c r="AI41" s="25">
        <v>220</v>
      </c>
      <c r="AJ41" s="25">
        <v>147</v>
      </c>
      <c r="AK41" s="25">
        <v>110</v>
      </c>
      <c r="AP41" s="32">
        <v>390</v>
      </c>
      <c r="AQ41" s="33" t="s">
        <v>131</v>
      </c>
      <c r="AR41" s="34"/>
      <c r="AS41" s="33">
        <f t="shared" si="19"/>
        <v>3200</v>
      </c>
      <c r="AV41" s="97">
        <v>390</v>
      </c>
      <c r="AW41" s="97">
        <v>4</v>
      </c>
      <c r="AX41" s="97" t="s">
        <v>290</v>
      </c>
      <c r="AY41" s="97"/>
      <c r="AZ41" s="97"/>
    </row>
    <row r="42" spans="1:52" x14ac:dyDescent="0.25">
      <c r="A42">
        <v>40</v>
      </c>
      <c r="B42">
        <f t="shared" si="17"/>
        <v>2</v>
      </c>
      <c r="C42">
        <f t="shared" si="18"/>
        <v>1</v>
      </c>
      <c r="D42">
        <f t="shared" si="0"/>
        <v>38</v>
      </c>
      <c r="E42" t="str">
        <f t="shared" si="1"/>
        <v/>
      </c>
      <c r="F42" t="str">
        <f t="shared" si="2"/>
        <v/>
      </c>
      <c r="G42">
        <f t="shared" si="3"/>
        <v>1900</v>
      </c>
      <c r="H42" t="str">
        <f t="shared" si="4"/>
        <v/>
      </c>
      <c r="I42" t="str">
        <f t="shared" si="5"/>
        <v/>
      </c>
      <c r="J42">
        <f>SUM($G$3:I42)</f>
        <v>23780</v>
      </c>
      <c r="K42">
        <f t="shared" si="7"/>
        <v>380</v>
      </c>
      <c r="L42">
        <f t="shared" si="8"/>
        <v>1.0089999999999999</v>
      </c>
      <c r="M42">
        <f t="shared" si="9"/>
        <v>1.0044999999999999</v>
      </c>
      <c r="N42">
        <f t="shared" si="10"/>
        <v>4756</v>
      </c>
      <c r="O42">
        <f t="shared" si="11"/>
        <v>385.14538999999996</v>
      </c>
      <c r="P42">
        <f t="shared" si="12"/>
        <v>50</v>
      </c>
      <c r="Q42">
        <f t="shared" si="13"/>
        <v>0</v>
      </c>
      <c r="Y42" s="25">
        <v>40</v>
      </c>
      <c r="Z42" s="56">
        <f t="shared" si="15"/>
        <v>7810</v>
      </c>
      <c r="AA42" s="25">
        <v>3900</v>
      </c>
      <c r="AB42" s="25">
        <v>1950</v>
      </c>
      <c r="AC42" s="25">
        <v>40</v>
      </c>
      <c r="AD42" s="25">
        <v>10</v>
      </c>
      <c r="AE42" s="25">
        <v>5</v>
      </c>
      <c r="AF42" s="25">
        <f t="shared" si="20"/>
        <v>84000</v>
      </c>
      <c r="AG42" s="25">
        <v>56000</v>
      </c>
      <c r="AH42" s="25">
        <v>42000</v>
      </c>
      <c r="AI42" s="25">
        <v>220</v>
      </c>
      <c r="AJ42" s="25">
        <v>147</v>
      </c>
      <c r="AK42" s="25">
        <v>110</v>
      </c>
      <c r="AP42" s="26">
        <v>400</v>
      </c>
      <c r="AQ42" s="27" t="s">
        <v>151</v>
      </c>
      <c r="AR42" s="28"/>
      <c r="AS42" s="27">
        <f t="shared" si="19"/>
        <v>3800</v>
      </c>
      <c r="AV42" s="97">
        <v>400</v>
      </c>
      <c r="AW42" s="97">
        <v>1</v>
      </c>
      <c r="AX42" s="97"/>
      <c r="AY42" s="97">
        <v>3</v>
      </c>
      <c r="AZ42" s="97">
        <v>600</v>
      </c>
    </row>
    <row r="43" spans="1:52" x14ac:dyDescent="0.25">
      <c r="A43">
        <v>41</v>
      </c>
      <c r="B43">
        <f t="shared" si="17"/>
        <v>2</v>
      </c>
      <c r="C43">
        <f t="shared" si="18"/>
        <v>2</v>
      </c>
      <c r="D43" t="str">
        <f t="shared" si="0"/>
        <v/>
      </c>
      <c r="E43">
        <f t="shared" si="1"/>
        <v>100</v>
      </c>
      <c r="F43" t="str">
        <f t="shared" si="2"/>
        <v/>
      </c>
      <c r="G43" t="str">
        <f t="shared" si="3"/>
        <v/>
      </c>
      <c r="H43">
        <f t="shared" si="4"/>
        <v>333</v>
      </c>
      <c r="I43" t="str">
        <f t="shared" si="5"/>
        <v/>
      </c>
      <c r="J43">
        <f>SUM($G$3:I43)</f>
        <v>24113</v>
      </c>
      <c r="K43">
        <f t="shared" si="7"/>
        <v>380</v>
      </c>
      <c r="L43">
        <f t="shared" si="8"/>
        <v>1.01</v>
      </c>
      <c r="M43">
        <f t="shared" si="9"/>
        <v>1.0044999999999999</v>
      </c>
      <c r="N43">
        <f t="shared" si="10"/>
        <v>4822.6000000000004</v>
      </c>
      <c r="O43">
        <f t="shared" si="11"/>
        <v>385.52710000000002</v>
      </c>
      <c r="P43">
        <f t="shared" si="12"/>
        <v>50</v>
      </c>
      <c r="Q43">
        <f t="shared" si="13"/>
        <v>0</v>
      </c>
      <c r="Y43" s="25">
        <v>41</v>
      </c>
      <c r="Z43" s="56">
        <f t="shared" si="15"/>
        <v>8210</v>
      </c>
      <c r="AA43" s="25">
        <v>4000</v>
      </c>
      <c r="AB43" s="25">
        <v>2000</v>
      </c>
      <c r="AC43" s="25">
        <v>41</v>
      </c>
      <c r="AD43" s="25">
        <v>10</v>
      </c>
      <c r="AE43" s="25">
        <v>5</v>
      </c>
      <c r="AF43" s="25">
        <f t="shared" si="20"/>
        <v>86200</v>
      </c>
      <c r="AG43" s="25">
        <v>57467</v>
      </c>
      <c r="AH43" s="25">
        <v>43100</v>
      </c>
      <c r="AI43" s="25">
        <v>220</v>
      </c>
      <c r="AJ43" s="25">
        <v>147</v>
      </c>
      <c r="AK43" s="25">
        <v>110</v>
      </c>
      <c r="AP43" s="29">
        <v>410</v>
      </c>
      <c r="AQ43" s="30" t="s">
        <v>140</v>
      </c>
      <c r="AR43" s="31" t="s">
        <v>141</v>
      </c>
      <c r="AS43" s="30">
        <f t="shared" si="19"/>
        <v>3800</v>
      </c>
      <c r="AV43" s="97">
        <v>410</v>
      </c>
      <c r="AW43" s="97">
        <v>3</v>
      </c>
      <c r="AX43" s="97"/>
      <c r="AY43" s="100">
        <v>98</v>
      </c>
      <c r="AZ43" s="100">
        <v>1</v>
      </c>
    </row>
    <row r="44" spans="1:52" x14ac:dyDescent="0.25">
      <c r="A44">
        <v>42</v>
      </c>
      <c r="B44">
        <f t="shared" si="17"/>
        <v>2</v>
      </c>
      <c r="C44">
        <f t="shared" si="18"/>
        <v>2</v>
      </c>
      <c r="D44" t="str">
        <f t="shared" si="0"/>
        <v/>
      </c>
      <c r="E44">
        <f t="shared" si="1"/>
        <v>110</v>
      </c>
      <c r="F44" t="str">
        <f t="shared" si="2"/>
        <v/>
      </c>
      <c r="G44" t="str">
        <f t="shared" si="3"/>
        <v/>
      </c>
      <c r="H44">
        <f t="shared" si="4"/>
        <v>360</v>
      </c>
      <c r="I44" t="str">
        <f t="shared" si="5"/>
        <v/>
      </c>
      <c r="J44">
        <f>SUM($G$3:I44)</f>
        <v>24473</v>
      </c>
      <c r="K44">
        <f t="shared" si="7"/>
        <v>380</v>
      </c>
      <c r="L44">
        <f t="shared" si="8"/>
        <v>1.0109999999999999</v>
      </c>
      <c r="M44">
        <f t="shared" si="9"/>
        <v>1.0044999999999999</v>
      </c>
      <c r="N44">
        <f t="shared" si="10"/>
        <v>4894.6000000000004</v>
      </c>
      <c r="O44">
        <f t="shared" si="11"/>
        <v>385.9088099999999</v>
      </c>
      <c r="P44">
        <f t="shared" si="12"/>
        <v>50</v>
      </c>
      <c r="Q44">
        <f t="shared" si="13"/>
        <v>0</v>
      </c>
      <c r="Y44" s="25">
        <v>42</v>
      </c>
      <c r="Z44" s="56">
        <f t="shared" si="15"/>
        <v>8620</v>
      </c>
      <c r="AA44" s="25">
        <v>4100</v>
      </c>
      <c r="AB44" s="25">
        <v>2050</v>
      </c>
      <c r="AC44" s="25">
        <v>42</v>
      </c>
      <c r="AD44" s="25">
        <v>10</v>
      </c>
      <c r="AE44" s="25">
        <v>5</v>
      </c>
      <c r="AF44" s="25">
        <f t="shared" si="20"/>
        <v>88400</v>
      </c>
      <c r="AG44" s="25">
        <v>58933</v>
      </c>
      <c r="AH44" s="25">
        <v>44200</v>
      </c>
      <c r="AI44" s="25">
        <v>220</v>
      </c>
      <c r="AJ44" s="25">
        <v>147</v>
      </c>
      <c r="AK44" s="25">
        <v>110</v>
      </c>
      <c r="AP44" s="32">
        <v>420</v>
      </c>
      <c r="AQ44" s="33" t="s">
        <v>131</v>
      </c>
      <c r="AR44" s="34"/>
      <c r="AS44" s="33">
        <f t="shared" si="19"/>
        <v>3800</v>
      </c>
      <c r="AV44" s="97">
        <v>420</v>
      </c>
      <c r="AW44" s="97">
        <v>4</v>
      </c>
      <c r="AX44" s="97" t="s">
        <v>291</v>
      </c>
      <c r="AY44" s="97"/>
      <c r="AZ44" s="97"/>
    </row>
    <row r="45" spans="1:52" x14ac:dyDescent="0.25">
      <c r="A45">
        <v>43</v>
      </c>
      <c r="B45">
        <f t="shared" si="17"/>
        <v>2</v>
      </c>
      <c r="C45">
        <f t="shared" si="18"/>
        <v>2</v>
      </c>
      <c r="D45" t="str">
        <f t="shared" si="0"/>
        <v/>
      </c>
      <c r="E45">
        <f t="shared" si="1"/>
        <v>120</v>
      </c>
      <c r="F45" t="str">
        <f t="shared" si="2"/>
        <v/>
      </c>
      <c r="G45" t="str">
        <f t="shared" si="3"/>
        <v/>
      </c>
      <c r="H45">
        <f t="shared" si="4"/>
        <v>387</v>
      </c>
      <c r="I45" t="str">
        <f t="shared" si="5"/>
        <v/>
      </c>
      <c r="J45">
        <f>SUM($G$3:I45)</f>
        <v>24860</v>
      </c>
      <c r="K45">
        <f t="shared" si="7"/>
        <v>380</v>
      </c>
      <c r="L45">
        <f t="shared" si="8"/>
        <v>1.012</v>
      </c>
      <c r="M45">
        <f t="shared" si="9"/>
        <v>1.0044999999999999</v>
      </c>
      <c r="N45">
        <f t="shared" si="10"/>
        <v>4972</v>
      </c>
      <c r="O45">
        <f t="shared" si="11"/>
        <v>386.29051999999996</v>
      </c>
      <c r="P45">
        <f t="shared" si="12"/>
        <v>50</v>
      </c>
      <c r="Q45">
        <f t="shared" si="13"/>
        <v>0</v>
      </c>
      <c r="Y45" s="25">
        <v>43</v>
      </c>
      <c r="Z45" s="56">
        <f t="shared" si="15"/>
        <v>9040</v>
      </c>
      <c r="AA45" s="25">
        <v>4200</v>
      </c>
      <c r="AB45" s="25">
        <v>2100</v>
      </c>
      <c r="AC45" s="25">
        <v>43</v>
      </c>
      <c r="AD45" s="25">
        <v>10</v>
      </c>
      <c r="AE45" s="25">
        <v>5</v>
      </c>
      <c r="AF45" s="25">
        <f t="shared" si="20"/>
        <v>90600</v>
      </c>
      <c r="AG45" s="25">
        <v>60400</v>
      </c>
      <c r="AH45" s="25">
        <v>45300</v>
      </c>
      <c r="AI45" s="25">
        <v>220</v>
      </c>
      <c r="AJ45" s="25">
        <v>147</v>
      </c>
      <c r="AK45" s="25">
        <v>110</v>
      </c>
      <c r="AP45" s="26">
        <v>430</v>
      </c>
      <c r="AQ45" s="27" t="s">
        <v>152</v>
      </c>
      <c r="AR45" s="28"/>
      <c r="AS45" s="27">
        <f t="shared" si="19"/>
        <v>4450</v>
      </c>
      <c r="AV45" s="97">
        <v>430</v>
      </c>
      <c r="AW45" s="97">
        <v>1</v>
      </c>
      <c r="AX45" s="97"/>
      <c r="AY45" s="97">
        <v>3</v>
      </c>
      <c r="AZ45" s="97">
        <v>650</v>
      </c>
    </row>
    <row r="46" spans="1:52" x14ac:dyDescent="0.25">
      <c r="A46">
        <v>44</v>
      </c>
      <c r="B46">
        <f t="shared" si="17"/>
        <v>2</v>
      </c>
      <c r="C46">
        <f t="shared" si="18"/>
        <v>2</v>
      </c>
      <c r="D46" t="str">
        <f t="shared" si="0"/>
        <v/>
      </c>
      <c r="E46">
        <f t="shared" si="1"/>
        <v>130</v>
      </c>
      <c r="F46" t="str">
        <f t="shared" si="2"/>
        <v/>
      </c>
      <c r="G46" t="str">
        <f t="shared" si="3"/>
        <v/>
      </c>
      <c r="H46">
        <f t="shared" si="4"/>
        <v>414</v>
      </c>
      <c r="I46" t="str">
        <f t="shared" si="5"/>
        <v/>
      </c>
      <c r="J46">
        <f>SUM($G$3:I46)</f>
        <v>25274</v>
      </c>
      <c r="K46">
        <f t="shared" si="7"/>
        <v>380</v>
      </c>
      <c r="L46">
        <f t="shared" si="8"/>
        <v>1.0129999999999999</v>
      </c>
      <c r="M46">
        <f t="shared" si="9"/>
        <v>1.0044999999999999</v>
      </c>
      <c r="N46">
        <f t="shared" si="10"/>
        <v>5054.8</v>
      </c>
      <c r="O46">
        <f t="shared" si="11"/>
        <v>386.6722299999999</v>
      </c>
      <c r="P46">
        <f t="shared" si="12"/>
        <v>50</v>
      </c>
      <c r="Q46">
        <f t="shared" si="13"/>
        <v>0</v>
      </c>
      <c r="AP46" s="29">
        <v>440</v>
      </c>
      <c r="AQ46" s="30"/>
      <c r="AR46" s="31" t="s">
        <v>141</v>
      </c>
      <c r="AS46" s="30">
        <f t="shared" si="19"/>
        <v>4450</v>
      </c>
      <c r="AV46" s="97">
        <v>440</v>
      </c>
      <c r="AW46" s="97">
        <v>3</v>
      </c>
      <c r="AX46" s="97"/>
      <c r="AY46" s="100">
        <v>98</v>
      </c>
      <c r="AZ46" s="100">
        <v>1</v>
      </c>
    </row>
    <row r="47" spans="1:52" x14ac:dyDescent="0.25">
      <c r="A47">
        <v>45</v>
      </c>
      <c r="B47">
        <f t="shared" si="17"/>
        <v>2</v>
      </c>
      <c r="C47">
        <f t="shared" si="18"/>
        <v>2</v>
      </c>
      <c r="D47" t="str">
        <f t="shared" si="0"/>
        <v/>
      </c>
      <c r="E47">
        <f t="shared" si="1"/>
        <v>140</v>
      </c>
      <c r="F47" t="str">
        <f t="shared" si="2"/>
        <v/>
      </c>
      <c r="G47" t="str">
        <f t="shared" si="3"/>
        <v/>
      </c>
      <c r="H47">
        <f t="shared" si="4"/>
        <v>441</v>
      </c>
      <c r="I47" t="str">
        <f t="shared" si="5"/>
        <v/>
      </c>
      <c r="J47">
        <f>SUM($G$3:I47)</f>
        <v>25715</v>
      </c>
      <c r="K47">
        <f t="shared" si="7"/>
        <v>380</v>
      </c>
      <c r="L47">
        <f t="shared" si="8"/>
        <v>1.014</v>
      </c>
      <c r="M47">
        <f t="shared" si="9"/>
        <v>1.0044999999999999</v>
      </c>
      <c r="N47">
        <f t="shared" si="10"/>
        <v>5143</v>
      </c>
      <c r="O47">
        <f t="shared" si="11"/>
        <v>387.05393999999995</v>
      </c>
      <c r="P47">
        <f t="shared" si="12"/>
        <v>50</v>
      </c>
      <c r="Q47">
        <f t="shared" si="13"/>
        <v>0</v>
      </c>
      <c r="AP47" s="32">
        <v>450</v>
      </c>
      <c r="AQ47" s="33" t="s">
        <v>131</v>
      </c>
      <c r="AR47" s="34"/>
      <c r="AS47" s="33">
        <f t="shared" si="19"/>
        <v>4450</v>
      </c>
      <c r="AV47" s="97">
        <v>450</v>
      </c>
      <c r="AW47" s="97">
        <v>4</v>
      </c>
      <c r="AX47" s="97" t="s">
        <v>292</v>
      </c>
      <c r="AY47" s="97"/>
      <c r="AZ47" s="97"/>
    </row>
    <row r="48" spans="1:52" x14ac:dyDescent="0.25">
      <c r="A48">
        <v>46</v>
      </c>
      <c r="B48">
        <f t="shared" si="17"/>
        <v>2</v>
      </c>
      <c r="C48">
        <f t="shared" si="18"/>
        <v>2</v>
      </c>
      <c r="D48" t="str">
        <f t="shared" si="0"/>
        <v/>
      </c>
      <c r="E48">
        <f t="shared" si="1"/>
        <v>150</v>
      </c>
      <c r="F48" t="str">
        <f t="shared" si="2"/>
        <v/>
      </c>
      <c r="G48" t="str">
        <f t="shared" si="3"/>
        <v/>
      </c>
      <c r="H48">
        <f t="shared" si="4"/>
        <v>468</v>
      </c>
      <c r="I48" t="str">
        <f t="shared" si="5"/>
        <v/>
      </c>
      <c r="J48">
        <f>SUM($G$3:I48)</f>
        <v>26183</v>
      </c>
      <c r="K48">
        <f t="shared" si="7"/>
        <v>380</v>
      </c>
      <c r="L48">
        <f t="shared" si="8"/>
        <v>1.0149999999999999</v>
      </c>
      <c r="M48">
        <f t="shared" si="9"/>
        <v>1.0044999999999999</v>
      </c>
      <c r="N48">
        <f t="shared" si="10"/>
        <v>5236.6000000000004</v>
      </c>
      <c r="O48">
        <f t="shared" si="11"/>
        <v>387.43564999999995</v>
      </c>
      <c r="P48">
        <f t="shared" si="12"/>
        <v>50</v>
      </c>
      <c r="Q48">
        <f t="shared" si="13"/>
        <v>0</v>
      </c>
      <c r="AP48" s="26">
        <v>460</v>
      </c>
      <c r="AQ48" s="27" t="s">
        <v>153</v>
      </c>
      <c r="AR48" s="28"/>
      <c r="AS48" s="27">
        <f t="shared" si="19"/>
        <v>5150</v>
      </c>
      <c r="AV48" s="97">
        <v>460</v>
      </c>
      <c r="AW48" s="97">
        <v>1</v>
      </c>
      <c r="AX48" s="97"/>
      <c r="AY48" s="97">
        <v>3</v>
      </c>
      <c r="AZ48" s="97">
        <v>700</v>
      </c>
    </row>
    <row r="49" spans="1:52" x14ac:dyDescent="0.25">
      <c r="A49">
        <v>47</v>
      </c>
      <c r="B49">
        <f t="shared" si="17"/>
        <v>2</v>
      </c>
      <c r="C49">
        <f t="shared" si="18"/>
        <v>2</v>
      </c>
      <c r="D49" t="str">
        <f t="shared" si="0"/>
        <v/>
      </c>
      <c r="E49">
        <f t="shared" si="1"/>
        <v>160</v>
      </c>
      <c r="F49" t="str">
        <f t="shared" si="2"/>
        <v/>
      </c>
      <c r="G49" t="str">
        <f t="shared" si="3"/>
        <v/>
      </c>
      <c r="H49">
        <f t="shared" si="4"/>
        <v>495</v>
      </c>
      <c r="I49" t="str">
        <f t="shared" si="5"/>
        <v/>
      </c>
      <c r="J49">
        <f>SUM($G$3:I49)</f>
        <v>26678</v>
      </c>
      <c r="K49">
        <f t="shared" si="7"/>
        <v>380</v>
      </c>
      <c r="L49">
        <f t="shared" si="8"/>
        <v>1.016</v>
      </c>
      <c r="M49">
        <f t="shared" si="9"/>
        <v>1.0044999999999999</v>
      </c>
      <c r="N49">
        <f t="shared" si="10"/>
        <v>5335.6</v>
      </c>
      <c r="O49">
        <f t="shared" si="11"/>
        <v>387.81735999999995</v>
      </c>
      <c r="P49">
        <f t="shared" si="12"/>
        <v>50</v>
      </c>
      <c r="Q49">
        <f t="shared" si="13"/>
        <v>0</v>
      </c>
      <c r="AP49" s="29">
        <v>470</v>
      </c>
      <c r="AQ49" s="30" t="s">
        <v>140</v>
      </c>
      <c r="AR49" s="31" t="s">
        <v>141</v>
      </c>
      <c r="AS49" s="30">
        <f t="shared" si="19"/>
        <v>5150</v>
      </c>
      <c r="AV49" s="97">
        <v>470</v>
      </c>
      <c r="AW49" s="97">
        <v>3</v>
      </c>
      <c r="AX49" s="97"/>
      <c r="AY49" s="100">
        <v>98</v>
      </c>
      <c r="AZ49" s="100">
        <v>1</v>
      </c>
    </row>
    <row r="50" spans="1:52" x14ac:dyDescent="0.25">
      <c r="A50">
        <v>48</v>
      </c>
      <c r="B50">
        <f t="shared" si="17"/>
        <v>2</v>
      </c>
      <c r="C50">
        <f t="shared" si="18"/>
        <v>2</v>
      </c>
      <c r="D50" t="str">
        <f t="shared" si="0"/>
        <v/>
      </c>
      <c r="E50">
        <f t="shared" si="1"/>
        <v>170</v>
      </c>
      <c r="F50" t="str">
        <f t="shared" si="2"/>
        <v/>
      </c>
      <c r="G50" t="str">
        <f t="shared" si="3"/>
        <v/>
      </c>
      <c r="H50">
        <f t="shared" si="4"/>
        <v>522</v>
      </c>
      <c r="I50" t="str">
        <f t="shared" si="5"/>
        <v/>
      </c>
      <c r="J50">
        <f>SUM($G$3:I50)</f>
        <v>27200</v>
      </c>
      <c r="K50">
        <f t="shared" si="7"/>
        <v>380</v>
      </c>
      <c r="L50">
        <f t="shared" si="8"/>
        <v>1.0169999999999999</v>
      </c>
      <c r="M50">
        <f t="shared" si="9"/>
        <v>1.0044999999999999</v>
      </c>
      <c r="N50">
        <f t="shared" si="10"/>
        <v>5440</v>
      </c>
      <c r="O50">
        <f t="shared" si="11"/>
        <v>388.19906999999995</v>
      </c>
      <c r="P50">
        <f t="shared" si="12"/>
        <v>50</v>
      </c>
      <c r="Q50">
        <f t="shared" si="13"/>
        <v>0</v>
      </c>
      <c r="AP50" s="32">
        <v>480</v>
      </c>
      <c r="AQ50" s="33" t="s">
        <v>131</v>
      </c>
      <c r="AR50" s="34"/>
      <c r="AS50" s="33">
        <f t="shared" si="19"/>
        <v>5150</v>
      </c>
      <c r="AV50" s="97">
        <v>480</v>
      </c>
      <c r="AW50" s="97">
        <v>4</v>
      </c>
      <c r="AX50" s="97" t="s">
        <v>293</v>
      </c>
      <c r="AY50" s="97"/>
      <c r="AZ50" s="97"/>
    </row>
    <row r="51" spans="1:52" x14ac:dyDescent="0.25">
      <c r="A51">
        <v>49</v>
      </c>
      <c r="B51">
        <f t="shared" si="17"/>
        <v>2</v>
      </c>
      <c r="C51">
        <f t="shared" si="18"/>
        <v>2</v>
      </c>
      <c r="D51" t="str">
        <f t="shared" si="0"/>
        <v/>
      </c>
      <c r="E51">
        <f t="shared" si="1"/>
        <v>180</v>
      </c>
      <c r="F51" t="str">
        <f t="shared" si="2"/>
        <v/>
      </c>
      <c r="G51" t="str">
        <f t="shared" si="3"/>
        <v/>
      </c>
      <c r="H51">
        <f t="shared" si="4"/>
        <v>549</v>
      </c>
      <c r="I51" t="str">
        <f t="shared" si="5"/>
        <v/>
      </c>
      <c r="J51">
        <f>SUM($G$3:I51)</f>
        <v>27749</v>
      </c>
      <c r="K51">
        <f t="shared" si="7"/>
        <v>380</v>
      </c>
      <c r="L51">
        <f t="shared" si="8"/>
        <v>1.018</v>
      </c>
      <c r="M51">
        <f t="shared" si="9"/>
        <v>1.0044999999999999</v>
      </c>
      <c r="N51">
        <f t="shared" si="10"/>
        <v>5549.8</v>
      </c>
      <c r="O51">
        <f t="shared" si="11"/>
        <v>388.58078</v>
      </c>
      <c r="P51">
        <f t="shared" si="12"/>
        <v>50</v>
      </c>
      <c r="Q51">
        <f t="shared" si="13"/>
        <v>0</v>
      </c>
      <c r="AP51" s="26">
        <v>490</v>
      </c>
      <c r="AQ51" s="27" t="s">
        <v>154</v>
      </c>
      <c r="AR51" s="28"/>
      <c r="AS51" s="27">
        <f t="shared" si="19"/>
        <v>5900</v>
      </c>
      <c r="AV51" s="97">
        <v>490</v>
      </c>
      <c r="AW51" s="97">
        <v>1</v>
      </c>
      <c r="AX51" s="97"/>
      <c r="AY51" s="97">
        <v>3</v>
      </c>
      <c r="AZ51" s="97">
        <v>750</v>
      </c>
    </row>
    <row r="52" spans="1:52" x14ac:dyDescent="0.25">
      <c r="A52">
        <v>50</v>
      </c>
      <c r="B52">
        <f t="shared" si="17"/>
        <v>2</v>
      </c>
      <c r="C52">
        <f t="shared" si="18"/>
        <v>2</v>
      </c>
      <c r="D52" t="str">
        <f t="shared" si="0"/>
        <v/>
      </c>
      <c r="E52">
        <f t="shared" si="1"/>
        <v>190</v>
      </c>
      <c r="F52" t="str">
        <f t="shared" si="2"/>
        <v/>
      </c>
      <c r="G52" t="str">
        <f t="shared" si="3"/>
        <v/>
      </c>
      <c r="H52">
        <f t="shared" si="4"/>
        <v>576</v>
      </c>
      <c r="I52" t="str">
        <f t="shared" si="5"/>
        <v/>
      </c>
      <c r="J52">
        <f>SUM($G$3:I52)</f>
        <v>28325</v>
      </c>
      <c r="K52">
        <f t="shared" si="7"/>
        <v>380</v>
      </c>
      <c r="L52">
        <f t="shared" si="8"/>
        <v>1.0189999999999999</v>
      </c>
      <c r="M52">
        <f t="shared" si="9"/>
        <v>1.0044999999999999</v>
      </c>
      <c r="N52">
        <f t="shared" si="10"/>
        <v>5665</v>
      </c>
      <c r="O52">
        <f t="shared" si="11"/>
        <v>388.96248999999995</v>
      </c>
      <c r="P52">
        <f t="shared" si="12"/>
        <v>50</v>
      </c>
      <c r="Q52">
        <f t="shared" si="13"/>
        <v>0</v>
      </c>
      <c r="AP52" s="29">
        <v>500</v>
      </c>
      <c r="AQ52" s="30" t="s">
        <v>136</v>
      </c>
      <c r="AR52" s="31" t="s">
        <v>137</v>
      </c>
      <c r="AS52" s="30">
        <f t="shared" si="19"/>
        <v>5900</v>
      </c>
      <c r="AV52" s="97">
        <v>500</v>
      </c>
      <c r="AW52" s="97">
        <v>3</v>
      </c>
      <c r="AX52" s="97"/>
      <c r="AY52" s="97">
        <v>99</v>
      </c>
      <c r="AZ52" s="97">
        <v>1</v>
      </c>
    </row>
    <row r="53" spans="1:52" x14ac:dyDescent="0.25">
      <c r="A53">
        <v>51</v>
      </c>
      <c r="B53">
        <f t="shared" si="17"/>
        <v>2</v>
      </c>
      <c r="C53">
        <f t="shared" si="18"/>
        <v>3</v>
      </c>
      <c r="D53" t="str">
        <f t="shared" si="0"/>
        <v/>
      </c>
      <c r="E53" t="str">
        <f t="shared" si="1"/>
        <v/>
      </c>
      <c r="F53">
        <f t="shared" si="2"/>
        <v>50</v>
      </c>
      <c r="G53" t="str">
        <f t="shared" si="3"/>
        <v/>
      </c>
      <c r="H53" t="str">
        <f t="shared" si="4"/>
        <v/>
      </c>
      <c r="I53">
        <f t="shared" si="5"/>
        <v>250</v>
      </c>
      <c r="J53">
        <f>SUM($G$3:I53)</f>
        <v>28575</v>
      </c>
      <c r="K53">
        <f t="shared" si="7"/>
        <v>380</v>
      </c>
      <c r="L53">
        <f t="shared" si="8"/>
        <v>1.0189999999999999</v>
      </c>
      <c r="M53">
        <f t="shared" si="9"/>
        <v>1.0049999999999999</v>
      </c>
      <c r="N53">
        <f t="shared" si="10"/>
        <v>5715</v>
      </c>
      <c r="O53">
        <f t="shared" si="11"/>
        <v>389.15609999999992</v>
      </c>
      <c r="P53">
        <f t="shared" si="12"/>
        <v>50</v>
      </c>
      <c r="Q53">
        <f t="shared" si="13"/>
        <v>0</v>
      </c>
      <c r="AP53" s="32">
        <v>510</v>
      </c>
      <c r="AQ53" s="33" t="s">
        <v>131</v>
      </c>
      <c r="AR53" s="34"/>
      <c r="AS53" s="33">
        <f t="shared" si="19"/>
        <v>5900</v>
      </c>
      <c r="AV53" s="97">
        <v>510</v>
      </c>
      <c r="AW53" s="97">
        <v>4</v>
      </c>
      <c r="AX53" s="97" t="s">
        <v>294</v>
      </c>
      <c r="AY53" s="97"/>
      <c r="AZ53" s="97"/>
    </row>
    <row r="54" spans="1:52" x14ac:dyDescent="0.25">
      <c r="A54">
        <v>52</v>
      </c>
      <c r="B54">
        <f t="shared" si="17"/>
        <v>2</v>
      </c>
      <c r="C54">
        <f t="shared" si="18"/>
        <v>3</v>
      </c>
      <c r="D54" t="str">
        <f t="shared" si="0"/>
        <v/>
      </c>
      <c r="E54" t="str">
        <f t="shared" si="1"/>
        <v/>
      </c>
      <c r="F54">
        <f t="shared" si="2"/>
        <v>55</v>
      </c>
      <c r="G54" t="str">
        <f t="shared" si="3"/>
        <v/>
      </c>
      <c r="H54" t="str">
        <f t="shared" si="4"/>
        <v/>
      </c>
      <c r="I54">
        <f t="shared" si="5"/>
        <v>270</v>
      </c>
      <c r="J54">
        <f>SUM($G$3:I54)</f>
        <v>28845</v>
      </c>
      <c r="K54">
        <f t="shared" si="7"/>
        <v>380</v>
      </c>
      <c r="L54">
        <f t="shared" si="8"/>
        <v>1.0189999999999999</v>
      </c>
      <c r="M54">
        <f t="shared" si="9"/>
        <v>1.0055000000000001</v>
      </c>
      <c r="N54">
        <f t="shared" si="10"/>
        <v>5769</v>
      </c>
      <c r="O54">
        <f t="shared" si="11"/>
        <v>389.34971000000002</v>
      </c>
      <c r="P54">
        <f t="shared" si="12"/>
        <v>50</v>
      </c>
      <c r="Q54">
        <f t="shared" si="13"/>
        <v>0</v>
      </c>
      <c r="AP54" s="26">
        <v>520</v>
      </c>
      <c r="AQ54" s="27" t="s">
        <v>155</v>
      </c>
      <c r="AR54" s="28"/>
      <c r="AS54" s="27">
        <f t="shared" si="19"/>
        <v>6700</v>
      </c>
      <c r="AV54" s="97">
        <v>520</v>
      </c>
      <c r="AW54" s="97">
        <v>1</v>
      </c>
      <c r="AX54" s="97"/>
      <c r="AY54" s="97">
        <v>3</v>
      </c>
      <c r="AZ54" s="97">
        <v>800</v>
      </c>
    </row>
    <row r="55" spans="1:52" x14ac:dyDescent="0.25">
      <c r="A55">
        <v>53</v>
      </c>
      <c r="B55">
        <f t="shared" si="17"/>
        <v>2</v>
      </c>
      <c r="C55">
        <f t="shared" si="18"/>
        <v>3</v>
      </c>
      <c r="D55" t="str">
        <f t="shared" si="0"/>
        <v/>
      </c>
      <c r="E55" t="str">
        <f t="shared" si="1"/>
        <v/>
      </c>
      <c r="F55">
        <f t="shared" si="2"/>
        <v>60</v>
      </c>
      <c r="G55" t="str">
        <f t="shared" si="3"/>
        <v/>
      </c>
      <c r="H55" t="str">
        <f t="shared" si="4"/>
        <v/>
      </c>
      <c r="I55">
        <f t="shared" si="5"/>
        <v>290</v>
      </c>
      <c r="J55">
        <f>SUM($G$3:I55)</f>
        <v>29135</v>
      </c>
      <c r="K55">
        <f t="shared" si="7"/>
        <v>380</v>
      </c>
      <c r="L55">
        <f t="shared" si="8"/>
        <v>1.0189999999999999</v>
      </c>
      <c r="M55">
        <f t="shared" si="9"/>
        <v>1.006</v>
      </c>
      <c r="N55">
        <f t="shared" si="10"/>
        <v>5827</v>
      </c>
      <c r="O55">
        <f t="shared" si="11"/>
        <v>389.54331999999999</v>
      </c>
      <c r="P55">
        <f t="shared" si="12"/>
        <v>50</v>
      </c>
      <c r="Q55">
        <f t="shared" si="13"/>
        <v>0</v>
      </c>
      <c r="AP55" s="29">
        <v>530</v>
      </c>
      <c r="AQ55" s="30" t="s">
        <v>140</v>
      </c>
      <c r="AR55" s="31" t="s">
        <v>141</v>
      </c>
      <c r="AS55" s="30">
        <f t="shared" si="19"/>
        <v>6700</v>
      </c>
      <c r="AV55" s="97">
        <v>530</v>
      </c>
      <c r="AW55" s="97">
        <v>3</v>
      </c>
      <c r="AX55" s="97"/>
      <c r="AY55" s="100">
        <v>98</v>
      </c>
      <c r="AZ55" s="100">
        <v>1</v>
      </c>
    </row>
    <row r="56" spans="1:52" x14ac:dyDescent="0.25">
      <c r="A56">
        <v>54</v>
      </c>
      <c r="B56">
        <f t="shared" si="17"/>
        <v>2</v>
      </c>
      <c r="C56">
        <f t="shared" si="18"/>
        <v>3</v>
      </c>
      <c r="D56" t="str">
        <f t="shared" si="0"/>
        <v/>
      </c>
      <c r="E56" t="str">
        <f t="shared" si="1"/>
        <v/>
      </c>
      <c r="F56">
        <f t="shared" si="2"/>
        <v>65</v>
      </c>
      <c r="G56" t="str">
        <f t="shared" si="3"/>
        <v/>
      </c>
      <c r="H56" t="str">
        <f t="shared" si="4"/>
        <v/>
      </c>
      <c r="I56">
        <f t="shared" si="5"/>
        <v>310</v>
      </c>
      <c r="J56">
        <f>SUM($G$3:I56)</f>
        <v>29445</v>
      </c>
      <c r="K56">
        <f t="shared" si="7"/>
        <v>380</v>
      </c>
      <c r="L56">
        <f t="shared" si="8"/>
        <v>1.0189999999999999</v>
      </c>
      <c r="M56">
        <f t="shared" si="9"/>
        <v>1.0065</v>
      </c>
      <c r="N56">
        <f t="shared" si="10"/>
        <v>5889</v>
      </c>
      <c r="O56">
        <f t="shared" si="11"/>
        <v>389.73692999999997</v>
      </c>
      <c r="P56">
        <f t="shared" si="12"/>
        <v>50</v>
      </c>
      <c r="Q56">
        <f t="shared" si="13"/>
        <v>0</v>
      </c>
      <c r="AP56" s="32">
        <v>540</v>
      </c>
      <c r="AQ56" s="33" t="s">
        <v>131</v>
      </c>
      <c r="AR56" s="34"/>
      <c r="AS56" s="33">
        <f t="shared" si="19"/>
        <v>6700</v>
      </c>
      <c r="AV56" s="97">
        <v>540</v>
      </c>
      <c r="AW56" s="97">
        <v>4</v>
      </c>
      <c r="AX56" s="97" t="s">
        <v>295</v>
      </c>
      <c r="AY56" s="97"/>
      <c r="AZ56" s="97"/>
    </row>
    <row r="57" spans="1:52" x14ac:dyDescent="0.25">
      <c r="A57">
        <v>55</v>
      </c>
      <c r="B57">
        <f t="shared" si="17"/>
        <v>2</v>
      </c>
      <c r="C57">
        <f t="shared" si="18"/>
        <v>3</v>
      </c>
      <c r="D57" t="str">
        <f t="shared" si="0"/>
        <v/>
      </c>
      <c r="E57" t="str">
        <f t="shared" si="1"/>
        <v/>
      </c>
      <c r="F57">
        <f t="shared" si="2"/>
        <v>70</v>
      </c>
      <c r="G57" t="str">
        <f t="shared" si="3"/>
        <v/>
      </c>
      <c r="H57" t="str">
        <f t="shared" si="4"/>
        <v/>
      </c>
      <c r="I57">
        <f t="shared" si="5"/>
        <v>330</v>
      </c>
      <c r="J57">
        <f>SUM($G$3:I57)</f>
        <v>29775</v>
      </c>
      <c r="K57">
        <f t="shared" si="7"/>
        <v>380</v>
      </c>
      <c r="L57">
        <f t="shared" si="8"/>
        <v>1.0189999999999999</v>
      </c>
      <c r="M57">
        <f t="shared" si="9"/>
        <v>1.0069999999999999</v>
      </c>
      <c r="N57">
        <f t="shared" si="10"/>
        <v>5955</v>
      </c>
      <c r="O57">
        <f t="shared" si="11"/>
        <v>389.93053999999995</v>
      </c>
      <c r="P57">
        <f t="shared" si="12"/>
        <v>50</v>
      </c>
      <c r="Q57">
        <f t="shared" si="13"/>
        <v>0</v>
      </c>
      <c r="AP57" s="26">
        <v>550</v>
      </c>
      <c r="AQ57" s="27" t="s">
        <v>156</v>
      </c>
      <c r="AR57" s="28"/>
      <c r="AS57" s="27">
        <f t="shared" si="19"/>
        <v>7700</v>
      </c>
      <c r="AV57" s="97">
        <v>550</v>
      </c>
      <c r="AW57" s="97">
        <v>1</v>
      </c>
      <c r="AX57" s="97"/>
      <c r="AY57" s="97">
        <v>3</v>
      </c>
      <c r="AZ57" s="97">
        <v>1000</v>
      </c>
    </row>
    <row r="58" spans="1:52" x14ac:dyDescent="0.25">
      <c r="A58">
        <v>56</v>
      </c>
      <c r="B58">
        <f t="shared" si="17"/>
        <v>2</v>
      </c>
      <c r="C58">
        <f t="shared" si="18"/>
        <v>3</v>
      </c>
      <c r="D58" t="str">
        <f t="shared" si="0"/>
        <v/>
      </c>
      <c r="E58" t="str">
        <f t="shared" si="1"/>
        <v/>
      </c>
      <c r="F58">
        <f t="shared" si="2"/>
        <v>75</v>
      </c>
      <c r="G58" t="str">
        <f t="shared" si="3"/>
        <v/>
      </c>
      <c r="H58" t="str">
        <f t="shared" si="4"/>
        <v/>
      </c>
      <c r="I58">
        <f t="shared" si="5"/>
        <v>350</v>
      </c>
      <c r="J58">
        <f>SUM($G$3:I58)</f>
        <v>30125</v>
      </c>
      <c r="K58">
        <f t="shared" si="7"/>
        <v>380</v>
      </c>
      <c r="L58">
        <f t="shared" si="8"/>
        <v>1.0189999999999999</v>
      </c>
      <c r="M58">
        <f t="shared" si="9"/>
        <v>1.0075000000000001</v>
      </c>
      <c r="N58">
        <f t="shared" si="10"/>
        <v>6025</v>
      </c>
      <c r="O58">
        <f t="shared" si="11"/>
        <v>390.12414999999999</v>
      </c>
      <c r="P58">
        <f t="shared" si="12"/>
        <v>50</v>
      </c>
      <c r="Q58">
        <f t="shared" si="13"/>
        <v>0</v>
      </c>
      <c r="AP58" s="29">
        <v>560</v>
      </c>
      <c r="AQ58" s="30" t="s">
        <v>136</v>
      </c>
      <c r="AR58" s="31" t="s">
        <v>137</v>
      </c>
      <c r="AS58" s="30">
        <f t="shared" si="19"/>
        <v>7700</v>
      </c>
      <c r="AV58" s="97">
        <v>560</v>
      </c>
      <c r="AW58" s="97">
        <v>3</v>
      </c>
      <c r="AX58" s="97"/>
      <c r="AY58" s="97">
        <v>99</v>
      </c>
      <c r="AZ58" s="97">
        <v>1</v>
      </c>
    </row>
    <row r="59" spans="1:52" x14ac:dyDescent="0.25">
      <c r="A59">
        <v>57</v>
      </c>
      <c r="B59">
        <f t="shared" si="17"/>
        <v>2</v>
      </c>
      <c r="C59">
        <f t="shared" si="18"/>
        <v>3</v>
      </c>
      <c r="D59" t="str">
        <f t="shared" si="0"/>
        <v/>
      </c>
      <c r="E59" t="str">
        <f t="shared" si="1"/>
        <v/>
      </c>
      <c r="F59">
        <f t="shared" si="2"/>
        <v>80</v>
      </c>
      <c r="G59" t="str">
        <f t="shared" si="3"/>
        <v/>
      </c>
      <c r="H59" t="str">
        <f t="shared" si="4"/>
        <v/>
      </c>
      <c r="I59">
        <f t="shared" si="5"/>
        <v>370</v>
      </c>
      <c r="J59">
        <f>SUM($G$3:I59)</f>
        <v>30495</v>
      </c>
      <c r="K59">
        <f t="shared" si="7"/>
        <v>380</v>
      </c>
      <c r="L59">
        <f t="shared" si="8"/>
        <v>1.0189999999999999</v>
      </c>
      <c r="M59">
        <f t="shared" si="9"/>
        <v>1.008</v>
      </c>
      <c r="N59">
        <f t="shared" si="10"/>
        <v>6099</v>
      </c>
      <c r="O59">
        <f t="shared" si="11"/>
        <v>390.31775999999996</v>
      </c>
      <c r="P59">
        <f t="shared" si="12"/>
        <v>50</v>
      </c>
      <c r="Q59">
        <f t="shared" si="13"/>
        <v>0</v>
      </c>
      <c r="AP59" s="32">
        <v>570</v>
      </c>
      <c r="AQ59" s="33" t="s">
        <v>131</v>
      </c>
      <c r="AR59" s="34"/>
      <c r="AS59" s="33">
        <f t="shared" si="19"/>
        <v>7700</v>
      </c>
      <c r="AV59" s="97">
        <v>570</v>
      </c>
      <c r="AW59" s="97">
        <v>4</v>
      </c>
      <c r="AX59" s="97" t="s">
        <v>296</v>
      </c>
      <c r="AY59" s="97"/>
      <c r="AZ59" s="97"/>
    </row>
    <row r="60" spans="1:52" x14ac:dyDescent="0.25">
      <c r="A60">
        <v>58</v>
      </c>
      <c r="B60">
        <f t="shared" si="17"/>
        <v>2</v>
      </c>
      <c r="C60">
        <f t="shared" si="18"/>
        <v>3</v>
      </c>
      <c r="D60" t="str">
        <f t="shared" si="0"/>
        <v/>
      </c>
      <c r="E60" t="str">
        <f t="shared" si="1"/>
        <v/>
      </c>
      <c r="F60">
        <f t="shared" si="2"/>
        <v>85</v>
      </c>
      <c r="G60" t="str">
        <f t="shared" si="3"/>
        <v/>
      </c>
      <c r="H60" t="str">
        <f t="shared" si="4"/>
        <v/>
      </c>
      <c r="I60">
        <f t="shared" si="5"/>
        <v>390</v>
      </c>
      <c r="J60">
        <f>SUM($G$3:I60)</f>
        <v>30885</v>
      </c>
      <c r="K60">
        <f t="shared" si="7"/>
        <v>380</v>
      </c>
      <c r="L60">
        <f t="shared" si="8"/>
        <v>1.0189999999999999</v>
      </c>
      <c r="M60">
        <f t="shared" si="9"/>
        <v>1.0085</v>
      </c>
      <c r="N60">
        <f t="shared" si="10"/>
        <v>6177</v>
      </c>
      <c r="O60">
        <f t="shared" si="11"/>
        <v>390.51136999999994</v>
      </c>
      <c r="P60">
        <f t="shared" si="12"/>
        <v>50</v>
      </c>
      <c r="Q60">
        <f t="shared" si="13"/>
        <v>0</v>
      </c>
      <c r="AP60" s="26">
        <v>580</v>
      </c>
      <c r="AQ60" s="27" t="s">
        <v>157</v>
      </c>
      <c r="AR60" s="28"/>
      <c r="AS60" s="27">
        <f t="shared" si="19"/>
        <v>9200</v>
      </c>
      <c r="AV60" s="97">
        <v>580</v>
      </c>
      <c r="AW60" s="97">
        <v>1</v>
      </c>
      <c r="AX60" s="97"/>
      <c r="AY60" s="97">
        <v>3</v>
      </c>
      <c r="AZ60" s="97">
        <v>1500</v>
      </c>
    </row>
    <row r="61" spans="1:52" x14ac:dyDescent="0.25">
      <c r="A61">
        <v>59</v>
      </c>
      <c r="B61">
        <f t="shared" si="17"/>
        <v>2</v>
      </c>
      <c r="C61">
        <f t="shared" si="18"/>
        <v>3</v>
      </c>
      <c r="D61" t="str">
        <f t="shared" si="0"/>
        <v/>
      </c>
      <c r="E61" t="str">
        <f t="shared" si="1"/>
        <v/>
      </c>
      <c r="F61">
        <f t="shared" si="2"/>
        <v>90</v>
      </c>
      <c r="G61" t="str">
        <f t="shared" si="3"/>
        <v/>
      </c>
      <c r="H61" t="str">
        <f t="shared" si="4"/>
        <v/>
      </c>
      <c r="I61">
        <f t="shared" si="5"/>
        <v>410</v>
      </c>
      <c r="J61">
        <f>SUM($G$3:I61)</f>
        <v>31295</v>
      </c>
      <c r="K61">
        <f t="shared" si="7"/>
        <v>380</v>
      </c>
      <c r="L61">
        <f t="shared" si="8"/>
        <v>1.0189999999999999</v>
      </c>
      <c r="M61">
        <f t="shared" si="9"/>
        <v>1.0089999999999999</v>
      </c>
      <c r="N61">
        <f t="shared" si="10"/>
        <v>6259</v>
      </c>
      <c r="O61">
        <f t="shared" si="11"/>
        <v>390.70497999999992</v>
      </c>
      <c r="P61">
        <f t="shared" si="12"/>
        <v>50</v>
      </c>
      <c r="Q61">
        <f t="shared" si="13"/>
        <v>0</v>
      </c>
      <c r="AP61" s="29">
        <v>590</v>
      </c>
      <c r="AQ61" s="30" t="s">
        <v>136</v>
      </c>
      <c r="AR61" s="31" t="s">
        <v>137</v>
      </c>
      <c r="AS61" s="30">
        <f t="shared" si="19"/>
        <v>9200</v>
      </c>
      <c r="AV61" s="97">
        <v>590</v>
      </c>
      <c r="AW61" s="97">
        <v>3</v>
      </c>
      <c r="AX61" s="97"/>
      <c r="AY61" s="97">
        <v>99</v>
      </c>
      <c r="AZ61" s="97">
        <v>1</v>
      </c>
    </row>
    <row r="62" spans="1:52" x14ac:dyDescent="0.25">
      <c r="A62">
        <v>60</v>
      </c>
      <c r="B62">
        <f t="shared" si="17"/>
        <v>2</v>
      </c>
      <c r="C62">
        <f t="shared" si="18"/>
        <v>3</v>
      </c>
      <c r="D62" t="str">
        <f t="shared" si="0"/>
        <v/>
      </c>
      <c r="E62" t="str">
        <f t="shared" si="1"/>
        <v/>
      </c>
      <c r="F62">
        <f t="shared" si="2"/>
        <v>95</v>
      </c>
      <c r="G62" t="str">
        <f t="shared" si="3"/>
        <v/>
      </c>
      <c r="H62" t="str">
        <f t="shared" si="4"/>
        <v/>
      </c>
      <c r="I62">
        <f t="shared" si="5"/>
        <v>430</v>
      </c>
      <c r="J62">
        <f>SUM($G$3:I62)</f>
        <v>31725</v>
      </c>
      <c r="K62">
        <f t="shared" si="7"/>
        <v>380</v>
      </c>
      <c r="L62">
        <f t="shared" si="8"/>
        <v>1.0189999999999999</v>
      </c>
      <c r="M62">
        <f t="shared" si="9"/>
        <v>1.0095000000000001</v>
      </c>
      <c r="N62">
        <f t="shared" si="10"/>
        <v>6345</v>
      </c>
      <c r="O62">
        <f t="shared" si="11"/>
        <v>390.89859000000001</v>
      </c>
      <c r="P62">
        <f t="shared" si="12"/>
        <v>50</v>
      </c>
      <c r="Q62">
        <f t="shared" si="13"/>
        <v>0</v>
      </c>
      <c r="AP62" s="32">
        <v>600</v>
      </c>
      <c r="AQ62" s="33" t="s">
        <v>131</v>
      </c>
      <c r="AR62" s="34"/>
      <c r="AS62" s="33">
        <f t="shared" si="19"/>
        <v>9200</v>
      </c>
      <c r="AV62" s="97">
        <v>600</v>
      </c>
      <c r="AW62" s="97">
        <v>4</v>
      </c>
      <c r="AX62" s="97" t="s">
        <v>297</v>
      </c>
      <c r="AY62" s="97"/>
      <c r="AZ62" s="97"/>
    </row>
    <row r="63" spans="1:52" x14ac:dyDescent="0.25">
      <c r="A63">
        <v>61</v>
      </c>
      <c r="B63">
        <f t="shared" si="17"/>
        <v>3</v>
      </c>
      <c r="C63">
        <f t="shared" si="18"/>
        <v>1</v>
      </c>
      <c r="D63">
        <f t="shared" si="0"/>
        <v>40</v>
      </c>
      <c r="E63" t="str">
        <f t="shared" si="1"/>
        <v/>
      </c>
      <c r="F63" t="str">
        <f t="shared" si="2"/>
        <v/>
      </c>
      <c r="G63">
        <f t="shared" si="3"/>
        <v>2000</v>
      </c>
      <c r="H63" t="str">
        <f t="shared" si="4"/>
        <v/>
      </c>
      <c r="I63" t="str">
        <f t="shared" si="5"/>
        <v/>
      </c>
      <c r="J63">
        <f>SUM($G$3:I63)</f>
        <v>33725</v>
      </c>
      <c r="K63">
        <f t="shared" si="7"/>
        <v>400</v>
      </c>
      <c r="L63">
        <f t="shared" si="8"/>
        <v>1.0189999999999999</v>
      </c>
      <c r="M63">
        <f t="shared" si="9"/>
        <v>1.0095000000000001</v>
      </c>
      <c r="N63">
        <f t="shared" si="10"/>
        <v>6745</v>
      </c>
      <c r="O63">
        <f t="shared" si="11"/>
        <v>411.47219999999999</v>
      </c>
      <c r="P63">
        <f t="shared" si="12"/>
        <v>50</v>
      </c>
      <c r="Q63">
        <f t="shared" si="13"/>
        <v>0</v>
      </c>
      <c r="AP63" s="26">
        <v>610</v>
      </c>
      <c r="AQ63" s="27" t="s">
        <v>158</v>
      </c>
      <c r="AR63" s="28"/>
      <c r="AS63" s="27">
        <f t="shared" si="19"/>
        <v>10800</v>
      </c>
      <c r="AV63" s="97">
        <v>610</v>
      </c>
      <c r="AW63" s="97">
        <v>1</v>
      </c>
      <c r="AX63" s="97"/>
      <c r="AY63" s="97">
        <v>3</v>
      </c>
      <c r="AZ63" s="97">
        <v>1600</v>
      </c>
    </row>
    <row r="64" spans="1:52" x14ac:dyDescent="0.25">
      <c r="A64">
        <v>62</v>
      </c>
      <c r="B64">
        <f t="shared" si="17"/>
        <v>3</v>
      </c>
      <c r="C64">
        <f t="shared" si="18"/>
        <v>1</v>
      </c>
      <c r="D64">
        <f t="shared" si="0"/>
        <v>43</v>
      </c>
      <c r="E64" t="str">
        <f t="shared" si="1"/>
        <v/>
      </c>
      <c r="F64" t="str">
        <f t="shared" si="2"/>
        <v/>
      </c>
      <c r="G64">
        <f t="shared" si="3"/>
        <v>2100</v>
      </c>
      <c r="H64" t="str">
        <f t="shared" si="4"/>
        <v/>
      </c>
      <c r="I64" t="str">
        <f t="shared" si="5"/>
        <v/>
      </c>
      <c r="J64">
        <f>SUM($G$3:I64)</f>
        <v>35825</v>
      </c>
      <c r="K64">
        <f t="shared" si="7"/>
        <v>430</v>
      </c>
      <c r="L64">
        <f t="shared" si="8"/>
        <v>1.0189999999999999</v>
      </c>
      <c r="M64">
        <f t="shared" si="9"/>
        <v>1.0095000000000001</v>
      </c>
      <c r="N64">
        <f t="shared" si="10"/>
        <v>7165</v>
      </c>
      <c r="O64">
        <f t="shared" si="11"/>
        <v>442.33261499999998</v>
      </c>
      <c r="P64">
        <f t="shared" si="12"/>
        <v>50</v>
      </c>
      <c r="Q64">
        <f t="shared" si="13"/>
        <v>0</v>
      </c>
      <c r="AP64" s="29">
        <v>620</v>
      </c>
      <c r="AQ64" s="30" t="s">
        <v>140</v>
      </c>
      <c r="AR64" s="31" t="s">
        <v>141</v>
      </c>
      <c r="AS64" s="30">
        <f t="shared" si="19"/>
        <v>10800</v>
      </c>
      <c r="AV64" s="97">
        <v>620</v>
      </c>
      <c r="AW64" s="97">
        <v>3</v>
      </c>
      <c r="AX64" s="97"/>
      <c r="AY64" s="100">
        <v>98</v>
      </c>
      <c r="AZ64" s="100">
        <v>1</v>
      </c>
    </row>
    <row r="65" spans="1:52" x14ac:dyDescent="0.25">
      <c r="A65">
        <v>63</v>
      </c>
      <c r="B65">
        <f t="shared" si="17"/>
        <v>3</v>
      </c>
      <c r="C65">
        <f t="shared" si="18"/>
        <v>1</v>
      </c>
      <c r="D65">
        <f t="shared" si="0"/>
        <v>46</v>
      </c>
      <c r="E65" t="str">
        <f t="shared" si="1"/>
        <v/>
      </c>
      <c r="F65" t="str">
        <f t="shared" si="2"/>
        <v/>
      </c>
      <c r="G65">
        <f t="shared" si="3"/>
        <v>2200</v>
      </c>
      <c r="H65" t="str">
        <f t="shared" si="4"/>
        <v/>
      </c>
      <c r="I65" t="str">
        <f t="shared" si="5"/>
        <v/>
      </c>
      <c r="J65">
        <f>SUM($G$3:I65)</f>
        <v>38025</v>
      </c>
      <c r="K65">
        <f t="shared" si="7"/>
        <v>459.99999999999994</v>
      </c>
      <c r="L65">
        <f t="shared" si="8"/>
        <v>1.0189999999999999</v>
      </c>
      <c r="M65">
        <f t="shared" si="9"/>
        <v>1.0095000000000001</v>
      </c>
      <c r="N65">
        <f t="shared" si="10"/>
        <v>7605</v>
      </c>
      <c r="O65">
        <f t="shared" si="11"/>
        <v>473.19302999999991</v>
      </c>
      <c r="P65">
        <f t="shared" si="12"/>
        <v>50</v>
      </c>
      <c r="Q65">
        <f t="shared" si="13"/>
        <v>0</v>
      </c>
      <c r="AP65" s="32">
        <v>630</v>
      </c>
      <c r="AQ65" s="33" t="s">
        <v>131</v>
      </c>
      <c r="AR65" s="34"/>
      <c r="AS65" s="33">
        <f t="shared" si="19"/>
        <v>10800</v>
      </c>
      <c r="AV65" s="97">
        <v>630</v>
      </c>
      <c r="AW65" s="97">
        <v>4</v>
      </c>
      <c r="AX65" s="97" t="s">
        <v>298</v>
      </c>
      <c r="AY65" s="97"/>
      <c r="AZ65" s="97"/>
    </row>
    <row r="66" spans="1:52" x14ac:dyDescent="0.25">
      <c r="A66">
        <v>64</v>
      </c>
      <c r="B66">
        <f t="shared" si="17"/>
        <v>3</v>
      </c>
      <c r="C66">
        <f t="shared" si="18"/>
        <v>1</v>
      </c>
      <c r="D66">
        <f t="shared" si="0"/>
        <v>49</v>
      </c>
      <c r="E66" t="str">
        <f t="shared" si="1"/>
        <v/>
      </c>
      <c r="F66" t="str">
        <f t="shared" si="2"/>
        <v/>
      </c>
      <c r="G66">
        <f t="shared" si="3"/>
        <v>2300</v>
      </c>
      <c r="H66" t="str">
        <f t="shared" si="4"/>
        <v/>
      </c>
      <c r="I66" t="str">
        <f t="shared" si="5"/>
        <v/>
      </c>
      <c r="J66">
        <f>SUM($G$3:I66)</f>
        <v>40325</v>
      </c>
      <c r="K66">
        <f t="shared" si="7"/>
        <v>490.00000000000006</v>
      </c>
      <c r="L66">
        <f t="shared" si="8"/>
        <v>1.0189999999999999</v>
      </c>
      <c r="M66">
        <f t="shared" si="9"/>
        <v>1.0095000000000001</v>
      </c>
      <c r="N66">
        <f t="shared" si="10"/>
        <v>8065</v>
      </c>
      <c r="O66">
        <f t="shared" si="11"/>
        <v>504.05344500000001</v>
      </c>
      <c r="P66">
        <f t="shared" si="12"/>
        <v>50</v>
      </c>
      <c r="Q66">
        <f t="shared" si="13"/>
        <v>0</v>
      </c>
      <c r="AP66" s="26">
        <v>640</v>
      </c>
      <c r="AQ66" s="27" t="s">
        <v>159</v>
      </c>
      <c r="AR66" s="28"/>
      <c r="AS66" s="27">
        <f t="shared" si="19"/>
        <v>12500</v>
      </c>
      <c r="AV66" s="97">
        <v>640</v>
      </c>
      <c r="AW66" s="101">
        <v>1</v>
      </c>
      <c r="AX66" s="96"/>
      <c r="AY66" s="97">
        <v>3</v>
      </c>
      <c r="AZ66" s="97">
        <v>1700</v>
      </c>
    </row>
    <row r="67" spans="1:52" x14ac:dyDescent="0.25">
      <c r="A67">
        <v>65</v>
      </c>
      <c r="B67">
        <f t="shared" si="17"/>
        <v>3</v>
      </c>
      <c r="C67">
        <f t="shared" si="18"/>
        <v>1</v>
      </c>
      <c r="D67">
        <f t="shared" ref="D67:D130" si="21">IF($C67=1,INDEX($Z:$Z,MATCH($B67,$Y:$Y,0))+MOD($A67-1,10)*INDEX($AC:$AC,MATCH($B67,$Y:$Y,0)),"")</f>
        <v>52</v>
      </c>
      <c r="E67" t="str">
        <f t="shared" ref="E67:E130" si="22">IF($C67=2,INDEX($AA:$AA,MATCH($B67,$Y:$Y,0))+MOD($A67-1,10)*INDEX($AD:$AD,MATCH($B67,$Y:$Y,0)),"")</f>
        <v/>
      </c>
      <c r="F67" t="str">
        <f t="shared" ref="F67:F130" si="23">IF($C67=3,INDEX($AB:$AB,MATCH($B67,$Y:$Y,0))+MOD($A67-1,10)*INDEX($AE:$AE,MATCH($B67,$Y:$Y,0)),"")</f>
        <v/>
      </c>
      <c r="G67">
        <f t="shared" ref="G67:G130" si="24">IF($C67=1,INDEX($AF:$AF,MATCH($B67,$Y:$Y,0))+MOD($A67-1,10)*INDEX($AI:$AI,MATCH($B67,$Y:$Y,0)),"")</f>
        <v>2400</v>
      </c>
      <c r="H67" t="str">
        <f t="shared" ref="H67:H130" si="25">IF($C67=2,INDEX($AG:$AG,MATCH($B67,$Y:$Y,0))+MOD($A67-1,10)*INDEX($AJ:$AJ,MATCH($B67,$Y:$Y,0)),"")</f>
        <v/>
      </c>
      <c r="I67" t="str">
        <f t="shared" ref="I67:I130" si="26">IF($C67=3,INDEX($AH:$AH,MATCH($B67,$Y:$Y,0))+MOD($A67-1,10)*INDEX($AK:$AK,MATCH($B67,$Y:$Y,0)),"")</f>
        <v/>
      </c>
      <c r="J67">
        <f>SUM($G$3:I67)</f>
        <v>42725</v>
      </c>
      <c r="K67">
        <f t="shared" si="7"/>
        <v>520</v>
      </c>
      <c r="L67">
        <f t="shared" si="8"/>
        <v>1.0189999999999999</v>
      </c>
      <c r="M67">
        <f t="shared" si="9"/>
        <v>1.0095000000000001</v>
      </c>
      <c r="N67">
        <f t="shared" si="10"/>
        <v>8545</v>
      </c>
      <c r="O67">
        <f t="shared" si="11"/>
        <v>534.91386</v>
      </c>
      <c r="P67">
        <f t="shared" si="12"/>
        <v>50</v>
      </c>
      <c r="Q67">
        <f t="shared" si="13"/>
        <v>0</v>
      </c>
      <c r="AP67" s="29">
        <v>650</v>
      </c>
      <c r="AQ67" s="30" t="s">
        <v>140</v>
      </c>
      <c r="AR67" s="31" t="s">
        <v>141</v>
      </c>
      <c r="AS67" s="30">
        <f t="shared" ref="AS67:AS102" si="27">SUMIFS($AZ:$AZ,$AY:$AY,$BB$5,$AP:$AP,"&lt;="&amp;AP67,$AW:$AW,$AW$3)</f>
        <v>12500</v>
      </c>
      <c r="AV67" s="97">
        <v>650</v>
      </c>
      <c r="AW67" s="101">
        <v>3</v>
      </c>
      <c r="AX67" s="96"/>
      <c r="AY67" s="100">
        <v>98</v>
      </c>
      <c r="AZ67" s="100">
        <v>1</v>
      </c>
    </row>
    <row r="68" spans="1:52" x14ac:dyDescent="0.25">
      <c r="A68">
        <v>66</v>
      </c>
      <c r="B68">
        <f t="shared" si="17"/>
        <v>3</v>
      </c>
      <c r="C68">
        <f t="shared" si="18"/>
        <v>1</v>
      </c>
      <c r="D68">
        <f t="shared" si="21"/>
        <v>55</v>
      </c>
      <c r="E68" t="str">
        <f t="shared" si="22"/>
        <v/>
      </c>
      <c r="F68" t="str">
        <f t="shared" si="23"/>
        <v/>
      </c>
      <c r="G68">
        <f t="shared" si="24"/>
        <v>2500</v>
      </c>
      <c r="H68" t="str">
        <f t="shared" si="25"/>
        <v/>
      </c>
      <c r="I68" t="str">
        <f t="shared" si="26"/>
        <v/>
      </c>
      <c r="J68">
        <f>SUM($G$3:I68)</f>
        <v>45225</v>
      </c>
      <c r="K68">
        <f t="shared" ref="K68:K131" si="28">_xlfn.MAXIFS($D:$D,$A:$A,"&lt;="&amp;A68)/10*100</f>
        <v>550</v>
      </c>
      <c r="L68">
        <f t="shared" ref="L68:L131" si="29">_xlfn.MAXIFS($E:$E,$A:$A,"&lt;="&amp;A68)/10000+1</f>
        <v>1.0189999999999999</v>
      </c>
      <c r="M68">
        <f t="shared" ref="M68:M131" si="30">_xlfn.MAXIFS($F:$F,$A:$A,"&lt;="&amp;A68)/10000+1</f>
        <v>1.0095000000000001</v>
      </c>
      <c r="N68">
        <f t="shared" ref="N68:N131" si="31">J68*0.2</f>
        <v>9045</v>
      </c>
      <c r="O68">
        <f t="shared" ref="O68:O131" si="32">K68*L68*M68</f>
        <v>565.77427499999999</v>
      </c>
      <c r="P68">
        <f t="shared" ref="P68:P131" si="33">SUMIFS($AZ:$AZ,$AW:$AW,$AW$3,$AY:$AY,3,$AV:$AV,"&lt;="&amp;A68)</f>
        <v>50</v>
      </c>
      <c r="Q68">
        <f t="shared" ref="Q68:Q131" si="34">SUMIFS($AZ:$AZ,$AY:$AY,98,$AV:$AV,"&lt;="&amp;A68)*10/100</f>
        <v>0</v>
      </c>
      <c r="AP68" s="32">
        <v>660</v>
      </c>
      <c r="AQ68" s="33" t="s">
        <v>131</v>
      </c>
      <c r="AR68" s="34"/>
      <c r="AS68" s="33">
        <f t="shared" si="27"/>
        <v>12500</v>
      </c>
      <c r="AV68" s="97">
        <v>660</v>
      </c>
      <c r="AW68" s="101">
        <v>4</v>
      </c>
      <c r="AX68" s="96" t="s">
        <v>299</v>
      </c>
      <c r="AY68" s="96"/>
      <c r="AZ68" s="96"/>
    </row>
    <row r="69" spans="1:52" x14ac:dyDescent="0.25">
      <c r="A69">
        <v>67</v>
      </c>
      <c r="B69">
        <f t="shared" si="17"/>
        <v>3</v>
      </c>
      <c r="C69">
        <f t="shared" si="18"/>
        <v>1</v>
      </c>
      <c r="D69">
        <f t="shared" si="21"/>
        <v>58</v>
      </c>
      <c r="E69" t="str">
        <f t="shared" si="22"/>
        <v/>
      </c>
      <c r="F69" t="str">
        <f t="shared" si="23"/>
        <v/>
      </c>
      <c r="G69">
        <f t="shared" si="24"/>
        <v>2600</v>
      </c>
      <c r="H69" t="str">
        <f t="shared" si="25"/>
        <v/>
      </c>
      <c r="I69" t="str">
        <f t="shared" si="26"/>
        <v/>
      </c>
      <c r="J69">
        <f>SUM($G$3:I69)</f>
        <v>47825</v>
      </c>
      <c r="K69">
        <f t="shared" si="28"/>
        <v>580</v>
      </c>
      <c r="L69">
        <f t="shared" si="29"/>
        <v>1.0189999999999999</v>
      </c>
      <c r="M69">
        <f t="shared" si="30"/>
        <v>1.0095000000000001</v>
      </c>
      <c r="N69">
        <f t="shared" si="31"/>
        <v>9565</v>
      </c>
      <c r="O69">
        <f t="shared" si="32"/>
        <v>596.63468999999998</v>
      </c>
      <c r="P69">
        <f t="shared" si="33"/>
        <v>50</v>
      </c>
      <c r="Q69">
        <f t="shared" si="34"/>
        <v>0</v>
      </c>
      <c r="AP69" s="26">
        <v>670</v>
      </c>
      <c r="AQ69" s="27" t="s">
        <v>160</v>
      </c>
      <c r="AR69" s="28"/>
      <c r="AS69" s="27">
        <f t="shared" si="27"/>
        <v>14300</v>
      </c>
      <c r="AV69" s="97">
        <v>670</v>
      </c>
      <c r="AW69" s="101">
        <v>1</v>
      </c>
      <c r="AX69" s="96"/>
      <c r="AY69" s="97">
        <v>3</v>
      </c>
      <c r="AZ69" s="96">
        <v>1800</v>
      </c>
    </row>
    <row r="70" spans="1:52" x14ac:dyDescent="0.25">
      <c r="A70">
        <v>68</v>
      </c>
      <c r="B70">
        <f t="shared" si="17"/>
        <v>3</v>
      </c>
      <c r="C70">
        <f t="shared" si="18"/>
        <v>1</v>
      </c>
      <c r="D70">
        <f t="shared" si="21"/>
        <v>61</v>
      </c>
      <c r="E70" t="str">
        <f t="shared" si="22"/>
        <v/>
      </c>
      <c r="F70" t="str">
        <f t="shared" si="23"/>
        <v/>
      </c>
      <c r="G70">
        <f t="shared" si="24"/>
        <v>2700</v>
      </c>
      <c r="H70" t="str">
        <f t="shared" si="25"/>
        <v/>
      </c>
      <c r="I70" t="str">
        <f t="shared" si="26"/>
        <v/>
      </c>
      <c r="J70">
        <f>SUM($G$3:I70)</f>
        <v>50525</v>
      </c>
      <c r="K70">
        <f t="shared" si="28"/>
        <v>610</v>
      </c>
      <c r="L70">
        <f t="shared" si="29"/>
        <v>1.0189999999999999</v>
      </c>
      <c r="M70">
        <f t="shared" si="30"/>
        <v>1.0095000000000001</v>
      </c>
      <c r="N70">
        <f t="shared" si="31"/>
        <v>10105</v>
      </c>
      <c r="O70">
        <f t="shared" si="32"/>
        <v>627.49510499999997</v>
      </c>
      <c r="P70">
        <f t="shared" si="33"/>
        <v>50</v>
      </c>
      <c r="Q70">
        <f t="shared" si="34"/>
        <v>0</v>
      </c>
      <c r="AP70" s="29">
        <v>680</v>
      </c>
      <c r="AQ70" s="30" t="s">
        <v>140</v>
      </c>
      <c r="AR70" s="31" t="s">
        <v>141</v>
      </c>
      <c r="AS70" s="30">
        <f t="shared" si="27"/>
        <v>14300</v>
      </c>
      <c r="AV70" s="97">
        <v>680</v>
      </c>
      <c r="AW70" s="101">
        <v>3</v>
      </c>
      <c r="AX70" s="96"/>
      <c r="AY70" s="100">
        <v>98</v>
      </c>
      <c r="AZ70" s="100">
        <v>1</v>
      </c>
    </row>
    <row r="71" spans="1:52" x14ac:dyDescent="0.25">
      <c r="A71">
        <v>69</v>
      </c>
      <c r="B71">
        <f t="shared" si="17"/>
        <v>3</v>
      </c>
      <c r="C71">
        <f t="shared" si="18"/>
        <v>1</v>
      </c>
      <c r="D71">
        <f t="shared" si="21"/>
        <v>64</v>
      </c>
      <c r="E71" t="str">
        <f t="shared" si="22"/>
        <v/>
      </c>
      <c r="F71" t="str">
        <f t="shared" si="23"/>
        <v/>
      </c>
      <c r="G71">
        <f t="shared" si="24"/>
        <v>2800</v>
      </c>
      <c r="H71" t="str">
        <f t="shared" si="25"/>
        <v/>
      </c>
      <c r="I71" t="str">
        <f t="shared" si="26"/>
        <v/>
      </c>
      <c r="J71">
        <f>SUM($G$3:I71)</f>
        <v>53325</v>
      </c>
      <c r="K71">
        <f t="shared" si="28"/>
        <v>640</v>
      </c>
      <c r="L71">
        <f t="shared" si="29"/>
        <v>1.0189999999999999</v>
      </c>
      <c r="M71">
        <f t="shared" si="30"/>
        <v>1.0095000000000001</v>
      </c>
      <c r="N71">
        <f t="shared" si="31"/>
        <v>10665</v>
      </c>
      <c r="O71">
        <f t="shared" si="32"/>
        <v>658.35551999999996</v>
      </c>
      <c r="P71">
        <f t="shared" si="33"/>
        <v>50</v>
      </c>
      <c r="Q71">
        <f t="shared" si="34"/>
        <v>0</v>
      </c>
      <c r="AP71" s="32">
        <v>690</v>
      </c>
      <c r="AQ71" s="33" t="s">
        <v>131</v>
      </c>
      <c r="AR71" s="34"/>
      <c r="AS71" s="33">
        <f t="shared" si="27"/>
        <v>14300</v>
      </c>
      <c r="AV71" s="97">
        <v>690</v>
      </c>
      <c r="AW71" s="101">
        <v>4</v>
      </c>
      <c r="AX71" s="96" t="s">
        <v>300</v>
      </c>
      <c r="AY71" s="96"/>
      <c r="AZ71" s="96"/>
    </row>
    <row r="72" spans="1:52" x14ac:dyDescent="0.25">
      <c r="A72">
        <v>70</v>
      </c>
      <c r="B72">
        <f t="shared" si="17"/>
        <v>3</v>
      </c>
      <c r="C72">
        <f t="shared" si="18"/>
        <v>1</v>
      </c>
      <c r="D72">
        <f t="shared" si="21"/>
        <v>67</v>
      </c>
      <c r="E72" t="str">
        <f t="shared" si="22"/>
        <v/>
      </c>
      <c r="F72" t="str">
        <f t="shared" si="23"/>
        <v/>
      </c>
      <c r="G72">
        <f t="shared" si="24"/>
        <v>2900</v>
      </c>
      <c r="H72" t="str">
        <f t="shared" si="25"/>
        <v/>
      </c>
      <c r="I72" t="str">
        <f t="shared" si="26"/>
        <v/>
      </c>
      <c r="J72">
        <f>SUM($G$3:I72)</f>
        <v>56225</v>
      </c>
      <c r="K72">
        <f t="shared" si="28"/>
        <v>670</v>
      </c>
      <c r="L72">
        <f t="shared" si="29"/>
        <v>1.0189999999999999</v>
      </c>
      <c r="M72">
        <f t="shared" si="30"/>
        <v>1.0095000000000001</v>
      </c>
      <c r="N72">
        <f t="shared" si="31"/>
        <v>11245</v>
      </c>
      <c r="O72">
        <f t="shared" si="32"/>
        <v>689.21593499999994</v>
      </c>
      <c r="P72">
        <f t="shared" si="33"/>
        <v>50</v>
      </c>
      <c r="Q72">
        <f t="shared" si="34"/>
        <v>0</v>
      </c>
      <c r="AP72" s="26">
        <v>700</v>
      </c>
      <c r="AQ72" s="27" t="s">
        <v>161</v>
      </c>
      <c r="AR72" s="28"/>
      <c r="AS72" s="27">
        <f t="shared" si="27"/>
        <v>16200</v>
      </c>
      <c r="AV72" s="97">
        <v>700</v>
      </c>
      <c r="AW72" s="101">
        <v>1</v>
      </c>
      <c r="AX72" s="96"/>
      <c r="AY72" s="97">
        <v>3</v>
      </c>
      <c r="AZ72" s="96">
        <v>1900</v>
      </c>
    </row>
    <row r="73" spans="1:52" x14ac:dyDescent="0.25">
      <c r="A73">
        <v>71</v>
      </c>
      <c r="B73">
        <f t="shared" si="17"/>
        <v>3</v>
      </c>
      <c r="C73">
        <f t="shared" si="18"/>
        <v>2</v>
      </c>
      <c r="D73" t="str">
        <f t="shared" si="21"/>
        <v/>
      </c>
      <c r="E73">
        <f t="shared" si="22"/>
        <v>200</v>
      </c>
      <c r="F73" t="str">
        <f t="shared" si="23"/>
        <v/>
      </c>
      <c r="G73" t="str">
        <f t="shared" si="24"/>
        <v/>
      </c>
      <c r="H73">
        <f t="shared" si="25"/>
        <v>667</v>
      </c>
      <c r="I73" t="str">
        <f t="shared" si="26"/>
        <v/>
      </c>
      <c r="J73">
        <f>SUM($G$3:I73)</f>
        <v>56892</v>
      </c>
      <c r="K73">
        <f t="shared" si="28"/>
        <v>670</v>
      </c>
      <c r="L73">
        <f t="shared" si="29"/>
        <v>1.02</v>
      </c>
      <c r="M73">
        <f t="shared" si="30"/>
        <v>1.0095000000000001</v>
      </c>
      <c r="N73">
        <f t="shared" si="31"/>
        <v>11378.400000000001</v>
      </c>
      <c r="O73">
        <f t="shared" si="32"/>
        <v>689.89229999999998</v>
      </c>
      <c r="P73">
        <f t="shared" si="33"/>
        <v>50</v>
      </c>
      <c r="Q73">
        <f t="shared" si="34"/>
        <v>0</v>
      </c>
      <c r="AP73" s="29">
        <v>710</v>
      </c>
      <c r="AQ73" s="30" t="s">
        <v>140</v>
      </c>
      <c r="AR73" s="31" t="s">
        <v>141</v>
      </c>
      <c r="AS73" s="30">
        <f t="shared" si="27"/>
        <v>16200</v>
      </c>
      <c r="AV73" s="97">
        <v>710</v>
      </c>
      <c r="AW73" s="101">
        <v>3</v>
      </c>
      <c r="AX73" s="96"/>
      <c r="AY73" s="100">
        <v>98</v>
      </c>
      <c r="AZ73" s="100">
        <v>1</v>
      </c>
    </row>
    <row r="74" spans="1:52" x14ac:dyDescent="0.25">
      <c r="A74">
        <v>72</v>
      </c>
      <c r="B74">
        <f t="shared" si="17"/>
        <v>3</v>
      </c>
      <c r="C74">
        <f t="shared" si="18"/>
        <v>2</v>
      </c>
      <c r="D74" t="str">
        <f t="shared" si="21"/>
        <v/>
      </c>
      <c r="E74">
        <f t="shared" si="22"/>
        <v>210</v>
      </c>
      <c r="F74" t="str">
        <f t="shared" si="23"/>
        <v/>
      </c>
      <c r="G74" t="str">
        <f t="shared" si="24"/>
        <v/>
      </c>
      <c r="H74">
        <f t="shared" si="25"/>
        <v>700</v>
      </c>
      <c r="I74" t="str">
        <f t="shared" si="26"/>
        <v/>
      </c>
      <c r="J74">
        <f>SUM($G$3:I74)</f>
        <v>57592</v>
      </c>
      <c r="K74">
        <f t="shared" si="28"/>
        <v>670</v>
      </c>
      <c r="L74">
        <f t="shared" si="29"/>
        <v>1.0209999999999999</v>
      </c>
      <c r="M74">
        <f t="shared" si="30"/>
        <v>1.0095000000000001</v>
      </c>
      <c r="N74">
        <f t="shared" si="31"/>
        <v>11518.400000000001</v>
      </c>
      <c r="O74">
        <f t="shared" si="32"/>
        <v>690.56866500000001</v>
      </c>
      <c r="P74">
        <f t="shared" si="33"/>
        <v>50</v>
      </c>
      <c r="Q74">
        <f t="shared" si="34"/>
        <v>0</v>
      </c>
      <c r="AP74" s="32">
        <v>720</v>
      </c>
      <c r="AQ74" s="33" t="s">
        <v>131</v>
      </c>
      <c r="AR74" s="34"/>
      <c r="AS74" s="33">
        <f t="shared" si="27"/>
        <v>16200</v>
      </c>
      <c r="AV74" s="97">
        <v>720</v>
      </c>
      <c r="AW74" s="101">
        <v>4</v>
      </c>
      <c r="AX74" s="96" t="s">
        <v>301</v>
      </c>
      <c r="AY74" s="96"/>
      <c r="AZ74" s="96"/>
    </row>
    <row r="75" spans="1:52" x14ac:dyDescent="0.25">
      <c r="A75">
        <v>73</v>
      </c>
      <c r="B75">
        <f t="shared" si="17"/>
        <v>3</v>
      </c>
      <c r="C75">
        <f t="shared" si="18"/>
        <v>2</v>
      </c>
      <c r="D75" t="str">
        <f t="shared" si="21"/>
        <v/>
      </c>
      <c r="E75">
        <f t="shared" si="22"/>
        <v>220</v>
      </c>
      <c r="F75" t="str">
        <f t="shared" si="23"/>
        <v/>
      </c>
      <c r="G75" t="str">
        <f t="shared" si="24"/>
        <v/>
      </c>
      <c r="H75">
        <f t="shared" si="25"/>
        <v>733</v>
      </c>
      <c r="I75" t="str">
        <f t="shared" si="26"/>
        <v/>
      </c>
      <c r="J75">
        <f>SUM($G$3:I75)</f>
        <v>58325</v>
      </c>
      <c r="K75">
        <f t="shared" si="28"/>
        <v>670</v>
      </c>
      <c r="L75">
        <f t="shared" si="29"/>
        <v>1.022</v>
      </c>
      <c r="M75">
        <f t="shared" si="30"/>
        <v>1.0095000000000001</v>
      </c>
      <c r="N75">
        <f t="shared" si="31"/>
        <v>11665</v>
      </c>
      <c r="O75">
        <f t="shared" si="32"/>
        <v>691.24503000000004</v>
      </c>
      <c r="P75">
        <f t="shared" si="33"/>
        <v>50</v>
      </c>
      <c r="Q75">
        <f t="shared" si="34"/>
        <v>0</v>
      </c>
      <c r="AP75" s="26">
        <v>730</v>
      </c>
      <c r="AQ75" s="27" t="s">
        <v>162</v>
      </c>
      <c r="AR75" s="28"/>
      <c r="AS75" s="27">
        <f t="shared" si="27"/>
        <v>18200</v>
      </c>
      <c r="AV75" s="97">
        <v>730</v>
      </c>
      <c r="AW75" s="101">
        <v>1</v>
      </c>
      <c r="AX75" s="96"/>
      <c r="AY75" s="97">
        <v>3</v>
      </c>
      <c r="AZ75" s="96">
        <v>2000</v>
      </c>
    </row>
    <row r="76" spans="1:52" x14ac:dyDescent="0.25">
      <c r="A76">
        <v>74</v>
      </c>
      <c r="B76">
        <f t="shared" si="17"/>
        <v>3</v>
      </c>
      <c r="C76">
        <f t="shared" si="18"/>
        <v>2</v>
      </c>
      <c r="D76" t="str">
        <f t="shared" si="21"/>
        <v/>
      </c>
      <c r="E76">
        <f t="shared" si="22"/>
        <v>230</v>
      </c>
      <c r="F76" t="str">
        <f t="shared" si="23"/>
        <v/>
      </c>
      <c r="G76" t="str">
        <f t="shared" si="24"/>
        <v/>
      </c>
      <c r="H76">
        <f t="shared" si="25"/>
        <v>766</v>
      </c>
      <c r="I76" t="str">
        <f t="shared" si="26"/>
        <v/>
      </c>
      <c r="J76">
        <f>SUM($G$3:I76)</f>
        <v>59091</v>
      </c>
      <c r="K76">
        <f t="shared" si="28"/>
        <v>670</v>
      </c>
      <c r="L76">
        <f t="shared" si="29"/>
        <v>1.0229999999999999</v>
      </c>
      <c r="M76">
        <f t="shared" si="30"/>
        <v>1.0095000000000001</v>
      </c>
      <c r="N76">
        <f t="shared" si="31"/>
        <v>11818.2</v>
      </c>
      <c r="O76">
        <f t="shared" si="32"/>
        <v>691.92139499999996</v>
      </c>
      <c r="P76">
        <f t="shared" si="33"/>
        <v>50</v>
      </c>
      <c r="Q76">
        <f t="shared" si="34"/>
        <v>0</v>
      </c>
      <c r="AP76" s="29">
        <v>740</v>
      </c>
      <c r="AQ76" s="30" t="s">
        <v>140</v>
      </c>
      <c r="AR76" s="31" t="s">
        <v>141</v>
      </c>
      <c r="AS76" s="30">
        <f t="shared" si="27"/>
        <v>18200</v>
      </c>
      <c r="AV76" s="97">
        <v>740</v>
      </c>
      <c r="AW76" s="101">
        <v>3</v>
      </c>
      <c r="AX76" s="96"/>
      <c r="AY76" s="100">
        <v>98</v>
      </c>
      <c r="AZ76" s="100">
        <v>1</v>
      </c>
    </row>
    <row r="77" spans="1:52" x14ac:dyDescent="0.25">
      <c r="A77">
        <v>75</v>
      </c>
      <c r="B77">
        <f t="shared" si="17"/>
        <v>3</v>
      </c>
      <c r="C77">
        <f t="shared" si="18"/>
        <v>2</v>
      </c>
      <c r="D77" t="str">
        <f t="shared" si="21"/>
        <v/>
      </c>
      <c r="E77">
        <f t="shared" si="22"/>
        <v>240</v>
      </c>
      <c r="F77" t="str">
        <f t="shared" si="23"/>
        <v/>
      </c>
      <c r="G77" t="str">
        <f t="shared" si="24"/>
        <v/>
      </c>
      <c r="H77">
        <f t="shared" si="25"/>
        <v>799</v>
      </c>
      <c r="I77" t="str">
        <f t="shared" si="26"/>
        <v/>
      </c>
      <c r="J77">
        <f>SUM($G$3:I77)</f>
        <v>59890</v>
      </c>
      <c r="K77">
        <f t="shared" si="28"/>
        <v>670</v>
      </c>
      <c r="L77">
        <f t="shared" si="29"/>
        <v>1.024</v>
      </c>
      <c r="M77">
        <f t="shared" si="30"/>
        <v>1.0095000000000001</v>
      </c>
      <c r="N77">
        <f t="shared" si="31"/>
        <v>11978</v>
      </c>
      <c r="O77">
        <f t="shared" si="32"/>
        <v>692.59776000000011</v>
      </c>
      <c r="P77">
        <f t="shared" si="33"/>
        <v>50</v>
      </c>
      <c r="Q77">
        <f t="shared" si="34"/>
        <v>0</v>
      </c>
      <c r="AP77" s="32">
        <v>750</v>
      </c>
      <c r="AQ77" s="33" t="s">
        <v>131</v>
      </c>
      <c r="AR77" s="34"/>
      <c r="AS77" s="33">
        <f t="shared" si="27"/>
        <v>18200</v>
      </c>
      <c r="AV77" s="97">
        <v>750</v>
      </c>
      <c r="AW77" s="101">
        <v>4</v>
      </c>
      <c r="AX77" s="96" t="s">
        <v>302</v>
      </c>
      <c r="AY77" s="96"/>
      <c r="AZ77" s="96"/>
    </row>
    <row r="78" spans="1:52" x14ac:dyDescent="0.25">
      <c r="A78">
        <v>76</v>
      </c>
      <c r="B78">
        <f t="shared" si="17"/>
        <v>3</v>
      </c>
      <c r="C78">
        <f t="shared" si="18"/>
        <v>2</v>
      </c>
      <c r="D78" t="str">
        <f t="shared" si="21"/>
        <v/>
      </c>
      <c r="E78">
        <f t="shared" si="22"/>
        <v>250</v>
      </c>
      <c r="F78" t="str">
        <f t="shared" si="23"/>
        <v/>
      </c>
      <c r="G78" t="str">
        <f t="shared" si="24"/>
        <v/>
      </c>
      <c r="H78">
        <f t="shared" si="25"/>
        <v>832</v>
      </c>
      <c r="I78" t="str">
        <f t="shared" si="26"/>
        <v/>
      </c>
      <c r="J78">
        <f>SUM($G$3:I78)</f>
        <v>60722</v>
      </c>
      <c r="K78">
        <f t="shared" si="28"/>
        <v>670</v>
      </c>
      <c r="L78">
        <f t="shared" si="29"/>
        <v>1.0249999999999999</v>
      </c>
      <c r="M78">
        <f t="shared" si="30"/>
        <v>1.0095000000000001</v>
      </c>
      <c r="N78">
        <f t="shared" si="31"/>
        <v>12144.400000000001</v>
      </c>
      <c r="O78">
        <f t="shared" si="32"/>
        <v>693.27412499999991</v>
      </c>
      <c r="P78">
        <f t="shared" si="33"/>
        <v>50</v>
      </c>
      <c r="Q78">
        <f t="shared" si="34"/>
        <v>0</v>
      </c>
      <c r="AP78" s="26">
        <v>760</v>
      </c>
      <c r="AQ78" s="27" t="s">
        <v>163</v>
      </c>
      <c r="AR78" s="28"/>
      <c r="AS78" s="27">
        <f t="shared" si="27"/>
        <v>20300</v>
      </c>
      <c r="AV78" s="97">
        <v>760</v>
      </c>
      <c r="AW78" s="101">
        <v>1</v>
      </c>
      <c r="AX78" s="96"/>
      <c r="AY78" s="97">
        <v>3</v>
      </c>
      <c r="AZ78" s="96">
        <v>2100</v>
      </c>
    </row>
    <row r="79" spans="1:52" x14ac:dyDescent="0.25">
      <c r="A79">
        <v>77</v>
      </c>
      <c r="B79">
        <f t="shared" si="17"/>
        <v>3</v>
      </c>
      <c r="C79">
        <f t="shared" si="18"/>
        <v>2</v>
      </c>
      <c r="D79" t="str">
        <f t="shared" si="21"/>
        <v/>
      </c>
      <c r="E79">
        <f t="shared" si="22"/>
        <v>260</v>
      </c>
      <c r="F79" t="str">
        <f t="shared" si="23"/>
        <v/>
      </c>
      <c r="G79" t="str">
        <f t="shared" si="24"/>
        <v/>
      </c>
      <c r="H79">
        <f t="shared" si="25"/>
        <v>865</v>
      </c>
      <c r="I79" t="str">
        <f t="shared" si="26"/>
        <v/>
      </c>
      <c r="J79">
        <f>SUM($G$3:I79)</f>
        <v>61587</v>
      </c>
      <c r="K79">
        <f t="shared" si="28"/>
        <v>670</v>
      </c>
      <c r="L79">
        <f t="shared" si="29"/>
        <v>1.026</v>
      </c>
      <c r="M79">
        <f t="shared" si="30"/>
        <v>1.0095000000000001</v>
      </c>
      <c r="N79">
        <f t="shared" si="31"/>
        <v>12317.400000000001</v>
      </c>
      <c r="O79">
        <f t="shared" si="32"/>
        <v>693.95049000000006</v>
      </c>
      <c r="P79">
        <f t="shared" si="33"/>
        <v>50</v>
      </c>
      <c r="Q79">
        <f t="shared" si="34"/>
        <v>0</v>
      </c>
      <c r="AP79" s="29">
        <v>770</v>
      </c>
      <c r="AQ79" s="30" t="s">
        <v>140</v>
      </c>
      <c r="AR79" s="31" t="s">
        <v>141</v>
      </c>
      <c r="AS79" s="30">
        <f t="shared" si="27"/>
        <v>20300</v>
      </c>
      <c r="AV79" s="97">
        <v>770</v>
      </c>
      <c r="AW79" s="101">
        <v>3</v>
      </c>
      <c r="AX79" s="96"/>
      <c r="AY79" s="100">
        <v>98</v>
      </c>
      <c r="AZ79" s="100">
        <v>1</v>
      </c>
    </row>
    <row r="80" spans="1:52" x14ac:dyDescent="0.25">
      <c r="A80">
        <v>78</v>
      </c>
      <c r="B80">
        <f t="shared" si="17"/>
        <v>3</v>
      </c>
      <c r="C80">
        <f t="shared" si="18"/>
        <v>2</v>
      </c>
      <c r="D80" t="str">
        <f t="shared" si="21"/>
        <v/>
      </c>
      <c r="E80">
        <f t="shared" si="22"/>
        <v>270</v>
      </c>
      <c r="F80" t="str">
        <f t="shared" si="23"/>
        <v/>
      </c>
      <c r="G80" t="str">
        <f t="shared" si="24"/>
        <v/>
      </c>
      <c r="H80">
        <f t="shared" si="25"/>
        <v>898</v>
      </c>
      <c r="I80" t="str">
        <f t="shared" si="26"/>
        <v/>
      </c>
      <c r="J80">
        <f>SUM($G$3:I80)</f>
        <v>62485</v>
      </c>
      <c r="K80">
        <f t="shared" si="28"/>
        <v>670</v>
      </c>
      <c r="L80">
        <f t="shared" si="29"/>
        <v>1.0269999999999999</v>
      </c>
      <c r="M80">
        <f t="shared" si="30"/>
        <v>1.0095000000000001</v>
      </c>
      <c r="N80">
        <f t="shared" si="31"/>
        <v>12497</v>
      </c>
      <c r="O80">
        <f t="shared" si="32"/>
        <v>694.62685499999998</v>
      </c>
      <c r="P80">
        <f t="shared" si="33"/>
        <v>50</v>
      </c>
      <c r="Q80">
        <f t="shared" si="34"/>
        <v>0</v>
      </c>
      <c r="AP80" s="32">
        <v>780</v>
      </c>
      <c r="AQ80" s="33" t="s">
        <v>131</v>
      </c>
      <c r="AR80" s="34"/>
      <c r="AS80" s="33">
        <f t="shared" si="27"/>
        <v>20300</v>
      </c>
      <c r="AV80" s="97">
        <v>780</v>
      </c>
      <c r="AW80" s="101">
        <v>4</v>
      </c>
      <c r="AX80" s="96" t="s">
        <v>303</v>
      </c>
      <c r="AY80" s="96"/>
      <c r="AZ80" s="96"/>
    </row>
    <row r="81" spans="1:52" x14ac:dyDescent="0.25">
      <c r="A81">
        <v>79</v>
      </c>
      <c r="B81">
        <f t="shared" si="17"/>
        <v>3</v>
      </c>
      <c r="C81">
        <f t="shared" si="18"/>
        <v>2</v>
      </c>
      <c r="D81" t="str">
        <f t="shared" si="21"/>
        <v/>
      </c>
      <c r="E81">
        <f t="shared" si="22"/>
        <v>280</v>
      </c>
      <c r="F81" t="str">
        <f t="shared" si="23"/>
        <v/>
      </c>
      <c r="G81" t="str">
        <f t="shared" si="24"/>
        <v/>
      </c>
      <c r="H81">
        <f t="shared" si="25"/>
        <v>931</v>
      </c>
      <c r="I81" t="str">
        <f t="shared" si="26"/>
        <v/>
      </c>
      <c r="J81">
        <f>SUM($G$3:I81)</f>
        <v>63416</v>
      </c>
      <c r="K81">
        <f t="shared" si="28"/>
        <v>670</v>
      </c>
      <c r="L81">
        <f t="shared" si="29"/>
        <v>1.028</v>
      </c>
      <c r="M81">
        <f t="shared" si="30"/>
        <v>1.0095000000000001</v>
      </c>
      <c r="N81">
        <f t="shared" si="31"/>
        <v>12683.2</v>
      </c>
      <c r="O81">
        <f t="shared" si="32"/>
        <v>695.30322000000001</v>
      </c>
      <c r="P81">
        <f t="shared" si="33"/>
        <v>50</v>
      </c>
      <c r="Q81">
        <f t="shared" si="34"/>
        <v>0</v>
      </c>
      <c r="AP81" s="26">
        <v>790</v>
      </c>
      <c r="AQ81" s="27" t="s">
        <v>164</v>
      </c>
      <c r="AR81" s="28"/>
      <c r="AS81" s="27">
        <f t="shared" si="27"/>
        <v>22500</v>
      </c>
      <c r="AV81" s="97">
        <v>790</v>
      </c>
      <c r="AW81" s="101">
        <v>1</v>
      </c>
      <c r="AX81" s="96"/>
      <c r="AY81" s="97">
        <v>3</v>
      </c>
      <c r="AZ81" s="96">
        <v>2200</v>
      </c>
    </row>
    <row r="82" spans="1:52" x14ac:dyDescent="0.25">
      <c r="A82">
        <v>80</v>
      </c>
      <c r="B82">
        <f t="shared" si="17"/>
        <v>3</v>
      </c>
      <c r="C82">
        <f t="shared" si="18"/>
        <v>2</v>
      </c>
      <c r="D82" t="str">
        <f t="shared" si="21"/>
        <v/>
      </c>
      <c r="E82">
        <f t="shared" si="22"/>
        <v>290</v>
      </c>
      <c r="F82" t="str">
        <f t="shared" si="23"/>
        <v/>
      </c>
      <c r="G82" t="str">
        <f t="shared" si="24"/>
        <v/>
      </c>
      <c r="H82">
        <f t="shared" si="25"/>
        <v>964</v>
      </c>
      <c r="I82" t="str">
        <f t="shared" si="26"/>
        <v/>
      </c>
      <c r="J82">
        <f>SUM($G$3:I82)</f>
        <v>64380</v>
      </c>
      <c r="K82">
        <f t="shared" si="28"/>
        <v>670</v>
      </c>
      <c r="L82">
        <f t="shared" si="29"/>
        <v>1.0289999999999999</v>
      </c>
      <c r="M82">
        <f t="shared" si="30"/>
        <v>1.0095000000000001</v>
      </c>
      <c r="N82">
        <f t="shared" si="31"/>
        <v>12876</v>
      </c>
      <c r="O82">
        <f t="shared" si="32"/>
        <v>695.97958500000004</v>
      </c>
      <c r="P82">
        <f t="shared" si="33"/>
        <v>50</v>
      </c>
      <c r="Q82">
        <f t="shared" si="34"/>
        <v>0</v>
      </c>
      <c r="AP82" s="29">
        <v>800</v>
      </c>
      <c r="AQ82" s="30" t="s">
        <v>140</v>
      </c>
      <c r="AR82" s="31" t="s">
        <v>141</v>
      </c>
      <c r="AS82" s="30">
        <f t="shared" si="27"/>
        <v>22500</v>
      </c>
      <c r="AV82" s="97">
        <v>800</v>
      </c>
      <c r="AW82" s="101">
        <v>3</v>
      </c>
      <c r="AX82" s="96"/>
      <c r="AY82" s="100">
        <v>98</v>
      </c>
      <c r="AZ82" s="100">
        <v>1</v>
      </c>
    </row>
    <row r="83" spans="1:52" x14ac:dyDescent="0.25">
      <c r="A83">
        <v>81</v>
      </c>
      <c r="B83">
        <f t="shared" si="17"/>
        <v>3</v>
      </c>
      <c r="C83">
        <f t="shared" si="18"/>
        <v>3</v>
      </c>
      <c r="D83" t="str">
        <f t="shared" si="21"/>
        <v/>
      </c>
      <c r="E83" t="str">
        <f t="shared" si="22"/>
        <v/>
      </c>
      <c r="F83">
        <f t="shared" si="23"/>
        <v>100</v>
      </c>
      <c r="G83" t="str">
        <f t="shared" si="24"/>
        <v/>
      </c>
      <c r="H83" t="str">
        <f t="shared" si="25"/>
        <v/>
      </c>
      <c r="I83">
        <f t="shared" si="26"/>
        <v>500</v>
      </c>
      <c r="J83">
        <f>SUM($G$3:I83)</f>
        <v>64880</v>
      </c>
      <c r="K83">
        <f t="shared" si="28"/>
        <v>670</v>
      </c>
      <c r="L83">
        <f t="shared" si="29"/>
        <v>1.0289999999999999</v>
      </c>
      <c r="M83">
        <f t="shared" si="30"/>
        <v>1.01</v>
      </c>
      <c r="N83">
        <f t="shared" si="31"/>
        <v>12976</v>
      </c>
      <c r="O83">
        <f t="shared" si="32"/>
        <v>696.32429999999999</v>
      </c>
      <c r="P83">
        <f t="shared" si="33"/>
        <v>50</v>
      </c>
      <c r="Q83">
        <f t="shared" si="34"/>
        <v>0</v>
      </c>
      <c r="AP83" s="32">
        <v>810</v>
      </c>
      <c r="AQ83" s="33" t="s">
        <v>131</v>
      </c>
      <c r="AR83" s="34"/>
      <c r="AS83" s="33">
        <f t="shared" si="27"/>
        <v>22500</v>
      </c>
      <c r="AV83" s="97">
        <v>810</v>
      </c>
      <c r="AW83" s="101">
        <v>4</v>
      </c>
      <c r="AX83" s="96" t="s">
        <v>304</v>
      </c>
      <c r="AY83" s="96"/>
      <c r="AZ83" s="96"/>
    </row>
    <row r="84" spans="1:52" x14ac:dyDescent="0.25">
      <c r="A84">
        <v>82</v>
      </c>
      <c r="B84">
        <f t="shared" si="17"/>
        <v>3</v>
      </c>
      <c r="C84">
        <f t="shared" si="18"/>
        <v>3</v>
      </c>
      <c r="D84" t="str">
        <f t="shared" si="21"/>
        <v/>
      </c>
      <c r="E84" t="str">
        <f t="shared" si="22"/>
        <v/>
      </c>
      <c r="F84">
        <f t="shared" si="23"/>
        <v>105</v>
      </c>
      <c r="G84" t="str">
        <f t="shared" si="24"/>
        <v/>
      </c>
      <c r="H84" t="str">
        <f t="shared" si="25"/>
        <v/>
      </c>
      <c r="I84">
        <f t="shared" si="26"/>
        <v>550</v>
      </c>
      <c r="J84">
        <f>SUM($G$3:I84)</f>
        <v>65430</v>
      </c>
      <c r="K84">
        <f t="shared" si="28"/>
        <v>670</v>
      </c>
      <c r="L84">
        <f t="shared" si="29"/>
        <v>1.0289999999999999</v>
      </c>
      <c r="M84">
        <f t="shared" si="30"/>
        <v>1.0105</v>
      </c>
      <c r="N84">
        <f t="shared" si="31"/>
        <v>13086</v>
      </c>
      <c r="O84">
        <f t="shared" si="32"/>
        <v>696.66901499999994</v>
      </c>
      <c r="P84">
        <f t="shared" si="33"/>
        <v>50</v>
      </c>
      <c r="Q84">
        <f t="shared" si="34"/>
        <v>0</v>
      </c>
      <c r="AP84" s="26">
        <v>820</v>
      </c>
      <c r="AQ84" s="27" t="s">
        <v>165</v>
      </c>
      <c r="AR84" s="28"/>
      <c r="AS84" s="27">
        <f t="shared" si="27"/>
        <v>24800</v>
      </c>
      <c r="AV84" s="97">
        <v>820</v>
      </c>
      <c r="AW84" s="101">
        <v>1</v>
      </c>
      <c r="AX84" s="96"/>
      <c r="AY84" s="97">
        <v>3</v>
      </c>
      <c r="AZ84" s="96">
        <v>2300</v>
      </c>
    </row>
    <row r="85" spans="1:52" x14ac:dyDescent="0.25">
      <c r="A85">
        <v>83</v>
      </c>
      <c r="B85">
        <f t="shared" si="17"/>
        <v>3</v>
      </c>
      <c r="C85">
        <f t="shared" si="18"/>
        <v>3</v>
      </c>
      <c r="D85" t="str">
        <f t="shared" si="21"/>
        <v/>
      </c>
      <c r="E85" t="str">
        <f t="shared" si="22"/>
        <v/>
      </c>
      <c r="F85">
        <f t="shared" si="23"/>
        <v>110</v>
      </c>
      <c r="G85" t="str">
        <f t="shared" si="24"/>
        <v/>
      </c>
      <c r="H85" t="str">
        <f t="shared" si="25"/>
        <v/>
      </c>
      <c r="I85">
        <f t="shared" si="26"/>
        <v>600</v>
      </c>
      <c r="J85">
        <f>SUM($G$3:I85)</f>
        <v>66030</v>
      </c>
      <c r="K85">
        <f t="shared" si="28"/>
        <v>670</v>
      </c>
      <c r="L85">
        <f t="shared" si="29"/>
        <v>1.0289999999999999</v>
      </c>
      <c r="M85">
        <f t="shared" si="30"/>
        <v>1.0109999999999999</v>
      </c>
      <c r="N85">
        <f t="shared" si="31"/>
        <v>13206</v>
      </c>
      <c r="O85">
        <f t="shared" si="32"/>
        <v>697.0137299999999</v>
      </c>
      <c r="P85">
        <f t="shared" si="33"/>
        <v>50</v>
      </c>
      <c r="Q85">
        <f t="shared" si="34"/>
        <v>0</v>
      </c>
      <c r="AP85" s="29">
        <v>830</v>
      </c>
      <c r="AQ85" s="30" t="s">
        <v>140</v>
      </c>
      <c r="AR85" s="31" t="s">
        <v>141</v>
      </c>
      <c r="AS85" s="30">
        <f t="shared" si="27"/>
        <v>24800</v>
      </c>
      <c r="AV85" s="97">
        <v>830</v>
      </c>
      <c r="AW85" s="101">
        <v>3</v>
      </c>
      <c r="AX85" s="96"/>
      <c r="AY85" s="100">
        <v>98</v>
      </c>
      <c r="AZ85" s="100">
        <v>1</v>
      </c>
    </row>
    <row r="86" spans="1:52" x14ac:dyDescent="0.25">
      <c r="A86">
        <v>84</v>
      </c>
      <c r="B86">
        <f t="shared" si="17"/>
        <v>3</v>
      </c>
      <c r="C86">
        <f t="shared" si="18"/>
        <v>3</v>
      </c>
      <c r="D86" t="str">
        <f t="shared" si="21"/>
        <v/>
      </c>
      <c r="E86" t="str">
        <f t="shared" si="22"/>
        <v/>
      </c>
      <c r="F86">
        <f t="shared" si="23"/>
        <v>115</v>
      </c>
      <c r="G86" t="str">
        <f t="shared" si="24"/>
        <v/>
      </c>
      <c r="H86" t="str">
        <f t="shared" si="25"/>
        <v/>
      </c>
      <c r="I86">
        <f t="shared" si="26"/>
        <v>650</v>
      </c>
      <c r="J86">
        <f>SUM($G$3:I86)</f>
        <v>66680</v>
      </c>
      <c r="K86">
        <f t="shared" si="28"/>
        <v>670</v>
      </c>
      <c r="L86">
        <f t="shared" si="29"/>
        <v>1.0289999999999999</v>
      </c>
      <c r="M86">
        <f t="shared" si="30"/>
        <v>1.0115000000000001</v>
      </c>
      <c r="N86">
        <f t="shared" si="31"/>
        <v>13336</v>
      </c>
      <c r="O86">
        <f t="shared" si="32"/>
        <v>697.35844499999996</v>
      </c>
      <c r="P86">
        <f t="shared" si="33"/>
        <v>50</v>
      </c>
      <c r="Q86">
        <f t="shared" si="34"/>
        <v>0</v>
      </c>
      <c r="AP86" s="32">
        <v>840</v>
      </c>
      <c r="AQ86" s="33" t="s">
        <v>131</v>
      </c>
      <c r="AR86" s="34"/>
      <c r="AS86" s="33">
        <f t="shared" si="27"/>
        <v>24800</v>
      </c>
      <c r="AV86" s="97">
        <v>840</v>
      </c>
      <c r="AW86" s="101">
        <v>4</v>
      </c>
      <c r="AX86" s="96" t="s">
        <v>305</v>
      </c>
      <c r="AY86" s="96"/>
      <c r="AZ86" s="96"/>
    </row>
    <row r="87" spans="1:52" x14ac:dyDescent="0.25">
      <c r="A87">
        <v>85</v>
      </c>
      <c r="B87">
        <f t="shared" si="17"/>
        <v>3</v>
      </c>
      <c r="C87">
        <f t="shared" si="18"/>
        <v>3</v>
      </c>
      <c r="D87" t="str">
        <f t="shared" si="21"/>
        <v/>
      </c>
      <c r="E87" t="str">
        <f t="shared" si="22"/>
        <v/>
      </c>
      <c r="F87">
        <f t="shared" si="23"/>
        <v>120</v>
      </c>
      <c r="G87" t="str">
        <f t="shared" si="24"/>
        <v/>
      </c>
      <c r="H87" t="str">
        <f t="shared" si="25"/>
        <v/>
      </c>
      <c r="I87">
        <f t="shared" si="26"/>
        <v>700</v>
      </c>
      <c r="J87">
        <f>SUM($G$3:I87)</f>
        <v>67380</v>
      </c>
      <c r="K87">
        <f t="shared" si="28"/>
        <v>670</v>
      </c>
      <c r="L87">
        <f t="shared" si="29"/>
        <v>1.0289999999999999</v>
      </c>
      <c r="M87">
        <f t="shared" si="30"/>
        <v>1.012</v>
      </c>
      <c r="N87">
        <f t="shared" si="31"/>
        <v>13476</v>
      </c>
      <c r="O87">
        <f t="shared" si="32"/>
        <v>697.70315999999991</v>
      </c>
      <c r="P87">
        <f t="shared" si="33"/>
        <v>50</v>
      </c>
      <c r="Q87">
        <f t="shared" si="34"/>
        <v>0</v>
      </c>
      <c r="AP87" s="26">
        <v>850</v>
      </c>
      <c r="AQ87" s="27" t="s">
        <v>166</v>
      </c>
      <c r="AR87" s="28"/>
      <c r="AS87" s="27">
        <f t="shared" si="27"/>
        <v>27200</v>
      </c>
      <c r="AV87" s="97">
        <v>850</v>
      </c>
      <c r="AW87" s="101">
        <v>1</v>
      </c>
      <c r="AX87" s="96"/>
      <c r="AY87" s="97">
        <v>3</v>
      </c>
      <c r="AZ87" s="96">
        <v>2400</v>
      </c>
    </row>
    <row r="88" spans="1:52" x14ac:dyDescent="0.25">
      <c r="A88">
        <v>86</v>
      </c>
      <c r="B88">
        <f t="shared" si="17"/>
        <v>3</v>
      </c>
      <c r="C88">
        <f t="shared" si="18"/>
        <v>3</v>
      </c>
      <c r="D88" t="str">
        <f t="shared" si="21"/>
        <v/>
      </c>
      <c r="E88" t="str">
        <f t="shared" si="22"/>
        <v/>
      </c>
      <c r="F88">
        <f t="shared" si="23"/>
        <v>125</v>
      </c>
      <c r="G88" t="str">
        <f t="shared" si="24"/>
        <v/>
      </c>
      <c r="H88" t="str">
        <f t="shared" si="25"/>
        <v/>
      </c>
      <c r="I88">
        <f t="shared" si="26"/>
        <v>750</v>
      </c>
      <c r="J88">
        <f>SUM($G$3:I88)</f>
        <v>68130</v>
      </c>
      <c r="K88">
        <f t="shared" si="28"/>
        <v>670</v>
      </c>
      <c r="L88">
        <f t="shared" si="29"/>
        <v>1.0289999999999999</v>
      </c>
      <c r="M88">
        <f t="shared" si="30"/>
        <v>1.0125</v>
      </c>
      <c r="N88">
        <f t="shared" si="31"/>
        <v>13626</v>
      </c>
      <c r="O88">
        <f t="shared" si="32"/>
        <v>698.04787499999986</v>
      </c>
      <c r="P88">
        <f t="shared" si="33"/>
        <v>50</v>
      </c>
      <c r="Q88">
        <f t="shared" si="34"/>
        <v>0</v>
      </c>
      <c r="AP88" s="29">
        <v>860</v>
      </c>
      <c r="AQ88" s="30" t="s">
        <v>140</v>
      </c>
      <c r="AR88" s="31" t="s">
        <v>141</v>
      </c>
      <c r="AS88" s="30">
        <f t="shared" si="27"/>
        <v>27200</v>
      </c>
      <c r="AV88" s="97">
        <v>860</v>
      </c>
      <c r="AW88" s="101">
        <v>3</v>
      </c>
      <c r="AX88" s="96"/>
      <c r="AY88" s="100">
        <v>98</v>
      </c>
      <c r="AZ88" s="100">
        <v>1</v>
      </c>
    </row>
    <row r="89" spans="1:52" x14ac:dyDescent="0.25">
      <c r="A89">
        <v>87</v>
      </c>
      <c r="B89">
        <f t="shared" si="17"/>
        <v>3</v>
      </c>
      <c r="C89">
        <f t="shared" si="18"/>
        <v>3</v>
      </c>
      <c r="D89" t="str">
        <f t="shared" si="21"/>
        <v/>
      </c>
      <c r="E89" t="str">
        <f t="shared" si="22"/>
        <v/>
      </c>
      <c r="F89">
        <f t="shared" si="23"/>
        <v>130</v>
      </c>
      <c r="G89" t="str">
        <f t="shared" si="24"/>
        <v/>
      </c>
      <c r="H89" t="str">
        <f t="shared" si="25"/>
        <v/>
      </c>
      <c r="I89">
        <f t="shared" si="26"/>
        <v>800</v>
      </c>
      <c r="J89">
        <f>SUM($G$3:I89)</f>
        <v>68930</v>
      </c>
      <c r="K89">
        <f t="shared" si="28"/>
        <v>670</v>
      </c>
      <c r="L89">
        <f t="shared" si="29"/>
        <v>1.0289999999999999</v>
      </c>
      <c r="M89">
        <f t="shared" si="30"/>
        <v>1.0129999999999999</v>
      </c>
      <c r="N89">
        <f t="shared" si="31"/>
        <v>13786</v>
      </c>
      <c r="O89">
        <f t="shared" si="32"/>
        <v>698.39258999999993</v>
      </c>
      <c r="P89">
        <f t="shared" si="33"/>
        <v>50</v>
      </c>
      <c r="Q89">
        <f t="shared" si="34"/>
        <v>0</v>
      </c>
      <c r="AP89" s="32">
        <v>870</v>
      </c>
      <c r="AQ89" s="33" t="s">
        <v>131</v>
      </c>
      <c r="AR89" s="34"/>
      <c r="AS89" s="33">
        <f t="shared" si="27"/>
        <v>27200</v>
      </c>
      <c r="AV89" s="97">
        <v>870</v>
      </c>
      <c r="AW89" s="101">
        <v>4</v>
      </c>
      <c r="AX89" s="96" t="s">
        <v>306</v>
      </c>
      <c r="AY89" s="96"/>
      <c r="AZ89" s="96"/>
    </row>
    <row r="90" spans="1:52" x14ac:dyDescent="0.25">
      <c r="A90">
        <v>88</v>
      </c>
      <c r="B90">
        <f t="shared" si="17"/>
        <v>3</v>
      </c>
      <c r="C90">
        <f t="shared" si="18"/>
        <v>3</v>
      </c>
      <c r="D90" t="str">
        <f t="shared" si="21"/>
        <v/>
      </c>
      <c r="E90" t="str">
        <f t="shared" si="22"/>
        <v/>
      </c>
      <c r="F90">
        <f t="shared" si="23"/>
        <v>135</v>
      </c>
      <c r="G90" t="str">
        <f t="shared" si="24"/>
        <v/>
      </c>
      <c r="H90" t="str">
        <f t="shared" si="25"/>
        <v/>
      </c>
      <c r="I90">
        <f t="shared" si="26"/>
        <v>850</v>
      </c>
      <c r="J90">
        <f>SUM($G$3:I90)</f>
        <v>69780</v>
      </c>
      <c r="K90">
        <f t="shared" si="28"/>
        <v>670</v>
      </c>
      <c r="L90">
        <f t="shared" si="29"/>
        <v>1.0289999999999999</v>
      </c>
      <c r="M90">
        <f t="shared" si="30"/>
        <v>1.0135000000000001</v>
      </c>
      <c r="N90">
        <f t="shared" si="31"/>
        <v>13956</v>
      </c>
      <c r="O90">
        <f t="shared" si="32"/>
        <v>698.73730499999999</v>
      </c>
      <c r="P90">
        <f t="shared" si="33"/>
        <v>50</v>
      </c>
      <c r="Q90">
        <f t="shared" si="34"/>
        <v>0</v>
      </c>
      <c r="AP90" s="26">
        <v>880</v>
      </c>
      <c r="AQ90" s="27" t="s">
        <v>167</v>
      </c>
      <c r="AR90" s="28"/>
      <c r="AS90" s="27">
        <f t="shared" si="27"/>
        <v>29700</v>
      </c>
      <c r="AV90" s="97">
        <v>880</v>
      </c>
      <c r="AW90" s="101">
        <v>1</v>
      </c>
      <c r="AX90" s="96"/>
      <c r="AY90" s="97">
        <v>3</v>
      </c>
      <c r="AZ90" s="96">
        <v>2500</v>
      </c>
    </row>
    <row r="91" spans="1:52" x14ac:dyDescent="0.25">
      <c r="A91">
        <v>89</v>
      </c>
      <c r="B91">
        <f t="shared" si="17"/>
        <v>3</v>
      </c>
      <c r="C91">
        <f t="shared" si="18"/>
        <v>3</v>
      </c>
      <c r="D91" t="str">
        <f t="shared" si="21"/>
        <v/>
      </c>
      <c r="E91" t="str">
        <f t="shared" si="22"/>
        <v/>
      </c>
      <c r="F91">
        <f t="shared" si="23"/>
        <v>140</v>
      </c>
      <c r="G91" t="str">
        <f t="shared" si="24"/>
        <v/>
      </c>
      <c r="H91" t="str">
        <f t="shared" si="25"/>
        <v/>
      </c>
      <c r="I91">
        <f t="shared" si="26"/>
        <v>900</v>
      </c>
      <c r="J91">
        <f>SUM($G$3:I91)</f>
        <v>70680</v>
      </c>
      <c r="K91">
        <f t="shared" si="28"/>
        <v>670</v>
      </c>
      <c r="L91">
        <f t="shared" si="29"/>
        <v>1.0289999999999999</v>
      </c>
      <c r="M91">
        <f t="shared" si="30"/>
        <v>1.014</v>
      </c>
      <c r="N91">
        <f t="shared" si="31"/>
        <v>14136</v>
      </c>
      <c r="O91">
        <f t="shared" si="32"/>
        <v>699.08201999999994</v>
      </c>
      <c r="P91">
        <f t="shared" si="33"/>
        <v>50</v>
      </c>
      <c r="Q91">
        <f t="shared" si="34"/>
        <v>0</v>
      </c>
      <c r="AP91" s="29">
        <v>890</v>
      </c>
      <c r="AQ91" s="30" t="s">
        <v>140</v>
      </c>
      <c r="AR91" s="31" t="s">
        <v>141</v>
      </c>
      <c r="AS91" s="30">
        <f t="shared" si="27"/>
        <v>29700</v>
      </c>
      <c r="AV91" s="97">
        <v>890</v>
      </c>
      <c r="AW91" s="101">
        <v>3</v>
      </c>
      <c r="AX91" s="96"/>
      <c r="AY91" s="100">
        <v>98</v>
      </c>
      <c r="AZ91" s="100">
        <v>1</v>
      </c>
    </row>
    <row r="92" spans="1:52" x14ac:dyDescent="0.25">
      <c r="A92">
        <v>90</v>
      </c>
      <c r="B92">
        <f t="shared" si="17"/>
        <v>3</v>
      </c>
      <c r="C92">
        <f t="shared" si="18"/>
        <v>3</v>
      </c>
      <c r="D92" t="str">
        <f t="shared" si="21"/>
        <v/>
      </c>
      <c r="E92" t="str">
        <f t="shared" si="22"/>
        <v/>
      </c>
      <c r="F92">
        <f t="shared" si="23"/>
        <v>145</v>
      </c>
      <c r="G92" t="str">
        <f t="shared" si="24"/>
        <v/>
      </c>
      <c r="H92" t="str">
        <f t="shared" si="25"/>
        <v/>
      </c>
      <c r="I92">
        <f t="shared" si="26"/>
        <v>950</v>
      </c>
      <c r="J92">
        <f>SUM($G$3:I92)</f>
        <v>71630</v>
      </c>
      <c r="K92">
        <f t="shared" si="28"/>
        <v>670</v>
      </c>
      <c r="L92">
        <f t="shared" si="29"/>
        <v>1.0289999999999999</v>
      </c>
      <c r="M92">
        <f t="shared" si="30"/>
        <v>1.0145</v>
      </c>
      <c r="N92">
        <f t="shared" si="31"/>
        <v>14326</v>
      </c>
      <c r="O92">
        <f t="shared" si="32"/>
        <v>699.42673499999989</v>
      </c>
      <c r="P92">
        <f t="shared" si="33"/>
        <v>50</v>
      </c>
      <c r="Q92">
        <f t="shared" si="34"/>
        <v>0</v>
      </c>
      <c r="AP92" s="32">
        <v>900</v>
      </c>
      <c r="AQ92" s="33" t="s">
        <v>131</v>
      </c>
      <c r="AR92" s="34"/>
      <c r="AS92" s="33">
        <f t="shared" si="27"/>
        <v>29700</v>
      </c>
      <c r="AV92" s="97">
        <v>900</v>
      </c>
      <c r="AW92" s="101">
        <v>4</v>
      </c>
      <c r="AX92" s="96" t="s">
        <v>307</v>
      </c>
      <c r="AY92" s="96"/>
      <c r="AZ92" s="96"/>
    </row>
    <row r="93" spans="1:52" x14ac:dyDescent="0.25">
      <c r="A93">
        <v>91</v>
      </c>
      <c r="B93">
        <f t="shared" si="17"/>
        <v>4</v>
      </c>
      <c r="C93">
        <f t="shared" si="18"/>
        <v>1</v>
      </c>
      <c r="D93">
        <f t="shared" si="21"/>
        <v>70</v>
      </c>
      <c r="E93" t="str">
        <f t="shared" si="22"/>
        <v/>
      </c>
      <c r="F93" t="str">
        <f t="shared" si="23"/>
        <v/>
      </c>
      <c r="G93">
        <f t="shared" si="24"/>
        <v>3200</v>
      </c>
      <c r="H93" t="str">
        <f t="shared" si="25"/>
        <v/>
      </c>
      <c r="I93" t="str">
        <f t="shared" si="26"/>
        <v/>
      </c>
      <c r="J93">
        <f>SUM($G$3:I93)</f>
        <v>74830</v>
      </c>
      <c r="K93">
        <f t="shared" si="28"/>
        <v>700</v>
      </c>
      <c r="L93">
        <f t="shared" si="29"/>
        <v>1.0289999999999999</v>
      </c>
      <c r="M93">
        <f t="shared" si="30"/>
        <v>1.0145</v>
      </c>
      <c r="N93">
        <f t="shared" si="31"/>
        <v>14966</v>
      </c>
      <c r="O93">
        <f t="shared" si="32"/>
        <v>730.74434999999994</v>
      </c>
      <c r="P93">
        <f t="shared" si="33"/>
        <v>50</v>
      </c>
      <c r="Q93">
        <f t="shared" si="34"/>
        <v>0</v>
      </c>
      <c r="AP93" s="26">
        <v>910</v>
      </c>
      <c r="AQ93" s="27" t="s">
        <v>168</v>
      </c>
      <c r="AR93" s="28"/>
      <c r="AS93" s="27">
        <f t="shared" si="27"/>
        <v>32300</v>
      </c>
      <c r="AV93" s="97">
        <v>910</v>
      </c>
      <c r="AW93" s="101">
        <v>1</v>
      </c>
      <c r="AX93" s="96"/>
      <c r="AY93" s="97">
        <v>3</v>
      </c>
      <c r="AZ93" s="96">
        <v>2600</v>
      </c>
    </row>
    <row r="94" spans="1:52" x14ac:dyDescent="0.25">
      <c r="A94">
        <v>92</v>
      </c>
      <c r="B94">
        <f t="shared" si="17"/>
        <v>4</v>
      </c>
      <c r="C94">
        <f t="shared" si="18"/>
        <v>1</v>
      </c>
      <c r="D94">
        <f t="shared" si="21"/>
        <v>74</v>
      </c>
      <c r="E94" t="str">
        <f t="shared" si="22"/>
        <v/>
      </c>
      <c r="F94" t="str">
        <f t="shared" si="23"/>
        <v/>
      </c>
      <c r="G94">
        <f t="shared" si="24"/>
        <v>3300</v>
      </c>
      <c r="H94" t="str">
        <f t="shared" si="25"/>
        <v/>
      </c>
      <c r="I94" t="str">
        <f t="shared" si="26"/>
        <v/>
      </c>
      <c r="J94">
        <f>SUM($G$3:I94)</f>
        <v>78130</v>
      </c>
      <c r="K94">
        <f t="shared" si="28"/>
        <v>740</v>
      </c>
      <c r="L94">
        <f t="shared" si="29"/>
        <v>1.0289999999999999</v>
      </c>
      <c r="M94">
        <f t="shared" si="30"/>
        <v>1.0145</v>
      </c>
      <c r="N94">
        <f t="shared" si="31"/>
        <v>15626</v>
      </c>
      <c r="O94">
        <f t="shared" si="32"/>
        <v>772.50116999999989</v>
      </c>
      <c r="P94">
        <f t="shared" si="33"/>
        <v>50</v>
      </c>
      <c r="Q94">
        <f t="shared" si="34"/>
        <v>0</v>
      </c>
      <c r="AP94" s="29">
        <v>920</v>
      </c>
      <c r="AQ94" s="30" t="s">
        <v>140</v>
      </c>
      <c r="AR94" s="31" t="s">
        <v>141</v>
      </c>
      <c r="AS94" s="30">
        <f t="shared" si="27"/>
        <v>32300</v>
      </c>
      <c r="AV94" s="97">
        <v>920</v>
      </c>
      <c r="AW94" s="101">
        <v>3</v>
      </c>
      <c r="AX94" s="96"/>
      <c r="AY94" s="100">
        <v>98</v>
      </c>
      <c r="AZ94" s="100">
        <v>1</v>
      </c>
    </row>
    <row r="95" spans="1:52" x14ac:dyDescent="0.25">
      <c r="A95">
        <v>93</v>
      </c>
      <c r="B95">
        <f t="shared" si="17"/>
        <v>4</v>
      </c>
      <c r="C95">
        <f t="shared" si="18"/>
        <v>1</v>
      </c>
      <c r="D95">
        <f t="shared" si="21"/>
        <v>78</v>
      </c>
      <c r="E95" t="str">
        <f t="shared" si="22"/>
        <v/>
      </c>
      <c r="F95" t="str">
        <f t="shared" si="23"/>
        <v/>
      </c>
      <c r="G95">
        <f t="shared" si="24"/>
        <v>3400</v>
      </c>
      <c r="H95" t="str">
        <f t="shared" si="25"/>
        <v/>
      </c>
      <c r="I95" t="str">
        <f t="shared" si="26"/>
        <v/>
      </c>
      <c r="J95">
        <f>SUM($G$3:I95)</f>
        <v>81530</v>
      </c>
      <c r="K95">
        <f t="shared" si="28"/>
        <v>780</v>
      </c>
      <c r="L95">
        <f t="shared" si="29"/>
        <v>1.0289999999999999</v>
      </c>
      <c r="M95">
        <f t="shared" si="30"/>
        <v>1.0145</v>
      </c>
      <c r="N95">
        <f t="shared" si="31"/>
        <v>16306</v>
      </c>
      <c r="O95">
        <f t="shared" si="32"/>
        <v>814.25798999999984</v>
      </c>
      <c r="P95">
        <f t="shared" si="33"/>
        <v>50</v>
      </c>
      <c r="Q95">
        <f t="shared" si="34"/>
        <v>0</v>
      </c>
      <c r="AP95" s="32">
        <v>930</v>
      </c>
      <c r="AQ95" s="33" t="s">
        <v>131</v>
      </c>
      <c r="AR95" s="34"/>
      <c r="AS95" s="33">
        <f t="shared" si="27"/>
        <v>32300</v>
      </c>
      <c r="AV95" s="97">
        <v>930</v>
      </c>
      <c r="AW95" s="101">
        <v>4</v>
      </c>
      <c r="AX95" s="96" t="s">
        <v>308</v>
      </c>
      <c r="AY95" s="96"/>
      <c r="AZ95" s="96"/>
    </row>
    <row r="96" spans="1:52" x14ac:dyDescent="0.25">
      <c r="A96">
        <v>94</v>
      </c>
      <c r="B96">
        <f t="shared" si="17"/>
        <v>4</v>
      </c>
      <c r="C96">
        <f t="shared" si="18"/>
        <v>1</v>
      </c>
      <c r="D96">
        <f t="shared" si="21"/>
        <v>82</v>
      </c>
      <c r="E96" t="str">
        <f t="shared" si="22"/>
        <v/>
      </c>
      <c r="F96" t="str">
        <f t="shared" si="23"/>
        <v/>
      </c>
      <c r="G96">
        <f t="shared" si="24"/>
        <v>3500</v>
      </c>
      <c r="H96" t="str">
        <f t="shared" si="25"/>
        <v/>
      </c>
      <c r="I96" t="str">
        <f t="shared" si="26"/>
        <v/>
      </c>
      <c r="J96">
        <f>SUM($G$3:I96)</f>
        <v>85030</v>
      </c>
      <c r="K96">
        <f t="shared" si="28"/>
        <v>819.99999999999989</v>
      </c>
      <c r="L96">
        <f t="shared" si="29"/>
        <v>1.0289999999999999</v>
      </c>
      <c r="M96">
        <f t="shared" si="30"/>
        <v>1.0145</v>
      </c>
      <c r="N96">
        <f t="shared" si="31"/>
        <v>17006</v>
      </c>
      <c r="O96">
        <f t="shared" si="32"/>
        <v>856.01480999999978</v>
      </c>
      <c r="P96">
        <f t="shared" si="33"/>
        <v>50</v>
      </c>
      <c r="Q96">
        <f t="shared" si="34"/>
        <v>0</v>
      </c>
      <c r="AP96" s="26">
        <v>940</v>
      </c>
      <c r="AQ96" s="27" t="s">
        <v>169</v>
      </c>
      <c r="AR96" s="28"/>
      <c r="AS96" s="27">
        <f t="shared" si="27"/>
        <v>35000</v>
      </c>
      <c r="AV96" s="97">
        <v>940</v>
      </c>
      <c r="AW96" s="101">
        <v>1</v>
      </c>
      <c r="AX96" s="96"/>
      <c r="AY96" s="97">
        <v>3</v>
      </c>
      <c r="AZ96" s="96">
        <v>2700</v>
      </c>
    </row>
    <row r="97" spans="1:52" x14ac:dyDescent="0.25">
      <c r="A97">
        <v>95</v>
      </c>
      <c r="B97">
        <f t="shared" si="17"/>
        <v>4</v>
      </c>
      <c r="C97">
        <f t="shared" si="18"/>
        <v>1</v>
      </c>
      <c r="D97">
        <f t="shared" si="21"/>
        <v>86</v>
      </c>
      <c r="E97" t="str">
        <f t="shared" si="22"/>
        <v/>
      </c>
      <c r="F97" t="str">
        <f t="shared" si="23"/>
        <v/>
      </c>
      <c r="G97">
        <f t="shared" si="24"/>
        <v>3600</v>
      </c>
      <c r="H97" t="str">
        <f t="shared" si="25"/>
        <v/>
      </c>
      <c r="I97" t="str">
        <f t="shared" si="26"/>
        <v/>
      </c>
      <c r="J97">
        <f>SUM($G$3:I97)</f>
        <v>88630</v>
      </c>
      <c r="K97">
        <f t="shared" si="28"/>
        <v>860</v>
      </c>
      <c r="L97">
        <f t="shared" si="29"/>
        <v>1.0289999999999999</v>
      </c>
      <c r="M97">
        <f t="shared" si="30"/>
        <v>1.0145</v>
      </c>
      <c r="N97">
        <f t="shared" si="31"/>
        <v>17726</v>
      </c>
      <c r="O97">
        <f t="shared" si="32"/>
        <v>897.77162999999985</v>
      </c>
      <c r="P97">
        <f t="shared" si="33"/>
        <v>50</v>
      </c>
      <c r="Q97">
        <f t="shared" si="34"/>
        <v>0</v>
      </c>
      <c r="AP97" s="29">
        <v>950</v>
      </c>
      <c r="AQ97" s="30" t="s">
        <v>140</v>
      </c>
      <c r="AR97" s="31" t="s">
        <v>141</v>
      </c>
      <c r="AS97" s="30">
        <f t="shared" si="27"/>
        <v>35000</v>
      </c>
      <c r="AV97" s="97">
        <v>950</v>
      </c>
      <c r="AW97" s="101">
        <v>3</v>
      </c>
      <c r="AX97" s="96"/>
      <c r="AY97" s="100">
        <v>98</v>
      </c>
      <c r="AZ97" s="100">
        <v>1</v>
      </c>
    </row>
    <row r="98" spans="1:52" x14ac:dyDescent="0.25">
      <c r="A98">
        <v>96</v>
      </c>
      <c r="B98">
        <f t="shared" ref="B98:B161" si="35">B68+1</f>
        <v>4</v>
      </c>
      <c r="C98">
        <f t="shared" ref="C98:C161" si="36">C68</f>
        <v>1</v>
      </c>
      <c r="D98">
        <f t="shared" si="21"/>
        <v>90</v>
      </c>
      <c r="E98" t="str">
        <f t="shared" si="22"/>
        <v/>
      </c>
      <c r="F98" t="str">
        <f t="shared" si="23"/>
        <v/>
      </c>
      <c r="G98">
        <f t="shared" si="24"/>
        <v>3700</v>
      </c>
      <c r="H98" t="str">
        <f t="shared" si="25"/>
        <v/>
      </c>
      <c r="I98" t="str">
        <f t="shared" si="26"/>
        <v/>
      </c>
      <c r="J98">
        <f>SUM($G$3:I98)</f>
        <v>92330</v>
      </c>
      <c r="K98">
        <f t="shared" si="28"/>
        <v>900</v>
      </c>
      <c r="L98">
        <f t="shared" si="29"/>
        <v>1.0289999999999999</v>
      </c>
      <c r="M98">
        <f t="shared" si="30"/>
        <v>1.0145</v>
      </c>
      <c r="N98">
        <f t="shared" si="31"/>
        <v>18466</v>
      </c>
      <c r="O98">
        <f t="shared" si="32"/>
        <v>939.52844999999991</v>
      </c>
      <c r="P98">
        <f t="shared" si="33"/>
        <v>50</v>
      </c>
      <c r="Q98">
        <f t="shared" si="34"/>
        <v>0</v>
      </c>
      <c r="AP98" s="32">
        <v>960</v>
      </c>
      <c r="AQ98" s="33" t="s">
        <v>131</v>
      </c>
      <c r="AR98" s="34"/>
      <c r="AS98" s="33">
        <f t="shared" si="27"/>
        <v>35000</v>
      </c>
      <c r="AV98" s="97">
        <v>960</v>
      </c>
      <c r="AW98" s="101">
        <v>4</v>
      </c>
      <c r="AX98" s="96" t="s">
        <v>309</v>
      </c>
      <c r="AY98" s="96"/>
      <c r="AZ98" s="96"/>
    </row>
    <row r="99" spans="1:52" x14ac:dyDescent="0.25">
      <c r="A99">
        <v>97</v>
      </c>
      <c r="B99">
        <f t="shared" si="35"/>
        <v>4</v>
      </c>
      <c r="C99">
        <f t="shared" si="36"/>
        <v>1</v>
      </c>
      <c r="D99">
        <f t="shared" si="21"/>
        <v>94</v>
      </c>
      <c r="E99" t="str">
        <f t="shared" si="22"/>
        <v/>
      </c>
      <c r="F99" t="str">
        <f t="shared" si="23"/>
        <v/>
      </c>
      <c r="G99">
        <f t="shared" si="24"/>
        <v>3800</v>
      </c>
      <c r="H99" t="str">
        <f t="shared" si="25"/>
        <v/>
      </c>
      <c r="I99" t="str">
        <f t="shared" si="26"/>
        <v/>
      </c>
      <c r="J99">
        <f>SUM($G$3:I99)</f>
        <v>96130</v>
      </c>
      <c r="K99">
        <f t="shared" si="28"/>
        <v>940</v>
      </c>
      <c r="L99">
        <f t="shared" si="29"/>
        <v>1.0289999999999999</v>
      </c>
      <c r="M99">
        <f t="shared" si="30"/>
        <v>1.0145</v>
      </c>
      <c r="N99">
        <f t="shared" si="31"/>
        <v>19226</v>
      </c>
      <c r="O99">
        <f t="shared" si="32"/>
        <v>981.28526999999985</v>
      </c>
      <c r="P99">
        <f t="shared" si="33"/>
        <v>50</v>
      </c>
      <c r="Q99">
        <f t="shared" si="34"/>
        <v>0</v>
      </c>
      <c r="AP99" s="26">
        <v>970</v>
      </c>
      <c r="AQ99" s="27" t="s">
        <v>170</v>
      </c>
      <c r="AR99" s="28"/>
      <c r="AS99" s="27">
        <f t="shared" si="27"/>
        <v>37800</v>
      </c>
      <c r="AV99" s="97">
        <v>970</v>
      </c>
      <c r="AW99" s="101">
        <v>1</v>
      </c>
      <c r="AX99" s="96"/>
      <c r="AY99" s="97">
        <v>3</v>
      </c>
      <c r="AZ99" s="96">
        <v>2800</v>
      </c>
    </row>
    <row r="100" spans="1:52" x14ac:dyDescent="0.25">
      <c r="A100">
        <v>98</v>
      </c>
      <c r="B100">
        <f t="shared" si="35"/>
        <v>4</v>
      </c>
      <c r="C100">
        <f t="shared" si="36"/>
        <v>1</v>
      </c>
      <c r="D100">
        <f t="shared" si="21"/>
        <v>98</v>
      </c>
      <c r="E100" t="str">
        <f t="shared" si="22"/>
        <v/>
      </c>
      <c r="F100" t="str">
        <f t="shared" si="23"/>
        <v/>
      </c>
      <c r="G100">
        <f t="shared" si="24"/>
        <v>3900</v>
      </c>
      <c r="H100" t="str">
        <f t="shared" si="25"/>
        <v/>
      </c>
      <c r="I100" t="str">
        <f t="shared" si="26"/>
        <v/>
      </c>
      <c r="J100">
        <f>SUM($G$3:I100)</f>
        <v>100030</v>
      </c>
      <c r="K100">
        <f t="shared" si="28"/>
        <v>980.00000000000011</v>
      </c>
      <c r="L100">
        <f t="shared" si="29"/>
        <v>1.0289999999999999</v>
      </c>
      <c r="M100">
        <f t="shared" si="30"/>
        <v>1.0145</v>
      </c>
      <c r="N100">
        <f t="shared" si="31"/>
        <v>20006</v>
      </c>
      <c r="O100">
        <f t="shared" si="32"/>
        <v>1023.04209</v>
      </c>
      <c r="P100">
        <f t="shared" si="33"/>
        <v>50</v>
      </c>
      <c r="Q100">
        <f t="shared" si="34"/>
        <v>0</v>
      </c>
      <c r="AP100" s="29">
        <v>980</v>
      </c>
      <c r="AQ100" s="30" t="s">
        <v>140</v>
      </c>
      <c r="AR100" s="31" t="s">
        <v>141</v>
      </c>
      <c r="AS100" s="30">
        <f t="shared" si="27"/>
        <v>37800</v>
      </c>
      <c r="AV100" s="97">
        <v>980</v>
      </c>
      <c r="AW100" s="101">
        <v>3</v>
      </c>
      <c r="AX100" s="96"/>
      <c r="AY100" s="100">
        <v>98</v>
      </c>
      <c r="AZ100" s="100">
        <v>1</v>
      </c>
    </row>
    <row r="101" spans="1:52" x14ac:dyDescent="0.25">
      <c r="A101">
        <v>99</v>
      </c>
      <c r="B101">
        <f t="shared" si="35"/>
        <v>4</v>
      </c>
      <c r="C101">
        <f t="shared" si="36"/>
        <v>1</v>
      </c>
      <c r="D101">
        <f t="shared" si="21"/>
        <v>102</v>
      </c>
      <c r="E101" t="str">
        <f t="shared" si="22"/>
        <v/>
      </c>
      <c r="F101" t="str">
        <f t="shared" si="23"/>
        <v/>
      </c>
      <c r="G101">
        <f t="shared" si="24"/>
        <v>4000</v>
      </c>
      <c r="H101" t="str">
        <f t="shared" si="25"/>
        <v/>
      </c>
      <c r="I101" t="str">
        <f t="shared" si="26"/>
        <v/>
      </c>
      <c r="J101">
        <f>SUM($G$3:I101)</f>
        <v>104030</v>
      </c>
      <c r="K101">
        <f t="shared" si="28"/>
        <v>1019.9999999999999</v>
      </c>
      <c r="L101">
        <f t="shared" si="29"/>
        <v>1.0289999999999999</v>
      </c>
      <c r="M101">
        <f t="shared" si="30"/>
        <v>1.0145</v>
      </c>
      <c r="N101">
        <f t="shared" si="31"/>
        <v>20806</v>
      </c>
      <c r="O101">
        <f t="shared" si="32"/>
        <v>1064.7989099999998</v>
      </c>
      <c r="P101">
        <f t="shared" si="33"/>
        <v>50</v>
      </c>
      <c r="Q101">
        <f t="shared" si="34"/>
        <v>0</v>
      </c>
      <c r="AP101" s="32">
        <v>990</v>
      </c>
      <c r="AQ101" s="33" t="s">
        <v>131</v>
      </c>
      <c r="AR101" s="34"/>
      <c r="AS101" s="33">
        <f t="shared" si="27"/>
        <v>37800</v>
      </c>
      <c r="AV101" s="97">
        <v>990</v>
      </c>
      <c r="AW101" s="101">
        <v>4</v>
      </c>
      <c r="AX101" s="96" t="s">
        <v>310</v>
      </c>
      <c r="AY101" s="96"/>
      <c r="AZ101" s="96"/>
    </row>
    <row r="102" spans="1:52" x14ac:dyDescent="0.25">
      <c r="A102">
        <v>100</v>
      </c>
      <c r="B102">
        <f t="shared" si="35"/>
        <v>4</v>
      </c>
      <c r="C102">
        <f t="shared" si="36"/>
        <v>1</v>
      </c>
      <c r="D102">
        <f t="shared" si="21"/>
        <v>106</v>
      </c>
      <c r="E102" t="str">
        <f t="shared" si="22"/>
        <v/>
      </c>
      <c r="F102" t="str">
        <f t="shared" si="23"/>
        <v/>
      </c>
      <c r="G102">
        <f t="shared" si="24"/>
        <v>4100</v>
      </c>
      <c r="H102" t="str">
        <f t="shared" si="25"/>
        <v/>
      </c>
      <c r="I102" t="str">
        <f t="shared" si="26"/>
        <v/>
      </c>
      <c r="J102">
        <f>SUM($G$3:I102)</f>
        <v>108130</v>
      </c>
      <c r="K102">
        <f t="shared" si="28"/>
        <v>1060</v>
      </c>
      <c r="L102">
        <f t="shared" si="29"/>
        <v>1.0289999999999999</v>
      </c>
      <c r="M102">
        <f t="shared" si="30"/>
        <v>1.0145</v>
      </c>
      <c r="N102">
        <f t="shared" si="31"/>
        <v>21626</v>
      </c>
      <c r="O102">
        <f t="shared" si="32"/>
        <v>1106.55573</v>
      </c>
      <c r="P102">
        <f t="shared" si="33"/>
        <v>200</v>
      </c>
      <c r="Q102">
        <f t="shared" si="34"/>
        <v>0</v>
      </c>
      <c r="AP102" s="26">
        <v>1000</v>
      </c>
      <c r="AQ102" s="27" t="s">
        <v>171</v>
      </c>
      <c r="AR102" s="28"/>
      <c r="AS102" s="27">
        <f t="shared" si="27"/>
        <v>40800</v>
      </c>
      <c r="AV102" s="97">
        <v>1000</v>
      </c>
      <c r="AW102" s="101">
        <v>1</v>
      </c>
      <c r="AX102" s="96"/>
      <c r="AY102" s="97">
        <v>3</v>
      </c>
      <c r="AZ102" s="96">
        <v>3000</v>
      </c>
    </row>
    <row r="103" spans="1:52" x14ac:dyDescent="0.25">
      <c r="A103">
        <v>101</v>
      </c>
      <c r="B103">
        <f t="shared" si="35"/>
        <v>4</v>
      </c>
      <c r="C103">
        <f t="shared" si="36"/>
        <v>2</v>
      </c>
      <c r="D103" t="str">
        <f t="shared" si="21"/>
        <v/>
      </c>
      <c r="E103">
        <f t="shared" si="22"/>
        <v>300</v>
      </c>
      <c r="F103" t="str">
        <f t="shared" si="23"/>
        <v/>
      </c>
      <c r="G103" t="str">
        <f t="shared" si="24"/>
        <v/>
      </c>
      <c r="H103">
        <f t="shared" si="25"/>
        <v>1000</v>
      </c>
      <c r="I103" t="str">
        <f t="shared" si="26"/>
        <v/>
      </c>
      <c r="J103">
        <f>SUM($G$3:I103)</f>
        <v>109130</v>
      </c>
      <c r="K103">
        <f t="shared" si="28"/>
        <v>1060</v>
      </c>
      <c r="L103">
        <f t="shared" si="29"/>
        <v>1.03</v>
      </c>
      <c r="M103">
        <f t="shared" si="30"/>
        <v>1.0145</v>
      </c>
      <c r="N103">
        <f t="shared" si="31"/>
        <v>21826</v>
      </c>
      <c r="O103">
        <f t="shared" si="32"/>
        <v>1107.6310999999998</v>
      </c>
      <c r="P103">
        <f t="shared" si="33"/>
        <v>200</v>
      </c>
      <c r="Q103">
        <f t="shared" si="34"/>
        <v>0</v>
      </c>
    </row>
    <row r="104" spans="1:52" x14ac:dyDescent="0.25">
      <c r="A104">
        <v>102</v>
      </c>
      <c r="B104">
        <f t="shared" si="35"/>
        <v>4</v>
      </c>
      <c r="C104">
        <f t="shared" si="36"/>
        <v>2</v>
      </c>
      <c r="D104" t="str">
        <f t="shared" si="21"/>
        <v/>
      </c>
      <c r="E104">
        <f t="shared" si="22"/>
        <v>310</v>
      </c>
      <c r="F104" t="str">
        <f t="shared" si="23"/>
        <v/>
      </c>
      <c r="G104" t="str">
        <f t="shared" si="24"/>
        <v/>
      </c>
      <c r="H104">
        <f t="shared" si="25"/>
        <v>1040</v>
      </c>
      <c r="I104" t="str">
        <f t="shared" si="26"/>
        <v/>
      </c>
      <c r="J104">
        <f>SUM($G$3:I104)</f>
        <v>110170</v>
      </c>
      <c r="K104">
        <f t="shared" si="28"/>
        <v>1060</v>
      </c>
      <c r="L104">
        <f t="shared" si="29"/>
        <v>1.0309999999999999</v>
      </c>
      <c r="M104">
        <f t="shared" si="30"/>
        <v>1.0145</v>
      </c>
      <c r="N104">
        <f t="shared" si="31"/>
        <v>22034</v>
      </c>
      <c r="O104">
        <f t="shared" si="32"/>
        <v>1108.7064699999999</v>
      </c>
      <c r="P104">
        <f t="shared" si="33"/>
        <v>200</v>
      </c>
      <c r="Q104">
        <f t="shared" si="34"/>
        <v>0</v>
      </c>
    </row>
    <row r="105" spans="1:52" x14ac:dyDescent="0.25">
      <c r="A105">
        <v>103</v>
      </c>
      <c r="B105">
        <f t="shared" si="35"/>
        <v>4</v>
      </c>
      <c r="C105">
        <f t="shared" si="36"/>
        <v>2</v>
      </c>
      <c r="D105" t="str">
        <f t="shared" si="21"/>
        <v/>
      </c>
      <c r="E105">
        <f t="shared" si="22"/>
        <v>320</v>
      </c>
      <c r="F105" t="str">
        <f t="shared" si="23"/>
        <v/>
      </c>
      <c r="G105" t="str">
        <f t="shared" si="24"/>
        <v/>
      </c>
      <c r="H105">
        <f t="shared" si="25"/>
        <v>1080</v>
      </c>
      <c r="I105" t="str">
        <f t="shared" si="26"/>
        <v/>
      </c>
      <c r="J105">
        <f>SUM($G$3:I105)</f>
        <v>111250</v>
      </c>
      <c r="K105">
        <f t="shared" si="28"/>
        <v>1060</v>
      </c>
      <c r="L105">
        <f t="shared" si="29"/>
        <v>1.032</v>
      </c>
      <c r="M105">
        <f t="shared" si="30"/>
        <v>1.0145</v>
      </c>
      <c r="N105">
        <f t="shared" si="31"/>
        <v>22250</v>
      </c>
      <c r="O105">
        <f t="shared" si="32"/>
        <v>1109.7818400000001</v>
      </c>
      <c r="P105">
        <f t="shared" si="33"/>
        <v>200</v>
      </c>
      <c r="Q105">
        <f t="shared" si="34"/>
        <v>0</v>
      </c>
    </row>
    <row r="106" spans="1:52" x14ac:dyDescent="0.25">
      <c r="A106">
        <v>104</v>
      </c>
      <c r="B106">
        <f t="shared" si="35"/>
        <v>4</v>
      </c>
      <c r="C106">
        <f t="shared" si="36"/>
        <v>2</v>
      </c>
      <c r="D106" t="str">
        <f t="shared" si="21"/>
        <v/>
      </c>
      <c r="E106">
        <f t="shared" si="22"/>
        <v>330</v>
      </c>
      <c r="F106" t="str">
        <f t="shared" si="23"/>
        <v/>
      </c>
      <c r="G106" t="str">
        <f t="shared" si="24"/>
        <v/>
      </c>
      <c r="H106">
        <f t="shared" si="25"/>
        <v>1120</v>
      </c>
      <c r="I106" t="str">
        <f t="shared" si="26"/>
        <v/>
      </c>
      <c r="J106">
        <f>SUM($G$3:I106)</f>
        <v>112370</v>
      </c>
      <c r="K106">
        <f t="shared" si="28"/>
        <v>1060</v>
      </c>
      <c r="L106">
        <f t="shared" si="29"/>
        <v>1.0329999999999999</v>
      </c>
      <c r="M106">
        <f t="shared" si="30"/>
        <v>1.0145</v>
      </c>
      <c r="N106">
        <f t="shared" si="31"/>
        <v>22474</v>
      </c>
      <c r="O106">
        <f t="shared" si="32"/>
        <v>1110.8572099999999</v>
      </c>
      <c r="P106">
        <f t="shared" si="33"/>
        <v>200</v>
      </c>
      <c r="Q106">
        <f t="shared" si="34"/>
        <v>0</v>
      </c>
    </row>
    <row r="107" spans="1:52" x14ac:dyDescent="0.25">
      <c r="A107">
        <v>105</v>
      </c>
      <c r="B107">
        <f t="shared" si="35"/>
        <v>4</v>
      </c>
      <c r="C107">
        <f t="shared" si="36"/>
        <v>2</v>
      </c>
      <c r="D107" t="str">
        <f t="shared" si="21"/>
        <v/>
      </c>
      <c r="E107">
        <f t="shared" si="22"/>
        <v>340</v>
      </c>
      <c r="F107" t="str">
        <f t="shared" si="23"/>
        <v/>
      </c>
      <c r="G107" t="str">
        <f t="shared" si="24"/>
        <v/>
      </c>
      <c r="H107">
        <f t="shared" si="25"/>
        <v>1160</v>
      </c>
      <c r="I107" t="str">
        <f t="shared" si="26"/>
        <v/>
      </c>
      <c r="J107">
        <f>SUM($G$3:I107)</f>
        <v>113530</v>
      </c>
      <c r="K107">
        <f t="shared" si="28"/>
        <v>1060</v>
      </c>
      <c r="L107">
        <f t="shared" si="29"/>
        <v>1.034</v>
      </c>
      <c r="M107">
        <f t="shared" si="30"/>
        <v>1.0145</v>
      </c>
      <c r="N107">
        <f t="shared" si="31"/>
        <v>22706</v>
      </c>
      <c r="O107">
        <f t="shared" si="32"/>
        <v>1111.9325799999999</v>
      </c>
      <c r="P107">
        <f t="shared" si="33"/>
        <v>200</v>
      </c>
      <c r="Q107">
        <f t="shared" si="34"/>
        <v>0</v>
      </c>
    </row>
    <row r="108" spans="1:52" x14ac:dyDescent="0.25">
      <c r="A108">
        <v>106</v>
      </c>
      <c r="B108">
        <f t="shared" si="35"/>
        <v>4</v>
      </c>
      <c r="C108">
        <f t="shared" si="36"/>
        <v>2</v>
      </c>
      <c r="D108" t="str">
        <f t="shared" si="21"/>
        <v/>
      </c>
      <c r="E108">
        <f t="shared" si="22"/>
        <v>350</v>
      </c>
      <c r="F108" t="str">
        <f t="shared" si="23"/>
        <v/>
      </c>
      <c r="G108" t="str">
        <f t="shared" si="24"/>
        <v/>
      </c>
      <c r="H108">
        <f t="shared" si="25"/>
        <v>1200</v>
      </c>
      <c r="I108" t="str">
        <f t="shared" si="26"/>
        <v/>
      </c>
      <c r="J108">
        <f>SUM($G$3:I108)</f>
        <v>114730</v>
      </c>
      <c r="K108">
        <f t="shared" si="28"/>
        <v>1060</v>
      </c>
      <c r="L108">
        <f t="shared" si="29"/>
        <v>1.0349999999999999</v>
      </c>
      <c r="M108">
        <f t="shared" si="30"/>
        <v>1.0145</v>
      </c>
      <c r="N108">
        <f t="shared" si="31"/>
        <v>22946</v>
      </c>
      <c r="O108">
        <f t="shared" si="32"/>
        <v>1113.0079499999999</v>
      </c>
      <c r="P108">
        <f t="shared" si="33"/>
        <v>200</v>
      </c>
      <c r="Q108">
        <f t="shared" si="34"/>
        <v>0</v>
      </c>
    </row>
    <row r="109" spans="1:52" x14ac:dyDescent="0.25">
      <c r="A109">
        <v>107</v>
      </c>
      <c r="B109">
        <f t="shared" si="35"/>
        <v>4</v>
      </c>
      <c r="C109">
        <f t="shared" si="36"/>
        <v>2</v>
      </c>
      <c r="D109" t="str">
        <f t="shared" si="21"/>
        <v/>
      </c>
      <c r="E109">
        <f t="shared" si="22"/>
        <v>360</v>
      </c>
      <c r="F109" t="str">
        <f t="shared" si="23"/>
        <v/>
      </c>
      <c r="G109" t="str">
        <f t="shared" si="24"/>
        <v/>
      </c>
      <c r="H109">
        <f t="shared" si="25"/>
        <v>1240</v>
      </c>
      <c r="I109" t="str">
        <f t="shared" si="26"/>
        <v/>
      </c>
      <c r="J109">
        <f>SUM($G$3:I109)</f>
        <v>115970</v>
      </c>
      <c r="K109">
        <f t="shared" si="28"/>
        <v>1060</v>
      </c>
      <c r="L109">
        <f t="shared" si="29"/>
        <v>1.036</v>
      </c>
      <c r="M109">
        <f t="shared" si="30"/>
        <v>1.0145</v>
      </c>
      <c r="N109">
        <f t="shared" si="31"/>
        <v>23194</v>
      </c>
      <c r="O109">
        <f t="shared" si="32"/>
        <v>1114.08332</v>
      </c>
      <c r="P109">
        <f t="shared" si="33"/>
        <v>200</v>
      </c>
      <c r="Q109">
        <f t="shared" si="34"/>
        <v>0</v>
      </c>
    </row>
    <row r="110" spans="1:52" x14ac:dyDescent="0.25">
      <c r="A110">
        <v>108</v>
      </c>
      <c r="B110">
        <f t="shared" si="35"/>
        <v>4</v>
      </c>
      <c r="C110">
        <f t="shared" si="36"/>
        <v>2</v>
      </c>
      <c r="D110" t="str">
        <f t="shared" si="21"/>
        <v/>
      </c>
      <c r="E110">
        <f t="shared" si="22"/>
        <v>370</v>
      </c>
      <c r="F110" t="str">
        <f t="shared" si="23"/>
        <v/>
      </c>
      <c r="G110" t="str">
        <f t="shared" si="24"/>
        <v/>
      </c>
      <c r="H110">
        <f t="shared" si="25"/>
        <v>1280</v>
      </c>
      <c r="I110" t="str">
        <f t="shared" si="26"/>
        <v/>
      </c>
      <c r="J110">
        <f>SUM($G$3:I110)</f>
        <v>117250</v>
      </c>
      <c r="K110">
        <f t="shared" si="28"/>
        <v>1060</v>
      </c>
      <c r="L110">
        <f t="shared" si="29"/>
        <v>1.0369999999999999</v>
      </c>
      <c r="M110">
        <f t="shared" si="30"/>
        <v>1.0145</v>
      </c>
      <c r="N110">
        <f t="shared" si="31"/>
        <v>23450</v>
      </c>
      <c r="O110">
        <f t="shared" si="32"/>
        <v>1115.15869</v>
      </c>
      <c r="P110">
        <f t="shared" si="33"/>
        <v>200</v>
      </c>
      <c r="Q110">
        <f t="shared" si="34"/>
        <v>0</v>
      </c>
    </row>
    <row r="111" spans="1:52" x14ac:dyDescent="0.25">
      <c r="A111">
        <v>109</v>
      </c>
      <c r="B111">
        <f t="shared" si="35"/>
        <v>4</v>
      </c>
      <c r="C111">
        <f t="shared" si="36"/>
        <v>2</v>
      </c>
      <c r="D111" t="str">
        <f t="shared" si="21"/>
        <v/>
      </c>
      <c r="E111">
        <f t="shared" si="22"/>
        <v>380</v>
      </c>
      <c r="F111" t="str">
        <f t="shared" si="23"/>
        <v/>
      </c>
      <c r="G111" t="str">
        <f t="shared" si="24"/>
        <v/>
      </c>
      <c r="H111">
        <f t="shared" si="25"/>
        <v>1320</v>
      </c>
      <c r="I111" t="str">
        <f t="shared" si="26"/>
        <v/>
      </c>
      <c r="J111">
        <f>SUM($G$3:I111)</f>
        <v>118570</v>
      </c>
      <c r="K111">
        <f t="shared" si="28"/>
        <v>1060</v>
      </c>
      <c r="L111">
        <f t="shared" si="29"/>
        <v>1.038</v>
      </c>
      <c r="M111">
        <f t="shared" si="30"/>
        <v>1.0145</v>
      </c>
      <c r="N111">
        <f t="shared" si="31"/>
        <v>23714</v>
      </c>
      <c r="O111">
        <f t="shared" si="32"/>
        <v>1116.23406</v>
      </c>
      <c r="P111">
        <f t="shared" si="33"/>
        <v>200</v>
      </c>
      <c r="Q111">
        <f t="shared" si="34"/>
        <v>0</v>
      </c>
    </row>
    <row r="112" spans="1:52" x14ac:dyDescent="0.25">
      <c r="A112">
        <v>110</v>
      </c>
      <c r="B112">
        <f t="shared" si="35"/>
        <v>4</v>
      </c>
      <c r="C112">
        <f t="shared" si="36"/>
        <v>2</v>
      </c>
      <c r="D112" t="str">
        <f t="shared" si="21"/>
        <v/>
      </c>
      <c r="E112">
        <f t="shared" si="22"/>
        <v>390</v>
      </c>
      <c r="F112" t="str">
        <f t="shared" si="23"/>
        <v/>
      </c>
      <c r="G112" t="str">
        <f t="shared" si="24"/>
        <v/>
      </c>
      <c r="H112">
        <f t="shared" si="25"/>
        <v>1360</v>
      </c>
      <c r="I112" t="str">
        <f t="shared" si="26"/>
        <v/>
      </c>
      <c r="J112">
        <f>SUM($G$3:I112)</f>
        <v>119930</v>
      </c>
      <c r="K112">
        <f t="shared" si="28"/>
        <v>1060</v>
      </c>
      <c r="L112">
        <f t="shared" si="29"/>
        <v>1.0389999999999999</v>
      </c>
      <c r="M112">
        <f t="shared" si="30"/>
        <v>1.0145</v>
      </c>
      <c r="N112">
        <f t="shared" si="31"/>
        <v>23986</v>
      </c>
      <c r="O112">
        <f t="shared" si="32"/>
        <v>1117.3094299999998</v>
      </c>
      <c r="P112">
        <f t="shared" si="33"/>
        <v>200</v>
      </c>
      <c r="Q112">
        <f t="shared" si="34"/>
        <v>0</v>
      </c>
    </row>
    <row r="113" spans="1:17" x14ac:dyDescent="0.25">
      <c r="A113">
        <v>111</v>
      </c>
      <c r="B113">
        <f t="shared" si="35"/>
        <v>4</v>
      </c>
      <c r="C113">
        <f t="shared" si="36"/>
        <v>3</v>
      </c>
      <c r="D113" t="str">
        <f t="shared" si="21"/>
        <v/>
      </c>
      <c r="E113" t="str">
        <f t="shared" si="22"/>
        <v/>
      </c>
      <c r="F113">
        <f t="shared" si="23"/>
        <v>150</v>
      </c>
      <c r="G113" t="str">
        <f t="shared" si="24"/>
        <v/>
      </c>
      <c r="H113" t="str">
        <f t="shared" si="25"/>
        <v/>
      </c>
      <c r="I113">
        <f t="shared" si="26"/>
        <v>1000</v>
      </c>
      <c r="J113">
        <f>SUM($G$3:I113)</f>
        <v>120930</v>
      </c>
      <c r="K113">
        <f t="shared" si="28"/>
        <v>1060</v>
      </c>
      <c r="L113">
        <f t="shared" si="29"/>
        <v>1.0389999999999999</v>
      </c>
      <c r="M113">
        <f t="shared" si="30"/>
        <v>1.0149999999999999</v>
      </c>
      <c r="N113">
        <f t="shared" si="31"/>
        <v>24186</v>
      </c>
      <c r="O113">
        <f t="shared" si="32"/>
        <v>1117.8600999999999</v>
      </c>
      <c r="P113">
        <f t="shared" si="33"/>
        <v>200</v>
      </c>
      <c r="Q113">
        <f t="shared" si="34"/>
        <v>0</v>
      </c>
    </row>
    <row r="114" spans="1:17" x14ac:dyDescent="0.25">
      <c r="A114">
        <v>112</v>
      </c>
      <c r="B114">
        <f t="shared" si="35"/>
        <v>4</v>
      </c>
      <c r="C114">
        <f t="shared" si="36"/>
        <v>3</v>
      </c>
      <c r="D114" t="str">
        <f t="shared" si="21"/>
        <v/>
      </c>
      <c r="E114" t="str">
        <f t="shared" si="22"/>
        <v/>
      </c>
      <c r="F114">
        <f t="shared" si="23"/>
        <v>155</v>
      </c>
      <c r="G114" t="str">
        <f t="shared" si="24"/>
        <v/>
      </c>
      <c r="H114" t="str">
        <f t="shared" si="25"/>
        <v/>
      </c>
      <c r="I114">
        <f t="shared" si="26"/>
        <v>1050</v>
      </c>
      <c r="J114">
        <f>SUM($G$3:I114)</f>
        <v>121980</v>
      </c>
      <c r="K114">
        <f t="shared" si="28"/>
        <v>1060</v>
      </c>
      <c r="L114">
        <f t="shared" si="29"/>
        <v>1.0389999999999999</v>
      </c>
      <c r="M114">
        <f t="shared" si="30"/>
        <v>1.0155000000000001</v>
      </c>
      <c r="N114">
        <f t="shared" si="31"/>
        <v>24396</v>
      </c>
      <c r="O114">
        <f t="shared" si="32"/>
        <v>1118.41077</v>
      </c>
      <c r="P114">
        <f t="shared" si="33"/>
        <v>200</v>
      </c>
      <c r="Q114">
        <f t="shared" si="34"/>
        <v>0</v>
      </c>
    </row>
    <row r="115" spans="1:17" x14ac:dyDescent="0.25">
      <c r="A115">
        <v>113</v>
      </c>
      <c r="B115">
        <f t="shared" si="35"/>
        <v>4</v>
      </c>
      <c r="C115">
        <f t="shared" si="36"/>
        <v>3</v>
      </c>
      <c r="D115" t="str">
        <f t="shared" si="21"/>
        <v/>
      </c>
      <c r="E115" t="str">
        <f t="shared" si="22"/>
        <v/>
      </c>
      <c r="F115">
        <f t="shared" si="23"/>
        <v>160</v>
      </c>
      <c r="G115" t="str">
        <f t="shared" si="24"/>
        <v/>
      </c>
      <c r="H115" t="str">
        <f t="shared" si="25"/>
        <v/>
      </c>
      <c r="I115">
        <f t="shared" si="26"/>
        <v>1100</v>
      </c>
      <c r="J115">
        <f>SUM($G$3:I115)</f>
        <v>123080</v>
      </c>
      <c r="K115">
        <f t="shared" si="28"/>
        <v>1060</v>
      </c>
      <c r="L115">
        <f t="shared" si="29"/>
        <v>1.0389999999999999</v>
      </c>
      <c r="M115">
        <f t="shared" si="30"/>
        <v>1.016</v>
      </c>
      <c r="N115">
        <f t="shared" si="31"/>
        <v>24616</v>
      </c>
      <c r="O115">
        <f t="shared" si="32"/>
        <v>1118.96144</v>
      </c>
      <c r="P115">
        <f t="shared" si="33"/>
        <v>200</v>
      </c>
      <c r="Q115">
        <f t="shared" si="34"/>
        <v>0</v>
      </c>
    </row>
    <row r="116" spans="1:17" x14ac:dyDescent="0.25">
      <c r="A116">
        <v>114</v>
      </c>
      <c r="B116">
        <f t="shared" si="35"/>
        <v>4</v>
      </c>
      <c r="C116">
        <f t="shared" si="36"/>
        <v>3</v>
      </c>
      <c r="D116" t="str">
        <f t="shared" si="21"/>
        <v/>
      </c>
      <c r="E116" t="str">
        <f t="shared" si="22"/>
        <v/>
      </c>
      <c r="F116">
        <f t="shared" si="23"/>
        <v>165</v>
      </c>
      <c r="G116" t="str">
        <f t="shared" si="24"/>
        <v/>
      </c>
      <c r="H116" t="str">
        <f t="shared" si="25"/>
        <v/>
      </c>
      <c r="I116">
        <f t="shared" si="26"/>
        <v>1150</v>
      </c>
      <c r="J116">
        <f>SUM($G$3:I116)</f>
        <v>124230</v>
      </c>
      <c r="K116">
        <f t="shared" si="28"/>
        <v>1060</v>
      </c>
      <c r="L116">
        <f t="shared" si="29"/>
        <v>1.0389999999999999</v>
      </c>
      <c r="M116">
        <f t="shared" si="30"/>
        <v>1.0165</v>
      </c>
      <c r="N116">
        <f t="shared" si="31"/>
        <v>24846</v>
      </c>
      <c r="O116">
        <f t="shared" si="32"/>
        <v>1119.5121099999999</v>
      </c>
      <c r="P116">
        <f t="shared" si="33"/>
        <v>200</v>
      </c>
      <c r="Q116">
        <f t="shared" si="34"/>
        <v>0</v>
      </c>
    </row>
    <row r="117" spans="1:17" x14ac:dyDescent="0.25">
      <c r="A117">
        <v>115</v>
      </c>
      <c r="B117">
        <f t="shared" si="35"/>
        <v>4</v>
      </c>
      <c r="C117">
        <f t="shared" si="36"/>
        <v>3</v>
      </c>
      <c r="D117" t="str">
        <f t="shared" si="21"/>
        <v/>
      </c>
      <c r="E117" t="str">
        <f t="shared" si="22"/>
        <v/>
      </c>
      <c r="F117">
        <f t="shared" si="23"/>
        <v>170</v>
      </c>
      <c r="G117" t="str">
        <f t="shared" si="24"/>
        <v/>
      </c>
      <c r="H117" t="str">
        <f t="shared" si="25"/>
        <v/>
      </c>
      <c r="I117">
        <f t="shared" si="26"/>
        <v>1200</v>
      </c>
      <c r="J117">
        <f>SUM($G$3:I117)</f>
        <v>125430</v>
      </c>
      <c r="K117">
        <f t="shared" si="28"/>
        <v>1060</v>
      </c>
      <c r="L117">
        <f t="shared" si="29"/>
        <v>1.0389999999999999</v>
      </c>
      <c r="M117">
        <f t="shared" si="30"/>
        <v>1.0169999999999999</v>
      </c>
      <c r="N117">
        <f t="shared" si="31"/>
        <v>25086</v>
      </c>
      <c r="O117">
        <f t="shared" si="32"/>
        <v>1120.0627799999997</v>
      </c>
      <c r="P117">
        <f t="shared" si="33"/>
        <v>200</v>
      </c>
      <c r="Q117">
        <f t="shared" si="34"/>
        <v>0</v>
      </c>
    </row>
    <row r="118" spans="1:17" x14ac:dyDescent="0.25">
      <c r="A118">
        <v>116</v>
      </c>
      <c r="B118">
        <f t="shared" si="35"/>
        <v>4</v>
      </c>
      <c r="C118">
        <f t="shared" si="36"/>
        <v>3</v>
      </c>
      <c r="D118" t="str">
        <f t="shared" si="21"/>
        <v/>
      </c>
      <c r="E118" t="str">
        <f t="shared" si="22"/>
        <v/>
      </c>
      <c r="F118">
        <f t="shared" si="23"/>
        <v>175</v>
      </c>
      <c r="G118" t="str">
        <f t="shared" si="24"/>
        <v/>
      </c>
      <c r="H118" t="str">
        <f t="shared" si="25"/>
        <v/>
      </c>
      <c r="I118">
        <f t="shared" si="26"/>
        <v>1250</v>
      </c>
      <c r="J118">
        <f>SUM($G$3:I118)</f>
        <v>126680</v>
      </c>
      <c r="K118">
        <f t="shared" si="28"/>
        <v>1060</v>
      </c>
      <c r="L118">
        <f t="shared" si="29"/>
        <v>1.0389999999999999</v>
      </c>
      <c r="M118">
        <f t="shared" si="30"/>
        <v>1.0175000000000001</v>
      </c>
      <c r="N118">
        <f t="shared" si="31"/>
        <v>25336</v>
      </c>
      <c r="O118">
        <f t="shared" si="32"/>
        <v>1120.6134500000001</v>
      </c>
      <c r="P118">
        <f t="shared" si="33"/>
        <v>200</v>
      </c>
      <c r="Q118">
        <f t="shared" si="34"/>
        <v>0</v>
      </c>
    </row>
    <row r="119" spans="1:17" x14ac:dyDescent="0.25">
      <c r="A119">
        <v>117</v>
      </c>
      <c r="B119">
        <f t="shared" si="35"/>
        <v>4</v>
      </c>
      <c r="C119">
        <f t="shared" si="36"/>
        <v>3</v>
      </c>
      <c r="D119" t="str">
        <f t="shared" si="21"/>
        <v/>
      </c>
      <c r="E119" t="str">
        <f t="shared" si="22"/>
        <v/>
      </c>
      <c r="F119">
        <f t="shared" si="23"/>
        <v>180</v>
      </c>
      <c r="G119" t="str">
        <f t="shared" si="24"/>
        <v/>
      </c>
      <c r="H119" t="str">
        <f t="shared" si="25"/>
        <v/>
      </c>
      <c r="I119">
        <f t="shared" si="26"/>
        <v>1300</v>
      </c>
      <c r="J119">
        <f>SUM($G$3:I119)</f>
        <v>127980</v>
      </c>
      <c r="K119">
        <f t="shared" si="28"/>
        <v>1060</v>
      </c>
      <c r="L119">
        <f t="shared" si="29"/>
        <v>1.0389999999999999</v>
      </c>
      <c r="M119">
        <f t="shared" si="30"/>
        <v>1.018</v>
      </c>
      <c r="N119">
        <f t="shared" si="31"/>
        <v>25596</v>
      </c>
      <c r="O119">
        <f t="shared" si="32"/>
        <v>1121.1641199999999</v>
      </c>
      <c r="P119">
        <f t="shared" si="33"/>
        <v>200</v>
      </c>
      <c r="Q119">
        <f t="shared" si="34"/>
        <v>0</v>
      </c>
    </row>
    <row r="120" spans="1:17" x14ac:dyDescent="0.25">
      <c r="A120">
        <v>118</v>
      </c>
      <c r="B120">
        <f t="shared" si="35"/>
        <v>4</v>
      </c>
      <c r="C120">
        <f t="shared" si="36"/>
        <v>3</v>
      </c>
      <c r="D120" t="str">
        <f t="shared" si="21"/>
        <v/>
      </c>
      <c r="E120" t="str">
        <f t="shared" si="22"/>
        <v/>
      </c>
      <c r="F120">
        <f t="shared" si="23"/>
        <v>185</v>
      </c>
      <c r="G120" t="str">
        <f t="shared" si="24"/>
        <v/>
      </c>
      <c r="H120" t="str">
        <f t="shared" si="25"/>
        <v/>
      </c>
      <c r="I120">
        <f t="shared" si="26"/>
        <v>1350</v>
      </c>
      <c r="J120">
        <f>SUM($G$3:I120)</f>
        <v>129330</v>
      </c>
      <c r="K120">
        <f t="shared" si="28"/>
        <v>1060</v>
      </c>
      <c r="L120">
        <f t="shared" si="29"/>
        <v>1.0389999999999999</v>
      </c>
      <c r="M120">
        <f t="shared" si="30"/>
        <v>1.0185</v>
      </c>
      <c r="N120">
        <f t="shared" si="31"/>
        <v>25866</v>
      </c>
      <c r="O120">
        <f t="shared" si="32"/>
        <v>1121.7147899999998</v>
      </c>
      <c r="P120">
        <f t="shared" si="33"/>
        <v>200</v>
      </c>
      <c r="Q120">
        <f t="shared" si="34"/>
        <v>0</v>
      </c>
    </row>
    <row r="121" spans="1:17" x14ac:dyDescent="0.25">
      <c r="A121">
        <v>119</v>
      </c>
      <c r="B121">
        <f t="shared" si="35"/>
        <v>4</v>
      </c>
      <c r="C121">
        <f t="shared" si="36"/>
        <v>3</v>
      </c>
      <c r="D121" t="str">
        <f t="shared" si="21"/>
        <v/>
      </c>
      <c r="E121" t="str">
        <f t="shared" si="22"/>
        <v/>
      </c>
      <c r="F121">
        <f t="shared" si="23"/>
        <v>190</v>
      </c>
      <c r="G121" t="str">
        <f t="shared" si="24"/>
        <v/>
      </c>
      <c r="H121" t="str">
        <f t="shared" si="25"/>
        <v/>
      </c>
      <c r="I121">
        <f t="shared" si="26"/>
        <v>1400</v>
      </c>
      <c r="J121">
        <f>SUM($G$3:I121)</f>
        <v>130730</v>
      </c>
      <c r="K121">
        <f t="shared" si="28"/>
        <v>1060</v>
      </c>
      <c r="L121">
        <f t="shared" si="29"/>
        <v>1.0389999999999999</v>
      </c>
      <c r="M121">
        <f t="shared" si="30"/>
        <v>1.0189999999999999</v>
      </c>
      <c r="N121">
        <f t="shared" si="31"/>
        <v>26146</v>
      </c>
      <c r="O121">
        <f t="shared" si="32"/>
        <v>1122.2654599999998</v>
      </c>
      <c r="P121">
        <f t="shared" si="33"/>
        <v>200</v>
      </c>
      <c r="Q121">
        <f t="shared" si="34"/>
        <v>0</v>
      </c>
    </row>
    <row r="122" spans="1:17" x14ac:dyDescent="0.25">
      <c r="A122">
        <v>120</v>
      </c>
      <c r="B122">
        <f t="shared" si="35"/>
        <v>4</v>
      </c>
      <c r="C122">
        <f t="shared" si="36"/>
        <v>3</v>
      </c>
      <c r="D122" t="str">
        <f t="shared" si="21"/>
        <v/>
      </c>
      <c r="E122" t="str">
        <f t="shared" si="22"/>
        <v/>
      </c>
      <c r="F122">
        <f t="shared" si="23"/>
        <v>195</v>
      </c>
      <c r="G122" t="str">
        <f t="shared" si="24"/>
        <v/>
      </c>
      <c r="H122" t="str">
        <f t="shared" si="25"/>
        <v/>
      </c>
      <c r="I122">
        <f t="shared" si="26"/>
        <v>1450</v>
      </c>
      <c r="J122">
        <f>SUM($G$3:I122)</f>
        <v>132180</v>
      </c>
      <c r="K122">
        <f t="shared" si="28"/>
        <v>1060</v>
      </c>
      <c r="L122">
        <f t="shared" si="29"/>
        <v>1.0389999999999999</v>
      </c>
      <c r="M122">
        <f t="shared" si="30"/>
        <v>1.0195000000000001</v>
      </c>
      <c r="N122">
        <f t="shared" si="31"/>
        <v>26436</v>
      </c>
      <c r="O122">
        <f t="shared" si="32"/>
        <v>1122.8161299999999</v>
      </c>
      <c r="P122">
        <f t="shared" si="33"/>
        <v>200</v>
      </c>
      <c r="Q122">
        <f t="shared" si="34"/>
        <v>0</v>
      </c>
    </row>
    <row r="123" spans="1:17" x14ac:dyDescent="0.25">
      <c r="A123">
        <v>121</v>
      </c>
      <c r="B123">
        <f t="shared" si="35"/>
        <v>5</v>
      </c>
      <c r="C123">
        <f t="shared" si="36"/>
        <v>1</v>
      </c>
      <c r="D123">
        <f t="shared" si="21"/>
        <v>110</v>
      </c>
      <c r="E123" t="str">
        <f t="shared" si="22"/>
        <v/>
      </c>
      <c r="F123" t="str">
        <f t="shared" si="23"/>
        <v/>
      </c>
      <c r="G123">
        <f t="shared" si="24"/>
        <v>4200</v>
      </c>
      <c r="H123" t="str">
        <f t="shared" si="25"/>
        <v/>
      </c>
      <c r="I123" t="str">
        <f t="shared" si="26"/>
        <v/>
      </c>
      <c r="J123">
        <f>SUM($G$3:I123)</f>
        <v>136380</v>
      </c>
      <c r="K123">
        <f t="shared" si="28"/>
        <v>1100</v>
      </c>
      <c r="L123">
        <f t="shared" si="29"/>
        <v>1.0389999999999999</v>
      </c>
      <c r="M123">
        <f t="shared" si="30"/>
        <v>1.0195000000000001</v>
      </c>
      <c r="N123">
        <f t="shared" si="31"/>
        <v>27276</v>
      </c>
      <c r="O123">
        <f t="shared" si="32"/>
        <v>1165.1865499999999</v>
      </c>
      <c r="P123">
        <f t="shared" si="33"/>
        <v>200</v>
      </c>
      <c r="Q123">
        <f t="shared" si="34"/>
        <v>0</v>
      </c>
    </row>
    <row r="124" spans="1:17" x14ac:dyDescent="0.25">
      <c r="A124">
        <v>122</v>
      </c>
      <c r="B124">
        <f t="shared" si="35"/>
        <v>5</v>
      </c>
      <c r="C124">
        <f t="shared" si="36"/>
        <v>1</v>
      </c>
      <c r="D124">
        <f t="shared" si="21"/>
        <v>115</v>
      </c>
      <c r="E124" t="str">
        <f t="shared" si="22"/>
        <v/>
      </c>
      <c r="F124" t="str">
        <f t="shared" si="23"/>
        <v/>
      </c>
      <c r="G124">
        <f t="shared" si="24"/>
        <v>4300</v>
      </c>
      <c r="H124" t="str">
        <f t="shared" si="25"/>
        <v/>
      </c>
      <c r="I124" t="str">
        <f t="shared" si="26"/>
        <v/>
      </c>
      <c r="J124">
        <f>SUM($G$3:I124)</f>
        <v>140680</v>
      </c>
      <c r="K124">
        <f t="shared" si="28"/>
        <v>1150</v>
      </c>
      <c r="L124">
        <f t="shared" si="29"/>
        <v>1.0389999999999999</v>
      </c>
      <c r="M124">
        <f t="shared" si="30"/>
        <v>1.0195000000000001</v>
      </c>
      <c r="N124">
        <f t="shared" si="31"/>
        <v>28136</v>
      </c>
      <c r="O124">
        <f t="shared" si="32"/>
        <v>1218.1495749999999</v>
      </c>
      <c r="P124">
        <f t="shared" si="33"/>
        <v>200</v>
      </c>
      <c r="Q124">
        <f t="shared" si="34"/>
        <v>0</v>
      </c>
    </row>
    <row r="125" spans="1:17" x14ac:dyDescent="0.25">
      <c r="A125">
        <v>123</v>
      </c>
      <c r="B125">
        <f t="shared" si="35"/>
        <v>5</v>
      </c>
      <c r="C125">
        <f t="shared" si="36"/>
        <v>1</v>
      </c>
      <c r="D125">
        <f t="shared" si="21"/>
        <v>120</v>
      </c>
      <c r="E125" t="str">
        <f t="shared" si="22"/>
        <v/>
      </c>
      <c r="F125" t="str">
        <f t="shared" si="23"/>
        <v/>
      </c>
      <c r="G125">
        <f t="shared" si="24"/>
        <v>4400</v>
      </c>
      <c r="H125" t="str">
        <f t="shared" si="25"/>
        <v/>
      </c>
      <c r="I125" t="str">
        <f t="shared" si="26"/>
        <v/>
      </c>
      <c r="J125">
        <f>SUM($G$3:I125)</f>
        <v>145080</v>
      </c>
      <c r="K125">
        <f t="shared" si="28"/>
        <v>1200</v>
      </c>
      <c r="L125">
        <f t="shared" si="29"/>
        <v>1.0389999999999999</v>
      </c>
      <c r="M125">
        <f t="shared" si="30"/>
        <v>1.0195000000000001</v>
      </c>
      <c r="N125">
        <f t="shared" si="31"/>
        <v>29016</v>
      </c>
      <c r="O125">
        <f t="shared" si="32"/>
        <v>1271.1126000000002</v>
      </c>
      <c r="P125">
        <f t="shared" si="33"/>
        <v>200</v>
      </c>
      <c r="Q125">
        <f t="shared" si="34"/>
        <v>0</v>
      </c>
    </row>
    <row r="126" spans="1:17" x14ac:dyDescent="0.25">
      <c r="A126">
        <v>124</v>
      </c>
      <c r="B126">
        <f t="shared" si="35"/>
        <v>5</v>
      </c>
      <c r="C126">
        <f t="shared" si="36"/>
        <v>1</v>
      </c>
      <c r="D126">
        <f t="shared" si="21"/>
        <v>125</v>
      </c>
      <c r="E126" t="str">
        <f t="shared" si="22"/>
        <v/>
      </c>
      <c r="F126" t="str">
        <f t="shared" si="23"/>
        <v/>
      </c>
      <c r="G126">
        <f t="shared" si="24"/>
        <v>4500</v>
      </c>
      <c r="H126" t="str">
        <f t="shared" si="25"/>
        <v/>
      </c>
      <c r="I126" t="str">
        <f t="shared" si="26"/>
        <v/>
      </c>
      <c r="J126">
        <f>SUM($G$3:I126)</f>
        <v>149580</v>
      </c>
      <c r="K126">
        <f t="shared" si="28"/>
        <v>1250</v>
      </c>
      <c r="L126">
        <f t="shared" si="29"/>
        <v>1.0389999999999999</v>
      </c>
      <c r="M126">
        <f t="shared" si="30"/>
        <v>1.0195000000000001</v>
      </c>
      <c r="N126">
        <f t="shared" si="31"/>
        <v>29916</v>
      </c>
      <c r="O126">
        <f t="shared" si="32"/>
        <v>1324.0756250000002</v>
      </c>
      <c r="P126">
        <f t="shared" si="33"/>
        <v>200</v>
      </c>
      <c r="Q126">
        <f t="shared" si="34"/>
        <v>0</v>
      </c>
    </row>
    <row r="127" spans="1:17" x14ac:dyDescent="0.25">
      <c r="A127">
        <v>125</v>
      </c>
      <c r="B127">
        <f t="shared" si="35"/>
        <v>5</v>
      </c>
      <c r="C127">
        <f t="shared" si="36"/>
        <v>1</v>
      </c>
      <c r="D127">
        <f t="shared" si="21"/>
        <v>130</v>
      </c>
      <c r="E127" t="str">
        <f t="shared" si="22"/>
        <v/>
      </c>
      <c r="F127" t="str">
        <f t="shared" si="23"/>
        <v/>
      </c>
      <c r="G127">
        <f t="shared" si="24"/>
        <v>4600</v>
      </c>
      <c r="H127" t="str">
        <f t="shared" si="25"/>
        <v/>
      </c>
      <c r="I127" t="str">
        <f t="shared" si="26"/>
        <v/>
      </c>
      <c r="J127">
        <f>SUM($G$3:I127)</f>
        <v>154180</v>
      </c>
      <c r="K127">
        <f t="shared" si="28"/>
        <v>1300</v>
      </c>
      <c r="L127">
        <f t="shared" si="29"/>
        <v>1.0389999999999999</v>
      </c>
      <c r="M127">
        <f t="shared" si="30"/>
        <v>1.0195000000000001</v>
      </c>
      <c r="N127">
        <f t="shared" si="31"/>
        <v>30836</v>
      </c>
      <c r="O127">
        <f t="shared" si="32"/>
        <v>1377.03865</v>
      </c>
      <c r="P127">
        <f t="shared" si="33"/>
        <v>200</v>
      </c>
      <c r="Q127">
        <f t="shared" si="34"/>
        <v>0</v>
      </c>
    </row>
    <row r="128" spans="1:17" x14ac:dyDescent="0.25">
      <c r="A128">
        <v>126</v>
      </c>
      <c r="B128">
        <f t="shared" si="35"/>
        <v>5</v>
      </c>
      <c r="C128">
        <f t="shared" si="36"/>
        <v>1</v>
      </c>
      <c r="D128">
        <f t="shared" si="21"/>
        <v>135</v>
      </c>
      <c r="E128" t="str">
        <f t="shared" si="22"/>
        <v/>
      </c>
      <c r="F128" t="str">
        <f t="shared" si="23"/>
        <v/>
      </c>
      <c r="G128">
        <f t="shared" si="24"/>
        <v>4700</v>
      </c>
      <c r="H128" t="str">
        <f t="shared" si="25"/>
        <v/>
      </c>
      <c r="I128" t="str">
        <f t="shared" si="26"/>
        <v/>
      </c>
      <c r="J128">
        <f>SUM($G$3:I128)</f>
        <v>158880</v>
      </c>
      <c r="K128">
        <f t="shared" si="28"/>
        <v>1350</v>
      </c>
      <c r="L128">
        <f t="shared" si="29"/>
        <v>1.0389999999999999</v>
      </c>
      <c r="M128">
        <f t="shared" si="30"/>
        <v>1.0195000000000001</v>
      </c>
      <c r="N128">
        <f t="shared" si="31"/>
        <v>31776</v>
      </c>
      <c r="O128">
        <f t="shared" si="32"/>
        <v>1430.001675</v>
      </c>
      <c r="P128">
        <f t="shared" si="33"/>
        <v>200</v>
      </c>
      <c r="Q128">
        <f t="shared" si="34"/>
        <v>0</v>
      </c>
    </row>
    <row r="129" spans="1:17" x14ac:dyDescent="0.25">
      <c r="A129">
        <v>127</v>
      </c>
      <c r="B129">
        <f t="shared" si="35"/>
        <v>5</v>
      </c>
      <c r="C129">
        <f t="shared" si="36"/>
        <v>1</v>
      </c>
      <c r="D129">
        <f t="shared" si="21"/>
        <v>140</v>
      </c>
      <c r="E129" t="str">
        <f t="shared" si="22"/>
        <v/>
      </c>
      <c r="F129" t="str">
        <f t="shared" si="23"/>
        <v/>
      </c>
      <c r="G129">
        <f t="shared" si="24"/>
        <v>4800</v>
      </c>
      <c r="H129" t="str">
        <f t="shared" si="25"/>
        <v/>
      </c>
      <c r="I129" t="str">
        <f t="shared" si="26"/>
        <v/>
      </c>
      <c r="J129">
        <f>SUM($G$3:I129)</f>
        <v>163680</v>
      </c>
      <c r="K129">
        <f t="shared" si="28"/>
        <v>1400</v>
      </c>
      <c r="L129">
        <f t="shared" si="29"/>
        <v>1.0389999999999999</v>
      </c>
      <c r="M129">
        <f t="shared" si="30"/>
        <v>1.0195000000000001</v>
      </c>
      <c r="N129">
        <f t="shared" si="31"/>
        <v>32736</v>
      </c>
      <c r="O129">
        <f t="shared" si="32"/>
        <v>1482.9647</v>
      </c>
      <c r="P129">
        <f t="shared" si="33"/>
        <v>200</v>
      </c>
      <c r="Q129">
        <f t="shared" si="34"/>
        <v>0</v>
      </c>
    </row>
    <row r="130" spans="1:17" x14ac:dyDescent="0.25">
      <c r="A130">
        <v>128</v>
      </c>
      <c r="B130">
        <f t="shared" si="35"/>
        <v>5</v>
      </c>
      <c r="C130">
        <f t="shared" si="36"/>
        <v>1</v>
      </c>
      <c r="D130">
        <f t="shared" si="21"/>
        <v>145</v>
      </c>
      <c r="E130" t="str">
        <f t="shared" si="22"/>
        <v/>
      </c>
      <c r="F130" t="str">
        <f t="shared" si="23"/>
        <v/>
      </c>
      <c r="G130">
        <f t="shared" si="24"/>
        <v>4900</v>
      </c>
      <c r="H130" t="str">
        <f t="shared" si="25"/>
        <v/>
      </c>
      <c r="I130" t="str">
        <f t="shared" si="26"/>
        <v/>
      </c>
      <c r="J130">
        <f>SUM($G$3:I130)</f>
        <v>168580</v>
      </c>
      <c r="K130">
        <f t="shared" si="28"/>
        <v>1450</v>
      </c>
      <c r="L130">
        <f t="shared" si="29"/>
        <v>1.0389999999999999</v>
      </c>
      <c r="M130">
        <f t="shared" si="30"/>
        <v>1.0195000000000001</v>
      </c>
      <c r="N130">
        <f t="shared" si="31"/>
        <v>33716</v>
      </c>
      <c r="O130">
        <f t="shared" si="32"/>
        <v>1535.927725</v>
      </c>
      <c r="P130">
        <f t="shared" si="33"/>
        <v>200</v>
      </c>
      <c r="Q130">
        <f t="shared" si="34"/>
        <v>0</v>
      </c>
    </row>
    <row r="131" spans="1:17" x14ac:dyDescent="0.25">
      <c r="A131">
        <v>129</v>
      </c>
      <c r="B131">
        <f t="shared" si="35"/>
        <v>5</v>
      </c>
      <c r="C131">
        <f t="shared" si="36"/>
        <v>1</v>
      </c>
      <c r="D131">
        <f t="shared" ref="D131:D194" si="37">IF($C131=1,INDEX($Z:$Z,MATCH($B131,$Y:$Y,0))+MOD($A131-1,10)*INDEX($AC:$AC,MATCH($B131,$Y:$Y,0)),"")</f>
        <v>150</v>
      </c>
      <c r="E131" t="str">
        <f t="shared" ref="E131:E194" si="38">IF($C131=2,INDEX($AA:$AA,MATCH($B131,$Y:$Y,0))+MOD($A131-1,10)*INDEX($AD:$AD,MATCH($B131,$Y:$Y,0)),"")</f>
        <v/>
      </c>
      <c r="F131" t="str">
        <f t="shared" ref="F131:F194" si="39">IF($C131=3,INDEX($AB:$AB,MATCH($B131,$Y:$Y,0))+MOD($A131-1,10)*INDEX($AE:$AE,MATCH($B131,$Y:$Y,0)),"")</f>
        <v/>
      </c>
      <c r="G131">
        <f t="shared" ref="G131:G194" si="40">IF($C131=1,INDEX($AF:$AF,MATCH($B131,$Y:$Y,0))+MOD($A131-1,10)*INDEX($AI:$AI,MATCH($B131,$Y:$Y,0)),"")</f>
        <v>5000</v>
      </c>
      <c r="H131" t="str">
        <f t="shared" ref="H131:H194" si="41">IF($C131=2,INDEX($AG:$AG,MATCH($B131,$Y:$Y,0))+MOD($A131-1,10)*INDEX($AJ:$AJ,MATCH($B131,$Y:$Y,0)),"")</f>
        <v/>
      </c>
      <c r="I131" t="str">
        <f t="shared" ref="I131:I194" si="42">IF($C131=3,INDEX($AH:$AH,MATCH($B131,$Y:$Y,0))+MOD($A131-1,10)*INDEX($AK:$AK,MATCH($B131,$Y:$Y,0)),"")</f>
        <v/>
      </c>
      <c r="J131">
        <f>SUM($G$3:I131)</f>
        <v>173580</v>
      </c>
      <c r="K131">
        <f t="shared" si="28"/>
        <v>1500</v>
      </c>
      <c r="L131">
        <f t="shared" si="29"/>
        <v>1.0389999999999999</v>
      </c>
      <c r="M131">
        <f t="shared" si="30"/>
        <v>1.0195000000000001</v>
      </c>
      <c r="N131">
        <f t="shared" si="31"/>
        <v>34716</v>
      </c>
      <c r="O131">
        <f t="shared" si="32"/>
        <v>1588.8907499999998</v>
      </c>
      <c r="P131">
        <f t="shared" si="33"/>
        <v>200</v>
      </c>
      <c r="Q131">
        <f t="shared" si="34"/>
        <v>0</v>
      </c>
    </row>
    <row r="132" spans="1:17" x14ac:dyDescent="0.25">
      <c r="A132">
        <v>130</v>
      </c>
      <c r="B132">
        <f t="shared" si="35"/>
        <v>5</v>
      </c>
      <c r="C132">
        <f t="shared" si="36"/>
        <v>1</v>
      </c>
      <c r="D132">
        <f t="shared" si="37"/>
        <v>155</v>
      </c>
      <c r="E132" t="str">
        <f t="shared" si="38"/>
        <v/>
      </c>
      <c r="F132" t="str">
        <f t="shared" si="39"/>
        <v/>
      </c>
      <c r="G132">
        <f t="shared" si="40"/>
        <v>5100</v>
      </c>
      <c r="H132" t="str">
        <f t="shared" si="41"/>
        <v/>
      </c>
      <c r="I132" t="str">
        <f t="shared" si="42"/>
        <v/>
      </c>
      <c r="J132">
        <f>SUM($G$3:I132)</f>
        <v>178680</v>
      </c>
      <c r="K132">
        <f t="shared" ref="K132:K195" si="43">_xlfn.MAXIFS($D:$D,$A:$A,"&lt;="&amp;A132)/10*100</f>
        <v>1550</v>
      </c>
      <c r="L132">
        <f t="shared" ref="L132:L195" si="44">_xlfn.MAXIFS($E:$E,$A:$A,"&lt;="&amp;A132)/10000+1</f>
        <v>1.0389999999999999</v>
      </c>
      <c r="M132">
        <f t="shared" ref="M132:M195" si="45">_xlfn.MAXIFS($F:$F,$A:$A,"&lt;="&amp;A132)/10000+1</f>
        <v>1.0195000000000001</v>
      </c>
      <c r="N132">
        <f t="shared" ref="N132:N195" si="46">J132*0.2</f>
        <v>35736</v>
      </c>
      <c r="O132">
        <f t="shared" ref="O132:O195" si="47">K132*L132*M132</f>
        <v>1641.853775</v>
      </c>
      <c r="P132">
        <f t="shared" ref="P132:P195" si="48">SUMIFS($AZ:$AZ,$AW:$AW,$AW$3,$AY:$AY,3,$AV:$AV,"&lt;="&amp;A132)</f>
        <v>400</v>
      </c>
      <c r="Q132">
        <f t="shared" ref="Q132:Q195" si="49">SUMIFS($AZ:$AZ,$AY:$AY,98,$AV:$AV,"&lt;="&amp;A132)*10/100</f>
        <v>0</v>
      </c>
    </row>
    <row r="133" spans="1:17" x14ac:dyDescent="0.25">
      <c r="A133">
        <v>131</v>
      </c>
      <c r="B133">
        <f t="shared" si="35"/>
        <v>5</v>
      </c>
      <c r="C133">
        <f t="shared" si="36"/>
        <v>2</v>
      </c>
      <c r="D133" t="str">
        <f t="shared" si="37"/>
        <v/>
      </c>
      <c r="E133">
        <f t="shared" si="38"/>
        <v>400</v>
      </c>
      <c r="F133" t="str">
        <f t="shared" si="39"/>
        <v/>
      </c>
      <c r="G133" t="str">
        <f t="shared" si="40"/>
        <v/>
      </c>
      <c r="H133">
        <f t="shared" si="41"/>
        <v>1400</v>
      </c>
      <c r="I133" t="str">
        <f t="shared" si="42"/>
        <v/>
      </c>
      <c r="J133">
        <f>SUM($G$3:I133)</f>
        <v>180080</v>
      </c>
      <c r="K133">
        <f t="shared" si="43"/>
        <v>1550</v>
      </c>
      <c r="L133">
        <f t="shared" si="44"/>
        <v>1.04</v>
      </c>
      <c r="M133">
        <f t="shared" si="45"/>
        <v>1.0195000000000001</v>
      </c>
      <c r="N133">
        <f t="shared" si="46"/>
        <v>36016</v>
      </c>
      <c r="O133">
        <f t="shared" si="47"/>
        <v>1643.4340000000002</v>
      </c>
      <c r="P133">
        <f t="shared" si="48"/>
        <v>400</v>
      </c>
      <c r="Q133">
        <f t="shared" si="49"/>
        <v>0</v>
      </c>
    </row>
    <row r="134" spans="1:17" x14ac:dyDescent="0.25">
      <c r="A134">
        <v>132</v>
      </c>
      <c r="B134">
        <f t="shared" si="35"/>
        <v>5</v>
      </c>
      <c r="C134">
        <f t="shared" si="36"/>
        <v>2</v>
      </c>
      <c r="D134" t="str">
        <f t="shared" si="37"/>
        <v/>
      </c>
      <c r="E134">
        <f t="shared" si="38"/>
        <v>410</v>
      </c>
      <c r="F134" t="str">
        <f t="shared" si="39"/>
        <v/>
      </c>
      <c r="G134" t="str">
        <f t="shared" si="40"/>
        <v/>
      </c>
      <c r="H134">
        <f t="shared" si="41"/>
        <v>1447</v>
      </c>
      <c r="I134" t="str">
        <f t="shared" si="42"/>
        <v/>
      </c>
      <c r="J134">
        <f>SUM($G$3:I134)</f>
        <v>181527</v>
      </c>
      <c r="K134">
        <f t="shared" si="43"/>
        <v>1550</v>
      </c>
      <c r="L134">
        <f t="shared" si="44"/>
        <v>1.0409999999999999</v>
      </c>
      <c r="M134">
        <f t="shared" si="45"/>
        <v>1.0195000000000001</v>
      </c>
      <c r="N134">
        <f t="shared" si="46"/>
        <v>36305.4</v>
      </c>
      <c r="O134">
        <f t="shared" si="47"/>
        <v>1645.0142250000001</v>
      </c>
      <c r="P134">
        <f t="shared" si="48"/>
        <v>400</v>
      </c>
      <c r="Q134">
        <f t="shared" si="49"/>
        <v>0</v>
      </c>
    </row>
    <row r="135" spans="1:17" x14ac:dyDescent="0.25">
      <c r="A135">
        <v>133</v>
      </c>
      <c r="B135">
        <f t="shared" si="35"/>
        <v>5</v>
      </c>
      <c r="C135">
        <f t="shared" si="36"/>
        <v>2</v>
      </c>
      <c r="D135" t="str">
        <f t="shared" si="37"/>
        <v/>
      </c>
      <c r="E135">
        <f t="shared" si="38"/>
        <v>420</v>
      </c>
      <c r="F135" t="str">
        <f t="shared" si="39"/>
        <v/>
      </c>
      <c r="G135" t="str">
        <f t="shared" si="40"/>
        <v/>
      </c>
      <c r="H135">
        <f t="shared" si="41"/>
        <v>1494</v>
      </c>
      <c r="I135" t="str">
        <f t="shared" si="42"/>
        <v/>
      </c>
      <c r="J135">
        <f>SUM($G$3:I135)</f>
        <v>183021</v>
      </c>
      <c r="K135">
        <f t="shared" si="43"/>
        <v>1550</v>
      </c>
      <c r="L135">
        <f t="shared" si="44"/>
        <v>1.042</v>
      </c>
      <c r="M135">
        <f t="shared" si="45"/>
        <v>1.0195000000000001</v>
      </c>
      <c r="N135">
        <f t="shared" si="46"/>
        <v>36604.200000000004</v>
      </c>
      <c r="O135">
        <f t="shared" si="47"/>
        <v>1646.5944500000003</v>
      </c>
      <c r="P135">
        <f t="shared" si="48"/>
        <v>400</v>
      </c>
      <c r="Q135">
        <f t="shared" si="49"/>
        <v>0</v>
      </c>
    </row>
    <row r="136" spans="1:17" x14ac:dyDescent="0.25">
      <c r="A136">
        <v>134</v>
      </c>
      <c r="B136">
        <f t="shared" si="35"/>
        <v>5</v>
      </c>
      <c r="C136">
        <f t="shared" si="36"/>
        <v>2</v>
      </c>
      <c r="D136" t="str">
        <f t="shared" si="37"/>
        <v/>
      </c>
      <c r="E136">
        <f t="shared" si="38"/>
        <v>430</v>
      </c>
      <c r="F136" t="str">
        <f t="shared" si="39"/>
        <v/>
      </c>
      <c r="G136" t="str">
        <f t="shared" si="40"/>
        <v/>
      </c>
      <c r="H136">
        <f t="shared" si="41"/>
        <v>1541</v>
      </c>
      <c r="I136" t="str">
        <f t="shared" si="42"/>
        <v/>
      </c>
      <c r="J136">
        <f>SUM($G$3:I136)</f>
        <v>184562</v>
      </c>
      <c r="K136">
        <f t="shared" si="43"/>
        <v>1550</v>
      </c>
      <c r="L136">
        <f t="shared" si="44"/>
        <v>1.0429999999999999</v>
      </c>
      <c r="M136">
        <f t="shared" si="45"/>
        <v>1.0195000000000001</v>
      </c>
      <c r="N136">
        <f t="shared" si="46"/>
        <v>36912.400000000001</v>
      </c>
      <c r="O136">
        <f t="shared" si="47"/>
        <v>1648.174675</v>
      </c>
      <c r="P136">
        <f t="shared" si="48"/>
        <v>400</v>
      </c>
      <c r="Q136">
        <f t="shared" si="49"/>
        <v>0</v>
      </c>
    </row>
    <row r="137" spans="1:17" x14ac:dyDescent="0.25">
      <c r="A137">
        <v>135</v>
      </c>
      <c r="B137">
        <f t="shared" si="35"/>
        <v>5</v>
      </c>
      <c r="C137">
        <f t="shared" si="36"/>
        <v>2</v>
      </c>
      <c r="D137" t="str">
        <f t="shared" si="37"/>
        <v/>
      </c>
      <c r="E137">
        <f t="shared" si="38"/>
        <v>440</v>
      </c>
      <c r="F137" t="str">
        <f t="shared" si="39"/>
        <v/>
      </c>
      <c r="G137" t="str">
        <f t="shared" si="40"/>
        <v/>
      </c>
      <c r="H137">
        <f t="shared" si="41"/>
        <v>1588</v>
      </c>
      <c r="I137" t="str">
        <f t="shared" si="42"/>
        <v/>
      </c>
      <c r="J137">
        <f>SUM($G$3:I137)</f>
        <v>186150</v>
      </c>
      <c r="K137">
        <f t="shared" si="43"/>
        <v>1550</v>
      </c>
      <c r="L137">
        <f t="shared" si="44"/>
        <v>1.044</v>
      </c>
      <c r="M137">
        <f t="shared" si="45"/>
        <v>1.0195000000000001</v>
      </c>
      <c r="N137">
        <f t="shared" si="46"/>
        <v>37230</v>
      </c>
      <c r="O137">
        <f t="shared" si="47"/>
        <v>1649.7549000000001</v>
      </c>
      <c r="P137">
        <f t="shared" si="48"/>
        <v>400</v>
      </c>
      <c r="Q137">
        <f t="shared" si="49"/>
        <v>0</v>
      </c>
    </row>
    <row r="138" spans="1:17" x14ac:dyDescent="0.25">
      <c r="A138">
        <v>136</v>
      </c>
      <c r="B138">
        <f t="shared" si="35"/>
        <v>5</v>
      </c>
      <c r="C138">
        <f t="shared" si="36"/>
        <v>2</v>
      </c>
      <c r="D138" t="str">
        <f t="shared" si="37"/>
        <v/>
      </c>
      <c r="E138">
        <f t="shared" si="38"/>
        <v>450</v>
      </c>
      <c r="F138" t="str">
        <f t="shared" si="39"/>
        <v/>
      </c>
      <c r="G138" t="str">
        <f t="shared" si="40"/>
        <v/>
      </c>
      <c r="H138">
        <f t="shared" si="41"/>
        <v>1635</v>
      </c>
      <c r="I138" t="str">
        <f t="shared" si="42"/>
        <v/>
      </c>
      <c r="J138">
        <f>SUM($G$3:I138)</f>
        <v>187785</v>
      </c>
      <c r="K138">
        <f t="shared" si="43"/>
        <v>1550</v>
      </c>
      <c r="L138">
        <f t="shared" si="44"/>
        <v>1.0449999999999999</v>
      </c>
      <c r="M138">
        <f t="shared" si="45"/>
        <v>1.0195000000000001</v>
      </c>
      <c r="N138">
        <f t="shared" si="46"/>
        <v>37557</v>
      </c>
      <c r="O138">
        <f t="shared" si="47"/>
        <v>1651.3351250000001</v>
      </c>
      <c r="P138">
        <f t="shared" si="48"/>
        <v>400</v>
      </c>
      <c r="Q138">
        <f t="shared" si="49"/>
        <v>0</v>
      </c>
    </row>
    <row r="139" spans="1:17" x14ac:dyDescent="0.25">
      <c r="A139">
        <v>137</v>
      </c>
      <c r="B139">
        <f t="shared" si="35"/>
        <v>5</v>
      </c>
      <c r="C139">
        <f t="shared" si="36"/>
        <v>2</v>
      </c>
      <c r="D139" t="str">
        <f t="shared" si="37"/>
        <v/>
      </c>
      <c r="E139">
        <f t="shared" si="38"/>
        <v>460</v>
      </c>
      <c r="F139" t="str">
        <f t="shared" si="39"/>
        <v/>
      </c>
      <c r="G139" t="str">
        <f t="shared" si="40"/>
        <v/>
      </c>
      <c r="H139">
        <f t="shared" si="41"/>
        <v>1682</v>
      </c>
      <c r="I139" t="str">
        <f t="shared" si="42"/>
        <v/>
      </c>
      <c r="J139">
        <f>SUM($G$3:I139)</f>
        <v>189467</v>
      </c>
      <c r="K139">
        <f t="shared" si="43"/>
        <v>1550</v>
      </c>
      <c r="L139">
        <f t="shared" si="44"/>
        <v>1.046</v>
      </c>
      <c r="M139">
        <f t="shared" si="45"/>
        <v>1.0195000000000001</v>
      </c>
      <c r="N139">
        <f t="shared" si="46"/>
        <v>37893.4</v>
      </c>
      <c r="O139">
        <f t="shared" si="47"/>
        <v>1652.91535</v>
      </c>
      <c r="P139">
        <f t="shared" si="48"/>
        <v>400</v>
      </c>
      <c r="Q139">
        <f t="shared" si="49"/>
        <v>0</v>
      </c>
    </row>
    <row r="140" spans="1:17" x14ac:dyDescent="0.25">
      <c r="A140">
        <v>138</v>
      </c>
      <c r="B140">
        <f t="shared" si="35"/>
        <v>5</v>
      </c>
      <c r="C140">
        <f t="shared" si="36"/>
        <v>2</v>
      </c>
      <c r="D140" t="str">
        <f t="shared" si="37"/>
        <v/>
      </c>
      <c r="E140">
        <f t="shared" si="38"/>
        <v>470</v>
      </c>
      <c r="F140" t="str">
        <f t="shared" si="39"/>
        <v/>
      </c>
      <c r="G140" t="str">
        <f t="shared" si="40"/>
        <v/>
      </c>
      <c r="H140">
        <f t="shared" si="41"/>
        <v>1729</v>
      </c>
      <c r="I140" t="str">
        <f t="shared" si="42"/>
        <v/>
      </c>
      <c r="J140">
        <f>SUM($G$3:I140)</f>
        <v>191196</v>
      </c>
      <c r="K140">
        <f t="shared" si="43"/>
        <v>1550</v>
      </c>
      <c r="L140">
        <f t="shared" si="44"/>
        <v>1.0469999999999999</v>
      </c>
      <c r="M140">
        <f t="shared" si="45"/>
        <v>1.0195000000000001</v>
      </c>
      <c r="N140">
        <f t="shared" si="46"/>
        <v>38239.200000000004</v>
      </c>
      <c r="O140">
        <f t="shared" si="47"/>
        <v>1654.4955749999999</v>
      </c>
      <c r="P140">
        <f t="shared" si="48"/>
        <v>400</v>
      </c>
      <c r="Q140">
        <f t="shared" si="49"/>
        <v>0</v>
      </c>
    </row>
    <row r="141" spans="1:17" x14ac:dyDescent="0.25">
      <c r="A141">
        <v>139</v>
      </c>
      <c r="B141">
        <f t="shared" si="35"/>
        <v>5</v>
      </c>
      <c r="C141">
        <f t="shared" si="36"/>
        <v>2</v>
      </c>
      <c r="D141" t="str">
        <f t="shared" si="37"/>
        <v/>
      </c>
      <c r="E141">
        <f t="shared" si="38"/>
        <v>480</v>
      </c>
      <c r="F141" t="str">
        <f t="shared" si="39"/>
        <v/>
      </c>
      <c r="G141" t="str">
        <f t="shared" si="40"/>
        <v/>
      </c>
      <c r="H141">
        <f t="shared" si="41"/>
        <v>1776</v>
      </c>
      <c r="I141" t="str">
        <f t="shared" si="42"/>
        <v/>
      </c>
      <c r="J141">
        <f>SUM($G$3:I141)</f>
        <v>192972</v>
      </c>
      <c r="K141">
        <f t="shared" si="43"/>
        <v>1550</v>
      </c>
      <c r="L141">
        <f t="shared" si="44"/>
        <v>1.048</v>
      </c>
      <c r="M141">
        <f t="shared" si="45"/>
        <v>1.0195000000000001</v>
      </c>
      <c r="N141">
        <f t="shared" si="46"/>
        <v>38594.400000000001</v>
      </c>
      <c r="O141">
        <f t="shared" si="47"/>
        <v>1656.0758000000003</v>
      </c>
      <c r="P141">
        <f t="shared" si="48"/>
        <v>400</v>
      </c>
      <c r="Q141">
        <f t="shared" si="49"/>
        <v>0</v>
      </c>
    </row>
    <row r="142" spans="1:17" x14ac:dyDescent="0.25">
      <c r="A142">
        <v>140</v>
      </c>
      <c r="B142">
        <f t="shared" si="35"/>
        <v>5</v>
      </c>
      <c r="C142">
        <f t="shared" si="36"/>
        <v>2</v>
      </c>
      <c r="D142" t="str">
        <f t="shared" si="37"/>
        <v/>
      </c>
      <c r="E142">
        <f t="shared" si="38"/>
        <v>490</v>
      </c>
      <c r="F142" t="str">
        <f t="shared" si="39"/>
        <v/>
      </c>
      <c r="G142" t="str">
        <f t="shared" si="40"/>
        <v/>
      </c>
      <c r="H142">
        <f t="shared" si="41"/>
        <v>1823</v>
      </c>
      <c r="I142" t="str">
        <f t="shared" si="42"/>
        <v/>
      </c>
      <c r="J142">
        <f>SUM($G$3:I142)</f>
        <v>194795</v>
      </c>
      <c r="K142">
        <f t="shared" si="43"/>
        <v>1550</v>
      </c>
      <c r="L142">
        <f t="shared" si="44"/>
        <v>1.0489999999999999</v>
      </c>
      <c r="M142">
        <f t="shared" si="45"/>
        <v>1.0195000000000001</v>
      </c>
      <c r="N142">
        <f t="shared" si="46"/>
        <v>38959</v>
      </c>
      <c r="O142">
        <f t="shared" si="47"/>
        <v>1657.656025</v>
      </c>
      <c r="P142">
        <f t="shared" si="48"/>
        <v>400</v>
      </c>
      <c r="Q142">
        <f t="shared" si="49"/>
        <v>0.1</v>
      </c>
    </row>
    <row r="143" spans="1:17" x14ac:dyDescent="0.25">
      <c r="A143">
        <v>141</v>
      </c>
      <c r="B143">
        <f t="shared" si="35"/>
        <v>5</v>
      </c>
      <c r="C143">
        <f t="shared" si="36"/>
        <v>3</v>
      </c>
      <c r="D143" t="str">
        <f t="shared" si="37"/>
        <v/>
      </c>
      <c r="E143" t="str">
        <f t="shared" si="38"/>
        <v/>
      </c>
      <c r="F143">
        <f t="shared" si="39"/>
        <v>200</v>
      </c>
      <c r="G143" t="str">
        <f t="shared" si="40"/>
        <v/>
      </c>
      <c r="H143" t="str">
        <f t="shared" si="41"/>
        <v/>
      </c>
      <c r="I143">
        <f t="shared" si="42"/>
        <v>1500</v>
      </c>
      <c r="J143">
        <f>SUM($G$3:I143)</f>
        <v>196295</v>
      </c>
      <c r="K143">
        <f t="shared" si="43"/>
        <v>1550</v>
      </c>
      <c r="L143">
        <f t="shared" si="44"/>
        <v>1.0489999999999999</v>
      </c>
      <c r="M143">
        <f t="shared" si="45"/>
        <v>1.02</v>
      </c>
      <c r="N143">
        <f t="shared" si="46"/>
        <v>39259</v>
      </c>
      <c r="O143">
        <f t="shared" si="47"/>
        <v>1658.4689999999998</v>
      </c>
      <c r="P143">
        <f t="shared" si="48"/>
        <v>400</v>
      </c>
      <c r="Q143">
        <f t="shared" si="49"/>
        <v>0.1</v>
      </c>
    </row>
    <row r="144" spans="1:17" x14ac:dyDescent="0.25">
      <c r="A144">
        <v>142</v>
      </c>
      <c r="B144">
        <f t="shared" si="35"/>
        <v>5</v>
      </c>
      <c r="C144">
        <f t="shared" si="36"/>
        <v>3</v>
      </c>
      <c r="D144" t="str">
        <f t="shared" si="37"/>
        <v/>
      </c>
      <c r="E144" t="str">
        <f t="shared" si="38"/>
        <v/>
      </c>
      <c r="F144">
        <f t="shared" si="39"/>
        <v>205</v>
      </c>
      <c r="G144" t="str">
        <f t="shared" si="40"/>
        <v/>
      </c>
      <c r="H144" t="str">
        <f t="shared" si="41"/>
        <v/>
      </c>
      <c r="I144">
        <f t="shared" si="42"/>
        <v>1550</v>
      </c>
      <c r="J144">
        <f>SUM($G$3:I144)</f>
        <v>197845</v>
      </c>
      <c r="K144">
        <f t="shared" si="43"/>
        <v>1550</v>
      </c>
      <c r="L144">
        <f t="shared" si="44"/>
        <v>1.0489999999999999</v>
      </c>
      <c r="M144">
        <f t="shared" si="45"/>
        <v>1.0205</v>
      </c>
      <c r="N144">
        <f t="shared" si="46"/>
        <v>39569</v>
      </c>
      <c r="O144">
        <f t="shared" si="47"/>
        <v>1659.2819749999996</v>
      </c>
      <c r="P144">
        <f t="shared" si="48"/>
        <v>400</v>
      </c>
      <c r="Q144">
        <f t="shared" si="49"/>
        <v>0.1</v>
      </c>
    </row>
    <row r="145" spans="1:17" x14ac:dyDescent="0.25">
      <c r="A145">
        <v>143</v>
      </c>
      <c r="B145">
        <f t="shared" si="35"/>
        <v>5</v>
      </c>
      <c r="C145">
        <f t="shared" si="36"/>
        <v>3</v>
      </c>
      <c r="D145" t="str">
        <f t="shared" si="37"/>
        <v/>
      </c>
      <c r="E145" t="str">
        <f t="shared" si="38"/>
        <v/>
      </c>
      <c r="F145">
        <f t="shared" si="39"/>
        <v>210</v>
      </c>
      <c r="G145" t="str">
        <f t="shared" si="40"/>
        <v/>
      </c>
      <c r="H145" t="str">
        <f t="shared" si="41"/>
        <v/>
      </c>
      <c r="I145">
        <f t="shared" si="42"/>
        <v>1600</v>
      </c>
      <c r="J145">
        <f>SUM($G$3:I145)</f>
        <v>199445</v>
      </c>
      <c r="K145">
        <f t="shared" si="43"/>
        <v>1550</v>
      </c>
      <c r="L145">
        <f t="shared" si="44"/>
        <v>1.0489999999999999</v>
      </c>
      <c r="M145">
        <f t="shared" si="45"/>
        <v>1.0209999999999999</v>
      </c>
      <c r="N145">
        <f t="shared" si="46"/>
        <v>39889</v>
      </c>
      <c r="O145">
        <f t="shared" si="47"/>
        <v>1660.0949499999997</v>
      </c>
      <c r="P145">
        <f t="shared" si="48"/>
        <v>400</v>
      </c>
      <c r="Q145">
        <f t="shared" si="49"/>
        <v>0.1</v>
      </c>
    </row>
    <row r="146" spans="1:17" x14ac:dyDescent="0.25">
      <c r="A146">
        <v>144</v>
      </c>
      <c r="B146">
        <f t="shared" si="35"/>
        <v>5</v>
      </c>
      <c r="C146">
        <f t="shared" si="36"/>
        <v>3</v>
      </c>
      <c r="D146" t="str">
        <f t="shared" si="37"/>
        <v/>
      </c>
      <c r="E146" t="str">
        <f t="shared" si="38"/>
        <v/>
      </c>
      <c r="F146">
        <f t="shared" si="39"/>
        <v>215</v>
      </c>
      <c r="G146" t="str">
        <f t="shared" si="40"/>
        <v/>
      </c>
      <c r="H146" t="str">
        <f t="shared" si="41"/>
        <v/>
      </c>
      <c r="I146">
        <f t="shared" si="42"/>
        <v>1650</v>
      </c>
      <c r="J146">
        <f>SUM($G$3:I146)</f>
        <v>201095</v>
      </c>
      <c r="K146">
        <f t="shared" si="43"/>
        <v>1550</v>
      </c>
      <c r="L146">
        <f t="shared" si="44"/>
        <v>1.0489999999999999</v>
      </c>
      <c r="M146">
        <f t="shared" si="45"/>
        <v>1.0215000000000001</v>
      </c>
      <c r="N146">
        <f t="shared" si="46"/>
        <v>40219</v>
      </c>
      <c r="O146">
        <f t="shared" si="47"/>
        <v>1660.907925</v>
      </c>
      <c r="P146">
        <f t="shared" si="48"/>
        <v>400</v>
      </c>
      <c r="Q146">
        <f t="shared" si="49"/>
        <v>0.1</v>
      </c>
    </row>
    <row r="147" spans="1:17" x14ac:dyDescent="0.25">
      <c r="A147">
        <v>145</v>
      </c>
      <c r="B147">
        <f t="shared" si="35"/>
        <v>5</v>
      </c>
      <c r="C147">
        <f t="shared" si="36"/>
        <v>3</v>
      </c>
      <c r="D147" t="str">
        <f t="shared" si="37"/>
        <v/>
      </c>
      <c r="E147" t="str">
        <f t="shared" si="38"/>
        <v/>
      </c>
      <c r="F147">
        <f t="shared" si="39"/>
        <v>220</v>
      </c>
      <c r="G147" t="str">
        <f t="shared" si="40"/>
        <v/>
      </c>
      <c r="H147" t="str">
        <f t="shared" si="41"/>
        <v/>
      </c>
      <c r="I147">
        <f t="shared" si="42"/>
        <v>1700</v>
      </c>
      <c r="J147">
        <f>SUM($G$3:I147)</f>
        <v>202795</v>
      </c>
      <c r="K147">
        <f t="shared" si="43"/>
        <v>1550</v>
      </c>
      <c r="L147">
        <f t="shared" si="44"/>
        <v>1.0489999999999999</v>
      </c>
      <c r="M147">
        <f t="shared" si="45"/>
        <v>1.022</v>
      </c>
      <c r="N147">
        <f t="shared" si="46"/>
        <v>40559</v>
      </c>
      <c r="O147">
        <f t="shared" si="47"/>
        <v>1661.7208999999998</v>
      </c>
      <c r="P147">
        <f t="shared" si="48"/>
        <v>400</v>
      </c>
      <c r="Q147">
        <f t="shared" si="49"/>
        <v>0.1</v>
      </c>
    </row>
    <row r="148" spans="1:17" x14ac:dyDescent="0.25">
      <c r="A148">
        <v>146</v>
      </c>
      <c r="B148">
        <f t="shared" si="35"/>
        <v>5</v>
      </c>
      <c r="C148">
        <f t="shared" si="36"/>
        <v>3</v>
      </c>
      <c r="D148" t="str">
        <f t="shared" si="37"/>
        <v/>
      </c>
      <c r="E148" t="str">
        <f t="shared" si="38"/>
        <v/>
      </c>
      <c r="F148">
        <f t="shared" si="39"/>
        <v>225</v>
      </c>
      <c r="G148" t="str">
        <f t="shared" si="40"/>
        <v/>
      </c>
      <c r="H148" t="str">
        <f t="shared" si="41"/>
        <v/>
      </c>
      <c r="I148">
        <f t="shared" si="42"/>
        <v>1750</v>
      </c>
      <c r="J148">
        <f>SUM($G$3:I148)</f>
        <v>204545</v>
      </c>
      <c r="K148">
        <f t="shared" si="43"/>
        <v>1550</v>
      </c>
      <c r="L148">
        <f t="shared" si="44"/>
        <v>1.0489999999999999</v>
      </c>
      <c r="M148">
        <f t="shared" si="45"/>
        <v>1.0225</v>
      </c>
      <c r="N148">
        <f t="shared" si="46"/>
        <v>40909</v>
      </c>
      <c r="O148">
        <f t="shared" si="47"/>
        <v>1662.5338749999999</v>
      </c>
      <c r="P148">
        <f t="shared" si="48"/>
        <v>400</v>
      </c>
      <c r="Q148">
        <f t="shared" si="49"/>
        <v>0.1</v>
      </c>
    </row>
    <row r="149" spans="1:17" x14ac:dyDescent="0.25">
      <c r="A149">
        <v>147</v>
      </c>
      <c r="B149">
        <f t="shared" si="35"/>
        <v>5</v>
      </c>
      <c r="C149">
        <f t="shared" si="36"/>
        <v>3</v>
      </c>
      <c r="D149" t="str">
        <f t="shared" si="37"/>
        <v/>
      </c>
      <c r="E149" t="str">
        <f t="shared" si="38"/>
        <v/>
      </c>
      <c r="F149">
        <f t="shared" si="39"/>
        <v>230</v>
      </c>
      <c r="G149" t="str">
        <f t="shared" si="40"/>
        <v/>
      </c>
      <c r="H149" t="str">
        <f t="shared" si="41"/>
        <v/>
      </c>
      <c r="I149">
        <f t="shared" si="42"/>
        <v>1800</v>
      </c>
      <c r="J149">
        <f>SUM($G$3:I149)</f>
        <v>206345</v>
      </c>
      <c r="K149">
        <f t="shared" si="43"/>
        <v>1550</v>
      </c>
      <c r="L149">
        <f t="shared" si="44"/>
        <v>1.0489999999999999</v>
      </c>
      <c r="M149">
        <f t="shared" si="45"/>
        <v>1.0229999999999999</v>
      </c>
      <c r="N149">
        <f t="shared" si="46"/>
        <v>41269</v>
      </c>
      <c r="O149">
        <f t="shared" si="47"/>
        <v>1663.3468499999997</v>
      </c>
      <c r="P149">
        <f t="shared" si="48"/>
        <v>400</v>
      </c>
      <c r="Q149">
        <f t="shared" si="49"/>
        <v>0.1</v>
      </c>
    </row>
    <row r="150" spans="1:17" x14ac:dyDescent="0.25">
      <c r="A150">
        <v>148</v>
      </c>
      <c r="B150">
        <f t="shared" si="35"/>
        <v>5</v>
      </c>
      <c r="C150">
        <f t="shared" si="36"/>
        <v>3</v>
      </c>
      <c r="D150" t="str">
        <f t="shared" si="37"/>
        <v/>
      </c>
      <c r="E150" t="str">
        <f t="shared" si="38"/>
        <v/>
      </c>
      <c r="F150">
        <f t="shared" si="39"/>
        <v>235</v>
      </c>
      <c r="G150" t="str">
        <f t="shared" si="40"/>
        <v/>
      </c>
      <c r="H150" t="str">
        <f t="shared" si="41"/>
        <v/>
      </c>
      <c r="I150">
        <f t="shared" si="42"/>
        <v>1850</v>
      </c>
      <c r="J150">
        <f>SUM($G$3:I150)</f>
        <v>208195</v>
      </c>
      <c r="K150">
        <f t="shared" si="43"/>
        <v>1550</v>
      </c>
      <c r="L150">
        <f t="shared" si="44"/>
        <v>1.0489999999999999</v>
      </c>
      <c r="M150">
        <f t="shared" si="45"/>
        <v>1.0235000000000001</v>
      </c>
      <c r="N150">
        <f t="shared" si="46"/>
        <v>41639</v>
      </c>
      <c r="O150">
        <f t="shared" si="47"/>
        <v>1664.159825</v>
      </c>
      <c r="P150">
        <f t="shared" si="48"/>
        <v>400</v>
      </c>
      <c r="Q150">
        <f t="shared" si="49"/>
        <v>0.1</v>
      </c>
    </row>
    <row r="151" spans="1:17" x14ac:dyDescent="0.25">
      <c r="A151">
        <v>149</v>
      </c>
      <c r="B151">
        <f t="shared" si="35"/>
        <v>5</v>
      </c>
      <c r="C151">
        <f t="shared" si="36"/>
        <v>3</v>
      </c>
      <c r="D151" t="str">
        <f t="shared" si="37"/>
        <v/>
      </c>
      <c r="E151" t="str">
        <f t="shared" si="38"/>
        <v/>
      </c>
      <c r="F151">
        <f t="shared" si="39"/>
        <v>240</v>
      </c>
      <c r="G151" t="str">
        <f t="shared" si="40"/>
        <v/>
      </c>
      <c r="H151" t="str">
        <f t="shared" si="41"/>
        <v/>
      </c>
      <c r="I151">
        <f t="shared" si="42"/>
        <v>1900</v>
      </c>
      <c r="J151">
        <f>SUM($G$3:I151)</f>
        <v>210095</v>
      </c>
      <c r="K151">
        <f t="shared" si="43"/>
        <v>1550</v>
      </c>
      <c r="L151">
        <f t="shared" si="44"/>
        <v>1.0489999999999999</v>
      </c>
      <c r="M151">
        <f t="shared" si="45"/>
        <v>1.024</v>
      </c>
      <c r="N151">
        <f t="shared" si="46"/>
        <v>42019</v>
      </c>
      <c r="O151">
        <f t="shared" si="47"/>
        <v>1664.9727999999998</v>
      </c>
      <c r="P151">
        <f t="shared" si="48"/>
        <v>400</v>
      </c>
      <c r="Q151">
        <f t="shared" si="49"/>
        <v>0.1</v>
      </c>
    </row>
    <row r="152" spans="1:17" x14ac:dyDescent="0.25">
      <c r="A152">
        <v>150</v>
      </c>
      <c r="B152">
        <f t="shared" si="35"/>
        <v>5</v>
      </c>
      <c r="C152">
        <f t="shared" si="36"/>
        <v>3</v>
      </c>
      <c r="D152" t="str">
        <f t="shared" si="37"/>
        <v/>
      </c>
      <c r="E152" t="str">
        <f t="shared" si="38"/>
        <v/>
      </c>
      <c r="F152">
        <f t="shared" si="39"/>
        <v>245</v>
      </c>
      <c r="G152" t="str">
        <f t="shared" si="40"/>
        <v/>
      </c>
      <c r="H152" t="str">
        <f t="shared" si="41"/>
        <v/>
      </c>
      <c r="I152">
        <f t="shared" si="42"/>
        <v>1950</v>
      </c>
      <c r="J152">
        <f>SUM($G$3:I152)</f>
        <v>212045</v>
      </c>
      <c r="K152">
        <f t="shared" si="43"/>
        <v>1550</v>
      </c>
      <c r="L152">
        <f t="shared" si="44"/>
        <v>1.0489999999999999</v>
      </c>
      <c r="M152">
        <f t="shared" si="45"/>
        <v>1.0245</v>
      </c>
      <c r="N152">
        <f t="shared" si="46"/>
        <v>42409</v>
      </c>
      <c r="O152">
        <f t="shared" si="47"/>
        <v>1665.7857749999998</v>
      </c>
      <c r="P152">
        <f t="shared" si="48"/>
        <v>400</v>
      </c>
      <c r="Q152">
        <f t="shared" si="49"/>
        <v>0.1</v>
      </c>
    </row>
    <row r="153" spans="1:17" x14ac:dyDescent="0.25">
      <c r="A153">
        <v>151</v>
      </c>
      <c r="B153">
        <f t="shared" si="35"/>
        <v>6</v>
      </c>
      <c r="C153">
        <f t="shared" si="36"/>
        <v>1</v>
      </c>
      <c r="D153">
        <f t="shared" si="37"/>
        <v>160</v>
      </c>
      <c r="E153" t="str">
        <f t="shared" si="38"/>
        <v/>
      </c>
      <c r="F153" t="str">
        <f t="shared" si="39"/>
        <v/>
      </c>
      <c r="G153">
        <f t="shared" si="40"/>
        <v>5200</v>
      </c>
      <c r="H153" t="str">
        <f t="shared" si="41"/>
        <v/>
      </c>
      <c r="I153" t="str">
        <f t="shared" si="42"/>
        <v/>
      </c>
      <c r="J153">
        <f>SUM($G$3:I153)</f>
        <v>217245</v>
      </c>
      <c r="K153">
        <f t="shared" si="43"/>
        <v>1600</v>
      </c>
      <c r="L153">
        <f t="shared" si="44"/>
        <v>1.0489999999999999</v>
      </c>
      <c r="M153">
        <f t="shared" si="45"/>
        <v>1.0245</v>
      </c>
      <c r="N153">
        <f t="shared" si="46"/>
        <v>43449</v>
      </c>
      <c r="O153">
        <f t="shared" si="47"/>
        <v>1719.5207999999998</v>
      </c>
      <c r="P153">
        <f t="shared" si="48"/>
        <v>400</v>
      </c>
      <c r="Q153">
        <f t="shared" si="49"/>
        <v>0.1</v>
      </c>
    </row>
    <row r="154" spans="1:17" x14ac:dyDescent="0.25">
      <c r="A154">
        <v>152</v>
      </c>
      <c r="B154">
        <f t="shared" si="35"/>
        <v>6</v>
      </c>
      <c r="C154">
        <f t="shared" si="36"/>
        <v>1</v>
      </c>
      <c r="D154">
        <f t="shared" si="37"/>
        <v>166</v>
      </c>
      <c r="E154" t="str">
        <f t="shared" si="38"/>
        <v/>
      </c>
      <c r="F154" t="str">
        <f t="shared" si="39"/>
        <v/>
      </c>
      <c r="G154">
        <f t="shared" si="40"/>
        <v>5300</v>
      </c>
      <c r="H154" t="str">
        <f t="shared" si="41"/>
        <v/>
      </c>
      <c r="I154" t="str">
        <f t="shared" si="42"/>
        <v/>
      </c>
      <c r="J154">
        <f>SUM($G$3:I154)</f>
        <v>222545</v>
      </c>
      <c r="K154">
        <f t="shared" si="43"/>
        <v>1660.0000000000002</v>
      </c>
      <c r="L154">
        <f t="shared" si="44"/>
        <v>1.0489999999999999</v>
      </c>
      <c r="M154">
        <f t="shared" si="45"/>
        <v>1.0245</v>
      </c>
      <c r="N154">
        <f t="shared" si="46"/>
        <v>44509</v>
      </c>
      <c r="O154">
        <f t="shared" si="47"/>
        <v>1784.0028300000001</v>
      </c>
      <c r="P154">
        <f t="shared" si="48"/>
        <v>400</v>
      </c>
      <c r="Q154">
        <f t="shared" si="49"/>
        <v>0.1</v>
      </c>
    </row>
    <row r="155" spans="1:17" x14ac:dyDescent="0.25">
      <c r="A155">
        <v>153</v>
      </c>
      <c r="B155">
        <f t="shared" si="35"/>
        <v>6</v>
      </c>
      <c r="C155">
        <f t="shared" si="36"/>
        <v>1</v>
      </c>
      <c r="D155">
        <f t="shared" si="37"/>
        <v>172</v>
      </c>
      <c r="E155" t="str">
        <f t="shared" si="38"/>
        <v/>
      </c>
      <c r="F155" t="str">
        <f t="shared" si="39"/>
        <v/>
      </c>
      <c r="G155">
        <f t="shared" si="40"/>
        <v>5400</v>
      </c>
      <c r="H155" t="str">
        <f t="shared" si="41"/>
        <v/>
      </c>
      <c r="I155" t="str">
        <f t="shared" si="42"/>
        <v/>
      </c>
      <c r="J155">
        <f>SUM($G$3:I155)</f>
        <v>227945</v>
      </c>
      <c r="K155">
        <f t="shared" si="43"/>
        <v>1720</v>
      </c>
      <c r="L155">
        <f t="shared" si="44"/>
        <v>1.0489999999999999</v>
      </c>
      <c r="M155">
        <f t="shared" si="45"/>
        <v>1.0245</v>
      </c>
      <c r="N155">
        <f t="shared" si="46"/>
        <v>45589</v>
      </c>
      <c r="O155">
        <f t="shared" si="47"/>
        <v>1848.4848599999998</v>
      </c>
      <c r="P155">
        <f t="shared" si="48"/>
        <v>400</v>
      </c>
      <c r="Q155">
        <f t="shared" si="49"/>
        <v>0.1</v>
      </c>
    </row>
    <row r="156" spans="1:17" x14ac:dyDescent="0.25">
      <c r="A156">
        <v>154</v>
      </c>
      <c r="B156">
        <f t="shared" si="35"/>
        <v>6</v>
      </c>
      <c r="C156">
        <f t="shared" si="36"/>
        <v>1</v>
      </c>
      <c r="D156">
        <f t="shared" si="37"/>
        <v>178</v>
      </c>
      <c r="E156" t="str">
        <f t="shared" si="38"/>
        <v/>
      </c>
      <c r="F156" t="str">
        <f t="shared" si="39"/>
        <v/>
      </c>
      <c r="G156">
        <f t="shared" si="40"/>
        <v>5500</v>
      </c>
      <c r="H156" t="str">
        <f t="shared" si="41"/>
        <v/>
      </c>
      <c r="I156" t="str">
        <f t="shared" si="42"/>
        <v/>
      </c>
      <c r="J156">
        <f>SUM($G$3:I156)</f>
        <v>233445</v>
      </c>
      <c r="K156">
        <f t="shared" si="43"/>
        <v>1780</v>
      </c>
      <c r="L156">
        <f t="shared" si="44"/>
        <v>1.0489999999999999</v>
      </c>
      <c r="M156">
        <f t="shared" si="45"/>
        <v>1.0245</v>
      </c>
      <c r="N156">
        <f t="shared" si="46"/>
        <v>46689</v>
      </c>
      <c r="O156">
        <f t="shared" si="47"/>
        <v>1912.9668899999997</v>
      </c>
      <c r="P156">
        <f t="shared" si="48"/>
        <v>400</v>
      </c>
      <c r="Q156">
        <f t="shared" si="49"/>
        <v>0.1</v>
      </c>
    </row>
    <row r="157" spans="1:17" x14ac:dyDescent="0.25">
      <c r="A157">
        <v>155</v>
      </c>
      <c r="B157">
        <f t="shared" si="35"/>
        <v>6</v>
      </c>
      <c r="C157">
        <f t="shared" si="36"/>
        <v>1</v>
      </c>
      <c r="D157">
        <f t="shared" si="37"/>
        <v>184</v>
      </c>
      <c r="E157" t="str">
        <f t="shared" si="38"/>
        <v/>
      </c>
      <c r="F157" t="str">
        <f t="shared" si="39"/>
        <v/>
      </c>
      <c r="G157">
        <f t="shared" si="40"/>
        <v>5600</v>
      </c>
      <c r="H157" t="str">
        <f t="shared" si="41"/>
        <v/>
      </c>
      <c r="I157" t="str">
        <f t="shared" si="42"/>
        <v/>
      </c>
      <c r="J157">
        <f>SUM($G$3:I157)</f>
        <v>239045</v>
      </c>
      <c r="K157">
        <f t="shared" si="43"/>
        <v>1839.9999999999998</v>
      </c>
      <c r="L157">
        <f t="shared" si="44"/>
        <v>1.0489999999999999</v>
      </c>
      <c r="M157">
        <f t="shared" si="45"/>
        <v>1.0245</v>
      </c>
      <c r="N157">
        <f t="shared" si="46"/>
        <v>47809</v>
      </c>
      <c r="O157">
        <f t="shared" si="47"/>
        <v>1977.4489199999996</v>
      </c>
      <c r="P157">
        <f t="shared" si="48"/>
        <v>400</v>
      </c>
      <c r="Q157">
        <f t="shared" si="49"/>
        <v>0.1</v>
      </c>
    </row>
    <row r="158" spans="1:17" x14ac:dyDescent="0.25">
      <c r="A158">
        <v>156</v>
      </c>
      <c r="B158">
        <f t="shared" si="35"/>
        <v>6</v>
      </c>
      <c r="C158">
        <f t="shared" si="36"/>
        <v>1</v>
      </c>
      <c r="D158">
        <f t="shared" si="37"/>
        <v>190</v>
      </c>
      <c r="E158" t="str">
        <f t="shared" si="38"/>
        <v/>
      </c>
      <c r="F158" t="str">
        <f t="shared" si="39"/>
        <v/>
      </c>
      <c r="G158">
        <f t="shared" si="40"/>
        <v>5700</v>
      </c>
      <c r="H158" t="str">
        <f t="shared" si="41"/>
        <v/>
      </c>
      <c r="I158" t="str">
        <f t="shared" si="42"/>
        <v/>
      </c>
      <c r="J158">
        <f>SUM($G$3:I158)</f>
        <v>244745</v>
      </c>
      <c r="K158">
        <f t="shared" si="43"/>
        <v>1900</v>
      </c>
      <c r="L158">
        <f t="shared" si="44"/>
        <v>1.0489999999999999</v>
      </c>
      <c r="M158">
        <f t="shared" si="45"/>
        <v>1.0245</v>
      </c>
      <c r="N158">
        <f t="shared" si="46"/>
        <v>48949</v>
      </c>
      <c r="O158">
        <f t="shared" si="47"/>
        <v>2041.9309499999999</v>
      </c>
      <c r="P158">
        <f t="shared" si="48"/>
        <v>400</v>
      </c>
      <c r="Q158">
        <f t="shared" si="49"/>
        <v>0.1</v>
      </c>
    </row>
    <row r="159" spans="1:17" x14ac:dyDescent="0.25">
      <c r="A159">
        <v>157</v>
      </c>
      <c r="B159">
        <f t="shared" si="35"/>
        <v>6</v>
      </c>
      <c r="C159">
        <f t="shared" si="36"/>
        <v>1</v>
      </c>
      <c r="D159">
        <f t="shared" si="37"/>
        <v>196</v>
      </c>
      <c r="E159" t="str">
        <f t="shared" si="38"/>
        <v/>
      </c>
      <c r="F159" t="str">
        <f t="shared" si="39"/>
        <v/>
      </c>
      <c r="G159">
        <f t="shared" si="40"/>
        <v>5800</v>
      </c>
      <c r="H159" t="str">
        <f t="shared" si="41"/>
        <v/>
      </c>
      <c r="I159" t="str">
        <f t="shared" si="42"/>
        <v/>
      </c>
      <c r="J159">
        <f>SUM($G$3:I159)</f>
        <v>250545</v>
      </c>
      <c r="K159">
        <f t="shared" si="43"/>
        <v>1960.0000000000002</v>
      </c>
      <c r="L159">
        <f t="shared" si="44"/>
        <v>1.0489999999999999</v>
      </c>
      <c r="M159">
        <f t="shared" si="45"/>
        <v>1.0245</v>
      </c>
      <c r="N159">
        <f t="shared" si="46"/>
        <v>50109</v>
      </c>
      <c r="O159">
        <f t="shared" si="47"/>
        <v>2106.4129800000001</v>
      </c>
      <c r="P159">
        <f t="shared" si="48"/>
        <v>400</v>
      </c>
      <c r="Q159">
        <f t="shared" si="49"/>
        <v>0.1</v>
      </c>
    </row>
    <row r="160" spans="1:17" x14ac:dyDescent="0.25">
      <c r="A160">
        <v>158</v>
      </c>
      <c r="B160">
        <f t="shared" si="35"/>
        <v>6</v>
      </c>
      <c r="C160">
        <f t="shared" si="36"/>
        <v>1</v>
      </c>
      <c r="D160">
        <f t="shared" si="37"/>
        <v>202</v>
      </c>
      <c r="E160" t="str">
        <f t="shared" si="38"/>
        <v/>
      </c>
      <c r="F160" t="str">
        <f t="shared" si="39"/>
        <v/>
      </c>
      <c r="G160">
        <f t="shared" si="40"/>
        <v>5900</v>
      </c>
      <c r="H160" t="str">
        <f t="shared" si="41"/>
        <v/>
      </c>
      <c r="I160" t="str">
        <f t="shared" si="42"/>
        <v/>
      </c>
      <c r="J160">
        <f>SUM($G$3:I160)</f>
        <v>256445</v>
      </c>
      <c r="K160">
        <f t="shared" si="43"/>
        <v>2020</v>
      </c>
      <c r="L160">
        <f t="shared" si="44"/>
        <v>1.0489999999999999</v>
      </c>
      <c r="M160">
        <f t="shared" si="45"/>
        <v>1.0245</v>
      </c>
      <c r="N160">
        <f t="shared" si="46"/>
        <v>51289</v>
      </c>
      <c r="O160">
        <f t="shared" si="47"/>
        <v>2170.8950099999997</v>
      </c>
      <c r="P160">
        <f t="shared" si="48"/>
        <v>400</v>
      </c>
      <c r="Q160">
        <f t="shared" si="49"/>
        <v>0.1</v>
      </c>
    </row>
    <row r="161" spans="1:17" x14ac:dyDescent="0.25">
      <c r="A161">
        <v>159</v>
      </c>
      <c r="B161">
        <f t="shared" si="35"/>
        <v>6</v>
      </c>
      <c r="C161">
        <f t="shared" si="36"/>
        <v>1</v>
      </c>
      <c r="D161">
        <f t="shared" si="37"/>
        <v>208</v>
      </c>
      <c r="E161" t="str">
        <f t="shared" si="38"/>
        <v/>
      </c>
      <c r="F161" t="str">
        <f t="shared" si="39"/>
        <v/>
      </c>
      <c r="G161">
        <f t="shared" si="40"/>
        <v>6000</v>
      </c>
      <c r="H161" t="str">
        <f t="shared" si="41"/>
        <v/>
      </c>
      <c r="I161" t="str">
        <f t="shared" si="42"/>
        <v/>
      </c>
      <c r="J161">
        <f>SUM($G$3:I161)</f>
        <v>262445</v>
      </c>
      <c r="K161">
        <f t="shared" si="43"/>
        <v>2080</v>
      </c>
      <c r="L161">
        <f t="shared" si="44"/>
        <v>1.0489999999999999</v>
      </c>
      <c r="M161">
        <f t="shared" si="45"/>
        <v>1.0245</v>
      </c>
      <c r="N161">
        <f t="shared" si="46"/>
        <v>52489</v>
      </c>
      <c r="O161">
        <f t="shared" si="47"/>
        <v>2235.3770399999999</v>
      </c>
      <c r="P161">
        <f t="shared" si="48"/>
        <v>400</v>
      </c>
      <c r="Q161">
        <f t="shared" si="49"/>
        <v>0.1</v>
      </c>
    </row>
    <row r="162" spans="1:17" x14ac:dyDescent="0.25">
      <c r="A162">
        <v>160</v>
      </c>
      <c r="B162">
        <f t="shared" ref="B162:B225" si="50">B132+1</f>
        <v>6</v>
      </c>
      <c r="C162">
        <f t="shared" ref="C162:C225" si="51">C132</f>
        <v>1</v>
      </c>
      <c r="D162">
        <f t="shared" si="37"/>
        <v>214</v>
      </c>
      <c r="E162" t="str">
        <f t="shared" si="38"/>
        <v/>
      </c>
      <c r="F162" t="str">
        <f t="shared" si="39"/>
        <v/>
      </c>
      <c r="G162">
        <f t="shared" si="40"/>
        <v>6100</v>
      </c>
      <c r="H162" t="str">
        <f t="shared" si="41"/>
        <v/>
      </c>
      <c r="I162" t="str">
        <f t="shared" si="42"/>
        <v/>
      </c>
      <c r="J162">
        <f>SUM($G$3:I162)</f>
        <v>268545</v>
      </c>
      <c r="K162">
        <f t="shared" si="43"/>
        <v>2140</v>
      </c>
      <c r="L162">
        <f t="shared" si="44"/>
        <v>1.0489999999999999</v>
      </c>
      <c r="M162">
        <f t="shared" si="45"/>
        <v>1.0245</v>
      </c>
      <c r="N162">
        <f t="shared" si="46"/>
        <v>53709</v>
      </c>
      <c r="O162">
        <f t="shared" si="47"/>
        <v>2299.8590699999995</v>
      </c>
      <c r="P162">
        <f t="shared" si="48"/>
        <v>400</v>
      </c>
      <c r="Q162">
        <f t="shared" si="49"/>
        <v>0.1</v>
      </c>
    </row>
    <row r="163" spans="1:17" x14ac:dyDescent="0.25">
      <c r="A163">
        <v>161</v>
      </c>
      <c r="B163">
        <f t="shared" si="50"/>
        <v>6</v>
      </c>
      <c r="C163">
        <f t="shared" si="51"/>
        <v>2</v>
      </c>
      <c r="D163" t="str">
        <f t="shared" si="37"/>
        <v/>
      </c>
      <c r="E163">
        <f t="shared" si="38"/>
        <v>500</v>
      </c>
      <c r="F163" t="str">
        <f t="shared" si="39"/>
        <v/>
      </c>
      <c r="G163" t="str">
        <f t="shared" si="40"/>
        <v/>
      </c>
      <c r="H163">
        <f t="shared" si="41"/>
        <v>1867</v>
      </c>
      <c r="I163" t="str">
        <f t="shared" si="42"/>
        <v/>
      </c>
      <c r="J163">
        <f>SUM($G$3:I163)</f>
        <v>270412</v>
      </c>
      <c r="K163">
        <f t="shared" si="43"/>
        <v>2140</v>
      </c>
      <c r="L163">
        <f t="shared" si="44"/>
        <v>1.05</v>
      </c>
      <c r="M163">
        <f t="shared" si="45"/>
        <v>1.0245</v>
      </c>
      <c r="N163">
        <f t="shared" si="46"/>
        <v>54082.400000000001</v>
      </c>
      <c r="O163">
        <f t="shared" si="47"/>
        <v>2302.0515</v>
      </c>
      <c r="P163">
        <f t="shared" si="48"/>
        <v>400</v>
      </c>
      <c r="Q163">
        <f t="shared" si="49"/>
        <v>0.1</v>
      </c>
    </row>
    <row r="164" spans="1:17" x14ac:dyDescent="0.25">
      <c r="A164">
        <v>162</v>
      </c>
      <c r="B164">
        <f t="shared" si="50"/>
        <v>6</v>
      </c>
      <c r="C164">
        <f t="shared" si="51"/>
        <v>2</v>
      </c>
      <c r="D164" t="str">
        <f t="shared" si="37"/>
        <v/>
      </c>
      <c r="E164">
        <f t="shared" si="38"/>
        <v>510</v>
      </c>
      <c r="F164" t="str">
        <f t="shared" si="39"/>
        <v/>
      </c>
      <c r="G164" t="str">
        <f t="shared" si="40"/>
        <v/>
      </c>
      <c r="H164">
        <f t="shared" si="41"/>
        <v>1920</v>
      </c>
      <c r="I164" t="str">
        <f t="shared" si="42"/>
        <v/>
      </c>
      <c r="J164">
        <f>SUM($G$3:I164)</f>
        <v>272332</v>
      </c>
      <c r="K164">
        <f t="shared" si="43"/>
        <v>2140</v>
      </c>
      <c r="L164">
        <f t="shared" si="44"/>
        <v>1.0509999999999999</v>
      </c>
      <c r="M164">
        <f t="shared" si="45"/>
        <v>1.0245</v>
      </c>
      <c r="N164">
        <f t="shared" si="46"/>
        <v>54466.400000000001</v>
      </c>
      <c r="O164">
        <f t="shared" si="47"/>
        <v>2304.2439299999996</v>
      </c>
      <c r="P164">
        <f t="shared" si="48"/>
        <v>400</v>
      </c>
      <c r="Q164">
        <f t="shared" si="49"/>
        <v>0.1</v>
      </c>
    </row>
    <row r="165" spans="1:17" x14ac:dyDescent="0.25">
      <c r="A165">
        <v>163</v>
      </c>
      <c r="B165">
        <f t="shared" si="50"/>
        <v>6</v>
      </c>
      <c r="C165">
        <f t="shared" si="51"/>
        <v>2</v>
      </c>
      <c r="D165" t="str">
        <f t="shared" si="37"/>
        <v/>
      </c>
      <c r="E165">
        <f t="shared" si="38"/>
        <v>520</v>
      </c>
      <c r="F165" t="str">
        <f t="shared" si="39"/>
        <v/>
      </c>
      <c r="G165" t="str">
        <f t="shared" si="40"/>
        <v/>
      </c>
      <c r="H165">
        <f t="shared" si="41"/>
        <v>1973</v>
      </c>
      <c r="I165" t="str">
        <f t="shared" si="42"/>
        <v/>
      </c>
      <c r="J165">
        <f>SUM($G$3:I165)</f>
        <v>274305</v>
      </c>
      <c r="K165">
        <f t="shared" si="43"/>
        <v>2140</v>
      </c>
      <c r="L165">
        <f t="shared" si="44"/>
        <v>1.052</v>
      </c>
      <c r="M165">
        <f t="shared" si="45"/>
        <v>1.0245</v>
      </c>
      <c r="N165">
        <f t="shared" si="46"/>
        <v>54861</v>
      </c>
      <c r="O165">
        <f t="shared" si="47"/>
        <v>2306.4363600000001</v>
      </c>
      <c r="P165">
        <f t="shared" si="48"/>
        <v>400</v>
      </c>
      <c r="Q165">
        <f t="shared" si="49"/>
        <v>0.1</v>
      </c>
    </row>
    <row r="166" spans="1:17" x14ac:dyDescent="0.25">
      <c r="A166">
        <v>164</v>
      </c>
      <c r="B166">
        <f t="shared" si="50"/>
        <v>6</v>
      </c>
      <c r="C166">
        <f t="shared" si="51"/>
        <v>2</v>
      </c>
      <c r="D166" t="str">
        <f t="shared" si="37"/>
        <v/>
      </c>
      <c r="E166">
        <f t="shared" si="38"/>
        <v>530</v>
      </c>
      <c r="F166" t="str">
        <f t="shared" si="39"/>
        <v/>
      </c>
      <c r="G166" t="str">
        <f t="shared" si="40"/>
        <v/>
      </c>
      <c r="H166">
        <f t="shared" si="41"/>
        <v>2026</v>
      </c>
      <c r="I166" t="str">
        <f t="shared" si="42"/>
        <v/>
      </c>
      <c r="J166">
        <f>SUM($G$3:I166)</f>
        <v>276331</v>
      </c>
      <c r="K166">
        <f t="shared" si="43"/>
        <v>2140</v>
      </c>
      <c r="L166">
        <f t="shared" si="44"/>
        <v>1.0529999999999999</v>
      </c>
      <c r="M166">
        <f t="shared" si="45"/>
        <v>1.0245</v>
      </c>
      <c r="N166">
        <f t="shared" si="46"/>
        <v>55266.200000000004</v>
      </c>
      <c r="O166">
        <f t="shared" si="47"/>
        <v>2308.6287900000002</v>
      </c>
      <c r="P166">
        <f t="shared" si="48"/>
        <v>400</v>
      </c>
      <c r="Q166">
        <f t="shared" si="49"/>
        <v>0.1</v>
      </c>
    </row>
    <row r="167" spans="1:17" x14ac:dyDescent="0.25">
      <c r="A167">
        <v>165</v>
      </c>
      <c r="B167">
        <f t="shared" si="50"/>
        <v>6</v>
      </c>
      <c r="C167">
        <f t="shared" si="51"/>
        <v>2</v>
      </c>
      <c r="D167" t="str">
        <f t="shared" si="37"/>
        <v/>
      </c>
      <c r="E167">
        <f t="shared" si="38"/>
        <v>540</v>
      </c>
      <c r="F167" t="str">
        <f t="shared" si="39"/>
        <v/>
      </c>
      <c r="G167" t="str">
        <f t="shared" si="40"/>
        <v/>
      </c>
      <c r="H167">
        <f t="shared" si="41"/>
        <v>2079</v>
      </c>
      <c r="I167" t="str">
        <f t="shared" si="42"/>
        <v/>
      </c>
      <c r="J167">
        <f>SUM($G$3:I167)</f>
        <v>278410</v>
      </c>
      <c r="K167">
        <f t="shared" si="43"/>
        <v>2140</v>
      </c>
      <c r="L167">
        <f t="shared" si="44"/>
        <v>1.054</v>
      </c>
      <c r="M167">
        <f t="shared" si="45"/>
        <v>1.0245</v>
      </c>
      <c r="N167">
        <f t="shared" si="46"/>
        <v>55682</v>
      </c>
      <c r="O167">
        <f t="shared" si="47"/>
        <v>2310.8212199999998</v>
      </c>
      <c r="P167">
        <f t="shared" si="48"/>
        <v>400</v>
      </c>
      <c r="Q167">
        <f t="shared" si="49"/>
        <v>0.1</v>
      </c>
    </row>
    <row r="168" spans="1:17" x14ac:dyDescent="0.25">
      <c r="A168">
        <v>166</v>
      </c>
      <c r="B168">
        <f t="shared" si="50"/>
        <v>6</v>
      </c>
      <c r="C168">
        <f t="shared" si="51"/>
        <v>2</v>
      </c>
      <c r="D168" t="str">
        <f t="shared" si="37"/>
        <v/>
      </c>
      <c r="E168">
        <f t="shared" si="38"/>
        <v>550</v>
      </c>
      <c r="F168" t="str">
        <f t="shared" si="39"/>
        <v/>
      </c>
      <c r="G168" t="str">
        <f t="shared" si="40"/>
        <v/>
      </c>
      <c r="H168">
        <f t="shared" si="41"/>
        <v>2132</v>
      </c>
      <c r="I168" t="str">
        <f t="shared" si="42"/>
        <v/>
      </c>
      <c r="J168">
        <f>SUM($G$3:I168)</f>
        <v>280542</v>
      </c>
      <c r="K168">
        <f t="shared" si="43"/>
        <v>2140</v>
      </c>
      <c r="L168">
        <f t="shared" si="44"/>
        <v>1.0549999999999999</v>
      </c>
      <c r="M168">
        <f t="shared" si="45"/>
        <v>1.0245</v>
      </c>
      <c r="N168">
        <f t="shared" si="46"/>
        <v>56108.4</v>
      </c>
      <c r="O168">
        <f t="shared" si="47"/>
        <v>2313.0136499999999</v>
      </c>
      <c r="P168">
        <f t="shared" si="48"/>
        <v>400</v>
      </c>
      <c r="Q168">
        <f t="shared" si="49"/>
        <v>0.1</v>
      </c>
    </row>
    <row r="169" spans="1:17" x14ac:dyDescent="0.25">
      <c r="A169">
        <v>167</v>
      </c>
      <c r="B169">
        <f t="shared" si="50"/>
        <v>6</v>
      </c>
      <c r="C169">
        <f t="shared" si="51"/>
        <v>2</v>
      </c>
      <c r="D169" t="str">
        <f t="shared" si="37"/>
        <v/>
      </c>
      <c r="E169">
        <f t="shared" si="38"/>
        <v>560</v>
      </c>
      <c r="F169" t="str">
        <f t="shared" si="39"/>
        <v/>
      </c>
      <c r="G169" t="str">
        <f t="shared" si="40"/>
        <v/>
      </c>
      <c r="H169">
        <f t="shared" si="41"/>
        <v>2185</v>
      </c>
      <c r="I169" t="str">
        <f t="shared" si="42"/>
        <v/>
      </c>
      <c r="J169">
        <f>SUM($G$3:I169)</f>
        <v>282727</v>
      </c>
      <c r="K169">
        <f t="shared" si="43"/>
        <v>2140</v>
      </c>
      <c r="L169">
        <f t="shared" si="44"/>
        <v>1.056</v>
      </c>
      <c r="M169">
        <f t="shared" si="45"/>
        <v>1.0245</v>
      </c>
      <c r="N169">
        <f t="shared" si="46"/>
        <v>56545.4</v>
      </c>
      <c r="O169">
        <f t="shared" si="47"/>
        <v>2315.2060799999999</v>
      </c>
      <c r="P169">
        <f t="shared" si="48"/>
        <v>400</v>
      </c>
      <c r="Q169">
        <f t="shared" si="49"/>
        <v>0.1</v>
      </c>
    </row>
    <row r="170" spans="1:17" x14ac:dyDescent="0.25">
      <c r="A170">
        <v>168</v>
      </c>
      <c r="B170">
        <f t="shared" si="50"/>
        <v>6</v>
      </c>
      <c r="C170">
        <f t="shared" si="51"/>
        <v>2</v>
      </c>
      <c r="D170" t="str">
        <f t="shared" si="37"/>
        <v/>
      </c>
      <c r="E170">
        <f t="shared" si="38"/>
        <v>570</v>
      </c>
      <c r="F170" t="str">
        <f t="shared" si="39"/>
        <v/>
      </c>
      <c r="G170" t="str">
        <f t="shared" si="40"/>
        <v/>
      </c>
      <c r="H170">
        <f t="shared" si="41"/>
        <v>2238</v>
      </c>
      <c r="I170" t="str">
        <f t="shared" si="42"/>
        <v/>
      </c>
      <c r="J170">
        <f>SUM($G$3:I170)</f>
        <v>284965</v>
      </c>
      <c r="K170">
        <f t="shared" si="43"/>
        <v>2140</v>
      </c>
      <c r="L170">
        <f t="shared" si="44"/>
        <v>1.0569999999999999</v>
      </c>
      <c r="M170">
        <f t="shared" si="45"/>
        <v>1.0245</v>
      </c>
      <c r="N170">
        <f t="shared" si="46"/>
        <v>56993</v>
      </c>
      <c r="O170">
        <f t="shared" si="47"/>
        <v>2317.39851</v>
      </c>
      <c r="P170">
        <f t="shared" si="48"/>
        <v>400</v>
      </c>
      <c r="Q170">
        <f t="shared" si="49"/>
        <v>0.1</v>
      </c>
    </row>
    <row r="171" spans="1:17" x14ac:dyDescent="0.25">
      <c r="A171">
        <v>169</v>
      </c>
      <c r="B171">
        <f t="shared" si="50"/>
        <v>6</v>
      </c>
      <c r="C171">
        <f t="shared" si="51"/>
        <v>2</v>
      </c>
      <c r="D171" t="str">
        <f t="shared" si="37"/>
        <v/>
      </c>
      <c r="E171">
        <f t="shared" si="38"/>
        <v>580</v>
      </c>
      <c r="F171" t="str">
        <f t="shared" si="39"/>
        <v/>
      </c>
      <c r="G171" t="str">
        <f t="shared" si="40"/>
        <v/>
      </c>
      <c r="H171">
        <f t="shared" si="41"/>
        <v>2291</v>
      </c>
      <c r="I171" t="str">
        <f t="shared" si="42"/>
        <v/>
      </c>
      <c r="J171">
        <f>SUM($G$3:I171)</f>
        <v>287256</v>
      </c>
      <c r="K171">
        <f t="shared" si="43"/>
        <v>2140</v>
      </c>
      <c r="L171">
        <f t="shared" si="44"/>
        <v>1.0580000000000001</v>
      </c>
      <c r="M171">
        <f t="shared" si="45"/>
        <v>1.0245</v>
      </c>
      <c r="N171">
        <f t="shared" si="46"/>
        <v>57451.200000000004</v>
      </c>
      <c r="O171">
        <f t="shared" si="47"/>
        <v>2319.5909399999996</v>
      </c>
      <c r="P171">
        <f t="shared" si="48"/>
        <v>400</v>
      </c>
      <c r="Q171">
        <f t="shared" si="49"/>
        <v>0.1</v>
      </c>
    </row>
    <row r="172" spans="1:17" x14ac:dyDescent="0.25">
      <c r="A172">
        <v>170</v>
      </c>
      <c r="B172">
        <f t="shared" si="50"/>
        <v>6</v>
      </c>
      <c r="C172">
        <f t="shared" si="51"/>
        <v>2</v>
      </c>
      <c r="D172" t="str">
        <f t="shared" si="37"/>
        <v/>
      </c>
      <c r="E172">
        <f t="shared" si="38"/>
        <v>590</v>
      </c>
      <c r="F172" t="str">
        <f t="shared" si="39"/>
        <v/>
      </c>
      <c r="G172" t="str">
        <f t="shared" si="40"/>
        <v/>
      </c>
      <c r="H172">
        <f t="shared" si="41"/>
        <v>2344</v>
      </c>
      <c r="I172" t="str">
        <f t="shared" si="42"/>
        <v/>
      </c>
      <c r="J172">
        <f>SUM($G$3:I172)</f>
        <v>289600</v>
      </c>
      <c r="K172">
        <f t="shared" si="43"/>
        <v>2140</v>
      </c>
      <c r="L172">
        <f t="shared" si="44"/>
        <v>1.0589999999999999</v>
      </c>
      <c r="M172">
        <f t="shared" si="45"/>
        <v>1.0245</v>
      </c>
      <c r="N172">
        <f t="shared" si="46"/>
        <v>57920</v>
      </c>
      <c r="O172">
        <f t="shared" si="47"/>
        <v>2321.7833699999996</v>
      </c>
      <c r="P172">
        <f t="shared" si="48"/>
        <v>400</v>
      </c>
      <c r="Q172">
        <f t="shared" si="49"/>
        <v>0.1</v>
      </c>
    </row>
    <row r="173" spans="1:17" x14ac:dyDescent="0.25">
      <c r="A173">
        <v>171</v>
      </c>
      <c r="B173">
        <f t="shared" si="50"/>
        <v>6</v>
      </c>
      <c r="C173">
        <f t="shared" si="51"/>
        <v>3</v>
      </c>
      <c r="D173" t="str">
        <f t="shared" si="37"/>
        <v/>
      </c>
      <c r="E173" t="str">
        <f t="shared" si="38"/>
        <v/>
      </c>
      <c r="F173">
        <f t="shared" si="39"/>
        <v>250</v>
      </c>
      <c r="G173" t="str">
        <f t="shared" si="40"/>
        <v/>
      </c>
      <c r="H173" t="str">
        <f t="shared" si="41"/>
        <v/>
      </c>
      <c r="I173">
        <f t="shared" si="42"/>
        <v>2000</v>
      </c>
      <c r="J173">
        <f>SUM($G$3:I173)</f>
        <v>291600</v>
      </c>
      <c r="K173">
        <f t="shared" si="43"/>
        <v>2140</v>
      </c>
      <c r="L173">
        <f t="shared" si="44"/>
        <v>1.0589999999999999</v>
      </c>
      <c r="M173">
        <f t="shared" si="45"/>
        <v>1.0249999999999999</v>
      </c>
      <c r="N173">
        <f t="shared" si="46"/>
        <v>58320</v>
      </c>
      <c r="O173">
        <f t="shared" si="47"/>
        <v>2322.9164999999994</v>
      </c>
      <c r="P173">
        <f t="shared" si="48"/>
        <v>400</v>
      </c>
      <c r="Q173">
        <f t="shared" si="49"/>
        <v>0.1</v>
      </c>
    </row>
    <row r="174" spans="1:17" x14ac:dyDescent="0.25">
      <c r="A174">
        <v>172</v>
      </c>
      <c r="B174">
        <f t="shared" si="50"/>
        <v>6</v>
      </c>
      <c r="C174">
        <f t="shared" si="51"/>
        <v>3</v>
      </c>
      <c r="D174" t="str">
        <f t="shared" si="37"/>
        <v/>
      </c>
      <c r="E174" t="str">
        <f t="shared" si="38"/>
        <v/>
      </c>
      <c r="F174">
        <f t="shared" si="39"/>
        <v>255</v>
      </c>
      <c r="G174" t="str">
        <f t="shared" si="40"/>
        <v/>
      </c>
      <c r="H174" t="str">
        <f t="shared" si="41"/>
        <v/>
      </c>
      <c r="I174">
        <f t="shared" si="42"/>
        <v>2050</v>
      </c>
      <c r="J174">
        <f>SUM($G$3:I174)</f>
        <v>293650</v>
      </c>
      <c r="K174">
        <f t="shared" si="43"/>
        <v>2140</v>
      </c>
      <c r="L174">
        <f t="shared" si="44"/>
        <v>1.0589999999999999</v>
      </c>
      <c r="M174">
        <f t="shared" si="45"/>
        <v>1.0255000000000001</v>
      </c>
      <c r="N174">
        <f t="shared" si="46"/>
        <v>58730</v>
      </c>
      <c r="O174">
        <f t="shared" si="47"/>
        <v>2324.04963</v>
      </c>
      <c r="P174">
        <f t="shared" si="48"/>
        <v>400</v>
      </c>
      <c r="Q174">
        <f t="shared" si="49"/>
        <v>0.1</v>
      </c>
    </row>
    <row r="175" spans="1:17" x14ac:dyDescent="0.25">
      <c r="A175">
        <v>173</v>
      </c>
      <c r="B175">
        <f t="shared" si="50"/>
        <v>6</v>
      </c>
      <c r="C175">
        <f t="shared" si="51"/>
        <v>3</v>
      </c>
      <c r="D175" t="str">
        <f t="shared" si="37"/>
        <v/>
      </c>
      <c r="E175" t="str">
        <f t="shared" si="38"/>
        <v/>
      </c>
      <c r="F175">
        <f t="shared" si="39"/>
        <v>260</v>
      </c>
      <c r="G175" t="str">
        <f t="shared" si="40"/>
        <v/>
      </c>
      <c r="H175" t="str">
        <f t="shared" si="41"/>
        <v/>
      </c>
      <c r="I175">
        <f t="shared" si="42"/>
        <v>2100</v>
      </c>
      <c r="J175">
        <f>SUM($G$3:I175)</f>
        <v>295750</v>
      </c>
      <c r="K175">
        <f t="shared" si="43"/>
        <v>2140</v>
      </c>
      <c r="L175">
        <f t="shared" si="44"/>
        <v>1.0589999999999999</v>
      </c>
      <c r="M175">
        <f t="shared" si="45"/>
        <v>1.026</v>
      </c>
      <c r="N175">
        <f t="shared" si="46"/>
        <v>59150</v>
      </c>
      <c r="O175">
        <f t="shared" si="47"/>
        <v>2325.1827599999997</v>
      </c>
      <c r="P175">
        <f t="shared" si="48"/>
        <v>400</v>
      </c>
      <c r="Q175">
        <f t="shared" si="49"/>
        <v>0.1</v>
      </c>
    </row>
    <row r="176" spans="1:17" x14ac:dyDescent="0.25">
      <c r="A176">
        <v>174</v>
      </c>
      <c r="B176">
        <f t="shared" si="50"/>
        <v>6</v>
      </c>
      <c r="C176">
        <f t="shared" si="51"/>
        <v>3</v>
      </c>
      <c r="D176" t="str">
        <f t="shared" si="37"/>
        <v/>
      </c>
      <c r="E176" t="str">
        <f t="shared" si="38"/>
        <v/>
      </c>
      <c r="F176">
        <f t="shared" si="39"/>
        <v>265</v>
      </c>
      <c r="G176" t="str">
        <f t="shared" si="40"/>
        <v/>
      </c>
      <c r="H176" t="str">
        <f t="shared" si="41"/>
        <v/>
      </c>
      <c r="I176">
        <f t="shared" si="42"/>
        <v>2150</v>
      </c>
      <c r="J176">
        <f>SUM($G$3:I176)</f>
        <v>297900</v>
      </c>
      <c r="K176">
        <f t="shared" si="43"/>
        <v>2140</v>
      </c>
      <c r="L176">
        <f t="shared" si="44"/>
        <v>1.0589999999999999</v>
      </c>
      <c r="M176">
        <f t="shared" si="45"/>
        <v>1.0265</v>
      </c>
      <c r="N176">
        <f t="shared" si="46"/>
        <v>59580</v>
      </c>
      <c r="O176">
        <f t="shared" si="47"/>
        <v>2326.3158899999999</v>
      </c>
      <c r="P176">
        <f t="shared" si="48"/>
        <v>400</v>
      </c>
      <c r="Q176">
        <f t="shared" si="49"/>
        <v>0.1</v>
      </c>
    </row>
    <row r="177" spans="1:17" x14ac:dyDescent="0.25">
      <c r="A177">
        <v>175</v>
      </c>
      <c r="B177">
        <f t="shared" si="50"/>
        <v>6</v>
      </c>
      <c r="C177">
        <f t="shared" si="51"/>
        <v>3</v>
      </c>
      <c r="D177" t="str">
        <f t="shared" si="37"/>
        <v/>
      </c>
      <c r="E177" t="str">
        <f t="shared" si="38"/>
        <v/>
      </c>
      <c r="F177">
        <f t="shared" si="39"/>
        <v>270</v>
      </c>
      <c r="G177" t="str">
        <f t="shared" si="40"/>
        <v/>
      </c>
      <c r="H177" t="str">
        <f t="shared" si="41"/>
        <v/>
      </c>
      <c r="I177">
        <f t="shared" si="42"/>
        <v>2200</v>
      </c>
      <c r="J177">
        <f>SUM($G$3:I177)</f>
        <v>300100</v>
      </c>
      <c r="K177">
        <f t="shared" si="43"/>
        <v>2140</v>
      </c>
      <c r="L177">
        <f t="shared" si="44"/>
        <v>1.0589999999999999</v>
      </c>
      <c r="M177">
        <f t="shared" si="45"/>
        <v>1.0269999999999999</v>
      </c>
      <c r="N177">
        <f t="shared" si="46"/>
        <v>60020</v>
      </c>
      <c r="O177">
        <f t="shared" si="47"/>
        <v>2327.4490199999996</v>
      </c>
      <c r="P177">
        <f t="shared" si="48"/>
        <v>400</v>
      </c>
      <c r="Q177">
        <f t="shared" si="49"/>
        <v>0.1</v>
      </c>
    </row>
    <row r="178" spans="1:17" x14ac:dyDescent="0.25">
      <c r="A178">
        <v>176</v>
      </c>
      <c r="B178">
        <f t="shared" si="50"/>
        <v>6</v>
      </c>
      <c r="C178">
        <f t="shared" si="51"/>
        <v>3</v>
      </c>
      <c r="D178" t="str">
        <f t="shared" si="37"/>
        <v/>
      </c>
      <c r="E178" t="str">
        <f t="shared" si="38"/>
        <v/>
      </c>
      <c r="F178">
        <f t="shared" si="39"/>
        <v>275</v>
      </c>
      <c r="G178" t="str">
        <f t="shared" si="40"/>
        <v/>
      </c>
      <c r="H178" t="str">
        <f t="shared" si="41"/>
        <v/>
      </c>
      <c r="I178">
        <f t="shared" si="42"/>
        <v>2250</v>
      </c>
      <c r="J178">
        <f>SUM($G$3:I178)</f>
        <v>302350</v>
      </c>
      <c r="K178">
        <f t="shared" si="43"/>
        <v>2140</v>
      </c>
      <c r="L178">
        <f t="shared" si="44"/>
        <v>1.0589999999999999</v>
      </c>
      <c r="M178">
        <f t="shared" si="45"/>
        <v>1.0275000000000001</v>
      </c>
      <c r="N178">
        <f t="shared" si="46"/>
        <v>60470</v>
      </c>
      <c r="O178">
        <f t="shared" si="47"/>
        <v>2328.5821499999997</v>
      </c>
      <c r="P178">
        <f t="shared" si="48"/>
        <v>400</v>
      </c>
      <c r="Q178">
        <f t="shared" si="49"/>
        <v>0.1</v>
      </c>
    </row>
    <row r="179" spans="1:17" x14ac:dyDescent="0.25">
      <c r="A179">
        <v>177</v>
      </c>
      <c r="B179">
        <f t="shared" si="50"/>
        <v>6</v>
      </c>
      <c r="C179">
        <f t="shared" si="51"/>
        <v>3</v>
      </c>
      <c r="D179" t="str">
        <f t="shared" si="37"/>
        <v/>
      </c>
      <c r="E179" t="str">
        <f t="shared" si="38"/>
        <v/>
      </c>
      <c r="F179">
        <f t="shared" si="39"/>
        <v>280</v>
      </c>
      <c r="G179" t="str">
        <f t="shared" si="40"/>
        <v/>
      </c>
      <c r="H179" t="str">
        <f t="shared" si="41"/>
        <v/>
      </c>
      <c r="I179">
        <f t="shared" si="42"/>
        <v>2300</v>
      </c>
      <c r="J179">
        <f>SUM($G$3:I179)</f>
        <v>304650</v>
      </c>
      <c r="K179">
        <f t="shared" si="43"/>
        <v>2140</v>
      </c>
      <c r="L179">
        <f t="shared" si="44"/>
        <v>1.0589999999999999</v>
      </c>
      <c r="M179">
        <f t="shared" si="45"/>
        <v>1.028</v>
      </c>
      <c r="N179">
        <f t="shared" si="46"/>
        <v>60930</v>
      </c>
      <c r="O179">
        <f t="shared" si="47"/>
        <v>2329.7152799999999</v>
      </c>
      <c r="P179">
        <f t="shared" si="48"/>
        <v>400</v>
      </c>
      <c r="Q179">
        <f t="shared" si="49"/>
        <v>0.1</v>
      </c>
    </row>
    <row r="180" spans="1:17" x14ac:dyDescent="0.25">
      <c r="A180">
        <v>178</v>
      </c>
      <c r="B180">
        <f t="shared" si="50"/>
        <v>6</v>
      </c>
      <c r="C180">
        <f t="shared" si="51"/>
        <v>3</v>
      </c>
      <c r="D180" t="str">
        <f t="shared" si="37"/>
        <v/>
      </c>
      <c r="E180" t="str">
        <f t="shared" si="38"/>
        <v/>
      </c>
      <c r="F180">
        <f t="shared" si="39"/>
        <v>285</v>
      </c>
      <c r="G180" t="str">
        <f t="shared" si="40"/>
        <v/>
      </c>
      <c r="H180" t="str">
        <f t="shared" si="41"/>
        <v/>
      </c>
      <c r="I180">
        <f t="shared" si="42"/>
        <v>2350</v>
      </c>
      <c r="J180">
        <f>SUM($G$3:I180)</f>
        <v>307000</v>
      </c>
      <c r="K180">
        <f t="shared" si="43"/>
        <v>2140</v>
      </c>
      <c r="L180">
        <f t="shared" si="44"/>
        <v>1.0589999999999999</v>
      </c>
      <c r="M180">
        <f t="shared" si="45"/>
        <v>1.0285</v>
      </c>
      <c r="N180">
        <f t="shared" si="46"/>
        <v>61400</v>
      </c>
      <c r="O180">
        <f t="shared" si="47"/>
        <v>2330.8484099999996</v>
      </c>
      <c r="P180">
        <f t="shared" si="48"/>
        <v>400</v>
      </c>
      <c r="Q180">
        <f t="shared" si="49"/>
        <v>0.1</v>
      </c>
    </row>
    <row r="181" spans="1:17" x14ac:dyDescent="0.25">
      <c r="A181">
        <v>179</v>
      </c>
      <c r="B181">
        <f t="shared" si="50"/>
        <v>6</v>
      </c>
      <c r="C181">
        <f t="shared" si="51"/>
        <v>3</v>
      </c>
      <c r="D181" t="str">
        <f t="shared" si="37"/>
        <v/>
      </c>
      <c r="E181" t="str">
        <f t="shared" si="38"/>
        <v/>
      </c>
      <c r="F181">
        <f t="shared" si="39"/>
        <v>290</v>
      </c>
      <c r="G181" t="str">
        <f t="shared" si="40"/>
        <v/>
      </c>
      <c r="H181" t="str">
        <f t="shared" si="41"/>
        <v/>
      </c>
      <c r="I181">
        <f t="shared" si="42"/>
        <v>2400</v>
      </c>
      <c r="J181">
        <f>SUM($G$3:I181)</f>
        <v>309400</v>
      </c>
      <c r="K181">
        <f t="shared" si="43"/>
        <v>2140</v>
      </c>
      <c r="L181">
        <f t="shared" si="44"/>
        <v>1.0589999999999999</v>
      </c>
      <c r="M181">
        <f t="shared" si="45"/>
        <v>1.0289999999999999</v>
      </c>
      <c r="N181">
        <f t="shared" si="46"/>
        <v>61880</v>
      </c>
      <c r="O181">
        <f t="shared" si="47"/>
        <v>2331.9815399999998</v>
      </c>
      <c r="P181">
        <f t="shared" si="48"/>
        <v>400</v>
      </c>
      <c r="Q181">
        <f t="shared" si="49"/>
        <v>0.1</v>
      </c>
    </row>
    <row r="182" spans="1:17" x14ac:dyDescent="0.25">
      <c r="A182">
        <v>180</v>
      </c>
      <c r="B182">
        <f t="shared" si="50"/>
        <v>6</v>
      </c>
      <c r="C182">
        <f t="shared" si="51"/>
        <v>3</v>
      </c>
      <c r="D182" t="str">
        <f t="shared" si="37"/>
        <v/>
      </c>
      <c r="E182" t="str">
        <f t="shared" si="38"/>
        <v/>
      </c>
      <c r="F182">
        <f t="shared" si="39"/>
        <v>295</v>
      </c>
      <c r="G182" t="str">
        <f t="shared" si="40"/>
        <v/>
      </c>
      <c r="H182" t="str">
        <f t="shared" si="41"/>
        <v/>
      </c>
      <c r="I182">
        <f t="shared" si="42"/>
        <v>2450</v>
      </c>
      <c r="J182">
        <f>SUM($G$3:I182)</f>
        <v>311850</v>
      </c>
      <c r="K182">
        <f t="shared" si="43"/>
        <v>2140</v>
      </c>
      <c r="L182">
        <f t="shared" si="44"/>
        <v>1.0589999999999999</v>
      </c>
      <c r="M182">
        <f t="shared" si="45"/>
        <v>1.0295000000000001</v>
      </c>
      <c r="N182">
        <f t="shared" si="46"/>
        <v>62370</v>
      </c>
      <c r="O182">
        <f t="shared" si="47"/>
        <v>2333.1146699999999</v>
      </c>
      <c r="P182">
        <f t="shared" si="48"/>
        <v>400</v>
      </c>
      <c r="Q182">
        <f t="shared" si="49"/>
        <v>0.1</v>
      </c>
    </row>
    <row r="183" spans="1:17" x14ac:dyDescent="0.25">
      <c r="A183">
        <v>181</v>
      </c>
      <c r="B183">
        <f t="shared" si="50"/>
        <v>7</v>
      </c>
      <c r="C183">
        <f t="shared" si="51"/>
        <v>1</v>
      </c>
      <c r="D183">
        <f t="shared" si="37"/>
        <v>220</v>
      </c>
      <c r="E183" t="str">
        <f t="shared" si="38"/>
        <v/>
      </c>
      <c r="F183" t="str">
        <f t="shared" si="39"/>
        <v/>
      </c>
      <c r="G183">
        <f t="shared" si="40"/>
        <v>6200</v>
      </c>
      <c r="H183" t="str">
        <f t="shared" si="41"/>
        <v/>
      </c>
      <c r="I183" t="str">
        <f t="shared" si="42"/>
        <v/>
      </c>
      <c r="J183">
        <f>SUM($G$3:I183)</f>
        <v>318050</v>
      </c>
      <c r="K183">
        <f t="shared" si="43"/>
        <v>2200</v>
      </c>
      <c r="L183">
        <f t="shared" si="44"/>
        <v>1.0589999999999999</v>
      </c>
      <c r="M183">
        <f t="shared" si="45"/>
        <v>1.0295000000000001</v>
      </c>
      <c r="N183">
        <f t="shared" si="46"/>
        <v>63610</v>
      </c>
      <c r="O183">
        <f t="shared" si="47"/>
        <v>2398.5290999999997</v>
      </c>
      <c r="P183">
        <f t="shared" si="48"/>
        <v>400</v>
      </c>
      <c r="Q183">
        <f t="shared" si="49"/>
        <v>0.1</v>
      </c>
    </row>
    <row r="184" spans="1:17" x14ac:dyDescent="0.25">
      <c r="A184">
        <v>182</v>
      </c>
      <c r="B184">
        <f t="shared" si="50"/>
        <v>7</v>
      </c>
      <c r="C184">
        <f t="shared" si="51"/>
        <v>1</v>
      </c>
      <c r="D184">
        <f t="shared" si="37"/>
        <v>227</v>
      </c>
      <c r="E184" t="str">
        <f t="shared" si="38"/>
        <v/>
      </c>
      <c r="F184" t="str">
        <f t="shared" si="39"/>
        <v/>
      </c>
      <c r="G184">
        <f t="shared" si="40"/>
        <v>6300</v>
      </c>
      <c r="H184" t="str">
        <f t="shared" si="41"/>
        <v/>
      </c>
      <c r="I184" t="str">
        <f t="shared" si="42"/>
        <v/>
      </c>
      <c r="J184">
        <f>SUM($G$3:I184)</f>
        <v>324350</v>
      </c>
      <c r="K184">
        <f t="shared" si="43"/>
        <v>2270</v>
      </c>
      <c r="L184">
        <f t="shared" si="44"/>
        <v>1.0589999999999999</v>
      </c>
      <c r="M184">
        <f t="shared" si="45"/>
        <v>1.0295000000000001</v>
      </c>
      <c r="N184">
        <f t="shared" si="46"/>
        <v>64870</v>
      </c>
      <c r="O184">
        <f t="shared" si="47"/>
        <v>2474.8459349999998</v>
      </c>
      <c r="P184">
        <f t="shared" si="48"/>
        <v>400</v>
      </c>
      <c r="Q184">
        <f t="shared" si="49"/>
        <v>0.1</v>
      </c>
    </row>
    <row r="185" spans="1:17" x14ac:dyDescent="0.25">
      <c r="A185">
        <v>183</v>
      </c>
      <c r="B185">
        <f t="shared" si="50"/>
        <v>7</v>
      </c>
      <c r="C185">
        <f t="shared" si="51"/>
        <v>1</v>
      </c>
      <c r="D185">
        <f t="shared" si="37"/>
        <v>234</v>
      </c>
      <c r="E185" t="str">
        <f t="shared" si="38"/>
        <v/>
      </c>
      <c r="F185" t="str">
        <f t="shared" si="39"/>
        <v/>
      </c>
      <c r="G185">
        <f t="shared" si="40"/>
        <v>6400</v>
      </c>
      <c r="H185" t="str">
        <f t="shared" si="41"/>
        <v/>
      </c>
      <c r="I185" t="str">
        <f t="shared" si="42"/>
        <v/>
      </c>
      <c r="J185">
        <f>SUM($G$3:I185)</f>
        <v>330750</v>
      </c>
      <c r="K185">
        <f t="shared" si="43"/>
        <v>2340</v>
      </c>
      <c r="L185">
        <f t="shared" si="44"/>
        <v>1.0589999999999999</v>
      </c>
      <c r="M185">
        <f t="shared" si="45"/>
        <v>1.0295000000000001</v>
      </c>
      <c r="N185">
        <f t="shared" si="46"/>
        <v>66150</v>
      </c>
      <c r="O185">
        <f t="shared" si="47"/>
        <v>2551.1627700000004</v>
      </c>
      <c r="P185">
        <f t="shared" si="48"/>
        <v>400</v>
      </c>
      <c r="Q185">
        <f t="shared" si="49"/>
        <v>0.1</v>
      </c>
    </row>
    <row r="186" spans="1:17" x14ac:dyDescent="0.25">
      <c r="A186">
        <v>184</v>
      </c>
      <c r="B186">
        <f t="shared" si="50"/>
        <v>7</v>
      </c>
      <c r="C186">
        <f t="shared" si="51"/>
        <v>1</v>
      </c>
      <c r="D186">
        <f t="shared" si="37"/>
        <v>241</v>
      </c>
      <c r="E186" t="str">
        <f t="shared" si="38"/>
        <v/>
      </c>
      <c r="F186" t="str">
        <f t="shared" si="39"/>
        <v/>
      </c>
      <c r="G186">
        <f t="shared" si="40"/>
        <v>6500</v>
      </c>
      <c r="H186" t="str">
        <f t="shared" si="41"/>
        <v/>
      </c>
      <c r="I186" t="str">
        <f t="shared" si="42"/>
        <v/>
      </c>
      <c r="J186">
        <f>SUM($G$3:I186)</f>
        <v>337250</v>
      </c>
      <c r="K186">
        <f t="shared" si="43"/>
        <v>2410</v>
      </c>
      <c r="L186">
        <f t="shared" si="44"/>
        <v>1.0589999999999999</v>
      </c>
      <c r="M186">
        <f t="shared" si="45"/>
        <v>1.0295000000000001</v>
      </c>
      <c r="N186">
        <f t="shared" si="46"/>
        <v>67450</v>
      </c>
      <c r="O186">
        <f t="shared" si="47"/>
        <v>2627.4796050000004</v>
      </c>
      <c r="P186">
        <f t="shared" si="48"/>
        <v>400</v>
      </c>
      <c r="Q186">
        <f t="shared" si="49"/>
        <v>0.1</v>
      </c>
    </row>
    <row r="187" spans="1:17" x14ac:dyDescent="0.25">
      <c r="A187">
        <v>185</v>
      </c>
      <c r="B187">
        <f t="shared" si="50"/>
        <v>7</v>
      </c>
      <c r="C187">
        <f t="shared" si="51"/>
        <v>1</v>
      </c>
      <c r="D187">
        <f t="shared" si="37"/>
        <v>248</v>
      </c>
      <c r="E187" t="str">
        <f t="shared" si="38"/>
        <v/>
      </c>
      <c r="F187" t="str">
        <f t="shared" si="39"/>
        <v/>
      </c>
      <c r="G187">
        <f t="shared" si="40"/>
        <v>6600</v>
      </c>
      <c r="H187" t="str">
        <f t="shared" si="41"/>
        <v/>
      </c>
      <c r="I187" t="str">
        <f t="shared" si="42"/>
        <v/>
      </c>
      <c r="J187">
        <f>SUM($G$3:I187)</f>
        <v>343850</v>
      </c>
      <c r="K187">
        <f t="shared" si="43"/>
        <v>2480</v>
      </c>
      <c r="L187">
        <f t="shared" si="44"/>
        <v>1.0589999999999999</v>
      </c>
      <c r="M187">
        <f t="shared" si="45"/>
        <v>1.0295000000000001</v>
      </c>
      <c r="N187">
        <f t="shared" si="46"/>
        <v>68770</v>
      </c>
      <c r="O187">
        <f t="shared" si="47"/>
        <v>2703.7964400000001</v>
      </c>
      <c r="P187">
        <f t="shared" si="48"/>
        <v>400</v>
      </c>
      <c r="Q187">
        <f t="shared" si="49"/>
        <v>0.1</v>
      </c>
    </row>
    <row r="188" spans="1:17" x14ac:dyDescent="0.25">
      <c r="A188">
        <v>186</v>
      </c>
      <c r="B188">
        <f t="shared" si="50"/>
        <v>7</v>
      </c>
      <c r="C188">
        <f t="shared" si="51"/>
        <v>1</v>
      </c>
      <c r="D188">
        <f t="shared" si="37"/>
        <v>255</v>
      </c>
      <c r="E188" t="str">
        <f t="shared" si="38"/>
        <v/>
      </c>
      <c r="F188" t="str">
        <f t="shared" si="39"/>
        <v/>
      </c>
      <c r="G188">
        <f t="shared" si="40"/>
        <v>6700</v>
      </c>
      <c r="H188" t="str">
        <f t="shared" si="41"/>
        <v/>
      </c>
      <c r="I188" t="str">
        <f t="shared" si="42"/>
        <v/>
      </c>
      <c r="J188">
        <f>SUM($G$3:I188)</f>
        <v>350550</v>
      </c>
      <c r="K188">
        <f t="shared" si="43"/>
        <v>2550</v>
      </c>
      <c r="L188">
        <f t="shared" si="44"/>
        <v>1.0589999999999999</v>
      </c>
      <c r="M188">
        <f t="shared" si="45"/>
        <v>1.0295000000000001</v>
      </c>
      <c r="N188">
        <f t="shared" si="46"/>
        <v>70110</v>
      </c>
      <c r="O188">
        <f t="shared" si="47"/>
        <v>2780.1132750000002</v>
      </c>
      <c r="P188">
        <f t="shared" si="48"/>
        <v>400</v>
      </c>
      <c r="Q188">
        <f t="shared" si="49"/>
        <v>0.1</v>
      </c>
    </row>
    <row r="189" spans="1:17" x14ac:dyDescent="0.25">
      <c r="A189">
        <v>187</v>
      </c>
      <c r="B189">
        <f t="shared" si="50"/>
        <v>7</v>
      </c>
      <c r="C189">
        <f t="shared" si="51"/>
        <v>1</v>
      </c>
      <c r="D189">
        <f t="shared" si="37"/>
        <v>262</v>
      </c>
      <c r="E189" t="str">
        <f t="shared" si="38"/>
        <v/>
      </c>
      <c r="F189" t="str">
        <f t="shared" si="39"/>
        <v/>
      </c>
      <c r="G189">
        <f t="shared" si="40"/>
        <v>6800</v>
      </c>
      <c r="H189" t="str">
        <f t="shared" si="41"/>
        <v/>
      </c>
      <c r="I189" t="str">
        <f t="shared" si="42"/>
        <v/>
      </c>
      <c r="J189">
        <f>SUM($G$3:I189)</f>
        <v>357350</v>
      </c>
      <c r="K189">
        <f t="shared" si="43"/>
        <v>2620</v>
      </c>
      <c r="L189">
        <f t="shared" si="44"/>
        <v>1.0589999999999999</v>
      </c>
      <c r="M189">
        <f t="shared" si="45"/>
        <v>1.0295000000000001</v>
      </c>
      <c r="N189">
        <f t="shared" si="46"/>
        <v>71470</v>
      </c>
      <c r="O189">
        <f t="shared" si="47"/>
        <v>2856.4301100000002</v>
      </c>
      <c r="P189">
        <f t="shared" si="48"/>
        <v>400</v>
      </c>
      <c r="Q189">
        <f t="shared" si="49"/>
        <v>0.1</v>
      </c>
    </row>
    <row r="190" spans="1:17" x14ac:dyDescent="0.25">
      <c r="A190">
        <v>188</v>
      </c>
      <c r="B190">
        <f t="shared" si="50"/>
        <v>7</v>
      </c>
      <c r="C190">
        <f t="shared" si="51"/>
        <v>1</v>
      </c>
      <c r="D190">
        <f t="shared" si="37"/>
        <v>269</v>
      </c>
      <c r="E190" t="str">
        <f t="shared" si="38"/>
        <v/>
      </c>
      <c r="F190" t="str">
        <f t="shared" si="39"/>
        <v/>
      </c>
      <c r="G190">
        <f t="shared" si="40"/>
        <v>6900</v>
      </c>
      <c r="H190" t="str">
        <f t="shared" si="41"/>
        <v/>
      </c>
      <c r="I190" t="str">
        <f t="shared" si="42"/>
        <v/>
      </c>
      <c r="J190">
        <f>SUM($G$3:I190)</f>
        <v>364250</v>
      </c>
      <c r="K190">
        <f t="shared" si="43"/>
        <v>2690</v>
      </c>
      <c r="L190">
        <f t="shared" si="44"/>
        <v>1.0589999999999999</v>
      </c>
      <c r="M190">
        <f t="shared" si="45"/>
        <v>1.0295000000000001</v>
      </c>
      <c r="N190">
        <f t="shared" si="46"/>
        <v>72850</v>
      </c>
      <c r="O190">
        <f t="shared" si="47"/>
        <v>2932.7469450000003</v>
      </c>
      <c r="P190">
        <f t="shared" si="48"/>
        <v>400</v>
      </c>
      <c r="Q190">
        <f t="shared" si="49"/>
        <v>0.1</v>
      </c>
    </row>
    <row r="191" spans="1:17" x14ac:dyDescent="0.25">
      <c r="A191">
        <v>189</v>
      </c>
      <c r="B191">
        <f t="shared" si="50"/>
        <v>7</v>
      </c>
      <c r="C191">
        <f t="shared" si="51"/>
        <v>1</v>
      </c>
      <c r="D191">
        <f t="shared" si="37"/>
        <v>276</v>
      </c>
      <c r="E191" t="str">
        <f t="shared" si="38"/>
        <v/>
      </c>
      <c r="F191" t="str">
        <f t="shared" si="39"/>
        <v/>
      </c>
      <c r="G191">
        <f t="shared" si="40"/>
        <v>7000</v>
      </c>
      <c r="H191" t="str">
        <f t="shared" si="41"/>
        <v/>
      </c>
      <c r="I191" t="str">
        <f t="shared" si="42"/>
        <v/>
      </c>
      <c r="J191">
        <f>SUM($G$3:I191)</f>
        <v>371250</v>
      </c>
      <c r="K191">
        <f t="shared" si="43"/>
        <v>2760</v>
      </c>
      <c r="L191">
        <f t="shared" si="44"/>
        <v>1.0589999999999999</v>
      </c>
      <c r="M191">
        <f t="shared" si="45"/>
        <v>1.0295000000000001</v>
      </c>
      <c r="N191">
        <f t="shared" si="46"/>
        <v>74250</v>
      </c>
      <c r="O191">
        <f t="shared" si="47"/>
        <v>3009.06378</v>
      </c>
      <c r="P191">
        <f t="shared" si="48"/>
        <v>400</v>
      </c>
      <c r="Q191">
        <f t="shared" si="49"/>
        <v>0.1</v>
      </c>
    </row>
    <row r="192" spans="1:17" x14ac:dyDescent="0.25">
      <c r="A192">
        <v>190</v>
      </c>
      <c r="B192">
        <f t="shared" si="50"/>
        <v>7</v>
      </c>
      <c r="C192">
        <f t="shared" si="51"/>
        <v>1</v>
      </c>
      <c r="D192">
        <f t="shared" si="37"/>
        <v>283</v>
      </c>
      <c r="E192" t="str">
        <f t="shared" si="38"/>
        <v/>
      </c>
      <c r="F192" t="str">
        <f t="shared" si="39"/>
        <v/>
      </c>
      <c r="G192">
        <f t="shared" si="40"/>
        <v>7100</v>
      </c>
      <c r="H192" t="str">
        <f t="shared" si="41"/>
        <v/>
      </c>
      <c r="I192" t="str">
        <f t="shared" si="42"/>
        <v/>
      </c>
      <c r="J192">
        <f>SUM($G$3:I192)</f>
        <v>378350</v>
      </c>
      <c r="K192">
        <f t="shared" si="43"/>
        <v>2830</v>
      </c>
      <c r="L192">
        <f t="shared" si="44"/>
        <v>1.0589999999999999</v>
      </c>
      <c r="M192">
        <f t="shared" si="45"/>
        <v>1.0295000000000001</v>
      </c>
      <c r="N192">
        <f t="shared" si="46"/>
        <v>75670</v>
      </c>
      <c r="O192">
        <f t="shared" si="47"/>
        <v>3085.380615</v>
      </c>
      <c r="P192">
        <f t="shared" si="48"/>
        <v>650</v>
      </c>
      <c r="Q192">
        <f t="shared" si="49"/>
        <v>0.1</v>
      </c>
    </row>
    <row r="193" spans="1:17" x14ac:dyDescent="0.25">
      <c r="A193">
        <v>191</v>
      </c>
      <c r="B193">
        <f t="shared" si="50"/>
        <v>7</v>
      </c>
      <c r="C193">
        <f t="shared" si="51"/>
        <v>2</v>
      </c>
      <c r="D193" t="str">
        <f t="shared" si="37"/>
        <v/>
      </c>
      <c r="E193">
        <f t="shared" si="38"/>
        <v>600</v>
      </c>
      <c r="F193" t="str">
        <f t="shared" si="39"/>
        <v/>
      </c>
      <c r="G193" t="str">
        <f t="shared" si="40"/>
        <v/>
      </c>
      <c r="H193">
        <f t="shared" si="41"/>
        <v>2533</v>
      </c>
      <c r="I193" t="str">
        <f t="shared" si="42"/>
        <v/>
      </c>
      <c r="J193">
        <f>SUM($G$3:I193)</f>
        <v>380883</v>
      </c>
      <c r="K193">
        <f t="shared" si="43"/>
        <v>2830</v>
      </c>
      <c r="L193">
        <f t="shared" si="44"/>
        <v>1.06</v>
      </c>
      <c r="M193">
        <f t="shared" si="45"/>
        <v>1.0295000000000001</v>
      </c>
      <c r="N193">
        <f t="shared" si="46"/>
        <v>76176.600000000006</v>
      </c>
      <c r="O193">
        <f t="shared" si="47"/>
        <v>3088.2941000000005</v>
      </c>
      <c r="P193">
        <f t="shared" si="48"/>
        <v>650</v>
      </c>
      <c r="Q193">
        <f t="shared" si="49"/>
        <v>0.1</v>
      </c>
    </row>
    <row r="194" spans="1:17" x14ac:dyDescent="0.25">
      <c r="A194">
        <v>192</v>
      </c>
      <c r="B194">
        <f t="shared" si="50"/>
        <v>7</v>
      </c>
      <c r="C194">
        <f t="shared" si="51"/>
        <v>2</v>
      </c>
      <c r="D194" t="str">
        <f t="shared" si="37"/>
        <v/>
      </c>
      <c r="E194">
        <f t="shared" si="38"/>
        <v>610</v>
      </c>
      <c r="F194" t="str">
        <f t="shared" si="39"/>
        <v/>
      </c>
      <c r="G194" t="str">
        <f t="shared" si="40"/>
        <v/>
      </c>
      <c r="H194">
        <f t="shared" si="41"/>
        <v>2593</v>
      </c>
      <c r="I194" t="str">
        <f t="shared" si="42"/>
        <v/>
      </c>
      <c r="J194">
        <f>SUM($G$3:I194)</f>
        <v>383476</v>
      </c>
      <c r="K194">
        <f t="shared" si="43"/>
        <v>2830</v>
      </c>
      <c r="L194">
        <f t="shared" si="44"/>
        <v>1.0609999999999999</v>
      </c>
      <c r="M194">
        <f t="shared" si="45"/>
        <v>1.0295000000000001</v>
      </c>
      <c r="N194">
        <f t="shared" si="46"/>
        <v>76695.199999999997</v>
      </c>
      <c r="O194">
        <f t="shared" si="47"/>
        <v>3091.2075850000001</v>
      </c>
      <c r="P194">
        <f t="shared" si="48"/>
        <v>650</v>
      </c>
      <c r="Q194">
        <f t="shared" si="49"/>
        <v>0.1</v>
      </c>
    </row>
    <row r="195" spans="1:17" x14ac:dyDescent="0.25">
      <c r="A195">
        <v>193</v>
      </c>
      <c r="B195">
        <f t="shared" si="50"/>
        <v>7</v>
      </c>
      <c r="C195">
        <f t="shared" si="51"/>
        <v>2</v>
      </c>
      <c r="D195" t="str">
        <f t="shared" ref="D195:D258" si="52">IF($C195=1,INDEX($Z:$Z,MATCH($B195,$Y:$Y,0))+MOD($A195-1,10)*INDEX($AC:$AC,MATCH($B195,$Y:$Y,0)),"")</f>
        <v/>
      </c>
      <c r="E195">
        <f t="shared" ref="E195:E258" si="53">IF($C195=2,INDEX($AA:$AA,MATCH($B195,$Y:$Y,0))+MOD($A195-1,10)*INDEX($AD:$AD,MATCH($B195,$Y:$Y,0)),"")</f>
        <v>620</v>
      </c>
      <c r="F195" t="str">
        <f t="shared" ref="F195:F258" si="54">IF($C195=3,INDEX($AB:$AB,MATCH($B195,$Y:$Y,0))+MOD($A195-1,10)*INDEX($AE:$AE,MATCH($B195,$Y:$Y,0)),"")</f>
        <v/>
      </c>
      <c r="G195" t="str">
        <f t="shared" ref="G195:G258" si="55">IF($C195=1,INDEX($AF:$AF,MATCH($B195,$Y:$Y,0))+MOD($A195-1,10)*INDEX($AI:$AI,MATCH($B195,$Y:$Y,0)),"")</f>
        <v/>
      </c>
      <c r="H195">
        <f t="shared" ref="H195:H258" si="56">IF($C195=2,INDEX($AG:$AG,MATCH($B195,$Y:$Y,0))+MOD($A195-1,10)*INDEX($AJ:$AJ,MATCH($B195,$Y:$Y,0)),"")</f>
        <v>2653</v>
      </c>
      <c r="I195" t="str">
        <f t="shared" ref="I195:I258" si="57">IF($C195=3,INDEX($AH:$AH,MATCH($B195,$Y:$Y,0))+MOD($A195-1,10)*INDEX($AK:$AK,MATCH($B195,$Y:$Y,0)),"")</f>
        <v/>
      </c>
      <c r="J195">
        <f>SUM($G$3:I195)</f>
        <v>386129</v>
      </c>
      <c r="K195">
        <f t="shared" si="43"/>
        <v>2830</v>
      </c>
      <c r="L195">
        <f t="shared" si="44"/>
        <v>1.0620000000000001</v>
      </c>
      <c r="M195">
        <f t="shared" si="45"/>
        <v>1.0295000000000001</v>
      </c>
      <c r="N195">
        <f t="shared" si="46"/>
        <v>77225.8</v>
      </c>
      <c r="O195">
        <f t="shared" si="47"/>
        <v>3094.1210700000001</v>
      </c>
      <c r="P195">
        <f t="shared" si="48"/>
        <v>650</v>
      </c>
      <c r="Q195">
        <f t="shared" si="49"/>
        <v>0.1</v>
      </c>
    </row>
    <row r="196" spans="1:17" x14ac:dyDescent="0.25">
      <c r="A196">
        <v>194</v>
      </c>
      <c r="B196">
        <f t="shared" si="50"/>
        <v>7</v>
      </c>
      <c r="C196">
        <f t="shared" si="51"/>
        <v>2</v>
      </c>
      <c r="D196" t="str">
        <f t="shared" si="52"/>
        <v/>
      </c>
      <c r="E196">
        <f t="shared" si="53"/>
        <v>630</v>
      </c>
      <c r="F196" t="str">
        <f t="shared" si="54"/>
        <v/>
      </c>
      <c r="G196" t="str">
        <f t="shared" si="55"/>
        <v/>
      </c>
      <c r="H196">
        <f t="shared" si="56"/>
        <v>2713</v>
      </c>
      <c r="I196" t="str">
        <f t="shared" si="57"/>
        <v/>
      </c>
      <c r="J196">
        <f>SUM($G$3:I196)</f>
        <v>388842</v>
      </c>
      <c r="K196">
        <f t="shared" ref="K196:K259" si="58">_xlfn.MAXIFS($D:$D,$A:$A,"&lt;="&amp;A196)/10*100</f>
        <v>2830</v>
      </c>
      <c r="L196">
        <f t="shared" ref="L196:L259" si="59">_xlfn.MAXIFS($E:$E,$A:$A,"&lt;="&amp;A196)/10000+1</f>
        <v>1.0629999999999999</v>
      </c>
      <c r="M196">
        <f t="shared" ref="M196:M259" si="60">_xlfn.MAXIFS($F:$F,$A:$A,"&lt;="&amp;A196)/10000+1</f>
        <v>1.0295000000000001</v>
      </c>
      <c r="N196">
        <f t="shared" ref="N196:N259" si="61">J196*0.2</f>
        <v>77768.400000000009</v>
      </c>
      <c r="O196">
        <f t="shared" ref="O196:O259" si="62">K196*L196*M196</f>
        <v>3097.0345550000002</v>
      </c>
      <c r="P196">
        <f t="shared" ref="P196:P259" si="63">SUMIFS($AZ:$AZ,$AW:$AW,$AW$3,$AY:$AY,3,$AV:$AV,"&lt;="&amp;A196)</f>
        <v>650</v>
      </c>
      <c r="Q196">
        <f t="shared" ref="Q196:Q259" si="64">SUMIFS($AZ:$AZ,$AY:$AY,98,$AV:$AV,"&lt;="&amp;A196)*10/100</f>
        <v>0.1</v>
      </c>
    </row>
    <row r="197" spans="1:17" x14ac:dyDescent="0.25">
      <c r="A197">
        <v>195</v>
      </c>
      <c r="B197">
        <f t="shared" si="50"/>
        <v>7</v>
      </c>
      <c r="C197">
        <f t="shared" si="51"/>
        <v>2</v>
      </c>
      <c r="D197" t="str">
        <f t="shared" si="52"/>
        <v/>
      </c>
      <c r="E197">
        <f t="shared" si="53"/>
        <v>640</v>
      </c>
      <c r="F197" t="str">
        <f t="shared" si="54"/>
        <v/>
      </c>
      <c r="G197" t="str">
        <f t="shared" si="55"/>
        <v/>
      </c>
      <c r="H197">
        <f t="shared" si="56"/>
        <v>2773</v>
      </c>
      <c r="I197" t="str">
        <f t="shared" si="57"/>
        <v/>
      </c>
      <c r="J197">
        <f>SUM($G$3:I197)</f>
        <v>391615</v>
      </c>
      <c r="K197">
        <f t="shared" si="58"/>
        <v>2830</v>
      </c>
      <c r="L197">
        <f t="shared" si="59"/>
        <v>1.0640000000000001</v>
      </c>
      <c r="M197">
        <f t="shared" si="60"/>
        <v>1.0295000000000001</v>
      </c>
      <c r="N197">
        <f t="shared" si="61"/>
        <v>78323</v>
      </c>
      <c r="O197">
        <f t="shared" si="62"/>
        <v>3099.9480400000007</v>
      </c>
      <c r="P197">
        <f t="shared" si="63"/>
        <v>650</v>
      </c>
      <c r="Q197">
        <f t="shared" si="64"/>
        <v>0.1</v>
      </c>
    </row>
    <row r="198" spans="1:17" x14ac:dyDescent="0.25">
      <c r="A198">
        <v>196</v>
      </c>
      <c r="B198">
        <f t="shared" si="50"/>
        <v>7</v>
      </c>
      <c r="C198">
        <f t="shared" si="51"/>
        <v>2</v>
      </c>
      <c r="D198" t="str">
        <f t="shared" si="52"/>
        <v/>
      </c>
      <c r="E198">
        <f t="shared" si="53"/>
        <v>650</v>
      </c>
      <c r="F198" t="str">
        <f t="shared" si="54"/>
        <v/>
      </c>
      <c r="G198" t="str">
        <f t="shared" si="55"/>
        <v/>
      </c>
      <c r="H198">
        <f t="shared" si="56"/>
        <v>2833</v>
      </c>
      <c r="I198" t="str">
        <f t="shared" si="57"/>
        <v/>
      </c>
      <c r="J198">
        <f>SUM($G$3:I198)</f>
        <v>394448</v>
      </c>
      <c r="K198">
        <f t="shared" si="58"/>
        <v>2830</v>
      </c>
      <c r="L198">
        <f t="shared" si="59"/>
        <v>1.0649999999999999</v>
      </c>
      <c r="M198">
        <f t="shared" si="60"/>
        <v>1.0295000000000001</v>
      </c>
      <c r="N198">
        <f t="shared" si="61"/>
        <v>78889.600000000006</v>
      </c>
      <c r="O198">
        <f t="shared" si="62"/>
        <v>3102.8615250000003</v>
      </c>
      <c r="P198">
        <f t="shared" si="63"/>
        <v>650</v>
      </c>
      <c r="Q198">
        <f t="shared" si="64"/>
        <v>0.1</v>
      </c>
    </row>
    <row r="199" spans="1:17" x14ac:dyDescent="0.25">
      <c r="A199">
        <v>197</v>
      </c>
      <c r="B199">
        <f t="shared" si="50"/>
        <v>7</v>
      </c>
      <c r="C199">
        <f t="shared" si="51"/>
        <v>2</v>
      </c>
      <c r="D199" t="str">
        <f t="shared" si="52"/>
        <v/>
      </c>
      <c r="E199">
        <f t="shared" si="53"/>
        <v>660</v>
      </c>
      <c r="F199" t="str">
        <f t="shared" si="54"/>
        <v/>
      </c>
      <c r="G199" t="str">
        <f t="shared" si="55"/>
        <v/>
      </c>
      <c r="H199">
        <f t="shared" si="56"/>
        <v>2893</v>
      </c>
      <c r="I199" t="str">
        <f t="shared" si="57"/>
        <v/>
      </c>
      <c r="J199">
        <f>SUM($G$3:I199)</f>
        <v>397341</v>
      </c>
      <c r="K199">
        <f t="shared" si="58"/>
        <v>2830</v>
      </c>
      <c r="L199">
        <f t="shared" si="59"/>
        <v>1.0660000000000001</v>
      </c>
      <c r="M199">
        <f t="shared" si="60"/>
        <v>1.0295000000000001</v>
      </c>
      <c r="N199">
        <f t="shared" si="61"/>
        <v>79468.200000000012</v>
      </c>
      <c r="O199">
        <f t="shared" si="62"/>
        <v>3105.7750100000003</v>
      </c>
      <c r="P199">
        <f t="shared" si="63"/>
        <v>650</v>
      </c>
      <c r="Q199">
        <f t="shared" si="64"/>
        <v>0.1</v>
      </c>
    </row>
    <row r="200" spans="1:17" x14ac:dyDescent="0.25">
      <c r="A200">
        <v>198</v>
      </c>
      <c r="B200">
        <f t="shared" si="50"/>
        <v>7</v>
      </c>
      <c r="C200">
        <f t="shared" si="51"/>
        <v>2</v>
      </c>
      <c r="D200" t="str">
        <f t="shared" si="52"/>
        <v/>
      </c>
      <c r="E200">
        <f t="shared" si="53"/>
        <v>670</v>
      </c>
      <c r="F200" t="str">
        <f t="shared" si="54"/>
        <v/>
      </c>
      <c r="G200" t="str">
        <f t="shared" si="55"/>
        <v/>
      </c>
      <c r="H200">
        <f t="shared" si="56"/>
        <v>2953</v>
      </c>
      <c r="I200" t="str">
        <f t="shared" si="57"/>
        <v/>
      </c>
      <c r="J200">
        <f>SUM($G$3:I200)</f>
        <v>400294</v>
      </c>
      <c r="K200">
        <f t="shared" si="58"/>
        <v>2830</v>
      </c>
      <c r="L200">
        <f t="shared" si="59"/>
        <v>1.0669999999999999</v>
      </c>
      <c r="M200">
        <f t="shared" si="60"/>
        <v>1.0295000000000001</v>
      </c>
      <c r="N200">
        <f t="shared" si="61"/>
        <v>80058.8</v>
      </c>
      <c r="O200">
        <f t="shared" si="62"/>
        <v>3108.6884949999999</v>
      </c>
      <c r="P200">
        <f t="shared" si="63"/>
        <v>650</v>
      </c>
      <c r="Q200">
        <f t="shared" si="64"/>
        <v>0.1</v>
      </c>
    </row>
    <row r="201" spans="1:17" x14ac:dyDescent="0.25">
      <c r="A201">
        <v>199</v>
      </c>
      <c r="B201">
        <f t="shared" si="50"/>
        <v>7</v>
      </c>
      <c r="C201">
        <f t="shared" si="51"/>
        <v>2</v>
      </c>
      <c r="D201" t="str">
        <f t="shared" si="52"/>
        <v/>
      </c>
      <c r="E201">
        <f t="shared" si="53"/>
        <v>680</v>
      </c>
      <c r="F201" t="str">
        <f t="shared" si="54"/>
        <v/>
      </c>
      <c r="G201" t="str">
        <f t="shared" si="55"/>
        <v/>
      </c>
      <c r="H201">
        <f t="shared" si="56"/>
        <v>3013</v>
      </c>
      <c r="I201" t="str">
        <f t="shared" si="57"/>
        <v/>
      </c>
      <c r="J201">
        <f>SUM($G$3:I201)</f>
        <v>403307</v>
      </c>
      <c r="K201">
        <f t="shared" si="58"/>
        <v>2830</v>
      </c>
      <c r="L201">
        <f t="shared" si="59"/>
        <v>1.0680000000000001</v>
      </c>
      <c r="M201">
        <f t="shared" si="60"/>
        <v>1.0295000000000001</v>
      </c>
      <c r="N201">
        <f t="shared" si="61"/>
        <v>80661.400000000009</v>
      </c>
      <c r="O201">
        <f t="shared" si="62"/>
        <v>3111.6019800000004</v>
      </c>
      <c r="P201">
        <f t="shared" si="63"/>
        <v>650</v>
      </c>
      <c r="Q201">
        <f t="shared" si="64"/>
        <v>0.1</v>
      </c>
    </row>
    <row r="202" spans="1:17" x14ac:dyDescent="0.25">
      <c r="A202">
        <v>200</v>
      </c>
      <c r="B202">
        <f t="shared" si="50"/>
        <v>7</v>
      </c>
      <c r="C202">
        <f t="shared" si="51"/>
        <v>2</v>
      </c>
      <c r="D202" t="str">
        <f t="shared" si="52"/>
        <v/>
      </c>
      <c r="E202">
        <f t="shared" si="53"/>
        <v>690</v>
      </c>
      <c r="F202" t="str">
        <f t="shared" si="54"/>
        <v/>
      </c>
      <c r="G202" t="str">
        <f t="shared" si="55"/>
        <v/>
      </c>
      <c r="H202">
        <f t="shared" si="56"/>
        <v>3073</v>
      </c>
      <c r="I202" t="str">
        <f t="shared" si="57"/>
        <v/>
      </c>
      <c r="J202">
        <f>SUM($G$3:I202)</f>
        <v>406380</v>
      </c>
      <c r="K202">
        <f t="shared" si="58"/>
        <v>2830</v>
      </c>
      <c r="L202">
        <f t="shared" si="59"/>
        <v>1.069</v>
      </c>
      <c r="M202">
        <f t="shared" si="60"/>
        <v>1.0295000000000001</v>
      </c>
      <c r="N202">
        <f t="shared" si="61"/>
        <v>81276</v>
      </c>
      <c r="O202">
        <f t="shared" si="62"/>
        <v>3114.5154650000004</v>
      </c>
      <c r="P202">
        <f t="shared" si="63"/>
        <v>650</v>
      </c>
      <c r="Q202">
        <f t="shared" si="64"/>
        <v>0.1</v>
      </c>
    </row>
    <row r="203" spans="1:17" x14ac:dyDescent="0.25">
      <c r="A203">
        <v>201</v>
      </c>
      <c r="B203">
        <f t="shared" si="50"/>
        <v>7</v>
      </c>
      <c r="C203">
        <f t="shared" si="51"/>
        <v>3</v>
      </c>
      <c r="D203" t="str">
        <f t="shared" si="52"/>
        <v/>
      </c>
      <c r="E203" t="str">
        <f t="shared" si="53"/>
        <v/>
      </c>
      <c r="F203">
        <f t="shared" si="54"/>
        <v>300</v>
      </c>
      <c r="G203" t="str">
        <f t="shared" si="55"/>
        <v/>
      </c>
      <c r="H203" t="str">
        <f t="shared" si="56"/>
        <v/>
      </c>
      <c r="I203">
        <f t="shared" si="57"/>
        <v>2500</v>
      </c>
      <c r="J203">
        <f>SUM($G$3:I203)</f>
        <v>408880</v>
      </c>
      <c r="K203">
        <f t="shared" si="58"/>
        <v>2830</v>
      </c>
      <c r="L203">
        <f t="shared" si="59"/>
        <v>1.069</v>
      </c>
      <c r="M203">
        <f t="shared" si="60"/>
        <v>1.03</v>
      </c>
      <c r="N203">
        <f t="shared" si="61"/>
        <v>81776</v>
      </c>
      <c r="O203">
        <f t="shared" si="62"/>
        <v>3116.0281</v>
      </c>
      <c r="P203">
        <f t="shared" si="63"/>
        <v>650</v>
      </c>
      <c r="Q203">
        <f t="shared" si="64"/>
        <v>0.1</v>
      </c>
    </row>
    <row r="204" spans="1:17" x14ac:dyDescent="0.25">
      <c r="A204">
        <v>202</v>
      </c>
      <c r="B204">
        <f t="shared" si="50"/>
        <v>7</v>
      </c>
      <c r="C204">
        <f t="shared" si="51"/>
        <v>3</v>
      </c>
      <c r="D204" t="str">
        <f t="shared" si="52"/>
        <v/>
      </c>
      <c r="E204" t="str">
        <f t="shared" si="53"/>
        <v/>
      </c>
      <c r="F204">
        <f t="shared" si="54"/>
        <v>305</v>
      </c>
      <c r="G204" t="str">
        <f t="shared" si="55"/>
        <v/>
      </c>
      <c r="H204" t="str">
        <f t="shared" si="56"/>
        <v/>
      </c>
      <c r="I204">
        <f t="shared" si="57"/>
        <v>2550</v>
      </c>
      <c r="J204">
        <f>SUM($G$3:I204)</f>
        <v>411430</v>
      </c>
      <c r="K204">
        <f t="shared" si="58"/>
        <v>2830</v>
      </c>
      <c r="L204">
        <f t="shared" si="59"/>
        <v>1.069</v>
      </c>
      <c r="M204">
        <f t="shared" si="60"/>
        <v>1.0305</v>
      </c>
      <c r="N204">
        <f t="shared" si="61"/>
        <v>82286</v>
      </c>
      <c r="O204">
        <f t="shared" si="62"/>
        <v>3117.540735</v>
      </c>
      <c r="P204">
        <f t="shared" si="63"/>
        <v>650</v>
      </c>
      <c r="Q204">
        <f t="shared" si="64"/>
        <v>0.1</v>
      </c>
    </row>
    <row r="205" spans="1:17" x14ac:dyDescent="0.25">
      <c r="A205">
        <v>203</v>
      </c>
      <c r="B205">
        <f t="shared" si="50"/>
        <v>7</v>
      </c>
      <c r="C205">
        <f t="shared" si="51"/>
        <v>3</v>
      </c>
      <c r="D205" t="str">
        <f t="shared" si="52"/>
        <v/>
      </c>
      <c r="E205" t="str">
        <f t="shared" si="53"/>
        <v/>
      </c>
      <c r="F205">
        <f t="shared" si="54"/>
        <v>310</v>
      </c>
      <c r="G205" t="str">
        <f t="shared" si="55"/>
        <v/>
      </c>
      <c r="H205" t="str">
        <f t="shared" si="56"/>
        <v/>
      </c>
      <c r="I205">
        <f t="shared" si="57"/>
        <v>2600</v>
      </c>
      <c r="J205">
        <f>SUM($G$3:I205)</f>
        <v>414030</v>
      </c>
      <c r="K205">
        <f t="shared" si="58"/>
        <v>2830</v>
      </c>
      <c r="L205">
        <f t="shared" si="59"/>
        <v>1.069</v>
      </c>
      <c r="M205">
        <f t="shared" si="60"/>
        <v>1.0309999999999999</v>
      </c>
      <c r="N205">
        <f t="shared" si="61"/>
        <v>82806</v>
      </c>
      <c r="O205">
        <f t="shared" si="62"/>
        <v>3119.0533699999996</v>
      </c>
      <c r="P205">
        <f t="shared" si="63"/>
        <v>650</v>
      </c>
      <c r="Q205">
        <f t="shared" si="64"/>
        <v>0.1</v>
      </c>
    </row>
    <row r="206" spans="1:17" x14ac:dyDescent="0.25">
      <c r="A206">
        <v>204</v>
      </c>
      <c r="B206">
        <f t="shared" si="50"/>
        <v>7</v>
      </c>
      <c r="C206">
        <f t="shared" si="51"/>
        <v>3</v>
      </c>
      <c r="D206" t="str">
        <f t="shared" si="52"/>
        <v/>
      </c>
      <c r="E206" t="str">
        <f t="shared" si="53"/>
        <v/>
      </c>
      <c r="F206">
        <f t="shared" si="54"/>
        <v>315</v>
      </c>
      <c r="G206" t="str">
        <f t="shared" si="55"/>
        <v/>
      </c>
      <c r="H206" t="str">
        <f t="shared" si="56"/>
        <v/>
      </c>
      <c r="I206">
        <f t="shared" si="57"/>
        <v>2650</v>
      </c>
      <c r="J206">
        <f>SUM($G$3:I206)</f>
        <v>416680</v>
      </c>
      <c r="K206">
        <f t="shared" si="58"/>
        <v>2830</v>
      </c>
      <c r="L206">
        <f t="shared" si="59"/>
        <v>1.069</v>
      </c>
      <c r="M206">
        <f t="shared" si="60"/>
        <v>1.0315000000000001</v>
      </c>
      <c r="N206">
        <f t="shared" si="61"/>
        <v>83336</v>
      </c>
      <c r="O206">
        <f t="shared" si="62"/>
        <v>3120.5660050000001</v>
      </c>
      <c r="P206">
        <f t="shared" si="63"/>
        <v>650</v>
      </c>
      <c r="Q206">
        <f t="shared" si="64"/>
        <v>0.1</v>
      </c>
    </row>
    <row r="207" spans="1:17" x14ac:dyDescent="0.25">
      <c r="A207">
        <v>205</v>
      </c>
      <c r="B207">
        <f t="shared" si="50"/>
        <v>7</v>
      </c>
      <c r="C207">
        <f t="shared" si="51"/>
        <v>3</v>
      </c>
      <c r="D207" t="str">
        <f t="shared" si="52"/>
        <v/>
      </c>
      <c r="E207" t="str">
        <f t="shared" si="53"/>
        <v/>
      </c>
      <c r="F207">
        <f t="shared" si="54"/>
        <v>320</v>
      </c>
      <c r="G207" t="str">
        <f t="shared" si="55"/>
        <v/>
      </c>
      <c r="H207" t="str">
        <f t="shared" si="56"/>
        <v/>
      </c>
      <c r="I207">
        <f t="shared" si="57"/>
        <v>2700</v>
      </c>
      <c r="J207">
        <f>SUM($G$3:I207)</f>
        <v>419380</v>
      </c>
      <c r="K207">
        <f t="shared" si="58"/>
        <v>2830</v>
      </c>
      <c r="L207">
        <f t="shared" si="59"/>
        <v>1.069</v>
      </c>
      <c r="M207">
        <f t="shared" si="60"/>
        <v>1.032</v>
      </c>
      <c r="N207">
        <f t="shared" si="61"/>
        <v>83876</v>
      </c>
      <c r="O207">
        <f t="shared" si="62"/>
        <v>3122.0786400000002</v>
      </c>
      <c r="P207">
        <f t="shared" si="63"/>
        <v>650</v>
      </c>
      <c r="Q207">
        <f t="shared" si="64"/>
        <v>0.1</v>
      </c>
    </row>
    <row r="208" spans="1:17" x14ac:dyDescent="0.25">
      <c r="A208">
        <v>206</v>
      </c>
      <c r="B208">
        <f t="shared" si="50"/>
        <v>7</v>
      </c>
      <c r="C208">
        <f t="shared" si="51"/>
        <v>3</v>
      </c>
      <c r="D208" t="str">
        <f t="shared" si="52"/>
        <v/>
      </c>
      <c r="E208" t="str">
        <f t="shared" si="53"/>
        <v/>
      </c>
      <c r="F208">
        <f t="shared" si="54"/>
        <v>325</v>
      </c>
      <c r="G208" t="str">
        <f t="shared" si="55"/>
        <v/>
      </c>
      <c r="H208" t="str">
        <f t="shared" si="56"/>
        <v/>
      </c>
      <c r="I208">
        <f t="shared" si="57"/>
        <v>2750</v>
      </c>
      <c r="J208">
        <f>SUM($G$3:I208)</f>
        <v>422130</v>
      </c>
      <c r="K208">
        <f t="shared" si="58"/>
        <v>2830</v>
      </c>
      <c r="L208">
        <f t="shared" si="59"/>
        <v>1.069</v>
      </c>
      <c r="M208">
        <f t="shared" si="60"/>
        <v>1.0325</v>
      </c>
      <c r="N208">
        <f t="shared" si="61"/>
        <v>84426</v>
      </c>
      <c r="O208">
        <f t="shared" si="62"/>
        <v>3123.5912749999998</v>
      </c>
      <c r="P208">
        <f t="shared" si="63"/>
        <v>650</v>
      </c>
      <c r="Q208">
        <f t="shared" si="64"/>
        <v>0.1</v>
      </c>
    </row>
    <row r="209" spans="1:17" x14ac:dyDescent="0.25">
      <c r="A209">
        <v>207</v>
      </c>
      <c r="B209">
        <f t="shared" si="50"/>
        <v>7</v>
      </c>
      <c r="C209">
        <f t="shared" si="51"/>
        <v>3</v>
      </c>
      <c r="D209" t="str">
        <f t="shared" si="52"/>
        <v/>
      </c>
      <c r="E209" t="str">
        <f t="shared" si="53"/>
        <v/>
      </c>
      <c r="F209">
        <f t="shared" si="54"/>
        <v>330</v>
      </c>
      <c r="G209" t="str">
        <f t="shared" si="55"/>
        <v/>
      </c>
      <c r="H209" t="str">
        <f t="shared" si="56"/>
        <v/>
      </c>
      <c r="I209">
        <f t="shared" si="57"/>
        <v>2800</v>
      </c>
      <c r="J209">
        <f>SUM($G$3:I209)</f>
        <v>424930</v>
      </c>
      <c r="K209">
        <f t="shared" si="58"/>
        <v>2830</v>
      </c>
      <c r="L209">
        <f t="shared" si="59"/>
        <v>1.069</v>
      </c>
      <c r="M209">
        <f t="shared" si="60"/>
        <v>1.0329999999999999</v>
      </c>
      <c r="N209">
        <f t="shared" si="61"/>
        <v>84986</v>
      </c>
      <c r="O209">
        <f t="shared" si="62"/>
        <v>3125.1039099999998</v>
      </c>
      <c r="P209">
        <f t="shared" si="63"/>
        <v>650</v>
      </c>
      <c r="Q209">
        <f t="shared" si="64"/>
        <v>0.1</v>
      </c>
    </row>
    <row r="210" spans="1:17" x14ac:dyDescent="0.25">
      <c r="A210">
        <v>208</v>
      </c>
      <c r="B210">
        <f t="shared" si="50"/>
        <v>7</v>
      </c>
      <c r="C210">
        <f t="shared" si="51"/>
        <v>3</v>
      </c>
      <c r="D210" t="str">
        <f t="shared" si="52"/>
        <v/>
      </c>
      <c r="E210" t="str">
        <f t="shared" si="53"/>
        <v/>
      </c>
      <c r="F210">
        <f t="shared" si="54"/>
        <v>335</v>
      </c>
      <c r="G210" t="str">
        <f t="shared" si="55"/>
        <v/>
      </c>
      <c r="H210" t="str">
        <f t="shared" si="56"/>
        <v/>
      </c>
      <c r="I210">
        <f t="shared" si="57"/>
        <v>2850</v>
      </c>
      <c r="J210">
        <f>SUM($G$3:I210)</f>
        <v>427780</v>
      </c>
      <c r="K210">
        <f t="shared" si="58"/>
        <v>2830</v>
      </c>
      <c r="L210">
        <f t="shared" si="59"/>
        <v>1.069</v>
      </c>
      <c r="M210">
        <f t="shared" si="60"/>
        <v>1.0335000000000001</v>
      </c>
      <c r="N210">
        <f t="shared" si="61"/>
        <v>85556</v>
      </c>
      <c r="O210">
        <f t="shared" si="62"/>
        <v>3126.6165450000003</v>
      </c>
      <c r="P210">
        <f t="shared" si="63"/>
        <v>650</v>
      </c>
      <c r="Q210">
        <f t="shared" si="64"/>
        <v>0.1</v>
      </c>
    </row>
    <row r="211" spans="1:17" x14ac:dyDescent="0.25">
      <c r="A211">
        <v>209</v>
      </c>
      <c r="B211">
        <f t="shared" si="50"/>
        <v>7</v>
      </c>
      <c r="C211">
        <f t="shared" si="51"/>
        <v>3</v>
      </c>
      <c r="D211" t="str">
        <f t="shared" si="52"/>
        <v/>
      </c>
      <c r="E211" t="str">
        <f t="shared" si="53"/>
        <v/>
      </c>
      <c r="F211">
        <f t="shared" si="54"/>
        <v>340</v>
      </c>
      <c r="G211" t="str">
        <f t="shared" si="55"/>
        <v/>
      </c>
      <c r="H211" t="str">
        <f t="shared" si="56"/>
        <v/>
      </c>
      <c r="I211">
        <f t="shared" si="57"/>
        <v>2900</v>
      </c>
      <c r="J211">
        <f>SUM($G$3:I211)</f>
        <v>430680</v>
      </c>
      <c r="K211">
        <f t="shared" si="58"/>
        <v>2830</v>
      </c>
      <c r="L211">
        <f t="shared" si="59"/>
        <v>1.069</v>
      </c>
      <c r="M211">
        <f t="shared" si="60"/>
        <v>1.034</v>
      </c>
      <c r="N211">
        <f t="shared" si="61"/>
        <v>86136</v>
      </c>
      <c r="O211">
        <f t="shared" si="62"/>
        <v>3128.1291799999999</v>
      </c>
      <c r="P211">
        <f t="shared" si="63"/>
        <v>650</v>
      </c>
      <c r="Q211">
        <f t="shared" si="64"/>
        <v>0.1</v>
      </c>
    </row>
    <row r="212" spans="1:17" x14ac:dyDescent="0.25">
      <c r="A212">
        <v>210</v>
      </c>
      <c r="B212">
        <f t="shared" si="50"/>
        <v>7</v>
      </c>
      <c r="C212">
        <f t="shared" si="51"/>
        <v>3</v>
      </c>
      <c r="D212" t="str">
        <f t="shared" si="52"/>
        <v/>
      </c>
      <c r="E212" t="str">
        <f t="shared" si="53"/>
        <v/>
      </c>
      <c r="F212">
        <f t="shared" si="54"/>
        <v>345</v>
      </c>
      <c r="G212" t="str">
        <f t="shared" si="55"/>
        <v/>
      </c>
      <c r="H212" t="str">
        <f t="shared" si="56"/>
        <v/>
      </c>
      <c r="I212">
        <f t="shared" si="57"/>
        <v>2950</v>
      </c>
      <c r="J212">
        <f>SUM($G$3:I212)</f>
        <v>433630</v>
      </c>
      <c r="K212">
        <f t="shared" si="58"/>
        <v>2830</v>
      </c>
      <c r="L212">
        <f t="shared" si="59"/>
        <v>1.069</v>
      </c>
      <c r="M212">
        <f t="shared" si="60"/>
        <v>1.0345</v>
      </c>
      <c r="N212">
        <f t="shared" si="61"/>
        <v>86726</v>
      </c>
      <c r="O212">
        <f t="shared" si="62"/>
        <v>3129.641815</v>
      </c>
      <c r="P212">
        <f t="shared" si="63"/>
        <v>650</v>
      </c>
      <c r="Q212">
        <f t="shared" si="64"/>
        <v>0.1</v>
      </c>
    </row>
    <row r="213" spans="1:17" x14ac:dyDescent="0.25">
      <c r="A213">
        <v>211</v>
      </c>
      <c r="B213">
        <f t="shared" si="50"/>
        <v>8</v>
      </c>
      <c r="C213">
        <f t="shared" si="51"/>
        <v>1</v>
      </c>
      <c r="D213">
        <f t="shared" si="52"/>
        <v>290</v>
      </c>
      <c r="E213" t="str">
        <f t="shared" si="53"/>
        <v/>
      </c>
      <c r="F213" t="str">
        <f t="shared" si="54"/>
        <v/>
      </c>
      <c r="G213">
        <f t="shared" si="55"/>
        <v>7200</v>
      </c>
      <c r="H213" t="str">
        <f t="shared" si="56"/>
        <v/>
      </c>
      <c r="I213" t="str">
        <f t="shared" si="57"/>
        <v/>
      </c>
      <c r="J213">
        <f>SUM($G$3:I213)</f>
        <v>440830</v>
      </c>
      <c r="K213">
        <f t="shared" si="58"/>
        <v>2900</v>
      </c>
      <c r="L213">
        <f t="shared" si="59"/>
        <v>1.069</v>
      </c>
      <c r="M213">
        <f t="shared" si="60"/>
        <v>1.0345</v>
      </c>
      <c r="N213">
        <f t="shared" si="61"/>
        <v>88166</v>
      </c>
      <c r="O213">
        <f t="shared" si="62"/>
        <v>3207.0534499999999</v>
      </c>
      <c r="P213">
        <f t="shared" si="63"/>
        <v>650</v>
      </c>
      <c r="Q213">
        <f t="shared" si="64"/>
        <v>0.1</v>
      </c>
    </row>
    <row r="214" spans="1:17" x14ac:dyDescent="0.25">
      <c r="A214">
        <v>212</v>
      </c>
      <c r="B214">
        <f t="shared" si="50"/>
        <v>8</v>
      </c>
      <c r="C214">
        <f t="shared" si="51"/>
        <v>1</v>
      </c>
      <c r="D214">
        <f t="shared" si="52"/>
        <v>298</v>
      </c>
      <c r="E214" t="str">
        <f t="shared" si="53"/>
        <v/>
      </c>
      <c r="F214" t="str">
        <f t="shared" si="54"/>
        <v/>
      </c>
      <c r="G214">
        <f t="shared" si="55"/>
        <v>7300</v>
      </c>
      <c r="H214" t="str">
        <f t="shared" si="56"/>
        <v/>
      </c>
      <c r="I214" t="str">
        <f t="shared" si="57"/>
        <v/>
      </c>
      <c r="J214">
        <f>SUM($G$3:I214)</f>
        <v>448130</v>
      </c>
      <c r="K214">
        <f t="shared" si="58"/>
        <v>2980</v>
      </c>
      <c r="L214">
        <f t="shared" si="59"/>
        <v>1.069</v>
      </c>
      <c r="M214">
        <f t="shared" si="60"/>
        <v>1.0345</v>
      </c>
      <c r="N214">
        <f t="shared" si="61"/>
        <v>89626</v>
      </c>
      <c r="O214">
        <f t="shared" si="62"/>
        <v>3295.5238899999999</v>
      </c>
      <c r="P214">
        <f t="shared" si="63"/>
        <v>650</v>
      </c>
      <c r="Q214">
        <f t="shared" si="64"/>
        <v>0.1</v>
      </c>
    </row>
    <row r="215" spans="1:17" x14ac:dyDescent="0.25">
      <c r="A215">
        <v>213</v>
      </c>
      <c r="B215">
        <f t="shared" si="50"/>
        <v>8</v>
      </c>
      <c r="C215">
        <f t="shared" si="51"/>
        <v>1</v>
      </c>
      <c r="D215">
        <f t="shared" si="52"/>
        <v>306</v>
      </c>
      <c r="E215" t="str">
        <f t="shared" si="53"/>
        <v/>
      </c>
      <c r="F215" t="str">
        <f t="shared" si="54"/>
        <v/>
      </c>
      <c r="G215">
        <f t="shared" si="55"/>
        <v>7400</v>
      </c>
      <c r="H215" t="str">
        <f t="shared" si="56"/>
        <v/>
      </c>
      <c r="I215" t="str">
        <f t="shared" si="57"/>
        <v/>
      </c>
      <c r="J215">
        <f>SUM($G$3:I215)</f>
        <v>455530</v>
      </c>
      <c r="K215">
        <f t="shared" si="58"/>
        <v>3060</v>
      </c>
      <c r="L215">
        <f t="shared" si="59"/>
        <v>1.069</v>
      </c>
      <c r="M215">
        <f t="shared" si="60"/>
        <v>1.0345</v>
      </c>
      <c r="N215">
        <f t="shared" si="61"/>
        <v>91106</v>
      </c>
      <c r="O215">
        <f t="shared" si="62"/>
        <v>3383.99433</v>
      </c>
      <c r="P215">
        <f t="shared" si="63"/>
        <v>650</v>
      </c>
      <c r="Q215">
        <f t="shared" si="64"/>
        <v>0.1</v>
      </c>
    </row>
    <row r="216" spans="1:17" x14ac:dyDescent="0.25">
      <c r="A216">
        <v>214</v>
      </c>
      <c r="B216">
        <f t="shared" si="50"/>
        <v>8</v>
      </c>
      <c r="C216">
        <f t="shared" si="51"/>
        <v>1</v>
      </c>
      <c r="D216">
        <f t="shared" si="52"/>
        <v>314</v>
      </c>
      <c r="E216" t="str">
        <f t="shared" si="53"/>
        <v/>
      </c>
      <c r="F216" t="str">
        <f t="shared" si="54"/>
        <v/>
      </c>
      <c r="G216">
        <f t="shared" si="55"/>
        <v>7500</v>
      </c>
      <c r="H216" t="str">
        <f t="shared" si="56"/>
        <v/>
      </c>
      <c r="I216" t="str">
        <f t="shared" si="57"/>
        <v/>
      </c>
      <c r="J216">
        <f>SUM($G$3:I216)</f>
        <v>463030</v>
      </c>
      <c r="K216">
        <f t="shared" si="58"/>
        <v>3140</v>
      </c>
      <c r="L216">
        <f t="shared" si="59"/>
        <v>1.069</v>
      </c>
      <c r="M216">
        <f t="shared" si="60"/>
        <v>1.0345</v>
      </c>
      <c r="N216">
        <f t="shared" si="61"/>
        <v>92606</v>
      </c>
      <c r="O216">
        <f t="shared" si="62"/>
        <v>3472.4647699999996</v>
      </c>
      <c r="P216">
        <f t="shared" si="63"/>
        <v>650</v>
      </c>
      <c r="Q216">
        <f t="shared" si="64"/>
        <v>0.1</v>
      </c>
    </row>
    <row r="217" spans="1:17" x14ac:dyDescent="0.25">
      <c r="A217">
        <v>215</v>
      </c>
      <c r="B217">
        <f t="shared" si="50"/>
        <v>8</v>
      </c>
      <c r="C217">
        <f t="shared" si="51"/>
        <v>1</v>
      </c>
      <c r="D217">
        <f t="shared" si="52"/>
        <v>322</v>
      </c>
      <c r="E217" t="str">
        <f t="shared" si="53"/>
        <v/>
      </c>
      <c r="F217" t="str">
        <f t="shared" si="54"/>
        <v/>
      </c>
      <c r="G217">
        <f t="shared" si="55"/>
        <v>7600</v>
      </c>
      <c r="H217" t="str">
        <f t="shared" si="56"/>
        <v/>
      </c>
      <c r="I217" t="str">
        <f t="shared" si="57"/>
        <v/>
      </c>
      <c r="J217">
        <f>SUM($G$3:I217)</f>
        <v>470630</v>
      </c>
      <c r="K217">
        <f t="shared" si="58"/>
        <v>3220.0000000000005</v>
      </c>
      <c r="L217">
        <f t="shared" si="59"/>
        <v>1.069</v>
      </c>
      <c r="M217">
        <f t="shared" si="60"/>
        <v>1.0345</v>
      </c>
      <c r="N217">
        <f t="shared" si="61"/>
        <v>94126</v>
      </c>
      <c r="O217">
        <f t="shared" si="62"/>
        <v>3560.9352100000001</v>
      </c>
      <c r="P217">
        <f t="shared" si="63"/>
        <v>650</v>
      </c>
      <c r="Q217">
        <f t="shared" si="64"/>
        <v>0.1</v>
      </c>
    </row>
    <row r="218" spans="1:17" x14ac:dyDescent="0.25">
      <c r="A218">
        <v>216</v>
      </c>
      <c r="B218">
        <f t="shared" si="50"/>
        <v>8</v>
      </c>
      <c r="C218">
        <f t="shared" si="51"/>
        <v>1</v>
      </c>
      <c r="D218">
        <f t="shared" si="52"/>
        <v>330</v>
      </c>
      <c r="E218" t="str">
        <f t="shared" si="53"/>
        <v/>
      </c>
      <c r="F218" t="str">
        <f t="shared" si="54"/>
        <v/>
      </c>
      <c r="G218">
        <f t="shared" si="55"/>
        <v>7700</v>
      </c>
      <c r="H218" t="str">
        <f t="shared" si="56"/>
        <v/>
      </c>
      <c r="I218" t="str">
        <f t="shared" si="57"/>
        <v/>
      </c>
      <c r="J218">
        <f>SUM($G$3:I218)</f>
        <v>478330</v>
      </c>
      <c r="K218">
        <f t="shared" si="58"/>
        <v>3300</v>
      </c>
      <c r="L218">
        <f t="shared" si="59"/>
        <v>1.069</v>
      </c>
      <c r="M218">
        <f t="shared" si="60"/>
        <v>1.0345</v>
      </c>
      <c r="N218">
        <f t="shared" si="61"/>
        <v>95666</v>
      </c>
      <c r="O218">
        <f t="shared" si="62"/>
        <v>3649.4056499999997</v>
      </c>
      <c r="P218">
        <f t="shared" si="63"/>
        <v>650</v>
      </c>
      <c r="Q218">
        <f t="shared" si="64"/>
        <v>0.1</v>
      </c>
    </row>
    <row r="219" spans="1:17" x14ac:dyDescent="0.25">
      <c r="A219">
        <v>217</v>
      </c>
      <c r="B219">
        <f t="shared" si="50"/>
        <v>8</v>
      </c>
      <c r="C219">
        <f t="shared" si="51"/>
        <v>1</v>
      </c>
      <c r="D219">
        <f t="shared" si="52"/>
        <v>338</v>
      </c>
      <c r="E219" t="str">
        <f t="shared" si="53"/>
        <v/>
      </c>
      <c r="F219" t="str">
        <f t="shared" si="54"/>
        <v/>
      </c>
      <c r="G219">
        <f t="shared" si="55"/>
        <v>7800</v>
      </c>
      <c r="H219" t="str">
        <f t="shared" si="56"/>
        <v/>
      </c>
      <c r="I219" t="str">
        <f t="shared" si="57"/>
        <v/>
      </c>
      <c r="J219">
        <f>SUM($G$3:I219)</f>
        <v>486130</v>
      </c>
      <c r="K219">
        <f t="shared" si="58"/>
        <v>3379.9999999999995</v>
      </c>
      <c r="L219">
        <f t="shared" si="59"/>
        <v>1.069</v>
      </c>
      <c r="M219">
        <f t="shared" si="60"/>
        <v>1.0345</v>
      </c>
      <c r="N219">
        <f t="shared" si="61"/>
        <v>97226</v>
      </c>
      <c r="O219">
        <f t="shared" si="62"/>
        <v>3737.8760899999993</v>
      </c>
      <c r="P219">
        <f t="shared" si="63"/>
        <v>650</v>
      </c>
      <c r="Q219">
        <f t="shared" si="64"/>
        <v>0.1</v>
      </c>
    </row>
    <row r="220" spans="1:17" x14ac:dyDescent="0.25">
      <c r="A220">
        <v>218</v>
      </c>
      <c r="B220">
        <f t="shared" si="50"/>
        <v>8</v>
      </c>
      <c r="C220">
        <f t="shared" si="51"/>
        <v>1</v>
      </c>
      <c r="D220">
        <f t="shared" si="52"/>
        <v>346</v>
      </c>
      <c r="E220" t="str">
        <f t="shared" si="53"/>
        <v/>
      </c>
      <c r="F220" t="str">
        <f t="shared" si="54"/>
        <v/>
      </c>
      <c r="G220">
        <f t="shared" si="55"/>
        <v>7900</v>
      </c>
      <c r="H220" t="str">
        <f t="shared" si="56"/>
        <v/>
      </c>
      <c r="I220" t="str">
        <f t="shared" si="57"/>
        <v/>
      </c>
      <c r="J220">
        <f>SUM($G$3:I220)</f>
        <v>494030</v>
      </c>
      <c r="K220">
        <f t="shared" si="58"/>
        <v>3460</v>
      </c>
      <c r="L220">
        <f t="shared" si="59"/>
        <v>1.069</v>
      </c>
      <c r="M220">
        <f t="shared" si="60"/>
        <v>1.0345</v>
      </c>
      <c r="N220">
        <f t="shared" si="61"/>
        <v>98806</v>
      </c>
      <c r="O220">
        <f t="shared" si="62"/>
        <v>3826.3465299999998</v>
      </c>
      <c r="P220">
        <f t="shared" si="63"/>
        <v>650</v>
      </c>
      <c r="Q220">
        <f t="shared" si="64"/>
        <v>0.1</v>
      </c>
    </row>
    <row r="221" spans="1:17" x14ac:dyDescent="0.25">
      <c r="A221">
        <v>219</v>
      </c>
      <c r="B221">
        <f t="shared" si="50"/>
        <v>8</v>
      </c>
      <c r="C221">
        <f t="shared" si="51"/>
        <v>1</v>
      </c>
      <c r="D221">
        <f t="shared" si="52"/>
        <v>354</v>
      </c>
      <c r="E221" t="str">
        <f t="shared" si="53"/>
        <v/>
      </c>
      <c r="F221" t="str">
        <f t="shared" si="54"/>
        <v/>
      </c>
      <c r="G221">
        <f t="shared" si="55"/>
        <v>8000</v>
      </c>
      <c r="H221" t="str">
        <f t="shared" si="56"/>
        <v/>
      </c>
      <c r="I221" t="str">
        <f t="shared" si="57"/>
        <v/>
      </c>
      <c r="J221">
        <f>SUM($G$3:I221)</f>
        <v>502030</v>
      </c>
      <c r="K221">
        <f t="shared" si="58"/>
        <v>3540</v>
      </c>
      <c r="L221">
        <f t="shared" si="59"/>
        <v>1.069</v>
      </c>
      <c r="M221">
        <f t="shared" si="60"/>
        <v>1.0345</v>
      </c>
      <c r="N221">
        <f t="shared" si="61"/>
        <v>100406</v>
      </c>
      <c r="O221">
        <f t="shared" si="62"/>
        <v>3914.8169699999999</v>
      </c>
      <c r="P221">
        <f t="shared" si="63"/>
        <v>650</v>
      </c>
      <c r="Q221">
        <f t="shared" si="64"/>
        <v>0.1</v>
      </c>
    </row>
    <row r="222" spans="1:17" x14ac:dyDescent="0.25">
      <c r="A222">
        <v>220</v>
      </c>
      <c r="B222">
        <f t="shared" si="50"/>
        <v>8</v>
      </c>
      <c r="C222">
        <f t="shared" si="51"/>
        <v>1</v>
      </c>
      <c r="D222">
        <f t="shared" si="52"/>
        <v>362</v>
      </c>
      <c r="E222" t="str">
        <f t="shared" si="53"/>
        <v/>
      </c>
      <c r="F222" t="str">
        <f t="shared" si="54"/>
        <v/>
      </c>
      <c r="G222">
        <f t="shared" si="55"/>
        <v>8100</v>
      </c>
      <c r="H222" t="str">
        <f t="shared" si="56"/>
        <v/>
      </c>
      <c r="I222" t="str">
        <f t="shared" si="57"/>
        <v/>
      </c>
      <c r="J222">
        <f>SUM($G$3:I222)</f>
        <v>510130</v>
      </c>
      <c r="K222">
        <f t="shared" si="58"/>
        <v>3620.0000000000005</v>
      </c>
      <c r="L222">
        <f t="shared" si="59"/>
        <v>1.069</v>
      </c>
      <c r="M222">
        <f t="shared" si="60"/>
        <v>1.0345</v>
      </c>
      <c r="N222">
        <f t="shared" si="61"/>
        <v>102026</v>
      </c>
      <c r="O222">
        <f t="shared" si="62"/>
        <v>4003.2874099999999</v>
      </c>
      <c r="P222">
        <f t="shared" si="63"/>
        <v>950</v>
      </c>
      <c r="Q222">
        <f t="shared" si="64"/>
        <v>0.1</v>
      </c>
    </row>
    <row r="223" spans="1:17" x14ac:dyDescent="0.25">
      <c r="A223">
        <v>221</v>
      </c>
      <c r="B223">
        <f t="shared" si="50"/>
        <v>8</v>
      </c>
      <c r="C223">
        <f t="shared" si="51"/>
        <v>2</v>
      </c>
      <c r="D223" t="str">
        <f t="shared" si="52"/>
        <v/>
      </c>
      <c r="E223">
        <f t="shared" si="53"/>
        <v>700</v>
      </c>
      <c r="F223" t="str">
        <f t="shared" si="54"/>
        <v/>
      </c>
      <c r="G223" t="str">
        <f t="shared" si="55"/>
        <v/>
      </c>
      <c r="H223">
        <f t="shared" si="56"/>
        <v>3333</v>
      </c>
      <c r="I223" t="str">
        <f t="shared" si="57"/>
        <v/>
      </c>
      <c r="J223">
        <f>SUM($G$3:I223)</f>
        <v>513463</v>
      </c>
      <c r="K223">
        <f t="shared" si="58"/>
        <v>3620.0000000000005</v>
      </c>
      <c r="L223">
        <f t="shared" si="59"/>
        <v>1.07</v>
      </c>
      <c r="M223">
        <f t="shared" si="60"/>
        <v>1.0345</v>
      </c>
      <c r="N223">
        <f t="shared" si="61"/>
        <v>102692.6</v>
      </c>
      <c r="O223">
        <f t="shared" si="62"/>
        <v>4007.0323000000003</v>
      </c>
      <c r="P223">
        <f t="shared" si="63"/>
        <v>950</v>
      </c>
      <c r="Q223">
        <f t="shared" si="64"/>
        <v>0.1</v>
      </c>
    </row>
    <row r="224" spans="1:17" x14ac:dyDescent="0.25">
      <c r="A224">
        <v>222</v>
      </c>
      <c r="B224">
        <f t="shared" si="50"/>
        <v>8</v>
      </c>
      <c r="C224">
        <f t="shared" si="51"/>
        <v>2</v>
      </c>
      <c r="D224" t="str">
        <f t="shared" si="52"/>
        <v/>
      </c>
      <c r="E224">
        <f t="shared" si="53"/>
        <v>710</v>
      </c>
      <c r="F224" t="str">
        <f t="shared" si="54"/>
        <v/>
      </c>
      <c r="G224" t="str">
        <f t="shared" si="55"/>
        <v/>
      </c>
      <c r="H224">
        <f t="shared" si="56"/>
        <v>3400</v>
      </c>
      <c r="I224" t="str">
        <f t="shared" si="57"/>
        <v/>
      </c>
      <c r="J224">
        <f>SUM($G$3:I224)</f>
        <v>516863</v>
      </c>
      <c r="K224">
        <f t="shared" si="58"/>
        <v>3620.0000000000005</v>
      </c>
      <c r="L224">
        <f t="shared" si="59"/>
        <v>1.071</v>
      </c>
      <c r="M224">
        <f t="shared" si="60"/>
        <v>1.0345</v>
      </c>
      <c r="N224">
        <f t="shared" si="61"/>
        <v>103372.6</v>
      </c>
      <c r="O224">
        <f t="shared" si="62"/>
        <v>4010.7771900000002</v>
      </c>
      <c r="P224">
        <f t="shared" si="63"/>
        <v>950</v>
      </c>
      <c r="Q224">
        <f t="shared" si="64"/>
        <v>0.1</v>
      </c>
    </row>
    <row r="225" spans="1:17" x14ac:dyDescent="0.25">
      <c r="A225">
        <v>223</v>
      </c>
      <c r="B225">
        <f t="shared" si="50"/>
        <v>8</v>
      </c>
      <c r="C225">
        <f t="shared" si="51"/>
        <v>2</v>
      </c>
      <c r="D225" t="str">
        <f t="shared" si="52"/>
        <v/>
      </c>
      <c r="E225">
        <f t="shared" si="53"/>
        <v>720</v>
      </c>
      <c r="F225" t="str">
        <f t="shared" si="54"/>
        <v/>
      </c>
      <c r="G225" t="str">
        <f t="shared" si="55"/>
        <v/>
      </c>
      <c r="H225">
        <f t="shared" si="56"/>
        <v>3467</v>
      </c>
      <c r="I225" t="str">
        <f t="shared" si="57"/>
        <v/>
      </c>
      <c r="J225">
        <f>SUM($G$3:I225)</f>
        <v>520330</v>
      </c>
      <c r="K225">
        <f t="shared" si="58"/>
        <v>3620.0000000000005</v>
      </c>
      <c r="L225">
        <f t="shared" si="59"/>
        <v>1.0720000000000001</v>
      </c>
      <c r="M225">
        <f t="shared" si="60"/>
        <v>1.0345</v>
      </c>
      <c r="N225">
        <f t="shared" si="61"/>
        <v>104066</v>
      </c>
      <c r="O225">
        <f t="shared" si="62"/>
        <v>4014.5220800000006</v>
      </c>
      <c r="P225">
        <f t="shared" si="63"/>
        <v>950</v>
      </c>
      <c r="Q225">
        <f t="shared" si="64"/>
        <v>0.1</v>
      </c>
    </row>
    <row r="226" spans="1:17" x14ac:dyDescent="0.25">
      <c r="A226">
        <v>224</v>
      </c>
      <c r="B226">
        <f t="shared" ref="B226:B289" si="65">B196+1</f>
        <v>8</v>
      </c>
      <c r="C226">
        <f t="shared" ref="C226:C289" si="66">C196</f>
        <v>2</v>
      </c>
      <c r="D226" t="str">
        <f t="shared" si="52"/>
        <v/>
      </c>
      <c r="E226">
        <f t="shared" si="53"/>
        <v>730</v>
      </c>
      <c r="F226" t="str">
        <f t="shared" si="54"/>
        <v/>
      </c>
      <c r="G226" t="str">
        <f t="shared" si="55"/>
        <v/>
      </c>
      <c r="H226">
        <f t="shared" si="56"/>
        <v>3534</v>
      </c>
      <c r="I226" t="str">
        <f t="shared" si="57"/>
        <v/>
      </c>
      <c r="J226">
        <f>SUM($G$3:I226)</f>
        <v>523864</v>
      </c>
      <c r="K226">
        <f t="shared" si="58"/>
        <v>3620.0000000000005</v>
      </c>
      <c r="L226">
        <f t="shared" si="59"/>
        <v>1.073</v>
      </c>
      <c r="M226">
        <f t="shared" si="60"/>
        <v>1.0345</v>
      </c>
      <c r="N226">
        <f t="shared" si="61"/>
        <v>104772.8</v>
      </c>
      <c r="O226">
        <f t="shared" si="62"/>
        <v>4018.2669700000001</v>
      </c>
      <c r="P226">
        <f t="shared" si="63"/>
        <v>950</v>
      </c>
      <c r="Q226">
        <f t="shared" si="64"/>
        <v>0.1</v>
      </c>
    </row>
    <row r="227" spans="1:17" x14ac:dyDescent="0.25">
      <c r="A227">
        <v>225</v>
      </c>
      <c r="B227">
        <f t="shared" si="65"/>
        <v>8</v>
      </c>
      <c r="C227">
        <f t="shared" si="66"/>
        <v>2</v>
      </c>
      <c r="D227" t="str">
        <f t="shared" si="52"/>
        <v/>
      </c>
      <c r="E227">
        <f t="shared" si="53"/>
        <v>740</v>
      </c>
      <c r="F227" t="str">
        <f t="shared" si="54"/>
        <v/>
      </c>
      <c r="G227" t="str">
        <f t="shared" si="55"/>
        <v/>
      </c>
      <c r="H227">
        <f t="shared" si="56"/>
        <v>3601</v>
      </c>
      <c r="I227" t="str">
        <f t="shared" si="57"/>
        <v/>
      </c>
      <c r="J227">
        <f>SUM($G$3:I227)</f>
        <v>527465</v>
      </c>
      <c r="K227">
        <f t="shared" si="58"/>
        <v>3620.0000000000005</v>
      </c>
      <c r="L227">
        <f t="shared" si="59"/>
        <v>1.0740000000000001</v>
      </c>
      <c r="M227">
        <f t="shared" si="60"/>
        <v>1.0345</v>
      </c>
      <c r="N227">
        <f t="shared" si="61"/>
        <v>105493</v>
      </c>
      <c r="O227">
        <f t="shared" si="62"/>
        <v>4022.0118600000005</v>
      </c>
      <c r="P227">
        <f t="shared" si="63"/>
        <v>950</v>
      </c>
      <c r="Q227">
        <f t="shared" si="64"/>
        <v>0.1</v>
      </c>
    </row>
    <row r="228" spans="1:17" x14ac:dyDescent="0.25">
      <c r="A228">
        <v>226</v>
      </c>
      <c r="B228">
        <f t="shared" si="65"/>
        <v>8</v>
      </c>
      <c r="C228">
        <f t="shared" si="66"/>
        <v>2</v>
      </c>
      <c r="D228" t="str">
        <f t="shared" si="52"/>
        <v/>
      </c>
      <c r="E228">
        <f t="shared" si="53"/>
        <v>750</v>
      </c>
      <c r="F228" t="str">
        <f t="shared" si="54"/>
        <v/>
      </c>
      <c r="G228" t="str">
        <f t="shared" si="55"/>
        <v/>
      </c>
      <c r="H228">
        <f t="shared" si="56"/>
        <v>3668</v>
      </c>
      <c r="I228" t="str">
        <f t="shared" si="57"/>
        <v/>
      </c>
      <c r="J228">
        <f>SUM($G$3:I228)</f>
        <v>531133</v>
      </c>
      <c r="K228">
        <f t="shared" si="58"/>
        <v>3620.0000000000005</v>
      </c>
      <c r="L228">
        <f t="shared" si="59"/>
        <v>1.075</v>
      </c>
      <c r="M228">
        <f t="shared" si="60"/>
        <v>1.0345</v>
      </c>
      <c r="N228">
        <f t="shared" si="61"/>
        <v>106226.6</v>
      </c>
      <c r="O228">
        <f t="shared" si="62"/>
        <v>4025.7567500000005</v>
      </c>
      <c r="P228">
        <f t="shared" si="63"/>
        <v>950</v>
      </c>
      <c r="Q228">
        <f t="shared" si="64"/>
        <v>0.1</v>
      </c>
    </row>
    <row r="229" spans="1:17" x14ac:dyDescent="0.25">
      <c r="A229">
        <v>227</v>
      </c>
      <c r="B229">
        <f t="shared" si="65"/>
        <v>8</v>
      </c>
      <c r="C229">
        <f t="shared" si="66"/>
        <v>2</v>
      </c>
      <c r="D229" t="str">
        <f t="shared" si="52"/>
        <v/>
      </c>
      <c r="E229">
        <f t="shared" si="53"/>
        <v>760</v>
      </c>
      <c r="F229" t="str">
        <f t="shared" si="54"/>
        <v/>
      </c>
      <c r="G229" t="str">
        <f t="shared" si="55"/>
        <v/>
      </c>
      <c r="H229">
        <f t="shared" si="56"/>
        <v>3735</v>
      </c>
      <c r="I229" t="str">
        <f t="shared" si="57"/>
        <v/>
      </c>
      <c r="J229">
        <f>SUM($G$3:I229)</f>
        <v>534868</v>
      </c>
      <c r="K229">
        <f t="shared" si="58"/>
        <v>3620.0000000000005</v>
      </c>
      <c r="L229">
        <f t="shared" si="59"/>
        <v>1.0760000000000001</v>
      </c>
      <c r="M229">
        <f t="shared" si="60"/>
        <v>1.0345</v>
      </c>
      <c r="N229">
        <f t="shared" si="61"/>
        <v>106973.6</v>
      </c>
      <c r="O229">
        <f t="shared" si="62"/>
        <v>4029.5016400000009</v>
      </c>
      <c r="P229">
        <f t="shared" si="63"/>
        <v>950</v>
      </c>
      <c r="Q229">
        <f t="shared" si="64"/>
        <v>0.1</v>
      </c>
    </row>
    <row r="230" spans="1:17" x14ac:dyDescent="0.25">
      <c r="A230">
        <v>228</v>
      </c>
      <c r="B230">
        <f t="shared" si="65"/>
        <v>8</v>
      </c>
      <c r="C230">
        <f t="shared" si="66"/>
        <v>2</v>
      </c>
      <c r="D230" t="str">
        <f t="shared" si="52"/>
        <v/>
      </c>
      <c r="E230">
        <f t="shared" si="53"/>
        <v>770</v>
      </c>
      <c r="F230" t="str">
        <f t="shared" si="54"/>
        <v/>
      </c>
      <c r="G230" t="str">
        <f t="shared" si="55"/>
        <v/>
      </c>
      <c r="H230">
        <f t="shared" si="56"/>
        <v>3802</v>
      </c>
      <c r="I230" t="str">
        <f t="shared" si="57"/>
        <v/>
      </c>
      <c r="J230">
        <f>SUM($G$3:I230)</f>
        <v>538670</v>
      </c>
      <c r="K230">
        <f t="shared" si="58"/>
        <v>3620.0000000000005</v>
      </c>
      <c r="L230">
        <f t="shared" si="59"/>
        <v>1.077</v>
      </c>
      <c r="M230">
        <f t="shared" si="60"/>
        <v>1.0345</v>
      </c>
      <c r="N230">
        <f t="shared" si="61"/>
        <v>107734</v>
      </c>
      <c r="O230">
        <f t="shared" si="62"/>
        <v>4033.2465300000003</v>
      </c>
      <c r="P230">
        <f t="shared" si="63"/>
        <v>950</v>
      </c>
      <c r="Q230">
        <f t="shared" si="64"/>
        <v>0.1</v>
      </c>
    </row>
    <row r="231" spans="1:17" x14ac:dyDescent="0.25">
      <c r="A231">
        <v>229</v>
      </c>
      <c r="B231">
        <f t="shared" si="65"/>
        <v>8</v>
      </c>
      <c r="C231">
        <f t="shared" si="66"/>
        <v>2</v>
      </c>
      <c r="D231" t="str">
        <f t="shared" si="52"/>
        <v/>
      </c>
      <c r="E231">
        <f t="shared" si="53"/>
        <v>780</v>
      </c>
      <c r="F231" t="str">
        <f t="shared" si="54"/>
        <v/>
      </c>
      <c r="G231" t="str">
        <f t="shared" si="55"/>
        <v/>
      </c>
      <c r="H231">
        <f t="shared" si="56"/>
        <v>3869</v>
      </c>
      <c r="I231" t="str">
        <f t="shared" si="57"/>
        <v/>
      </c>
      <c r="J231">
        <f>SUM($G$3:I231)</f>
        <v>542539</v>
      </c>
      <c r="K231">
        <f t="shared" si="58"/>
        <v>3620.0000000000005</v>
      </c>
      <c r="L231">
        <f t="shared" si="59"/>
        <v>1.0780000000000001</v>
      </c>
      <c r="M231">
        <f t="shared" si="60"/>
        <v>1.0345</v>
      </c>
      <c r="N231">
        <f t="shared" si="61"/>
        <v>108507.8</v>
      </c>
      <c r="O231">
        <f t="shared" si="62"/>
        <v>4036.9914200000003</v>
      </c>
      <c r="P231">
        <f t="shared" si="63"/>
        <v>950</v>
      </c>
      <c r="Q231">
        <f t="shared" si="64"/>
        <v>0.1</v>
      </c>
    </row>
    <row r="232" spans="1:17" x14ac:dyDescent="0.25">
      <c r="A232">
        <v>230</v>
      </c>
      <c r="B232">
        <f t="shared" si="65"/>
        <v>8</v>
      </c>
      <c r="C232">
        <f t="shared" si="66"/>
        <v>2</v>
      </c>
      <c r="D232" t="str">
        <f t="shared" si="52"/>
        <v/>
      </c>
      <c r="E232">
        <f t="shared" si="53"/>
        <v>790</v>
      </c>
      <c r="F232" t="str">
        <f t="shared" si="54"/>
        <v/>
      </c>
      <c r="G232" t="str">
        <f t="shared" si="55"/>
        <v/>
      </c>
      <c r="H232">
        <f t="shared" si="56"/>
        <v>3936</v>
      </c>
      <c r="I232" t="str">
        <f t="shared" si="57"/>
        <v/>
      </c>
      <c r="J232">
        <f>SUM($G$3:I232)</f>
        <v>546475</v>
      </c>
      <c r="K232">
        <f t="shared" si="58"/>
        <v>3620.0000000000005</v>
      </c>
      <c r="L232">
        <f t="shared" si="59"/>
        <v>1.079</v>
      </c>
      <c r="M232">
        <f t="shared" si="60"/>
        <v>1.0345</v>
      </c>
      <c r="N232">
        <f t="shared" si="61"/>
        <v>109295</v>
      </c>
      <c r="O232">
        <f t="shared" si="62"/>
        <v>4040.7363100000002</v>
      </c>
      <c r="P232">
        <f t="shared" si="63"/>
        <v>950</v>
      </c>
      <c r="Q232">
        <f t="shared" si="64"/>
        <v>0.1</v>
      </c>
    </row>
    <row r="233" spans="1:17" x14ac:dyDescent="0.25">
      <c r="A233">
        <v>231</v>
      </c>
      <c r="B233">
        <f t="shared" si="65"/>
        <v>8</v>
      </c>
      <c r="C233">
        <f t="shared" si="66"/>
        <v>3</v>
      </c>
      <c r="D233" t="str">
        <f t="shared" si="52"/>
        <v/>
      </c>
      <c r="E233" t="str">
        <f t="shared" si="53"/>
        <v/>
      </c>
      <c r="F233">
        <f t="shared" si="54"/>
        <v>350</v>
      </c>
      <c r="G233" t="str">
        <f t="shared" si="55"/>
        <v/>
      </c>
      <c r="H233" t="str">
        <f t="shared" si="56"/>
        <v/>
      </c>
      <c r="I233">
        <f t="shared" si="57"/>
        <v>3000</v>
      </c>
      <c r="J233">
        <f>SUM($G$3:I233)</f>
        <v>549475</v>
      </c>
      <c r="K233">
        <f t="shared" si="58"/>
        <v>3620.0000000000005</v>
      </c>
      <c r="L233">
        <f t="shared" si="59"/>
        <v>1.079</v>
      </c>
      <c r="M233">
        <f t="shared" si="60"/>
        <v>1.0349999999999999</v>
      </c>
      <c r="N233">
        <f t="shared" si="61"/>
        <v>109895</v>
      </c>
      <c r="O233">
        <f t="shared" si="62"/>
        <v>4042.6893</v>
      </c>
      <c r="P233">
        <f t="shared" si="63"/>
        <v>950</v>
      </c>
      <c r="Q233">
        <f t="shared" si="64"/>
        <v>0.1</v>
      </c>
    </row>
    <row r="234" spans="1:17" x14ac:dyDescent="0.25">
      <c r="A234">
        <v>232</v>
      </c>
      <c r="B234">
        <f t="shared" si="65"/>
        <v>8</v>
      </c>
      <c r="C234">
        <f t="shared" si="66"/>
        <v>3</v>
      </c>
      <c r="D234" t="str">
        <f t="shared" si="52"/>
        <v/>
      </c>
      <c r="E234" t="str">
        <f t="shared" si="53"/>
        <v/>
      </c>
      <c r="F234">
        <f t="shared" si="54"/>
        <v>355</v>
      </c>
      <c r="G234" t="str">
        <f t="shared" si="55"/>
        <v/>
      </c>
      <c r="H234" t="str">
        <f t="shared" si="56"/>
        <v/>
      </c>
      <c r="I234">
        <f t="shared" si="57"/>
        <v>3050</v>
      </c>
      <c r="J234">
        <f>SUM($G$3:I234)</f>
        <v>552525</v>
      </c>
      <c r="K234">
        <f t="shared" si="58"/>
        <v>3620.0000000000005</v>
      </c>
      <c r="L234">
        <f t="shared" si="59"/>
        <v>1.079</v>
      </c>
      <c r="M234">
        <f t="shared" si="60"/>
        <v>1.0355000000000001</v>
      </c>
      <c r="N234">
        <f t="shared" si="61"/>
        <v>110505</v>
      </c>
      <c r="O234">
        <f t="shared" si="62"/>
        <v>4044.6422900000007</v>
      </c>
      <c r="P234">
        <f t="shared" si="63"/>
        <v>950</v>
      </c>
      <c r="Q234">
        <f t="shared" si="64"/>
        <v>0.1</v>
      </c>
    </row>
    <row r="235" spans="1:17" x14ac:dyDescent="0.25">
      <c r="A235">
        <v>233</v>
      </c>
      <c r="B235">
        <f t="shared" si="65"/>
        <v>8</v>
      </c>
      <c r="C235">
        <f t="shared" si="66"/>
        <v>3</v>
      </c>
      <c r="D235" t="str">
        <f t="shared" si="52"/>
        <v/>
      </c>
      <c r="E235" t="str">
        <f t="shared" si="53"/>
        <v/>
      </c>
      <c r="F235">
        <f t="shared" si="54"/>
        <v>360</v>
      </c>
      <c r="G235" t="str">
        <f t="shared" si="55"/>
        <v/>
      </c>
      <c r="H235" t="str">
        <f t="shared" si="56"/>
        <v/>
      </c>
      <c r="I235">
        <f t="shared" si="57"/>
        <v>3100</v>
      </c>
      <c r="J235">
        <f>SUM($G$3:I235)</f>
        <v>555625</v>
      </c>
      <c r="K235">
        <f t="shared" si="58"/>
        <v>3620.0000000000005</v>
      </c>
      <c r="L235">
        <f t="shared" si="59"/>
        <v>1.079</v>
      </c>
      <c r="M235">
        <f t="shared" si="60"/>
        <v>1.036</v>
      </c>
      <c r="N235">
        <f t="shared" si="61"/>
        <v>111125</v>
      </c>
      <c r="O235">
        <f t="shared" si="62"/>
        <v>4046.5952800000005</v>
      </c>
      <c r="P235">
        <f t="shared" si="63"/>
        <v>950</v>
      </c>
      <c r="Q235">
        <f t="shared" si="64"/>
        <v>0.1</v>
      </c>
    </row>
    <row r="236" spans="1:17" x14ac:dyDescent="0.25">
      <c r="A236">
        <v>234</v>
      </c>
      <c r="B236">
        <f t="shared" si="65"/>
        <v>8</v>
      </c>
      <c r="C236">
        <f t="shared" si="66"/>
        <v>3</v>
      </c>
      <c r="D236" t="str">
        <f t="shared" si="52"/>
        <v/>
      </c>
      <c r="E236" t="str">
        <f t="shared" si="53"/>
        <v/>
      </c>
      <c r="F236">
        <f t="shared" si="54"/>
        <v>365</v>
      </c>
      <c r="G236" t="str">
        <f t="shared" si="55"/>
        <v/>
      </c>
      <c r="H236" t="str">
        <f t="shared" si="56"/>
        <v/>
      </c>
      <c r="I236">
        <f t="shared" si="57"/>
        <v>3150</v>
      </c>
      <c r="J236">
        <f>SUM($G$3:I236)</f>
        <v>558775</v>
      </c>
      <c r="K236">
        <f t="shared" si="58"/>
        <v>3620.0000000000005</v>
      </c>
      <c r="L236">
        <f t="shared" si="59"/>
        <v>1.079</v>
      </c>
      <c r="M236">
        <f t="shared" si="60"/>
        <v>1.0365</v>
      </c>
      <c r="N236">
        <f t="shared" si="61"/>
        <v>111755</v>
      </c>
      <c r="O236">
        <f t="shared" si="62"/>
        <v>4048.5482700000002</v>
      </c>
      <c r="P236">
        <f t="shared" si="63"/>
        <v>950</v>
      </c>
      <c r="Q236">
        <f t="shared" si="64"/>
        <v>0.1</v>
      </c>
    </row>
    <row r="237" spans="1:17" x14ac:dyDescent="0.25">
      <c r="A237">
        <v>235</v>
      </c>
      <c r="B237">
        <f t="shared" si="65"/>
        <v>8</v>
      </c>
      <c r="C237">
        <f t="shared" si="66"/>
        <v>3</v>
      </c>
      <c r="D237" t="str">
        <f t="shared" si="52"/>
        <v/>
      </c>
      <c r="E237" t="str">
        <f t="shared" si="53"/>
        <v/>
      </c>
      <c r="F237">
        <f t="shared" si="54"/>
        <v>370</v>
      </c>
      <c r="G237" t="str">
        <f t="shared" si="55"/>
        <v/>
      </c>
      <c r="H237" t="str">
        <f t="shared" si="56"/>
        <v/>
      </c>
      <c r="I237">
        <f t="shared" si="57"/>
        <v>3200</v>
      </c>
      <c r="J237">
        <f>SUM($G$3:I237)</f>
        <v>561975</v>
      </c>
      <c r="K237">
        <f t="shared" si="58"/>
        <v>3620.0000000000005</v>
      </c>
      <c r="L237">
        <f t="shared" si="59"/>
        <v>1.079</v>
      </c>
      <c r="M237">
        <f t="shared" si="60"/>
        <v>1.0369999999999999</v>
      </c>
      <c r="N237">
        <f t="shared" si="61"/>
        <v>112395</v>
      </c>
      <c r="O237">
        <f t="shared" si="62"/>
        <v>4050.50126</v>
      </c>
      <c r="P237">
        <f t="shared" si="63"/>
        <v>950</v>
      </c>
      <c r="Q237">
        <f t="shared" si="64"/>
        <v>0.1</v>
      </c>
    </row>
    <row r="238" spans="1:17" x14ac:dyDescent="0.25">
      <c r="A238">
        <v>236</v>
      </c>
      <c r="B238">
        <f t="shared" si="65"/>
        <v>8</v>
      </c>
      <c r="C238">
        <f t="shared" si="66"/>
        <v>3</v>
      </c>
      <c r="D238" t="str">
        <f t="shared" si="52"/>
        <v/>
      </c>
      <c r="E238" t="str">
        <f t="shared" si="53"/>
        <v/>
      </c>
      <c r="F238">
        <f t="shared" si="54"/>
        <v>375</v>
      </c>
      <c r="G238" t="str">
        <f t="shared" si="55"/>
        <v/>
      </c>
      <c r="H238" t="str">
        <f t="shared" si="56"/>
        <v/>
      </c>
      <c r="I238">
        <f t="shared" si="57"/>
        <v>3250</v>
      </c>
      <c r="J238">
        <f>SUM($G$3:I238)</f>
        <v>565225</v>
      </c>
      <c r="K238">
        <f t="shared" si="58"/>
        <v>3620.0000000000005</v>
      </c>
      <c r="L238">
        <f t="shared" si="59"/>
        <v>1.079</v>
      </c>
      <c r="M238">
        <f t="shared" si="60"/>
        <v>1.0375000000000001</v>
      </c>
      <c r="N238">
        <f t="shared" si="61"/>
        <v>113045</v>
      </c>
      <c r="O238">
        <f t="shared" si="62"/>
        <v>4052.4542500000007</v>
      </c>
      <c r="P238">
        <f t="shared" si="63"/>
        <v>950</v>
      </c>
      <c r="Q238">
        <f t="shared" si="64"/>
        <v>0.1</v>
      </c>
    </row>
    <row r="239" spans="1:17" x14ac:dyDescent="0.25">
      <c r="A239">
        <v>237</v>
      </c>
      <c r="B239">
        <f t="shared" si="65"/>
        <v>8</v>
      </c>
      <c r="C239">
        <f t="shared" si="66"/>
        <v>3</v>
      </c>
      <c r="D239" t="str">
        <f t="shared" si="52"/>
        <v/>
      </c>
      <c r="E239" t="str">
        <f t="shared" si="53"/>
        <v/>
      </c>
      <c r="F239">
        <f t="shared" si="54"/>
        <v>380</v>
      </c>
      <c r="G239" t="str">
        <f t="shared" si="55"/>
        <v/>
      </c>
      <c r="H239" t="str">
        <f t="shared" si="56"/>
        <v/>
      </c>
      <c r="I239">
        <f t="shared" si="57"/>
        <v>3300</v>
      </c>
      <c r="J239">
        <f>SUM($G$3:I239)</f>
        <v>568525</v>
      </c>
      <c r="K239">
        <f t="shared" si="58"/>
        <v>3620.0000000000005</v>
      </c>
      <c r="L239">
        <f t="shared" si="59"/>
        <v>1.079</v>
      </c>
      <c r="M239">
        <f t="shared" si="60"/>
        <v>1.038</v>
      </c>
      <c r="N239">
        <f t="shared" si="61"/>
        <v>113705</v>
      </c>
      <c r="O239">
        <f t="shared" si="62"/>
        <v>4054.4072400000005</v>
      </c>
      <c r="P239">
        <f t="shared" si="63"/>
        <v>950</v>
      </c>
      <c r="Q239">
        <f t="shared" si="64"/>
        <v>0.1</v>
      </c>
    </row>
    <row r="240" spans="1:17" x14ac:dyDescent="0.25">
      <c r="A240">
        <v>238</v>
      </c>
      <c r="B240">
        <f t="shared" si="65"/>
        <v>8</v>
      </c>
      <c r="C240">
        <f t="shared" si="66"/>
        <v>3</v>
      </c>
      <c r="D240" t="str">
        <f t="shared" si="52"/>
        <v/>
      </c>
      <c r="E240" t="str">
        <f t="shared" si="53"/>
        <v/>
      </c>
      <c r="F240">
        <f t="shared" si="54"/>
        <v>385</v>
      </c>
      <c r="G240" t="str">
        <f t="shared" si="55"/>
        <v/>
      </c>
      <c r="H240" t="str">
        <f t="shared" si="56"/>
        <v/>
      </c>
      <c r="I240">
        <f t="shared" si="57"/>
        <v>3350</v>
      </c>
      <c r="J240">
        <f>SUM($G$3:I240)</f>
        <v>571875</v>
      </c>
      <c r="K240">
        <f t="shared" si="58"/>
        <v>3620.0000000000005</v>
      </c>
      <c r="L240">
        <f t="shared" si="59"/>
        <v>1.079</v>
      </c>
      <c r="M240">
        <f t="shared" si="60"/>
        <v>1.0385</v>
      </c>
      <c r="N240">
        <f t="shared" si="61"/>
        <v>114375</v>
      </c>
      <c r="O240">
        <f t="shared" si="62"/>
        <v>4056.3602300000002</v>
      </c>
      <c r="P240">
        <f t="shared" si="63"/>
        <v>950</v>
      </c>
      <c r="Q240">
        <f t="shared" si="64"/>
        <v>0.1</v>
      </c>
    </row>
    <row r="241" spans="1:17" x14ac:dyDescent="0.25">
      <c r="A241">
        <v>239</v>
      </c>
      <c r="B241">
        <f t="shared" si="65"/>
        <v>8</v>
      </c>
      <c r="C241">
        <f t="shared" si="66"/>
        <v>3</v>
      </c>
      <c r="D241" t="str">
        <f t="shared" si="52"/>
        <v/>
      </c>
      <c r="E241" t="str">
        <f t="shared" si="53"/>
        <v/>
      </c>
      <c r="F241">
        <f t="shared" si="54"/>
        <v>390</v>
      </c>
      <c r="G241" t="str">
        <f t="shared" si="55"/>
        <v/>
      </c>
      <c r="H241" t="str">
        <f t="shared" si="56"/>
        <v/>
      </c>
      <c r="I241">
        <f t="shared" si="57"/>
        <v>3400</v>
      </c>
      <c r="J241">
        <f>SUM($G$3:I241)</f>
        <v>575275</v>
      </c>
      <c r="K241">
        <f t="shared" si="58"/>
        <v>3620.0000000000005</v>
      </c>
      <c r="L241">
        <f t="shared" si="59"/>
        <v>1.079</v>
      </c>
      <c r="M241">
        <f t="shared" si="60"/>
        <v>1.0389999999999999</v>
      </c>
      <c r="N241">
        <f t="shared" si="61"/>
        <v>115055</v>
      </c>
      <c r="O241">
        <f t="shared" si="62"/>
        <v>4058.31322</v>
      </c>
      <c r="P241">
        <f t="shared" si="63"/>
        <v>950</v>
      </c>
      <c r="Q241">
        <f t="shared" si="64"/>
        <v>0.1</v>
      </c>
    </row>
    <row r="242" spans="1:17" x14ac:dyDescent="0.25">
      <c r="A242">
        <v>240</v>
      </c>
      <c r="B242">
        <f t="shared" si="65"/>
        <v>8</v>
      </c>
      <c r="C242">
        <f t="shared" si="66"/>
        <v>3</v>
      </c>
      <c r="D242" t="str">
        <f t="shared" si="52"/>
        <v/>
      </c>
      <c r="E242" t="str">
        <f t="shared" si="53"/>
        <v/>
      </c>
      <c r="F242">
        <f t="shared" si="54"/>
        <v>395</v>
      </c>
      <c r="G242" t="str">
        <f t="shared" si="55"/>
        <v/>
      </c>
      <c r="H242" t="str">
        <f t="shared" si="56"/>
        <v/>
      </c>
      <c r="I242">
        <f t="shared" si="57"/>
        <v>3450</v>
      </c>
      <c r="J242">
        <f>SUM($G$3:I242)</f>
        <v>578725</v>
      </c>
      <c r="K242">
        <f t="shared" si="58"/>
        <v>3620.0000000000005</v>
      </c>
      <c r="L242">
        <f t="shared" si="59"/>
        <v>1.079</v>
      </c>
      <c r="M242">
        <f t="shared" si="60"/>
        <v>1.0395000000000001</v>
      </c>
      <c r="N242">
        <f t="shared" si="61"/>
        <v>115745</v>
      </c>
      <c r="O242">
        <f t="shared" si="62"/>
        <v>4060.2662100000007</v>
      </c>
      <c r="P242">
        <f t="shared" si="63"/>
        <v>950</v>
      </c>
      <c r="Q242">
        <f t="shared" si="64"/>
        <v>0.1</v>
      </c>
    </row>
    <row r="243" spans="1:17" x14ac:dyDescent="0.25">
      <c r="A243">
        <v>241</v>
      </c>
      <c r="B243">
        <f t="shared" si="65"/>
        <v>9</v>
      </c>
      <c r="C243">
        <f t="shared" si="66"/>
        <v>1</v>
      </c>
      <c r="D243">
        <f t="shared" si="52"/>
        <v>370</v>
      </c>
      <c r="E243" t="str">
        <f t="shared" si="53"/>
        <v/>
      </c>
      <c r="F243" t="str">
        <f t="shared" si="54"/>
        <v/>
      </c>
      <c r="G243">
        <f t="shared" si="55"/>
        <v>8200</v>
      </c>
      <c r="H243" t="str">
        <f t="shared" si="56"/>
        <v/>
      </c>
      <c r="I243" t="str">
        <f t="shared" si="57"/>
        <v/>
      </c>
      <c r="J243">
        <f>SUM($G$3:I243)</f>
        <v>586925</v>
      </c>
      <c r="K243">
        <f t="shared" si="58"/>
        <v>3700</v>
      </c>
      <c r="L243">
        <f t="shared" si="59"/>
        <v>1.079</v>
      </c>
      <c r="M243">
        <f t="shared" si="60"/>
        <v>1.0395000000000001</v>
      </c>
      <c r="N243">
        <f t="shared" si="61"/>
        <v>117385</v>
      </c>
      <c r="O243">
        <f t="shared" si="62"/>
        <v>4149.9958500000002</v>
      </c>
      <c r="P243">
        <f t="shared" si="63"/>
        <v>950</v>
      </c>
      <c r="Q243">
        <f t="shared" si="64"/>
        <v>0.1</v>
      </c>
    </row>
    <row r="244" spans="1:17" x14ac:dyDescent="0.25">
      <c r="A244">
        <v>242</v>
      </c>
      <c r="B244">
        <f t="shared" si="65"/>
        <v>9</v>
      </c>
      <c r="C244">
        <f t="shared" si="66"/>
        <v>1</v>
      </c>
      <c r="D244">
        <f t="shared" si="52"/>
        <v>379</v>
      </c>
      <c r="E244" t="str">
        <f t="shared" si="53"/>
        <v/>
      </c>
      <c r="F244" t="str">
        <f t="shared" si="54"/>
        <v/>
      </c>
      <c r="G244">
        <f t="shared" si="55"/>
        <v>8300</v>
      </c>
      <c r="H244" t="str">
        <f t="shared" si="56"/>
        <v/>
      </c>
      <c r="I244" t="str">
        <f t="shared" si="57"/>
        <v/>
      </c>
      <c r="J244">
        <f>SUM($G$3:I244)</f>
        <v>595225</v>
      </c>
      <c r="K244">
        <f t="shared" si="58"/>
        <v>3790</v>
      </c>
      <c r="L244">
        <f t="shared" si="59"/>
        <v>1.079</v>
      </c>
      <c r="M244">
        <f t="shared" si="60"/>
        <v>1.0395000000000001</v>
      </c>
      <c r="N244">
        <f t="shared" si="61"/>
        <v>119045</v>
      </c>
      <c r="O244">
        <f t="shared" si="62"/>
        <v>4250.9416950000004</v>
      </c>
      <c r="P244">
        <f t="shared" si="63"/>
        <v>950</v>
      </c>
      <c r="Q244">
        <f t="shared" si="64"/>
        <v>0.1</v>
      </c>
    </row>
    <row r="245" spans="1:17" x14ac:dyDescent="0.25">
      <c r="A245">
        <v>243</v>
      </c>
      <c r="B245">
        <f t="shared" si="65"/>
        <v>9</v>
      </c>
      <c r="C245">
        <f t="shared" si="66"/>
        <v>1</v>
      </c>
      <c r="D245">
        <f t="shared" si="52"/>
        <v>388</v>
      </c>
      <c r="E245" t="str">
        <f t="shared" si="53"/>
        <v/>
      </c>
      <c r="F245" t="str">
        <f t="shared" si="54"/>
        <v/>
      </c>
      <c r="G245">
        <f t="shared" si="55"/>
        <v>8400</v>
      </c>
      <c r="H245" t="str">
        <f t="shared" si="56"/>
        <v/>
      </c>
      <c r="I245" t="str">
        <f t="shared" si="57"/>
        <v/>
      </c>
      <c r="J245">
        <f>SUM($G$3:I245)</f>
        <v>603625</v>
      </c>
      <c r="K245">
        <f t="shared" si="58"/>
        <v>3879.9999999999995</v>
      </c>
      <c r="L245">
        <f t="shared" si="59"/>
        <v>1.079</v>
      </c>
      <c r="M245">
        <f t="shared" si="60"/>
        <v>1.0395000000000001</v>
      </c>
      <c r="N245">
        <f t="shared" si="61"/>
        <v>120725</v>
      </c>
      <c r="O245">
        <f t="shared" si="62"/>
        <v>4351.8875399999997</v>
      </c>
      <c r="P245">
        <f t="shared" si="63"/>
        <v>950</v>
      </c>
      <c r="Q245">
        <f t="shared" si="64"/>
        <v>0.1</v>
      </c>
    </row>
    <row r="246" spans="1:17" x14ac:dyDescent="0.25">
      <c r="A246">
        <v>244</v>
      </c>
      <c r="B246">
        <f t="shared" si="65"/>
        <v>9</v>
      </c>
      <c r="C246">
        <f t="shared" si="66"/>
        <v>1</v>
      </c>
      <c r="D246">
        <f t="shared" si="52"/>
        <v>397</v>
      </c>
      <c r="E246" t="str">
        <f t="shared" si="53"/>
        <v/>
      </c>
      <c r="F246" t="str">
        <f t="shared" si="54"/>
        <v/>
      </c>
      <c r="G246">
        <f t="shared" si="55"/>
        <v>8500</v>
      </c>
      <c r="H246" t="str">
        <f t="shared" si="56"/>
        <v/>
      </c>
      <c r="I246" t="str">
        <f t="shared" si="57"/>
        <v/>
      </c>
      <c r="J246">
        <f>SUM($G$3:I246)</f>
        <v>612125</v>
      </c>
      <c r="K246">
        <f t="shared" si="58"/>
        <v>3970.0000000000005</v>
      </c>
      <c r="L246">
        <f t="shared" si="59"/>
        <v>1.079</v>
      </c>
      <c r="M246">
        <f t="shared" si="60"/>
        <v>1.0395000000000001</v>
      </c>
      <c r="N246">
        <f t="shared" si="61"/>
        <v>122425</v>
      </c>
      <c r="O246">
        <f t="shared" si="62"/>
        <v>4452.8333850000008</v>
      </c>
      <c r="P246">
        <f t="shared" si="63"/>
        <v>950</v>
      </c>
      <c r="Q246">
        <f t="shared" si="64"/>
        <v>0.1</v>
      </c>
    </row>
    <row r="247" spans="1:17" x14ac:dyDescent="0.25">
      <c r="A247">
        <v>245</v>
      </c>
      <c r="B247">
        <f t="shared" si="65"/>
        <v>9</v>
      </c>
      <c r="C247">
        <f t="shared" si="66"/>
        <v>1</v>
      </c>
      <c r="D247">
        <f t="shared" si="52"/>
        <v>406</v>
      </c>
      <c r="E247" t="str">
        <f t="shared" si="53"/>
        <v/>
      </c>
      <c r="F247" t="str">
        <f t="shared" si="54"/>
        <v/>
      </c>
      <c r="G247">
        <f t="shared" si="55"/>
        <v>8600</v>
      </c>
      <c r="H247" t="str">
        <f t="shared" si="56"/>
        <v/>
      </c>
      <c r="I247" t="str">
        <f t="shared" si="57"/>
        <v/>
      </c>
      <c r="J247">
        <f>SUM($G$3:I247)</f>
        <v>620725</v>
      </c>
      <c r="K247">
        <f t="shared" si="58"/>
        <v>4060</v>
      </c>
      <c r="L247">
        <f t="shared" si="59"/>
        <v>1.079</v>
      </c>
      <c r="M247">
        <f t="shared" si="60"/>
        <v>1.0395000000000001</v>
      </c>
      <c r="N247">
        <f t="shared" si="61"/>
        <v>124145</v>
      </c>
      <c r="O247">
        <f t="shared" si="62"/>
        <v>4553.7792300000001</v>
      </c>
      <c r="P247">
        <f t="shared" si="63"/>
        <v>950</v>
      </c>
      <c r="Q247">
        <f t="shared" si="64"/>
        <v>0.1</v>
      </c>
    </row>
    <row r="248" spans="1:17" x14ac:dyDescent="0.25">
      <c r="A248">
        <v>246</v>
      </c>
      <c r="B248">
        <f t="shared" si="65"/>
        <v>9</v>
      </c>
      <c r="C248">
        <f t="shared" si="66"/>
        <v>1</v>
      </c>
      <c r="D248">
        <f t="shared" si="52"/>
        <v>415</v>
      </c>
      <c r="E248" t="str">
        <f t="shared" si="53"/>
        <v/>
      </c>
      <c r="F248" t="str">
        <f t="shared" si="54"/>
        <v/>
      </c>
      <c r="G248">
        <f t="shared" si="55"/>
        <v>8700</v>
      </c>
      <c r="H248" t="str">
        <f t="shared" si="56"/>
        <v/>
      </c>
      <c r="I248" t="str">
        <f t="shared" si="57"/>
        <v/>
      </c>
      <c r="J248">
        <f>SUM($G$3:I248)</f>
        <v>629425</v>
      </c>
      <c r="K248">
        <f t="shared" si="58"/>
        <v>4150</v>
      </c>
      <c r="L248">
        <f t="shared" si="59"/>
        <v>1.079</v>
      </c>
      <c r="M248">
        <f t="shared" si="60"/>
        <v>1.0395000000000001</v>
      </c>
      <c r="N248">
        <f t="shared" si="61"/>
        <v>125885</v>
      </c>
      <c r="O248">
        <f t="shared" si="62"/>
        <v>4654.7250750000003</v>
      </c>
      <c r="P248">
        <f t="shared" si="63"/>
        <v>950</v>
      </c>
      <c r="Q248">
        <f t="shared" si="64"/>
        <v>0.1</v>
      </c>
    </row>
    <row r="249" spans="1:17" x14ac:dyDescent="0.25">
      <c r="A249">
        <v>247</v>
      </c>
      <c r="B249">
        <f t="shared" si="65"/>
        <v>9</v>
      </c>
      <c r="C249">
        <f t="shared" si="66"/>
        <v>1</v>
      </c>
      <c r="D249">
        <f t="shared" si="52"/>
        <v>424</v>
      </c>
      <c r="E249" t="str">
        <f t="shared" si="53"/>
        <v/>
      </c>
      <c r="F249" t="str">
        <f t="shared" si="54"/>
        <v/>
      </c>
      <c r="G249">
        <f t="shared" si="55"/>
        <v>8800</v>
      </c>
      <c r="H249" t="str">
        <f t="shared" si="56"/>
        <v/>
      </c>
      <c r="I249" t="str">
        <f t="shared" si="57"/>
        <v/>
      </c>
      <c r="J249">
        <f>SUM($G$3:I249)</f>
        <v>638225</v>
      </c>
      <c r="K249">
        <f t="shared" si="58"/>
        <v>4240</v>
      </c>
      <c r="L249">
        <f t="shared" si="59"/>
        <v>1.079</v>
      </c>
      <c r="M249">
        <f t="shared" si="60"/>
        <v>1.0395000000000001</v>
      </c>
      <c r="N249">
        <f t="shared" si="61"/>
        <v>127645</v>
      </c>
      <c r="O249">
        <f t="shared" si="62"/>
        <v>4755.6709200000005</v>
      </c>
      <c r="P249">
        <f t="shared" si="63"/>
        <v>950</v>
      </c>
      <c r="Q249">
        <f t="shared" si="64"/>
        <v>0.1</v>
      </c>
    </row>
    <row r="250" spans="1:17" x14ac:dyDescent="0.25">
      <c r="A250">
        <v>248</v>
      </c>
      <c r="B250">
        <f t="shared" si="65"/>
        <v>9</v>
      </c>
      <c r="C250">
        <f t="shared" si="66"/>
        <v>1</v>
      </c>
      <c r="D250">
        <f t="shared" si="52"/>
        <v>433</v>
      </c>
      <c r="E250" t="str">
        <f t="shared" si="53"/>
        <v/>
      </c>
      <c r="F250" t="str">
        <f t="shared" si="54"/>
        <v/>
      </c>
      <c r="G250">
        <f t="shared" si="55"/>
        <v>8900</v>
      </c>
      <c r="H250" t="str">
        <f t="shared" si="56"/>
        <v/>
      </c>
      <c r="I250" t="str">
        <f t="shared" si="57"/>
        <v/>
      </c>
      <c r="J250">
        <f>SUM($G$3:I250)</f>
        <v>647125</v>
      </c>
      <c r="K250">
        <f t="shared" si="58"/>
        <v>4330</v>
      </c>
      <c r="L250">
        <f t="shared" si="59"/>
        <v>1.079</v>
      </c>
      <c r="M250">
        <f t="shared" si="60"/>
        <v>1.0395000000000001</v>
      </c>
      <c r="N250">
        <f t="shared" si="61"/>
        <v>129425</v>
      </c>
      <c r="O250">
        <f t="shared" si="62"/>
        <v>4856.6167649999998</v>
      </c>
      <c r="P250">
        <f t="shared" si="63"/>
        <v>950</v>
      </c>
      <c r="Q250">
        <f t="shared" si="64"/>
        <v>0.1</v>
      </c>
    </row>
    <row r="251" spans="1:17" x14ac:dyDescent="0.25">
      <c r="A251">
        <v>249</v>
      </c>
      <c r="B251">
        <f t="shared" si="65"/>
        <v>9</v>
      </c>
      <c r="C251">
        <f t="shared" si="66"/>
        <v>1</v>
      </c>
      <c r="D251">
        <f t="shared" si="52"/>
        <v>442</v>
      </c>
      <c r="E251" t="str">
        <f t="shared" si="53"/>
        <v/>
      </c>
      <c r="F251" t="str">
        <f t="shared" si="54"/>
        <v/>
      </c>
      <c r="G251">
        <f t="shared" si="55"/>
        <v>9000</v>
      </c>
      <c r="H251" t="str">
        <f t="shared" si="56"/>
        <v/>
      </c>
      <c r="I251" t="str">
        <f t="shared" si="57"/>
        <v/>
      </c>
      <c r="J251">
        <f>SUM($G$3:I251)</f>
        <v>656125</v>
      </c>
      <c r="K251">
        <f t="shared" si="58"/>
        <v>4420</v>
      </c>
      <c r="L251">
        <f t="shared" si="59"/>
        <v>1.079</v>
      </c>
      <c r="M251">
        <f t="shared" si="60"/>
        <v>1.0395000000000001</v>
      </c>
      <c r="N251">
        <f t="shared" si="61"/>
        <v>131225</v>
      </c>
      <c r="O251">
        <f t="shared" si="62"/>
        <v>4957.5626099999999</v>
      </c>
      <c r="P251">
        <f t="shared" si="63"/>
        <v>950</v>
      </c>
      <c r="Q251">
        <f t="shared" si="64"/>
        <v>0.1</v>
      </c>
    </row>
    <row r="252" spans="1:17" x14ac:dyDescent="0.25">
      <c r="A252">
        <v>250</v>
      </c>
      <c r="B252">
        <f t="shared" si="65"/>
        <v>9</v>
      </c>
      <c r="C252">
        <f t="shared" si="66"/>
        <v>1</v>
      </c>
      <c r="D252">
        <f t="shared" si="52"/>
        <v>451</v>
      </c>
      <c r="E252" t="str">
        <f t="shared" si="53"/>
        <v/>
      </c>
      <c r="F252" t="str">
        <f t="shared" si="54"/>
        <v/>
      </c>
      <c r="G252">
        <f t="shared" si="55"/>
        <v>9100</v>
      </c>
      <c r="H252" t="str">
        <f t="shared" si="56"/>
        <v/>
      </c>
      <c r="I252" t="str">
        <f t="shared" si="57"/>
        <v/>
      </c>
      <c r="J252">
        <f>SUM($G$3:I252)</f>
        <v>665225</v>
      </c>
      <c r="K252">
        <f t="shared" si="58"/>
        <v>4510</v>
      </c>
      <c r="L252">
        <f t="shared" si="59"/>
        <v>1.079</v>
      </c>
      <c r="M252">
        <f t="shared" si="60"/>
        <v>1.0395000000000001</v>
      </c>
      <c r="N252">
        <f t="shared" si="61"/>
        <v>133045</v>
      </c>
      <c r="O252">
        <f t="shared" si="62"/>
        <v>5058.5084550000001</v>
      </c>
      <c r="P252">
        <f t="shared" si="63"/>
        <v>1300</v>
      </c>
      <c r="Q252">
        <f t="shared" si="64"/>
        <v>0.1</v>
      </c>
    </row>
    <row r="253" spans="1:17" x14ac:dyDescent="0.25">
      <c r="A253">
        <v>251</v>
      </c>
      <c r="B253">
        <f t="shared" si="65"/>
        <v>9</v>
      </c>
      <c r="C253">
        <f t="shared" si="66"/>
        <v>2</v>
      </c>
      <c r="D253" t="str">
        <f t="shared" si="52"/>
        <v/>
      </c>
      <c r="E253">
        <f t="shared" si="53"/>
        <v>800</v>
      </c>
      <c r="F253" t="str">
        <f t="shared" si="54"/>
        <v/>
      </c>
      <c r="G253" t="str">
        <f t="shared" si="55"/>
        <v/>
      </c>
      <c r="H253">
        <f t="shared" si="56"/>
        <v>4133</v>
      </c>
      <c r="I253" t="str">
        <f t="shared" si="57"/>
        <v/>
      </c>
      <c r="J253">
        <f>SUM($G$3:I253)</f>
        <v>669358</v>
      </c>
      <c r="K253">
        <f t="shared" si="58"/>
        <v>4510</v>
      </c>
      <c r="L253">
        <f t="shared" si="59"/>
        <v>1.08</v>
      </c>
      <c r="M253">
        <f t="shared" si="60"/>
        <v>1.0395000000000001</v>
      </c>
      <c r="N253">
        <f t="shared" si="61"/>
        <v>133871.6</v>
      </c>
      <c r="O253">
        <f t="shared" si="62"/>
        <v>5063.1966000000002</v>
      </c>
      <c r="P253">
        <f t="shared" si="63"/>
        <v>1300</v>
      </c>
      <c r="Q253">
        <f t="shared" si="64"/>
        <v>0.1</v>
      </c>
    </row>
    <row r="254" spans="1:17" x14ac:dyDescent="0.25">
      <c r="A254">
        <v>252</v>
      </c>
      <c r="B254">
        <f t="shared" si="65"/>
        <v>9</v>
      </c>
      <c r="C254">
        <f t="shared" si="66"/>
        <v>2</v>
      </c>
      <c r="D254" t="str">
        <f t="shared" si="52"/>
        <v/>
      </c>
      <c r="E254">
        <f t="shared" si="53"/>
        <v>810</v>
      </c>
      <c r="F254" t="str">
        <f t="shared" si="54"/>
        <v/>
      </c>
      <c r="G254" t="str">
        <f t="shared" si="55"/>
        <v/>
      </c>
      <c r="H254">
        <f t="shared" si="56"/>
        <v>4206</v>
      </c>
      <c r="I254" t="str">
        <f t="shared" si="57"/>
        <v/>
      </c>
      <c r="J254">
        <f>SUM($G$3:I254)</f>
        <v>673564</v>
      </c>
      <c r="K254">
        <f t="shared" si="58"/>
        <v>4510</v>
      </c>
      <c r="L254">
        <f t="shared" si="59"/>
        <v>1.081</v>
      </c>
      <c r="M254">
        <f t="shared" si="60"/>
        <v>1.0395000000000001</v>
      </c>
      <c r="N254">
        <f t="shared" si="61"/>
        <v>134712.80000000002</v>
      </c>
      <c r="O254">
        <f t="shared" si="62"/>
        <v>5067.8847450000003</v>
      </c>
      <c r="P254">
        <f t="shared" si="63"/>
        <v>1300</v>
      </c>
      <c r="Q254">
        <f t="shared" si="64"/>
        <v>0.1</v>
      </c>
    </row>
    <row r="255" spans="1:17" x14ac:dyDescent="0.25">
      <c r="A255">
        <v>253</v>
      </c>
      <c r="B255">
        <f t="shared" si="65"/>
        <v>9</v>
      </c>
      <c r="C255">
        <f t="shared" si="66"/>
        <v>2</v>
      </c>
      <c r="D255" t="str">
        <f t="shared" si="52"/>
        <v/>
      </c>
      <c r="E255">
        <f t="shared" si="53"/>
        <v>820</v>
      </c>
      <c r="F255" t="str">
        <f t="shared" si="54"/>
        <v/>
      </c>
      <c r="G255" t="str">
        <f t="shared" si="55"/>
        <v/>
      </c>
      <c r="H255">
        <f t="shared" si="56"/>
        <v>4279</v>
      </c>
      <c r="I255" t="str">
        <f t="shared" si="57"/>
        <v/>
      </c>
      <c r="J255">
        <f>SUM($G$3:I255)</f>
        <v>677843</v>
      </c>
      <c r="K255">
        <f t="shared" si="58"/>
        <v>4510</v>
      </c>
      <c r="L255">
        <f t="shared" si="59"/>
        <v>1.0820000000000001</v>
      </c>
      <c r="M255">
        <f t="shared" si="60"/>
        <v>1.0395000000000001</v>
      </c>
      <c r="N255">
        <f t="shared" si="61"/>
        <v>135568.6</v>
      </c>
      <c r="O255">
        <f t="shared" si="62"/>
        <v>5072.5728900000013</v>
      </c>
      <c r="P255">
        <f t="shared" si="63"/>
        <v>1300</v>
      </c>
      <c r="Q255">
        <f t="shared" si="64"/>
        <v>0.1</v>
      </c>
    </row>
    <row r="256" spans="1:17" x14ac:dyDescent="0.25">
      <c r="A256">
        <v>254</v>
      </c>
      <c r="B256">
        <f t="shared" si="65"/>
        <v>9</v>
      </c>
      <c r="C256">
        <f t="shared" si="66"/>
        <v>2</v>
      </c>
      <c r="D256" t="str">
        <f t="shared" si="52"/>
        <v/>
      </c>
      <c r="E256">
        <f t="shared" si="53"/>
        <v>830</v>
      </c>
      <c r="F256" t="str">
        <f t="shared" si="54"/>
        <v/>
      </c>
      <c r="G256" t="str">
        <f t="shared" si="55"/>
        <v/>
      </c>
      <c r="H256">
        <f t="shared" si="56"/>
        <v>4352</v>
      </c>
      <c r="I256" t="str">
        <f t="shared" si="57"/>
        <v/>
      </c>
      <c r="J256">
        <f>SUM($G$3:I256)</f>
        <v>682195</v>
      </c>
      <c r="K256">
        <f t="shared" si="58"/>
        <v>4510</v>
      </c>
      <c r="L256">
        <f t="shared" si="59"/>
        <v>1.083</v>
      </c>
      <c r="M256">
        <f t="shared" si="60"/>
        <v>1.0395000000000001</v>
      </c>
      <c r="N256">
        <f t="shared" si="61"/>
        <v>136439</v>
      </c>
      <c r="O256">
        <f t="shared" si="62"/>
        <v>5077.2610350000004</v>
      </c>
      <c r="P256">
        <f t="shared" si="63"/>
        <v>1300</v>
      </c>
      <c r="Q256">
        <f t="shared" si="64"/>
        <v>0.1</v>
      </c>
    </row>
    <row r="257" spans="1:17" x14ac:dyDescent="0.25">
      <c r="A257">
        <v>255</v>
      </c>
      <c r="B257">
        <f t="shared" si="65"/>
        <v>9</v>
      </c>
      <c r="C257">
        <f t="shared" si="66"/>
        <v>2</v>
      </c>
      <c r="D257" t="str">
        <f t="shared" si="52"/>
        <v/>
      </c>
      <c r="E257">
        <f t="shared" si="53"/>
        <v>840</v>
      </c>
      <c r="F257" t="str">
        <f t="shared" si="54"/>
        <v/>
      </c>
      <c r="G257" t="str">
        <f t="shared" si="55"/>
        <v/>
      </c>
      <c r="H257">
        <f t="shared" si="56"/>
        <v>4425</v>
      </c>
      <c r="I257" t="str">
        <f t="shared" si="57"/>
        <v/>
      </c>
      <c r="J257">
        <f>SUM($G$3:I257)</f>
        <v>686620</v>
      </c>
      <c r="K257">
        <f t="shared" si="58"/>
        <v>4510</v>
      </c>
      <c r="L257">
        <f t="shared" si="59"/>
        <v>1.0840000000000001</v>
      </c>
      <c r="M257">
        <f t="shared" si="60"/>
        <v>1.0395000000000001</v>
      </c>
      <c r="N257">
        <f t="shared" si="61"/>
        <v>137324</v>
      </c>
      <c r="O257">
        <f t="shared" si="62"/>
        <v>5081.9491800000005</v>
      </c>
      <c r="P257">
        <f t="shared" si="63"/>
        <v>1300</v>
      </c>
      <c r="Q257">
        <f t="shared" si="64"/>
        <v>0.1</v>
      </c>
    </row>
    <row r="258" spans="1:17" x14ac:dyDescent="0.25">
      <c r="A258">
        <v>256</v>
      </c>
      <c r="B258">
        <f t="shared" si="65"/>
        <v>9</v>
      </c>
      <c r="C258">
        <f t="shared" si="66"/>
        <v>2</v>
      </c>
      <c r="D258" t="str">
        <f t="shared" si="52"/>
        <v/>
      </c>
      <c r="E258">
        <f t="shared" si="53"/>
        <v>850</v>
      </c>
      <c r="F258" t="str">
        <f t="shared" si="54"/>
        <v/>
      </c>
      <c r="G258" t="str">
        <f t="shared" si="55"/>
        <v/>
      </c>
      <c r="H258">
        <f t="shared" si="56"/>
        <v>4498</v>
      </c>
      <c r="I258" t="str">
        <f t="shared" si="57"/>
        <v/>
      </c>
      <c r="J258">
        <f>SUM($G$3:I258)</f>
        <v>691118</v>
      </c>
      <c r="K258">
        <f t="shared" si="58"/>
        <v>4510</v>
      </c>
      <c r="L258">
        <f t="shared" si="59"/>
        <v>1.085</v>
      </c>
      <c r="M258">
        <f t="shared" si="60"/>
        <v>1.0395000000000001</v>
      </c>
      <c r="N258">
        <f t="shared" si="61"/>
        <v>138223.6</v>
      </c>
      <c r="O258">
        <f t="shared" si="62"/>
        <v>5086.6373249999997</v>
      </c>
      <c r="P258">
        <f t="shared" si="63"/>
        <v>1300</v>
      </c>
      <c r="Q258">
        <f t="shared" si="64"/>
        <v>0.1</v>
      </c>
    </row>
    <row r="259" spans="1:17" x14ac:dyDescent="0.25">
      <c r="A259">
        <v>257</v>
      </c>
      <c r="B259">
        <f t="shared" si="65"/>
        <v>9</v>
      </c>
      <c r="C259">
        <f t="shared" si="66"/>
        <v>2</v>
      </c>
      <c r="D259" t="str">
        <f t="shared" ref="D259:D322" si="67">IF($C259=1,INDEX($Z:$Z,MATCH($B259,$Y:$Y,0))+MOD($A259-1,10)*INDEX($AC:$AC,MATCH($B259,$Y:$Y,0)),"")</f>
        <v/>
      </c>
      <c r="E259">
        <f t="shared" ref="E259:E322" si="68">IF($C259=2,INDEX($AA:$AA,MATCH($B259,$Y:$Y,0))+MOD($A259-1,10)*INDEX($AD:$AD,MATCH($B259,$Y:$Y,0)),"")</f>
        <v>860</v>
      </c>
      <c r="F259" t="str">
        <f t="shared" ref="F259:F322" si="69">IF($C259=3,INDEX($AB:$AB,MATCH($B259,$Y:$Y,0))+MOD($A259-1,10)*INDEX($AE:$AE,MATCH($B259,$Y:$Y,0)),"")</f>
        <v/>
      </c>
      <c r="G259" t="str">
        <f t="shared" ref="G259:G322" si="70">IF($C259=1,INDEX($AF:$AF,MATCH($B259,$Y:$Y,0))+MOD($A259-1,10)*INDEX($AI:$AI,MATCH($B259,$Y:$Y,0)),"")</f>
        <v/>
      </c>
      <c r="H259">
        <f t="shared" ref="H259:H322" si="71">IF($C259=2,INDEX($AG:$AG,MATCH($B259,$Y:$Y,0))+MOD($A259-1,10)*INDEX($AJ:$AJ,MATCH($B259,$Y:$Y,0)),"")</f>
        <v>4571</v>
      </c>
      <c r="I259" t="str">
        <f t="shared" ref="I259:I322" si="72">IF($C259=3,INDEX($AH:$AH,MATCH($B259,$Y:$Y,0))+MOD($A259-1,10)*INDEX($AK:$AK,MATCH($B259,$Y:$Y,0)),"")</f>
        <v/>
      </c>
      <c r="J259">
        <f>SUM($G$3:I259)</f>
        <v>695689</v>
      </c>
      <c r="K259">
        <f t="shared" si="58"/>
        <v>4510</v>
      </c>
      <c r="L259">
        <f t="shared" si="59"/>
        <v>1.0860000000000001</v>
      </c>
      <c r="M259">
        <f t="shared" si="60"/>
        <v>1.0395000000000001</v>
      </c>
      <c r="N259">
        <f t="shared" si="61"/>
        <v>139137.80000000002</v>
      </c>
      <c r="O259">
        <f t="shared" si="62"/>
        <v>5091.3254700000007</v>
      </c>
      <c r="P259">
        <f t="shared" si="63"/>
        <v>1300</v>
      </c>
      <c r="Q259">
        <f t="shared" si="64"/>
        <v>0.1</v>
      </c>
    </row>
    <row r="260" spans="1:17" x14ac:dyDescent="0.25">
      <c r="A260">
        <v>258</v>
      </c>
      <c r="B260">
        <f t="shared" si="65"/>
        <v>9</v>
      </c>
      <c r="C260">
        <f t="shared" si="66"/>
        <v>2</v>
      </c>
      <c r="D260" t="str">
        <f t="shared" si="67"/>
        <v/>
      </c>
      <c r="E260">
        <f t="shared" si="68"/>
        <v>870</v>
      </c>
      <c r="F260" t="str">
        <f t="shared" si="69"/>
        <v/>
      </c>
      <c r="G260" t="str">
        <f t="shared" si="70"/>
        <v/>
      </c>
      <c r="H260">
        <f t="shared" si="71"/>
        <v>4644</v>
      </c>
      <c r="I260" t="str">
        <f t="shared" si="72"/>
        <v/>
      </c>
      <c r="J260">
        <f>SUM($G$3:I260)</f>
        <v>700333</v>
      </c>
      <c r="K260">
        <f t="shared" ref="K260:K323" si="73">_xlfn.MAXIFS($D:$D,$A:$A,"&lt;="&amp;A260)/10*100</f>
        <v>4510</v>
      </c>
      <c r="L260">
        <f t="shared" ref="L260:L323" si="74">_xlfn.MAXIFS($E:$E,$A:$A,"&lt;="&amp;A260)/10000+1</f>
        <v>1.087</v>
      </c>
      <c r="M260">
        <f t="shared" ref="M260:M323" si="75">_xlfn.MAXIFS($F:$F,$A:$A,"&lt;="&amp;A260)/10000+1</f>
        <v>1.0395000000000001</v>
      </c>
      <c r="N260">
        <f t="shared" ref="N260:N323" si="76">J260*0.2</f>
        <v>140066.6</v>
      </c>
      <c r="O260">
        <f t="shared" ref="O260:O323" si="77">K260*L260*M260</f>
        <v>5096.0136150000008</v>
      </c>
      <c r="P260">
        <f t="shared" ref="P260:P323" si="78">SUMIFS($AZ:$AZ,$AW:$AW,$AW$3,$AY:$AY,3,$AV:$AV,"&lt;="&amp;A260)</f>
        <v>1300</v>
      </c>
      <c r="Q260">
        <f t="shared" ref="Q260:Q323" si="79">SUMIFS($AZ:$AZ,$AY:$AY,98,$AV:$AV,"&lt;="&amp;A260)*10/100</f>
        <v>0.1</v>
      </c>
    </row>
    <row r="261" spans="1:17" x14ac:dyDescent="0.25">
      <c r="A261">
        <v>259</v>
      </c>
      <c r="B261">
        <f t="shared" si="65"/>
        <v>9</v>
      </c>
      <c r="C261">
        <f t="shared" si="66"/>
        <v>2</v>
      </c>
      <c r="D261" t="str">
        <f t="shared" si="67"/>
        <v/>
      </c>
      <c r="E261">
        <f t="shared" si="68"/>
        <v>880</v>
      </c>
      <c r="F261" t="str">
        <f t="shared" si="69"/>
        <v/>
      </c>
      <c r="G261" t="str">
        <f t="shared" si="70"/>
        <v/>
      </c>
      <c r="H261">
        <f t="shared" si="71"/>
        <v>4717</v>
      </c>
      <c r="I261" t="str">
        <f t="shared" si="72"/>
        <v/>
      </c>
      <c r="J261">
        <f>SUM($G$3:I261)</f>
        <v>705050</v>
      </c>
      <c r="K261">
        <f t="shared" si="73"/>
        <v>4510</v>
      </c>
      <c r="L261">
        <f t="shared" si="74"/>
        <v>1.0880000000000001</v>
      </c>
      <c r="M261">
        <f t="shared" si="75"/>
        <v>1.0395000000000001</v>
      </c>
      <c r="N261">
        <f t="shared" si="76"/>
        <v>141010</v>
      </c>
      <c r="O261">
        <f t="shared" si="77"/>
        <v>5100.7017600000008</v>
      </c>
      <c r="P261">
        <f t="shared" si="78"/>
        <v>1300</v>
      </c>
      <c r="Q261">
        <f t="shared" si="79"/>
        <v>0.1</v>
      </c>
    </row>
    <row r="262" spans="1:17" x14ac:dyDescent="0.25">
      <c r="A262">
        <v>260</v>
      </c>
      <c r="B262">
        <f t="shared" si="65"/>
        <v>9</v>
      </c>
      <c r="C262">
        <f t="shared" si="66"/>
        <v>2</v>
      </c>
      <c r="D262" t="str">
        <f t="shared" si="67"/>
        <v/>
      </c>
      <c r="E262">
        <f t="shared" si="68"/>
        <v>890</v>
      </c>
      <c r="F262" t="str">
        <f t="shared" si="69"/>
        <v/>
      </c>
      <c r="G262" t="str">
        <f t="shared" si="70"/>
        <v/>
      </c>
      <c r="H262">
        <f t="shared" si="71"/>
        <v>4790</v>
      </c>
      <c r="I262" t="str">
        <f t="shared" si="72"/>
        <v/>
      </c>
      <c r="J262">
        <f>SUM($G$3:I262)</f>
        <v>709840</v>
      </c>
      <c r="K262">
        <f t="shared" si="73"/>
        <v>4510</v>
      </c>
      <c r="L262">
        <f t="shared" si="74"/>
        <v>1.089</v>
      </c>
      <c r="M262">
        <f t="shared" si="75"/>
        <v>1.0395000000000001</v>
      </c>
      <c r="N262">
        <f t="shared" si="76"/>
        <v>141968</v>
      </c>
      <c r="O262">
        <f t="shared" si="77"/>
        <v>5105.389905</v>
      </c>
      <c r="P262">
        <f t="shared" si="78"/>
        <v>1300</v>
      </c>
      <c r="Q262">
        <f t="shared" si="79"/>
        <v>0.2</v>
      </c>
    </row>
    <row r="263" spans="1:17" x14ac:dyDescent="0.25">
      <c r="A263">
        <v>261</v>
      </c>
      <c r="B263">
        <f t="shared" si="65"/>
        <v>9</v>
      </c>
      <c r="C263">
        <f t="shared" si="66"/>
        <v>3</v>
      </c>
      <c r="D263" t="str">
        <f t="shared" si="67"/>
        <v/>
      </c>
      <c r="E263" t="str">
        <f t="shared" si="68"/>
        <v/>
      </c>
      <c r="F263">
        <f t="shared" si="69"/>
        <v>400</v>
      </c>
      <c r="G263" t="str">
        <f t="shared" si="70"/>
        <v/>
      </c>
      <c r="H263" t="str">
        <f t="shared" si="71"/>
        <v/>
      </c>
      <c r="I263">
        <f t="shared" si="72"/>
        <v>3500</v>
      </c>
      <c r="J263">
        <f>SUM($G$3:I263)</f>
        <v>713340</v>
      </c>
      <c r="K263">
        <f t="shared" si="73"/>
        <v>4510</v>
      </c>
      <c r="L263">
        <f t="shared" si="74"/>
        <v>1.089</v>
      </c>
      <c r="M263">
        <f t="shared" si="75"/>
        <v>1.04</v>
      </c>
      <c r="N263">
        <f t="shared" si="76"/>
        <v>142668</v>
      </c>
      <c r="O263">
        <f t="shared" si="77"/>
        <v>5107.8455999999996</v>
      </c>
      <c r="P263">
        <f t="shared" si="78"/>
        <v>1300</v>
      </c>
      <c r="Q263">
        <f t="shared" si="79"/>
        <v>0.2</v>
      </c>
    </row>
    <row r="264" spans="1:17" x14ac:dyDescent="0.25">
      <c r="A264">
        <v>262</v>
      </c>
      <c r="B264">
        <f t="shared" si="65"/>
        <v>9</v>
      </c>
      <c r="C264">
        <f t="shared" si="66"/>
        <v>3</v>
      </c>
      <c r="D264" t="str">
        <f t="shared" si="67"/>
        <v/>
      </c>
      <c r="E264" t="str">
        <f t="shared" si="68"/>
        <v/>
      </c>
      <c r="F264">
        <f t="shared" si="69"/>
        <v>405</v>
      </c>
      <c r="G264" t="str">
        <f t="shared" si="70"/>
        <v/>
      </c>
      <c r="H264" t="str">
        <f t="shared" si="71"/>
        <v/>
      </c>
      <c r="I264">
        <f t="shared" si="72"/>
        <v>3550</v>
      </c>
      <c r="J264">
        <f>SUM($G$3:I264)</f>
        <v>716890</v>
      </c>
      <c r="K264">
        <f t="shared" si="73"/>
        <v>4510</v>
      </c>
      <c r="L264">
        <f t="shared" si="74"/>
        <v>1.089</v>
      </c>
      <c r="M264">
        <f t="shared" si="75"/>
        <v>1.0405</v>
      </c>
      <c r="N264">
        <f t="shared" si="76"/>
        <v>143378</v>
      </c>
      <c r="O264">
        <f t="shared" si="77"/>
        <v>5110.3012949999993</v>
      </c>
      <c r="P264">
        <f t="shared" si="78"/>
        <v>1300</v>
      </c>
      <c r="Q264">
        <f t="shared" si="79"/>
        <v>0.2</v>
      </c>
    </row>
    <row r="265" spans="1:17" x14ac:dyDescent="0.25">
      <c r="A265">
        <v>263</v>
      </c>
      <c r="B265">
        <f t="shared" si="65"/>
        <v>9</v>
      </c>
      <c r="C265">
        <f t="shared" si="66"/>
        <v>3</v>
      </c>
      <c r="D265" t="str">
        <f t="shared" si="67"/>
        <v/>
      </c>
      <c r="E265" t="str">
        <f t="shared" si="68"/>
        <v/>
      </c>
      <c r="F265">
        <f t="shared" si="69"/>
        <v>410</v>
      </c>
      <c r="G265" t="str">
        <f t="shared" si="70"/>
        <v/>
      </c>
      <c r="H265" t="str">
        <f t="shared" si="71"/>
        <v/>
      </c>
      <c r="I265">
        <f t="shared" si="72"/>
        <v>3600</v>
      </c>
      <c r="J265">
        <f>SUM($G$3:I265)</f>
        <v>720490</v>
      </c>
      <c r="K265">
        <f t="shared" si="73"/>
        <v>4510</v>
      </c>
      <c r="L265">
        <f t="shared" si="74"/>
        <v>1.089</v>
      </c>
      <c r="M265">
        <f t="shared" si="75"/>
        <v>1.0409999999999999</v>
      </c>
      <c r="N265">
        <f t="shared" si="76"/>
        <v>144098</v>
      </c>
      <c r="O265">
        <f t="shared" si="77"/>
        <v>5112.756989999999</v>
      </c>
      <c r="P265">
        <f t="shared" si="78"/>
        <v>1300</v>
      </c>
      <c r="Q265">
        <f t="shared" si="79"/>
        <v>0.2</v>
      </c>
    </row>
    <row r="266" spans="1:17" x14ac:dyDescent="0.25">
      <c r="A266">
        <v>264</v>
      </c>
      <c r="B266">
        <f t="shared" si="65"/>
        <v>9</v>
      </c>
      <c r="C266">
        <f t="shared" si="66"/>
        <v>3</v>
      </c>
      <c r="D266" t="str">
        <f t="shared" si="67"/>
        <v/>
      </c>
      <c r="E266" t="str">
        <f t="shared" si="68"/>
        <v/>
      </c>
      <c r="F266">
        <f t="shared" si="69"/>
        <v>415</v>
      </c>
      <c r="G266" t="str">
        <f t="shared" si="70"/>
        <v/>
      </c>
      <c r="H266" t="str">
        <f t="shared" si="71"/>
        <v/>
      </c>
      <c r="I266">
        <f t="shared" si="72"/>
        <v>3650</v>
      </c>
      <c r="J266">
        <f>SUM($G$3:I266)</f>
        <v>724140</v>
      </c>
      <c r="K266">
        <f t="shared" si="73"/>
        <v>4510</v>
      </c>
      <c r="L266">
        <f t="shared" si="74"/>
        <v>1.089</v>
      </c>
      <c r="M266">
        <f t="shared" si="75"/>
        <v>1.0415000000000001</v>
      </c>
      <c r="N266">
        <f t="shared" si="76"/>
        <v>144828</v>
      </c>
      <c r="O266">
        <f t="shared" si="77"/>
        <v>5115.2126849999995</v>
      </c>
      <c r="P266">
        <f t="shared" si="78"/>
        <v>1300</v>
      </c>
      <c r="Q266">
        <f t="shared" si="79"/>
        <v>0.2</v>
      </c>
    </row>
    <row r="267" spans="1:17" x14ac:dyDescent="0.25">
      <c r="A267">
        <v>265</v>
      </c>
      <c r="B267">
        <f t="shared" si="65"/>
        <v>9</v>
      </c>
      <c r="C267">
        <f t="shared" si="66"/>
        <v>3</v>
      </c>
      <c r="D267" t="str">
        <f t="shared" si="67"/>
        <v/>
      </c>
      <c r="E267" t="str">
        <f t="shared" si="68"/>
        <v/>
      </c>
      <c r="F267">
        <f t="shared" si="69"/>
        <v>420</v>
      </c>
      <c r="G267" t="str">
        <f t="shared" si="70"/>
        <v/>
      </c>
      <c r="H267" t="str">
        <f t="shared" si="71"/>
        <v/>
      </c>
      <c r="I267">
        <f t="shared" si="72"/>
        <v>3700</v>
      </c>
      <c r="J267">
        <f>SUM($G$3:I267)</f>
        <v>727840</v>
      </c>
      <c r="K267">
        <f t="shared" si="73"/>
        <v>4510</v>
      </c>
      <c r="L267">
        <f t="shared" si="74"/>
        <v>1.089</v>
      </c>
      <c r="M267">
        <f t="shared" si="75"/>
        <v>1.042</v>
      </c>
      <c r="N267">
        <f t="shared" si="76"/>
        <v>145568</v>
      </c>
      <c r="O267">
        <f t="shared" si="77"/>
        <v>5117.6683799999992</v>
      </c>
      <c r="P267">
        <f t="shared" si="78"/>
        <v>1300</v>
      </c>
      <c r="Q267">
        <f t="shared" si="79"/>
        <v>0.2</v>
      </c>
    </row>
    <row r="268" spans="1:17" x14ac:dyDescent="0.25">
      <c r="A268">
        <v>266</v>
      </c>
      <c r="B268">
        <f t="shared" si="65"/>
        <v>9</v>
      </c>
      <c r="C268">
        <f t="shared" si="66"/>
        <v>3</v>
      </c>
      <c r="D268" t="str">
        <f t="shared" si="67"/>
        <v/>
      </c>
      <c r="E268" t="str">
        <f t="shared" si="68"/>
        <v/>
      </c>
      <c r="F268">
        <f t="shared" si="69"/>
        <v>425</v>
      </c>
      <c r="G268" t="str">
        <f t="shared" si="70"/>
        <v/>
      </c>
      <c r="H268" t="str">
        <f t="shared" si="71"/>
        <v/>
      </c>
      <c r="I268">
        <f t="shared" si="72"/>
        <v>3750</v>
      </c>
      <c r="J268">
        <f>SUM($G$3:I268)</f>
        <v>731590</v>
      </c>
      <c r="K268">
        <f t="shared" si="73"/>
        <v>4510</v>
      </c>
      <c r="L268">
        <f t="shared" si="74"/>
        <v>1.089</v>
      </c>
      <c r="M268">
        <f t="shared" si="75"/>
        <v>1.0425</v>
      </c>
      <c r="N268">
        <f t="shared" si="76"/>
        <v>146318</v>
      </c>
      <c r="O268">
        <f t="shared" si="77"/>
        <v>5120.1240749999997</v>
      </c>
      <c r="P268">
        <f t="shared" si="78"/>
        <v>1300</v>
      </c>
      <c r="Q268">
        <f t="shared" si="79"/>
        <v>0.2</v>
      </c>
    </row>
    <row r="269" spans="1:17" x14ac:dyDescent="0.25">
      <c r="A269">
        <v>267</v>
      </c>
      <c r="B269">
        <f t="shared" si="65"/>
        <v>9</v>
      </c>
      <c r="C269">
        <f t="shared" si="66"/>
        <v>3</v>
      </c>
      <c r="D269" t="str">
        <f t="shared" si="67"/>
        <v/>
      </c>
      <c r="E269" t="str">
        <f t="shared" si="68"/>
        <v/>
      </c>
      <c r="F269">
        <f t="shared" si="69"/>
        <v>430</v>
      </c>
      <c r="G269" t="str">
        <f t="shared" si="70"/>
        <v/>
      </c>
      <c r="H269" t="str">
        <f t="shared" si="71"/>
        <v/>
      </c>
      <c r="I269">
        <f t="shared" si="72"/>
        <v>3800</v>
      </c>
      <c r="J269">
        <f>SUM($G$3:I269)</f>
        <v>735390</v>
      </c>
      <c r="K269">
        <f t="shared" si="73"/>
        <v>4510</v>
      </c>
      <c r="L269">
        <f t="shared" si="74"/>
        <v>1.089</v>
      </c>
      <c r="M269">
        <f t="shared" si="75"/>
        <v>1.0429999999999999</v>
      </c>
      <c r="N269">
        <f t="shared" si="76"/>
        <v>147078</v>
      </c>
      <c r="O269">
        <f t="shared" si="77"/>
        <v>5122.5797699999994</v>
      </c>
      <c r="P269">
        <f t="shared" si="78"/>
        <v>1300</v>
      </c>
      <c r="Q269">
        <f t="shared" si="79"/>
        <v>0.2</v>
      </c>
    </row>
    <row r="270" spans="1:17" x14ac:dyDescent="0.25">
      <c r="A270">
        <v>268</v>
      </c>
      <c r="B270">
        <f t="shared" si="65"/>
        <v>9</v>
      </c>
      <c r="C270">
        <f t="shared" si="66"/>
        <v>3</v>
      </c>
      <c r="D270" t="str">
        <f t="shared" si="67"/>
        <v/>
      </c>
      <c r="E270" t="str">
        <f t="shared" si="68"/>
        <v/>
      </c>
      <c r="F270">
        <f t="shared" si="69"/>
        <v>435</v>
      </c>
      <c r="G270" t="str">
        <f t="shared" si="70"/>
        <v/>
      </c>
      <c r="H270" t="str">
        <f t="shared" si="71"/>
        <v/>
      </c>
      <c r="I270">
        <f t="shared" si="72"/>
        <v>3850</v>
      </c>
      <c r="J270">
        <f>SUM($G$3:I270)</f>
        <v>739240</v>
      </c>
      <c r="K270">
        <f t="shared" si="73"/>
        <v>4510</v>
      </c>
      <c r="L270">
        <f t="shared" si="74"/>
        <v>1.089</v>
      </c>
      <c r="M270">
        <f t="shared" si="75"/>
        <v>1.0435000000000001</v>
      </c>
      <c r="N270">
        <f t="shared" si="76"/>
        <v>147848</v>
      </c>
      <c r="O270">
        <f t="shared" si="77"/>
        <v>5125.0354649999999</v>
      </c>
      <c r="P270">
        <f t="shared" si="78"/>
        <v>1300</v>
      </c>
      <c r="Q270">
        <f t="shared" si="79"/>
        <v>0.2</v>
      </c>
    </row>
    <row r="271" spans="1:17" x14ac:dyDescent="0.25">
      <c r="A271">
        <v>269</v>
      </c>
      <c r="B271">
        <f t="shared" si="65"/>
        <v>9</v>
      </c>
      <c r="C271">
        <f t="shared" si="66"/>
        <v>3</v>
      </c>
      <c r="D271" t="str">
        <f t="shared" si="67"/>
        <v/>
      </c>
      <c r="E271" t="str">
        <f t="shared" si="68"/>
        <v/>
      </c>
      <c r="F271">
        <f t="shared" si="69"/>
        <v>440</v>
      </c>
      <c r="G271" t="str">
        <f t="shared" si="70"/>
        <v/>
      </c>
      <c r="H271" t="str">
        <f t="shared" si="71"/>
        <v/>
      </c>
      <c r="I271">
        <f t="shared" si="72"/>
        <v>3900</v>
      </c>
      <c r="J271">
        <f>SUM($G$3:I271)</f>
        <v>743140</v>
      </c>
      <c r="K271">
        <f t="shared" si="73"/>
        <v>4510</v>
      </c>
      <c r="L271">
        <f t="shared" si="74"/>
        <v>1.089</v>
      </c>
      <c r="M271">
        <f t="shared" si="75"/>
        <v>1.044</v>
      </c>
      <c r="N271">
        <f t="shared" si="76"/>
        <v>148628</v>
      </c>
      <c r="O271">
        <f t="shared" si="77"/>
        <v>5127.4911599999996</v>
      </c>
      <c r="P271">
        <f t="shared" si="78"/>
        <v>1300</v>
      </c>
      <c r="Q271">
        <f t="shared" si="79"/>
        <v>0.2</v>
      </c>
    </row>
    <row r="272" spans="1:17" x14ac:dyDescent="0.25">
      <c r="A272">
        <v>270</v>
      </c>
      <c r="B272">
        <f t="shared" si="65"/>
        <v>9</v>
      </c>
      <c r="C272">
        <f t="shared" si="66"/>
        <v>3</v>
      </c>
      <c r="D272" t="str">
        <f t="shared" si="67"/>
        <v/>
      </c>
      <c r="E272" t="str">
        <f t="shared" si="68"/>
        <v/>
      </c>
      <c r="F272">
        <f t="shared" si="69"/>
        <v>445</v>
      </c>
      <c r="G272" t="str">
        <f t="shared" si="70"/>
        <v/>
      </c>
      <c r="H272" t="str">
        <f t="shared" si="71"/>
        <v/>
      </c>
      <c r="I272">
        <f t="shared" si="72"/>
        <v>3950</v>
      </c>
      <c r="J272">
        <f>SUM($G$3:I272)</f>
        <v>747090</v>
      </c>
      <c r="K272">
        <f t="shared" si="73"/>
        <v>4510</v>
      </c>
      <c r="L272">
        <f t="shared" si="74"/>
        <v>1.089</v>
      </c>
      <c r="M272">
        <f t="shared" si="75"/>
        <v>1.0445</v>
      </c>
      <c r="N272">
        <f t="shared" si="76"/>
        <v>149418</v>
      </c>
      <c r="O272">
        <f t="shared" si="77"/>
        <v>5129.9468549999992</v>
      </c>
      <c r="P272">
        <f t="shared" si="78"/>
        <v>1300</v>
      </c>
      <c r="Q272">
        <f t="shared" si="79"/>
        <v>0.2</v>
      </c>
    </row>
    <row r="273" spans="1:17" x14ac:dyDescent="0.25">
      <c r="A273">
        <v>271</v>
      </c>
      <c r="B273">
        <f t="shared" si="65"/>
        <v>10</v>
      </c>
      <c r="C273">
        <f t="shared" si="66"/>
        <v>1</v>
      </c>
      <c r="D273">
        <f t="shared" si="67"/>
        <v>460</v>
      </c>
      <c r="E273" t="str">
        <f t="shared" si="68"/>
        <v/>
      </c>
      <c r="F273" t="str">
        <f t="shared" si="69"/>
        <v/>
      </c>
      <c r="G273">
        <f t="shared" si="70"/>
        <v>9200</v>
      </c>
      <c r="H273" t="str">
        <f t="shared" si="71"/>
        <v/>
      </c>
      <c r="I273" t="str">
        <f t="shared" si="72"/>
        <v/>
      </c>
      <c r="J273">
        <f>SUM($G$3:I273)</f>
        <v>756290</v>
      </c>
      <c r="K273">
        <f t="shared" si="73"/>
        <v>4600</v>
      </c>
      <c r="L273">
        <f t="shared" si="74"/>
        <v>1.089</v>
      </c>
      <c r="M273">
        <f t="shared" si="75"/>
        <v>1.0445</v>
      </c>
      <c r="N273">
        <f t="shared" si="76"/>
        <v>151258</v>
      </c>
      <c r="O273">
        <f t="shared" si="77"/>
        <v>5232.3182999999999</v>
      </c>
      <c r="P273">
        <f t="shared" si="78"/>
        <v>1300</v>
      </c>
      <c r="Q273">
        <f t="shared" si="79"/>
        <v>0.2</v>
      </c>
    </row>
    <row r="274" spans="1:17" x14ac:dyDescent="0.25">
      <c r="A274">
        <v>272</v>
      </c>
      <c r="B274">
        <f t="shared" si="65"/>
        <v>10</v>
      </c>
      <c r="C274">
        <f t="shared" si="66"/>
        <v>1</v>
      </c>
      <c r="D274">
        <f t="shared" si="67"/>
        <v>470</v>
      </c>
      <c r="E274" t="str">
        <f t="shared" si="68"/>
        <v/>
      </c>
      <c r="F274" t="str">
        <f t="shared" si="69"/>
        <v/>
      </c>
      <c r="G274">
        <f t="shared" si="70"/>
        <v>9300</v>
      </c>
      <c r="H274" t="str">
        <f t="shared" si="71"/>
        <v/>
      </c>
      <c r="I274" t="str">
        <f t="shared" si="72"/>
        <v/>
      </c>
      <c r="J274">
        <f>SUM($G$3:I274)</f>
        <v>765590</v>
      </c>
      <c r="K274">
        <f t="shared" si="73"/>
        <v>4700</v>
      </c>
      <c r="L274">
        <f t="shared" si="74"/>
        <v>1.089</v>
      </c>
      <c r="M274">
        <f t="shared" si="75"/>
        <v>1.0445</v>
      </c>
      <c r="N274">
        <f t="shared" si="76"/>
        <v>153118</v>
      </c>
      <c r="O274">
        <f t="shared" si="77"/>
        <v>5346.0643500000006</v>
      </c>
      <c r="P274">
        <f t="shared" si="78"/>
        <v>1300</v>
      </c>
      <c r="Q274">
        <f t="shared" si="79"/>
        <v>0.2</v>
      </c>
    </row>
    <row r="275" spans="1:17" x14ac:dyDescent="0.25">
      <c r="A275">
        <v>273</v>
      </c>
      <c r="B275">
        <f t="shared" si="65"/>
        <v>10</v>
      </c>
      <c r="C275">
        <f t="shared" si="66"/>
        <v>1</v>
      </c>
      <c r="D275">
        <f t="shared" si="67"/>
        <v>480</v>
      </c>
      <c r="E275" t="str">
        <f t="shared" si="68"/>
        <v/>
      </c>
      <c r="F275" t="str">
        <f t="shared" si="69"/>
        <v/>
      </c>
      <c r="G275">
        <f t="shared" si="70"/>
        <v>9400</v>
      </c>
      <c r="H275" t="str">
        <f t="shared" si="71"/>
        <v/>
      </c>
      <c r="I275" t="str">
        <f t="shared" si="72"/>
        <v/>
      </c>
      <c r="J275">
        <f>SUM($G$3:I275)</f>
        <v>774990</v>
      </c>
      <c r="K275">
        <f t="shared" si="73"/>
        <v>4800</v>
      </c>
      <c r="L275">
        <f t="shared" si="74"/>
        <v>1.089</v>
      </c>
      <c r="M275">
        <f t="shared" si="75"/>
        <v>1.0445</v>
      </c>
      <c r="N275">
        <f t="shared" si="76"/>
        <v>154998</v>
      </c>
      <c r="O275">
        <f t="shared" si="77"/>
        <v>5459.8103999999994</v>
      </c>
      <c r="P275">
        <f t="shared" si="78"/>
        <v>1300</v>
      </c>
      <c r="Q275">
        <f t="shared" si="79"/>
        <v>0.2</v>
      </c>
    </row>
    <row r="276" spans="1:17" x14ac:dyDescent="0.25">
      <c r="A276">
        <v>274</v>
      </c>
      <c r="B276">
        <f t="shared" si="65"/>
        <v>10</v>
      </c>
      <c r="C276">
        <f t="shared" si="66"/>
        <v>1</v>
      </c>
      <c r="D276">
        <f t="shared" si="67"/>
        <v>490</v>
      </c>
      <c r="E276" t="str">
        <f t="shared" si="68"/>
        <v/>
      </c>
      <c r="F276" t="str">
        <f t="shared" si="69"/>
        <v/>
      </c>
      <c r="G276">
        <f t="shared" si="70"/>
        <v>9500</v>
      </c>
      <c r="H276" t="str">
        <f t="shared" si="71"/>
        <v/>
      </c>
      <c r="I276" t="str">
        <f t="shared" si="72"/>
        <v/>
      </c>
      <c r="J276">
        <f>SUM($G$3:I276)</f>
        <v>784490</v>
      </c>
      <c r="K276">
        <f t="shared" si="73"/>
        <v>4900</v>
      </c>
      <c r="L276">
        <f t="shared" si="74"/>
        <v>1.089</v>
      </c>
      <c r="M276">
        <f t="shared" si="75"/>
        <v>1.0445</v>
      </c>
      <c r="N276">
        <f t="shared" si="76"/>
        <v>156898</v>
      </c>
      <c r="O276">
        <f t="shared" si="77"/>
        <v>5573.5564499999991</v>
      </c>
      <c r="P276">
        <f t="shared" si="78"/>
        <v>1300</v>
      </c>
      <c r="Q276">
        <f t="shared" si="79"/>
        <v>0.2</v>
      </c>
    </row>
    <row r="277" spans="1:17" x14ac:dyDescent="0.25">
      <c r="A277">
        <v>275</v>
      </c>
      <c r="B277">
        <f t="shared" si="65"/>
        <v>10</v>
      </c>
      <c r="C277">
        <f t="shared" si="66"/>
        <v>1</v>
      </c>
      <c r="D277">
        <f t="shared" si="67"/>
        <v>500</v>
      </c>
      <c r="E277" t="str">
        <f t="shared" si="68"/>
        <v/>
      </c>
      <c r="F277" t="str">
        <f t="shared" si="69"/>
        <v/>
      </c>
      <c r="G277">
        <f t="shared" si="70"/>
        <v>9600</v>
      </c>
      <c r="H277" t="str">
        <f t="shared" si="71"/>
        <v/>
      </c>
      <c r="I277" t="str">
        <f t="shared" si="72"/>
        <v/>
      </c>
      <c r="J277">
        <f>SUM($G$3:I277)</f>
        <v>794090</v>
      </c>
      <c r="K277">
        <f t="shared" si="73"/>
        <v>5000</v>
      </c>
      <c r="L277">
        <f t="shared" si="74"/>
        <v>1.089</v>
      </c>
      <c r="M277">
        <f t="shared" si="75"/>
        <v>1.0445</v>
      </c>
      <c r="N277">
        <f t="shared" si="76"/>
        <v>158818</v>
      </c>
      <c r="O277">
        <f t="shared" si="77"/>
        <v>5687.3024999999998</v>
      </c>
      <c r="P277">
        <f t="shared" si="78"/>
        <v>1300</v>
      </c>
      <c r="Q277">
        <f t="shared" si="79"/>
        <v>0.2</v>
      </c>
    </row>
    <row r="278" spans="1:17" x14ac:dyDescent="0.25">
      <c r="A278">
        <v>276</v>
      </c>
      <c r="B278">
        <f t="shared" si="65"/>
        <v>10</v>
      </c>
      <c r="C278">
        <f t="shared" si="66"/>
        <v>1</v>
      </c>
      <c r="D278">
        <f t="shared" si="67"/>
        <v>510</v>
      </c>
      <c r="E278" t="str">
        <f t="shared" si="68"/>
        <v/>
      </c>
      <c r="F278" t="str">
        <f t="shared" si="69"/>
        <v/>
      </c>
      <c r="G278">
        <f t="shared" si="70"/>
        <v>9700</v>
      </c>
      <c r="H278" t="str">
        <f t="shared" si="71"/>
        <v/>
      </c>
      <c r="I278" t="str">
        <f t="shared" si="72"/>
        <v/>
      </c>
      <c r="J278">
        <f>SUM($G$3:I278)</f>
        <v>803790</v>
      </c>
      <c r="K278">
        <f t="shared" si="73"/>
        <v>5100</v>
      </c>
      <c r="L278">
        <f t="shared" si="74"/>
        <v>1.089</v>
      </c>
      <c r="M278">
        <f t="shared" si="75"/>
        <v>1.0445</v>
      </c>
      <c r="N278">
        <f t="shared" si="76"/>
        <v>160758</v>
      </c>
      <c r="O278">
        <f t="shared" si="77"/>
        <v>5801.0485499999995</v>
      </c>
      <c r="P278">
        <f t="shared" si="78"/>
        <v>1300</v>
      </c>
      <c r="Q278">
        <f t="shared" si="79"/>
        <v>0.2</v>
      </c>
    </row>
    <row r="279" spans="1:17" x14ac:dyDescent="0.25">
      <c r="A279">
        <v>277</v>
      </c>
      <c r="B279">
        <f t="shared" si="65"/>
        <v>10</v>
      </c>
      <c r="C279">
        <f t="shared" si="66"/>
        <v>1</v>
      </c>
      <c r="D279">
        <f t="shared" si="67"/>
        <v>520</v>
      </c>
      <c r="E279" t="str">
        <f t="shared" si="68"/>
        <v/>
      </c>
      <c r="F279" t="str">
        <f t="shared" si="69"/>
        <v/>
      </c>
      <c r="G279">
        <f t="shared" si="70"/>
        <v>9800</v>
      </c>
      <c r="H279" t="str">
        <f t="shared" si="71"/>
        <v/>
      </c>
      <c r="I279" t="str">
        <f t="shared" si="72"/>
        <v/>
      </c>
      <c r="J279">
        <f>SUM($G$3:I279)</f>
        <v>813590</v>
      </c>
      <c r="K279">
        <f t="shared" si="73"/>
        <v>5200</v>
      </c>
      <c r="L279">
        <f t="shared" si="74"/>
        <v>1.089</v>
      </c>
      <c r="M279">
        <f t="shared" si="75"/>
        <v>1.0445</v>
      </c>
      <c r="N279">
        <f t="shared" si="76"/>
        <v>162718</v>
      </c>
      <c r="O279">
        <f t="shared" si="77"/>
        <v>5914.7946000000002</v>
      </c>
      <c r="P279">
        <f t="shared" si="78"/>
        <v>1300</v>
      </c>
      <c r="Q279">
        <f t="shared" si="79"/>
        <v>0.2</v>
      </c>
    </row>
    <row r="280" spans="1:17" x14ac:dyDescent="0.25">
      <c r="A280">
        <v>278</v>
      </c>
      <c r="B280">
        <f t="shared" si="65"/>
        <v>10</v>
      </c>
      <c r="C280">
        <f t="shared" si="66"/>
        <v>1</v>
      </c>
      <c r="D280">
        <f t="shared" si="67"/>
        <v>530</v>
      </c>
      <c r="E280" t="str">
        <f t="shared" si="68"/>
        <v/>
      </c>
      <c r="F280" t="str">
        <f t="shared" si="69"/>
        <v/>
      </c>
      <c r="G280">
        <f t="shared" si="70"/>
        <v>9900</v>
      </c>
      <c r="H280" t="str">
        <f t="shared" si="71"/>
        <v/>
      </c>
      <c r="I280" t="str">
        <f t="shared" si="72"/>
        <v/>
      </c>
      <c r="J280">
        <f>SUM($G$3:I280)</f>
        <v>823490</v>
      </c>
      <c r="K280">
        <f t="shared" si="73"/>
        <v>5300</v>
      </c>
      <c r="L280">
        <f t="shared" si="74"/>
        <v>1.089</v>
      </c>
      <c r="M280">
        <f t="shared" si="75"/>
        <v>1.0445</v>
      </c>
      <c r="N280">
        <f t="shared" si="76"/>
        <v>164698</v>
      </c>
      <c r="O280">
        <f t="shared" si="77"/>
        <v>6028.5406499999999</v>
      </c>
      <c r="P280">
        <f t="shared" si="78"/>
        <v>1300</v>
      </c>
      <c r="Q280">
        <f t="shared" si="79"/>
        <v>0.2</v>
      </c>
    </row>
    <row r="281" spans="1:17" x14ac:dyDescent="0.25">
      <c r="A281">
        <v>279</v>
      </c>
      <c r="B281">
        <f t="shared" si="65"/>
        <v>10</v>
      </c>
      <c r="C281">
        <f t="shared" si="66"/>
        <v>1</v>
      </c>
      <c r="D281">
        <f t="shared" si="67"/>
        <v>540</v>
      </c>
      <c r="E281" t="str">
        <f t="shared" si="68"/>
        <v/>
      </c>
      <c r="F281" t="str">
        <f t="shared" si="69"/>
        <v/>
      </c>
      <c r="G281">
        <f t="shared" si="70"/>
        <v>10000</v>
      </c>
      <c r="H281" t="str">
        <f t="shared" si="71"/>
        <v/>
      </c>
      <c r="I281" t="str">
        <f t="shared" si="72"/>
        <v/>
      </c>
      <c r="J281">
        <f>SUM($G$3:I281)</f>
        <v>833490</v>
      </c>
      <c r="K281">
        <f t="shared" si="73"/>
        <v>5400</v>
      </c>
      <c r="L281">
        <f t="shared" si="74"/>
        <v>1.089</v>
      </c>
      <c r="M281">
        <f t="shared" si="75"/>
        <v>1.0445</v>
      </c>
      <c r="N281">
        <f t="shared" si="76"/>
        <v>166698</v>
      </c>
      <c r="O281">
        <f t="shared" si="77"/>
        <v>6142.2866999999997</v>
      </c>
      <c r="P281">
        <f t="shared" si="78"/>
        <v>1300</v>
      </c>
      <c r="Q281">
        <f t="shared" si="79"/>
        <v>0.2</v>
      </c>
    </row>
    <row r="282" spans="1:17" x14ac:dyDescent="0.25">
      <c r="A282">
        <v>280</v>
      </c>
      <c r="B282">
        <f t="shared" si="65"/>
        <v>10</v>
      </c>
      <c r="C282">
        <f t="shared" si="66"/>
        <v>1</v>
      </c>
      <c r="D282">
        <f t="shared" si="67"/>
        <v>550</v>
      </c>
      <c r="E282" t="str">
        <f t="shared" si="68"/>
        <v/>
      </c>
      <c r="F282" t="str">
        <f t="shared" si="69"/>
        <v/>
      </c>
      <c r="G282">
        <f t="shared" si="70"/>
        <v>10100</v>
      </c>
      <c r="H282" t="str">
        <f t="shared" si="71"/>
        <v/>
      </c>
      <c r="I282" t="str">
        <f t="shared" si="72"/>
        <v/>
      </c>
      <c r="J282">
        <f>SUM($G$3:I282)</f>
        <v>843590</v>
      </c>
      <c r="K282">
        <f t="shared" si="73"/>
        <v>5500</v>
      </c>
      <c r="L282">
        <f t="shared" si="74"/>
        <v>1.089</v>
      </c>
      <c r="M282">
        <f t="shared" si="75"/>
        <v>1.0445</v>
      </c>
      <c r="N282">
        <f t="shared" si="76"/>
        <v>168718</v>
      </c>
      <c r="O282">
        <f t="shared" si="77"/>
        <v>6256.0327500000003</v>
      </c>
      <c r="P282">
        <f t="shared" si="78"/>
        <v>1700</v>
      </c>
      <c r="Q282">
        <f t="shared" si="79"/>
        <v>0.2</v>
      </c>
    </row>
    <row r="283" spans="1:17" x14ac:dyDescent="0.25">
      <c r="A283">
        <v>281</v>
      </c>
      <c r="B283">
        <f t="shared" si="65"/>
        <v>10</v>
      </c>
      <c r="C283">
        <f t="shared" si="66"/>
        <v>2</v>
      </c>
      <c r="D283" t="str">
        <f t="shared" si="67"/>
        <v/>
      </c>
      <c r="E283">
        <f t="shared" si="68"/>
        <v>900</v>
      </c>
      <c r="F283" t="str">
        <f t="shared" si="69"/>
        <v/>
      </c>
      <c r="G283" t="str">
        <f t="shared" si="70"/>
        <v/>
      </c>
      <c r="H283">
        <f t="shared" si="71"/>
        <v>5000</v>
      </c>
      <c r="I283" t="str">
        <f t="shared" si="72"/>
        <v/>
      </c>
      <c r="J283">
        <f>SUM($G$3:I283)</f>
        <v>848590</v>
      </c>
      <c r="K283">
        <f t="shared" si="73"/>
        <v>5500</v>
      </c>
      <c r="L283">
        <f t="shared" si="74"/>
        <v>1.0900000000000001</v>
      </c>
      <c r="M283">
        <f t="shared" si="75"/>
        <v>1.0445</v>
      </c>
      <c r="N283">
        <f t="shared" si="76"/>
        <v>169718</v>
      </c>
      <c r="O283">
        <f t="shared" si="77"/>
        <v>6261.7775000000001</v>
      </c>
      <c r="P283">
        <f t="shared" si="78"/>
        <v>1700</v>
      </c>
      <c r="Q283">
        <f t="shared" si="79"/>
        <v>0.2</v>
      </c>
    </row>
    <row r="284" spans="1:17" x14ac:dyDescent="0.25">
      <c r="A284">
        <v>282</v>
      </c>
      <c r="B284">
        <f t="shared" si="65"/>
        <v>10</v>
      </c>
      <c r="C284">
        <f t="shared" si="66"/>
        <v>2</v>
      </c>
      <c r="D284" t="str">
        <f t="shared" si="67"/>
        <v/>
      </c>
      <c r="E284">
        <f t="shared" si="68"/>
        <v>910</v>
      </c>
      <c r="F284" t="str">
        <f t="shared" si="69"/>
        <v/>
      </c>
      <c r="G284" t="str">
        <f t="shared" si="70"/>
        <v/>
      </c>
      <c r="H284">
        <f t="shared" si="71"/>
        <v>5080</v>
      </c>
      <c r="I284" t="str">
        <f t="shared" si="72"/>
        <v/>
      </c>
      <c r="J284">
        <f>SUM($G$3:I284)</f>
        <v>853670</v>
      </c>
      <c r="K284">
        <f t="shared" si="73"/>
        <v>5500</v>
      </c>
      <c r="L284">
        <f t="shared" si="74"/>
        <v>1.091</v>
      </c>
      <c r="M284">
        <f t="shared" si="75"/>
        <v>1.0445</v>
      </c>
      <c r="N284">
        <f t="shared" si="76"/>
        <v>170734</v>
      </c>
      <c r="O284">
        <f t="shared" si="77"/>
        <v>6267.52225</v>
      </c>
      <c r="P284">
        <f t="shared" si="78"/>
        <v>1700</v>
      </c>
      <c r="Q284">
        <f t="shared" si="79"/>
        <v>0.2</v>
      </c>
    </row>
    <row r="285" spans="1:17" x14ac:dyDescent="0.25">
      <c r="A285">
        <v>283</v>
      </c>
      <c r="B285">
        <f t="shared" si="65"/>
        <v>10</v>
      </c>
      <c r="C285">
        <f t="shared" si="66"/>
        <v>2</v>
      </c>
      <c r="D285" t="str">
        <f t="shared" si="67"/>
        <v/>
      </c>
      <c r="E285">
        <f t="shared" si="68"/>
        <v>920</v>
      </c>
      <c r="F285" t="str">
        <f t="shared" si="69"/>
        <v/>
      </c>
      <c r="G285" t="str">
        <f t="shared" si="70"/>
        <v/>
      </c>
      <c r="H285">
        <f t="shared" si="71"/>
        <v>5160</v>
      </c>
      <c r="I285" t="str">
        <f t="shared" si="72"/>
        <v/>
      </c>
      <c r="J285">
        <f>SUM($G$3:I285)</f>
        <v>858830</v>
      </c>
      <c r="K285">
        <f t="shared" si="73"/>
        <v>5500</v>
      </c>
      <c r="L285">
        <f t="shared" si="74"/>
        <v>1.0920000000000001</v>
      </c>
      <c r="M285">
        <f t="shared" si="75"/>
        <v>1.0445</v>
      </c>
      <c r="N285">
        <f t="shared" si="76"/>
        <v>171766</v>
      </c>
      <c r="O285">
        <f t="shared" si="77"/>
        <v>6273.2669999999998</v>
      </c>
      <c r="P285">
        <f t="shared" si="78"/>
        <v>1700</v>
      </c>
      <c r="Q285">
        <f t="shared" si="79"/>
        <v>0.2</v>
      </c>
    </row>
    <row r="286" spans="1:17" x14ac:dyDescent="0.25">
      <c r="A286">
        <v>284</v>
      </c>
      <c r="B286">
        <f t="shared" si="65"/>
        <v>10</v>
      </c>
      <c r="C286">
        <f t="shared" si="66"/>
        <v>2</v>
      </c>
      <c r="D286" t="str">
        <f t="shared" si="67"/>
        <v/>
      </c>
      <c r="E286">
        <f t="shared" si="68"/>
        <v>930</v>
      </c>
      <c r="F286" t="str">
        <f t="shared" si="69"/>
        <v/>
      </c>
      <c r="G286" t="str">
        <f t="shared" si="70"/>
        <v/>
      </c>
      <c r="H286">
        <f t="shared" si="71"/>
        <v>5240</v>
      </c>
      <c r="I286" t="str">
        <f t="shared" si="72"/>
        <v/>
      </c>
      <c r="J286">
        <f>SUM($G$3:I286)</f>
        <v>864070</v>
      </c>
      <c r="K286">
        <f t="shared" si="73"/>
        <v>5500</v>
      </c>
      <c r="L286">
        <f t="shared" si="74"/>
        <v>1.093</v>
      </c>
      <c r="M286">
        <f t="shared" si="75"/>
        <v>1.0445</v>
      </c>
      <c r="N286">
        <f t="shared" si="76"/>
        <v>172814</v>
      </c>
      <c r="O286">
        <f t="shared" si="77"/>
        <v>6279.0117499999997</v>
      </c>
      <c r="P286">
        <f t="shared" si="78"/>
        <v>1700</v>
      </c>
      <c r="Q286">
        <f t="shared" si="79"/>
        <v>0.2</v>
      </c>
    </row>
    <row r="287" spans="1:17" x14ac:dyDescent="0.25">
      <c r="A287">
        <v>285</v>
      </c>
      <c r="B287">
        <f t="shared" si="65"/>
        <v>10</v>
      </c>
      <c r="C287">
        <f t="shared" si="66"/>
        <v>2</v>
      </c>
      <c r="D287" t="str">
        <f t="shared" si="67"/>
        <v/>
      </c>
      <c r="E287">
        <f t="shared" si="68"/>
        <v>940</v>
      </c>
      <c r="F287" t="str">
        <f t="shared" si="69"/>
        <v/>
      </c>
      <c r="G287" t="str">
        <f t="shared" si="70"/>
        <v/>
      </c>
      <c r="H287">
        <f t="shared" si="71"/>
        <v>5320</v>
      </c>
      <c r="I287" t="str">
        <f t="shared" si="72"/>
        <v/>
      </c>
      <c r="J287">
        <f>SUM($G$3:I287)</f>
        <v>869390</v>
      </c>
      <c r="K287">
        <f t="shared" si="73"/>
        <v>5500</v>
      </c>
      <c r="L287">
        <f t="shared" si="74"/>
        <v>1.0940000000000001</v>
      </c>
      <c r="M287">
        <f t="shared" si="75"/>
        <v>1.0445</v>
      </c>
      <c r="N287">
        <f t="shared" si="76"/>
        <v>173878</v>
      </c>
      <c r="O287">
        <f t="shared" si="77"/>
        <v>6284.7565000000004</v>
      </c>
      <c r="P287">
        <f t="shared" si="78"/>
        <v>1700</v>
      </c>
      <c r="Q287">
        <f t="shared" si="79"/>
        <v>0.2</v>
      </c>
    </row>
    <row r="288" spans="1:17" x14ac:dyDescent="0.25">
      <c r="A288">
        <v>286</v>
      </c>
      <c r="B288">
        <f t="shared" si="65"/>
        <v>10</v>
      </c>
      <c r="C288">
        <f t="shared" si="66"/>
        <v>2</v>
      </c>
      <c r="D288" t="str">
        <f t="shared" si="67"/>
        <v/>
      </c>
      <c r="E288">
        <f t="shared" si="68"/>
        <v>950</v>
      </c>
      <c r="F288" t="str">
        <f t="shared" si="69"/>
        <v/>
      </c>
      <c r="G288" t="str">
        <f t="shared" si="70"/>
        <v/>
      </c>
      <c r="H288">
        <f t="shared" si="71"/>
        <v>5400</v>
      </c>
      <c r="I288" t="str">
        <f t="shared" si="72"/>
        <v/>
      </c>
      <c r="J288">
        <f>SUM($G$3:I288)</f>
        <v>874790</v>
      </c>
      <c r="K288">
        <f t="shared" si="73"/>
        <v>5500</v>
      </c>
      <c r="L288">
        <f t="shared" si="74"/>
        <v>1.095</v>
      </c>
      <c r="M288">
        <f t="shared" si="75"/>
        <v>1.0445</v>
      </c>
      <c r="N288">
        <f t="shared" si="76"/>
        <v>174958</v>
      </c>
      <c r="O288">
        <f t="shared" si="77"/>
        <v>6290.5012500000003</v>
      </c>
      <c r="P288">
        <f t="shared" si="78"/>
        <v>1700</v>
      </c>
      <c r="Q288">
        <f t="shared" si="79"/>
        <v>0.2</v>
      </c>
    </row>
    <row r="289" spans="1:17" x14ac:dyDescent="0.25">
      <c r="A289">
        <v>287</v>
      </c>
      <c r="B289">
        <f t="shared" si="65"/>
        <v>10</v>
      </c>
      <c r="C289">
        <f t="shared" si="66"/>
        <v>2</v>
      </c>
      <c r="D289" t="str">
        <f t="shared" si="67"/>
        <v/>
      </c>
      <c r="E289">
        <f t="shared" si="68"/>
        <v>960</v>
      </c>
      <c r="F289" t="str">
        <f t="shared" si="69"/>
        <v/>
      </c>
      <c r="G289" t="str">
        <f t="shared" si="70"/>
        <v/>
      </c>
      <c r="H289">
        <f t="shared" si="71"/>
        <v>5480</v>
      </c>
      <c r="I289" t="str">
        <f t="shared" si="72"/>
        <v/>
      </c>
      <c r="J289">
        <f>SUM($G$3:I289)</f>
        <v>880270</v>
      </c>
      <c r="K289">
        <f t="shared" si="73"/>
        <v>5500</v>
      </c>
      <c r="L289">
        <f t="shared" si="74"/>
        <v>1.0960000000000001</v>
      </c>
      <c r="M289">
        <f t="shared" si="75"/>
        <v>1.0445</v>
      </c>
      <c r="N289">
        <f t="shared" si="76"/>
        <v>176054</v>
      </c>
      <c r="O289">
        <f t="shared" si="77"/>
        <v>6296.246000000001</v>
      </c>
      <c r="P289">
        <f t="shared" si="78"/>
        <v>1700</v>
      </c>
      <c r="Q289">
        <f t="shared" si="79"/>
        <v>0.2</v>
      </c>
    </row>
    <row r="290" spans="1:17" x14ac:dyDescent="0.25">
      <c r="A290">
        <v>288</v>
      </c>
      <c r="B290">
        <f t="shared" ref="B290:B353" si="80">B260+1</f>
        <v>10</v>
      </c>
      <c r="C290">
        <f t="shared" ref="C290:C353" si="81">C260</f>
        <v>2</v>
      </c>
      <c r="D290" t="str">
        <f t="shared" si="67"/>
        <v/>
      </c>
      <c r="E290">
        <f t="shared" si="68"/>
        <v>970</v>
      </c>
      <c r="F290" t="str">
        <f t="shared" si="69"/>
        <v/>
      </c>
      <c r="G290" t="str">
        <f t="shared" si="70"/>
        <v/>
      </c>
      <c r="H290">
        <f t="shared" si="71"/>
        <v>5560</v>
      </c>
      <c r="I290" t="str">
        <f t="shared" si="72"/>
        <v/>
      </c>
      <c r="J290">
        <f>SUM($G$3:I290)</f>
        <v>885830</v>
      </c>
      <c r="K290">
        <f t="shared" si="73"/>
        <v>5500</v>
      </c>
      <c r="L290">
        <f t="shared" si="74"/>
        <v>1.097</v>
      </c>
      <c r="M290">
        <f t="shared" si="75"/>
        <v>1.0445</v>
      </c>
      <c r="N290">
        <f t="shared" si="76"/>
        <v>177166</v>
      </c>
      <c r="O290">
        <f t="shared" si="77"/>
        <v>6301.9907499999999</v>
      </c>
      <c r="P290">
        <f t="shared" si="78"/>
        <v>1700</v>
      </c>
      <c r="Q290">
        <f t="shared" si="79"/>
        <v>0.2</v>
      </c>
    </row>
    <row r="291" spans="1:17" x14ac:dyDescent="0.25">
      <c r="A291">
        <v>289</v>
      </c>
      <c r="B291">
        <f t="shared" si="80"/>
        <v>10</v>
      </c>
      <c r="C291">
        <f t="shared" si="81"/>
        <v>2</v>
      </c>
      <c r="D291" t="str">
        <f t="shared" si="67"/>
        <v/>
      </c>
      <c r="E291">
        <f t="shared" si="68"/>
        <v>980</v>
      </c>
      <c r="F291" t="str">
        <f t="shared" si="69"/>
        <v/>
      </c>
      <c r="G291" t="str">
        <f t="shared" si="70"/>
        <v/>
      </c>
      <c r="H291">
        <f t="shared" si="71"/>
        <v>5640</v>
      </c>
      <c r="I291" t="str">
        <f t="shared" si="72"/>
        <v/>
      </c>
      <c r="J291">
        <f>SUM($G$3:I291)</f>
        <v>891470</v>
      </c>
      <c r="K291">
        <f t="shared" si="73"/>
        <v>5500</v>
      </c>
      <c r="L291">
        <f t="shared" si="74"/>
        <v>1.0980000000000001</v>
      </c>
      <c r="M291">
        <f t="shared" si="75"/>
        <v>1.0445</v>
      </c>
      <c r="N291">
        <f t="shared" si="76"/>
        <v>178294</v>
      </c>
      <c r="O291">
        <f t="shared" si="77"/>
        <v>6307.7355000000007</v>
      </c>
      <c r="P291">
        <f t="shared" si="78"/>
        <v>1700</v>
      </c>
      <c r="Q291">
        <f t="shared" si="79"/>
        <v>0.2</v>
      </c>
    </row>
    <row r="292" spans="1:17" x14ac:dyDescent="0.25">
      <c r="A292">
        <v>290</v>
      </c>
      <c r="B292">
        <f t="shared" si="80"/>
        <v>10</v>
      </c>
      <c r="C292">
        <f t="shared" si="81"/>
        <v>2</v>
      </c>
      <c r="D292" t="str">
        <f t="shared" si="67"/>
        <v/>
      </c>
      <c r="E292">
        <f t="shared" si="68"/>
        <v>990</v>
      </c>
      <c r="F292" t="str">
        <f t="shared" si="69"/>
        <v/>
      </c>
      <c r="G292" t="str">
        <f t="shared" si="70"/>
        <v/>
      </c>
      <c r="H292">
        <f t="shared" si="71"/>
        <v>5720</v>
      </c>
      <c r="I292" t="str">
        <f t="shared" si="72"/>
        <v/>
      </c>
      <c r="J292">
        <f>SUM($G$3:I292)</f>
        <v>897190</v>
      </c>
      <c r="K292">
        <f t="shared" si="73"/>
        <v>5500</v>
      </c>
      <c r="L292">
        <f t="shared" si="74"/>
        <v>1.099</v>
      </c>
      <c r="M292">
        <f t="shared" si="75"/>
        <v>1.0445</v>
      </c>
      <c r="N292">
        <f t="shared" si="76"/>
        <v>179438</v>
      </c>
      <c r="O292">
        <f t="shared" si="77"/>
        <v>6313.4802499999996</v>
      </c>
      <c r="P292">
        <f t="shared" si="78"/>
        <v>1700</v>
      </c>
      <c r="Q292">
        <f t="shared" si="79"/>
        <v>0.3</v>
      </c>
    </row>
    <row r="293" spans="1:17" x14ac:dyDescent="0.25">
      <c r="A293">
        <v>291</v>
      </c>
      <c r="B293">
        <f t="shared" si="80"/>
        <v>10</v>
      </c>
      <c r="C293">
        <f t="shared" si="81"/>
        <v>3</v>
      </c>
      <c r="D293" t="str">
        <f t="shared" si="67"/>
        <v/>
      </c>
      <c r="E293" t="str">
        <f t="shared" si="68"/>
        <v/>
      </c>
      <c r="F293">
        <f t="shared" si="69"/>
        <v>450</v>
      </c>
      <c r="G293" t="str">
        <f t="shared" si="70"/>
        <v/>
      </c>
      <c r="H293" t="str">
        <f t="shared" si="71"/>
        <v/>
      </c>
      <c r="I293">
        <f t="shared" si="72"/>
        <v>4000</v>
      </c>
      <c r="J293">
        <f>SUM($G$3:I293)</f>
        <v>901190</v>
      </c>
      <c r="K293">
        <f t="shared" si="73"/>
        <v>5500</v>
      </c>
      <c r="L293">
        <f t="shared" si="74"/>
        <v>1.099</v>
      </c>
      <c r="M293">
        <f t="shared" si="75"/>
        <v>1.0449999999999999</v>
      </c>
      <c r="N293">
        <f t="shared" si="76"/>
        <v>180238</v>
      </c>
      <c r="O293">
        <f t="shared" si="77"/>
        <v>6316.5024999999996</v>
      </c>
      <c r="P293">
        <f t="shared" si="78"/>
        <v>1700</v>
      </c>
      <c r="Q293">
        <f t="shared" si="79"/>
        <v>0.3</v>
      </c>
    </row>
    <row r="294" spans="1:17" x14ac:dyDescent="0.25">
      <c r="A294">
        <v>292</v>
      </c>
      <c r="B294">
        <f t="shared" si="80"/>
        <v>10</v>
      </c>
      <c r="C294">
        <f t="shared" si="81"/>
        <v>3</v>
      </c>
      <c r="D294" t="str">
        <f t="shared" si="67"/>
        <v/>
      </c>
      <c r="E294" t="str">
        <f t="shared" si="68"/>
        <v/>
      </c>
      <c r="F294">
        <f t="shared" si="69"/>
        <v>455</v>
      </c>
      <c r="G294" t="str">
        <f t="shared" si="70"/>
        <v/>
      </c>
      <c r="H294" t="str">
        <f t="shared" si="71"/>
        <v/>
      </c>
      <c r="I294">
        <f t="shared" si="72"/>
        <v>4050</v>
      </c>
      <c r="J294">
        <f>SUM($G$3:I294)</f>
        <v>905240</v>
      </c>
      <c r="K294">
        <f t="shared" si="73"/>
        <v>5500</v>
      </c>
      <c r="L294">
        <f t="shared" si="74"/>
        <v>1.099</v>
      </c>
      <c r="M294">
        <f t="shared" si="75"/>
        <v>1.0455000000000001</v>
      </c>
      <c r="N294">
        <f t="shared" si="76"/>
        <v>181048</v>
      </c>
      <c r="O294">
        <f t="shared" si="77"/>
        <v>6319.5247500000005</v>
      </c>
      <c r="P294">
        <f t="shared" si="78"/>
        <v>1700</v>
      </c>
      <c r="Q294">
        <f t="shared" si="79"/>
        <v>0.3</v>
      </c>
    </row>
    <row r="295" spans="1:17" x14ac:dyDescent="0.25">
      <c r="A295">
        <v>293</v>
      </c>
      <c r="B295">
        <f t="shared" si="80"/>
        <v>10</v>
      </c>
      <c r="C295">
        <f t="shared" si="81"/>
        <v>3</v>
      </c>
      <c r="D295" t="str">
        <f t="shared" si="67"/>
        <v/>
      </c>
      <c r="E295" t="str">
        <f t="shared" si="68"/>
        <v/>
      </c>
      <c r="F295">
        <f t="shared" si="69"/>
        <v>460</v>
      </c>
      <c r="G295" t="str">
        <f t="shared" si="70"/>
        <v/>
      </c>
      <c r="H295" t="str">
        <f t="shared" si="71"/>
        <v/>
      </c>
      <c r="I295">
        <f t="shared" si="72"/>
        <v>4100</v>
      </c>
      <c r="J295">
        <f>SUM($G$3:I295)</f>
        <v>909340</v>
      </c>
      <c r="K295">
        <f t="shared" si="73"/>
        <v>5500</v>
      </c>
      <c r="L295">
        <f t="shared" si="74"/>
        <v>1.099</v>
      </c>
      <c r="M295">
        <f t="shared" si="75"/>
        <v>1.046</v>
      </c>
      <c r="N295">
        <f t="shared" si="76"/>
        <v>181868</v>
      </c>
      <c r="O295">
        <f t="shared" si="77"/>
        <v>6322.5470000000005</v>
      </c>
      <c r="P295">
        <f t="shared" si="78"/>
        <v>1700</v>
      </c>
      <c r="Q295">
        <f t="shared" si="79"/>
        <v>0.3</v>
      </c>
    </row>
    <row r="296" spans="1:17" x14ac:dyDescent="0.25">
      <c r="A296">
        <v>294</v>
      </c>
      <c r="B296">
        <f t="shared" si="80"/>
        <v>10</v>
      </c>
      <c r="C296">
        <f t="shared" si="81"/>
        <v>3</v>
      </c>
      <c r="D296" t="str">
        <f t="shared" si="67"/>
        <v/>
      </c>
      <c r="E296" t="str">
        <f t="shared" si="68"/>
        <v/>
      </c>
      <c r="F296">
        <f t="shared" si="69"/>
        <v>465</v>
      </c>
      <c r="G296" t="str">
        <f t="shared" si="70"/>
        <v/>
      </c>
      <c r="H296" t="str">
        <f t="shared" si="71"/>
        <v/>
      </c>
      <c r="I296">
        <f t="shared" si="72"/>
        <v>4150</v>
      </c>
      <c r="J296">
        <f>SUM($G$3:I296)</f>
        <v>913490</v>
      </c>
      <c r="K296">
        <f t="shared" si="73"/>
        <v>5500</v>
      </c>
      <c r="L296">
        <f t="shared" si="74"/>
        <v>1.099</v>
      </c>
      <c r="M296">
        <f t="shared" si="75"/>
        <v>1.0465</v>
      </c>
      <c r="N296">
        <f t="shared" si="76"/>
        <v>182698</v>
      </c>
      <c r="O296">
        <f t="shared" si="77"/>
        <v>6325.5692499999996</v>
      </c>
      <c r="P296">
        <f t="shared" si="78"/>
        <v>1700</v>
      </c>
      <c r="Q296">
        <f t="shared" si="79"/>
        <v>0.3</v>
      </c>
    </row>
    <row r="297" spans="1:17" x14ac:dyDescent="0.25">
      <c r="A297">
        <v>295</v>
      </c>
      <c r="B297">
        <f t="shared" si="80"/>
        <v>10</v>
      </c>
      <c r="C297">
        <f t="shared" si="81"/>
        <v>3</v>
      </c>
      <c r="D297" t="str">
        <f t="shared" si="67"/>
        <v/>
      </c>
      <c r="E297" t="str">
        <f t="shared" si="68"/>
        <v/>
      </c>
      <c r="F297">
        <f t="shared" si="69"/>
        <v>470</v>
      </c>
      <c r="G297" t="str">
        <f t="shared" si="70"/>
        <v/>
      </c>
      <c r="H297" t="str">
        <f t="shared" si="71"/>
        <v/>
      </c>
      <c r="I297">
        <f t="shared" si="72"/>
        <v>4200</v>
      </c>
      <c r="J297">
        <f>SUM($G$3:I297)</f>
        <v>917690</v>
      </c>
      <c r="K297">
        <f t="shared" si="73"/>
        <v>5500</v>
      </c>
      <c r="L297">
        <f t="shared" si="74"/>
        <v>1.099</v>
      </c>
      <c r="M297">
        <f t="shared" si="75"/>
        <v>1.0469999999999999</v>
      </c>
      <c r="N297">
        <f t="shared" si="76"/>
        <v>183538</v>
      </c>
      <c r="O297">
        <f t="shared" si="77"/>
        <v>6328.5914999999995</v>
      </c>
      <c r="P297">
        <f t="shared" si="78"/>
        <v>1700</v>
      </c>
      <c r="Q297">
        <f t="shared" si="79"/>
        <v>0.3</v>
      </c>
    </row>
    <row r="298" spans="1:17" x14ac:dyDescent="0.25">
      <c r="A298">
        <v>296</v>
      </c>
      <c r="B298">
        <f t="shared" si="80"/>
        <v>10</v>
      </c>
      <c r="C298">
        <f t="shared" si="81"/>
        <v>3</v>
      </c>
      <c r="D298" t="str">
        <f t="shared" si="67"/>
        <v/>
      </c>
      <c r="E298" t="str">
        <f t="shared" si="68"/>
        <v/>
      </c>
      <c r="F298">
        <f t="shared" si="69"/>
        <v>475</v>
      </c>
      <c r="G298" t="str">
        <f t="shared" si="70"/>
        <v/>
      </c>
      <c r="H298" t="str">
        <f t="shared" si="71"/>
        <v/>
      </c>
      <c r="I298">
        <f t="shared" si="72"/>
        <v>4250</v>
      </c>
      <c r="J298">
        <f>SUM($G$3:I298)</f>
        <v>921940</v>
      </c>
      <c r="K298">
        <f t="shared" si="73"/>
        <v>5500</v>
      </c>
      <c r="L298">
        <f t="shared" si="74"/>
        <v>1.099</v>
      </c>
      <c r="M298">
        <f t="shared" si="75"/>
        <v>1.0475000000000001</v>
      </c>
      <c r="N298">
        <f t="shared" si="76"/>
        <v>184388</v>
      </c>
      <c r="O298">
        <f t="shared" si="77"/>
        <v>6331.6137500000004</v>
      </c>
      <c r="P298">
        <f t="shared" si="78"/>
        <v>1700</v>
      </c>
      <c r="Q298">
        <f t="shared" si="79"/>
        <v>0.3</v>
      </c>
    </row>
    <row r="299" spans="1:17" x14ac:dyDescent="0.25">
      <c r="A299">
        <v>297</v>
      </c>
      <c r="B299">
        <f t="shared" si="80"/>
        <v>10</v>
      </c>
      <c r="C299">
        <f t="shared" si="81"/>
        <v>3</v>
      </c>
      <c r="D299" t="str">
        <f t="shared" si="67"/>
        <v/>
      </c>
      <c r="E299" t="str">
        <f t="shared" si="68"/>
        <v/>
      </c>
      <c r="F299">
        <f t="shared" si="69"/>
        <v>480</v>
      </c>
      <c r="G299" t="str">
        <f t="shared" si="70"/>
        <v/>
      </c>
      <c r="H299" t="str">
        <f t="shared" si="71"/>
        <v/>
      </c>
      <c r="I299">
        <f t="shared" si="72"/>
        <v>4300</v>
      </c>
      <c r="J299">
        <f>SUM($G$3:I299)</f>
        <v>926240</v>
      </c>
      <c r="K299">
        <f t="shared" si="73"/>
        <v>5500</v>
      </c>
      <c r="L299">
        <f t="shared" si="74"/>
        <v>1.099</v>
      </c>
      <c r="M299">
        <f t="shared" si="75"/>
        <v>1.048</v>
      </c>
      <c r="N299">
        <f t="shared" si="76"/>
        <v>185248</v>
      </c>
      <c r="O299">
        <f t="shared" si="77"/>
        <v>6334.6360000000004</v>
      </c>
      <c r="P299">
        <f t="shared" si="78"/>
        <v>1700</v>
      </c>
      <c r="Q299">
        <f t="shared" si="79"/>
        <v>0.3</v>
      </c>
    </row>
    <row r="300" spans="1:17" x14ac:dyDescent="0.25">
      <c r="A300">
        <v>298</v>
      </c>
      <c r="B300">
        <f t="shared" si="80"/>
        <v>10</v>
      </c>
      <c r="C300">
        <f t="shared" si="81"/>
        <v>3</v>
      </c>
      <c r="D300" t="str">
        <f t="shared" si="67"/>
        <v/>
      </c>
      <c r="E300" t="str">
        <f t="shared" si="68"/>
        <v/>
      </c>
      <c r="F300">
        <f t="shared" si="69"/>
        <v>485</v>
      </c>
      <c r="G300" t="str">
        <f t="shared" si="70"/>
        <v/>
      </c>
      <c r="H300" t="str">
        <f t="shared" si="71"/>
        <v/>
      </c>
      <c r="I300">
        <f t="shared" si="72"/>
        <v>4350</v>
      </c>
      <c r="J300">
        <f>SUM($G$3:I300)</f>
        <v>930590</v>
      </c>
      <c r="K300">
        <f t="shared" si="73"/>
        <v>5500</v>
      </c>
      <c r="L300">
        <f t="shared" si="74"/>
        <v>1.099</v>
      </c>
      <c r="M300">
        <f t="shared" si="75"/>
        <v>1.0485</v>
      </c>
      <c r="N300">
        <f t="shared" si="76"/>
        <v>186118</v>
      </c>
      <c r="O300">
        <f t="shared" si="77"/>
        <v>6337.6582499999995</v>
      </c>
      <c r="P300">
        <f t="shared" si="78"/>
        <v>1700</v>
      </c>
      <c r="Q300">
        <f t="shared" si="79"/>
        <v>0.3</v>
      </c>
    </row>
    <row r="301" spans="1:17" x14ac:dyDescent="0.25">
      <c r="A301">
        <v>299</v>
      </c>
      <c r="B301">
        <f t="shared" si="80"/>
        <v>10</v>
      </c>
      <c r="C301">
        <f t="shared" si="81"/>
        <v>3</v>
      </c>
      <c r="D301" t="str">
        <f t="shared" si="67"/>
        <v/>
      </c>
      <c r="E301" t="str">
        <f t="shared" si="68"/>
        <v/>
      </c>
      <c r="F301">
        <f t="shared" si="69"/>
        <v>490</v>
      </c>
      <c r="G301" t="str">
        <f t="shared" si="70"/>
        <v/>
      </c>
      <c r="H301" t="str">
        <f t="shared" si="71"/>
        <v/>
      </c>
      <c r="I301">
        <f t="shared" si="72"/>
        <v>4400</v>
      </c>
      <c r="J301">
        <f>SUM($G$3:I301)</f>
        <v>934990</v>
      </c>
      <c r="K301">
        <f t="shared" si="73"/>
        <v>5500</v>
      </c>
      <c r="L301">
        <f t="shared" si="74"/>
        <v>1.099</v>
      </c>
      <c r="M301">
        <f t="shared" si="75"/>
        <v>1.0489999999999999</v>
      </c>
      <c r="N301">
        <f t="shared" si="76"/>
        <v>186998</v>
      </c>
      <c r="O301">
        <f t="shared" si="77"/>
        <v>6340.6804999999995</v>
      </c>
      <c r="P301">
        <f t="shared" si="78"/>
        <v>1700</v>
      </c>
      <c r="Q301">
        <f t="shared" si="79"/>
        <v>0.3</v>
      </c>
    </row>
    <row r="302" spans="1:17" x14ac:dyDescent="0.25">
      <c r="A302">
        <v>300</v>
      </c>
      <c r="B302">
        <f t="shared" si="80"/>
        <v>10</v>
      </c>
      <c r="C302">
        <f t="shared" si="81"/>
        <v>3</v>
      </c>
      <c r="D302" t="str">
        <f t="shared" si="67"/>
        <v/>
      </c>
      <c r="E302" t="str">
        <f t="shared" si="68"/>
        <v/>
      </c>
      <c r="F302">
        <f t="shared" si="69"/>
        <v>495</v>
      </c>
      <c r="G302" t="str">
        <f t="shared" si="70"/>
        <v/>
      </c>
      <c r="H302" t="str">
        <f t="shared" si="71"/>
        <v/>
      </c>
      <c r="I302">
        <f t="shared" si="72"/>
        <v>4450</v>
      </c>
      <c r="J302">
        <f>SUM($G$3:I302)</f>
        <v>939440</v>
      </c>
      <c r="K302">
        <f t="shared" si="73"/>
        <v>5500</v>
      </c>
      <c r="L302">
        <f t="shared" si="74"/>
        <v>1.099</v>
      </c>
      <c r="M302">
        <f t="shared" si="75"/>
        <v>1.0495000000000001</v>
      </c>
      <c r="N302">
        <f t="shared" si="76"/>
        <v>187888</v>
      </c>
      <c r="O302">
        <f t="shared" si="77"/>
        <v>6343.7027500000004</v>
      </c>
      <c r="P302">
        <f t="shared" si="78"/>
        <v>1700</v>
      </c>
      <c r="Q302">
        <f t="shared" si="79"/>
        <v>0.3</v>
      </c>
    </row>
    <row r="303" spans="1:17" x14ac:dyDescent="0.25">
      <c r="A303">
        <v>301</v>
      </c>
      <c r="B303">
        <f t="shared" si="80"/>
        <v>11</v>
      </c>
      <c r="C303">
        <f t="shared" si="81"/>
        <v>1</v>
      </c>
      <c r="D303">
        <f t="shared" si="67"/>
        <v>560</v>
      </c>
      <c r="E303" t="str">
        <f t="shared" si="68"/>
        <v/>
      </c>
      <c r="F303" t="str">
        <f t="shared" si="69"/>
        <v/>
      </c>
      <c r="G303">
        <f t="shared" si="70"/>
        <v>10200</v>
      </c>
      <c r="H303" t="str">
        <f t="shared" si="71"/>
        <v/>
      </c>
      <c r="I303" t="str">
        <f t="shared" si="72"/>
        <v/>
      </c>
      <c r="J303">
        <f>SUM($G$3:I303)</f>
        <v>949640</v>
      </c>
      <c r="K303">
        <f t="shared" si="73"/>
        <v>5600</v>
      </c>
      <c r="L303">
        <f t="shared" si="74"/>
        <v>1.099</v>
      </c>
      <c r="M303">
        <f t="shared" si="75"/>
        <v>1.0495000000000001</v>
      </c>
      <c r="N303">
        <f t="shared" si="76"/>
        <v>189928</v>
      </c>
      <c r="O303">
        <f t="shared" si="77"/>
        <v>6459.0428000000002</v>
      </c>
      <c r="P303">
        <f t="shared" si="78"/>
        <v>1700</v>
      </c>
      <c r="Q303">
        <f t="shared" si="79"/>
        <v>0.3</v>
      </c>
    </row>
    <row r="304" spans="1:17" x14ac:dyDescent="0.25">
      <c r="A304">
        <v>302</v>
      </c>
      <c r="B304">
        <f t="shared" si="80"/>
        <v>11</v>
      </c>
      <c r="C304">
        <f t="shared" si="81"/>
        <v>1</v>
      </c>
      <c r="D304">
        <f t="shared" si="67"/>
        <v>571</v>
      </c>
      <c r="E304" t="str">
        <f t="shared" si="68"/>
        <v/>
      </c>
      <c r="F304" t="str">
        <f t="shared" si="69"/>
        <v/>
      </c>
      <c r="G304">
        <f t="shared" si="70"/>
        <v>10300</v>
      </c>
      <c r="H304" t="str">
        <f t="shared" si="71"/>
        <v/>
      </c>
      <c r="I304" t="str">
        <f t="shared" si="72"/>
        <v/>
      </c>
      <c r="J304">
        <f>SUM($G$3:I304)</f>
        <v>959940</v>
      </c>
      <c r="K304">
        <f t="shared" si="73"/>
        <v>5710</v>
      </c>
      <c r="L304">
        <f t="shared" si="74"/>
        <v>1.099</v>
      </c>
      <c r="M304">
        <f t="shared" si="75"/>
        <v>1.0495000000000001</v>
      </c>
      <c r="N304">
        <f t="shared" si="76"/>
        <v>191988</v>
      </c>
      <c r="O304">
        <f t="shared" si="77"/>
        <v>6585.9168550000004</v>
      </c>
      <c r="P304">
        <f t="shared" si="78"/>
        <v>1700</v>
      </c>
      <c r="Q304">
        <f t="shared" si="79"/>
        <v>0.3</v>
      </c>
    </row>
    <row r="305" spans="1:17" x14ac:dyDescent="0.25">
      <c r="A305">
        <v>303</v>
      </c>
      <c r="B305">
        <f t="shared" si="80"/>
        <v>11</v>
      </c>
      <c r="C305">
        <f t="shared" si="81"/>
        <v>1</v>
      </c>
      <c r="D305">
        <f t="shared" si="67"/>
        <v>582</v>
      </c>
      <c r="E305" t="str">
        <f t="shared" si="68"/>
        <v/>
      </c>
      <c r="F305" t="str">
        <f t="shared" si="69"/>
        <v/>
      </c>
      <c r="G305">
        <f t="shared" si="70"/>
        <v>10400</v>
      </c>
      <c r="H305" t="str">
        <f t="shared" si="71"/>
        <v/>
      </c>
      <c r="I305" t="str">
        <f t="shared" si="72"/>
        <v/>
      </c>
      <c r="J305">
        <f>SUM($G$3:I305)</f>
        <v>970340</v>
      </c>
      <c r="K305">
        <f t="shared" si="73"/>
        <v>5820</v>
      </c>
      <c r="L305">
        <f t="shared" si="74"/>
        <v>1.099</v>
      </c>
      <c r="M305">
        <f t="shared" si="75"/>
        <v>1.0495000000000001</v>
      </c>
      <c r="N305">
        <f t="shared" si="76"/>
        <v>194068</v>
      </c>
      <c r="O305">
        <f t="shared" si="77"/>
        <v>6712.7909100000006</v>
      </c>
      <c r="P305">
        <f t="shared" si="78"/>
        <v>1700</v>
      </c>
      <c r="Q305">
        <f t="shared" si="79"/>
        <v>0.3</v>
      </c>
    </row>
    <row r="306" spans="1:17" x14ac:dyDescent="0.25">
      <c r="A306">
        <v>304</v>
      </c>
      <c r="B306">
        <f t="shared" si="80"/>
        <v>11</v>
      </c>
      <c r="C306">
        <f t="shared" si="81"/>
        <v>1</v>
      </c>
      <c r="D306">
        <f t="shared" si="67"/>
        <v>593</v>
      </c>
      <c r="E306" t="str">
        <f t="shared" si="68"/>
        <v/>
      </c>
      <c r="F306" t="str">
        <f t="shared" si="69"/>
        <v/>
      </c>
      <c r="G306">
        <f t="shared" si="70"/>
        <v>10500</v>
      </c>
      <c r="H306" t="str">
        <f t="shared" si="71"/>
        <v/>
      </c>
      <c r="I306" t="str">
        <f t="shared" si="72"/>
        <v/>
      </c>
      <c r="J306">
        <f>SUM($G$3:I306)</f>
        <v>980840</v>
      </c>
      <c r="K306">
        <f t="shared" si="73"/>
        <v>5930</v>
      </c>
      <c r="L306">
        <f t="shared" si="74"/>
        <v>1.099</v>
      </c>
      <c r="M306">
        <f t="shared" si="75"/>
        <v>1.0495000000000001</v>
      </c>
      <c r="N306">
        <f t="shared" si="76"/>
        <v>196168</v>
      </c>
      <c r="O306">
        <f t="shared" si="77"/>
        <v>6839.6649649999999</v>
      </c>
      <c r="P306">
        <f t="shared" si="78"/>
        <v>1700</v>
      </c>
      <c r="Q306">
        <f t="shared" si="79"/>
        <v>0.3</v>
      </c>
    </row>
    <row r="307" spans="1:17" x14ac:dyDescent="0.25">
      <c r="A307">
        <v>305</v>
      </c>
      <c r="B307">
        <f t="shared" si="80"/>
        <v>11</v>
      </c>
      <c r="C307">
        <f t="shared" si="81"/>
        <v>1</v>
      </c>
      <c r="D307">
        <f t="shared" si="67"/>
        <v>604</v>
      </c>
      <c r="E307" t="str">
        <f t="shared" si="68"/>
        <v/>
      </c>
      <c r="F307" t="str">
        <f t="shared" si="69"/>
        <v/>
      </c>
      <c r="G307">
        <f t="shared" si="70"/>
        <v>10600</v>
      </c>
      <c r="H307" t="str">
        <f t="shared" si="71"/>
        <v/>
      </c>
      <c r="I307" t="str">
        <f t="shared" si="72"/>
        <v/>
      </c>
      <c r="J307">
        <f>SUM($G$3:I307)</f>
        <v>991440</v>
      </c>
      <c r="K307">
        <f t="shared" si="73"/>
        <v>6040</v>
      </c>
      <c r="L307">
        <f t="shared" si="74"/>
        <v>1.099</v>
      </c>
      <c r="M307">
        <f t="shared" si="75"/>
        <v>1.0495000000000001</v>
      </c>
      <c r="N307">
        <f t="shared" si="76"/>
        <v>198288</v>
      </c>
      <c r="O307">
        <f t="shared" si="77"/>
        <v>6966.5390200000011</v>
      </c>
      <c r="P307">
        <f t="shared" si="78"/>
        <v>1700</v>
      </c>
      <c r="Q307">
        <f t="shared" si="79"/>
        <v>0.3</v>
      </c>
    </row>
    <row r="308" spans="1:17" x14ac:dyDescent="0.25">
      <c r="A308">
        <v>306</v>
      </c>
      <c r="B308">
        <f t="shared" si="80"/>
        <v>11</v>
      </c>
      <c r="C308">
        <f t="shared" si="81"/>
        <v>1</v>
      </c>
      <c r="D308">
        <f t="shared" si="67"/>
        <v>615</v>
      </c>
      <c r="E308" t="str">
        <f t="shared" si="68"/>
        <v/>
      </c>
      <c r="F308" t="str">
        <f t="shared" si="69"/>
        <v/>
      </c>
      <c r="G308">
        <f t="shared" si="70"/>
        <v>10700</v>
      </c>
      <c r="H308" t="str">
        <f t="shared" si="71"/>
        <v/>
      </c>
      <c r="I308" t="str">
        <f t="shared" si="72"/>
        <v/>
      </c>
      <c r="J308">
        <f>SUM($G$3:I308)</f>
        <v>1002140</v>
      </c>
      <c r="K308">
        <f t="shared" si="73"/>
        <v>6150</v>
      </c>
      <c r="L308">
        <f t="shared" si="74"/>
        <v>1.099</v>
      </c>
      <c r="M308">
        <f t="shared" si="75"/>
        <v>1.0495000000000001</v>
      </c>
      <c r="N308">
        <f t="shared" si="76"/>
        <v>200428</v>
      </c>
      <c r="O308">
        <f t="shared" si="77"/>
        <v>7093.4130750000004</v>
      </c>
      <c r="P308">
        <f t="shared" si="78"/>
        <v>1700</v>
      </c>
      <c r="Q308">
        <f t="shared" si="79"/>
        <v>0.3</v>
      </c>
    </row>
    <row r="309" spans="1:17" x14ac:dyDescent="0.25">
      <c r="A309">
        <v>307</v>
      </c>
      <c r="B309">
        <f t="shared" si="80"/>
        <v>11</v>
      </c>
      <c r="C309">
        <f t="shared" si="81"/>
        <v>1</v>
      </c>
      <c r="D309">
        <f t="shared" si="67"/>
        <v>626</v>
      </c>
      <c r="E309" t="str">
        <f t="shared" si="68"/>
        <v/>
      </c>
      <c r="F309" t="str">
        <f t="shared" si="69"/>
        <v/>
      </c>
      <c r="G309">
        <f t="shared" si="70"/>
        <v>10800</v>
      </c>
      <c r="H309" t="str">
        <f t="shared" si="71"/>
        <v/>
      </c>
      <c r="I309" t="str">
        <f t="shared" si="72"/>
        <v/>
      </c>
      <c r="J309">
        <f>SUM($G$3:I309)</f>
        <v>1012940</v>
      </c>
      <c r="K309">
        <f t="shared" si="73"/>
        <v>6260</v>
      </c>
      <c r="L309">
        <f t="shared" si="74"/>
        <v>1.099</v>
      </c>
      <c r="M309">
        <f t="shared" si="75"/>
        <v>1.0495000000000001</v>
      </c>
      <c r="N309">
        <f t="shared" si="76"/>
        <v>202588</v>
      </c>
      <c r="O309">
        <f t="shared" si="77"/>
        <v>7220.2871300000006</v>
      </c>
      <c r="P309">
        <f t="shared" si="78"/>
        <v>1700</v>
      </c>
      <c r="Q309">
        <f t="shared" si="79"/>
        <v>0.3</v>
      </c>
    </row>
    <row r="310" spans="1:17" x14ac:dyDescent="0.25">
      <c r="A310">
        <v>308</v>
      </c>
      <c r="B310">
        <f t="shared" si="80"/>
        <v>11</v>
      </c>
      <c r="C310">
        <f t="shared" si="81"/>
        <v>1</v>
      </c>
      <c r="D310">
        <f t="shared" si="67"/>
        <v>637</v>
      </c>
      <c r="E310" t="str">
        <f t="shared" si="68"/>
        <v/>
      </c>
      <c r="F310" t="str">
        <f t="shared" si="69"/>
        <v/>
      </c>
      <c r="G310">
        <f t="shared" si="70"/>
        <v>10900</v>
      </c>
      <c r="H310" t="str">
        <f t="shared" si="71"/>
        <v/>
      </c>
      <c r="I310" t="str">
        <f t="shared" si="72"/>
        <v/>
      </c>
      <c r="J310">
        <f>SUM($G$3:I310)</f>
        <v>1023840</v>
      </c>
      <c r="K310">
        <f t="shared" si="73"/>
        <v>6370</v>
      </c>
      <c r="L310">
        <f t="shared" si="74"/>
        <v>1.099</v>
      </c>
      <c r="M310">
        <f t="shared" si="75"/>
        <v>1.0495000000000001</v>
      </c>
      <c r="N310">
        <f t="shared" si="76"/>
        <v>204768</v>
      </c>
      <c r="O310">
        <f t="shared" si="77"/>
        <v>7347.1611850000008</v>
      </c>
      <c r="P310">
        <f t="shared" si="78"/>
        <v>1700</v>
      </c>
      <c r="Q310">
        <f t="shared" si="79"/>
        <v>0.3</v>
      </c>
    </row>
    <row r="311" spans="1:17" x14ac:dyDescent="0.25">
      <c r="A311">
        <v>309</v>
      </c>
      <c r="B311">
        <f t="shared" si="80"/>
        <v>11</v>
      </c>
      <c r="C311">
        <f t="shared" si="81"/>
        <v>1</v>
      </c>
      <c r="D311">
        <f t="shared" si="67"/>
        <v>648</v>
      </c>
      <c r="E311" t="str">
        <f t="shared" si="68"/>
        <v/>
      </c>
      <c r="F311" t="str">
        <f t="shared" si="69"/>
        <v/>
      </c>
      <c r="G311">
        <f t="shared" si="70"/>
        <v>11000</v>
      </c>
      <c r="H311" t="str">
        <f t="shared" si="71"/>
        <v/>
      </c>
      <c r="I311" t="str">
        <f t="shared" si="72"/>
        <v/>
      </c>
      <c r="J311">
        <f>SUM($G$3:I311)</f>
        <v>1034840</v>
      </c>
      <c r="K311">
        <f t="shared" si="73"/>
        <v>6480</v>
      </c>
      <c r="L311">
        <f t="shared" si="74"/>
        <v>1.099</v>
      </c>
      <c r="M311">
        <f t="shared" si="75"/>
        <v>1.0495000000000001</v>
      </c>
      <c r="N311">
        <f t="shared" si="76"/>
        <v>206968</v>
      </c>
      <c r="O311">
        <f t="shared" si="77"/>
        <v>7474.0352400000002</v>
      </c>
      <c r="P311">
        <f t="shared" si="78"/>
        <v>1700</v>
      </c>
      <c r="Q311">
        <f t="shared" si="79"/>
        <v>0.3</v>
      </c>
    </row>
    <row r="312" spans="1:17" x14ac:dyDescent="0.25">
      <c r="A312">
        <v>310</v>
      </c>
      <c r="B312">
        <f t="shared" si="80"/>
        <v>11</v>
      </c>
      <c r="C312">
        <f t="shared" si="81"/>
        <v>1</v>
      </c>
      <c r="D312">
        <f t="shared" si="67"/>
        <v>659</v>
      </c>
      <c r="E312" t="str">
        <f t="shared" si="68"/>
        <v/>
      </c>
      <c r="F312" t="str">
        <f t="shared" si="69"/>
        <v/>
      </c>
      <c r="G312">
        <f t="shared" si="70"/>
        <v>11100</v>
      </c>
      <c r="H312" t="str">
        <f t="shared" si="71"/>
        <v/>
      </c>
      <c r="I312" t="str">
        <f t="shared" si="72"/>
        <v/>
      </c>
      <c r="J312">
        <f>SUM($G$3:I312)</f>
        <v>1045940</v>
      </c>
      <c r="K312">
        <f t="shared" si="73"/>
        <v>6590.0000000000009</v>
      </c>
      <c r="L312">
        <f t="shared" si="74"/>
        <v>1.099</v>
      </c>
      <c r="M312">
        <f t="shared" si="75"/>
        <v>1.0495000000000001</v>
      </c>
      <c r="N312">
        <f t="shared" si="76"/>
        <v>209188</v>
      </c>
      <c r="O312">
        <f t="shared" si="77"/>
        <v>7600.9092950000013</v>
      </c>
      <c r="P312">
        <f t="shared" si="78"/>
        <v>2150</v>
      </c>
      <c r="Q312">
        <f t="shared" si="79"/>
        <v>0.3</v>
      </c>
    </row>
    <row r="313" spans="1:17" x14ac:dyDescent="0.25">
      <c r="A313">
        <v>311</v>
      </c>
      <c r="B313">
        <f t="shared" si="80"/>
        <v>11</v>
      </c>
      <c r="C313">
        <f t="shared" si="81"/>
        <v>2</v>
      </c>
      <c r="D313" t="str">
        <f t="shared" si="67"/>
        <v/>
      </c>
      <c r="E313">
        <f t="shared" si="68"/>
        <v>1000</v>
      </c>
      <c r="F313" t="str">
        <f t="shared" si="69"/>
        <v/>
      </c>
      <c r="G313" t="str">
        <f t="shared" si="70"/>
        <v/>
      </c>
      <c r="H313">
        <f t="shared" si="71"/>
        <v>5867</v>
      </c>
      <c r="I313" t="str">
        <f t="shared" si="72"/>
        <v/>
      </c>
      <c r="J313">
        <f>SUM($G$3:I313)</f>
        <v>1051807</v>
      </c>
      <c r="K313">
        <f t="shared" si="73"/>
        <v>6590.0000000000009</v>
      </c>
      <c r="L313">
        <f t="shared" si="74"/>
        <v>1.1000000000000001</v>
      </c>
      <c r="M313">
        <f t="shared" si="75"/>
        <v>1.0495000000000001</v>
      </c>
      <c r="N313">
        <f t="shared" si="76"/>
        <v>210361.40000000002</v>
      </c>
      <c r="O313">
        <f t="shared" si="77"/>
        <v>7607.8255000000026</v>
      </c>
      <c r="P313">
        <f t="shared" si="78"/>
        <v>2150</v>
      </c>
      <c r="Q313">
        <f t="shared" si="79"/>
        <v>0.3</v>
      </c>
    </row>
    <row r="314" spans="1:17" x14ac:dyDescent="0.25">
      <c r="A314">
        <v>312</v>
      </c>
      <c r="B314">
        <f t="shared" si="80"/>
        <v>11</v>
      </c>
      <c r="C314">
        <f t="shared" si="81"/>
        <v>2</v>
      </c>
      <c r="D314" t="str">
        <f t="shared" si="67"/>
        <v/>
      </c>
      <c r="E314">
        <f t="shared" si="68"/>
        <v>1010</v>
      </c>
      <c r="F314" t="str">
        <f t="shared" si="69"/>
        <v/>
      </c>
      <c r="G314" t="str">
        <f t="shared" si="70"/>
        <v/>
      </c>
      <c r="H314">
        <f t="shared" si="71"/>
        <v>5954</v>
      </c>
      <c r="I314" t="str">
        <f t="shared" si="72"/>
        <v/>
      </c>
      <c r="J314">
        <f>SUM($G$3:I314)</f>
        <v>1057761</v>
      </c>
      <c r="K314">
        <f t="shared" si="73"/>
        <v>6590.0000000000009</v>
      </c>
      <c r="L314">
        <f t="shared" si="74"/>
        <v>1.101</v>
      </c>
      <c r="M314">
        <f t="shared" si="75"/>
        <v>1.0495000000000001</v>
      </c>
      <c r="N314">
        <f t="shared" si="76"/>
        <v>211552.2</v>
      </c>
      <c r="O314">
        <f t="shared" si="77"/>
        <v>7614.7417050000022</v>
      </c>
      <c r="P314">
        <f t="shared" si="78"/>
        <v>2150</v>
      </c>
      <c r="Q314">
        <f t="shared" si="79"/>
        <v>0.3</v>
      </c>
    </row>
    <row r="315" spans="1:17" x14ac:dyDescent="0.25">
      <c r="A315">
        <v>313</v>
      </c>
      <c r="B315">
        <f t="shared" si="80"/>
        <v>11</v>
      </c>
      <c r="C315">
        <f t="shared" si="81"/>
        <v>2</v>
      </c>
      <c r="D315" t="str">
        <f t="shared" si="67"/>
        <v/>
      </c>
      <c r="E315">
        <f t="shared" si="68"/>
        <v>1020</v>
      </c>
      <c r="F315" t="str">
        <f t="shared" si="69"/>
        <v/>
      </c>
      <c r="G315" t="str">
        <f t="shared" si="70"/>
        <v/>
      </c>
      <c r="H315">
        <f t="shared" si="71"/>
        <v>6041</v>
      </c>
      <c r="I315" t="str">
        <f t="shared" si="72"/>
        <v/>
      </c>
      <c r="J315">
        <f>SUM($G$3:I315)</f>
        <v>1063802</v>
      </c>
      <c r="K315">
        <f t="shared" si="73"/>
        <v>6590.0000000000009</v>
      </c>
      <c r="L315">
        <f t="shared" si="74"/>
        <v>1.1020000000000001</v>
      </c>
      <c r="M315">
        <f t="shared" si="75"/>
        <v>1.0495000000000001</v>
      </c>
      <c r="N315">
        <f t="shared" si="76"/>
        <v>212760.40000000002</v>
      </c>
      <c r="O315">
        <f t="shared" si="77"/>
        <v>7621.6579100000017</v>
      </c>
      <c r="P315">
        <f t="shared" si="78"/>
        <v>2150</v>
      </c>
      <c r="Q315">
        <f t="shared" si="79"/>
        <v>0.3</v>
      </c>
    </row>
    <row r="316" spans="1:17" x14ac:dyDescent="0.25">
      <c r="A316">
        <v>314</v>
      </c>
      <c r="B316">
        <f t="shared" si="80"/>
        <v>11</v>
      </c>
      <c r="C316">
        <f t="shared" si="81"/>
        <v>2</v>
      </c>
      <c r="D316" t="str">
        <f t="shared" si="67"/>
        <v/>
      </c>
      <c r="E316">
        <f t="shared" si="68"/>
        <v>1030</v>
      </c>
      <c r="F316" t="str">
        <f t="shared" si="69"/>
        <v/>
      </c>
      <c r="G316" t="str">
        <f t="shared" si="70"/>
        <v/>
      </c>
      <c r="H316">
        <f t="shared" si="71"/>
        <v>6128</v>
      </c>
      <c r="I316" t="str">
        <f t="shared" si="72"/>
        <v/>
      </c>
      <c r="J316">
        <f>SUM($G$3:I316)</f>
        <v>1069930</v>
      </c>
      <c r="K316">
        <f t="shared" si="73"/>
        <v>6590.0000000000009</v>
      </c>
      <c r="L316">
        <f t="shared" si="74"/>
        <v>1.103</v>
      </c>
      <c r="M316">
        <f t="shared" si="75"/>
        <v>1.0495000000000001</v>
      </c>
      <c r="N316">
        <f t="shared" si="76"/>
        <v>213986</v>
      </c>
      <c r="O316">
        <f t="shared" si="77"/>
        <v>7628.5741150000013</v>
      </c>
      <c r="P316">
        <f t="shared" si="78"/>
        <v>2150</v>
      </c>
      <c r="Q316">
        <f t="shared" si="79"/>
        <v>0.3</v>
      </c>
    </row>
    <row r="317" spans="1:17" x14ac:dyDescent="0.25">
      <c r="A317">
        <v>315</v>
      </c>
      <c r="B317">
        <f t="shared" si="80"/>
        <v>11</v>
      </c>
      <c r="C317">
        <f t="shared" si="81"/>
        <v>2</v>
      </c>
      <c r="D317" t="str">
        <f t="shared" si="67"/>
        <v/>
      </c>
      <c r="E317">
        <f t="shared" si="68"/>
        <v>1040</v>
      </c>
      <c r="F317" t="str">
        <f t="shared" si="69"/>
        <v/>
      </c>
      <c r="G317" t="str">
        <f t="shared" si="70"/>
        <v/>
      </c>
      <c r="H317">
        <f t="shared" si="71"/>
        <v>6215</v>
      </c>
      <c r="I317" t="str">
        <f t="shared" si="72"/>
        <v/>
      </c>
      <c r="J317">
        <f>SUM($G$3:I317)</f>
        <v>1076145</v>
      </c>
      <c r="K317">
        <f t="shared" si="73"/>
        <v>6590.0000000000009</v>
      </c>
      <c r="L317">
        <f t="shared" si="74"/>
        <v>1.1040000000000001</v>
      </c>
      <c r="M317">
        <f t="shared" si="75"/>
        <v>1.0495000000000001</v>
      </c>
      <c r="N317">
        <f t="shared" si="76"/>
        <v>215229</v>
      </c>
      <c r="O317">
        <f t="shared" si="77"/>
        <v>7635.4903200000026</v>
      </c>
      <c r="P317">
        <f t="shared" si="78"/>
        <v>2150</v>
      </c>
      <c r="Q317">
        <f t="shared" si="79"/>
        <v>0.3</v>
      </c>
    </row>
    <row r="318" spans="1:17" x14ac:dyDescent="0.25">
      <c r="A318">
        <v>316</v>
      </c>
      <c r="B318">
        <f t="shared" si="80"/>
        <v>11</v>
      </c>
      <c r="C318">
        <f t="shared" si="81"/>
        <v>2</v>
      </c>
      <c r="D318" t="str">
        <f t="shared" si="67"/>
        <v/>
      </c>
      <c r="E318">
        <f t="shared" si="68"/>
        <v>1050</v>
      </c>
      <c r="F318" t="str">
        <f t="shared" si="69"/>
        <v/>
      </c>
      <c r="G318" t="str">
        <f t="shared" si="70"/>
        <v/>
      </c>
      <c r="H318">
        <f t="shared" si="71"/>
        <v>6302</v>
      </c>
      <c r="I318" t="str">
        <f t="shared" si="72"/>
        <v/>
      </c>
      <c r="J318">
        <f>SUM($G$3:I318)</f>
        <v>1082447</v>
      </c>
      <c r="K318">
        <f t="shared" si="73"/>
        <v>6590.0000000000009</v>
      </c>
      <c r="L318">
        <f t="shared" si="74"/>
        <v>1.105</v>
      </c>
      <c r="M318">
        <f t="shared" si="75"/>
        <v>1.0495000000000001</v>
      </c>
      <c r="N318">
        <f t="shared" si="76"/>
        <v>216489.40000000002</v>
      </c>
      <c r="O318">
        <f t="shared" si="77"/>
        <v>7642.4065250000012</v>
      </c>
      <c r="P318">
        <f t="shared" si="78"/>
        <v>2150</v>
      </c>
      <c r="Q318">
        <f t="shared" si="79"/>
        <v>0.3</v>
      </c>
    </row>
    <row r="319" spans="1:17" x14ac:dyDescent="0.25">
      <c r="A319">
        <v>317</v>
      </c>
      <c r="B319">
        <f t="shared" si="80"/>
        <v>11</v>
      </c>
      <c r="C319">
        <f t="shared" si="81"/>
        <v>2</v>
      </c>
      <c r="D319" t="str">
        <f t="shared" si="67"/>
        <v/>
      </c>
      <c r="E319">
        <f t="shared" si="68"/>
        <v>1060</v>
      </c>
      <c r="F319" t="str">
        <f t="shared" si="69"/>
        <v/>
      </c>
      <c r="G319" t="str">
        <f t="shared" si="70"/>
        <v/>
      </c>
      <c r="H319">
        <f t="shared" si="71"/>
        <v>6389</v>
      </c>
      <c r="I319" t="str">
        <f t="shared" si="72"/>
        <v/>
      </c>
      <c r="J319">
        <f>SUM($G$3:I319)</f>
        <v>1088836</v>
      </c>
      <c r="K319">
        <f t="shared" si="73"/>
        <v>6590.0000000000009</v>
      </c>
      <c r="L319">
        <f t="shared" si="74"/>
        <v>1.1060000000000001</v>
      </c>
      <c r="M319">
        <f t="shared" si="75"/>
        <v>1.0495000000000001</v>
      </c>
      <c r="N319">
        <f t="shared" si="76"/>
        <v>217767.2</v>
      </c>
      <c r="O319">
        <f t="shared" si="77"/>
        <v>7649.3227300000026</v>
      </c>
      <c r="P319">
        <f t="shared" si="78"/>
        <v>2150</v>
      </c>
      <c r="Q319">
        <f t="shared" si="79"/>
        <v>0.3</v>
      </c>
    </row>
    <row r="320" spans="1:17" x14ac:dyDescent="0.25">
      <c r="A320">
        <v>318</v>
      </c>
      <c r="B320">
        <f t="shared" si="80"/>
        <v>11</v>
      </c>
      <c r="C320">
        <f t="shared" si="81"/>
        <v>2</v>
      </c>
      <c r="D320" t="str">
        <f t="shared" si="67"/>
        <v/>
      </c>
      <c r="E320">
        <f t="shared" si="68"/>
        <v>1070</v>
      </c>
      <c r="F320" t="str">
        <f t="shared" si="69"/>
        <v/>
      </c>
      <c r="G320" t="str">
        <f t="shared" si="70"/>
        <v/>
      </c>
      <c r="H320">
        <f t="shared" si="71"/>
        <v>6476</v>
      </c>
      <c r="I320" t="str">
        <f t="shared" si="72"/>
        <v/>
      </c>
      <c r="J320">
        <f>SUM($G$3:I320)</f>
        <v>1095312</v>
      </c>
      <c r="K320">
        <f t="shared" si="73"/>
        <v>6590.0000000000009</v>
      </c>
      <c r="L320">
        <f t="shared" si="74"/>
        <v>1.107</v>
      </c>
      <c r="M320">
        <f t="shared" si="75"/>
        <v>1.0495000000000001</v>
      </c>
      <c r="N320">
        <f t="shared" si="76"/>
        <v>219062.40000000002</v>
      </c>
      <c r="O320">
        <f t="shared" si="77"/>
        <v>7656.2389350000021</v>
      </c>
      <c r="P320">
        <f t="shared" si="78"/>
        <v>2150</v>
      </c>
      <c r="Q320">
        <f t="shared" si="79"/>
        <v>0.3</v>
      </c>
    </row>
    <row r="321" spans="1:17" x14ac:dyDescent="0.25">
      <c r="A321">
        <v>319</v>
      </c>
      <c r="B321">
        <f t="shared" si="80"/>
        <v>11</v>
      </c>
      <c r="C321">
        <f t="shared" si="81"/>
        <v>2</v>
      </c>
      <c r="D321" t="str">
        <f t="shared" si="67"/>
        <v/>
      </c>
      <c r="E321">
        <f t="shared" si="68"/>
        <v>1080</v>
      </c>
      <c r="F321" t="str">
        <f t="shared" si="69"/>
        <v/>
      </c>
      <c r="G321" t="str">
        <f t="shared" si="70"/>
        <v/>
      </c>
      <c r="H321">
        <f t="shared" si="71"/>
        <v>6563</v>
      </c>
      <c r="I321" t="str">
        <f t="shared" si="72"/>
        <v/>
      </c>
      <c r="J321">
        <f>SUM($G$3:I321)</f>
        <v>1101875</v>
      </c>
      <c r="K321">
        <f t="shared" si="73"/>
        <v>6590.0000000000009</v>
      </c>
      <c r="L321">
        <f t="shared" si="74"/>
        <v>1.1080000000000001</v>
      </c>
      <c r="M321">
        <f t="shared" si="75"/>
        <v>1.0495000000000001</v>
      </c>
      <c r="N321">
        <f t="shared" si="76"/>
        <v>220375</v>
      </c>
      <c r="O321">
        <f t="shared" si="77"/>
        <v>7663.1551400000026</v>
      </c>
      <c r="P321">
        <f t="shared" si="78"/>
        <v>2150</v>
      </c>
      <c r="Q321">
        <f t="shared" si="79"/>
        <v>0.3</v>
      </c>
    </row>
    <row r="322" spans="1:17" x14ac:dyDescent="0.25">
      <c r="A322">
        <v>320</v>
      </c>
      <c r="B322">
        <f t="shared" si="80"/>
        <v>11</v>
      </c>
      <c r="C322">
        <f t="shared" si="81"/>
        <v>2</v>
      </c>
      <c r="D322" t="str">
        <f t="shared" si="67"/>
        <v/>
      </c>
      <c r="E322">
        <f t="shared" si="68"/>
        <v>1090</v>
      </c>
      <c r="F322" t="str">
        <f t="shared" si="69"/>
        <v/>
      </c>
      <c r="G322" t="str">
        <f t="shared" si="70"/>
        <v/>
      </c>
      <c r="H322">
        <f t="shared" si="71"/>
        <v>6650</v>
      </c>
      <c r="I322" t="str">
        <f t="shared" si="72"/>
        <v/>
      </c>
      <c r="J322">
        <f>SUM($G$3:I322)</f>
        <v>1108525</v>
      </c>
      <c r="K322">
        <f t="shared" si="73"/>
        <v>6590.0000000000009</v>
      </c>
      <c r="L322">
        <f t="shared" si="74"/>
        <v>1.109</v>
      </c>
      <c r="M322">
        <f t="shared" si="75"/>
        <v>1.0495000000000001</v>
      </c>
      <c r="N322">
        <f t="shared" si="76"/>
        <v>221705</v>
      </c>
      <c r="O322">
        <f t="shared" si="77"/>
        <v>7670.0713450000021</v>
      </c>
      <c r="P322">
        <f t="shared" si="78"/>
        <v>2150</v>
      </c>
      <c r="Q322">
        <f t="shared" si="79"/>
        <v>0.3</v>
      </c>
    </row>
    <row r="323" spans="1:17" x14ac:dyDescent="0.25">
      <c r="A323">
        <v>321</v>
      </c>
      <c r="B323">
        <f t="shared" si="80"/>
        <v>11</v>
      </c>
      <c r="C323">
        <f t="shared" si="81"/>
        <v>3</v>
      </c>
      <c r="D323" t="str">
        <f t="shared" ref="D323:D386" si="82">IF($C323=1,INDEX($Z:$Z,MATCH($B323,$Y:$Y,0))+MOD($A323-1,10)*INDEX($AC:$AC,MATCH($B323,$Y:$Y,0)),"")</f>
        <v/>
      </c>
      <c r="E323" t="str">
        <f t="shared" ref="E323:E386" si="83">IF($C323=2,INDEX($AA:$AA,MATCH($B323,$Y:$Y,0))+MOD($A323-1,10)*INDEX($AD:$AD,MATCH($B323,$Y:$Y,0)),"")</f>
        <v/>
      </c>
      <c r="F323">
        <f t="shared" ref="F323:F386" si="84">IF($C323=3,INDEX($AB:$AB,MATCH($B323,$Y:$Y,0))+MOD($A323-1,10)*INDEX($AE:$AE,MATCH($B323,$Y:$Y,0)),"")</f>
        <v>500</v>
      </c>
      <c r="G323" t="str">
        <f t="shared" ref="G323:G386" si="85">IF($C323=1,INDEX($AF:$AF,MATCH($B323,$Y:$Y,0))+MOD($A323-1,10)*INDEX($AI:$AI,MATCH($B323,$Y:$Y,0)),"")</f>
        <v/>
      </c>
      <c r="H323" t="str">
        <f t="shared" ref="H323:H386" si="86">IF($C323=2,INDEX($AG:$AG,MATCH($B323,$Y:$Y,0))+MOD($A323-1,10)*INDEX($AJ:$AJ,MATCH($B323,$Y:$Y,0)),"")</f>
        <v/>
      </c>
      <c r="I323">
        <f t="shared" ref="I323:I386" si="87">IF($C323=3,INDEX($AH:$AH,MATCH($B323,$Y:$Y,0))+MOD($A323-1,10)*INDEX($AK:$AK,MATCH($B323,$Y:$Y,0)),"")</f>
        <v>4500</v>
      </c>
      <c r="J323">
        <f>SUM($G$3:I323)</f>
        <v>1113025</v>
      </c>
      <c r="K323">
        <f t="shared" si="73"/>
        <v>6590.0000000000009</v>
      </c>
      <c r="L323">
        <f t="shared" si="74"/>
        <v>1.109</v>
      </c>
      <c r="M323">
        <f t="shared" si="75"/>
        <v>1.05</v>
      </c>
      <c r="N323">
        <f t="shared" si="76"/>
        <v>222605</v>
      </c>
      <c r="O323">
        <f t="shared" si="77"/>
        <v>7673.7255000000014</v>
      </c>
      <c r="P323">
        <f t="shared" si="78"/>
        <v>2150</v>
      </c>
      <c r="Q323">
        <f t="shared" si="79"/>
        <v>0.3</v>
      </c>
    </row>
    <row r="324" spans="1:17" x14ac:dyDescent="0.25">
      <c r="A324">
        <v>322</v>
      </c>
      <c r="B324">
        <f t="shared" si="80"/>
        <v>11</v>
      </c>
      <c r="C324">
        <f t="shared" si="81"/>
        <v>3</v>
      </c>
      <c r="D324" t="str">
        <f t="shared" si="82"/>
        <v/>
      </c>
      <c r="E324" t="str">
        <f t="shared" si="83"/>
        <v/>
      </c>
      <c r="F324">
        <f t="shared" si="84"/>
        <v>505</v>
      </c>
      <c r="G324" t="str">
        <f t="shared" si="85"/>
        <v/>
      </c>
      <c r="H324" t="str">
        <f t="shared" si="86"/>
        <v/>
      </c>
      <c r="I324">
        <f t="shared" si="87"/>
        <v>4550</v>
      </c>
      <c r="J324">
        <f>SUM($G$3:I324)</f>
        <v>1117575</v>
      </c>
      <c r="K324">
        <f t="shared" ref="K324:K387" si="88">_xlfn.MAXIFS($D:$D,$A:$A,"&lt;="&amp;A324)/10*100</f>
        <v>6590.0000000000009</v>
      </c>
      <c r="L324">
        <f t="shared" ref="L324:L387" si="89">_xlfn.MAXIFS($E:$E,$A:$A,"&lt;="&amp;A324)/10000+1</f>
        <v>1.109</v>
      </c>
      <c r="M324">
        <f t="shared" ref="M324:M387" si="90">_xlfn.MAXIFS($F:$F,$A:$A,"&lt;="&amp;A324)/10000+1</f>
        <v>1.0505</v>
      </c>
      <c r="N324">
        <f t="shared" ref="N324:N387" si="91">J324*0.2</f>
        <v>223515</v>
      </c>
      <c r="O324">
        <f t="shared" ref="O324:O387" si="92">K324*L324*M324</f>
        <v>7677.3796550000015</v>
      </c>
      <c r="P324">
        <f t="shared" ref="P324:P387" si="93">SUMIFS($AZ:$AZ,$AW:$AW,$AW$3,$AY:$AY,3,$AV:$AV,"&lt;="&amp;A324)</f>
        <v>2150</v>
      </c>
      <c r="Q324">
        <f t="shared" ref="Q324:Q387" si="94">SUMIFS($AZ:$AZ,$AY:$AY,98,$AV:$AV,"&lt;="&amp;A324)*10/100</f>
        <v>0.3</v>
      </c>
    </row>
    <row r="325" spans="1:17" x14ac:dyDescent="0.25">
      <c r="A325">
        <v>323</v>
      </c>
      <c r="B325">
        <f t="shared" si="80"/>
        <v>11</v>
      </c>
      <c r="C325">
        <f t="shared" si="81"/>
        <v>3</v>
      </c>
      <c r="D325" t="str">
        <f t="shared" si="82"/>
        <v/>
      </c>
      <c r="E325" t="str">
        <f t="shared" si="83"/>
        <v/>
      </c>
      <c r="F325">
        <f t="shared" si="84"/>
        <v>510</v>
      </c>
      <c r="G325" t="str">
        <f t="shared" si="85"/>
        <v/>
      </c>
      <c r="H325" t="str">
        <f t="shared" si="86"/>
        <v/>
      </c>
      <c r="I325">
        <f t="shared" si="87"/>
        <v>4600</v>
      </c>
      <c r="J325">
        <f>SUM($G$3:I325)</f>
        <v>1122175</v>
      </c>
      <c r="K325">
        <f t="shared" si="88"/>
        <v>6590.0000000000009</v>
      </c>
      <c r="L325">
        <f t="shared" si="89"/>
        <v>1.109</v>
      </c>
      <c r="M325">
        <f t="shared" si="90"/>
        <v>1.0509999999999999</v>
      </c>
      <c r="N325">
        <f t="shared" si="91"/>
        <v>224435</v>
      </c>
      <c r="O325">
        <f t="shared" si="92"/>
        <v>7681.0338100000008</v>
      </c>
      <c r="P325">
        <f t="shared" si="93"/>
        <v>2150</v>
      </c>
      <c r="Q325">
        <f t="shared" si="94"/>
        <v>0.3</v>
      </c>
    </row>
    <row r="326" spans="1:17" x14ac:dyDescent="0.25">
      <c r="A326">
        <v>324</v>
      </c>
      <c r="B326">
        <f t="shared" si="80"/>
        <v>11</v>
      </c>
      <c r="C326">
        <f t="shared" si="81"/>
        <v>3</v>
      </c>
      <c r="D326" t="str">
        <f t="shared" si="82"/>
        <v/>
      </c>
      <c r="E326" t="str">
        <f t="shared" si="83"/>
        <v/>
      </c>
      <c r="F326">
        <f t="shared" si="84"/>
        <v>515</v>
      </c>
      <c r="G326" t="str">
        <f t="shared" si="85"/>
        <v/>
      </c>
      <c r="H326" t="str">
        <f t="shared" si="86"/>
        <v/>
      </c>
      <c r="I326">
        <f t="shared" si="87"/>
        <v>4650</v>
      </c>
      <c r="J326">
        <f>SUM($G$3:I326)</f>
        <v>1126825</v>
      </c>
      <c r="K326">
        <f t="shared" si="88"/>
        <v>6590.0000000000009</v>
      </c>
      <c r="L326">
        <f t="shared" si="89"/>
        <v>1.109</v>
      </c>
      <c r="M326">
        <f t="shared" si="90"/>
        <v>1.0515000000000001</v>
      </c>
      <c r="N326">
        <f t="shared" si="91"/>
        <v>225365</v>
      </c>
      <c r="O326">
        <f t="shared" si="92"/>
        <v>7684.6879650000019</v>
      </c>
      <c r="P326">
        <f t="shared" si="93"/>
        <v>2150</v>
      </c>
      <c r="Q326">
        <f t="shared" si="94"/>
        <v>0.3</v>
      </c>
    </row>
    <row r="327" spans="1:17" x14ac:dyDescent="0.25">
      <c r="A327">
        <v>325</v>
      </c>
      <c r="B327">
        <f t="shared" si="80"/>
        <v>11</v>
      </c>
      <c r="C327">
        <f t="shared" si="81"/>
        <v>3</v>
      </c>
      <c r="D327" t="str">
        <f t="shared" si="82"/>
        <v/>
      </c>
      <c r="E327" t="str">
        <f t="shared" si="83"/>
        <v/>
      </c>
      <c r="F327">
        <f t="shared" si="84"/>
        <v>520</v>
      </c>
      <c r="G327" t="str">
        <f t="shared" si="85"/>
        <v/>
      </c>
      <c r="H327" t="str">
        <f t="shared" si="86"/>
        <v/>
      </c>
      <c r="I327">
        <f t="shared" si="87"/>
        <v>4700</v>
      </c>
      <c r="J327">
        <f>SUM($G$3:I327)</f>
        <v>1131525</v>
      </c>
      <c r="K327">
        <f t="shared" si="88"/>
        <v>6590.0000000000009</v>
      </c>
      <c r="L327">
        <f t="shared" si="89"/>
        <v>1.109</v>
      </c>
      <c r="M327">
        <f t="shared" si="90"/>
        <v>1.052</v>
      </c>
      <c r="N327">
        <f t="shared" si="91"/>
        <v>226305</v>
      </c>
      <c r="O327">
        <f t="shared" si="92"/>
        <v>7688.3421200000021</v>
      </c>
      <c r="P327">
        <f t="shared" si="93"/>
        <v>2150</v>
      </c>
      <c r="Q327">
        <f t="shared" si="94"/>
        <v>0.3</v>
      </c>
    </row>
    <row r="328" spans="1:17" x14ac:dyDescent="0.25">
      <c r="A328">
        <v>326</v>
      </c>
      <c r="B328">
        <f t="shared" si="80"/>
        <v>11</v>
      </c>
      <c r="C328">
        <f t="shared" si="81"/>
        <v>3</v>
      </c>
      <c r="D328" t="str">
        <f t="shared" si="82"/>
        <v/>
      </c>
      <c r="E328" t="str">
        <f t="shared" si="83"/>
        <v/>
      </c>
      <c r="F328">
        <f t="shared" si="84"/>
        <v>525</v>
      </c>
      <c r="G328" t="str">
        <f t="shared" si="85"/>
        <v/>
      </c>
      <c r="H328" t="str">
        <f t="shared" si="86"/>
        <v/>
      </c>
      <c r="I328">
        <f t="shared" si="87"/>
        <v>4750</v>
      </c>
      <c r="J328">
        <f>SUM($G$3:I328)</f>
        <v>1136275</v>
      </c>
      <c r="K328">
        <f t="shared" si="88"/>
        <v>6590.0000000000009</v>
      </c>
      <c r="L328">
        <f t="shared" si="89"/>
        <v>1.109</v>
      </c>
      <c r="M328">
        <f t="shared" si="90"/>
        <v>1.0525</v>
      </c>
      <c r="N328">
        <f t="shared" si="91"/>
        <v>227255</v>
      </c>
      <c r="O328">
        <f t="shared" si="92"/>
        <v>7691.9962750000013</v>
      </c>
      <c r="P328">
        <f t="shared" si="93"/>
        <v>2150</v>
      </c>
      <c r="Q328">
        <f t="shared" si="94"/>
        <v>0.3</v>
      </c>
    </row>
    <row r="329" spans="1:17" x14ac:dyDescent="0.25">
      <c r="A329">
        <v>327</v>
      </c>
      <c r="B329">
        <f t="shared" si="80"/>
        <v>11</v>
      </c>
      <c r="C329">
        <f t="shared" si="81"/>
        <v>3</v>
      </c>
      <c r="D329" t="str">
        <f t="shared" si="82"/>
        <v/>
      </c>
      <c r="E329" t="str">
        <f t="shared" si="83"/>
        <v/>
      </c>
      <c r="F329">
        <f t="shared" si="84"/>
        <v>530</v>
      </c>
      <c r="G329" t="str">
        <f t="shared" si="85"/>
        <v/>
      </c>
      <c r="H329" t="str">
        <f t="shared" si="86"/>
        <v/>
      </c>
      <c r="I329">
        <f t="shared" si="87"/>
        <v>4800</v>
      </c>
      <c r="J329">
        <f>SUM($G$3:I329)</f>
        <v>1141075</v>
      </c>
      <c r="K329">
        <f t="shared" si="88"/>
        <v>6590.0000000000009</v>
      </c>
      <c r="L329">
        <f t="shared" si="89"/>
        <v>1.109</v>
      </c>
      <c r="M329">
        <f t="shared" si="90"/>
        <v>1.0529999999999999</v>
      </c>
      <c r="N329">
        <f t="shared" si="91"/>
        <v>228215</v>
      </c>
      <c r="O329">
        <f t="shared" si="92"/>
        <v>7695.6504300000006</v>
      </c>
      <c r="P329">
        <f t="shared" si="93"/>
        <v>2150</v>
      </c>
      <c r="Q329">
        <f t="shared" si="94"/>
        <v>0.3</v>
      </c>
    </row>
    <row r="330" spans="1:17" x14ac:dyDescent="0.25">
      <c r="A330">
        <v>328</v>
      </c>
      <c r="B330">
        <f t="shared" si="80"/>
        <v>11</v>
      </c>
      <c r="C330">
        <f t="shared" si="81"/>
        <v>3</v>
      </c>
      <c r="D330" t="str">
        <f t="shared" si="82"/>
        <v/>
      </c>
      <c r="E330" t="str">
        <f t="shared" si="83"/>
        <v/>
      </c>
      <c r="F330">
        <f t="shared" si="84"/>
        <v>535</v>
      </c>
      <c r="G330" t="str">
        <f t="shared" si="85"/>
        <v/>
      </c>
      <c r="H330" t="str">
        <f t="shared" si="86"/>
        <v/>
      </c>
      <c r="I330">
        <f t="shared" si="87"/>
        <v>4850</v>
      </c>
      <c r="J330">
        <f>SUM($G$3:I330)</f>
        <v>1145925</v>
      </c>
      <c r="K330">
        <f t="shared" si="88"/>
        <v>6590.0000000000009</v>
      </c>
      <c r="L330">
        <f t="shared" si="89"/>
        <v>1.109</v>
      </c>
      <c r="M330">
        <f t="shared" si="90"/>
        <v>1.0535000000000001</v>
      </c>
      <c r="N330">
        <f t="shared" si="91"/>
        <v>229185</v>
      </c>
      <c r="O330">
        <f t="shared" si="92"/>
        <v>7699.3045850000017</v>
      </c>
      <c r="P330">
        <f t="shared" si="93"/>
        <v>2150</v>
      </c>
      <c r="Q330">
        <f t="shared" si="94"/>
        <v>0.3</v>
      </c>
    </row>
    <row r="331" spans="1:17" x14ac:dyDescent="0.25">
      <c r="A331">
        <v>329</v>
      </c>
      <c r="B331">
        <f t="shared" si="80"/>
        <v>11</v>
      </c>
      <c r="C331">
        <f t="shared" si="81"/>
        <v>3</v>
      </c>
      <c r="D331" t="str">
        <f t="shared" si="82"/>
        <v/>
      </c>
      <c r="E331" t="str">
        <f t="shared" si="83"/>
        <v/>
      </c>
      <c r="F331">
        <f t="shared" si="84"/>
        <v>540</v>
      </c>
      <c r="G331" t="str">
        <f t="shared" si="85"/>
        <v/>
      </c>
      <c r="H331" t="str">
        <f t="shared" si="86"/>
        <v/>
      </c>
      <c r="I331">
        <f t="shared" si="87"/>
        <v>4900</v>
      </c>
      <c r="J331">
        <f>SUM($G$3:I331)</f>
        <v>1150825</v>
      </c>
      <c r="K331">
        <f t="shared" si="88"/>
        <v>6590.0000000000009</v>
      </c>
      <c r="L331">
        <f t="shared" si="89"/>
        <v>1.109</v>
      </c>
      <c r="M331">
        <f t="shared" si="90"/>
        <v>1.054</v>
      </c>
      <c r="N331">
        <f t="shared" si="91"/>
        <v>230165</v>
      </c>
      <c r="O331">
        <f t="shared" si="92"/>
        <v>7702.9587400000019</v>
      </c>
      <c r="P331">
        <f t="shared" si="93"/>
        <v>2150</v>
      </c>
      <c r="Q331">
        <f t="shared" si="94"/>
        <v>0.3</v>
      </c>
    </row>
    <row r="332" spans="1:17" x14ac:dyDescent="0.25">
      <c r="A332">
        <v>330</v>
      </c>
      <c r="B332">
        <f t="shared" si="80"/>
        <v>11</v>
      </c>
      <c r="C332">
        <f t="shared" si="81"/>
        <v>3</v>
      </c>
      <c r="D332" t="str">
        <f t="shared" si="82"/>
        <v/>
      </c>
      <c r="E332" t="str">
        <f t="shared" si="83"/>
        <v/>
      </c>
      <c r="F332">
        <f t="shared" si="84"/>
        <v>545</v>
      </c>
      <c r="G332" t="str">
        <f t="shared" si="85"/>
        <v/>
      </c>
      <c r="H332" t="str">
        <f t="shared" si="86"/>
        <v/>
      </c>
      <c r="I332">
        <f t="shared" si="87"/>
        <v>4950</v>
      </c>
      <c r="J332">
        <f>SUM($G$3:I332)</f>
        <v>1155775</v>
      </c>
      <c r="K332">
        <f t="shared" si="88"/>
        <v>6590.0000000000009</v>
      </c>
      <c r="L332">
        <f t="shared" si="89"/>
        <v>1.109</v>
      </c>
      <c r="M332">
        <f t="shared" si="90"/>
        <v>1.0545</v>
      </c>
      <c r="N332">
        <f t="shared" si="91"/>
        <v>231155</v>
      </c>
      <c r="O332">
        <f t="shared" si="92"/>
        <v>7706.6128950000011</v>
      </c>
      <c r="P332">
        <f t="shared" si="93"/>
        <v>2150</v>
      </c>
      <c r="Q332">
        <f t="shared" si="94"/>
        <v>0.3</v>
      </c>
    </row>
    <row r="333" spans="1:17" x14ac:dyDescent="0.25">
      <c r="A333">
        <v>331</v>
      </c>
      <c r="B333">
        <f t="shared" si="80"/>
        <v>12</v>
      </c>
      <c r="C333">
        <f t="shared" si="81"/>
        <v>1</v>
      </c>
      <c r="D333">
        <f t="shared" si="82"/>
        <v>670</v>
      </c>
      <c r="E333" t="str">
        <f t="shared" si="83"/>
        <v/>
      </c>
      <c r="F333" t="str">
        <f t="shared" si="84"/>
        <v/>
      </c>
      <c r="G333">
        <f t="shared" si="85"/>
        <v>11200</v>
      </c>
      <c r="H333" t="str">
        <f t="shared" si="86"/>
        <v/>
      </c>
      <c r="I333" t="str">
        <f t="shared" si="87"/>
        <v/>
      </c>
      <c r="J333">
        <f>SUM($G$3:I333)</f>
        <v>1166975</v>
      </c>
      <c r="K333">
        <f t="shared" si="88"/>
        <v>6700</v>
      </c>
      <c r="L333">
        <f t="shared" si="89"/>
        <v>1.109</v>
      </c>
      <c r="M333">
        <f t="shared" si="90"/>
        <v>1.0545</v>
      </c>
      <c r="N333">
        <f t="shared" si="91"/>
        <v>233395</v>
      </c>
      <c r="O333">
        <f t="shared" si="92"/>
        <v>7835.2513500000005</v>
      </c>
      <c r="P333">
        <f t="shared" si="93"/>
        <v>2150</v>
      </c>
      <c r="Q333">
        <f t="shared" si="94"/>
        <v>0.3</v>
      </c>
    </row>
    <row r="334" spans="1:17" x14ac:dyDescent="0.25">
      <c r="A334">
        <v>332</v>
      </c>
      <c r="B334">
        <f t="shared" si="80"/>
        <v>12</v>
      </c>
      <c r="C334">
        <f t="shared" si="81"/>
        <v>1</v>
      </c>
      <c r="D334">
        <f t="shared" si="82"/>
        <v>682</v>
      </c>
      <c r="E334" t="str">
        <f t="shared" si="83"/>
        <v/>
      </c>
      <c r="F334" t="str">
        <f t="shared" si="84"/>
        <v/>
      </c>
      <c r="G334">
        <f t="shared" si="85"/>
        <v>11300</v>
      </c>
      <c r="H334" t="str">
        <f t="shared" si="86"/>
        <v/>
      </c>
      <c r="I334" t="str">
        <f t="shared" si="87"/>
        <v/>
      </c>
      <c r="J334">
        <f>SUM($G$3:I334)</f>
        <v>1178275</v>
      </c>
      <c r="K334">
        <f t="shared" si="88"/>
        <v>6820</v>
      </c>
      <c r="L334">
        <f t="shared" si="89"/>
        <v>1.109</v>
      </c>
      <c r="M334">
        <f t="shared" si="90"/>
        <v>1.0545</v>
      </c>
      <c r="N334">
        <f t="shared" si="91"/>
        <v>235655</v>
      </c>
      <c r="O334">
        <f t="shared" si="92"/>
        <v>7975.58421</v>
      </c>
      <c r="P334">
        <f t="shared" si="93"/>
        <v>2150</v>
      </c>
      <c r="Q334">
        <f t="shared" si="94"/>
        <v>0.3</v>
      </c>
    </row>
    <row r="335" spans="1:17" x14ac:dyDescent="0.25">
      <c r="A335">
        <v>333</v>
      </c>
      <c r="B335">
        <f t="shared" si="80"/>
        <v>12</v>
      </c>
      <c r="C335">
        <f t="shared" si="81"/>
        <v>1</v>
      </c>
      <c r="D335">
        <f t="shared" si="82"/>
        <v>694</v>
      </c>
      <c r="E335" t="str">
        <f t="shared" si="83"/>
        <v/>
      </c>
      <c r="F335" t="str">
        <f t="shared" si="84"/>
        <v/>
      </c>
      <c r="G335">
        <f t="shared" si="85"/>
        <v>11400</v>
      </c>
      <c r="H335" t="str">
        <f t="shared" si="86"/>
        <v/>
      </c>
      <c r="I335" t="str">
        <f t="shared" si="87"/>
        <v/>
      </c>
      <c r="J335">
        <f>SUM($G$3:I335)</f>
        <v>1189675</v>
      </c>
      <c r="K335">
        <f t="shared" si="88"/>
        <v>6940.0000000000009</v>
      </c>
      <c r="L335">
        <f t="shared" si="89"/>
        <v>1.109</v>
      </c>
      <c r="M335">
        <f t="shared" si="90"/>
        <v>1.0545</v>
      </c>
      <c r="N335">
        <f t="shared" si="91"/>
        <v>237935</v>
      </c>
      <c r="O335">
        <f t="shared" si="92"/>
        <v>8115.9170700000013</v>
      </c>
      <c r="P335">
        <f t="shared" si="93"/>
        <v>2150</v>
      </c>
      <c r="Q335">
        <f t="shared" si="94"/>
        <v>0.3</v>
      </c>
    </row>
    <row r="336" spans="1:17" x14ac:dyDescent="0.25">
      <c r="A336">
        <v>334</v>
      </c>
      <c r="B336">
        <f t="shared" si="80"/>
        <v>12</v>
      </c>
      <c r="C336">
        <f t="shared" si="81"/>
        <v>1</v>
      </c>
      <c r="D336">
        <f t="shared" si="82"/>
        <v>706</v>
      </c>
      <c r="E336" t="str">
        <f t="shared" si="83"/>
        <v/>
      </c>
      <c r="F336" t="str">
        <f t="shared" si="84"/>
        <v/>
      </c>
      <c r="G336">
        <f t="shared" si="85"/>
        <v>11500</v>
      </c>
      <c r="H336" t="str">
        <f t="shared" si="86"/>
        <v/>
      </c>
      <c r="I336" t="str">
        <f t="shared" si="87"/>
        <v/>
      </c>
      <c r="J336">
        <f>SUM($G$3:I336)</f>
        <v>1201175</v>
      </c>
      <c r="K336">
        <f t="shared" si="88"/>
        <v>7059.9999999999991</v>
      </c>
      <c r="L336">
        <f t="shared" si="89"/>
        <v>1.109</v>
      </c>
      <c r="M336">
        <f t="shared" si="90"/>
        <v>1.0545</v>
      </c>
      <c r="N336">
        <f t="shared" si="91"/>
        <v>240235</v>
      </c>
      <c r="O336">
        <f t="shared" si="92"/>
        <v>8256.2499299999981</v>
      </c>
      <c r="P336">
        <f t="shared" si="93"/>
        <v>2150</v>
      </c>
      <c r="Q336">
        <f t="shared" si="94"/>
        <v>0.3</v>
      </c>
    </row>
    <row r="337" spans="1:17" x14ac:dyDescent="0.25">
      <c r="A337">
        <v>335</v>
      </c>
      <c r="B337">
        <f t="shared" si="80"/>
        <v>12</v>
      </c>
      <c r="C337">
        <f t="shared" si="81"/>
        <v>1</v>
      </c>
      <c r="D337">
        <f t="shared" si="82"/>
        <v>718</v>
      </c>
      <c r="E337" t="str">
        <f t="shared" si="83"/>
        <v/>
      </c>
      <c r="F337" t="str">
        <f t="shared" si="84"/>
        <v/>
      </c>
      <c r="G337">
        <f t="shared" si="85"/>
        <v>11600</v>
      </c>
      <c r="H337" t="str">
        <f t="shared" si="86"/>
        <v/>
      </c>
      <c r="I337" t="str">
        <f t="shared" si="87"/>
        <v/>
      </c>
      <c r="J337">
        <f>SUM($G$3:I337)</f>
        <v>1212775</v>
      </c>
      <c r="K337">
        <f t="shared" si="88"/>
        <v>7180</v>
      </c>
      <c r="L337">
        <f t="shared" si="89"/>
        <v>1.109</v>
      </c>
      <c r="M337">
        <f t="shared" si="90"/>
        <v>1.0545</v>
      </c>
      <c r="N337">
        <f t="shared" si="91"/>
        <v>242555</v>
      </c>
      <c r="O337">
        <f t="shared" si="92"/>
        <v>8396.5827900000004</v>
      </c>
      <c r="P337">
        <f t="shared" si="93"/>
        <v>2150</v>
      </c>
      <c r="Q337">
        <f t="shared" si="94"/>
        <v>0.3</v>
      </c>
    </row>
    <row r="338" spans="1:17" x14ac:dyDescent="0.25">
      <c r="A338">
        <v>336</v>
      </c>
      <c r="B338">
        <f t="shared" si="80"/>
        <v>12</v>
      </c>
      <c r="C338">
        <f t="shared" si="81"/>
        <v>1</v>
      </c>
      <c r="D338">
        <f t="shared" si="82"/>
        <v>730</v>
      </c>
      <c r="E338" t="str">
        <f t="shared" si="83"/>
        <v/>
      </c>
      <c r="F338" t="str">
        <f t="shared" si="84"/>
        <v/>
      </c>
      <c r="G338">
        <f t="shared" si="85"/>
        <v>11700</v>
      </c>
      <c r="H338" t="str">
        <f t="shared" si="86"/>
        <v/>
      </c>
      <c r="I338" t="str">
        <f t="shared" si="87"/>
        <v/>
      </c>
      <c r="J338">
        <f>SUM($G$3:I338)</f>
        <v>1224475</v>
      </c>
      <c r="K338">
        <f t="shared" si="88"/>
        <v>7300</v>
      </c>
      <c r="L338">
        <f t="shared" si="89"/>
        <v>1.109</v>
      </c>
      <c r="M338">
        <f t="shared" si="90"/>
        <v>1.0545</v>
      </c>
      <c r="N338">
        <f t="shared" si="91"/>
        <v>244895</v>
      </c>
      <c r="O338">
        <f t="shared" si="92"/>
        <v>8536.915649999999</v>
      </c>
      <c r="P338">
        <f t="shared" si="93"/>
        <v>2150</v>
      </c>
      <c r="Q338">
        <f t="shared" si="94"/>
        <v>0.3</v>
      </c>
    </row>
    <row r="339" spans="1:17" x14ac:dyDescent="0.25">
      <c r="A339">
        <v>337</v>
      </c>
      <c r="B339">
        <f t="shared" si="80"/>
        <v>12</v>
      </c>
      <c r="C339">
        <f t="shared" si="81"/>
        <v>1</v>
      </c>
      <c r="D339">
        <f t="shared" si="82"/>
        <v>742</v>
      </c>
      <c r="E339" t="str">
        <f t="shared" si="83"/>
        <v/>
      </c>
      <c r="F339" t="str">
        <f t="shared" si="84"/>
        <v/>
      </c>
      <c r="G339">
        <f t="shared" si="85"/>
        <v>11800</v>
      </c>
      <c r="H339" t="str">
        <f t="shared" si="86"/>
        <v/>
      </c>
      <c r="I339" t="str">
        <f t="shared" si="87"/>
        <v/>
      </c>
      <c r="J339">
        <f>SUM($G$3:I339)</f>
        <v>1236275</v>
      </c>
      <c r="K339">
        <f t="shared" si="88"/>
        <v>7420</v>
      </c>
      <c r="L339">
        <f t="shared" si="89"/>
        <v>1.109</v>
      </c>
      <c r="M339">
        <f t="shared" si="90"/>
        <v>1.0545</v>
      </c>
      <c r="N339">
        <f t="shared" si="91"/>
        <v>247255</v>
      </c>
      <c r="O339">
        <f t="shared" si="92"/>
        <v>8677.2485100000013</v>
      </c>
      <c r="P339">
        <f t="shared" si="93"/>
        <v>2150</v>
      </c>
      <c r="Q339">
        <f t="shared" si="94"/>
        <v>0.3</v>
      </c>
    </row>
    <row r="340" spans="1:17" x14ac:dyDescent="0.25">
      <c r="A340">
        <v>338</v>
      </c>
      <c r="B340">
        <f t="shared" si="80"/>
        <v>12</v>
      </c>
      <c r="C340">
        <f t="shared" si="81"/>
        <v>1</v>
      </c>
      <c r="D340">
        <f t="shared" si="82"/>
        <v>754</v>
      </c>
      <c r="E340" t="str">
        <f t="shared" si="83"/>
        <v/>
      </c>
      <c r="F340" t="str">
        <f t="shared" si="84"/>
        <v/>
      </c>
      <c r="G340">
        <f t="shared" si="85"/>
        <v>11900</v>
      </c>
      <c r="H340" t="str">
        <f t="shared" si="86"/>
        <v/>
      </c>
      <c r="I340" t="str">
        <f t="shared" si="87"/>
        <v/>
      </c>
      <c r="J340">
        <f>SUM($G$3:I340)</f>
        <v>1248175</v>
      </c>
      <c r="K340">
        <f t="shared" si="88"/>
        <v>7540.0000000000009</v>
      </c>
      <c r="L340">
        <f t="shared" si="89"/>
        <v>1.109</v>
      </c>
      <c r="M340">
        <f t="shared" si="90"/>
        <v>1.0545</v>
      </c>
      <c r="N340">
        <f t="shared" si="91"/>
        <v>249635</v>
      </c>
      <c r="O340">
        <f t="shared" si="92"/>
        <v>8817.5813699999999</v>
      </c>
      <c r="P340">
        <f t="shared" si="93"/>
        <v>2150</v>
      </c>
      <c r="Q340">
        <f t="shared" si="94"/>
        <v>0.3</v>
      </c>
    </row>
    <row r="341" spans="1:17" x14ac:dyDescent="0.25">
      <c r="A341">
        <v>339</v>
      </c>
      <c r="B341">
        <f t="shared" si="80"/>
        <v>12</v>
      </c>
      <c r="C341">
        <f t="shared" si="81"/>
        <v>1</v>
      </c>
      <c r="D341">
        <f t="shared" si="82"/>
        <v>766</v>
      </c>
      <c r="E341" t="str">
        <f t="shared" si="83"/>
        <v/>
      </c>
      <c r="F341" t="str">
        <f t="shared" si="84"/>
        <v/>
      </c>
      <c r="G341">
        <f t="shared" si="85"/>
        <v>12000</v>
      </c>
      <c r="H341" t="str">
        <f t="shared" si="86"/>
        <v/>
      </c>
      <c r="I341" t="str">
        <f t="shared" si="87"/>
        <v/>
      </c>
      <c r="J341">
        <f>SUM($G$3:I341)</f>
        <v>1260175</v>
      </c>
      <c r="K341">
        <f t="shared" si="88"/>
        <v>7659.9999999999991</v>
      </c>
      <c r="L341">
        <f t="shared" si="89"/>
        <v>1.109</v>
      </c>
      <c r="M341">
        <f t="shared" si="90"/>
        <v>1.0545</v>
      </c>
      <c r="N341">
        <f t="shared" si="91"/>
        <v>252035</v>
      </c>
      <c r="O341">
        <f t="shared" si="92"/>
        <v>8957.9142299999985</v>
      </c>
      <c r="P341">
        <f t="shared" si="93"/>
        <v>2150</v>
      </c>
      <c r="Q341">
        <f t="shared" si="94"/>
        <v>0.3</v>
      </c>
    </row>
    <row r="342" spans="1:17" x14ac:dyDescent="0.25">
      <c r="A342">
        <v>340</v>
      </c>
      <c r="B342">
        <f t="shared" si="80"/>
        <v>12</v>
      </c>
      <c r="C342">
        <f t="shared" si="81"/>
        <v>1</v>
      </c>
      <c r="D342">
        <f t="shared" si="82"/>
        <v>778</v>
      </c>
      <c r="E342" t="str">
        <f t="shared" si="83"/>
        <v/>
      </c>
      <c r="F342" t="str">
        <f t="shared" si="84"/>
        <v/>
      </c>
      <c r="G342">
        <f t="shared" si="85"/>
        <v>12100</v>
      </c>
      <c r="H342" t="str">
        <f t="shared" si="86"/>
        <v/>
      </c>
      <c r="I342" t="str">
        <f t="shared" si="87"/>
        <v/>
      </c>
      <c r="J342">
        <f>SUM($G$3:I342)</f>
        <v>1272275</v>
      </c>
      <c r="K342">
        <f t="shared" si="88"/>
        <v>7780</v>
      </c>
      <c r="L342">
        <f t="shared" si="89"/>
        <v>1.109</v>
      </c>
      <c r="M342">
        <f t="shared" si="90"/>
        <v>1.0545</v>
      </c>
      <c r="N342">
        <f t="shared" si="91"/>
        <v>254455</v>
      </c>
      <c r="O342">
        <f t="shared" si="92"/>
        <v>9098.2470900000008</v>
      </c>
      <c r="P342">
        <f t="shared" si="93"/>
        <v>2650</v>
      </c>
      <c r="Q342">
        <f t="shared" si="94"/>
        <v>0.3</v>
      </c>
    </row>
    <row r="343" spans="1:17" x14ac:dyDescent="0.25">
      <c r="A343">
        <v>341</v>
      </c>
      <c r="B343">
        <f t="shared" si="80"/>
        <v>12</v>
      </c>
      <c r="C343">
        <f t="shared" si="81"/>
        <v>2</v>
      </c>
      <c r="D343" t="str">
        <f t="shared" si="82"/>
        <v/>
      </c>
      <c r="E343">
        <f t="shared" si="83"/>
        <v>1100</v>
      </c>
      <c r="F343" t="str">
        <f t="shared" si="84"/>
        <v/>
      </c>
      <c r="G343" t="str">
        <f t="shared" si="85"/>
        <v/>
      </c>
      <c r="H343">
        <f t="shared" si="86"/>
        <v>7000</v>
      </c>
      <c r="I343" t="str">
        <f t="shared" si="87"/>
        <v/>
      </c>
      <c r="J343">
        <f>SUM($G$3:I343)</f>
        <v>1279275</v>
      </c>
      <c r="K343">
        <f t="shared" si="88"/>
        <v>7780</v>
      </c>
      <c r="L343">
        <f t="shared" si="89"/>
        <v>1.1100000000000001</v>
      </c>
      <c r="M343">
        <f t="shared" si="90"/>
        <v>1.0545</v>
      </c>
      <c r="N343">
        <f t="shared" si="91"/>
        <v>255855</v>
      </c>
      <c r="O343">
        <f t="shared" si="92"/>
        <v>9106.4511000000002</v>
      </c>
      <c r="P343">
        <f t="shared" si="93"/>
        <v>2650</v>
      </c>
      <c r="Q343">
        <f t="shared" si="94"/>
        <v>0.3</v>
      </c>
    </row>
    <row r="344" spans="1:17" x14ac:dyDescent="0.25">
      <c r="A344">
        <v>342</v>
      </c>
      <c r="B344">
        <f t="shared" si="80"/>
        <v>12</v>
      </c>
      <c r="C344">
        <f t="shared" si="81"/>
        <v>2</v>
      </c>
      <c r="D344" t="str">
        <f t="shared" si="82"/>
        <v/>
      </c>
      <c r="E344">
        <f t="shared" si="83"/>
        <v>1110</v>
      </c>
      <c r="F344" t="str">
        <f t="shared" si="84"/>
        <v/>
      </c>
      <c r="G344" t="str">
        <f t="shared" si="85"/>
        <v/>
      </c>
      <c r="H344">
        <f t="shared" si="86"/>
        <v>7093</v>
      </c>
      <c r="I344" t="str">
        <f t="shared" si="87"/>
        <v/>
      </c>
      <c r="J344">
        <f>SUM($G$3:I344)</f>
        <v>1286368</v>
      </c>
      <c r="K344">
        <f t="shared" si="88"/>
        <v>7780</v>
      </c>
      <c r="L344">
        <f t="shared" si="89"/>
        <v>1.111</v>
      </c>
      <c r="M344">
        <f t="shared" si="90"/>
        <v>1.0545</v>
      </c>
      <c r="N344">
        <f t="shared" si="91"/>
        <v>257273.60000000001</v>
      </c>
      <c r="O344">
        <f t="shared" si="92"/>
        <v>9114.6551099999997</v>
      </c>
      <c r="P344">
        <f t="shared" si="93"/>
        <v>2650</v>
      </c>
      <c r="Q344">
        <f t="shared" si="94"/>
        <v>0.3</v>
      </c>
    </row>
    <row r="345" spans="1:17" x14ac:dyDescent="0.25">
      <c r="A345">
        <v>343</v>
      </c>
      <c r="B345">
        <f t="shared" si="80"/>
        <v>12</v>
      </c>
      <c r="C345">
        <f t="shared" si="81"/>
        <v>2</v>
      </c>
      <c r="D345" t="str">
        <f t="shared" si="82"/>
        <v/>
      </c>
      <c r="E345">
        <f t="shared" si="83"/>
        <v>1120</v>
      </c>
      <c r="F345" t="str">
        <f t="shared" si="84"/>
        <v/>
      </c>
      <c r="G345" t="str">
        <f t="shared" si="85"/>
        <v/>
      </c>
      <c r="H345">
        <f t="shared" si="86"/>
        <v>7186</v>
      </c>
      <c r="I345" t="str">
        <f t="shared" si="87"/>
        <v/>
      </c>
      <c r="J345">
        <f>SUM($G$3:I345)</f>
        <v>1293554</v>
      </c>
      <c r="K345">
        <f t="shared" si="88"/>
        <v>7780</v>
      </c>
      <c r="L345">
        <f t="shared" si="89"/>
        <v>1.1120000000000001</v>
      </c>
      <c r="M345">
        <f t="shared" si="90"/>
        <v>1.0545</v>
      </c>
      <c r="N345">
        <f t="shared" si="91"/>
        <v>258710.80000000002</v>
      </c>
      <c r="O345">
        <f t="shared" si="92"/>
        <v>9122.859120000001</v>
      </c>
      <c r="P345">
        <f t="shared" si="93"/>
        <v>2650</v>
      </c>
      <c r="Q345">
        <f t="shared" si="94"/>
        <v>0.3</v>
      </c>
    </row>
    <row r="346" spans="1:17" x14ac:dyDescent="0.25">
      <c r="A346">
        <v>344</v>
      </c>
      <c r="B346">
        <f t="shared" si="80"/>
        <v>12</v>
      </c>
      <c r="C346">
        <f t="shared" si="81"/>
        <v>2</v>
      </c>
      <c r="D346" t="str">
        <f t="shared" si="82"/>
        <v/>
      </c>
      <c r="E346">
        <f t="shared" si="83"/>
        <v>1130</v>
      </c>
      <c r="F346" t="str">
        <f t="shared" si="84"/>
        <v/>
      </c>
      <c r="G346" t="str">
        <f t="shared" si="85"/>
        <v/>
      </c>
      <c r="H346">
        <f t="shared" si="86"/>
        <v>7279</v>
      </c>
      <c r="I346" t="str">
        <f t="shared" si="87"/>
        <v/>
      </c>
      <c r="J346">
        <f>SUM($G$3:I346)</f>
        <v>1300833</v>
      </c>
      <c r="K346">
        <f t="shared" si="88"/>
        <v>7780</v>
      </c>
      <c r="L346">
        <f t="shared" si="89"/>
        <v>1.113</v>
      </c>
      <c r="M346">
        <f t="shared" si="90"/>
        <v>1.0545</v>
      </c>
      <c r="N346">
        <f t="shared" si="91"/>
        <v>260166.6</v>
      </c>
      <c r="O346">
        <f t="shared" si="92"/>
        <v>9131.0631299999986</v>
      </c>
      <c r="P346">
        <f t="shared" si="93"/>
        <v>2650</v>
      </c>
      <c r="Q346">
        <f t="shared" si="94"/>
        <v>0.3</v>
      </c>
    </row>
    <row r="347" spans="1:17" x14ac:dyDescent="0.25">
      <c r="A347">
        <v>345</v>
      </c>
      <c r="B347">
        <f t="shared" si="80"/>
        <v>12</v>
      </c>
      <c r="C347">
        <f t="shared" si="81"/>
        <v>2</v>
      </c>
      <c r="D347" t="str">
        <f t="shared" si="82"/>
        <v/>
      </c>
      <c r="E347">
        <f t="shared" si="83"/>
        <v>1140</v>
      </c>
      <c r="F347" t="str">
        <f t="shared" si="84"/>
        <v/>
      </c>
      <c r="G347" t="str">
        <f t="shared" si="85"/>
        <v/>
      </c>
      <c r="H347">
        <f t="shared" si="86"/>
        <v>7372</v>
      </c>
      <c r="I347" t="str">
        <f t="shared" si="87"/>
        <v/>
      </c>
      <c r="J347">
        <f>SUM($G$3:I347)</f>
        <v>1308205</v>
      </c>
      <c r="K347">
        <f t="shared" si="88"/>
        <v>7780</v>
      </c>
      <c r="L347">
        <f t="shared" si="89"/>
        <v>1.1140000000000001</v>
      </c>
      <c r="M347">
        <f t="shared" si="90"/>
        <v>1.0545</v>
      </c>
      <c r="N347">
        <f t="shared" si="91"/>
        <v>261641</v>
      </c>
      <c r="O347">
        <f t="shared" si="92"/>
        <v>9139.2671399999999</v>
      </c>
      <c r="P347">
        <f t="shared" si="93"/>
        <v>2650</v>
      </c>
      <c r="Q347">
        <f t="shared" si="94"/>
        <v>0.3</v>
      </c>
    </row>
    <row r="348" spans="1:17" x14ac:dyDescent="0.25">
      <c r="A348">
        <v>346</v>
      </c>
      <c r="B348">
        <f t="shared" si="80"/>
        <v>12</v>
      </c>
      <c r="C348">
        <f t="shared" si="81"/>
        <v>2</v>
      </c>
      <c r="D348" t="str">
        <f t="shared" si="82"/>
        <v/>
      </c>
      <c r="E348">
        <f t="shared" si="83"/>
        <v>1150</v>
      </c>
      <c r="F348" t="str">
        <f t="shared" si="84"/>
        <v/>
      </c>
      <c r="G348" t="str">
        <f t="shared" si="85"/>
        <v/>
      </c>
      <c r="H348">
        <f t="shared" si="86"/>
        <v>7465</v>
      </c>
      <c r="I348" t="str">
        <f t="shared" si="87"/>
        <v/>
      </c>
      <c r="J348">
        <f>SUM($G$3:I348)</f>
        <v>1315670</v>
      </c>
      <c r="K348">
        <f t="shared" si="88"/>
        <v>7780</v>
      </c>
      <c r="L348">
        <f t="shared" si="89"/>
        <v>1.115</v>
      </c>
      <c r="M348">
        <f t="shared" si="90"/>
        <v>1.0545</v>
      </c>
      <c r="N348">
        <f t="shared" si="91"/>
        <v>263134</v>
      </c>
      <c r="O348">
        <f t="shared" si="92"/>
        <v>9147.4711500000012</v>
      </c>
      <c r="P348">
        <f t="shared" si="93"/>
        <v>2650</v>
      </c>
      <c r="Q348">
        <f t="shared" si="94"/>
        <v>0.3</v>
      </c>
    </row>
    <row r="349" spans="1:17" x14ac:dyDescent="0.25">
      <c r="A349">
        <v>347</v>
      </c>
      <c r="B349">
        <f t="shared" si="80"/>
        <v>12</v>
      </c>
      <c r="C349">
        <f t="shared" si="81"/>
        <v>2</v>
      </c>
      <c r="D349" t="str">
        <f t="shared" si="82"/>
        <v/>
      </c>
      <c r="E349">
        <f t="shared" si="83"/>
        <v>1160</v>
      </c>
      <c r="F349" t="str">
        <f t="shared" si="84"/>
        <v/>
      </c>
      <c r="G349" t="str">
        <f t="shared" si="85"/>
        <v/>
      </c>
      <c r="H349">
        <f t="shared" si="86"/>
        <v>7558</v>
      </c>
      <c r="I349" t="str">
        <f t="shared" si="87"/>
        <v/>
      </c>
      <c r="J349">
        <f>SUM($G$3:I349)</f>
        <v>1323228</v>
      </c>
      <c r="K349">
        <f t="shared" si="88"/>
        <v>7780</v>
      </c>
      <c r="L349">
        <f t="shared" si="89"/>
        <v>1.1160000000000001</v>
      </c>
      <c r="M349">
        <f t="shared" si="90"/>
        <v>1.0545</v>
      </c>
      <c r="N349">
        <f t="shared" si="91"/>
        <v>264645.60000000003</v>
      </c>
      <c r="O349">
        <f t="shared" si="92"/>
        <v>9155.6751600000007</v>
      </c>
      <c r="P349">
        <f t="shared" si="93"/>
        <v>2650</v>
      </c>
      <c r="Q349">
        <f t="shared" si="94"/>
        <v>0.3</v>
      </c>
    </row>
    <row r="350" spans="1:17" x14ac:dyDescent="0.25">
      <c r="A350">
        <v>348</v>
      </c>
      <c r="B350">
        <f t="shared" si="80"/>
        <v>12</v>
      </c>
      <c r="C350">
        <f t="shared" si="81"/>
        <v>2</v>
      </c>
      <c r="D350" t="str">
        <f t="shared" si="82"/>
        <v/>
      </c>
      <c r="E350">
        <f t="shared" si="83"/>
        <v>1170</v>
      </c>
      <c r="F350" t="str">
        <f t="shared" si="84"/>
        <v/>
      </c>
      <c r="G350" t="str">
        <f t="shared" si="85"/>
        <v/>
      </c>
      <c r="H350">
        <f t="shared" si="86"/>
        <v>7651</v>
      </c>
      <c r="I350" t="str">
        <f t="shared" si="87"/>
        <v/>
      </c>
      <c r="J350">
        <f>SUM($G$3:I350)</f>
        <v>1330879</v>
      </c>
      <c r="K350">
        <f t="shared" si="88"/>
        <v>7780</v>
      </c>
      <c r="L350">
        <f t="shared" si="89"/>
        <v>1.117</v>
      </c>
      <c r="M350">
        <f t="shared" si="90"/>
        <v>1.0545</v>
      </c>
      <c r="N350">
        <f t="shared" si="91"/>
        <v>266175.8</v>
      </c>
      <c r="O350">
        <f t="shared" si="92"/>
        <v>9163.8791700000002</v>
      </c>
      <c r="P350">
        <f t="shared" si="93"/>
        <v>2650</v>
      </c>
      <c r="Q350">
        <f t="shared" si="94"/>
        <v>0.3</v>
      </c>
    </row>
    <row r="351" spans="1:17" x14ac:dyDescent="0.25">
      <c r="A351">
        <v>349</v>
      </c>
      <c r="B351">
        <f t="shared" si="80"/>
        <v>12</v>
      </c>
      <c r="C351">
        <f t="shared" si="81"/>
        <v>2</v>
      </c>
      <c r="D351" t="str">
        <f t="shared" si="82"/>
        <v/>
      </c>
      <c r="E351">
        <f t="shared" si="83"/>
        <v>1180</v>
      </c>
      <c r="F351" t="str">
        <f t="shared" si="84"/>
        <v/>
      </c>
      <c r="G351" t="str">
        <f t="shared" si="85"/>
        <v/>
      </c>
      <c r="H351">
        <f t="shared" si="86"/>
        <v>7744</v>
      </c>
      <c r="I351" t="str">
        <f t="shared" si="87"/>
        <v/>
      </c>
      <c r="J351">
        <f>SUM($G$3:I351)</f>
        <v>1338623</v>
      </c>
      <c r="K351">
        <f t="shared" si="88"/>
        <v>7780</v>
      </c>
      <c r="L351">
        <f t="shared" si="89"/>
        <v>1.1179999999999999</v>
      </c>
      <c r="M351">
        <f t="shared" si="90"/>
        <v>1.0545</v>
      </c>
      <c r="N351">
        <f t="shared" si="91"/>
        <v>267724.60000000003</v>
      </c>
      <c r="O351">
        <f t="shared" si="92"/>
        <v>9172.0831799999996</v>
      </c>
      <c r="P351">
        <f t="shared" si="93"/>
        <v>2650</v>
      </c>
      <c r="Q351">
        <f t="shared" si="94"/>
        <v>0.3</v>
      </c>
    </row>
    <row r="352" spans="1:17" x14ac:dyDescent="0.25">
      <c r="A352">
        <v>350</v>
      </c>
      <c r="B352">
        <f t="shared" si="80"/>
        <v>12</v>
      </c>
      <c r="C352">
        <f t="shared" si="81"/>
        <v>2</v>
      </c>
      <c r="D352" t="str">
        <f t="shared" si="82"/>
        <v/>
      </c>
      <c r="E352">
        <f t="shared" si="83"/>
        <v>1190</v>
      </c>
      <c r="F352" t="str">
        <f t="shared" si="84"/>
        <v/>
      </c>
      <c r="G352" t="str">
        <f t="shared" si="85"/>
        <v/>
      </c>
      <c r="H352">
        <f t="shared" si="86"/>
        <v>7837</v>
      </c>
      <c r="I352" t="str">
        <f t="shared" si="87"/>
        <v/>
      </c>
      <c r="J352">
        <f>SUM($G$3:I352)</f>
        <v>1346460</v>
      </c>
      <c r="K352">
        <f t="shared" si="88"/>
        <v>7780</v>
      </c>
      <c r="L352">
        <f t="shared" si="89"/>
        <v>1.119</v>
      </c>
      <c r="M352">
        <f t="shared" si="90"/>
        <v>1.0545</v>
      </c>
      <c r="N352">
        <f t="shared" si="91"/>
        <v>269292</v>
      </c>
      <c r="O352">
        <f t="shared" si="92"/>
        <v>9180.2871899999991</v>
      </c>
      <c r="P352">
        <f t="shared" si="93"/>
        <v>2650</v>
      </c>
      <c r="Q352">
        <f t="shared" si="94"/>
        <v>0.4</v>
      </c>
    </row>
    <row r="353" spans="1:17" x14ac:dyDescent="0.25">
      <c r="A353">
        <v>351</v>
      </c>
      <c r="B353">
        <f t="shared" si="80"/>
        <v>12</v>
      </c>
      <c r="C353">
        <f t="shared" si="81"/>
        <v>3</v>
      </c>
      <c r="D353" t="str">
        <f t="shared" si="82"/>
        <v/>
      </c>
      <c r="E353" t="str">
        <f t="shared" si="83"/>
        <v/>
      </c>
      <c r="F353">
        <f t="shared" si="84"/>
        <v>550</v>
      </c>
      <c r="G353" t="str">
        <f t="shared" si="85"/>
        <v/>
      </c>
      <c r="H353" t="str">
        <f t="shared" si="86"/>
        <v/>
      </c>
      <c r="I353">
        <f t="shared" si="87"/>
        <v>5250</v>
      </c>
      <c r="J353">
        <f>SUM($G$3:I353)</f>
        <v>1351710</v>
      </c>
      <c r="K353">
        <f t="shared" si="88"/>
        <v>7780</v>
      </c>
      <c r="L353">
        <f t="shared" si="89"/>
        <v>1.119</v>
      </c>
      <c r="M353">
        <f t="shared" si="90"/>
        <v>1.0549999999999999</v>
      </c>
      <c r="N353">
        <f t="shared" si="91"/>
        <v>270342</v>
      </c>
      <c r="O353">
        <f t="shared" si="92"/>
        <v>9184.6400999999987</v>
      </c>
      <c r="P353">
        <f t="shared" si="93"/>
        <v>2650</v>
      </c>
      <c r="Q353">
        <f t="shared" si="94"/>
        <v>0.4</v>
      </c>
    </row>
    <row r="354" spans="1:17" x14ac:dyDescent="0.25">
      <c r="A354">
        <v>352</v>
      </c>
      <c r="B354">
        <f t="shared" ref="B354:B417" si="95">B324+1</f>
        <v>12</v>
      </c>
      <c r="C354">
        <f t="shared" ref="C354:C417" si="96">C324</f>
        <v>3</v>
      </c>
      <c r="D354" t="str">
        <f t="shared" si="82"/>
        <v/>
      </c>
      <c r="E354" t="str">
        <f t="shared" si="83"/>
        <v/>
      </c>
      <c r="F354">
        <f t="shared" si="84"/>
        <v>555</v>
      </c>
      <c r="G354" t="str">
        <f t="shared" si="85"/>
        <v/>
      </c>
      <c r="H354" t="str">
        <f t="shared" si="86"/>
        <v/>
      </c>
      <c r="I354">
        <f t="shared" si="87"/>
        <v>5350</v>
      </c>
      <c r="J354">
        <f>SUM($G$3:I354)</f>
        <v>1357060</v>
      </c>
      <c r="K354">
        <f t="shared" si="88"/>
        <v>7780</v>
      </c>
      <c r="L354">
        <f t="shared" si="89"/>
        <v>1.119</v>
      </c>
      <c r="M354">
        <f t="shared" si="90"/>
        <v>1.0555000000000001</v>
      </c>
      <c r="N354">
        <f t="shared" si="91"/>
        <v>271412</v>
      </c>
      <c r="O354">
        <f t="shared" si="92"/>
        <v>9188.9930100000001</v>
      </c>
      <c r="P354">
        <f t="shared" si="93"/>
        <v>2650</v>
      </c>
      <c r="Q354">
        <f t="shared" si="94"/>
        <v>0.4</v>
      </c>
    </row>
    <row r="355" spans="1:17" x14ac:dyDescent="0.25">
      <c r="A355">
        <v>353</v>
      </c>
      <c r="B355">
        <f t="shared" si="95"/>
        <v>12</v>
      </c>
      <c r="C355">
        <f t="shared" si="96"/>
        <v>3</v>
      </c>
      <c r="D355" t="str">
        <f t="shared" si="82"/>
        <v/>
      </c>
      <c r="E355" t="str">
        <f t="shared" si="83"/>
        <v/>
      </c>
      <c r="F355">
        <f t="shared" si="84"/>
        <v>560</v>
      </c>
      <c r="G355" t="str">
        <f t="shared" si="85"/>
        <v/>
      </c>
      <c r="H355" t="str">
        <f t="shared" si="86"/>
        <v/>
      </c>
      <c r="I355">
        <f t="shared" si="87"/>
        <v>5450</v>
      </c>
      <c r="J355">
        <f>SUM($G$3:I355)</f>
        <v>1362510</v>
      </c>
      <c r="K355">
        <f t="shared" si="88"/>
        <v>7780</v>
      </c>
      <c r="L355">
        <f t="shared" si="89"/>
        <v>1.119</v>
      </c>
      <c r="M355">
        <f t="shared" si="90"/>
        <v>1.056</v>
      </c>
      <c r="N355">
        <f t="shared" si="91"/>
        <v>272502</v>
      </c>
      <c r="O355">
        <f t="shared" si="92"/>
        <v>9193.3459199999998</v>
      </c>
      <c r="P355">
        <f t="shared" si="93"/>
        <v>2650</v>
      </c>
      <c r="Q355">
        <f t="shared" si="94"/>
        <v>0.4</v>
      </c>
    </row>
    <row r="356" spans="1:17" x14ac:dyDescent="0.25">
      <c r="A356">
        <v>354</v>
      </c>
      <c r="B356">
        <f t="shared" si="95"/>
        <v>12</v>
      </c>
      <c r="C356">
        <f t="shared" si="96"/>
        <v>3</v>
      </c>
      <c r="D356" t="str">
        <f t="shared" si="82"/>
        <v/>
      </c>
      <c r="E356" t="str">
        <f t="shared" si="83"/>
        <v/>
      </c>
      <c r="F356">
        <f t="shared" si="84"/>
        <v>565</v>
      </c>
      <c r="G356" t="str">
        <f t="shared" si="85"/>
        <v/>
      </c>
      <c r="H356" t="str">
        <f t="shared" si="86"/>
        <v/>
      </c>
      <c r="I356">
        <f t="shared" si="87"/>
        <v>5550</v>
      </c>
      <c r="J356">
        <f>SUM($G$3:I356)</f>
        <v>1368060</v>
      </c>
      <c r="K356">
        <f t="shared" si="88"/>
        <v>7780</v>
      </c>
      <c r="L356">
        <f t="shared" si="89"/>
        <v>1.119</v>
      </c>
      <c r="M356">
        <f t="shared" si="90"/>
        <v>1.0565</v>
      </c>
      <c r="N356">
        <f t="shared" si="91"/>
        <v>273612</v>
      </c>
      <c r="O356">
        <f t="shared" si="92"/>
        <v>9197.6988299999994</v>
      </c>
      <c r="P356">
        <f t="shared" si="93"/>
        <v>2650</v>
      </c>
      <c r="Q356">
        <f t="shared" si="94"/>
        <v>0.4</v>
      </c>
    </row>
    <row r="357" spans="1:17" x14ac:dyDescent="0.25">
      <c r="A357">
        <v>355</v>
      </c>
      <c r="B357">
        <f t="shared" si="95"/>
        <v>12</v>
      </c>
      <c r="C357">
        <f t="shared" si="96"/>
        <v>3</v>
      </c>
      <c r="D357" t="str">
        <f t="shared" si="82"/>
        <v/>
      </c>
      <c r="E357" t="str">
        <f t="shared" si="83"/>
        <v/>
      </c>
      <c r="F357">
        <f t="shared" si="84"/>
        <v>570</v>
      </c>
      <c r="G357" t="str">
        <f t="shared" si="85"/>
        <v/>
      </c>
      <c r="H357" t="str">
        <f t="shared" si="86"/>
        <v/>
      </c>
      <c r="I357">
        <f t="shared" si="87"/>
        <v>5650</v>
      </c>
      <c r="J357">
        <f>SUM($G$3:I357)</f>
        <v>1373710</v>
      </c>
      <c r="K357">
        <f t="shared" si="88"/>
        <v>7780</v>
      </c>
      <c r="L357">
        <f t="shared" si="89"/>
        <v>1.119</v>
      </c>
      <c r="M357">
        <f t="shared" si="90"/>
        <v>1.0569999999999999</v>
      </c>
      <c r="N357">
        <f t="shared" si="91"/>
        <v>274742</v>
      </c>
      <c r="O357">
        <f t="shared" si="92"/>
        <v>9202.051739999999</v>
      </c>
      <c r="P357">
        <f t="shared" si="93"/>
        <v>2650</v>
      </c>
      <c r="Q357">
        <f t="shared" si="94"/>
        <v>0.4</v>
      </c>
    </row>
    <row r="358" spans="1:17" x14ac:dyDescent="0.25">
      <c r="A358">
        <v>356</v>
      </c>
      <c r="B358">
        <f t="shared" si="95"/>
        <v>12</v>
      </c>
      <c r="C358">
        <f t="shared" si="96"/>
        <v>3</v>
      </c>
      <c r="D358" t="str">
        <f t="shared" si="82"/>
        <v/>
      </c>
      <c r="E358" t="str">
        <f t="shared" si="83"/>
        <v/>
      </c>
      <c r="F358">
        <f t="shared" si="84"/>
        <v>575</v>
      </c>
      <c r="G358" t="str">
        <f t="shared" si="85"/>
        <v/>
      </c>
      <c r="H358" t="str">
        <f t="shared" si="86"/>
        <v/>
      </c>
      <c r="I358">
        <f t="shared" si="87"/>
        <v>5750</v>
      </c>
      <c r="J358">
        <f>SUM($G$3:I358)</f>
        <v>1379460</v>
      </c>
      <c r="K358">
        <f t="shared" si="88"/>
        <v>7780</v>
      </c>
      <c r="L358">
        <f t="shared" si="89"/>
        <v>1.119</v>
      </c>
      <c r="M358">
        <f t="shared" si="90"/>
        <v>1.0575000000000001</v>
      </c>
      <c r="N358">
        <f t="shared" si="91"/>
        <v>275892</v>
      </c>
      <c r="O358">
        <f t="shared" si="92"/>
        <v>9206.4046500000004</v>
      </c>
      <c r="P358">
        <f t="shared" si="93"/>
        <v>2650</v>
      </c>
      <c r="Q358">
        <f t="shared" si="94"/>
        <v>0.4</v>
      </c>
    </row>
    <row r="359" spans="1:17" x14ac:dyDescent="0.25">
      <c r="A359">
        <v>357</v>
      </c>
      <c r="B359">
        <f t="shared" si="95"/>
        <v>12</v>
      </c>
      <c r="C359">
        <f t="shared" si="96"/>
        <v>3</v>
      </c>
      <c r="D359" t="str">
        <f t="shared" si="82"/>
        <v/>
      </c>
      <c r="E359" t="str">
        <f t="shared" si="83"/>
        <v/>
      </c>
      <c r="F359">
        <f t="shared" si="84"/>
        <v>580</v>
      </c>
      <c r="G359" t="str">
        <f t="shared" si="85"/>
        <v/>
      </c>
      <c r="H359" t="str">
        <f t="shared" si="86"/>
        <v/>
      </c>
      <c r="I359">
        <f t="shared" si="87"/>
        <v>5850</v>
      </c>
      <c r="J359">
        <f>SUM($G$3:I359)</f>
        <v>1385310</v>
      </c>
      <c r="K359">
        <f t="shared" si="88"/>
        <v>7780</v>
      </c>
      <c r="L359">
        <f t="shared" si="89"/>
        <v>1.119</v>
      </c>
      <c r="M359">
        <f t="shared" si="90"/>
        <v>1.0580000000000001</v>
      </c>
      <c r="N359">
        <f t="shared" si="91"/>
        <v>277062</v>
      </c>
      <c r="O359">
        <f t="shared" si="92"/>
        <v>9210.75756</v>
      </c>
      <c r="P359">
        <f t="shared" si="93"/>
        <v>2650</v>
      </c>
      <c r="Q359">
        <f t="shared" si="94"/>
        <v>0.4</v>
      </c>
    </row>
    <row r="360" spans="1:17" x14ac:dyDescent="0.25">
      <c r="A360">
        <v>358</v>
      </c>
      <c r="B360">
        <f t="shared" si="95"/>
        <v>12</v>
      </c>
      <c r="C360">
        <f t="shared" si="96"/>
        <v>3</v>
      </c>
      <c r="D360" t="str">
        <f t="shared" si="82"/>
        <v/>
      </c>
      <c r="E360" t="str">
        <f t="shared" si="83"/>
        <v/>
      </c>
      <c r="F360">
        <f t="shared" si="84"/>
        <v>585</v>
      </c>
      <c r="G360" t="str">
        <f t="shared" si="85"/>
        <v/>
      </c>
      <c r="H360" t="str">
        <f t="shared" si="86"/>
        <v/>
      </c>
      <c r="I360">
        <f t="shared" si="87"/>
        <v>5950</v>
      </c>
      <c r="J360">
        <f>SUM($G$3:I360)</f>
        <v>1391260</v>
      </c>
      <c r="K360">
        <f t="shared" si="88"/>
        <v>7780</v>
      </c>
      <c r="L360">
        <f t="shared" si="89"/>
        <v>1.119</v>
      </c>
      <c r="M360">
        <f t="shared" si="90"/>
        <v>1.0585</v>
      </c>
      <c r="N360">
        <f t="shared" si="91"/>
        <v>278252</v>
      </c>
      <c r="O360">
        <f t="shared" si="92"/>
        <v>9215.1104699999996</v>
      </c>
      <c r="P360">
        <f t="shared" si="93"/>
        <v>2650</v>
      </c>
      <c r="Q360">
        <f t="shared" si="94"/>
        <v>0.4</v>
      </c>
    </row>
    <row r="361" spans="1:17" x14ac:dyDescent="0.25">
      <c r="A361">
        <v>359</v>
      </c>
      <c r="B361">
        <f t="shared" si="95"/>
        <v>12</v>
      </c>
      <c r="C361">
        <f t="shared" si="96"/>
        <v>3</v>
      </c>
      <c r="D361" t="str">
        <f t="shared" si="82"/>
        <v/>
      </c>
      <c r="E361" t="str">
        <f t="shared" si="83"/>
        <v/>
      </c>
      <c r="F361">
        <f t="shared" si="84"/>
        <v>590</v>
      </c>
      <c r="G361" t="str">
        <f t="shared" si="85"/>
        <v/>
      </c>
      <c r="H361" t="str">
        <f t="shared" si="86"/>
        <v/>
      </c>
      <c r="I361">
        <f t="shared" si="87"/>
        <v>6050</v>
      </c>
      <c r="J361">
        <f>SUM($G$3:I361)</f>
        <v>1397310</v>
      </c>
      <c r="K361">
        <f t="shared" si="88"/>
        <v>7780</v>
      </c>
      <c r="L361">
        <f t="shared" si="89"/>
        <v>1.119</v>
      </c>
      <c r="M361">
        <f t="shared" si="90"/>
        <v>1.0589999999999999</v>
      </c>
      <c r="N361">
        <f t="shared" si="91"/>
        <v>279462</v>
      </c>
      <c r="O361">
        <f t="shared" si="92"/>
        <v>9219.4633799999992</v>
      </c>
      <c r="P361">
        <f t="shared" si="93"/>
        <v>2650</v>
      </c>
      <c r="Q361">
        <f t="shared" si="94"/>
        <v>0.4</v>
      </c>
    </row>
    <row r="362" spans="1:17" x14ac:dyDescent="0.25">
      <c r="A362">
        <v>360</v>
      </c>
      <c r="B362">
        <f t="shared" si="95"/>
        <v>12</v>
      </c>
      <c r="C362">
        <f t="shared" si="96"/>
        <v>3</v>
      </c>
      <c r="D362" t="str">
        <f t="shared" si="82"/>
        <v/>
      </c>
      <c r="E362" t="str">
        <f t="shared" si="83"/>
        <v/>
      </c>
      <c r="F362">
        <f t="shared" si="84"/>
        <v>595</v>
      </c>
      <c r="G362" t="str">
        <f t="shared" si="85"/>
        <v/>
      </c>
      <c r="H362" t="str">
        <f t="shared" si="86"/>
        <v/>
      </c>
      <c r="I362">
        <f t="shared" si="87"/>
        <v>6150</v>
      </c>
      <c r="J362">
        <f>SUM($G$3:I362)</f>
        <v>1403460</v>
      </c>
      <c r="K362">
        <f t="shared" si="88"/>
        <v>7780</v>
      </c>
      <c r="L362">
        <f t="shared" si="89"/>
        <v>1.119</v>
      </c>
      <c r="M362">
        <f t="shared" si="90"/>
        <v>1.0594999999999999</v>
      </c>
      <c r="N362">
        <f t="shared" si="91"/>
        <v>280692</v>
      </c>
      <c r="O362">
        <f t="shared" si="92"/>
        <v>9223.8162899999988</v>
      </c>
      <c r="P362">
        <f t="shared" si="93"/>
        <v>2650</v>
      </c>
      <c r="Q362">
        <f t="shared" si="94"/>
        <v>0.4</v>
      </c>
    </row>
    <row r="363" spans="1:17" x14ac:dyDescent="0.25">
      <c r="A363">
        <v>361</v>
      </c>
      <c r="B363">
        <f t="shared" si="95"/>
        <v>13</v>
      </c>
      <c r="C363">
        <f t="shared" si="96"/>
        <v>1</v>
      </c>
      <c r="D363">
        <f t="shared" si="82"/>
        <v>790</v>
      </c>
      <c r="E363" t="str">
        <f t="shared" si="83"/>
        <v/>
      </c>
      <c r="F363" t="str">
        <f t="shared" si="84"/>
        <v/>
      </c>
      <c r="G363">
        <f t="shared" si="85"/>
        <v>12200</v>
      </c>
      <c r="H363" t="str">
        <f t="shared" si="86"/>
        <v/>
      </c>
      <c r="I363" t="str">
        <f t="shared" si="87"/>
        <v/>
      </c>
      <c r="J363">
        <f>SUM($G$3:I363)</f>
        <v>1415660</v>
      </c>
      <c r="K363">
        <f t="shared" si="88"/>
        <v>7900</v>
      </c>
      <c r="L363">
        <f t="shared" si="89"/>
        <v>1.119</v>
      </c>
      <c r="M363">
        <f t="shared" si="90"/>
        <v>1.0594999999999999</v>
      </c>
      <c r="N363">
        <f t="shared" si="91"/>
        <v>283132</v>
      </c>
      <c r="O363">
        <f t="shared" si="92"/>
        <v>9366.0859499999988</v>
      </c>
      <c r="P363">
        <f t="shared" si="93"/>
        <v>2650</v>
      </c>
      <c r="Q363">
        <f t="shared" si="94"/>
        <v>0.4</v>
      </c>
    </row>
    <row r="364" spans="1:17" x14ac:dyDescent="0.25">
      <c r="A364">
        <v>362</v>
      </c>
      <c r="B364">
        <f t="shared" si="95"/>
        <v>13</v>
      </c>
      <c r="C364">
        <f t="shared" si="96"/>
        <v>1</v>
      </c>
      <c r="D364">
        <f t="shared" si="82"/>
        <v>803</v>
      </c>
      <c r="E364" t="str">
        <f t="shared" si="83"/>
        <v/>
      </c>
      <c r="F364" t="str">
        <f t="shared" si="84"/>
        <v/>
      </c>
      <c r="G364">
        <f t="shared" si="85"/>
        <v>12350</v>
      </c>
      <c r="H364" t="str">
        <f t="shared" si="86"/>
        <v/>
      </c>
      <c r="I364" t="str">
        <f t="shared" si="87"/>
        <v/>
      </c>
      <c r="J364">
        <f>SUM($G$3:I364)</f>
        <v>1428010</v>
      </c>
      <c r="K364">
        <f t="shared" si="88"/>
        <v>8030</v>
      </c>
      <c r="L364">
        <f t="shared" si="89"/>
        <v>1.119</v>
      </c>
      <c r="M364">
        <f t="shared" si="90"/>
        <v>1.0594999999999999</v>
      </c>
      <c r="N364">
        <f t="shared" si="91"/>
        <v>285602</v>
      </c>
      <c r="O364">
        <f t="shared" si="92"/>
        <v>9520.2114149999979</v>
      </c>
      <c r="P364">
        <f t="shared" si="93"/>
        <v>2650</v>
      </c>
      <c r="Q364">
        <f t="shared" si="94"/>
        <v>0.4</v>
      </c>
    </row>
    <row r="365" spans="1:17" x14ac:dyDescent="0.25">
      <c r="A365">
        <v>363</v>
      </c>
      <c r="B365">
        <f t="shared" si="95"/>
        <v>13</v>
      </c>
      <c r="C365">
        <f t="shared" si="96"/>
        <v>1</v>
      </c>
      <c r="D365">
        <f t="shared" si="82"/>
        <v>816</v>
      </c>
      <c r="E365" t="str">
        <f t="shared" si="83"/>
        <v/>
      </c>
      <c r="F365" t="str">
        <f t="shared" si="84"/>
        <v/>
      </c>
      <c r="G365">
        <f t="shared" si="85"/>
        <v>12500</v>
      </c>
      <c r="H365" t="str">
        <f t="shared" si="86"/>
        <v/>
      </c>
      <c r="I365" t="str">
        <f t="shared" si="87"/>
        <v/>
      </c>
      <c r="J365">
        <f>SUM($G$3:I365)</f>
        <v>1440510</v>
      </c>
      <c r="K365">
        <f t="shared" si="88"/>
        <v>8159.9999999999991</v>
      </c>
      <c r="L365">
        <f t="shared" si="89"/>
        <v>1.119</v>
      </c>
      <c r="M365">
        <f t="shared" si="90"/>
        <v>1.0594999999999999</v>
      </c>
      <c r="N365">
        <f t="shared" si="91"/>
        <v>288102</v>
      </c>
      <c r="O365">
        <f t="shared" si="92"/>
        <v>9674.3368799999971</v>
      </c>
      <c r="P365">
        <f t="shared" si="93"/>
        <v>2650</v>
      </c>
      <c r="Q365">
        <f t="shared" si="94"/>
        <v>0.4</v>
      </c>
    </row>
    <row r="366" spans="1:17" x14ac:dyDescent="0.25">
      <c r="A366">
        <v>364</v>
      </c>
      <c r="B366">
        <f t="shared" si="95"/>
        <v>13</v>
      </c>
      <c r="C366">
        <f t="shared" si="96"/>
        <v>1</v>
      </c>
      <c r="D366">
        <f t="shared" si="82"/>
        <v>829</v>
      </c>
      <c r="E366" t="str">
        <f t="shared" si="83"/>
        <v/>
      </c>
      <c r="F366" t="str">
        <f t="shared" si="84"/>
        <v/>
      </c>
      <c r="G366">
        <f t="shared" si="85"/>
        <v>12650</v>
      </c>
      <c r="H366" t="str">
        <f t="shared" si="86"/>
        <v/>
      </c>
      <c r="I366" t="str">
        <f t="shared" si="87"/>
        <v/>
      </c>
      <c r="J366">
        <f>SUM($G$3:I366)</f>
        <v>1453160</v>
      </c>
      <c r="K366">
        <f t="shared" si="88"/>
        <v>8290</v>
      </c>
      <c r="L366">
        <f t="shared" si="89"/>
        <v>1.119</v>
      </c>
      <c r="M366">
        <f t="shared" si="90"/>
        <v>1.0594999999999999</v>
      </c>
      <c r="N366">
        <f t="shared" si="91"/>
        <v>290632</v>
      </c>
      <c r="O366">
        <f t="shared" si="92"/>
        <v>9828.4623449999999</v>
      </c>
      <c r="P366">
        <f t="shared" si="93"/>
        <v>2650</v>
      </c>
      <c r="Q366">
        <f t="shared" si="94"/>
        <v>0.4</v>
      </c>
    </row>
    <row r="367" spans="1:17" x14ac:dyDescent="0.25">
      <c r="A367">
        <v>365</v>
      </c>
      <c r="B367">
        <f t="shared" si="95"/>
        <v>13</v>
      </c>
      <c r="C367">
        <f t="shared" si="96"/>
        <v>1</v>
      </c>
      <c r="D367">
        <f t="shared" si="82"/>
        <v>842</v>
      </c>
      <c r="E367" t="str">
        <f t="shared" si="83"/>
        <v/>
      </c>
      <c r="F367" t="str">
        <f t="shared" si="84"/>
        <v/>
      </c>
      <c r="G367">
        <f t="shared" si="85"/>
        <v>12800</v>
      </c>
      <c r="H367" t="str">
        <f t="shared" si="86"/>
        <v/>
      </c>
      <c r="I367" t="str">
        <f t="shared" si="87"/>
        <v/>
      </c>
      <c r="J367">
        <f>SUM($G$3:I367)</f>
        <v>1465960</v>
      </c>
      <c r="K367">
        <f t="shared" si="88"/>
        <v>8420</v>
      </c>
      <c r="L367">
        <f t="shared" si="89"/>
        <v>1.119</v>
      </c>
      <c r="M367">
        <f t="shared" si="90"/>
        <v>1.0594999999999999</v>
      </c>
      <c r="N367">
        <f t="shared" si="91"/>
        <v>293192</v>
      </c>
      <c r="O367">
        <f t="shared" si="92"/>
        <v>9982.5878099999991</v>
      </c>
      <c r="P367">
        <f t="shared" si="93"/>
        <v>2650</v>
      </c>
      <c r="Q367">
        <f t="shared" si="94"/>
        <v>0.4</v>
      </c>
    </row>
    <row r="368" spans="1:17" x14ac:dyDescent="0.25">
      <c r="A368">
        <v>366</v>
      </c>
      <c r="B368">
        <f t="shared" si="95"/>
        <v>13</v>
      </c>
      <c r="C368">
        <f t="shared" si="96"/>
        <v>1</v>
      </c>
      <c r="D368">
        <f t="shared" si="82"/>
        <v>855</v>
      </c>
      <c r="E368" t="str">
        <f t="shared" si="83"/>
        <v/>
      </c>
      <c r="F368" t="str">
        <f t="shared" si="84"/>
        <v/>
      </c>
      <c r="G368">
        <f t="shared" si="85"/>
        <v>12950</v>
      </c>
      <c r="H368" t="str">
        <f t="shared" si="86"/>
        <v/>
      </c>
      <c r="I368" t="str">
        <f t="shared" si="87"/>
        <v/>
      </c>
      <c r="J368">
        <f>SUM($G$3:I368)</f>
        <v>1478910</v>
      </c>
      <c r="K368">
        <f t="shared" si="88"/>
        <v>8550</v>
      </c>
      <c r="L368">
        <f t="shared" si="89"/>
        <v>1.119</v>
      </c>
      <c r="M368">
        <f t="shared" si="90"/>
        <v>1.0594999999999999</v>
      </c>
      <c r="N368">
        <f t="shared" si="91"/>
        <v>295782</v>
      </c>
      <c r="O368">
        <f t="shared" si="92"/>
        <v>10136.713275</v>
      </c>
      <c r="P368">
        <f t="shared" si="93"/>
        <v>2650</v>
      </c>
      <c r="Q368">
        <f t="shared" si="94"/>
        <v>0.4</v>
      </c>
    </row>
    <row r="369" spans="1:17" x14ac:dyDescent="0.25">
      <c r="A369">
        <v>367</v>
      </c>
      <c r="B369">
        <f t="shared" si="95"/>
        <v>13</v>
      </c>
      <c r="C369">
        <f t="shared" si="96"/>
        <v>1</v>
      </c>
      <c r="D369">
        <f t="shared" si="82"/>
        <v>868</v>
      </c>
      <c r="E369" t="str">
        <f t="shared" si="83"/>
        <v/>
      </c>
      <c r="F369" t="str">
        <f t="shared" si="84"/>
        <v/>
      </c>
      <c r="G369">
        <f t="shared" si="85"/>
        <v>13100</v>
      </c>
      <c r="H369" t="str">
        <f t="shared" si="86"/>
        <v/>
      </c>
      <c r="I369" t="str">
        <f t="shared" si="87"/>
        <v/>
      </c>
      <c r="J369">
        <f>SUM($G$3:I369)</f>
        <v>1492010</v>
      </c>
      <c r="K369">
        <f t="shared" si="88"/>
        <v>8680</v>
      </c>
      <c r="L369">
        <f t="shared" si="89"/>
        <v>1.119</v>
      </c>
      <c r="M369">
        <f t="shared" si="90"/>
        <v>1.0594999999999999</v>
      </c>
      <c r="N369">
        <f t="shared" si="91"/>
        <v>298402</v>
      </c>
      <c r="O369">
        <f t="shared" si="92"/>
        <v>10290.838739999999</v>
      </c>
      <c r="P369">
        <f t="shared" si="93"/>
        <v>2650</v>
      </c>
      <c r="Q369">
        <f t="shared" si="94"/>
        <v>0.4</v>
      </c>
    </row>
    <row r="370" spans="1:17" x14ac:dyDescent="0.25">
      <c r="A370">
        <v>368</v>
      </c>
      <c r="B370">
        <f t="shared" si="95"/>
        <v>13</v>
      </c>
      <c r="C370">
        <f t="shared" si="96"/>
        <v>1</v>
      </c>
      <c r="D370">
        <f t="shared" si="82"/>
        <v>881</v>
      </c>
      <c r="E370" t="str">
        <f t="shared" si="83"/>
        <v/>
      </c>
      <c r="F370" t="str">
        <f t="shared" si="84"/>
        <v/>
      </c>
      <c r="G370">
        <f t="shared" si="85"/>
        <v>13250</v>
      </c>
      <c r="H370" t="str">
        <f t="shared" si="86"/>
        <v/>
      </c>
      <c r="I370" t="str">
        <f t="shared" si="87"/>
        <v/>
      </c>
      <c r="J370">
        <f>SUM($G$3:I370)</f>
        <v>1505260</v>
      </c>
      <c r="K370">
        <f t="shared" si="88"/>
        <v>8810</v>
      </c>
      <c r="L370">
        <f t="shared" si="89"/>
        <v>1.119</v>
      </c>
      <c r="M370">
        <f t="shared" si="90"/>
        <v>1.0594999999999999</v>
      </c>
      <c r="N370">
        <f t="shared" si="91"/>
        <v>301052</v>
      </c>
      <c r="O370">
        <f t="shared" si="92"/>
        <v>10444.964204999998</v>
      </c>
      <c r="P370">
        <f t="shared" si="93"/>
        <v>2650</v>
      </c>
      <c r="Q370">
        <f t="shared" si="94"/>
        <v>0.4</v>
      </c>
    </row>
    <row r="371" spans="1:17" x14ac:dyDescent="0.25">
      <c r="A371">
        <v>369</v>
      </c>
      <c r="B371">
        <f t="shared" si="95"/>
        <v>13</v>
      </c>
      <c r="C371">
        <f t="shared" si="96"/>
        <v>1</v>
      </c>
      <c r="D371">
        <f t="shared" si="82"/>
        <v>894</v>
      </c>
      <c r="E371" t="str">
        <f t="shared" si="83"/>
        <v/>
      </c>
      <c r="F371" t="str">
        <f t="shared" si="84"/>
        <v/>
      </c>
      <c r="G371">
        <f t="shared" si="85"/>
        <v>13400</v>
      </c>
      <c r="H371" t="str">
        <f t="shared" si="86"/>
        <v/>
      </c>
      <c r="I371" t="str">
        <f t="shared" si="87"/>
        <v/>
      </c>
      <c r="J371">
        <f>SUM($G$3:I371)</f>
        <v>1518660</v>
      </c>
      <c r="K371">
        <f t="shared" si="88"/>
        <v>8940</v>
      </c>
      <c r="L371">
        <f t="shared" si="89"/>
        <v>1.119</v>
      </c>
      <c r="M371">
        <f t="shared" si="90"/>
        <v>1.0594999999999999</v>
      </c>
      <c r="N371">
        <f t="shared" si="91"/>
        <v>303732</v>
      </c>
      <c r="O371">
        <f t="shared" si="92"/>
        <v>10599.089669999999</v>
      </c>
      <c r="P371">
        <f t="shared" si="93"/>
        <v>2650</v>
      </c>
      <c r="Q371">
        <f t="shared" si="94"/>
        <v>0.4</v>
      </c>
    </row>
    <row r="372" spans="1:17" x14ac:dyDescent="0.25">
      <c r="A372">
        <v>370</v>
      </c>
      <c r="B372">
        <f t="shared" si="95"/>
        <v>13</v>
      </c>
      <c r="C372">
        <f t="shared" si="96"/>
        <v>1</v>
      </c>
      <c r="D372">
        <f t="shared" si="82"/>
        <v>907</v>
      </c>
      <c r="E372" t="str">
        <f t="shared" si="83"/>
        <v/>
      </c>
      <c r="F372" t="str">
        <f t="shared" si="84"/>
        <v/>
      </c>
      <c r="G372">
        <f t="shared" si="85"/>
        <v>13550</v>
      </c>
      <c r="H372" t="str">
        <f t="shared" si="86"/>
        <v/>
      </c>
      <c r="I372" t="str">
        <f t="shared" si="87"/>
        <v/>
      </c>
      <c r="J372">
        <f>SUM($G$3:I372)</f>
        <v>1532210</v>
      </c>
      <c r="K372">
        <f t="shared" si="88"/>
        <v>9070</v>
      </c>
      <c r="L372">
        <f t="shared" si="89"/>
        <v>1.119</v>
      </c>
      <c r="M372">
        <f t="shared" si="90"/>
        <v>1.0594999999999999</v>
      </c>
      <c r="N372">
        <f t="shared" si="91"/>
        <v>306442</v>
      </c>
      <c r="O372">
        <f t="shared" si="92"/>
        <v>10753.215134999999</v>
      </c>
      <c r="P372">
        <f t="shared" si="93"/>
        <v>3200</v>
      </c>
      <c r="Q372">
        <f t="shared" si="94"/>
        <v>0.4</v>
      </c>
    </row>
    <row r="373" spans="1:17" x14ac:dyDescent="0.25">
      <c r="A373">
        <v>371</v>
      </c>
      <c r="B373">
        <f t="shared" si="95"/>
        <v>13</v>
      </c>
      <c r="C373">
        <f t="shared" si="96"/>
        <v>2</v>
      </c>
      <c r="D373" t="str">
        <f t="shared" si="82"/>
        <v/>
      </c>
      <c r="E373">
        <f t="shared" si="83"/>
        <v>1200</v>
      </c>
      <c r="F373" t="str">
        <f t="shared" si="84"/>
        <v/>
      </c>
      <c r="G373" t="str">
        <f t="shared" si="85"/>
        <v/>
      </c>
      <c r="H373">
        <f t="shared" si="86"/>
        <v>7933</v>
      </c>
      <c r="I373" t="str">
        <f t="shared" si="87"/>
        <v/>
      </c>
      <c r="J373">
        <f>SUM($G$3:I373)</f>
        <v>1540143</v>
      </c>
      <c r="K373">
        <f t="shared" si="88"/>
        <v>9070</v>
      </c>
      <c r="L373">
        <f t="shared" si="89"/>
        <v>1.1200000000000001</v>
      </c>
      <c r="M373">
        <f t="shared" si="90"/>
        <v>1.0594999999999999</v>
      </c>
      <c r="N373">
        <f t="shared" si="91"/>
        <v>308028.60000000003</v>
      </c>
      <c r="O373">
        <f t="shared" si="92"/>
        <v>10762.8248</v>
      </c>
      <c r="P373">
        <f t="shared" si="93"/>
        <v>3200</v>
      </c>
      <c r="Q373">
        <f t="shared" si="94"/>
        <v>0.4</v>
      </c>
    </row>
    <row r="374" spans="1:17" x14ac:dyDescent="0.25">
      <c r="A374">
        <v>372</v>
      </c>
      <c r="B374">
        <f t="shared" si="95"/>
        <v>13</v>
      </c>
      <c r="C374">
        <f t="shared" si="96"/>
        <v>2</v>
      </c>
      <c r="D374" t="str">
        <f t="shared" si="82"/>
        <v/>
      </c>
      <c r="E374">
        <f t="shared" si="83"/>
        <v>1210</v>
      </c>
      <c r="F374" t="str">
        <f t="shared" si="84"/>
        <v/>
      </c>
      <c r="G374" t="str">
        <f t="shared" si="85"/>
        <v/>
      </c>
      <c r="H374">
        <f t="shared" si="86"/>
        <v>8033</v>
      </c>
      <c r="I374" t="str">
        <f t="shared" si="87"/>
        <v/>
      </c>
      <c r="J374">
        <f>SUM($G$3:I374)</f>
        <v>1548176</v>
      </c>
      <c r="K374">
        <f t="shared" si="88"/>
        <v>9070</v>
      </c>
      <c r="L374">
        <f t="shared" si="89"/>
        <v>1.121</v>
      </c>
      <c r="M374">
        <f t="shared" si="90"/>
        <v>1.0594999999999999</v>
      </c>
      <c r="N374">
        <f t="shared" si="91"/>
        <v>309635.20000000001</v>
      </c>
      <c r="O374">
        <f t="shared" si="92"/>
        <v>10772.434464999998</v>
      </c>
      <c r="P374">
        <f t="shared" si="93"/>
        <v>3200</v>
      </c>
      <c r="Q374">
        <f t="shared" si="94"/>
        <v>0.4</v>
      </c>
    </row>
    <row r="375" spans="1:17" x14ac:dyDescent="0.25">
      <c r="A375">
        <v>373</v>
      </c>
      <c r="B375">
        <f t="shared" si="95"/>
        <v>13</v>
      </c>
      <c r="C375">
        <f t="shared" si="96"/>
        <v>2</v>
      </c>
      <c r="D375" t="str">
        <f t="shared" si="82"/>
        <v/>
      </c>
      <c r="E375">
        <f t="shared" si="83"/>
        <v>1220</v>
      </c>
      <c r="F375" t="str">
        <f t="shared" si="84"/>
        <v/>
      </c>
      <c r="G375" t="str">
        <f t="shared" si="85"/>
        <v/>
      </c>
      <c r="H375">
        <f t="shared" si="86"/>
        <v>8133</v>
      </c>
      <c r="I375" t="str">
        <f t="shared" si="87"/>
        <v/>
      </c>
      <c r="J375">
        <f>SUM($G$3:I375)</f>
        <v>1556309</v>
      </c>
      <c r="K375">
        <f t="shared" si="88"/>
        <v>9070</v>
      </c>
      <c r="L375">
        <f t="shared" si="89"/>
        <v>1.1219999999999999</v>
      </c>
      <c r="M375">
        <f t="shared" si="90"/>
        <v>1.0594999999999999</v>
      </c>
      <c r="N375">
        <f t="shared" si="91"/>
        <v>311261.8</v>
      </c>
      <c r="O375">
        <f t="shared" si="92"/>
        <v>10782.044129999998</v>
      </c>
      <c r="P375">
        <f t="shared" si="93"/>
        <v>3200</v>
      </c>
      <c r="Q375">
        <f t="shared" si="94"/>
        <v>0.4</v>
      </c>
    </row>
    <row r="376" spans="1:17" x14ac:dyDescent="0.25">
      <c r="A376">
        <v>374</v>
      </c>
      <c r="B376">
        <f t="shared" si="95"/>
        <v>13</v>
      </c>
      <c r="C376">
        <f t="shared" si="96"/>
        <v>2</v>
      </c>
      <c r="D376" t="str">
        <f t="shared" si="82"/>
        <v/>
      </c>
      <c r="E376">
        <f t="shared" si="83"/>
        <v>1230</v>
      </c>
      <c r="F376" t="str">
        <f t="shared" si="84"/>
        <v/>
      </c>
      <c r="G376" t="str">
        <f t="shared" si="85"/>
        <v/>
      </c>
      <c r="H376">
        <f t="shared" si="86"/>
        <v>8233</v>
      </c>
      <c r="I376" t="str">
        <f t="shared" si="87"/>
        <v/>
      </c>
      <c r="J376">
        <f>SUM($G$3:I376)</f>
        <v>1564542</v>
      </c>
      <c r="K376">
        <f t="shared" si="88"/>
        <v>9070</v>
      </c>
      <c r="L376">
        <f t="shared" si="89"/>
        <v>1.123</v>
      </c>
      <c r="M376">
        <f t="shared" si="90"/>
        <v>1.0594999999999999</v>
      </c>
      <c r="N376">
        <f t="shared" si="91"/>
        <v>312908.40000000002</v>
      </c>
      <c r="O376">
        <f t="shared" si="92"/>
        <v>10791.653795</v>
      </c>
      <c r="P376">
        <f t="shared" si="93"/>
        <v>3200</v>
      </c>
      <c r="Q376">
        <f t="shared" si="94"/>
        <v>0.4</v>
      </c>
    </row>
    <row r="377" spans="1:17" x14ac:dyDescent="0.25">
      <c r="A377">
        <v>375</v>
      </c>
      <c r="B377">
        <f t="shared" si="95"/>
        <v>13</v>
      </c>
      <c r="C377">
        <f t="shared" si="96"/>
        <v>2</v>
      </c>
      <c r="D377" t="str">
        <f t="shared" si="82"/>
        <v/>
      </c>
      <c r="E377">
        <f t="shared" si="83"/>
        <v>1240</v>
      </c>
      <c r="F377" t="str">
        <f t="shared" si="84"/>
        <v/>
      </c>
      <c r="G377" t="str">
        <f t="shared" si="85"/>
        <v/>
      </c>
      <c r="H377">
        <f t="shared" si="86"/>
        <v>8333</v>
      </c>
      <c r="I377" t="str">
        <f t="shared" si="87"/>
        <v/>
      </c>
      <c r="J377">
        <f>SUM($G$3:I377)</f>
        <v>1572875</v>
      </c>
      <c r="K377">
        <f t="shared" si="88"/>
        <v>9070</v>
      </c>
      <c r="L377">
        <f t="shared" si="89"/>
        <v>1.1240000000000001</v>
      </c>
      <c r="M377">
        <f t="shared" si="90"/>
        <v>1.0594999999999999</v>
      </c>
      <c r="N377">
        <f t="shared" si="91"/>
        <v>314575</v>
      </c>
      <c r="O377">
        <f t="shared" si="92"/>
        <v>10801.263459999998</v>
      </c>
      <c r="P377">
        <f t="shared" si="93"/>
        <v>3200</v>
      </c>
      <c r="Q377">
        <f t="shared" si="94"/>
        <v>0.4</v>
      </c>
    </row>
    <row r="378" spans="1:17" x14ac:dyDescent="0.25">
      <c r="A378">
        <v>376</v>
      </c>
      <c r="B378">
        <f t="shared" si="95"/>
        <v>13</v>
      </c>
      <c r="C378">
        <f t="shared" si="96"/>
        <v>2</v>
      </c>
      <c r="D378" t="str">
        <f t="shared" si="82"/>
        <v/>
      </c>
      <c r="E378">
        <f t="shared" si="83"/>
        <v>1250</v>
      </c>
      <c r="F378" t="str">
        <f t="shared" si="84"/>
        <v/>
      </c>
      <c r="G378" t="str">
        <f t="shared" si="85"/>
        <v/>
      </c>
      <c r="H378">
        <f t="shared" si="86"/>
        <v>8433</v>
      </c>
      <c r="I378" t="str">
        <f t="shared" si="87"/>
        <v/>
      </c>
      <c r="J378">
        <f>SUM($G$3:I378)</f>
        <v>1581308</v>
      </c>
      <c r="K378">
        <f t="shared" si="88"/>
        <v>9070</v>
      </c>
      <c r="L378">
        <f t="shared" si="89"/>
        <v>1.125</v>
      </c>
      <c r="M378">
        <f t="shared" si="90"/>
        <v>1.0594999999999999</v>
      </c>
      <c r="N378">
        <f t="shared" si="91"/>
        <v>316261.60000000003</v>
      </c>
      <c r="O378">
        <f t="shared" si="92"/>
        <v>10810.873124999998</v>
      </c>
      <c r="P378">
        <f t="shared" si="93"/>
        <v>3200</v>
      </c>
      <c r="Q378">
        <f t="shared" si="94"/>
        <v>0.4</v>
      </c>
    </row>
    <row r="379" spans="1:17" x14ac:dyDescent="0.25">
      <c r="A379">
        <v>377</v>
      </c>
      <c r="B379">
        <f t="shared" si="95"/>
        <v>13</v>
      </c>
      <c r="C379">
        <f t="shared" si="96"/>
        <v>2</v>
      </c>
      <c r="D379" t="str">
        <f t="shared" si="82"/>
        <v/>
      </c>
      <c r="E379">
        <f t="shared" si="83"/>
        <v>1260</v>
      </c>
      <c r="F379" t="str">
        <f t="shared" si="84"/>
        <v/>
      </c>
      <c r="G379" t="str">
        <f t="shared" si="85"/>
        <v/>
      </c>
      <c r="H379">
        <f t="shared" si="86"/>
        <v>8533</v>
      </c>
      <c r="I379" t="str">
        <f t="shared" si="87"/>
        <v/>
      </c>
      <c r="J379">
        <f>SUM($G$3:I379)</f>
        <v>1589841</v>
      </c>
      <c r="K379">
        <f t="shared" si="88"/>
        <v>9070</v>
      </c>
      <c r="L379">
        <f t="shared" si="89"/>
        <v>1.1259999999999999</v>
      </c>
      <c r="M379">
        <f t="shared" si="90"/>
        <v>1.0594999999999999</v>
      </c>
      <c r="N379">
        <f t="shared" si="91"/>
        <v>317968.2</v>
      </c>
      <c r="O379">
        <f t="shared" si="92"/>
        <v>10820.482789999998</v>
      </c>
      <c r="P379">
        <f t="shared" si="93"/>
        <v>3200</v>
      </c>
      <c r="Q379">
        <f t="shared" si="94"/>
        <v>0.4</v>
      </c>
    </row>
    <row r="380" spans="1:17" x14ac:dyDescent="0.25">
      <c r="A380">
        <v>378</v>
      </c>
      <c r="B380">
        <f t="shared" si="95"/>
        <v>13</v>
      </c>
      <c r="C380">
        <f t="shared" si="96"/>
        <v>2</v>
      </c>
      <c r="D380" t="str">
        <f t="shared" si="82"/>
        <v/>
      </c>
      <c r="E380">
        <f t="shared" si="83"/>
        <v>1270</v>
      </c>
      <c r="F380" t="str">
        <f t="shared" si="84"/>
        <v/>
      </c>
      <c r="G380" t="str">
        <f t="shared" si="85"/>
        <v/>
      </c>
      <c r="H380">
        <f t="shared" si="86"/>
        <v>8633</v>
      </c>
      <c r="I380" t="str">
        <f t="shared" si="87"/>
        <v/>
      </c>
      <c r="J380">
        <f>SUM($G$3:I380)</f>
        <v>1598474</v>
      </c>
      <c r="K380">
        <f t="shared" si="88"/>
        <v>9070</v>
      </c>
      <c r="L380">
        <f t="shared" si="89"/>
        <v>1.127</v>
      </c>
      <c r="M380">
        <f t="shared" si="90"/>
        <v>1.0594999999999999</v>
      </c>
      <c r="N380">
        <f t="shared" si="91"/>
        <v>319694.80000000005</v>
      </c>
      <c r="O380">
        <f t="shared" si="92"/>
        <v>10830.092454999998</v>
      </c>
      <c r="P380">
        <f t="shared" si="93"/>
        <v>3200</v>
      </c>
      <c r="Q380">
        <f t="shared" si="94"/>
        <v>0.4</v>
      </c>
    </row>
    <row r="381" spans="1:17" x14ac:dyDescent="0.25">
      <c r="A381">
        <v>379</v>
      </c>
      <c r="B381">
        <f t="shared" si="95"/>
        <v>13</v>
      </c>
      <c r="C381">
        <f t="shared" si="96"/>
        <v>2</v>
      </c>
      <c r="D381" t="str">
        <f t="shared" si="82"/>
        <v/>
      </c>
      <c r="E381">
        <f t="shared" si="83"/>
        <v>1280</v>
      </c>
      <c r="F381" t="str">
        <f t="shared" si="84"/>
        <v/>
      </c>
      <c r="G381" t="str">
        <f t="shared" si="85"/>
        <v/>
      </c>
      <c r="H381">
        <f t="shared" si="86"/>
        <v>8733</v>
      </c>
      <c r="I381" t="str">
        <f t="shared" si="87"/>
        <v/>
      </c>
      <c r="J381">
        <f>SUM($G$3:I381)</f>
        <v>1607207</v>
      </c>
      <c r="K381">
        <f t="shared" si="88"/>
        <v>9070</v>
      </c>
      <c r="L381">
        <f t="shared" si="89"/>
        <v>1.1280000000000001</v>
      </c>
      <c r="M381">
        <f t="shared" si="90"/>
        <v>1.0594999999999999</v>
      </c>
      <c r="N381">
        <f t="shared" si="91"/>
        <v>321441.40000000002</v>
      </c>
      <c r="O381">
        <f t="shared" si="92"/>
        <v>10839.70212</v>
      </c>
      <c r="P381">
        <f t="shared" si="93"/>
        <v>3200</v>
      </c>
      <c r="Q381">
        <f t="shared" si="94"/>
        <v>0.4</v>
      </c>
    </row>
    <row r="382" spans="1:17" x14ac:dyDescent="0.25">
      <c r="A382">
        <v>380</v>
      </c>
      <c r="B382">
        <f t="shared" si="95"/>
        <v>13</v>
      </c>
      <c r="C382">
        <f t="shared" si="96"/>
        <v>2</v>
      </c>
      <c r="D382" t="str">
        <f t="shared" si="82"/>
        <v/>
      </c>
      <c r="E382">
        <f t="shared" si="83"/>
        <v>1290</v>
      </c>
      <c r="F382" t="str">
        <f t="shared" si="84"/>
        <v/>
      </c>
      <c r="G382" t="str">
        <f t="shared" si="85"/>
        <v/>
      </c>
      <c r="H382">
        <f t="shared" si="86"/>
        <v>8833</v>
      </c>
      <c r="I382" t="str">
        <f t="shared" si="87"/>
        <v/>
      </c>
      <c r="J382">
        <f>SUM($G$3:I382)</f>
        <v>1616040</v>
      </c>
      <c r="K382">
        <f t="shared" si="88"/>
        <v>9070</v>
      </c>
      <c r="L382">
        <f t="shared" si="89"/>
        <v>1.129</v>
      </c>
      <c r="M382">
        <f t="shared" si="90"/>
        <v>1.0594999999999999</v>
      </c>
      <c r="N382">
        <f t="shared" si="91"/>
        <v>323208</v>
      </c>
      <c r="O382">
        <f t="shared" si="92"/>
        <v>10849.311785</v>
      </c>
      <c r="P382">
        <f t="shared" si="93"/>
        <v>3200</v>
      </c>
      <c r="Q382">
        <f t="shared" si="94"/>
        <v>0.5</v>
      </c>
    </row>
    <row r="383" spans="1:17" x14ac:dyDescent="0.25">
      <c r="A383">
        <v>381</v>
      </c>
      <c r="B383">
        <f t="shared" si="95"/>
        <v>13</v>
      </c>
      <c r="C383">
        <f t="shared" si="96"/>
        <v>3</v>
      </c>
      <c r="D383" t="str">
        <f t="shared" si="82"/>
        <v/>
      </c>
      <c r="E383" t="str">
        <f t="shared" si="83"/>
        <v/>
      </c>
      <c r="F383">
        <f t="shared" si="84"/>
        <v>600</v>
      </c>
      <c r="G383" t="str">
        <f t="shared" si="85"/>
        <v/>
      </c>
      <c r="H383" t="str">
        <f t="shared" si="86"/>
        <v/>
      </c>
      <c r="I383">
        <f t="shared" si="87"/>
        <v>6250</v>
      </c>
      <c r="J383">
        <f>SUM($G$3:I383)</f>
        <v>1622290</v>
      </c>
      <c r="K383">
        <f t="shared" si="88"/>
        <v>9070</v>
      </c>
      <c r="L383">
        <f t="shared" si="89"/>
        <v>1.129</v>
      </c>
      <c r="M383">
        <f t="shared" si="90"/>
        <v>1.06</v>
      </c>
      <c r="N383">
        <f t="shared" si="91"/>
        <v>324458</v>
      </c>
      <c r="O383">
        <f t="shared" si="92"/>
        <v>10854.431800000002</v>
      </c>
      <c r="P383">
        <f t="shared" si="93"/>
        <v>3200</v>
      </c>
      <c r="Q383">
        <f t="shared" si="94"/>
        <v>0.5</v>
      </c>
    </row>
    <row r="384" spans="1:17" x14ac:dyDescent="0.25">
      <c r="A384">
        <v>382</v>
      </c>
      <c r="B384">
        <f t="shared" si="95"/>
        <v>13</v>
      </c>
      <c r="C384">
        <f t="shared" si="96"/>
        <v>3</v>
      </c>
      <c r="D384" t="str">
        <f t="shared" si="82"/>
        <v/>
      </c>
      <c r="E384" t="str">
        <f t="shared" si="83"/>
        <v/>
      </c>
      <c r="F384">
        <f t="shared" si="84"/>
        <v>605</v>
      </c>
      <c r="G384" t="str">
        <f t="shared" si="85"/>
        <v/>
      </c>
      <c r="H384" t="str">
        <f t="shared" si="86"/>
        <v/>
      </c>
      <c r="I384">
        <f t="shared" si="87"/>
        <v>6350</v>
      </c>
      <c r="J384">
        <f>SUM($G$3:I384)</f>
        <v>1628640</v>
      </c>
      <c r="K384">
        <f t="shared" si="88"/>
        <v>9070</v>
      </c>
      <c r="L384">
        <f t="shared" si="89"/>
        <v>1.129</v>
      </c>
      <c r="M384">
        <f t="shared" si="90"/>
        <v>1.0605</v>
      </c>
      <c r="N384">
        <f t="shared" si="91"/>
        <v>325728</v>
      </c>
      <c r="O384">
        <f t="shared" si="92"/>
        <v>10859.551815000001</v>
      </c>
      <c r="P384">
        <f t="shared" si="93"/>
        <v>3200</v>
      </c>
      <c r="Q384">
        <f t="shared" si="94"/>
        <v>0.5</v>
      </c>
    </row>
    <row r="385" spans="1:17" x14ac:dyDescent="0.25">
      <c r="A385">
        <v>383</v>
      </c>
      <c r="B385">
        <f t="shared" si="95"/>
        <v>13</v>
      </c>
      <c r="C385">
        <f t="shared" si="96"/>
        <v>3</v>
      </c>
      <c r="D385" t="str">
        <f t="shared" si="82"/>
        <v/>
      </c>
      <c r="E385" t="str">
        <f t="shared" si="83"/>
        <v/>
      </c>
      <c r="F385">
        <f t="shared" si="84"/>
        <v>610</v>
      </c>
      <c r="G385" t="str">
        <f t="shared" si="85"/>
        <v/>
      </c>
      <c r="H385" t="str">
        <f t="shared" si="86"/>
        <v/>
      </c>
      <c r="I385">
        <f t="shared" si="87"/>
        <v>6450</v>
      </c>
      <c r="J385">
        <f>SUM($G$3:I385)</f>
        <v>1635090</v>
      </c>
      <c r="K385">
        <f t="shared" si="88"/>
        <v>9070</v>
      </c>
      <c r="L385">
        <f t="shared" si="89"/>
        <v>1.129</v>
      </c>
      <c r="M385">
        <f t="shared" si="90"/>
        <v>1.0609999999999999</v>
      </c>
      <c r="N385">
        <f t="shared" si="91"/>
        <v>327018</v>
      </c>
      <c r="O385">
        <f t="shared" si="92"/>
        <v>10864.671829999999</v>
      </c>
      <c r="P385">
        <f t="shared" si="93"/>
        <v>3200</v>
      </c>
      <c r="Q385">
        <f t="shared" si="94"/>
        <v>0.5</v>
      </c>
    </row>
    <row r="386" spans="1:17" x14ac:dyDescent="0.25">
      <c r="A386">
        <v>384</v>
      </c>
      <c r="B386">
        <f t="shared" si="95"/>
        <v>13</v>
      </c>
      <c r="C386">
        <f t="shared" si="96"/>
        <v>3</v>
      </c>
      <c r="D386" t="str">
        <f t="shared" si="82"/>
        <v/>
      </c>
      <c r="E386" t="str">
        <f t="shared" si="83"/>
        <v/>
      </c>
      <c r="F386">
        <f t="shared" si="84"/>
        <v>615</v>
      </c>
      <c r="G386" t="str">
        <f t="shared" si="85"/>
        <v/>
      </c>
      <c r="H386" t="str">
        <f t="shared" si="86"/>
        <v/>
      </c>
      <c r="I386">
        <f t="shared" si="87"/>
        <v>6550</v>
      </c>
      <c r="J386">
        <f>SUM($G$3:I386)</f>
        <v>1641640</v>
      </c>
      <c r="K386">
        <f t="shared" si="88"/>
        <v>9070</v>
      </c>
      <c r="L386">
        <f t="shared" si="89"/>
        <v>1.129</v>
      </c>
      <c r="M386">
        <f t="shared" si="90"/>
        <v>1.0615000000000001</v>
      </c>
      <c r="N386">
        <f t="shared" si="91"/>
        <v>328328</v>
      </c>
      <c r="O386">
        <f t="shared" si="92"/>
        <v>10869.791845000002</v>
      </c>
      <c r="P386">
        <f t="shared" si="93"/>
        <v>3200</v>
      </c>
      <c r="Q386">
        <f t="shared" si="94"/>
        <v>0.5</v>
      </c>
    </row>
    <row r="387" spans="1:17" x14ac:dyDescent="0.25">
      <c r="A387">
        <v>385</v>
      </c>
      <c r="B387">
        <f t="shared" si="95"/>
        <v>13</v>
      </c>
      <c r="C387">
        <f t="shared" si="96"/>
        <v>3</v>
      </c>
      <c r="D387" t="str">
        <f t="shared" ref="D387:D450" si="97">IF($C387=1,INDEX($Z:$Z,MATCH($B387,$Y:$Y,0))+MOD($A387-1,10)*INDEX($AC:$AC,MATCH($B387,$Y:$Y,0)),"")</f>
        <v/>
      </c>
      <c r="E387" t="str">
        <f t="shared" ref="E387:E450" si="98">IF($C387=2,INDEX($AA:$AA,MATCH($B387,$Y:$Y,0))+MOD($A387-1,10)*INDEX($AD:$AD,MATCH($B387,$Y:$Y,0)),"")</f>
        <v/>
      </c>
      <c r="F387">
        <f t="shared" ref="F387:F450" si="99">IF($C387=3,INDEX($AB:$AB,MATCH($B387,$Y:$Y,0))+MOD($A387-1,10)*INDEX($AE:$AE,MATCH($B387,$Y:$Y,0)),"")</f>
        <v>620</v>
      </c>
      <c r="G387" t="str">
        <f t="shared" ref="G387:G450" si="100">IF($C387=1,INDEX($AF:$AF,MATCH($B387,$Y:$Y,0))+MOD($A387-1,10)*INDEX($AI:$AI,MATCH($B387,$Y:$Y,0)),"")</f>
        <v/>
      </c>
      <c r="H387" t="str">
        <f t="shared" ref="H387:H450" si="101">IF($C387=2,INDEX($AG:$AG,MATCH($B387,$Y:$Y,0))+MOD($A387-1,10)*INDEX($AJ:$AJ,MATCH($B387,$Y:$Y,0)),"")</f>
        <v/>
      </c>
      <c r="I387">
        <f t="shared" ref="I387:I450" si="102">IF($C387=3,INDEX($AH:$AH,MATCH($B387,$Y:$Y,0))+MOD($A387-1,10)*INDEX($AK:$AK,MATCH($B387,$Y:$Y,0)),"")</f>
        <v>6650</v>
      </c>
      <c r="J387">
        <f>SUM($G$3:I387)</f>
        <v>1648290</v>
      </c>
      <c r="K387">
        <f t="shared" si="88"/>
        <v>9070</v>
      </c>
      <c r="L387">
        <f t="shared" si="89"/>
        <v>1.129</v>
      </c>
      <c r="M387">
        <f t="shared" si="90"/>
        <v>1.0620000000000001</v>
      </c>
      <c r="N387">
        <f t="shared" si="91"/>
        <v>329658</v>
      </c>
      <c r="O387">
        <f t="shared" si="92"/>
        <v>10874.911860000002</v>
      </c>
      <c r="P387">
        <f t="shared" si="93"/>
        <v>3200</v>
      </c>
      <c r="Q387">
        <f t="shared" si="94"/>
        <v>0.5</v>
      </c>
    </row>
    <row r="388" spans="1:17" x14ac:dyDescent="0.25">
      <c r="A388">
        <v>386</v>
      </c>
      <c r="B388">
        <f t="shared" si="95"/>
        <v>13</v>
      </c>
      <c r="C388">
        <f t="shared" si="96"/>
        <v>3</v>
      </c>
      <c r="D388" t="str">
        <f t="shared" si="97"/>
        <v/>
      </c>
      <c r="E388" t="str">
        <f t="shared" si="98"/>
        <v/>
      </c>
      <c r="F388">
        <f t="shared" si="99"/>
        <v>625</v>
      </c>
      <c r="G388" t="str">
        <f t="shared" si="100"/>
        <v/>
      </c>
      <c r="H388" t="str">
        <f t="shared" si="101"/>
        <v/>
      </c>
      <c r="I388">
        <f t="shared" si="102"/>
        <v>6750</v>
      </c>
      <c r="J388">
        <f>SUM($G$3:I388)</f>
        <v>1655040</v>
      </c>
      <c r="K388">
        <f t="shared" ref="K388:K451" si="103">_xlfn.MAXIFS($D:$D,$A:$A,"&lt;="&amp;A388)/10*100</f>
        <v>9070</v>
      </c>
      <c r="L388">
        <f t="shared" ref="L388:L451" si="104">_xlfn.MAXIFS($E:$E,$A:$A,"&lt;="&amp;A388)/10000+1</f>
        <v>1.129</v>
      </c>
      <c r="M388">
        <f t="shared" ref="M388:M451" si="105">_xlfn.MAXIFS($F:$F,$A:$A,"&lt;="&amp;A388)/10000+1</f>
        <v>1.0625</v>
      </c>
      <c r="N388">
        <f t="shared" ref="N388:N451" si="106">J388*0.2</f>
        <v>331008</v>
      </c>
      <c r="O388">
        <f t="shared" ref="O388:O451" si="107">K388*L388*M388</f>
        <v>10880.031875000001</v>
      </c>
      <c r="P388">
        <f t="shared" ref="P388:P451" si="108">SUMIFS($AZ:$AZ,$AW:$AW,$AW$3,$AY:$AY,3,$AV:$AV,"&lt;="&amp;A388)</f>
        <v>3200</v>
      </c>
      <c r="Q388">
        <f t="shared" ref="Q388:Q451" si="109">SUMIFS($AZ:$AZ,$AY:$AY,98,$AV:$AV,"&lt;="&amp;A388)*10/100</f>
        <v>0.5</v>
      </c>
    </row>
    <row r="389" spans="1:17" x14ac:dyDescent="0.25">
      <c r="A389">
        <v>387</v>
      </c>
      <c r="B389">
        <f t="shared" si="95"/>
        <v>13</v>
      </c>
      <c r="C389">
        <f t="shared" si="96"/>
        <v>3</v>
      </c>
      <c r="D389" t="str">
        <f t="shared" si="97"/>
        <v/>
      </c>
      <c r="E389" t="str">
        <f t="shared" si="98"/>
        <v/>
      </c>
      <c r="F389">
        <f t="shared" si="99"/>
        <v>630</v>
      </c>
      <c r="G389" t="str">
        <f t="shared" si="100"/>
        <v/>
      </c>
      <c r="H389" t="str">
        <f t="shared" si="101"/>
        <v/>
      </c>
      <c r="I389">
        <f t="shared" si="102"/>
        <v>6850</v>
      </c>
      <c r="J389">
        <f>SUM($G$3:I389)</f>
        <v>1661890</v>
      </c>
      <c r="K389">
        <f t="shared" si="103"/>
        <v>9070</v>
      </c>
      <c r="L389">
        <f t="shared" si="104"/>
        <v>1.129</v>
      </c>
      <c r="M389">
        <f t="shared" si="105"/>
        <v>1.0629999999999999</v>
      </c>
      <c r="N389">
        <f t="shared" si="106"/>
        <v>332378</v>
      </c>
      <c r="O389">
        <f t="shared" si="107"/>
        <v>10885.151890000001</v>
      </c>
      <c r="P389">
        <f t="shared" si="108"/>
        <v>3200</v>
      </c>
      <c r="Q389">
        <f t="shared" si="109"/>
        <v>0.5</v>
      </c>
    </row>
    <row r="390" spans="1:17" x14ac:dyDescent="0.25">
      <c r="A390">
        <v>388</v>
      </c>
      <c r="B390">
        <f t="shared" si="95"/>
        <v>13</v>
      </c>
      <c r="C390">
        <f t="shared" si="96"/>
        <v>3</v>
      </c>
      <c r="D390" t="str">
        <f t="shared" si="97"/>
        <v/>
      </c>
      <c r="E390" t="str">
        <f t="shared" si="98"/>
        <v/>
      </c>
      <c r="F390">
        <f t="shared" si="99"/>
        <v>635</v>
      </c>
      <c r="G390" t="str">
        <f t="shared" si="100"/>
        <v/>
      </c>
      <c r="H390" t="str">
        <f t="shared" si="101"/>
        <v/>
      </c>
      <c r="I390">
        <f t="shared" si="102"/>
        <v>6950</v>
      </c>
      <c r="J390">
        <f>SUM($G$3:I390)</f>
        <v>1668840</v>
      </c>
      <c r="K390">
        <f t="shared" si="103"/>
        <v>9070</v>
      </c>
      <c r="L390">
        <f t="shared" si="104"/>
        <v>1.129</v>
      </c>
      <c r="M390">
        <f t="shared" si="105"/>
        <v>1.0634999999999999</v>
      </c>
      <c r="N390">
        <f t="shared" si="106"/>
        <v>333768</v>
      </c>
      <c r="O390">
        <f t="shared" si="107"/>
        <v>10890.271905</v>
      </c>
      <c r="P390">
        <f t="shared" si="108"/>
        <v>3200</v>
      </c>
      <c r="Q390">
        <f t="shared" si="109"/>
        <v>0.5</v>
      </c>
    </row>
    <row r="391" spans="1:17" x14ac:dyDescent="0.25">
      <c r="A391">
        <v>389</v>
      </c>
      <c r="B391">
        <f t="shared" si="95"/>
        <v>13</v>
      </c>
      <c r="C391">
        <f t="shared" si="96"/>
        <v>3</v>
      </c>
      <c r="D391" t="str">
        <f t="shared" si="97"/>
        <v/>
      </c>
      <c r="E391" t="str">
        <f t="shared" si="98"/>
        <v/>
      </c>
      <c r="F391">
        <f t="shared" si="99"/>
        <v>640</v>
      </c>
      <c r="G391" t="str">
        <f t="shared" si="100"/>
        <v/>
      </c>
      <c r="H391" t="str">
        <f t="shared" si="101"/>
        <v/>
      </c>
      <c r="I391">
        <f t="shared" si="102"/>
        <v>7050</v>
      </c>
      <c r="J391">
        <f>SUM($G$3:I391)</f>
        <v>1675890</v>
      </c>
      <c r="K391">
        <f t="shared" si="103"/>
        <v>9070</v>
      </c>
      <c r="L391">
        <f t="shared" si="104"/>
        <v>1.129</v>
      </c>
      <c r="M391">
        <f t="shared" si="105"/>
        <v>1.0640000000000001</v>
      </c>
      <c r="N391">
        <f t="shared" si="106"/>
        <v>335178</v>
      </c>
      <c r="O391">
        <f t="shared" si="107"/>
        <v>10895.391920000002</v>
      </c>
      <c r="P391">
        <f t="shared" si="108"/>
        <v>3200</v>
      </c>
      <c r="Q391">
        <f t="shared" si="109"/>
        <v>0.5</v>
      </c>
    </row>
    <row r="392" spans="1:17" x14ac:dyDescent="0.25">
      <c r="A392">
        <v>390</v>
      </c>
      <c r="B392">
        <f t="shared" si="95"/>
        <v>13</v>
      </c>
      <c r="C392">
        <f t="shared" si="96"/>
        <v>3</v>
      </c>
      <c r="D392" t="str">
        <f t="shared" si="97"/>
        <v/>
      </c>
      <c r="E392" t="str">
        <f t="shared" si="98"/>
        <v/>
      </c>
      <c r="F392">
        <f t="shared" si="99"/>
        <v>645</v>
      </c>
      <c r="G392" t="str">
        <f t="shared" si="100"/>
        <v/>
      </c>
      <c r="H392" t="str">
        <f t="shared" si="101"/>
        <v/>
      </c>
      <c r="I392">
        <f t="shared" si="102"/>
        <v>7150</v>
      </c>
      <c r="J392">
        <f>SUM($G$3:I392)</f>
        <v>1683040</v>
      </c>
      <c r="K392">
        <f t="shared" si="103"/>
        <v>9070</v>
      </c>
      <c r="L392">
        <f t="shared" si="104"/>
        <v>1.129</v>
      </c>
      <c r="M392">
        <f t="shared" si="105"/>
        <v>1.0645</v>
      </c>
      <c r="N392">
        <f t="shared" si="106"/>
        <v>336608</v>
      </c>
      <c r="O392">
        <f t="shared" si="107"/>
        <v>10900.511935</v>
      </c>
      <c r="P392">
        <f t="shared" si="108"/>
        <v>3200</v>
      </c>
      <c r="Q392">
        <f t="shared" si="109"/>
        <v>0.5</v>
      </c>
    </row>
    <row r="393" spans="1:17" x14ac:dyDescent="0.25">
      <c r="A393">
        <v>391</v>
      </c>
      <c r="B393">
        <f t="shared" si="95"/>
        <v>14</v>
      </c>
      <c r="C393">
        <f t="shared" si="96"/>
        <v>1</v>
      </c>
      <c r="D393">
        <f t="shared" si="97"/>
        <v>920</v>
      </c>
      <c r="E393" t="str">
        <f t="shared" si="98"/>
        <v/>
      </c>
      <c r="F393" t="str">
        <f t="shared" si="99"/>
        <v/>
      </c>
      <c r="G393">
        <f t="shared" si="100"/>
        <v>14800</v>
      </c>
      <c r="H393" t="str">
        <f t="shared" si="101"/>
        <v/>
      </c>
      <c r="I393" t="str">
        <f t="shared" si="102"/>
        <v/>
      </c>
      <c r="J393">
        <f>SUM($G$3:I393)</f>
        <v>1697840</v>
      </c>
      <c r="K393">
        <f t="shared" si="103"/>
        <v>9200</v>
      </c>
      <c r="L393">
        <f t="shared" si="104"/>
        <v>1.129</v>
      </c>
      <c r="M393">
        <f t="shared" si="105"/>
        <v>1.0645</v>
      </c>
      <c r="N393">
        <f t="shared" si="106"/>
        <v>339568</v>
      </c>
      <c r="O393">
        <f t="shared" si="107"/>
        <v>11056.748599999999</v>
      </c>
      <c r="P393">
        <f t="shared" si="108"/>
        <v>3200</v>
      </c>
      <c r="Q393">
        <f t="shared" si="109"/>
        <v>0.5</v>
      </c>
    </row>
    <row r="394" spans="1:17" x14ac:dyDescent="0.25">
      <c r="A394">
        <v>392</v>
      </c>
      <c r="B394">
        <f t="shared" si="95"/>
        <v>14</v>
      </c>
      <c r="C394">
        <f t="shared" si="96"/>
        <v>1</v>
      </c>
      <c r="D394">
        <f t="shared" si="97"/>
        <v>934</v>
      </c>
      <c r="E394" t="str">
        <f t="shared" si="98"/>
        <v/>
      </c>
      <c r="F394" t="str">
        <f t="shared" si="99"/>
        <v/>
      </c>
      <c r="G394">
        <f t="shared" si="100"/>
        <v>14960</v>
      </c>
      <c r="H394" t="str">
        <f t="shared" si="101"/>
        <v/>
      </c>
      <c r="I394" t="str">
        <f t="shared" si="102"/>
        <v/>
      </c>
      <c r="J394">
        <f>SUM($G$3:I394)</f>
        <v>1712800</v>
      </c>
      <c r="K394">
        <f t="shared" si="103"/>
        <v>9340</v>
      </c>
      <c r="L394">
        <f t="shared" si="104"/>
        <v>1.129</v>
      </c>
      <c r="M394">
        <f t="shared" si="105"/>
        <v>1.0645</v>
      </c>
      <c r="N394">
        <f t="shared" si="106"/>
        <v>342560</v>
      </c>
      <c r="O394">
        <f t="shared" si="107"/>
        <v>11225.003470000001</v>
      </c>
      <c r="P394">
        <f t="shared" si="108"/>
        <v>3200</v>
      </c>
      <c r="Q394">
        <f t="shared" si="109"/>
        <v>0.5</v>
      </c>
    </row>
    <row r="395" spans="1:17" x14ac:dyDescent="0.25">
      <c r="A395">
        <v>393</v>
      </c>
      <c r="B395">
        <f t="shared" si="95"/>
        <v>14</v>
      </c>
      <c r="C395">
        <f t="shared" si="96"/>
        <v>1</v>
      </c>
      <c r="D395">
        <f t="shared" si="97"/>
        <v>948</v>
      </c>
      <c r="E395" t="str">
        <f t="shared" si="98"/>
        <v/>
      </c>
      <c r="F395" t="str">
        <f t="shared" si="99"/>
        <v/>
      </c>
      <c r="G395">
        <f t="shared" si="100"/>
        <v>15120</v>
      </c>
      <c r="H395" t="str">
        <f t="shared" si="101"/>
        <v/>
      </c>
      <c r="I395" t="str">
        <f t="shared" si="102"/>
        <v/>
      </c>
      <c r="J395">
        <f>SUM($G$3:I395)</f>
        <v>1727920</v>
      </c>
      <c r="K395">
        <f t="shared" si="103"/>
        <v>9480</v>
      </c>
      <c r="L395">
        <f t="shared" si="104"/>
        <v>1.129</v>
      </c>
      <c r="M395">
        <f t="shared" si="105"/>
        <v>1.0645</v>
      </c>
      <c r="N395">
        <f t="shared" si="106"/>
        <v>345584</v>
      </c>
      <c r="O395">
        <f t="shared" si="107"/>
        <v>11393.25834</v>
      </c>
      <c r="P395">
        <f t="shared" si="108"/>
        <v>3200</v>
      </c>
      <c r="Q395">
        <f t="shared" si="109"/>
        <v>0.5</v>
      </c>
    </row>
    <row r="396" spans="1:17" x14ac:dyDescent="0.25">
      <c r="A396">
        <v>394</v>
      </c>
      <c r="B396">
        <f t="shared" si="95"/>
        <v>14</v>
      </c>
      <c r="C396">
        <f t="shared" si="96"/>
        <v>1</v>
      </c>
      <c r="D396">
        <f t="shared" si="97"/>
        <v>962</v>
      </c>
      <c r="E396" t="str">
        <f t="shared" si="98"/>
        <v/>
      </c>
      <c r="F396" t="str">
        <f t="shared" si="99"/>
        <v/>
      </c>
      <c r="G396">
        <f t="shared" si="100"/>
        <v>15280</v>
      </c>
      <c r="H396" t="str">
        <f t="shared" si="101"/>
        <v/>
      </c>
      <c r="I396" t="str">
        <f t="shared" si="102"/>
        <v/>
      </c>
      <c r="J396">
        <f>SUM($G$3:I396)</f>
        <v>1743200</v>
      </c>
      <c r="K396">
        <f t="shared" si="103"/>
        <v>9620</v>
      </c>
      <c r="L396">
        <f t="shared" si="104"/>
        <v>1.129</v>
      </c>
      <c r="M396">
        <f t="shared" si="105"/>
        <v>1.0645</v>
      </c>
      <c r="N396">
        <f t="shared" si="106"/>
        <v>348640</v>
      </c>
      <c r="O396">
        <f t="shared" si="107"/>
        <v>11561.513209999999</v>
      </c>
      <c r="P396">
        <f t="shared" si="108"/>
        <v>3200</v>
      </c>
      <c r="Q396">
        <f t="shared" si="109"/>
        <v>0.5</v>
      </c>
    </row>
    <row r="397" spans="1:17" x14ac:dyDescent="0.25">
      <c r="A397">
        <v>395</v>
      </c>
      <c r="B397">
        <f t="shared" si="95"/>
        <v>14</v>
      </c>
      <c r="C397">
        <f t="shared" si="96"/>
        <v>1</v>
      </c>
      <c r="D397">
        <f t="shared" si="97"/>
        <v>976</v>
      </c>
      <c r="E397" t="str">
        <f t="shared" si="98"/>
        <v/>
      </c>
      <c r="F397" t="str">
        <f t="shared" si="99"/>
        <v/>
      </c>
      <c r="G397">
        <f t="shared" si="100"/>
        <v>15440</v>
      </c>
      <c r="H397" t="str">
        <f t="shared" si="101"/>
        <v/>
      </c>
      <c r="I397" t="str">
        <f t="shared" si="102"/>
        <v/>
      </c>
      <c r="J397">
        <f>SUM($G$3:I397)</f>
        <v>1758640</v>
      </c>
      <c r="K397">
        <f t="shared" si="103"/>
        <v>9760</v>
      </c>
      <c r="L397">
        <f t="shared" si="104"/>
        <v>1.129</v>
      </c>
      <c r="M397">
        <f t="shared" si="105"/>
        <v>1.0645</v>
      </c>
      <c r="N397">
        <f t="shared" si="106"/>
        <v>351728</v>
      </c>
      <c r="O397">
        <f t="shared" si="107"/>
        <v>11729.768080000002</v>
      </c>
      <c r="P397">
        <f t="shared" si="108"/>
        <v>3200</v>
      </c>
      <c r="Q397">
        <f t="shared" si="109"/>
        <v>0.5</v>
      </c>
    </row>
    <row r="398" spans="1:17" x14ac:dyDescent="0.25">
      <c r="A398">
        <v>396</v>
      </c>
      <c r="B398">
        <f t="shared" si="95"/>
        <v>14</v>
      </c>
      <c r="C398">
        <f t="shared" si="96"/>
        <v>1</v>
      </c>
      <c r="D398">
        <f t="shared" si="97"/>
        <v>990</v>
      </c>
      <c r="E398" t="str">
        <f t="shared" si="98"/>
        <v/>
      </c>
      <c r="F398" t="str">
        <f t="shared" si="99"/>
        <v/>
      </c>
      <c r="G398">
        <f t="shared" si="100"/>
        <v>15600</v>
      </c>
      <c r="H398" t="str">
        <f t="shared" si="101"/>
        <v/>
      </c>
      <c r="I398" t="str">
        <f t="shared" si="102"/>
        <v/>
      </c>
      <c r="J398">
        <f>SUM($G$3:I398)</f>
        <v>1774240</v>
      </c>
      <c r="K398">
        <f t="shared" si="103"/>
        <v>9900</v>
      </c>
      <c r="L398">
        <f t="shared" si="104"/>
        <v>1.129</v>
      </c>
      <c r="M398">
        <f t="shared" si="105"/>
        <v>1.0645</v>
      </c>
      <c r="N398">
        <f t="shared" si="106"/>
        <v>354848</v>
      </c>
      <c r="O398">
        <f t="shared" si="107"/>
        <v>11898.02295</v>
      </c>
      <c r="P398">
        <f t="shared" si="108"/>
        <v>3200</v>
      </c>
      <c r="Q398">
        <f t="shared" si="109"/>
        <v>0.5</v>
      </c>
    </row>
    <row r="399" spans="1:17" x14ac:dyDescent="0.25">
      <c r="A399">
        <v>397</v>
      </c>
      <c r="B399">
        <f t="shared" si="95"/>
        <v>14</v>
      </c>
      <c r="C399">
        <f t="shared" si="96"/>
        <v>1</v>
      </c>
      <c r="D399">
        <f t="shared" si="97"/>
        <v>1004</v>
      </c>
      <c r="E399" t="str">
        <f t="shared" si="98"/>
        <v/>
      </c>
      <c r="F399" t="str">
        <f t="shared" si="99"/>
        <v/>
      </c>
      <c r="G399">
        <f t="shared" si="100"/>
        <v>15760</v>
      </c>
      <c r="H399" t="str">
        <f t="shared" si="101"/>
        <v/>
      </c>
      <c r="I399" t="str">
        <f t="shared" si="102"/>
        <v/>
      </c>
      <c r="J399">
        <f>SUM($G$3:I399)</f>
        <v>1790000</v>
      </c>
      <c r="K399">
        <f t="shared" si="103"/>
        <v>10040</v>
      </c>
      <c r="L399">
        <f t="shared" si="104"/>
        <v>1.129</v>
      </c>
      <c r="M399">
        <f t="shared" si="105"/>
        <v>1.0645</v>
      </c>
      <c r="N399">
        <f t="shared" si="106"/>
        <v>358000</v>
      </c>
      <c r="O399">
        <f t="shared" si="107"/>
        <v>12066.277819999999</v>
      </c>
      <c r="P399">
        <f t="shared" si="108"/>
        <v>3200</v>
      </c>
      <c r="Q399">
        <f t="shared" si="109"/>
        <v>0.5</v>
      </c>
    </row>
    <row r="400" spans="1:17" x14ac:dyDescent="0.25">
      <c r="A400">
        <v>398</v>
      </c>
      <c r="B400">
        <f t="shared" si="95"/>
        <v>14</v>
      </c>
      <c r="C400">
        <f t="shared" si="96"/>
        <v>1</v>
      </c>
      <c r="D400">
        <f t="shared" si="97"/>
        <v>1018</v>
      </c>
      <c r="E400" t="str">
        <f t="shared" si="98"/>
        <v/>
      </c>
      <c r="F400" t="str">
        <f t="shared" si="99"/>
        <v/>
      </c>
      <c r="G400">
        <f t="shared" si="100"/>
        <v>15920</v>
      </c>
      <c r="H400" t="str">
        <f t="shared" si="101"/>
        <v/>
      </c>
      <c r="I400" t="str">
        <f t="shared" si="102"/>
        <v/>
      </c>
      <c r="J400">
        <f>SUM($G$3:I400)</f>
        <v>1805920</v>
      </c>
      <c r="K400">
        <f t="shared" si="103"/>
        <v>10180</v>
      </c>
      <c r="L400">
        <f t="shared" si="104"/>
        <v>1.129</v>
      </c>
      <c r="M400">
        <f t="shared" si="105"/>
        <v>1.0645</v>
      </c>
      <c r="N400">
        <f t="shared" si="106"/>
        <v>361184</v>
      </c>
      <c r="O400">
        <f t="shared" si="107"/>
        <v>12234.53269</v>
      </c>
      <c r="P400">
        <f t="shared" si="108"/>
        <v>3200</v>
      </c>
      <c r="Q400">
        <f t="shared" si="109"/>
        <v>0.5</v>
      </c>
    </row>
    <row r="401" spans="1:17" x14ac:dyDescent="0.25">
      <c r="A401">
        <v>399</v>
      </c>
      <c r="B401">
        <f t="shared" si="95"/>
        <v>14</v>
      </c>
      <c r="C401">
        <f t="shared" si="96"/>
        <v>1</v>
      </c>
      <c r="D401">
        <f t="shared" si="97"/>
        <v>1032</v>
      </c>
      <c r="E401" t="str">
        <f t="shared" si="98"/>
        <v/>
      </c>
      <c r="F401" t="str">
        <f t="shared" si="99"/>
        <v/>
      </c>
      <c r="G401">
        <f t="shared" si="100"/>
        <v>16080</v>
      </c>
      <c r="H401" t="str">
        <f t="shared" si="101"/>
        <v/>
      </c>
      <c r="I401" t="str">
        <f t="shared" si="102"/>
        <v/>
      </c>
      <c r="J401">
        <f>SUM($G$3:I401)</f>
        <v>1822000</v>
      </c>
      <c r="K401">
        <f t="shared" si="103"/>
        <v>10320</v>
      </c>
      <c r="L401">
        <f t="shared" si="104"/>
        <v>1.129</v>
      </c>
      <c r="M401">
        <f t="shared" si="105"/>
        <v>1.0645</v>
      </c>
      <c r="N401">
        <f t="shared" si="106"/>
        <v>364400</v>
      </c>
      <c r="O401">
        <f t="shared" si="107"/>
        <v>12402.787560000001</v>
      </c>
      <c r="P401">
        <f t="shared" si="108"/>
        <v>3200</v>
      </c>
      <c r="Q401">
        <f t="shared" si="109"/>
        <v>0.5</v>
      </c>
    </row>
    <row r="402" spans="1:17" x14ac:dyDescent="0.25">
      <c r="A402">
        <v>400</v>
      </c>
      <c r="B402">
        <f t="shared" si="95"/>
        <v>14</v>
      </c>
      <c r="C402">
        <f t="shared" si="96"/>
        <v>1</v>
      </c>
      <c r="D402">
        <f t="shared" si="97"/>
        <v>1046</v>
      </c>
      <c r="E402" t="str">
        <f t="shared" si="98"/>
        <v/>
      </c>
      <c r="F402" t="str">
        <f t="shared" si="99"/>
        <v/>
      </c>
      <c r="G402">
        <f t="shared" si="100"/>
        <v>16240</v>
      </c>
      <c r="H402" t="str">
        <f t="shared" si="101"/>
        <v/>
      </c>
      <c r="I402" t="str">
        <f t="shared" si="102"/>
        <v/>
      </c>
      <c r="J402">
        <f>SUM($G$3:I402)</f>
        <v>1838240</v>
      </c>
      <c r="K402">
        <f t="shared" si="103"/>
        <v>10460</v>
      </c>
      <c r="L402">
        <f t="shared" si="104"/>
        <v>1.129</v>
      </c>
      <c r="M402">
        <f t="shared" si="105"/>
        <v>1.0645</v>
      </c>
      <c r="N402">
        <f t="shared" si="106"/>
        <v>367648</v>
      </c>
      <c r="O402">
        <f t="shared" si="107"/>
        <v>12571.04243</v>
      </c>
      <c r="P402">
        <f t="shared" si="108"/>
        <v>3800</v>
      </c>
      <c r="Q402">
        <f t="shared" si="109"/>
        <v>0.5</v>
      </c>
    </row>
    <row r="403" spans="1:17" x14ac:dyDescent="0.25">
      <c r="A403">
        <v>401</v>
      </c>
      <c r="B403">
        <f t="shared" si="95"/>
        <v>14</v>
      </c>
      <c r="C403">
        <f t="shared" si="96"/>
        <v>2</v>
      </c>
      <c r="D403" t="str">
        <f t="shared" si="97"/>
        <v/>
      </c>
      <c r="E403">
        <f t="shared" si="98"/>
        <v>1300</v>
      </c>
      <c r="F403" t="str">
        <f t="shared" si="99"/>
        <v/>
      </c>
      <c r="G403" t="str">
        <f t="shared" si="100"/>
        <v/>
      </c>
      <c r="H403">
        <f t="shared" si="101"/>
        <v>9867</v>
      </c>
      <c r="I403" t="str">
        <f t="shared" si="102"/>
        <v/>
      </c>
      <c r="J403">
        <f>SUM($G$3:I403)</f>
        <v>1848107</v>
      </c>
      <c r="K403">
        <f t="shared" si="103"/>
        <v>10460</v>
      </c>
      <c r="L403">
        <f t="shared" si="104"/>
        <v>1.1299999999999999</v>
      </c>
      <c r="M403">
        <f t="shared" si="105"/>
        <v>1.0645</v>
      </c>
      <c r="N403">
        <f t="shared" si="106"/>
        <v>369621.4</v>
      </c>
      <c r="O403">
        <f t="shared" si="107"/>
        <v>12582.177099999999</v>
      </c>
      <c r="P403">
        <f t="shared" si="108"/>
        <v>3800</v>
      </c>
      <c r="Q403">
        <f t="shared" si="109"/>
        <v>0.5</v>
      </c>
    </row>
    <row r="404" spans="1:17" x14ac:dyDescent="0.25">
      <c r="A404">
        <v>402</v>
      </c>
      <c r="B404">
        <f t="shared" si="95"/>
        <v>14</v>
      </c>
      <c r="C404">
        <f t="shared" si="96"/>
        <v>2</v>
      </c>
      <c r="D404" t="str">
        <f t="shared" si="97"/>
        <v/>
      </c>
      <c r="E404">
        <f t="shared" si="98"/>
        <v>1310</v>
      </c>
      <c r="F404" t="str">
        <f t="shared" si="99"/>
        <v/>
      </c>
      <c r="G404" t="str">
        <f t="shared" si="100"/>
        <v/>
      </c>
      <c r="H404">
        <f t="shared" si="101"/>
        <v>9974</v>
      </c>
      <c r="I404" t="str">
        <f t="shared" si="102"/>
        <v/>
      </c>
      <c r="J404">
        <f>SUM($G$3:I404)</f>
        <v>1858081</v>
      </c>
      <c r="K404">
        <f t="shared" si="103"/>
        <v>10460</v>
      </c>
      <c r="L404">
        <f t="shared" si="104"/>
        <v>1.131</v>
      </c>
      <c r="M404">
        <f t="shared" si="105"/>
        <v>1.0645</v>
      </c>
      <c r="N404">
        <f t="shared" si="106"/>
        <v>371616.2</v>
      </c>
      <c r="O404">
        <f t="shared" si="107"/>
        <v>12593.31177</v>
      </c>
      <c r="P404">
        <f t="shared" si="108"/>
        <v>3800</v>
      </c>
      <c r="Q404">
        <f t="shared" si="109"/>
        <v>0.5</v>
      </c>
    </row>
    <row r="405" spans="1:17" x14ac:dyDescent="0.25">
      <c r="A405">
        <v>403</v>
      </c>
      <c r="B405">
        <f t="shared" si="95"/>
        <v>14</v>
      </c>
      <c r="C405">
        <f t="shared" si="96"/>
        <v>2</v>
      </c>
      <c r="D405" t="str">
        <f t="shared" si="97"/>
        <v/>
      </c>
      <c r="E405">
        <f t="shared" si="98"/>
        <v>1320</v>
      </c>
      <c r="F405" t="str">
        <f t="shared" si="99"/>
        <v/>
      </c>
      <c r="G405" t="str">
        <f t="shared" si="100"/>
        <v/>
      </c>
      <c r="H405">
        <f t="shared" si="101"/>
        <v>10081</v>
      </c>
      <c r="I405" t="str">
        <f t="shared" si="102"/>
        <v/>
      </c>
      <c r="J405">
        <f>SUM($G$3:I405)</f>
        <v>1868162</v>
      </c>
      <c r="K405">
        <f t="shared" si="103"/>
        <v>10460</v>
      </c>
      <c r="L405">
        <f t="shared" si="104"/>
        <v>1.1320000000000001</v>
      </c>
      <c r="M405">
        <f t="shared" si="105"/>
        <v>1.0645</v>
      </c>
      <c r="N405">
        <f t="shared" si="106"/>
        <v>373632.4</v>
      </c>
      <c r="O405">
        <f t="shared" si="107"/>
        <v>12604.446440000002</v>
      </c>
      <c r="P405">
        <f t="shared" si="108"/>
        <v>3800</v>
      </c>
      <c r="Q405">
        <f t="shared" si="109"/>
        <v>0.5</v>
      </c>
    </row>
    <row r="406" spans="1:17" x14ac:dyDescent="0.25">
      <c r="A406">
        <v>404</v>
      </c>
      <c r="B406">
        <f t="shared" si="95"/>
        <v>14</v>
      </c>
      <c r="C406">
        <f t="shared" si="96"/>
        <v>2</v>
      </c>
      <c r="D406" t="str">
        <f t="shared" si="97"/>
        <v/>
      </c>
      <c r="E406">
        <f t="shared" si="98"/>
        <v>1330</v>
      </c>
      <c r="F406" t="str">
        <f t="shared" si="99"/>
        <v/>
      </c>
      <c r="G406" t="str">
        <f t="shared" si="100"/>
        <v/>
      </c>
      <c r="H406">
        <f t="shared" si="101"/>
        <v>10188</v>
      </c>
      <c r="I406" t="str">
        <f t="shared" si="102"/>
        <v/>
      </c>
      <c r="J406">
        <f>SUM($G$3:I406)</f>
        <v>1878350</v>
      </c>
      <c r="K406">
        <f t="shared" si="103"/>
        <v>10460</v>
      </c>
      <c r="L406">
        <f t="shared" si="104"/>
        <v>1.133</v>
      </c>
      <c r="M406">
        <f t="shared" si="105"/>
        <v>1.0645</v>
      </c>
      <c r="N406">
        <f t="shared" si="106"/>
        <v>375670</v>
      </c>
      <c r="O406">
        <f t="shared" si="107"/>
        <v>12615.581110000001</v>
      </c>
      <c r="P406">
        <f t="shared" si="108"/>
        <v>3800</v>
      </c>
      <c r="Q406">
        <f t="shared" si="109"/>
        <v>0.5</v>
      </c>
    </row>
    <row r="407" spans="1:17" x14ac:dyDescent="0.25">
      <c r="A407">
        <v>405</v>
      </c>
      <c r="B407">
        <f t="shared" si="95"/>
        <v>14</v>
      </c>
      <c r="C407">
        <f t="shared" si="96"/>
        <v>2</v>
      </c>
      <c r="D407" t="str">
        <f t="shared" si="97"/>
        <v/>
      </c>
      <c r="E407">
        <f t="shared" si="98"/>
        <v>1340</v>
      </c>
      <c r="F407" t="str">
        <f t="shared" si="99"/>
        <v/>
      </c>
      <c r="G407" t="str">
        <f t="shared" si="100"/>
        <v/>
      </c>
      <c r="H407">
        <f t="shared" si="101"/>
        <v>10295</v>
      </c>
      <c r="I407" t="str">
        <f t="shared" si="102"/>
        <v/>
      </c>
      <c r="J407">
        <f>SUM($G$3:I407)</f>
        <v>1888645</v>
      </c>
      <c r="K407">
        <f t="shared" si="103"/>
        <v>10460</v>
      </c>
      <c r="L407">
        <f t="shared" si="104"/>
        <v>1.1339999999999999</v>
      </c>
      <c r="M407">
        <f t="shared" si="105"/>
        <v>1.0645</v>
      </c>
      <c r="N407">
        <f t="shared" si="106"/>
        <v>377729</v>
      </c>
      <c r="O407">
        <f t="shared" si="107"/>
        <v>12626.715779999999</v>
      </c>
      <c r="P407">
        <f t="shared" si="108"/>
        <v>3800</v>
      </c>
      <c r="Q407">
        <f t="shared" si="109"/>
        <v>0.5</v>
      </c>
    </row>
    <row r="408" spans="1:17" x14ac:dyDescent="0.25">
      <c r="A408">
        <v>406</v>
      </c>
      <c r="B408">
        <f t="shared" si="95"/>
        <v>14</v>
      </c>
      <c r="C408">
        <f t="shared" si="96"/>
        <v>2</v>
      </c>
      <c r="D408" t="str">
        <f t="shared" si="97"/>
        <v/>
      </c>
      <c r="E408">
        <f t="shared" si="98"/>
        <v>1350</v>
      </c>
      <c r="F408" t="str">
        <f t="shared" si="99"/>
        <v/>
      </c>
      <c r="G408" t="str">
        <f t="shared" si="100"/>
        <v/>
      </c>
      <c r="H408">
        <f t="shared" si="101"/>
        <v>10402</v>
      </c>
      <c r="I408" t="str">
        <f t="shared" si="102"/>
        <v/>
      </c>
      <c r="J408">
        <f>SUM($G$3:I408)</f>
        <v>1899047</v>
      </c>
      <c r="K408">
        <f t="shared" si="103"/>
        <v>10460</v>
      </c>
      <c r="L408">
        <f t="shared" si="104"/>
        <v>1.135</v>
      </c>
      <c r="M408">
        <f t="shared" si="105"/>
        <v>1.0645</v>
      </c>
      <c r="N408">
        <f t="shared" si="106"/>
        <v>379809.4</v>
      </c>
      <c r="O408">
        <f t="shared" si="107"/>
        <v>12637.85045</v>
      </c>
      <c r="P408">
        <f t="shared" si="108"/>
        <v>3800</v>
      </c>
      <c r="Q408">
        <f t="shared" si="109"/>
        <v>0.5</v>
      </c>
    </row>
    <row r="409" spans="1:17" x14ac:dyDescent="0.25">
      <c r="A409">
        <v>407</v>
      </c>
      <c r="B409">
        <f t="shared" si="95"/>
        <v>14</v>
      </c>
      <c r="C409">
        <f t="shared" si="96"/>
        <v>2</v>
      </c>
      <c r="D409" t="str">
        <f t="shared" si="97"/>
        <v/>
      </c>
      <c r="E409">
        <f t="shared" si="98"/>
        <v>1360</v>
      </c>
      <c r="F409" t="str">
        <f t="shared" si="99"/>
        <v/>
      </c>
      <c r="G409" t="str">
        <f t="shared" si="100"/>
        <v/>
      </c>
      <c r="H409">
        <f t="shared" si="101"/>
        <v>10509</v>
      </c>
      <c r="I409" t="str">
        <f t="shared" si="102"/>
        <v/>
      </c>
      <c r="J409">
        <f>SUM($G$3:I409)</f>
        <v>1909556</v>
      </c>
      <c r="K409">
        <f t="shared" si="103"/>
        <v>10460</v>
      </c>
      <c r="L409">
        <f t="shared" si="104"/>
        <v>1.1360000000000001</v>
      </c>
      <c r="M409">
        <f t="shared" si="105"/>
        <v>1.0645</v>
      </c>
      <c r="N409">
        <f t="shared" si="106"/>
        <v>381911.2</v>
      </c>
      <c r="O409">
        <f t="shared" si="107"/>
        <v>12648.985120000001</v>
      </c>
      <c r="P409">
        <f t="shared" si="108"/>
        <v>3800</v>
      </c>
      <c r="Q409">
        <f t="shared" si="109"/>
        <v>0.5</v>
      </c>
    </row>
    <row r="410" spans="1:17" x14ac:dyDescent="0.25">
      <c r="A410">
        <v>408</v>
      </c>
      <c r="B410">
        <f t="shared" si="95"/>
        <v>14</v>
      </c>
      <c r="C410">
        <f t="shared" si="96"/>
        <v>2</v>
      </c>
      <c r="D410" t="str">
        <f t="shared" si="97"/>
        <v/>
      </c>
      <c r="E410">
        <f t="shared" si="98"/>
        <v>1370</v>
      </c>
      <c r="F410" t="str">
        <f t="shared" si="99"/>
        <v/>
      </c>
      <c r="G410" t="str">
        <f t="shared" si="100"/>
        <v/>
      </c>
      <c r="H410">
        <f t="shared" si="101"/>
        <v>10616</v>
      </c>
      <c r="I410" t="str">
        <f t="shared" si="102"/>
        <v/>
      </c>
      <c r="J410">
        <f>SUM($G$3:I410)</f>
        <v>1920172</v>
      </c>
      <c r="K410">
        <f t="shared" si="103"/>
        <v>10460</v>
      </c>
      <c r="L410">
        <f t="shared" si="104"/>
        <v>1.137</v>
      </c>
      <c r="M410">
        <f t="shared" si="105"/>
        <v>1.0645</v>
      </c>
      <c r="N410">
        <f t="shared" si="106"/>
        <v>384034.4</v>
      </c>
      <c r="O410">
        <f t="shared" si="107"/>
        <v>12660.119790000001</v>
      </c>
      <c r="P410">
        <f t="shared" si="108"/>
        <v>3800</v>
      </c>
      <c r="Q410">
        <f t="shared" si="109"/>
        <v>0.5</v>
      </c>
    </row>
    <row r="411" spans="1:17" x14ac:dyDescent="0.25">
      <c r="A411">
        <v>409</v>
      </c>
      <c r="B411">
        <f t="shared" si="95"/>
        <v>14</v>
      </c>
      <c r="C411">
        <f t="shared" si="96"/>
        <v>2</v>
      </c>
      <c r="D411" t="str">
        <f t="shared" si="97"/>
        <v/>
      </c>
      <c r="E411">
        <f t="shared" si="98"/>
        <v>1380</v>
      </c>
      <c r="F411" t="str">
        <f t="shared" si="99"/>
        <v/>
      </c>
      <c r="G411" t="str">
        <f t="shared" si="100"/>
        <v/>
      </c>
      <c r="H411">
        <f t="shared" si="101"/>
        <v>10723</v>
      </c>
      <c r="I411" t="str">
        <f t="shared" si="102"/>
        <v/>
      </c>
      <c r="J411">
        <f>SUM($G$3:I411)</f>
        <v>1930895</v>
      </c>
      <c r="K411">
        <f t="shared" si="103"/>
        <v>10460</v>
      </c>
      <c r="L411">
        <f t="shared" si="104"/>
        <v>1.1379999999999999</v>
      </c>
      <c r="M411">
        <f t="shared" si="105"/>
        <v>1.0645</v>
      </c>
      <c r="N411">
        <f t="shared" si="106"/>
        <v>386179</v>
      </c>
      <c r="O411">
        <f t="shared" si="107"/>
        <v>12671.25446</v>
      </c>
      <c r="P411">
        <f t="shared" si="108"/>
        <v>3800</v>
      </c>
      <c r="Q411">
        <f t="shared" si="109"/>
        <v>0.5</v>
      </c>
    </row>
    <row r="412" spans="1:17" x14ac:dyDescent="0.25">
      <c r="A412">
        <v>410</v>
      </c>
      <c r="B412">
        <f t="shared" si="95"/>
        <v>14</v>
      </c>
      <c r="C412">
        <f t="shared" si="96"/>
        <v>2</v>
      </c>
      <c r="D412" t="str">
        <f t="shared" si="97"/>
        <v/>
      </c>
      <c r="E412">
        <f t="shared" si="98"/>
        <v>1390</v>
      </c>
      <c r="F412" t="str">
        <f t="shared" si="99"/>
        <v/>
      </c>
      <c r="G412" t="str">
        <f t="shared" si="100"/>
        <v/>
      </c>
      <c r="H412">
        <f t="shared" si="101"/>
        <v>10830</v>
      </c>
      <c r="I412" t="str">
        <f t="shared" si="102"/>
        <v/>
      </c>
      <c r="J412">
        <f>SUM($G$3:I412)</f>
        <v>1941725</v>
      </c>
      <c r="K412">
        <f t="shared" si="103"/>
        <v>10460</v>
      </c>
      <c r="L412">
        <f t="shared" si="104"/>
        <v>1.139</v>
      </c>
      <c r="M412">
        <f t="shared" si="105"/>
        <v>1.0645</v>
      </c>
      <c r="N412">
        <f t="shared" si="106"/>
        <v>388345</v>
      </c>
      <c r="O412">
        <f t="shared" si="107"/>
        <v>12682.389130000001</v>
      </c>
      <c r="P412">
        <f t="shared" si="108"/>
        <v>3800</v>
      </c>
      <c r="Q412">
        <f t="shared" si="109"/>
        <v>0.6</v>
      </c>
    </row>
    <row r="413" spans="1:17" x14ac:dyDescent="0.25">
      <c r="A413">
        <v>411</v>
      </c>
      <c r="B413">
        <f t="shared" si="95"/>
        <v>14</v>
      </c>
      <c r="C413">
        <f t="shared" si="96"/>
        <v>3</v>
      </c>
      <c r="D413" t="str">
        <f t="shared" si="97"/>
        <v/>
      </c>
      <c r="E413" t="str">
        <f t="shared" si="98"/>
        <v/>
      </c>
      <c r="F413">
        <f t="shared" si="99"/>
        <v>650</v>
      </c>
      <c r="G413" t="str">
        <f t="shared" si="100"/>
        <v/>
      </c>
      <c r="H413" t="str">
        <f t="shared" si="101"/>
        <v/>
      </c>
      <c r="I413">
        <f t="shared" si="102"/>
        <v>7400</v>
      </c>
      <c r="J413">
        <f>SUM($G$3:I413)</f>
        <v>1949125</v>
      </c>
      <c r="K413">
        <f t="shared" si="103"/>
        <v>10460</v>
      </c>
      <c r="L413">
        <f t="shared" si="104"/>
        <v>1.139</v>
      </c>
      <c r="M413">
        <f t="shared" si="105"/>
        <v>1.0649999999999999</v>
      </c>
      <c r="N413">
        <f t="shared" si="106"/>
        <v>389825</v>
      </c>
      <c r="O413">
        <f t="shared" si="107"/>
        <v>12688.346100000001</v>
      </c>
      <c r="P413">
        <f t="shared" si="108"/>
        <v>3800</v>
      </c>
      <c r="Q413">
        <f t="shared" si="109"/>
        <v>0.6</v>
      </c>
    </row>
    <row r="414" spans="1:17" x14ac:dyDescent="0.25">
      <c r="A414">
        <v>412</v>
      </c>
      <c r="B414">
        <f t="shared" si="95"/>
        <v>14</v>
      </c>
      <c r="C414">
        <f t="shared" si="96"/>
        <v>3</v>
      </c>
      <c r="D414" t="str">
        <f t="shared" si="97"/>
        <v/>
      </c>
      <c r="E414" t="str">
        <f t="shared" si="98"/>
        <v/>
      </c>
      <c r="F414">
        <f t="shared" si="99"/>
        <v>655</v>
      </c>
      <c r="G414" t="str">
        <f t="shared" si="100"/>
        <v/>
      </c>
      <c r="H414" t="str">
        <f t="shared" si="101"/>
        <v/>
      </c>
      <c r="I414">
        <f t="shared" si="102"/>
        <v>7550</v>
      </c>
      <c r="J414">
        <f>SUM($G$3:I414)</f>
        <v>1956675</v>
      </c>
      <c r="K414">
        <f t="shared" si="103"/>
        <v>10460</v>
      </c>
      <c r="L414">
        <f t="shared" si="104"/>
        <v>1.139</v>
      </c>
      <c r="M414">
        <f t="shared" si="105"/>
        <v>1.0655000000000001</v>
      </c>
      <c r="N414">
        <f t="shared" si="106"/>
        <v>391335</v>
      </c>
      <c r="O414">
        <f t="shared" si="107"/>
        <v>12694.303070000002</v>
      </c>
      <c r="P414">
        <f t="shared" si="108"/>
        <v>3800</v>
      </c>
      <c r="Q414">
        <f t="shared" si="109"/>
        <v>0.6</v>
      </c>
    </row>
    <row r="415" spans="1:17" x14ac:dyDescent="0.25">
      <c r="A415">
        <v>413</v>
      </c>
      <c r="B415">
        <f t="shared" si="95"/>
        <v>14</v>
      </c>
      <c r="C415">
        <f t="shared" si="96"/>
        <v>3</v>
      </c>
      <c r="D415" t="str">
        <f t="shared" si="97"/>
        <v/>
      </c>
      <c r="E415" t="str">
        <f t="shared" si="98"/>
        <v/>
      </c>
      <c r="F415">
        <f t="shared" si="99"/>
        <v>660</v>
      </c>
      <c r="G415" t="str">
        <f t="shared" si="100"/>
        <v/>
      </c>
      <c r="H415" t="str">
        <f t="shared" si="101"/>
        <v/>
      </c>
      <c r="I415">
        <f t="shared" si="102"/>
        <v>7700</v>
      </c>
      <c r="J415">
        <f>SUM($G$3:I415)</f>
        <v>1964375</v>
      </c>
      <c r="K415">
        <f t="shared" si="103"/>
        <v>10460</v>
      </c>
      <c r="L415">
        <f t="shared" si="104"/>
        <v>1.139</v>
      </c>
      <c r="M415">
        <f t="shared" si="105"/>
        <v>1.0660000000000001</v>
      </c>
      <c r="N415">
        <f t="shared" si="106"/>
        <v>392875</v>
      </c>
      <c r="O415">
        <f t="shared" si="107"/>
        <v>12700.260040000001</v>
      </c>
      <c r="P415">
        <f t="shared" si="108"/>
        <v>3800</v>
      </c>
      <c r="Q415">
        <f t="shared" si="109"/>
        <v>0.6</v>
      </c>
    </row>
    <row r="416" spans="1:17" x14ac:dyDescent="0.25">
      <c r="A416">
        <v>414</v>
      </c>
      <c r="B416">
        <f t="shared" si="95"/>
        <v>14</v>
      </c>
      <c r="C416">
        <f t="shared" si="96"/>
        <v>3</v>
      </c>
      <c r="D416" t="str">
        <f t="shared" si="97"/>
        <v/>
      </c>
      <c r="E416" t="str">
        <f t="shared" si="98"/>
        <v/>
      </c>
      <c r="F416">
        <f t="shared" si="99"/>
        <v>665</v>
      </c>
      <c r="G416" t="str">
        <f t="shared" si="100"/>
        <v/>
      </c>
      <c r="H416" t="str">
        <f t="shared" si="101"/>
        <v/>
      </c>
      <c r="I416">
        <f t="shared" si="102"/>
        <v>7850</v>
      </c>
      <c r="J416">
        <f>SUM($G$3:I416)</f>
        <v>1972225</v>
      </c>
      <c r="K416">
        <f t="shared" si="103"/>
        <v>10460</v>
      </c>
      <c r="L416">
        <f t="shared" si="104"/>
        <v>1.139</v>
      </c>
      <c r="M416">
        <f t="shared" si="105"/>
        <v>1.0665</v>
      </c>
      <c r="N416">
        <f t="shared" si="106"/>
        <v>394445</v>
      </c>
      <c r="O416">
        <f t="shared" si="107"/>
        <v>12706.21701</v>
      </c>
      <c r="P416">
        <f t="shared" si="108"/>
        <v>3800</v>
      </c>
      <c r="Q416">
        <f t="shared" si="109"/>
        <v>0.6</v>
      </c>
    </row>
    <row r="417" spans="1:17" x14ac:dyDescent="0.25">
      <c r="A417">
        <v>415</v>
      </c>
      <c r="B417">
        <f t="shared" si="95"/>
        <v>14</v>
      </c>
      <c r="C417">
        <f t="shared" si="96"/>
        <v>3</v>
      </c>
      <c r="D417" t="str">
        <f t="shared" si="97"/>
        <v/>
      </c>
      <c r="E417" t="str">
        <f t="shared" si="98"/>
        <v/>
      </c>
      <c r="F417">
        <f t="shared" si="99"/>
        <v>670</v>
      </c>
      <c r="G417" t="str">
        <f t="shared" si="100"/>
        <v/>
      </c>
      <c r="H417" t="str">
        <f t="shared" si="101"/>
        <v/>
      </c>
      <c r="I417">
        <f t="shared" si="102"/>
        <v>8000</v>
      </c>
      <c r="J417">
        <f>SUM($G$3:I417)</f>
        <v>1980225</v>
      </c>
      <c r="K417">
        <f t="shared" si="103"/>
        <v>10460</v>
      </c>
      <c r="L417">
        <f t="shared" si="104"/>
        <v>1.139</v>
      </c>
      <c r="M417">
        <f t="shared" si="105"/>
        <v>1.0669999999999999</v>
      </c>
      <c r="N417">
        <f t="shared" si="106"/>
        <v>396045</v>
      </c>
      <c r="O417">
        <f t="shared" si="107"/>
        <v>12712.17398</v>
      </c>
      <c r="P417">
        <f t="shared" si="108"/>
        <v>3800</v>
      </c>
      <c r="Q417">
        <f t="shared" si="109"/>
        <v>0.6</v>
      </c>
    </row>
    <row r="418" spans="1:17" x14ac:dyDescent="0.25">
      <c r="A418">
        <v>416</v>
      </c>
      <c r="B418">
        <f t="shared" ref="B418:B481" si="110">B388+1</f>
        <v>14</v>
      </c>
      <c r="C418">
        <f t="shared" ref="C418:C481" si="111">C388</f>
        <v>3</v>
      </c>
      <c r="D418" t="str">
        <f t="shared" si="97"/>
        <v/>
      </c>
      <c r="E418" t="str">
        <f t="shared" si="98"/>
        <v/>
      </c>
      <c r="F418">
        <f t="shared" si="99"/>
        <v>675</v>
      </c>
      <c r="G418" t="str">
        <f t="shared" si="100"/>
        <v/>
      </c>
      <c r="H418" t="str">
        <f t="shared" si="101"/>
        <v/>
      </c>
      <c r="I418">
        <f t="shared" si="102"/>
        <v>8150</v>
      </c>
      <c r="J418">
        <f>SUM($G$3:I418)</f>
        <v>1988375</v>
      </c>
      <c r="K418">
        <f t="shared" si="103"/>
        <v>10460</v>
      </c>
      <c r="L418">
        <f t="shared" si="104"/>
        <v>1.139</v>
      </c>
      <c r="M418">
        <f t="shared" si="105"/>
        <v>1.0674999999999999</v>
      </c>
      <c r="N418">
        <f t="shared" si="106"/>
        <v>397675</v>
      </c>
      <c r="O418">
        <f t="shared" si="107"/>
        <v>12718.130949999999</v>
      </c>
      <c r="P418">
        <f t="shared" si="108"/>
        <v>3800</v>
      </c>
      <c r="Q418">
        <f t="shared" si="109"/>
        <v>0.6</v>
      </c>
    </row>
    <row r="419" spans="1:17" x14ac:dyDescent="0.25">
      <c r="A419">
        <v>417</v>
      </c>
      <c r="B419">
        <f t="shared" si="110"/>
        <v>14</v>
      </c>
      <c r="C419">
        <f t="shared" si="111"/>
        <v>3</v>
      </c>
      <c r="D419" t="str">
        <f t="shared" si="97"/>
        <v/>
      </c>
      <c r="E419" t="str">
        <f t="shared" si="98"/>
        <v/>
      </c>
      <c r="F419">
        <f t="shared" si="99"/>
        <v>680</v>
      </c>
      <c r="G419" t="str">
        <f t="shared" si="100"/>
        <v/>
      </c>
      <c r="H419" t="str">
        <f t="shared" si="101"/>
        <v/>
      </c>
      <c r="I419">
        <f t="shared" si="102"/>
        <v>8300</v>
      </c>
      <c r="J419">
        <f>SUM($G$3:I419)</f>
        <v>1996675</v>
      </c>
      <c r="K419">
        <f t="shared" si="103"/>
        <v>10460</v>
      </c>
      <c r="L419">
        <f t="shared" si="104"/>
        <v>1.139</v>
      </c>
      <c r="M419">
        <f t="shared" si="105"/>
        <v>1.0680000000000001</v>
      </c>
      <c r="N419">
        <f t="shared" si="106"/>
        <v>399335</v>
      </c>
      <c r="O419">
        <f t="shared" si="107"/>
        <v>12724.087920000002</v>
      </c>
      <c r="P419">
        <f t="shared" si="108"/>
        <v>3800</v>
      </c>
      <c r="Q419">
        <f t="shared" si="109"/>
        <v>0.6</v>
      </c>
    </row>
    <row r="420" spans="1:17" x14ac:dyDescent="0.25">
      <c r="A420">
        <v>418</v>
      </c>
      <c r="B420">
        <f t="shared" si="110"/>
        <v>14</v>
      </c>
      <c r="C420">
        <f t="shared" si="111"/>
        <v>3</v>
      </c>
      <c r="D420" t="str">
        <f t="shared" si="97"/>
        <v/>
      </c>
      <c r="E420" t="str">
        <f t="shared" si="98"/>
        <v/>
      </c>
      <c r="F420">
        <f t="shared" si="99"/>
        <v>685</v>
      </c>
      <c r="G420" t="str">
        <f t="shared" si="100"/>
        <v/>
      </c>
      <c r="H420" t="str">
        <f t="shared" si="101"/>
        <v/>
      </c>
      <c r="I420">
        <f t="shared" si="102"/>
        <v>8450</v>
      </c>
      <c r="J420">
        <f>SUM($G$3:I420)</f>
        <v>2005125</v>
      </c>
      <c r="K420">
        <f t="shared" si="103"/>
        <v>10460</v>
      </c>
      <c r="L420">
        <f t="shared" si="104"/>
        <v>1.139</v>
      </c>
      <c r="M420">
        <f t="shared" si="105"/>
        <v>1.0685</v>
      </c>
      <c r="N420">
        <f t="shared" si="106"/>
        <v>401025</v>
      </c>
      <c r="O420">
        <f t="shared" si="107"/>
        <v>12730.044890000001</v>
      </c>
      <c r="P420">
        <f t="shared" si="108"/>
        <v>3800</v>
      </c>
      <c r="Q420">
        <f t="shared" si="109"/>
        <v>0.6</v>
      </c>
    </row>
    <row r="421" spans="1:17" x14ac:dyDescent="0.25">
      <c r="A421">
        <v>419</v>
      </c>
      <c r="B421">
        <f t="shared" si="110"/>
        <v>14</v>
      </c>
      <c r="C421">
        <f t="shared" si="111"/>
        <v>3</v>
      </c>
      <c r="D421" t="str">
        <f t="shared" si="97"/>
        <v/>
      </c>
      <c r="E421" t="str">
        <f t="shared" si="98"/>
        <v/>
      </c>
      <c r="F421">
        <f t="shared" si="99"/>
        <v>690</v>
      </c>
      <c r="G421" t="str">
        <f t="shared" si="100"/>
        <v/>
      </c>
      <c r="H421" t="str">
        <f t="shared" si="101"/>
        <v/>
      </c>
      <c r="I421">
        <f t="shared" si="102"/>
        <v>8600</v>
      </c>
      <c r="J421">
        <f>SUM($G$3:I421)</f>
        <v>2013725</v>
      </c>
      <c r="K421">
        <f t="shared" si="103"/>
        <v>10460</v>
      </c>
      <c r="L421">
        <f t="shared" si="104"/>
        <v>1.139</v>
      </c>
      <c r="M421">
        <f t="shared" si="105"/>
        <v>1.069</v>
      </c>
      <c r="N421">
        <f t="shared" si="106"/>
        <v>402745</v>
      </c>
      <c r="O421">
        <f t="shared" si="107"/>
        <v>12736.00186</v>
      </c>
      <c r="P421">
        <f t="shared" si="108"/>
        <v>3800</v>
      </c>
      <c r="Q421">
        <f t="shared" si="109"/>
        <v>0.6</v>
      </c>
    </row>
    <row r="422" spans="1:17" x14ac:dyDescent="0.25">
      <c r="A422">
        <v>420</v>
      </c>
      <c r="B422">
        <f t="shared" si="110"/>
        <v>14</v>
      </c>
      <c r="C422">
        <f t="shared" si="111"/>
        <v>3</v>
      </c>
      <c r="D422" t="str">
        <f t="shared" si="97"/>
        <v/>
      </c>
      <c r="E422" t="str">
        <f t="shared" si="98"/>
        <v/>
      </c>
      <c r="F422">
        <f t="shared" si="99"/>
        <v>695</v>
      </c>
      <c r="G422" t="str">
        <f t="shared" si="100"/>
        <v/>
      </c>
      <c r="H422" t="str">
        <f t="shared" si="101"/>
        <v/>
      </c>
      <c r="I422">
        <f t="shared" si="102"/>
        <v>8750</v>
      </c>
      <c r="J422">
        <f>SUM($G$3:I422)</f>
        <v>2022475</v>
      </c>
      <c r="K422">
        <f t="shared" si="103"/>
        <v>10460</v>
      </c>
      <c r="L422">
        <f t="shared" si="104"/>
        <v>1.139</v>
      </c>
      <c r="M422">
        <f t="shared" si="105"/>
        <v>1.0695000000000001</v>
      </c>
      <c r="N422">
        <f t="shared" si="106"/>
        <v>404495</v>
      </c>
      <c r="O422">
        <f t="shared" si="107"/>
        <v>12741.958830000001</v>
      </c>
      <c r="P422">
        <f t="shared" si="108"/>
        <v>3800</v>
      </c>
      <c r="Q422">
        <f t="shared" si="109"/>
        <v>0.6</v>
      </c>
    </row>
    <row r="423" spans="1:17" x14ac:dyDescent="0.25">
      <c r="A423">
        <v>421</v>
      </c>
      <c r="B423">
        <f t="shared" si="110"/>
        <v>15</v>
      </c>
      <c r="C423">
        <f t="shared" si="111"/>
        <v>1</v>
      </c>
      <c r="D423">
        <f t="shared" si="97"/>
        <v>1060</v>
      </c>
      <c r="E423" t="str">
        <f t="shared" si="98"/>
        <v/>
      </c>
      <c r="F423" t="str">
        <f t="shared" si="99"/>
        <v/>
      </c>
      <c r="G423">
        <f t="shared" si="100"/>
        <v>17500</v>
      </c>
      <c r="H423" t="str">
        <f t="shared" si="101"/>
        <v/>
      </c>
      <c r="I423" t="str">
        <f t="shared" si="102"/>
        <v/>
      </c>
      <c r="J423">
        <f>SUM($G$3:I423)</f>
        <v>2039975</v>
      </c>
      <c r="K423">
        <f t="shared" si="103"/>
        <v>10600</v>
      </c>
      <c r="L423">
        <f t="shared" si="104"/>
        <v>1.139</v>
      </c>
      <c r="M423">
        <f t="shared" si="105"/>
        <v>1.0695000000000001</v>
      </c>
      <c r="N423">
        <f t="shared" si="106"/>
        <v>407995</v>
      </c>
      <c r="O423">
        <f t="shared" si="107"/>
        <v>12912.501300000002</v>
      </c>
      <c r="P423">
        <f t="shared" si="108"/>
        <v>3800</v>
      </c>
      <c r="Q423">
        <f t="shared" si="109"/>
        <v>0.6</v>
      </c>
    </row>
    <row r="424" spans="1:17" x14ac:dyDescent="0.25">
      <c r="A424">
        <v>422</v>
      </c>
      <c r="B424">
        <f t="shared" si="110"/>
        <v>15</v>
      </c>
      <c r="C424">
        <f t="shared" si="111"/>
        <v>1</v>
      </c>
      <c r="D424">
        <f t="shared" si="97"/>
        <v>1075</v>
      </c>
      <c r="E424" t="str">
        <f t="shared" si="98"/>
        <v/>
      </c>
      <c r="F424" t="str">
        <f t="shared" si="99"/>
        <v/>
      </c>
      <c r="G424">
        <f t="shared" si="100"/>
        <v>17670</v>
      </c>
      <c r="H424" t="str">
        <f t="shared" si="101"/>
        <v/>
      </c>
      <c r="I424" t="str">
        <f t="shared" si="102"/>
        <v/>
      </c>
      <c r="J424">
        <f>SUM($G$3:I424)</f>
        <v>2057645</v>
      </c>
      <c r="K424">
        <f t="shared" si="103"/>
        <v>10750</v>
      </c>
      <c r="L424">
        <f t="shared" si="104"/>
        <v>1.139</v>
      </c>
      <c r="M424">
        <f t="shared" si="105"/>
        <v>1.0695000000000001</v>
      </c>
      <c r="N424">
        <f t="shared" si="106"/>
        <v>411529</v>
      </c>
      <c r="O424">
        <f t="shared" si="107"/>
        <v>13095.225375000002</v>
      </c>
      <c r="P424">
        <f t="shared" si="108"/>
        <v>3800</v>
      </c>
      <c r="Q424">
        <f t="shared" si="109"/>
        <v>0.6</v>
      </c>
    </row>
    <row r="425" spans="1:17" x14ac:dyDescent="0.25">
      <c r="A425">
        <v>423</v>
      </c>
      <c r="B425">
        <f t="shared" si="110"/>
        <v>15</v>
      </c>
      <c r="C425">
        <f t="shared" si="111"/>
        <v>1</v>
      </c>
      <c r="D425">
        <f t="shared" si="97"/>
        <v>1090</v>
      </c>
      <c r="E425" t="str">
        <f t="shared" si="98"/>
        <v/>
      </c>
      <c r="F425" t="str">
        <f t="shared" si="99"/>
        <v/>
      </c>
      <c r="G425">
        <f t="shared" si="100"/>
        <v>17840</v>
      </c>
      <c r="H425" t="str">
        <f t="shared" si="101"/>
        <v/>
      </c>
      <c r="I425" t="str">
        <f t="shared" si="102"/>
        <v/>
      </c>
      <c r="J425">
        <f>SUM($G$3:I425)</f>
        <v>2075485</v>
      </c>
      <c r="K425">
        <f t="shared" si="103"/>
        <v>10900</v>
      </c>
      <c r="L425">
        <f t="shared" si="104"/>
        <v>1.139</v>
      </c>
      <c r="M425">
        <f t="shared" si="105"/>
        <v>1.0695000000000001</v>
      </c>
      <c r="N425">
        <f t="shared" si="106"/>
        <v>415097</v>
      </c>
      <c r="O425">
        <f t="shared" si="107"/>
        <v>13277.949450000002</v>
      </c>
      <c r="P425">
        <f t="shared" si="108"/>
        <v>3800</v>
      </c>
      <c r="Q425">
        <f t="shared" si="109"/>
        <v>0.6</v>
      </c>
    </row>
    <row r="426" spans="1:17" x14ac:dyDescent="0.25">
      <c r="A426">
        <v>424</v>
      </c>
      <c r="B426">
        <f t="shared" si="110"/>
        <v>15</v>
      </c>
      <c r="C426">
        <f t="shared" si="111"/>
        <v>1</v>
      </c>
      <c r="D426">
        <f t="shared" si="97"/>
        <v>1105</v>
      </c>
      <c r="E426" t="str">
        <f t="shared" si="98"/>
        <v/>
      </c>
      <c r="F426" t="str">
        <f t="shared" si="99"/>
        <v/>
      </c>
      <c r="G426">
        <f t="shared" si="100"/>
        <v>18010</v>
      </c>
      <c r="H426" t="str">
        <f t="shared" si="101"/>
        <v/>
      </c>
      <c r="I426" t="str">
        <f t="shared" si="102"/>
        <v/>
      </c>
      <c r="J426">
        <f>SUM($G$3:I426)</f>
        <v>2093495</v>
      </c>
      <c r="K426">
        <f t="shared" si="103"/>
        <v>11050</v>
      </c>
      <c r="L426">
        <f t="shared" si="104"/>
        <v>1.139</v>
      </c>
      <c r="M426">
        <f t="shared" si="105"/>
        <v>1.0695000000000001</v>
      </c>
      <c r="N426">
        <f t="shared" si="106"/>
        <v>418699</v>
      </c>
      <c r="O426">
        <f t="shared" si="107"/>
        <v>13460.673525000002</v>
      </c>
      <c r="P426">
        <f t="shared" si="108"/>
        <v>3800</v>
      </c>
      <c r="Q426">
        <f t="shared" si="109"/>
        <v>0.6</v>
      </c>
    </row>
    <row r="427" spans="1:17" x14ac:dyDescent="0.25">
      <c r="A427">
        <v>425</v>
      </c>
      <c r="B427">
        <f t="shared" si="110"/>
        <v>15</v>
      </c>
      <c r="C427">
        <f t="shared" si="111"/>
        <v>1</v>
      </c>
      <c r="D427">
        <f t="shared" si="97"/>
        <v>1120</v>
      </c>
      <c r="E427" t="str">
        <f t="shared" si="98"/>
        <v/>
      </c>
      <c r="F427" t="str">
        <f t="shared" si="99"/>
        <v/>
      </c>
      <c r="G427">
        <f t="shared" si="100"/>
        <v>18180</v>
      </c>
      <c r="H427" t="str">
        <f t="shared" si="101"/>
        <v/>
      </c>
      <c r="I427" t="str">
        <f t="shared" si="102"/>
        <v/>
      </c>
      <c r="J427">
        <f>SUM($G$3:I427)</f>
        <v>2111675</v>
      </c>
      <c r="K427">
        <f t="shared" si="103"/>
        <v>11200</v>
      </c>
      <c r="L427">
        <f t="shared" si="104"/>
        <v>1.139</v>
      </c>
      <c r="M427">
        <f t="shared" si="105"/>
        <v>1.0695000000000001</v>
      </c>
      <c r="N427">
        <f t="shared" si="106"/>
        <v>422335</v>
      </c>
      <c r="O427">
        <f t="shared" si="107"/>
        <v>13643.3976</v>
      </c>
      <c r="P427">
        <f t="shared" si="108"/>
        <v>3800</v>
      </c>
      <c r="Q427">
        <f t="shared" si="109"/>
        <v>0.6</v>
      </c>
    </row>
    <row r="428" spans="1:17" x14ac:dyDescent="0.25">
      <c r="A428">
        <v>426</v>
      </c>
      <c r="B428">
        <f t="shared" si="110"/>
        <v>15</v>
      </c>
      <c r="C428">
        <f t="shared" si="111"/>
        <v>1</v>
      </c>
      <c r="D428">
        <f t="shared" si="97"/>
        <v>1135</v>
      </c>
      <c r="E428" t="str">
        <f t="shared" si="98"/>
        <v/>
      </c>
      <c r="F428" t="str">
        <f t="shared" si="99"/>
        <v/>
      </c>
      <c r="G428">
        <f t="shared" si="100"/>
        <v>18350</v>
      </c>
      <c r="H428" t="str">
        <f t="shared" si="101"/>
        <v/>
      </c>
      <c r="I428" t="str">
        <f t="shared" si="102"/>
        <v/>
      </c>
      <c r="J428">
        <f>SUM($G$3:I428)</f>
        <v>2130025</v>
      </c>
      <c r="K428">
        <f t="shared" si="103"/>
        <v>11350</v>
      </c>
      <c r="L428">
        <f t="shared" si="104"/>
        <v>1.139</v>
      </c>
      <c r="M428">
        <f t="shared" si="105"/>
        <v>1.0695000000000001</v>
      </c>
      <c r="N428">
        <f t="shared" si="106"/>
        <v>426005</v>
      </c>
      <c r="O428">
        <f t="shared" si="107"/>
        <v>13826.121675</v>
      </c>
      <c r="P428">
        <f t="shared" si="108"/>
        <v>3800</v>
      </c>
      <c r="Q428">
        <f t="shared" si="109"/>
        <v>0.6</v>
      </c>
    </row>
    <row r="429" spans="1:17" x14ac:dyDescent="0.25">
      <c r="A429">
        <v>427</v>
      </c>
      <c r="B429">
        <f t="shared" si="110"/>
        <v>15</v>
      </c>
      <c r="C429">
        <f t="shared" si="111"/>
        <v>1</v>
      </c>
      <c r="D429">
        <f t="shared" si="97"/>
        <v>1150</v>
      </c>
      <c r="E429" t="str">
        <f t="shared" si="98"/>
        <v/>
      </c>
      <c r="F429" t="str">
        <f t="shared" si="99"/>
        <v/>
      </c>
      <c r="G429">
        <f t="shared" si="100"/>
        <v>18520</v>
      </c>
      <c r="H429" t="str">
        <f t="shared" si="101"/>
        <v/>
      </c>
      <c r="I429" t="str">
        <f t="shared" si="102"/>
        <v/>
      </c>
      <c r="J429">
        <f>SUM($G$3:I429)</f>
        <v>2148545</v>
      </c>
      <c r="K429">
        <f t="shared" si="103"/>
        <v>11500</v>
      </c>
      <c r="L429">
        <f t="shared" si="104"/>
        <v>1.139</v>
      </c>
      <c r="M429">
        <f t="shared" si="105"/>
        <v>1.0695000000000001</v>
      </c>
      <c r="N429">
        <f t="shared" si="106"/>
        <v>429709</v>
      </c>
      <c r="O429">
        <f t="shared" si="107"/>
        <v>14008.845750000002</v>
      </c>
      <c r="P429">
        <f t="shared" si="108"/>
        <v>3800</v>
      </c>
      <c r="Q429">
        <f t="shared" si="109"/>
        <v>0.6</v>
      </c>
    </row>
    <row r="430" spans="1:17" x14ac:dyDescent="0.25">
      <c r="A430">
        <v>428</v>
      </c>
      <c r="B430">
        <f t="shared" si="110"/>
        <v>15</v>
      </c>
      <c r="C430">
        <f t="shared" si="111"/>
        <v>1</v>
      </c>
      <c r="D430">
        <f t="shared" si="97"/>
        <v>1165</v>
      </c>
      <c r="E430" t="str">
        <f t="shared" si="98"/>
        <v/>
      </c>
      <c r="F430" t="str">
        <f t="shared" si="99"/>
        <v/>
      </c>
      <c r="G430">
        <f t="shared" si="100"/>
        <v>18690</v>
      </c>
      <c r="H430" t="str">
        <f t="shared" si="101"/>
        <v/>
      </c>
      <c r="I430" t="str">
        <f t="shared" si="102"/>
        <v/>
      </c>
      <c r="J430">
        <f>SUM($G$3:I430)</f>
        <v>2167235</v>
      </c>
      <c r="K430">
        <f t="shared" si="103"/>
        <v>11650</v>
      </c>
      <c r="L430">
        <f t="shared" si="104"/>
        <v>1.139</v>
      </c>
      <c r="M430">
        <f t="shared" si="105"/>
        <v>1.0695000000000001</v>
      </c>
      <c r="N430">
        <f t="shared" si="106"/>
        <v>433447</v>
      </c>
      <c r="O430">
        <f t="shared" si="107"/>
        <v>14191.569825000002</v>
      </c>
      <c r="P430">
        <f t="shared" si="108"/>
        <v>3800</v>
      </c>
      <c r="Q430">
        <f t="shared" si="109"/>
        <v>0.6</v>
      </c>
    </row>
    <row r="431" spans="1:17" x14ac:dyDescent="0.25">
      <c r="A431">
        <v>429</v>
      </c>
      <c r="B431">
        <f t="shared" si="110"/>
        <v>15</v>
      </c>
      <c r="C431">
        <f t="shared" si="111"/>
        <v>1</v>
      </c>
      <c r="D431">
        <f t="shared" si="97"/>
        <v>1180</v>
      </c>
      <c r="E431" t="str">
        <f t="shared" si="98"/>
        <v/>
      </c>
      <c r="F431" t="str">
        <f t="shared" si="99"/>
        <v/>
      </c>
      <c r="G431">
        <f t="shared" si="100"/>
        <v>18860</v>
      </c>
      <c r="H431" t="str">
        <f t="shared" si="101"/>
        <v/>
      </c>
      <c r="I431" t="str">
        <f t="shared" si="102"/>
        <v/>
      </c>
      <c r="J431">
        <f>SUM($G$3:I431)</f>
        <v>2186095</v>
      </c>
      <c r="K431">
        <f t="shared" si="103"/>
        <v>11800</v>
      </c>
      <c r="L431">
        <f t="shared" si="104"/>
        <v>1.139</v>
      </c>
      <c r="M431">
        <f t="shared" si="105"/>
        <v>1.0695000000000001</v>
      </c>
      <c r="N431">
        <f t="shared" si="106"/>
        <v>437219</v>
      </c>
      <c r="O431">
        <f t="shared" si="107"/>
        <v>14374.293900000002</v>
      </c>
      <c r="P431">
        <f t="shared" si="108"/>
        <v>3800</v>
      </c>
      <c r="Q431">
        <f t="shared" si="109"/>
        <v>0.6</v>
      </c>
    </row>
    <row r="432" spans="1:17" x14ac:dyDescent="0.25">
      <c r="A432">
        <v>430</v>
      </c>
      <c r="B432">
        <f t="shared" si="110"/>
        <v>15</v>
      </c>
      <c r="C432">
        <f t="shared" si="111"/>
        <v>1</v>
      </c>
      <c r="D432">
        <f t="shared" si="97"/>
        <v>1195</v>
      </c>
      <c r="E432" t="str">
        <f t="shared" si="98"/>
        <v/>
      </c>
      <c r="F432" t="str">
        <f t="shared" si="99"/>
        <v/>
      </c>
      <c r="G432">
        <f t="shared" si="100"/>
        <v>19030</v>
      </c>
      <c r="H432" t="str">
        <f t="shared" si="101"/>
        <v/>
      </c>
      <c r="I432" t="str">
        <f t="shared" si="102"/>
        <v/>
      </c>
      <c r="J432">
        <f>SUM($G$3:I432)</f>
        <v>2205125</v>
      </c>
      <c r="K432">
        <f t="shared" si="103"/>
        <v>11950</v>
      </c>
      <c r="L432">
        <f t="shared" si="104"/>
        <v>1.139</v>
      </c>
      <c r="M432">
        <f t="shared" si="105"/>
        <v>1.0695000000000001</v>
      </c>
      <c r="N432">
        <f t="shared" si="106"/>
        <v>441025</v>
      </c>
      <c r="O432">
        <f t="shared" si="107"/>
        <v>14557.017975000001</v>
      </c>
      <c r="P432">
        <f t="shared" si="108"/>
        <v>4450</v>
      </c>
      <c r="Q432">
        <f t="shared" si="109"/>
        <v>0.6</v>
      </c>
    </row>
    <row r="433" spans="1:17" x14ac:dyDescent="0.25">
      <c r="A433">
        <v>431</v>
      </c>
      <c r="B433">
        <f t="shared" si="110"/>
        <v>15</v>
      </c>
      <c r="C433">
        <f t="shared" si="111"/>
        <v>2</v>
      </c>
      <c r="D433" t="str">
        <f t="shared" si="97"/>
        <v/>
      </c>
      <c r="E433">
        <f t="shared" si="98"/>
        <v>1400</v>
      </c>
      <c r="F433" t="str">
        <f t="shared" si="99"/>
        <v/>
      </c>
      <c r="G433" t="str">
        <f t="shared" si="100"/>
        <v/>
      </c>
      <c r="H433">
        <f t="shared" si="101"/>
        <v>11667</v>
      </c>
      <c r="I433" t="str">
        <f t="shared" si="102"/>
        <v/>
      </c>
      <c r="J433">
        <f>SUM($G$3:I433)</f>
        <v>2216792</v>
      </c>
      <c r="K433">
        <f t="shared" si="103"/>
        <v>11950</v>
      </c>
      <c r="L433">
        <f t="shared" si="104"/>
        <v>1.1400000000000001</v>
      </c>
      <c r="M433">
        <f t="shared" si="105"/>
        <v>1.0695000000000001</v>
      </c>
      <c r="N433">
        <f t="shared" si="106"/>
        <v>443358.4</v>
      </c>
      <c r="O433">
        <f t="shared" si="107"/>
        <v>14569.798500000004</v>
      </c>
      <c r="P433">
        <f t="shared" si="108"/>
        <v>4450</v>
      </c>
      <c r="Q433">
        <f t="shared" si="109"/>
        <v>0.6</v>
      </c>
    </row>
    <row r="434" spans="1:17" x14ac:dyDescent="0.25">
      <c r="A434">
        <v>432</v>
      </c>
      <c r="B434">
        <f t="shared" si="110"/>
        <v>15</v>
      </c>
      <c r="C434">
        <f t="shared" si="111"/>
        <v>2</v>
      </c>
      <c r="D434" t="str">
        <f t="shared" si="97"/>
        <v/>
      </c>
      <c r="E434">
        <f t="shared" si="98"/>
        <v>1410</v>
      </c>
      <c r="F434" t="str">
        <f t="shared" si="99"/>
        <v/>
      </c>
      <c r="G434" t="str">
        <f t="shared" si="100"/>
        <v/>
      </c>
      <c r="H434">
        <f t="shared" si="101"/>
        <v>11780</v>
      </c>
      <c r="I434" t="str">
        <f t="shared" si="102"/>
        <v/>
      </c>
      <c r="J434">
        <f>SUM($G$3:I434)</f>
        <v>2228572</v>
      </c>
      <c r="K434">
        <f t="shared" si="103"/>
        <v>11950</v>
      </c>
      <c r="L434">
        <f t="shared" si="104"/>
        <v>1.141</v>
      </c>
      <c r="M434">
        <f t="shared" si="105"/>
        <v>1.0695000000000001</v>
      </c>
      <c r="N434">
        <f t="shared" si="106"/>
        <v>445714.4</v>
      </c>
      <c r="O434">
        <f t="shared" si="107"/>
        <v>14582.579025000003</v>
      </c>
      <c r="P434">
        <f t="shared" si="108"/>
        <v>4450</v>
      </c>
      <c r="Q434">
        <f t="shared" si="109"/>
        <v>0.6</v>
      </c>
    </row>
    <row r="435" spans="1:17" x14ac:dyDescent="0.25">
      <c r="A435">
        <v>433</v>
      </c>
      <c r="B435">
        <f t="shared" si="110"/>
        <v>15</v>
      </c>
      <c r="C435">
        <f t="shared" si="111"/>
        <v>2</v>
      </c>
      <c r="D435" t="str">
        <f t="shared" si="97"/>
        <v/>
      </c>
      <c r="E435">
        <f t="shared" si="98"/>
        <v>1420</v>
      </c>
      <c r="F435" t="str">
        <f t="shared" si="99"/>
        <v/>
      </c>
      <c r="G435" t="str">
        <f t="shared" si="100"/>
        <v/>
      </c>
      <c r="H435">
        <f t="shared" si="101"/>
        <v>11893</v>
      </c>
      <c r="I435" t="str">
        <f t="shared" si="102"/>
        <v/>
      </c>
      <c r="J435">
        <f>SUM($G$3:I435)</f>
        <v>2240465</v>
      </c>
      <c r="K435">
        <f t="shared" si="103"/>
        <v>11950</v>
      </c>
      <c r="L435">
        <f t="shared" si="104"/>
        <v>1.1419999999999999</v>
      </c>
      <c r="M435">
        <f t="shared" si="105"/>
        <v>1.0695000000000001</v>
      </c>
      <c r="N435">
        <f t="shared" si="106"/>
        <v>448093</v>
      </c>
      <c r="O435">
        <f t="shared" si="107"/>
        <v>14595.359550000001</v>
      </c>
      <c r="P435">
        <f t="shared" si="108"/>
        <v>4450</v>
      </c>
      <c r="Q435">
        <f t="shared" si="109"/>
        <v>0.6</v>
      </c>
    </row>
    <row r="436" spans="1:17" x14ac:dyDescent="0.25">
      <c r="A436">
        <v>434</v>
      </c>
      <c r="B436">
        <f t="shared" si="110"/>
        <v>15</v>
      </c>
      <c r="C436">
        <f t="shared" si="111"/>
        <v>2</v>
      </c>
      <c r="D436" t="str">
        <f t="shared" si="97"/>
        <v/>
      </c>
      <c r="E436">
        <f t="shared" si="98"/>
        <v>1430</v>
      </c>
      <c r="F436" t="str">
        <f t="shared" si="99"/>
        <v/>
      </c>
      <c r="G436" t="str">
        <f t="shared" si="100"/>
        <v/>
      </c>
      <c r="H436">
        <f t="shared" si="101"/>
        <v>12006</v>
      </c>
      <c r="I436" t="str">
        <f t="shared" si="102"/>
        <v/>
      </c>
      <c r="J436">
        <f>SUM($G$3:I436)</f>
        <v>2252471</v>
      </c>
      <c r="K436">
        <f t="shared" si="103"/>
        <v>11950</v>
      </c>
      <c r="L436">
        <f t="shared" si="104"/>
        <v>1.143</v>
      </c>
      <c r="M436">
        <f t="shared" si="105"/>
        <v>1.0695000000000001</v>
      </c>
      <c r="N436">
        <f t="shared" si="106"/>
        <v>450494.2</v>
      </c>
      <c r="O436">
        <f t="shared" si="107"/>
        <v>14608.140075000001</v>
      </c>
      <c r="P436">
        <f t="shared" si="108"/>
        <v>4450</v>
      </c>
      <c r="Q436">
        <f t="shared" si="109"/>
        <v>0.6</v>
      </c>
    </row>
    <row r="437" spans="1:17" x14ac:dyDescent="0.25">
      <c r="A437">
        <v>435</v>
      </c>
      <c r="B437">
        <f t="shared" si="110"/>
        <v>15</v>
      </c>
      <c r="C437">
        <f t="shared" si="111"/>
        <v>2</v>
      </c>
      <c r="D437" t="str">
        <f t="shared" si="97"/>
        <v/>
      </c>
      <c r="E437">
        <f t="shared" si="98"/>
        <v>1440</v>
      </c>
      <c r="F437" t="str">
        <f t="shared" si="99"/>
        <v/>
      </c>
      <c r="G437" t="str">
        <f t="shared" si="100"/>
        <v/>
      </c>
      <c r="H437">
        <f t="shared" si="101"/>
        <v>12119</v>
      </c>
      <c r="I437" t="str">
        <f t="shared" si="102"/>
        <v/>
      </c>
      <c r="J437">
        <f>SUM($G$3:I437)</f>
        <v>2264590</v>
      </c>
      <c r="K437">
        <f t="shared" si="103"/>
        <v>11950</v>
      </c>
      <c r="L437">
        <f t="shared" si="104"/>
        <v>1.1439999999999999</v>
      </c>
      <c r="M437">
        <f t="shared" si="105"/>
        <v>1.0695000000000001</v>
      </c>
      <c r="N437">
        <f t="shared" si="106"/>
        <v>452918</v>
      </c>
      <c r="O437">
        <f t="shared" si="107"/>
        <v>14620.920600000001</v>
      </c>
      <c r="P437">
        <f t="shared" si="108"/>
        <v>4450</v>
      </c>
      <c r="Q437">
        <f t="shared" si="109"/>
        <v>0.6</v>
      </c>
    </row>
    <row r="438" spans="1:17" x14ac:dyDescent="0.25">
      <c r="A438">
        <v>436</v>
      </c>
      <c r="B438">
        <f t="shared" si="110"/>
        <v>15</v>
      </c>
      <c r="C438">
        <f t="shared" si="111"/>
        <v>2</v>
      </c>
      <c r="D438" t="str">
        <f t="shared" si="97"/>
        <v/>
      </c>
      <c r="E438">
        <f t="shared" si="98"/>
        <v>1450</v>
      </c>
      <c r="F438" t="str">
        <f t="shared" si="99"/>
        <v/>
      </c>
      <c r="G438" t="str">
        <f t="shared" si="100"/>
        <v/>
      </c>
      <c r="H438">
        <f t="shared" si="101"/>
        <v>12232</v>
      </c>
      <c r="I438" t="str">
        <f t="shared" si="102"/>
        <v/>
      </c>
      <c r="J438">
        <f>SUM($G$3:I438)</f>
        <v>2276822</v>
      </c>
      <c r="K438">
        <f t="shared" si="103"/>
        <v>11950</v>
      </c>
      <c r="L438">
        <f t="shared" si="104"/>
        <v>1.145</v>
      </c>
      <c r="M438">
        <f t="shared" si="105"/>
        <v>1.0695000000000001</v>
      </c>
      <c r="N438">
        <f t="shared" si="106"/>
        <v>455364.4</v>
      </c>
      <c r="O438">
        <f t="shared" si="107"/>
        <v>14633.701125000001</v>
      </c>
      <c r="P438">
        <f t="shared" si="108"/>
        <v>4450</v>
      </c>
      <c r="Q438">
        <f t="shared" si="109"/>
        <v>0.6</v>
      </c>
    </row>
    <row r="439" spans="1:17" x14ac:dyDescent="0.25">
      <c r="A439">
        <v>437</v>
      </c>
      <c r="B439">
        <f t="shared" si="110"/>
        <v>15</v>
      </c>
      <c r="C439">
        <f t="shared" si="111"/>
        <v>2</v>
      </c>
      <c r="D439" t="str">
        <f t="shared" si="97"/>
        <v/>
      </c>
      <c r="E439">
        <f t="shared" si="98"/>
        <v>1460</v>
      </c>
      <c r="F439" t="str">
        <f t="shared" si="99"/>
        <v/>
      </c>
      <c r="G439" t="str">
        <f t="shared" si="100"/>
        <v/>
      </c>
      <c r="H439">
        <f t="shared" si="101"/>
        <v>12345</v>
      </c>
      <c r="I439" t="str">
        <f t="shared" si="102"/>
        <v/>
      </c>
      <c r="J439">
        <f>SUM($G$3:I439)</f>
        <v>2289167</v>
      </c>
      <c r="K439">
        <f t="shared" si="103"/>
        <v>11950</v>
      </c>
      <c r="L439">
        <f t="shared" si="104"/>
        <v>1.1459999999999999</v>
      </c>
      <c r="M439">
        <f t="shared" si="105"/>
        <v>1.0695000000000001</v>
      </c>
      <c r="N439">
        <f t="shared" si="106"/>
        <v>457833.4</v>
      </c>
      <c r="O439">
        <f t="shared" si="107"/>
        <v>14646.48165</v>
      </c>
      <c r="P439">
        <f t="shared" si="108"/>
        <v>4450</v>
      </c>
      <c r="Q439">
        <f t="shared" si="109"/>
        <v>0.6</v>
      </c>
    </row>
    <row r="440" spans="1:17" x14ac:dyDescent="0.25">
      <c r="A440">
        <v>438</v>
      </c>
      <c r="B440">
        <f t="shared" si="110"/>
        <v>15</v>
      </c>
      <c r="C440">
        <f t="shared" si="111"/>
        <v>2</v>
      </c>
      <c r="D440" t="str">
        <f t="shared" si="97"/>
        <v/>
      </c>
      <c r="E440">
        <f t="shared" si="98"/>
        <v>1470</v>
      </c>
      <c r="F440" t="str">
        <f t="shared" si="99"/>
        <v/>
      </c>
      <c r="G440" t="str">
        <f t="shared" si="100"/>
        <v/>
      </c>
      <c r="H440">
        <f t="shared" si="101"/>
        <v>12458</v>
      </c>
      <c r="I440" t="str">
        <f t="shared" si="102"/>
        <v/>
      </c>
      <c r="J440">
        <f>SUM($G$3:I440)</f>
        <v>2301625</v>
      </c>
      <c r="K440">
        <f t="shared" si="103"/>
        <v>11950</v>
      </c>
      <c r="L440">
        <f t="shared" si="104"/>
        <v>1.147</v>
      </c>
      <c r="M440">
        <f t="shared" si="105"/>
        <v>1.0695000000000001</v>
      </c>
      <c r="N440">
        <f t="shared" si="106"/>
        <v>460325</v>
      </c>
      <c r="O440">
        <f t="shared" si="107"/>
        <v>14659.262175000002</v>
      </c>
      <c r="P440">
        <f t="shared" si="108"/>
        <v>4450</v>
      </c>
      <c r="Q440">
        <f t="shared" si="109"/>
        <v>0.6</v>
      </c>
    </row>
    <row r="441" spans="1:17" x14ac:dyDescent="0.25">
      <c r="A441">
        <v>439</v>
      </c>
      <c r="B441">
        <f t="shared" si="110"/>
        <v>15</v>
      </c>
      <c r="C441">
        <f t="shared" si="111"/>
        <v>2</v>
      </c>
      <c r="D441" t="str">
        <f t="shared" si="97"/>
        <v/>
      </c>
      <c r="E441">
        <f t="shared" si="98"/>
        <v>1480</v>
      </c>
      <c r="F441" t="str">
        <f t="shared" si="99"/>
        <v/>
      </c>
      <c r="G441" t="str">
        <f t="shared" si="100"/>
        <v/>
      </c>
      <c r="H441">
        <f t="shared" si="101"/>
        <v>12571</v>
      </c>
      <c r="I441" t="str">
        <f t="shared" si="102"/>
        <v/>
      </c>
      <c r="J441">
        <f>SUM($G$3:I441)</f>
        <v>2314196</v>
      </c>
      <c r="K441">
        <f t="shared" si="103"/>
        <v>11950</v>
      </c>
      <c r="L441">
        <f t="shared" si="104"/>
        <v>1.1479999999999999</v>
      </c>
      <c r="M441">
        <f t="shared" si="105"/>
        <v>1.0695000000000001</v>
      </c>
      <c r="N441">
        <f t="shared" si="106"/>
        <v>462839.2</v>
      </c>
      <c r="O441">
        <f t="shared" si="107"/>
        <v>14672.0427</v>
      </c>
      <c r="P441">
        <f t="shared" si="108"/>
        <v>4450</v>
      </c>
      <c r="Q441">
        <f t="shared" si="109"/>
        <v>0.6</v>
      </c>
    </row>
    <row r="442" spans="1:17" x14ac:dyDescent="0.25">
      <c r="A442">
        <v>440</v>
      </c>
      <c r="B442">
        <f t="shared" si="110"/>
        <v>15</v>
      </c>
      <c r="C442">
        <f t="shared" si="111"/>
        <v>2</v>
      </c>
      <c r="D442" t="str">
        <f t="shared" si="97"/>
        <v/>
      </c>
      <c r="E442">
        <f t="shared" si="98"/>
        <v>1490</v>
      </c>
      <c r="F442" t="str">
        <f t="shared" si="99"/>
        <v/>
      </c>
      <c r="G442" t="str">
        <f t="shared" si="100"/>
        <v/>
      </c>
      <c r="H442">
        <f t="shared" si="101"/>
        <v>12684</v>
      </c>
      <c r="I442" t="str">
        <f t="shared" si="102"/>
        <v/>
      </c>
      <c r="J442">
        <f>SUM($G$3:I442)</f>
        <v>2326880</v>
      </c>
      <c r="K442">
        <f t="shared" si="103"/>
        <v>11950</v>
      </c>
      <c r="L442">
        <f t="shared" si="104"/>
        <v>1.149</v>
      </c>
      <c r="M442">
        <f t="shared" si="105"/>
        <v>1.0695000000000001</v>
      </c>
      <c r="N442">
        <f t="shared" si="106"/>
        <v>465376</v>
      </c>
      <c r="O442">
        <f t="shared" si="107"/>
        <v>14684.823225000002</v>
      </c>
      <c r="P442">
        <f t="shared" si="108"/>
        <v>4450</v>
      </c>
      <c r="Q442">
        <f t="shared" si="109"/>
        <v>0.7</v>
      </c>
    </row>
    <row r="443" spans="1:17" x14ac:dyDescent="0.25">
      <c r="A443">
        <v>441</v>
      </c>
      <c r="B443">
        <f t="shared" si="110"/>
        <v>15</v>
      </c>
      <c r="C443">
        <f t="shared" si="111"/>
        <v>3</v>
      </c>
      <c r="D443" t="str">
        <f t="shared" si="97"/>
        <v/>
      </c>
      <c r="E443" t="str">
        <f t="shared" si="98"/>
        <v/>
      </c>
      <c r="F443">
        <f t="shared" si="99"/>
        <v>700</v>
      </c>
      <c r="G443" t="str">
        <f t="shared" si="100"/>
        <v/>
      </c>
      <c r="H443" t="str">
        <f t="shared" si="101"/>
        <v/>
      </c>
      <c r="I443">
        <f t="shared" si="102"/>
        <v>8900</v>
      </c>
      <c r="J443">
        <f>SUM($G$3:I443)</f>
        <v>2335780</v>
      </c>
      <c r="K443">
        <f t="shared" si="103"/>
        <v>11950</v>
      </c>
      <c r="L443">
        <f t="shared" si="104"/>
        <v>1.149</v>
      </c>
      <c r="M443">
        <f t="shared" si="105"/>
        <v>1.07</v>
      </c>
      <c r="N443">
        <f t="shared" si="106"/>
        <v>467156</v>
      </c>
      <c r="O443">
        <f t="shared" si="107"/>
        <v>14691.688500000002</v>
      </c>
      <c r="P443">
        <f t="shared" si="108"/>
        <v>4450</v>
      </c>
      <c r="Q443">
        <f t="shared" si="109"/>
        <v>0.7</v>
      </c>
    </row>
    <row r="444" spans="1:17" x14ac:dyDescent="0.25">
      <c r="A444">
        <v>442</v>
      </c>
      <c r="B444">
        <f t="shared" si="110"/>
        <v>15</v>
      </c>
      <c r="C444">
        <f t="shared" si="111"/>
        <v>3</v>
      </c>
      <c r="D444" t="str">
        <f t="shared" si="97"/>
        <v/>
      </c>
      <c r="E444" t="str">
        <f t="shared" si="98"/>
        <v/>
      </c>
      <c r="F444">
        <f t="shared" si="99"/>
        <v>705</v>
      </c>
      <c r="G444" t="str">
        <f t="shared" si="100"/>
        <v/>
      </c>
      <c r="H444" t="str">
        <f t="shared" si="101"/>
        <v/>
      </c>
      <c r="I444">
        <f t="shared" si="102"/>
        <v>9050</v>
      </c>
      <c r="J444">
        <f>SUM($G$3:I444)</f>
        <v>2344830</v>
      </c>
      <c r="K444">
        <f t="shared" si="103"/>
        <v>11950</v>
      </c>
      <c r="L444">
        <f t="shared" si="104"/>
        <v>1.149</v>
      </c>
      <c r="M444">
        <f t="shared" si="105"/>
        <v>1.0705</v>
      </c>
      <c r="N444">
        <f t="shared" si="106"/>
        <v>468966</v>
      </c>
      <c r="O444">
        <f t="shared" si="107"/>
        <v>14698.553775000002</v>
      </c>
      <c r="P444">
        <f t="shared" si="108"/>
        <v>4450</v>
      </c>
      <c r="Q444">
        <f t="shared" si="109"/>
        <v>0.7</v>
      </c>
    </row>
    <row r="445" spans="1:17" x14ac:dyDescent="0.25">
      <c r="A445">
        <v>443</v>
      </c>
      <c r="B445">
        <f t="shared" si="110"/>
        <v>15</v>
      </c>
      <c r="C445">
        <f t="shared" si="111"/>
        <v>3</v>
      </c>
      <c r="D445" t="str">
        <f t="shared" si="97"/>
        <v/>
      </c>
      <c r="E445" t="str">
        <f t="shared" si="98"/>
        <v/>
      </c>
      <c r="F445">
        <f t="shared" si="99"/>
        <v>710</v>
      </c>
      <c r="G445" t="str">
        <f t="shared" si="100"/>
        <v/>
      </c>
      <c r="H445" t="str">
        <f t="shared" si="101"/>
        <v/>
      </c>
      <c r="I445">
        <f t="shared" si="102"/>
        <v>9200</v>
      </c>
      <c r="J445">
        <f>SUM($G$3:I445)</f>
        <v>2354030</v>
      </c>
      <c r="K445">
        <f t="shared" si="103"/>
        <v>11950</v>
      </c>
      <c r="L445">
        <f t="shared" si="104"/>
        <v>1.149</v>
      </c>
      <c r="M445">
        <f t="shared" si="105"/>
        <v>1.071</v>
      </c>
      <c r="N445">
        <f t="shared" si="106"/>
        <v>470806</v>
      </c>
      <c r="O445">
        <f t="shared" si="107"/>
        <v>14705.41905</v>
      </c>
      <c r="P445">
        <f t="shared" si="108"/>
        <v>4450</v>
      </c>
      <c r="Q445">
        <f t="shared" si="109"/>
        <v>0.7</v>
      </c>
    </row>
    <row r="446" spans="1:17" x14ac:dyDescent="0.25">
      <c r="A446">
        <v>444</v>
      </c>
      <c r="B446">
        <f t="shared" si="110"/>
        <v>15</v>
      </c>
      <c r="C446">
        <f t="shared" si="111"/>
        <v>3</v>
      </c>
      <c r="D446" t="str">
        <f t="shared" si="97"/>
        <v/>
      </c>
      <c r="E446" t="str">
        <f t="shared" si="98"/>
        <v/>
      </c>
      <c r="F446">
        <f t="shared" si="99"/>
        <v>715</v>
      </c>
      <c r="G446" t="str">
        <f t="shared" si="100"/>
        <v/>
      </c>
      <c r="H446" t="str">
        <f t="shared" si="101"/>
        <v/>
      </c>
      <c r="I446">
        <f t="shared" si="102"/>
        <v>9350</v>
      </c>
      <c r="J446">
        <f>SUM($G$3:I446)</f>
        <v>2363380</v>
      </c>
      <c r="K446">
        <f t="shared" si="103"/>
        <v>11950</v>
      </c>
      <c r="L446">
        <f t="shared" si="104"/>
        <v>1.149</v>
      </c>
      <c r="M446">
        <f t="shared" si="105"/>
        <v>1.0714999999999999</v>
      </c>
      <c r="N446">
        <f t="shared" si="106"/>
        <v>472676</v>
      </c>
      <c r="O446">
        <f t="shared" si="107"/>
        <v>14712.284325000001</v>
      </c>
      <c r="P446">
        <f t="shared" si="108"/>
        <v>4450</v>
      </c>
      <c r="Q446">
        <f t="shared" si="109"/>
        <v>0.7</v>
      </c>
    </row>
    <row r="447" spans="1:17" x14ac:dyDescent="0.25">
      <c r="A447">
        <v>445</v>
      </c>
      <c r="B447">
        <f t="shared" si="110"/>
        <v>15</v>
      </c>
      <c r="C447">
        <f t="shared" si="111"/>
        <v>3</v>
      </c>
      <c r="D447" t="str">
        <f t="shared" si="97"/>
        <v/>
      </c>
      <c r="E447" t="str">
        <f t="shared" si="98"/>
        <v/>
      </c>
      <c r="F447">
        <f t="shared" si="99"/>
        <v>720</v>
      </c>
      <c r="G447" t="str">
        <f t="shared" si="100"/>
        <v/>
      </c>
      <c r="H447" t="str">
        <f t="shared" si="101"/>
        <v/>
      </c>
      <c r="I447">
        <f t="shared" si="102"/>
        <v>9500</v>
      </c>
      <c r="J447">
        <f>SUM($G$3:I447)</f>
        <v>2372880</v>
      </c>
      <c r="K447">
        <f t="shared" si="103"/>
        <v>11950</v>
      </c>
      <c r="L447">
        <f t="shared" si="104"/>
        <v>1.149</v>
      </c>
      <c r="M447">
        <f t="shared" si="105"/>
        <v>1.0720000000000001</v>
      </c>
      <c r="N447">
        <f t="shared" si="106"/>
        <v>474576</v>
      </c>
      <c r="O447">
        <f t="shared" si="107"/>
        <v>14719.149600000002</v>
      </c>
      <c r="P447">
        <f t="shared" si="108"/>
        <v>4450</v>
      </c>
      <c r="Q447">
        <f t="shared" si="109"/>
        <v>0.7</v>
      </c>
    </row>
    <row r="448" spans="1:17" x14ac:dyDescent="0.25">
      <c r="A448">
        <v>446</v>
      </c>
      <c r="B448">
        <f t="shared" si="110"/>
        <v>15</v>
      </c>
      <c r="C448">
        <f t="shared" si="111"/>
        <v>3</v>
      </c>
      <c r="D448" t="str">
        <f t="shared" si="97"/>
        <v/>
      </c>
      <c r="E448" t="str">
        <f t="shared" si="98"/>
        <v/>
      </c>
      <c r="F448">
        <f t="shared" si="99"/>
        <v>725</v>
      </c>
      <c r="G448" t="str">
        <f t="shared" si="100"/>
        <v/>
      </c>
      <c r="H448" t="str">
        <f t="shared" si="101"/>
        <v/>
      </c>
      <c r="I448">
        <f t="shared" si="102"/>
        <v>9650</v>
      </c>
      <c r="J448">
        <f>SUM($G$3:I448)</f>
        <v>2382530</v>
      </c>
      <c r="K448">
        <f t="shared" si="103"/>
        <v>11950</v>
      </c>
      <c r="L448">
        <f t="shared" si="104"/>
        <v>1.149</v>
      </c>
      <c r="M448">
        <f t="shared" si="105"/>
        <v>1.0725</v>
      </c>
      <c r="N448">
        <f t="shared" si="106"/>
        <v>476506</v>
      </c>
      <c r="O448">
        <f t="shared" si="107"/>
        <v>14726.014875000001</v>
      </c>
      <c r="P448">
        <f t="shared" si="108"/>
        <v>4450</v>
      </c>
      <c r="Q448">
        <f t="shared" si="109"/>
        <v>0.7</v>
      </c>
    </row>
    <row r="449" spans="1:17" x14ac:dyDescent="0.25">
      <c r="A449">
        <v>447</v>
      </c>
      <c r="B449">
        <f t="shared" si="110"/>
        <v>15</v>
      </c>
      <c r="C449">
        <f t="shared" si="111"/>
        <v>3</v>
      </c>
      <c r="D449" t="str">
        <f t="shared" si="97"/>
        <v/>
      </c>
      <c r="E449" t="str">
        <f t="shared" si="98"/>
        <v/>
      </c>
      <c r="F449">
        <f t="shared" si="99"/>
        <v>730</v>
      </c>
      <c r="G449" t="str">
        <f t="shared" si="100"/>
        <v/>
      </c>
      <c r="H449" t="str">
        <f t="shared" si="101"/>
        <v/>
      </c>
      <c r="I449">
        <f t="shared" si="102"/>
        <v>9800</v>
      </c>
      <c r="J449">
        <f>SUM($G$3:I449)</f>
        <v>2392330</v>
      </c>
      <c r="K449">
        <f t="shared" si="103"/>
        <v>11950</v>
      </c>
      <c r="L449">
        <f t="shared" si="104"/>
        <v>1.149</v>
      </c>
      <c r="M449">
        <f t="shared" si="105"/>
        <v>1.073</v>
      </c>
      <c r="N449">
        <f t="shared" si="106"/>
        <v>478466</v>
      </c>
      <c r="O449">
        <f t="shared" si="107"/>
        <v>14732.880150000001</v>
      </c>
      <c r="P449">
        <f t="shared" si="108"/>
        <v>4450</v>
      </c>
      <c r="Q449">
        <f t="shared" si="109"/>
        <v>0.7</v>
      </c>
    </row>
    <row r="450" spans="1:17" x14ac:dyDescent="0.25">
      <c r="A450">
        <v>448</v>
      </c>
      <c r="B450">
        <f t="shared" si="110"/>
        <v>15</v>
      </c>
      <c r="C450">
        <f t="shared" si="111"/>
        <v>3</v>
      </c>
      <c r="D450" t="str">
        <f t="shared" si="97"/>
        <v/>
      </c>
      <c r="E450" t="str">
        <f t="shared" si="98"/>
        <v/>
      </c>
      <c r="F450">
        <f t="shared" si="99"/>
        <v>735</v>
      </c>
      <c r="G450" t="str">
        <f t="shared" si="100"/>
        <v/>
      </c>
      <c r="H450" t="str">
        <f t="shared" si="101"/>
        <v/>
      </c>
      <c r="I450">
        <f t="shared" si="102"/>
        <v>9950</v>
      </c>
      <c r="J450">
        <f>SUM($G$3:I450)</f>
        <v>2402280</v>
      </c>
      <c r="K450">
        <f t="shared" si="103"/>
        <v>11950</v>
      </c>
      <c r="L450">
        <f t="shared" si="104"/>
        <v>1.149</v>
      </c>
      <c r="M450">
        <f t="shared" si="105"/>
        <v>1.0734999999999999</v>
      </c>
      <c r="N450">
        <f t="shared" si="106"/>
        <v>480456</v>
      </c>
      <c r="O450">
        <f t="shared" si="107"/>
        <v>14739.745424999999</v>
      </c>
      <c r="P450">
        <f t="shared" si="108"/>
        <v>4450</v>
      </c>
      <c r="Q450">
        <f t="shared" si="109"/>
        <v>0.7</v>
      </c>
    </row>
    <row r="451" spans="1:17" x14ac:dyDescent="0.25">
      <c r="A451">
        <v>449</v>
      </c>
      <c r="B451">
        <f t="shared" si="110"/>
        <v>15</v>
      </c>
      <c r="C451">
        <f t="shared" si="111"/>
        <v>3</v>
      </c>
      <c r="D451" t="str">
        <f t="shared" ref="D451:D514" si="112">IF($C451=1,INDEX($Z:$Z,MATCH($B451,$Y:$Y,0))+MOD($A451-1,10)*INDEX($AC:$AC,MATCH($B451,$Y:$Y,0)),"")</f>
        <v/>
      </c>
      <c r="E451" t="str">
        <f t="shared" ref="E451:E514" si="113">IF($C451=2,INDEX($AA:$AA,MATCH($B451,$Y:$Y,0))+MOD($A451-1,10)*INDEX($AD:$AD,MATCH($B451,$Y:$Y,0)),"")</f>
        <v/>
      </c>
      <c r="F451">
        <f t="shared" ref="F451:F514" si="114">IF($C451=3,INDEX($AB:$AB,MATCH($B451,$Y:$Y,0))+MOD($A451-1,10)*INDEX($AE:$AE,MATCH($B451,$Y:$Y,0)),"")</f>
        <v>740</v>
      </c>
      <c r="G451" t="str">
        <f t="shared" ref="G451:G514" si="115">IF($C451=1,INDEX($AF:$AF,MATCH($B451,$Y:$Y,0))+MOD($A451-1,10)*INDEX($AI:$AI,MATCH($B451,$Y:$Y,0)),"")</f>
        <v/>
      </c>
      <c r="H451" t="str">
        <f t="shared" ref="H451:H514" si="116">IF($C451=2,INDEX($AG:$AG,MATCH($B451,$Y:$Y,0))+MOD($A451-1,10)*INDEX($AJ:$AJ,MATCH($B451,$Y:$Y,0)),"")</f>
        <v/>
      </c>
      <c r="I451">
        <f t="shared" ref="I451:I514" si="117">IF($C451=3,INDEX($AH:$AH,MATCH($B451,$Y:$Y,0))+MOD($A451-1,10)*INDEX($AK:$AK,MATCH($B451,$Y:$Y,0)),"")</f>
        <v>10100</v>
      </c>
      <c r="J451">
        <f>SUM($G$3:I451)</f>
        <v>2412380</v>
      </c>
      <c r="K451">
        <f t="shared" si="103"/>
        <v>11950</v>
      </c>
      <c r="L451">
        <f t="shared" si="104"/>
        <v>1.149</v>
      </c>
      <c r="M451">
        <f t="shared" si="105"/>
        <v>1.0740000000000001</v>
      </c>
      <c r="N451">
        <f t="shared" si="106"/>
        <v>482476</v>
      </c>
      <c r="O451">
        <f t="shared" si="107"/>
        <v>14746.610700000003</v>
      </c>
      <c r="P451">
        <f t="shared" si="108"/>
        <v>4450</v>
      </c>
      <c r="Q451">
        <f t="shared" si="109"/>
        <v>0.7</v>
      </c>
    </row>
    <row r="452" spans="1:17" x14ac:dyDescent="0.25">
      <c r="A452">
        <v>450</v>
      </c>
      <c r="B452">
        <f t="shared" si="110"/>
        <v>15</v>
      </c>
      <c r="C452">
        <f t="shared" si="111"/>
        <v>3</v>
      </c>
      <c r="D452" t="str">
        <f t="shared" si="112"/>
        <v/>
      </c>
      <c r="E452" t="str">
        <f t="shared" si="113"/>
        <v/>
      </c>
      <c r="F452">
        <f t="shared" si="114"/>
        <v>745</v>
      </c>
      <c r="G452" t="str">
        <f t="shared" si="115"/>
        <v/>
      </c>
      <c r="H452" t="str">
        <f t="shared" si="116"/>
        <v/>
      </c>
      <c r="I452">
        <f t="shared" si="117"/>
        <v>10250</v>
      </c>
      <c r="J452">
        <f>SUM($G$3:I452)</f>
        <v>2422630</v>
      </c>
      <c r="K452">
        <f t="shared" ref="K452:K515" si="118">_xlfn.MAXIFS($D:$D,$A:$A,"&lt;="&amp;A452)/10*100</f>
        <v>11950</v>
      </c>
      <c r="L452">
        <f t="shared" ref="L452:L515" si="119">_xlfn.MAXIFS($E:$E,$A:$A,"&lt;="&amp;A452)/10000+1</f>
        <v>1.149</v>
      </c>
      <c r="M452">
        <f t="shared" ref="M452:M515" si="120">_xlfn.MAXIFS($F:$F,$A:$A,"&lt;="&amp;A452)/10000+1</f>
        <v>1.0745</v>
      </c>
      <c r="N452">
        <f t="shared" ref="N452:N515" si="121">J452*0.2</f>
        <v>484526</v>
      </c>
      <c r="O452">
        <f t="shared" ref="O452:O515" si="122">K452*L452*M452</f>
        <v>14753.475975000001</v>
      </c>
      <c r="P452">
        <f t="shared" ref="P452:P515" si="123">SUMIFS($AZ:$AZ,$AW:$AW,$AW$3,$AY:$AY,3,$AV:$AV,"&lt;="&amp;A452)</f>
        <v>4450</v>
      </c>
      <c r="Q452">
        <f t="shared" ref="Q452:Q515" si="124">SUMIFS($AZ:$AZ,$AY:$AY,98,$AV:$AV,"&lt;="&amp;A452)*10/100</f>
        <v>0.7</v>
      </c>
    </row>
    <row r="453" spans="1:17" x14ac:dyDescent="0.25">
      <c r="A453">
        <v>451</v>
      </c>
      <c r="B453">
        <f t="shared" si="110"/>
        <v>16</v>
      </c>
      <c r="C453">
        <f t="shared" si="111"/>
        <v>1</v>
      </c>
      <c r="D453">
        <f t="shared" si="112"/>
        <v>1210</v>
      </c>
      <c r="E453" t="str">
        <f t="shared" si="113"/>
        <v/>
      </c>
      <c r="F453" t="str">
        <f t="shared" si="114"/>
        <v/>
      </c>
      <c r="G453">
        <f t="shared" si="115"/>
        <v>20500</v>
      </c>
      <c r="H453" t="str">
        <f t="shared" si="116"/>
        <v/>
      </c>
      <c r="I453" t="str">
        <f t="shared" si="117"/>
        <v/>
      </c>
      <c r="J453">
        <f>SUM($G$3:I453)</f>
        <v>2443130</v>
      </c>
      <c r="K453">
        <f t="shared" si="118"/>
        <v>12100</v>
      </c>
      <c r="L453">
        <f t="shared" si="119"/>
        <v>1.149</v>
      </c>
      <c r="M453">
        <f t="shared" si="120"/>
        <v>1.0745</v>
      </c>
      <c r="N453">
        <f t="shared" si="121"/>
        <v>488626</v>
      </c>
      <c r="O453">
        <f t="shared" si="122"/>
        <v>14938.66605</v>
      </c>
      <c r="P453">
        <f t="shared" si="123"/>
        <v>4450</v>
      </c>
      <c r="Q453">
        <f t="shared" si="124"/>
        <v>0.7</v>
      </c>
    </row>
    <row r="454" spans="1:17" x14ac:dyDescent="0.25">
      <c r="A454">
        <v>452</v>
      </c>
      <c r="B454">
        <f t="shared" si="110"/>
        <v>16</v>
      </c>
      <c r="C454">
        <f t="shared" si="111"/>
        <v>1</v>
      </c>
      <c r="D454">
        <f t="shared" si="112"/>
        <v>1226</v>
      </c>
      <c r="E454" t="str">
        <f t="shared" si="113"/>
        <v/>
      </c>
      <c r="F454" t="str">
        <f t="shared" si="114"/>
        <v/>
      </c>
      <c r="G454">
        <f t="shared" si="115"/>
        <v>20680</v>
      </c>
      <c r="H454" t="str">
        <f t="shared" si="116"/>
        <v/>
      </c>
      <c r="I454" t="str">
        <f t="shared" si="117"/>
        <v/>
      </c>
      <c r="J454">
        <f>SUM($G$3:I454)</f>
        <v>2463810</v>
      </c>
      <c r="K454">
        <f t="shared" si="118"/>
        <v>12260</v>
      </c>
      <c r="L454">
        <f t="shared" si="119"/>
        <v>1.149</v>
      </c>
      <c r="M454">
        <f t="shared" si="120"/>
        <v>1.0745</v>
      </c>
      <c r="N454">
        <f t="shared" si="121"/>
        <v>492762</v>
      </c>
      <c r="O454">
        <f t="shared" si="122"/>
        <v>15136.20213</v>
      </c>
      <c r="P454">
        <f t="shared" si="123"/>
        <v>4450</v>
      </c>
      <c r="Q454">
        <f t="shared" si="124"/>
        <v>0.7</v>
      </c>
    </row>
    <row r="455" spans="1:17" x14ac:dyDescent="0.25">
      <c r="A455">
        <v>453</v>
      </c>
      <c r="B455">
        <f t="shared" si="110"/>
        <v>16</v>
      </c>
      <c r="C455">
        <f t="shared" si="111"/>
        <v>1</v>
      </c>
      <c r="D455">
        <f t="shared" si="112"/>
        <v>1242</v>
      </c>
      <c r="E455" t="str">
        <f t="shared" si="113"/>
        <v/>
      </c>
      <c r="F455" t="str">
        <f t="shared" si="114"/>
        <v/>
      </c>
      <c r="G455">
        <f t="shared" si="115"/>
        <v>20860</v>
      </c>
      <c r="H455" t="str">
        <f t="shared" si="116"/>
        <v/>
      </c>
      <c r="I455" t="str">
        <f t="shared" si="117"/>
        <v/>
      </c>
      <c r="J455">
        <f>SUM($G$3:I455)</f>
        <v>2484670</v>
      </c>
      <c r="K455">
        <f t="shared" si="118"/>
        <v>12420</v>
      </c>
      <c r="L455">
        <f t="shared" si="119"/>
        <v>1.149</v>
      </c>
      <c r="M455">
        <f t="shared" si="120"/>
        <v>1.0745</v>
      </c>
      <c r="N455">
        <f t="shared" si="121"/>
        <v>496934</v>
      </c>
      <c r="O455">
        <f t="shared" si="122"/>
        <v>15333.73821</v>
      </c>
      <c r="P455">
        <f t="shared" si="123"/>
        <v>4450</v>
      </c>
      <c r="Q455">
        <f t="shared" si="124"/>
        <v>0.7</v>
      </c>
    </row>
    <row r="456" spans="1:17" x14ac:dyDescent="0.25">
      <c r="A456">
        <v>454</v>
      </c>
      <c r="B456">
        <f t="shared" si="110"/>
        <v>16</v>
      </c>
      <c r="C456">
        <f t="shared" si="111"/>
        <v>1</v>
      </c>
      <c r="D456">
        <f t="shared" si="112"/>
        <v>1258</v>
      </c>
      <c r="E456" t="str">
        <f t="shared" si="113"/>
        <v/>
      </c>
      <c r="F456" t="str">
        <f t="shared" si="114"/>
        <v/>
      </c>
      <c r="G456">
        <f t="shared" si="115"/>
        <v>21040</v>
      </c>
      <c r="H456" t="str">
        <f t="shared" si="116"/>
        <v/>
      </c>
      <c r="I456" t="str">
        <f t="shared" si="117"/>
        <v/>
      </c>
      <c r="J456">
        <f>SUM($G$3:I456)</f>
        <v>2505710</v>
      </c>
      <c r="K456">
        <f t="shared" si="118"/>
        <v>12580</v>
      </c>
      <c r="L456">
        <f t="shared" si="119"/>
        <v>1.149</v>
      </c>
      <c r="M456">
        <f t="shared" si="120"/>
        <v>1.0745</v>
      </c>
      <c r="N456">
        <f t="shared" si="121"/>
        <v>501142</v>
      </c>
      <c r="O456">
        <f t="shared" si="122"/>
        <v>15531.274289999999</v>
      </c>
      <c r="P456">
        <f t="shared" si="123"/>
        <v>4450</v>
      </c>
      <c r="Q456">
        <f t="shared" si="124"/>
        <v>0.7</v>
      </c>
    </row>
    <row r="457" spans="1:17" x14ac:dyDescent="0.25">
      <c r="A457">
        <v>455</v>
      </c>
      <c r="B457">
        <f t="shared" si="110"/>
        <v>16</v>
      </c>
      <c r="C457">
        <f t="shared" si="111"/>
        <v>1</v>
      </c>
      <c r="D457">
        <f t="shared" si="112"/>
        <v>1274</v>
      </c>
      <c r="E457" t="str">
        <f t="shared" si="113"/>
        <v/>
      </c>
      <c r="F457" t="str">
        <f t="shared" si="114"/>
        <v/>
      </c>
      <c r="G457">
        <f t="shared" si="115"/>
        <v>21220</v>
      </c>
      <c r="H457" t="str">
        <f t="shared" si="116"/>
        <v/>
      </c>
      <c r="I457" t="str">
        <f t="shared" si="117"/>
        <v/>
      </c>
      <c r="J457">
        <f>SUM($G$3:I457)</f>
        <v>2526930</v>
      </c>
      <c r="K457">
        <f t="shared" si="118"/>
        <v>12740</v>
      </c>
      <c r="L457">
        <f t="shared" si="119"/>
        <v>1.149</v>
      </c>
      <c r="M457">
        <f t="shared" si="120"/>
        <v>1.0745</v>
      </c>
      <c r="N457">
        <f t="shared" si="121"/>
        <v>505386</v>
      </c>
      <c r="O457">
        <f t="shared" si="122"/>
        <v>15728.810370000001</v>
      </c>
      <c r="P457">
        <f t="shared" si="123"/>
        <v>4450</v>
      </c>
      <c r="Q457">
        <f t="shared" si="124"/>
        <v>0.7</v>
      </c>
    </row>
    <row r="458" spans="1:17" x14ac:dyDescent="0.25">
      <c r="A458">
        <v>456</v>
      </c>
      <c r="B458">
        <f t="shared" si="110"/>
        <v>16</v>
      </c>
      <c r="C458">
        <f t="shared" si="111"/>
        <v>1</v>
      </c>
      <c r="D458">
        <f t="shared" si="112"/>
        <v>1290</v>
      </c>
      <c r="E458" t="str">
        <f t="shared" si="113"/>
        <v/>
      </c>
      <c r="F458" t="str">
        <f t="shared" si="114"/>
        <v/>
      </c>
      <c r="G458">
        <f t="shared" si="115"/>
        <v>21400</v>
      </c>
      <c r="H458" t="str">
        <f t="shared" si="116"/>
        <v/>
      </c>
      <c r="I458" t="str">
        <f t="shared" si="117"/>
        <v/>
      </c>
      <c r="J458">
        <f>SUM($G$3:I458)</f>
        <v>2548330</v>
      </c>
      <c r="K458">
        <f t="shared" si="118"/>
        <v>12900</v>
      </c>
      <c r="L458">
        <f t="shared" si="119"/>
        <v>1.149</v>
      </c>
      <c r="M458">
        <f t="shared" si="120"/>
        <v>1.0745</v>
      </c>
      <c r="N458">
        <f t="shared" si="121"/>
        <v>509666</v>
      </c>
      <c r="O458">
        <f t="shared" si="122"/>
        <v>15926.346450000001</v>
      </c>
      <c r="P458">
        <f t="shared" si="123"/>
        <v>4450</v>
      </c>
      <c r="Q458">
        <f t="shared" si="124"/>
        <v>0.7</v>
      </c>
    </row>
    <row r="459" spans="1:17" x14ac:dyDescent="0.25">
      <c r="A459">
        <v>457</v>
      </c>
      <c r="B459">
        <f t="shared" si="110"/>
        <v>16</v>
      </c>
      <c r="C459">
        <f t="shared" si="111"/>
        <v>1</v>
      </c>
      <c r="D459">
        <f t="shared" si="112"/>
        <v>1306</v>
      </c>
      <c r="E459" t="str">
        <f t="shared" si="113"/>
        <v/>
      </c>
      <c r="F459" t="str">
        <f t="shared" si="114"/>
        <v/>
      </c>
      <c r="G459">
        <f t="shared" si="115"/>
        <v>21580</v>
      </c>
      <c r="H459" t="str">
        <f t="shared" si="116"/>
        <v/>
      </c>
      <c r="I459" t="str">
        <f t="shared" si="117"/>
        <v/>
      </c>
      <c r="J459">
        <f>SUM($G$3:I459)</f>
        <v>2569910</v>
      </c>
      <c r="K459">
        <f t="shared" si="118"/>
        <v>13060</v>
      </c>
      <c r="L459">
        <f t="shared" si="119"/>
        <v>1.149</v>
      </c>
      <c r="M459">
        <f t="shared" si="120"/>
        <v>1.0745</v>
      </c>
      <c r="N459">
        <f t="shared" si="121"/>
        <v>513982</v>
      </c>
      <c r="O459">
        <f t="shared" si="122"/>
        <v>16123.882530000001</v>
      </c>
      <c r="P459">
        <f t="shared" si="123"/>
        <v>4450</v>
      </c>
      <c r="Q459">
        <f t="shared" si="124"/>
        <v>0.7</v>
      </c>
    </row>
    <row r="460" spans="1:17" x14ac:dyDescent="0.25">
      <c r="A460">
        <v>458</v>
      </c>
      <c r="B460">
        <f t="shared" si="110"/>
        <v>16</v>
      </c>
      <c r="C460">
        <f t="shared" si="111"/>
        <v>1</v>
      </c>
      <c r="D460">
        <f t="shared" si="112"/>
        <v>1322</v>
      </c>
      <c r="E460" t="str">
        <f t="shared" si="113"/>
        <v/>
      </c>
      <c r="F460" t="str">
        <f t="shared" si="114"/>
        <v/>
      </c>
      <c r="G460">
        <f t="shared" si="115"/>
        <v>21760</v>
      </c>
      <c r="H460" t="str">
        <f t="shared" si="116"/>
        <v/>
      </c>
      <c r="I460" t="str">
        <f t="shared" si="117"/>
        <v/>
      </c>
      <c r="J460">
        <f>SUM($G$3:I460)</f>
        <v>2591670</v>
      </c>
      <c r="K460">
        <f t="shared" si="118"/>
        <v>13219.999999999998</v>
      </c>
      <c r="L460">
        <f t="shared" si="119"/>
        <v>1.149</v>
      </c>
      <c r="M460">
        <f t="shared" si="120"/>
        <v>1.0745</v>
      </c>
      <c r="N460">
        <f t="shared" si="121"/>
        <v>518334</v>
      </c>
      <c r="O460">
        <f t="shared" si="122"/>
        <v>16321.418609999999</v>
      </c>
      <c r="P460">
        <f t="shared" si="123"/>
        <v>4450</v>
      </c>
      <c r="Q460">
        <f t="shared" si="124"/>
        <v>0.7</v>
      </c>
    </row>
    <row r="461" spans="1:17" x14ac:dyDescent="0.25">
      <c r="A461">
        <v>459</v>
      </c>
      <c r="B461">
        <f t="shared" si="110"/>
        <v>16</v>
      </c>
      <c r="C461">
        <f t="shared" si="111"/>
        <v>1</v>
      </c>
      <c r="D461">
        <f t="shared" si="112"/>
        <v>1338</v>
      </c>
      <c r="E461" t="str">
        <f t="shared" si="113"/>
        <v/>
      </c>
      <c r="F461" t="str">
        <f t="shared" si="114"/>
        <v/>
      </c>
      <c r="G461">
        <f t="shared" si="115"/>
        <v>21940</v>
      </c>
      <c r="H461" t="str">
        <f t="shared" si="116"/>
        <v/>
      </c>
      <c r="I461" t="str">
        <f t="shared" si="117"/>
        <v/>
      </c>
      <c r="J461">
        <f>SUM($G$3:I461)</f>
        <v>2613610</v>
      </c>
      <c r="K461">
        <f t="shared" si="118"/>
        <v>13380.000000000002</v>
      </c>
      <c r="L461">
        <f t="shared" si="119"/>
        <v>1.149</v>
      </c>
      <c r="M461">
        <f t="shared" si="120"/>
        <v>1.0745</v>
      </c>
      <c r="N461">
        <f t="shared" si="121"/>
        <v>522722</v>
      </c>
      <c r="O461">
        <f t="shared" si="122"/>
        <v>16518.954690000002</v>
      </c>
      <c r="P461">
        <f t="shared" si="123"/>
        <v>4450</v>
      </c>
      <c r="Q461">
        <f t="shared" si="124"/>
        <v>0.7</v>
      </c>
    </row>
    <row r="462" spans="1:17" x14ac:dyDescent="0.25">
      <c r="A462">
        <v>460</v>
      </c>
      <c r="B462">
        <f t="shared" si="110"/>
        <v>16</v>
      </c>
      <c r="C462">
        <f t="shared" si="111"/>
        <v>1</v>
      </c>
      <c r="D462">
        <f t="shared" si="112"/>
        <v>1354</v>
      </c>
      <c r="E462" t="str">
        <f t="shared" si="113"/>
        <v/>
      </c>
      <c r="F462" t="str">
        <f t="shared" si="114"/>
        <v/>
      </c>
      <c r="G462">
        <f t="shared" si="115"/>
        <v>22120</v>
      </c>
      <c r="H462" t="str">
        <f t="shared" si="116"/>
        <v/>
      </c>
      <c r="I462" t="str">
        <f t="shared" si="117"/>
        <v/>
      </c>
      <c r="J462">
        <f>SUM($G$3:I462)</f>
        <v>2635730</v>
      </c>
      <c r="K462">
        <f t="shared" si="118"/>
        <v>13540</v>
      </c>
      <c r="L462">
        <f t="shared" si="119"/>
        <v>1.149</v>
      </c>
      <c r="M462">
        <f t="shared" si="120"/>
        <v>1.0745</v>
      </c>
      <c r="N462">
        <f t="shared" si="121"/>
        <v>527146</v>
      </c>
      <c r="O462">
        <f t="shared" si="122"/>
        <v>16716.49077</v>
      </c>
      <c r="P462">
        <f t="shared" si="123"/>
        <v>5150</v>
      </c>
      <c r="Q462">
        <f t="shared" si="124"/>
        <v>0.7</v>
      </c>
    </row>
    <row r="463" spans="1:17" x14ac:dyDescent="0.25">
      <c r="A463">
        <v>461</v>
      </c>
      <c r="B463">
        <f t="shared" si="110"/>
        <v>16</v>
      </c>
      <c r="C463">
        <f t="shared" si="111"/>
        <v>2</v>
      </c>
      <c r="D463" t="str">
        <f t="shared" si="112"/>
        <v/>
      </c>
      <c r="E463">
        <f t="shared" si="113"/>
        <v>1500</v>
      </c>
      <c r="F463" t="str">
        <f t="shared" si="114"/>
        <v/>
      </c>
      <c r="G463" t="str">
        <f t="shared" si="115"/>
        <v/>
      </c>
      <c r="H463">
        <f t="shared" si="116"/>
        <v>13667</v>
      </c>
      <c r="I463" t="str">
        <f t="shared" si="117"/>
        <v/>
      </c>
      <c r="J463">
        <f>SUM($G$3:I463)</f>
        <v>2649397</v>
      </c>
      <c r="K463">
        <f t="shared" si="118"/>
        <v>13540</v>
      </c>
      <c r="L463">
        <f t="shared" si="119"/>
        <v>1.1499999999999999</v>
      </c>
      <c r="M463">
        <f t="shared" si="120"/>
        <v>1.0745</v>
      </c>
      <c r="N463">
        <f t="shared" si="121"/>
        <v>529879.4</v>
      </c>
      <c r="O463">
        <f t="shared" si="122"/>
        <v>16731.039499999999</v>
      </c>
      <c r="P463">
        <f t="shared" si="123"/>
        <v>5150</v>
      </c>
      <c r="Q463">
        <f t="shared" si="124"/>
        <v>0.7</v>
      </c>
    </row>
    <row r="464" spans="1:17" x14ac:dyDescent="0.25">
      <c r="A464">
        <v>462</v>
      </c>
      <c r="B464">
        <f t="shared" si="110"/>
        <v>16</v>
      </c>
      <c r="C464">
        <f t="shared" si="111"/>
        <v>2</v>
      </c>
      <c r="D464" t="str">
        <f t="shared" si="112"/>
        <v/>
      </c>
      <c r="E464">
        <f t="shared" si="113"/>
        <v>1510</v>
      </c>
      <c r="F464" t="str">
        <f t="shared" si="114"/>
        <v/>
      </c>
      <c r="G464" t="str">
        <f t="shared" si="115"/>
        <v/>
      </c>
      <c r="H464">
        <f t="shared" si="116"/>
        <v>13787</v>
      </c>
      <c r="I464" t="str">
        <f t="shared" si="117"/>
        <v/>
      </c>
      <c r="J464">
        <f>SUM($G$3:I464)</f>
        <v>2663184</v>
      </c>
      <c r="K464">
        <f t="shared" si="118"/>
        <v>13540</v>
      </c>
      <c r="L464">
        <f t="shared" si="119"/>
        <v>1.151</v>
      </c>
      <c r="M464">
        <f t="shared" si="120"/>
        <v>1.0745</v>
      </c>
      <c r="N464">
        <f t="shared" si="121"/>
        <v>532636.80000000005</v>
      </c>
      <c r="O464">
        <f t="shared" si="122"/>
        <v>16745.588230000001</v>
      </c>
      <c r="P464">
        <f t="shared" si="123"/>
        <v>5150</v>
      </c>
      <c r="Q464">
        <f t="shared" si="124"/>
        <v>0.7</v>
      </c>
    </row>
    <row r="465" spans="1:17" x14ac:dyDescent="0.25">
      <c r="A465">
        <v>463</v>
      </c>
      <c r="B465">
        <f t="shared" si="110"/>
        <v>16</v>
      </c>
      <c r="C465">
        <f t="shared" si="111"/>
        <v>2</v>
      </c>
      <c r="D465" t="str">
        <f t="shared" si="112"/>
        <v/>
      </c>
      <c r="E465">
        <f t="shared" si="113"/>
        <v>1520</v>
      </c>
      <c r="F465" t="str">
        <f t="shared" si="114"/>
        <v/>
      </c>
      <c r="G465" t="str">
        <f t="shared" si="115"/>
        <v/>
      </c>
      <c r="H465">
        <f t="shared" si="116"/>
        <v>13907</v>
      </c>
      <c r="I465" t="str">
        <f t="shared" si="117"/>
        <v/>
      </c>
      <c r="J465">
        <f>SUM($G$3:I465)</f>
        <v>2677091</v>
      </c>
      <c r="K465">
        <f t="shared" si="118"/>
        <v>13540</v>
      </c>
      <c r="L465">
        <f t="shared" si="119"/>
        <v>1.1519999999999999</v>
      </c>
      <c r="M465">
        <f t="shared" si="120"/>
        <v>1.0745</v>
      </c>
      <c r="N465">
        <f t="shared" si="121"/>
        <v>535418.20000000007</v>
      </c>
      <c r="O465">
        <f t="shared" si="122"/>
        <v>16760.13696</v>
      </c>
      <c r="P465">
        <f t="shared" si="123"/>
        <v>5150</v>
      </c>
      <c r="Q465">
        <f t="shared" si="124"/>
        <v>0.7</v>
      </c>
    </row>
    <row r="466" spans="1:17" x14ac:dyDescent="0.25">
      <c r="A466">
        <v>464</v>
      </c>
      <c r="B466">
        <f t="shared" si="110"/>
        <v>16</v>
      </c>
      <c r="C466">
        <f t="shared" si="111"/>
        <v>2</v>
      </c>
      <c r="D466" t="str">
        <f t="shared" si="112"/>
        <v/>
      </c>
      <c r="E466">
        <f t="shared" si="113"/>
        <v>1530</v>
      </c>
      <c r="F466" t="str">
        <f t="shared" si="114"/>
        <v/>
      </c>
      <c r="G466" t="str">
        <f t="shared" si="115"/>
        <v/>
      </c>
      <c r="H466">
        <f t="shared" si="116"/>
        <v>14027</v>
      </c>
      <c r="I466" t="str">
        <f t="shared" si="117"/>
        <v/>
      </c>
      <c r="J466">
        <f>SUM($G$3:I466)</f>
        <v>2691118</v>
      </c>
      <c r="K466">
        <f t="shared" si="118"/>
        <v>13540</v>
      </c>
      <c r="L466">
        <f t="shared" si="119"/>
        <v>1.153</v>
      </c>
      <c r="M466">
        <f t="shared" si="120"/>
        <v>1.0745</v>
      </c>
      <c r="N466">
        <f t="shared" si="121"/>
        <v>538223.6</v>
      </c>
      <c r="O466">
        <f t="shared" si="122"/>
        <v>16774.685690000002</v>
      </c>
      <c r="P466">
        <f t="shared" si="123"/>
        <v>5150</v>
      </c>
      <c r="Q466">
        <f t="shared" si="124"/>
        <v>0.7</v>
      </c>
    </row>
    <row r="467" spans="1:17" x14ac:dyDescent="0.25">
      <c r="A467">
        <v>465</v>
      </c>
      <c r="B467">
        <f t="shared" si="110"/>
        <v>16</v>
      </c>
      <c r="C467">
        <f t="shared" si="111"/>
        <v>2</v>
      </c>
      <c r="D467" t="str">
        <f t="shared" si="112"/>
        <v/>
      </c>
      <c r="E467">
        <f t="shared" si="113"/>
        <v>1540</v>
      </c>
      <c r="F467" t="str">
        <f t="shared" si="114"/>
        <v/>
      </c>
      <c r="G467" t="str">
        <f t="shared" si="115"/>
        <v/>
      </c>
      <c r="H467">
        <f t="shared" si="116"/>
        <v>14147</v>
      </c>
      <c r="I467" t="str">
        <f t="shared" si="117"/>
        <v/>
      </c>
      <c r="J467">
        <f>SUM($G$3:I467)</f>
        <v>2705265</v>
      </c>
      <c r="K467">
        <f t="shared" si="118"/>
        <v>13540</v>
      </c>
      <c r="L467">
        <f t="shared" si="119"/>
        <v>1.1539999999999999</v>
      </c>
      <c r="M467">
        <f t="shared" si="120"/>
        <v>1.0745</v>
      </c>
      <c r="N467">
        <f t="shared" si="121"/>
        <v>541053</v>
      </c>
      <c r="O467">
        <f t="shared" si="122"/>
        <v>16789.234419999997</v>
      </c>
      <c r="P467">
        <f t="shared" si="123"/>
        <v>5150</v>
      </c>
      <c r="Q467">
        <f t="shared" si="124"/>
        <v>0.7</v>
      </c>
    </row>
    <row r="468" spans="1:17" x14ac:dyDescent="0.25">
      <c r="A468">
        <v>466</v>
      </c>
      <c r="B468">
        <f t="shared" si="110"/>
        <v>16</v>
      </c>
      <c r="C468">
        <f t="shared" si="111"/>
        <v>2</v>
      </c>
      <c r="D468" t="str">
        <f t="shared" si="112"/>
        <v/>
      </c>
      <c r="E468">
        <f t="shared" si="113"/>
        <v>1550</v>
      </c>
      <c r="F468" t="str">
        <f t="shared" si="114"/>
        <v/>
      </c>
      <c r="G468" t="str">
        <f t="shared" si="115"/>
        <v/>
      </c>
      <c r="H468">
        <f t="shared" si="116"/>
        <v>14267</v>
      </c>
      <c r="I468" t="str">
        <f t="shared" si="117"/>
        <v/>
      </c>
      <c r="J468">
        <f>SUM($G$3:I468)</f>
        <v>2719532</v>
      </c>
      <c r="K468">
        <f t="shared" si="118"/>
        <v>13540</v>
      </c>
      <c r="L468">
        <f t="shared" si="119"/>
        <v>1.155</v>
      </c>
      <c r="M468">
        <f t="shared" si="120"/>
        <v>1.0745</v>
      </c>
      <c r="N468">
        <f t="shared" si="121"/>
        <v>543906.4</v>
      </c>
      <c r="O468">
        <f t="shared" si="122"/>
        <v>16803.783149999999</v>
      </c>
      <c r="P468">
        <f t="shared" si="123"/>
        <v>5150</v>
      </c>
      <c r="Q468">
        <f t="shared" si="124"/>
        <v>0.7</v>
      </c>
    </row>
    <row r="469" spans="1:17" x14ac:dyDescent="0.25">
      <c r="A469">
        <v>467</v>
      </c>
      <c r="B469">
        <f t="shared" si="110"/>
        <v>16</v>
      </c>
      <c r="C469">
        <f t="shared" si="111"/>
        <v>2</v>
      </c>
      <c r="D469" t="str">
        <f t="shared" si="112"/>
        <v/>
      </c>
      <c r="E469">
        <f t="shared" si="113"/>
        <v>1560</v>
      </c>
      <c r="F469" t="str">
        <f t="shared" si="114"/>
        <v/>
      </c>
      <c r="G469" t="str">
        <f t="shared" si="115"/>
        <v/>
      </c>
      <c r="H469">
        <f t="shared" si="116"/>
        <v>14387</v>
      </c>
      <c r="I469" t="str">
        <f t="shared" si="117"/>
        <v/>
      </c>
      <c r="J469">
        <f>SUM($G$3:I469)</f>
        <v>2733919</v>
      </c>
      <c r="K469">
        <f t="shared" si="118"/>
        <v>13540</v>
      </c>
      <c r="L469">
        <f t="shared" si="119"/>
        <v>1.1559999999999999</v>
      </c>
      <c r="M469">
        <f t="shared" si="120"/>
        <v>1.0745</v>
      </c>
      <c r="N469">
        <f t="shared" si="121"/>
        <v>546783.80000000005</v>
      </c>
      <c r="O469">
        <f t="shared" si="122"/>
        <v>16818.331879999998</v>
      </c>
      <c r="P469">
        <f t="shared" si="123"/>
        <v>5150</v>
      </c>
      <c r="Q469">
        <f t="shared" si="124"/>
        <v>0.7</v>
      </c>
    </row>
    <row r="470" spans="1:17" x14ac:dyDescent="0.25">
      <c r="A470">
        <v>468</v>
      </c>
      <c r="B470">
        <f t="shared" si="110"/>
        <v>16</v>
      </c>
      <c r="C470">
        <f t="shared" si="111"/>
        <v>2</v>
      </c>
      <c r="D470" t="str">
        <f t="shared" si="112"/>
        <v/>
      </c>
      <c r="E470">
        <f t="shared" si="113"/>
        <v>1570</v>
      </c>
      <c r="F470" t="str">
        <f t="shared" si="114"/>
        <v/>
      </c>
      <c r="G470" t="str">
        <f t="shared" si="115"/>
        <v/>
      </c>
      <c r="H470">
        <f t="shared" si="116"/>
        <v>14507</v>
      </c>
      <c r="I470" t="str">
        <f t="shared" si="117"/>
        <v/>
      </c>
      <c r="J470">
        <f>SUM($G$3:I470)</f>
        <v>2748426</v>
      </c>
      <c r="K470">
        <f t="shared" si="118"/>
        <v>13540</v>
      </c>
      <c r="L470">
        <f t="shared" si="119"/>
        <v>1.157</v>
      </c>
      <c r="M470">
        <f t="shared" si="120"/>
        <v>1.0745</v>
      </c>
      <c r="N470">
        <f t="shared" si="121"/>
        <v>549685.20000000007</v>
      </c>
      <c r="O470">
        <f t="shared" si="122"/>
        <v>16832.88061</v>
      </c>
      <c r="P470">
        <f t="shared" si="123"/>
        <v>5150</v>
      </c>
      <c r="Q470">
        <f t="shared" si="124"/>
        <v>0.7</v>
      </c>
    </row>
    <row r="471" spans="1:17" x14ac:dyDescent="0.25">
      <c r="A471">
        <v>469</v>
      </c>
      <c r="B471">
        <f t="shared" si="110"/>
        <v>16</v>
      </c>
      <c r="C471">
        <f t="shared" si="111"/>
        <v>2</v>
      </c>
      <c r="D471" t="str">
        <f t="shared" si="112"/>
        <v/>
      </c>
      <c r="E471">
        <f t="shared" si="113"/>
        <v>1580</v>
      </c>
      <c r="F471" t="str">
        <f t="shared" si="114"/>
        <v/>
      </c>
      <c r="G471" t="str">
        <f t="shared" si="115"/>
        <v/>
      </c>
      <c r="H471">
        <f t="shared" si="116"/>
        <v>14627</v>
      </c>
      <c r="I471" t="str">
        <f t="shared" si="117"/>
        <v/>
      </c>
      <c r="J471">
        <f>SUM($G$3:I471)</f>
        <v>2763053</v>
      </c>
      <c r="K471">
        <f t="shared" si="118"/>
        <v>13540</v>
      </c>
      <c r="L471">
        <f t="shared" si="119"/>
        <v>1.1579999999999999</v>
      </c>
      <c r="M471">
        <f t="shared" si="120"/>
        <v>1.0745</v>
      </c>
      <c r="N471">
        <f t="shared" si="121"/>
        <v>552610.6</v>
      </c>
      <c r="O471">
        <f t="shared" si="122"/>
        <v>16847.429339999999</v>
      </c>
      <c r="P471">
        <f t="shared" si="123"/>
        <v>5150</v>
      </c>
      <c r="Q471">
        <f t="shared" si="124"/>
        <v>0.7</v>
      </c>
    </row>
    <row r="472" spans="1:17" x14ac:dyDescent="0.25">
      <c r="A472">
        <v>470</v>
      </c>
      <c r="B472">
        <f t="shared" si="110"/>
        <v>16</v>
      </c>
      <c r="C472">
        <f t="shared" si="111"/>
        <v>2</v>
      </c>
      <c r="D472" t="str">
        <f t="shared" si="112"/>
        <v/>
      </c>
      <c r="E472">
        <f t="shared" si="113"/>
        <v>1590</v>
      </c>
      <c r="F472" t="str">
        <f t="shared" si="114"/>
        <v/>
      </c>
      <c r="G472" t="str">
        <f t="shared" si="115"/>
        <v/>
      </c>
      <c r="H472">
        <f t="shared" si="116"/>
        <v>14747</v>
      </c>
      <c r="I472" t="str">
        <f t="shared" si="117"/>
        <v/>
      </c>
      <c r="J472">
        <f>SUM($G$3:I472)</f>
        <v>2777800</v>
      </c>
      <c r="K472">
        <f t="shared" si="118"/>
        <v>13540</v>
      </c>
      <c r="L472">
        <f t="shared" si="119"/>
        <v>1.159</v>
      </c>
      <c r="M472">
        <f t="shared" si="120"/>
        <v>1.0745</v>
      </c>
      <c r="N472">
        <f t="shared" si="121"/>
        <v>555560</v>
      </c>
      <c r="O472">
        <f t="shared" si="122"/>
        <v>16861.978070000001</v>
      </c>
      <c r="P472">
        <f t="shared" si="123"/>
        <v>5150</v>
      </c>
      <c r="Q472">
        <f t="shared" si="124"/>
        <v>0.8</v>
      </c>
    </row>
    <row r="473" spans="1:17" x14ac:dyDescent="0.25">
      <c r="A473">
        <v>471</v>
      </c>
      <c r="B473">
        <f t="shared" si="110"/>
        <v>16</v>
      </c>
      <c r="C473">
        <f t="shared" si="111"/>
        <v>3</v>
      </c>
      <c r="D473" t="str">
        <f t="shared" si="112"/>
        <v/>
      </c>
      <c r="E473" t="str">
        <f t="shared" si="113"/>
        <v/>
      </c>
      <c r="F473">
        <f t="shared" si="114"/>
        <v>750</v>
      </c>
      <c r="G473" t="str">
        <f t="shared" si="115"/>
        <v/>
      </c>
      <c r="H473" t="str">
        <f t="shared" si="116"/>
        <v/>
      </c>
      <c r="I473">
        <f t="shared" si="117"/>
        <v>10400</v>
      </c>
      <c r="J473">
        <f>SUM($G$3:I473)</f>
        <v>2788200</v>
      </c>
      <c r="K473">
        <f t="shared" si="118"/>
        <v>13540</v>
      </c>
      <c r="L473">
        <f t="shared" si="119"/>
        <v>1.159</v>
      </c>
      <c r="M473">
        <f t="shared" si="120"/>
        <v>1.075</v>
      </c>
      <c r="N473">
        <f t="shared" si="121"/>
        <v>557640</v>
      </c>
      <c r="O473">
        <f t="shared" si="122"/>
        <v>16869.824499999999</v>
      </c>
      <c r="P473">
        <f t="shared" si="123"/>
        <v>5150</v>
      </c>
      <c r="Q473">
        <f t="shared" si="124"/>
        <v>0.8</v>
      </c>
    </row>
    <row r="474" spans="1:17" x14ac:dyDescent="0.25">
      <c r="A474">
        <v>472</v>
      </c>
      <c r="B474">
        <f t="shared" si="110"/>
        <v>16</v>
      </c>
      <c r="C474">
        <f t="shared" si="111"/>
        <v>3</v>
      </c>
      <c r="D474" t="str">
        <f t="shared" si="112"/>
        <v/>
      </c>
      <c r="E474" t="str">
        <f t="shared" si="113"/>
        <v/>
      </c>
      <c r="F474">
        <f t="shared" si="114"/>
        <v>755</v>
      </c>
      <c r="G474" t="str">
        <f t="shared" si="115"/>
        <v/>
      </c>
      <c r="H474" t="str">
        <f t="shared" si="116"/>
        <v/>
      </c>
      <c r="I474">
        <f t="shared" si="117"/>
        <v>10550</v>
      </c>
      <c r="J474">
        <f>SUM($G$3:I474)</f>
        <v>2798750</v>
      </c>
      <c r="K474">
        <f t="shared" si="118"/>
        <v>13540</v>
      </c>
      <c r="L474">
        <f t="shared" si="119"/>
        <v>1.159</v>
      </c>
      <c r="M474">
        <f t="shared" si="120"/>
        <v>1.0754999999999999</v>
      </c>
      <c r="N474">
        <f t="shared" si="121"/>
        <v>559750</v>
      </c>
      <c r="O474">
        <f t="shared" si="122"/>
        <v>16877.67093</v>
      </c>
      <c r="P474">
        <f t="shared" si="123"/>
        <v>5150</v>
      </c>
      <c r="Q474">
        <f t="shared" si="124"/>
        <v>0.8</v>
      </c>
    </row>
    <row r="475" spans="1:17" x14ac:dyDescent="0.25">
      <c r="A475">
        <v>473</v>
      </c>
      <c r="B475">
        <f t="shared" si="110"/>
        <v>16</v>
      </c>
      <c r="C475">
        <f t="shared" si="111"/>
        <v>3</v>
      </c>
      <c r="D475" t="str">
        <f t="shared" si="112"/>
        <v/>
      </c>
      <c r="E475" t="str">
        <f t="shared" si="113"/>
        <v/>
      </c>
      <c r="F475">
        <f t="shared" si="114"/>
        <v>760</v>
      </c>
      <c r="G475" t="str">
        <f t="shared" si="115"/>
        <v/>
      </c>
      <c r="H475" t="str">
        <f t="shared" si="116"/>
        <v/>
      </c>
      <c r="I475">
        <f t="shared" si="117"/>
        <v>10700</v>
      </c>
      <c r="J475">
        <f>SUM($G$3:I475)</f>
        <v>2809450</v>
      </c>
      <c r="K475">
        <f t="shared" si="118"/>
        <v>13540</v>
      </c>
      <c r="L475">
        <f t="shared" si="119"/>
        <v>1.159</v>
      </c>
      <c r="M475">
        <f t="shared" si="120"/>
        <v>1.0760000000000001</v>
      </c>
      <c r="N475">
        <f t="shared" si="121"/>
        <v>561890</v>
      </c>
      <c r="O475">
        <f t="shared" si="122"/>
        <v>16885.517360000002</v>
      </c>
      <c r="P475">
        <f t="shared" si="123"/>
        <v>5150</v>
      </c>
      <c r="Q475">
        <f t="shared" si="124"/>
        <v>0.8</v>
      </c>
    </row>
    <row r="476" spans="1:17" x14ac:dyDescent="0.25">
      <c r="A476">
        <v>474</v>
      </c>
      <c r="B476">
        <f t="shared" si="110"/>
        <v>16</v>
      </c>
      <c r="C476">
        <f t="shared" si="111"/>
        <v>3</v>
      </c>
      <c r="D476" t="str">
        <f t="shared" si="112"/>
        <v/>
      </c>
      <c r="E476" t="str">
        <f t="shared" si="113"/>
        <v/>
      </c>
      <c r="F476">
        <f t="shared" si="114"/>
        <v>765</v>
      </c>
      <c r="G476" t="str">
        <f t="shared" si="115"/>
        <v/>
      </c>
      <c r="H476" t="str">
        <f t="shared" si="116"/>
        <v/>
      </c>
      <c r="I476">
        <f t="shared" si="117"/>
        <v>10850</v>
      </c>
      <c r="J476">
        <f>SUM($G$3:I476)</f>
        <v>2820300</v>
      </c>
      <c r="K476">
        <f t="shared" si="118"/>
        <v>13540</v>
      </c>
      <c r="L476">
        <f t="shared" si="119"/>
        <v>1.159</v>
      </c>
      <c r="M476">
        <f t="shared" si="120"/>
        <v>1.0765</v>
      </c>
      <c r="N476">
        <f t="shared" si="121"/>
        <v>564060</v>
      </c>
      <c r="O476">
        <f t="shared" si="122"/>
        <v>16893.363789999999</v>
      </c>
      <c r="P476">
        <f t="shared" si="123"/>
        <v>5150</v>
      </c>
      <c r="Q476">
        <f t="shared" si="124"/>
        <v>0.8</v>
      </c>
    </row>
    <row r="477" spans="1:17" x14ac:dyDescent="0.25">
      <c r="A477">
        <v>475</v>
      </c>
      <c r="B477">
        <f t="shared" si="110"/>
        <v>16</v>
      </c>
      <c r="C477">
        <f t="shared" si="111"/>
        <v>3</v>
      </c>
      <c r="D477" t="str">
        <f t="shared" si="112"/>
        <v/>
      </c>
      <c r="E477" t="str">
        <f t="shared" si="113"/>
        <v/>
      </c>
      <c r="F477">
        <f t="shared" si="114"/>
        <v>770</v>
      </c>
      <c r="G477" t="str">
        <f t="shared" si="115"/>
        <v/>
      </c>
      <c r="H477" t="str">
        <f t="shared" si="116"/>
        <v/>
      </c>
      <c r="I477">
        <f t="shared" si="117"/>
        <v>11000</v>
      </c>
      <c r="J477">
        <f>SUM($G$3:I477)</f>
        <v>2831300</v>
      </c>
      <c r="K477">
        <f t="shared" si="118"/>
        <v>13540</v>
      </c>
      <c r="L477">
        <f t="shared" si="119"/>
        <v>1.159</v>
      </c>
      <c r="M477">
        <f t="shared" si="120"/>
        <v>1.077</v>
      </c>
      <c r="N477">
        <f t="shared" si="121"/>
        <v>566260</v>
      </c>
      <c r="O477">
        <f t="shared" si="122"/>
        <v>16901.210220000001</v>
      </c>
      <c r="P477">
        <f t="shared" si="123"/>
        <v>5150</v>
      </c>
      <c r="Q477">
        <f t="shared" si="124"/>
        <v>0.8</v>
      </c>
    </row>
    <row r="478" spans="1:17" x14ac:dyDescent="0.25">
      <c r="A478">
        <v>476</v>
      </c>
      <c r="B478">
        <f t="shared" si="110"/>
        <v>16</v>
      </c>
      <c r="C478">
        <f t="shared" si="111"/>
        <v>3</v>
      </c>
      <c r="D478" t="str">
        <f t="shared" si="112"/>
        <v/>
      </c>
      <c r="E478" t="str">
        <f t="shared" si="113"/>
        <v/>
      </c>
      <c r="F478">
        <f t="shared" si="114"/>
        <v>775</v>
      </c>
      <c r="G478" t="str">
        <f t="shared" si="115"/>
        <v/>
      </c>
      <c r="H478" t="str">
        <f t="shared" si="116"/>
        <v/>
      </c>
      <c r="I478">
        <f t="shared" si="117"/>
        <v>11150</v>
      </c>
      <c r="J478">
        <f>SUM($G$3:I478)</f>
        <v>2842450</v>
      </c>
      <c r="K478">
        <f t="shared" si="118"/>
        <v>13540</v>
      </c>
      <c r="L478">
        <f t="shared" si="119"/>
        <v>1.159</v>
      </c>
      <c r="M478">
        <f t="shared" si="120"/>
        <v>1.0774999999999999</v>
      </c>
      <c r="N478">
        <f t="shared" si="121"/>
        <v>568490</v>
      </c>
      <c r="O478">
        <f t="shared" si="122"/>
        <v>16909.056649999999</v>
      </c>
      <c r="P478">
        <f t="shared" si="123"/>
        <v>5150</v>
      </c>
      <c r="Q478">
        <f t="shared" si="124"/>
        <v>0.8</v>
      </c>
    </row>
    <row r="479" spans="1:17" x14ac:dyDescent="0.25">
      <c r="A479">
        <v>477</v>
      </c>
      <c r="B479">
        <f t="shared" si="110"/>
        <v>16</v>
      </c>
      <c r="C479">
        <f t="shared" si="111"/>
        <v>3</v>
      </c>
      <c r="D479" t="str">
        <f t="shared" si="112"/>
        <v/>
      </c>
      <c r="E479" t="str">
        <f t="shared" si="113"/>
        <v/>
      </c>
      <c r="F479">
        <f t="shared" si="114"/>
        <v>780</v>
      </c>
      <c r="G479" t="str">
        <f t="shared" si="115"/>
        <v/>
      </c>
      <c r="H479" t="str">
        <f t="shared" si="116"/>
        <v/>
      </c>
      <c r="I479">
        <f t="shared" si="117"/>
        <v>11300</v>
      </c>
      <c r="J479">
        <f>SUM($G$3:I479)</f>
        <v>2853750</v>
      </c>
      <c r="K479">
        <f t="shared" si="118"/>
        <v>13540</v>
      </c>
      <c r="L479">
        <f t="shared" si="119"/>
        <v>1.159</v>
      </c>
      <c r="M479">
        <f t="shared" si="120"/>
        <v>1.0780000000000001</v>
      </c>
      <c r="N479">
        <f t="shared" si="121"/>
        <v>570750</v>
      </c>
      <c r="O479">
        <f t="shared" si="122"/>
        <v>16916.90308</v>
      </c>
      <c r="P479">
        <f t="shared" si="123"/>
        <v>5150</v>
      </c>
      <c r="Q479">
        <f t="shared" si="124"/>
        <v>0.8</v>
      </c>
    </row>
    <row r="480" spans="1:17" x14ac:dyDescent="0.25">
      <c r="A480">
        <v>478</v>
      </c>
      <c r="B480">
        <f t="shared" si="110"/>
        <v>16</v>
      </c>
      <c r="C480">
        <f t="shared" si="111"/>
        <v>3</v>
      </c>
      <c r="D480" t="str">
        <f t="shared" si="112"/>
        <v/>
      </c>
      <c r="E480" t="str">
        <f t="shared" si="113"/>
        <v/>
      </c>
      <c r="F480">
        <f t="shared" si="114"/>
        <v>785</v>
      </c>
      <c r="G480" t="str">
        <f t="shared" si="115"/>
        <v/>
      </c>
      <c r="H480" t="str">
        <f t="shared" si="116"/>
        <v/>
      </c>
      <c r="I480">
        <f t="shared" si="117"/>
        <v>11450</v>
      </c>
      <c r="J480">
        <f>SUM($G$3:I480)</f>
        <v>2865200</v>
      </c>
      <c r="K480">
        <f t="shared" si="118"/>
        <v>13540</v>
      </c>
      <c r="L480">
        <f t="shared" si="119"/>
        <v>1.159</v>
      </c>
      <c r="M480">
        <f t="shared" si="120"/>
        <v>1.0785</v>
      </c>
      <c r="N480">
        <f t="shared" si="121"/>
        <v>573040</v>
      </c>
      <c r="O480">
        <f t="shared" si="122"/>
        <v>16924.749510000001</v>
      </c>
      <c r="P480">
        <f t="shared" si="123"/>
        <v>5150</v>
      </c>
      <c r="Q480">
        <f t="shared" si="124"/>
        <v>0.8</v>
      </c>
    </row>
    <row r="481" spans="1:17" x14ac:dyDescent="0.25">
      <c r="A481">
        <v>479</v>
      </c>
      <c r="B481">
        <f t="shared" si="110"/>
        <v>16</v>
      </c>
      <c r="C481">
        <f t="shared" si="111"/>
        <v>3</v>
      </c>
      <c r="D481" t="str">
        <f t="shared" si="112"/>
        <v/>
      </c>
      <c r="E481" t="str">
        <f t="shared" si="113"/>
        <v/>
      </c>
      <c r="F481">
        <f t="shared" si="114"/>
        <v>790</v>
      </c>
      <c r="G481" t="str">
        <f t="shared" si="115"/>
        <v/>
      </c>
      <c r="H481" t="str">
        <f t="shared" si="116"/>
        <v/>
      </c>
      <c r="I481">
        <f t="shared" si="117"/>
        <v>11600</v>
      </c>
      <c r="J481">
        <f>SUM($G$3:I481)</f>
        <v>2876800</v>
      </c>
      <c r="K481">
        <f t="shared" si="118"/>
        <v>13540</v>
      </c>
      <c r="L481">
        <f t="shared" si="119"/>
        <v>1.159</v>
      </c>
      <c r="M481">
        <f t="shared" si="120"/>
        <v>1.079</v>
      </c>
      <c r="N481">
        <f t="shared" si="121"/>
        <v>575360</v>
      </c>
      <c r="O481">
        <f t="shared" si="122"/>
        <v>16932.595939999999</v>
      </c>
      <c r="P481">
        <f t="shared" si="123"/>
        <v>5150</v>
      </c>
      <c r="Q481">
        <f t="shared" si="124"/>
        <v>0.8</v>
      </c>
    </row>
    <row r="482" spans="1:17" x14ac:dyDescent="0.25">
      <c r="A482">
        <v>480</v>
      </c>
      <c r="B482">
        <f t="shared" ref="B482:B545" si="125">B452+1</f>
        <v>16</v>
      </c>
      <c r="C482">
        <f t="shared" ref="C482:C545" si="126">C452</f>
        <v>3</v>
      </c>
      <c r="D482" t="str">
        <f t="shared" si="112"/>
        <v/>
      </c>
      <c r="E482" t="str">
        <f t="shared" si="113"/>
        <v/>
      </c>
      <c r="F482">
        <f t="shared" si="114"/>
        <v>795</v>
      </c>
      <c r="G482" t="str">
        <f t="shared" si="115"/>
        <v/>
      </c>
      <c r="H482" t="str">
        <f t="shared" si="116"/>
        <v/>
      </c>
      <c r="I482">
        <f t="shared" si="117"/>
        <v>11750</v>
      </c>
      <c r="J482">
        <f>SUM($G$3:I482)</f>
        <v>2888550</v>
      </c>
      <c r="K482">
        <f t="shared" si="118"/>
        <v>13540</v>
      </c>
      <c r="L482">
        <f t="shared" si="119"/>
        <v>1.159</v>
      </c>
      <c r="M482">
        <f t="shared" si="120"/>
        <v>1.0794999999999999</v>
      </c>
      <c r="N482">
        <f t="shared" si="121"/>
        <v>577710</v>
      </c>
      <c r="O482">
        <f t="shared" si="122"/>
        <v>16940.442370000001</v>
      </c>
      <c r="P482">
        <f t="shared" si="123"/>
        <v>5150</v>
      </c>
      <c r="Q482">
        <f t="shared" si="124"/>
        <v>0.8</v>
      </c>
    </row>
    <row r="483" spans="1:17" x14ac:dyDescent="0.25">
      <c r="A483">
        <v>481</v>
      </c>
      <c r="B483">
        <f t="shared" si="125"/>
        <v>17</v>
      </c>
      <c r="C483">
        <f t="shared" si="126"/>
        <v>1</v>
      </c>
      <c r="D483">
        <f t="shared" si="112"/>
        <v>1370</v>
      </c>
      <c r="E483" t="str">
        <f t="shared" si="113"/>
        <v/>
      </c>
      <c r="F483" t="str">
        <f t="shared" si="114"/>
        <v/>
      </c>
      <c r="G483">
        <f t="shared" si="115"/>
        <v>24000</v>
      </c>
      <c r="H483" t="str">
        <f t="shared" si="116"/>
        <v/>
      </c>
      <c r="I483" t="str">
        <f t="shared" si="117"/>
        <v/>
      </c>
      <c r="J483">
        <f>SUM($G$3:I483)</f>
        <v>2912550</v>
      </c>
      <c r="K483">
        <f t="shared" si="118"/>
        <v>13700</v>
      </c>
      <c r="L483">
        <f t="shared" si="119"/>
        <v>1.159</v>
      </c>
      <c r="M483">
        <f t="shared" si="120"/>
        <v>1.0794999999999999</v>
      </c>
      <c r="N483">
        <f t="shared" si="121"/>
        <v>582510</v>
      </c>
      <c r="O483">
        <f t="shared" si="122"/>
        <v>17140.62485</v>
      </c>
      <c r="P483">
        <f t="shared" si="123"/>
        <v>5150</v>
      </c>
      <c r="Q483">
        <f t="shared" si="124"/>
        <v>0.8</v>
      </c>
    </row>
    <row r="484" spans="1:17" x14ac:dyDescent="0.25">
      <c r="A484">
        <v>482</v>
      </c>
      <c r="B484">
        <f t="shared" si="125"/>
        <v>17</v>
      </c>
      <c r="C484">
        <f t="shared" si="126"/>
        <v>1</v>
      </c>
      <c r="D484">
        <f t="shared" si="112"/>
        <v>1387</v>
      </c>
      <c r="E484" t="str">
        <f t="shared" si="113"/>
        <v/>
      </c>
      <c r="F484" t="str">
        <f t="shared" si="114"/>
        <v/>
      </c>
      <c r="G484">
        <f t="shared" si="115"/>
        <v>24190</v>
      </c>
      <c r="H484" t="str">
        <f t="shared" si="116"/>
        <v/>
      </c>
      <c r="I484" t="str">
        <f t="shared" si="117"/>
        <v/>
      </c>
      <c r="J484">
        <f>SUM($G$3:I484)</f>
        <v>2936740</v>
      </c>
      <c r="K484">
        <f t="shared" si="118"/>
        <v>13869.999999999998</v>
      </c>
      <c r="L484">
        <f t="shared" si="119"/>
        <v>1.159</v>
      </c>
      <c r="M484">
        <f t="shared" si="120"/>
        <v>1.0794999999999999</v>
      </c>
      <c r="N484">
        <f t="shared" si="121"/>
        <v>587348</v>
      </c>
      <c r="O484">
        <f t="shared" si="122"/>
        <v>17353.318734999997</v>
      </c>
      <c r="P484">
        <f t="shared" si="123"/>
        <v>5150</v>
      </c>
      <c r="Q484">
        <f t="shared" si="124"/>
        <v>0.8</v>
      </c>
    </row>
    <row r="485" spans="1:17" x14ac:dyDescent="0.25">
      <c r="A485">
        <v>483</v>
      </c>
      <c r="B485">
        <f t="shared" si="125"/>
        <v>17</v>
      </c>
      <c r="C485">
        <f t="shared" si="126"/>
        <v>1</v>
      </c>
      <c r="D485">
        <f t="shared" si="112"/>
        <v>1404</v>
      </c>
      <c r="E485" t="str">
        <f t="shared" si="113"/>
        <v/>
      </c>
      <c r="F485" t="str">
        <f t="shared" si="114"/>
        <v/>
      </c>
      <c r="G485">
        <f t="shared" si="115"/>
        <v>24380</v>
      </c>
      <c r="H485" t="str">
        <f t="shared" si="116"/>
        <v/>
      </c>
      <c r="I485" t="str">
        <f t="shared" si="117"/>
        <v/>
      </c>
      <c r="J485">
        <f>SUM($G$3:I485)</f>
        <v>2961120</v>
      </c>
      <c r="K485">
        <f t="shared" si="118"/>
        <v>14040</v>
      </c>
      <c r="L485">
        <f t="shared" si="119"/>
        <v>1.159</v>
      </c>
      <c r="M485">
        <f t="shared" si="120"/>
        <v>1.0794999999999999</v>
      </c>
      <c r="N485">
        <f t="shared" si="121"/>
        <v>592224</v>
      </c>
      <c r="O485">
        <f t="shared" si="122"/>
        <v>17566.012619999998</v>
      </c>
      <c r="P485">
        <f t="shared" si="123"/>
        <v>5150</v>
      </c>
      <c r="Q485">
        <f t="shared" si="124"/>
        <v>0.8</v>
      </c>
    </row>
    <row r="486" spans="1:17" x14ac:dyDescent="0.25">
      <c r="A486">
        <v>484</v>
      </c>
      <c r="B486">
        <f t="shared" si="125"/>
        <v>17</v>
      </c>
      <c r="C486">
        <f t="shared" si="126"/>
        <v>1</v>
      </c>
      <c r="D486">
        <f t="shared" si="112"/>
        <v>1421</v>
      </c>
      <c r="E486" t="str">
        <f t="shared" si="113"/>
        <v/>
      </c>
      <c r="F486" t="str">
        <f t="shared" si="114"/>
        <v/>
      </c>
      <c r="G486">
        <f t="shared" si="115"/>
        <v>24570</v>
      </c>
      <c r="H486" t="str">
        <f t="shared" si="116"/>
        <v/>
      </c>
      <c r="I486" t="str">
        <f t="shared" si="117"/>
        <v/>
      </c>
      <c r="J486">
        <f>SUM($G$3:I486)</f>
        <v>2985690</v>
      </c>
      <c r="K486">
        <f t="shared" si="118"/>
        <v>14210</v>
      </c>
      <c r="L486">
        <f t="shared" si="119"/>
        <v>1.159</v>
      </c>
      <c r="M486">
        <f t="shared" si="120"/>
        <v>1.0794999999999999</v>
      </c>
      <c r="N486">
        <f t="shared" si="121"/>
        <v>597138</v>
      </c>
      <c r="O486">
        <f t="shared" si="122"/>
        <v>17778.706504999998</v>
      </c>
      <c r="P486">
        <f t="shared" si="123"/>
        <v>5150</v>
      </c>
      <c r="Q486">
        <f t="shared" si="124"/>
        <v>0.8</v>
      </c>
    </row>
    <row r="487" spans="1:17" x14ac:dyDescent="0.25">
      <c r="A487">
        <v>485</v>
      </c>
      <c r="B487">
        <f t="shared" si="125"/>
        <v>17</v>
      </c>
      <c r="C487">
        <f t="shared" si="126"/>
        <v>1</v>
      </c>
      <c r="D487">
        <f t="shared" si="112"/>
        <v>1438</v>
      </c>
      <c r="E487" t="str">
        <f t="shared" si="113"/>
        <v/>
      </c>
      <c r="F487" t="str">
        <f t="shared" si="114"/>
        <v/>
      </c>
      <c r="G487">
        <f t="shared" si="115"/>
        <v>24760</v>
      </c>
      <c r="H487" t="str">
        <f t="shared" si="116"/>
        <v/>
      </c>
      <c r="I487" t="str">
        <f t="shared" si="117"/>
        <v/>
      </c>
      <c r="J487">
        <f>SUM($G$3:I487)</f>
        <v>3010450</v>
      </c>
      <c r="K487">
        <f t="shared" si="118"/>
        <v>14380.000000000002</v>
      </c>
      <c r="L487">
        <f t="shared" si="119"/>
        <v>1.159</v>
      </c>
      <c r="M487">
        <f t="shared" si="120"/>
        <v>1.0794999999999999</v>
      </c>
      <c r="N487">
        <f t="shared" si="121"/>
        <v>602090</v>
      </c>
      <c r="O487">
        <f t="shared" si="122"/>
        <v>17991.400389999999</v>
      </c>
      <c r="P487">
        <f t="shared" si="123"/>
        <v>5150</v>
      </c>
      <c r="Q487">
        <f t="shared" si="124"/>
        <v>0.8</v>
      </c>
    </row>
    <row r="488" spans="1:17" x14ac:dyDescent="0.25">
      <c r="A488">
        <v>486</v>
      </c>
      <c r="B488">
        <f t="shared" si="125"/>
        <v>17</v>
      </c>
      <c r="C488">
        <f t="shared" si="126"/>
        <v>1</v>
      </c>
      <c r="D488">
        <f t="shared" si="112"/>
        <v>1455</v>
      </c>
      <c r="E488" t="str">
        <f t="shared" si="113"/>
        <v/>
      </c>
      <c r="F488" t="str">
        <f t="shared" si="114"/>
        <v/>
      </c>
      <c r="G488">
        <f t="shared" si="115"/>
        <v>24950</v>
      </c>
      <c r="H488" t="str">
        <f t="shared" si="116"/>
        <v/>
      </c>
      <c r="I488" t="str">
        <f t="shared" si="117"/>
        <v/>
      </c>
      <c r="J488">
        <f>SUM($G$3:I488)</f>
        <v>3035400</v>
      </c>
      <c r="K488">
        <f t="shared" si="118"/>
        <v>14550</v>
      </c>
      <c r="L488">
        <f t="shared" si="119"/>
        <v>1.159</v>
      </c>
      <c r="M488">
        <f t="shared" si="120"/>
        <v>1.0794999999999999</v>
      </c>
      <c r="N488">
        <f t="shared" si="121"/>
        <v>607080</v>
      </c>
      <c r="O488">
        <f t="shared" si="122"/>
        <v>18204.094274999999</v>
      </c>
      <c r="P488">
        <f t="shared" si="123"/>
        <v>5150</v>
      </c>
      <c r="Q488">
        <f t="shared" si="124"/>
        <v>0.8</v>
      </c>
    </row>
    <row r="489" spans="1:17" x14ac:dyDescent="0.25">
      <c r="A489">
        <v>487</v>
      </c>
      <c r="B489">
        <f t="shared" si="125"/>
        <v>17</v>
      </c>
      <c r="C489">
        <f t="shared" si="126"/>
        <v>1</v>
      </c>
      <c r="D489">
        <f t="shared" si="112"/>
        <v>1472</v>
      </c>
      <c r="E489" t="str">
        <f t="shared" si="113"/>
        <v/>
      </c>
      <c r="F489" t="str">
        <f t="shared" si="114"/>
        <v/>
      </c>
      <c r="G489">
        <f t="shared" si="115"/>
        <v>25140</v>
      </c>
      <c r="H489" t="str">
        <f t="shared" si="116"/>
        <v/>
      </c>
      <c r="I489" t="str">
        <f t="shared" si="117"/>
        <v/>
      </c>
      <c r="J489">
        <f>SUM($G$3:I489)</f>
        <v>3060540</v>
      </c>
      <c r="K489">
        <f t="shared" si="118"/>
        <v>14719.999999999998</v>
      </c>
      <c r="L489">
        <f t="shared" si="119"/>
        <v>1.159</v>
      </c>
      <c r="M489">
        <f t="shared" si="120"/>
        <v>1.0794999999999999</v>
      </c>
      <c r="N489">
        <f t="shared" si="121"/>
        <v>612108</v>
      </c>
      <c r="O489">
        <f t="shared" si="122"/>
        <v>18416.788159999996</v>
      </c>
      <c r="P489">
        <f t="shared" si="123"/>
        <v>5150</v>
      </c>
      <c r="Q489">
        <f t="shared" si="124"/>
        <v>0.8</v>
      </c>
    </row>
    <row r="490" spans="1:17" x14ac:dyDescent="0.25">
      <c r="A490">
        <v>488</v>
      </c>
      <c r="B490">
        <f t="shared" si="125"/>
        <v>17</v>
      </c>
      <c r="C490">
        <f t="shared" si="126"/>
        <v>1</v>
      </c>
      <c r="D490">
        <f t="shared" si="112"/>
        <v>1489</v>
      </c>
      <c r="E490" t="str">
        <f t="shared" si="113"/>
        <v/>
      </c>
      <c r="F490" t="str">
        <f t="shared" si="114"/>
        <v/>
      </c>
      <c r="G490">
        <f t="shared" si="115"/>
        <v>25330</v>
      </c>
      <c r="H490" t="str">
        <f t="shared" si="116"/>
        <v/>
      </c>
      <c r="I490" t="str">
        <f t="shared" si="117"/>
        <v/>
      </c>
      <c r="J490">
        <f>SUM($G$3:I490)</f>
        <v>3085870</v>
      </c>
      <c r="K490">
        <f t="shared" si="118"/>
        <v>14890</v>
      </c>
      <c r="L490">
        <f t="shared" si="119"/>
        <v>1.159</v>
      </c>
      <c r="M490">
        <f t="shared" si="120"/>
        <v>1.0794999999999999</v>
      </c>
      <c r="N490">
        <f t="shared" si="121"/>
        <v>617174</v>
      </c>
      <c r="O490">
        <f t="shared" si="122"/>
        <v>18629.482045000001</v>
      </c>
      <c r="P490">
        <f t="shared" si="123"/>
        <v>5150</v>
      </c>
      <c r="Q490">
        <f t="shared" si="124"/>
        <v>0.8</v>
      </c>
    </row>
    <row r="491" spans="1:17" x14ac:dyDescent="0.25">
      <c r="A491">
        <v>489</v>
      </c>
      <c r="B491">
        <f t="shared" si="125"/>
        <v>17</v>
      </c>
      <c r="C491">
        <f t="shared" si="126"/>
        <v>1</v>
      </c>
      <c r="D491">
        <f t="shared" si="112"/>
        <v>1506</v>
      </c>
      <c r="E491" t="str">
        <f t="shared" si="113"/>
        <v/>
      </c>
      <c r="F491" t="str">
        <f t="shared" si="114"/>
        <v/>
      </c>
      <c r="G491">
        <f t="shared" si="115"/>
        <v>25520</v>
      </c>
      <c r="H491" t="str">
        <f t="shared" si="116"/>
        <v/>
      </c>
      <c r="I491" t="str">
        <f t="shared" si="117"/>
        <v/>
      </c>
      <c r="J491">
        <f>SUM($G$3:I491)</f>
        <v>3111390</v>
      </c>
      <c r="K491">
        <f t="shared" si="118"/>
        <v>15060</v>
      </c>
      <c r="L491">
        <f t="shared" si="119"/>
        <v>1.159</v>
      </c>
      <c r="M491">
        <f t="shared" si="120"/>
        <v>1.0794999999999999</v>
      </c>
      <c r="N491">
        <f t="shared" si="121"/>
        <v>622278</v>
      </c>
      <c r="O491">
        <f t="shared" si="122"/>
        <v>18842.175929999998</v>
      </c>
      <c r="P491">
        <f t="shared" si="123"/>
        <v>5150</v>
      </c>
      <c r="Q491">
        <f t="shared" si="124"/>
        <v>0.8</v>
      </c>
    </row>
    <row r="492" spans="1:17" x14ac:dyDescent="0.25">
      <c r="A492">
        <v>490</v>
      </c>
      <c r="B492">
        <f t="shared" si="125"/>
        <v>17</v>
      </c>
      <c r="C492">
        <f t="shared" si="126"/>
        <v>1</v>
      </c>
      <c r="D492">
        <f t="shared" si="112"/>
        <v>1523</v>
      </c>
      <c r="E492" t="str">
        <f t="shared" si="113"/>
        <v/>
      </c>
      <c r="F492" t="str">
        <f t="shared" si="114"/>
        <v/>
      </c>
      <c r="G492">
        <f t="shared" si="115"/>
        <v>25710</v>
      </c>
      <c r="H492" t="str">
        <f t="shared" si="116"/>
        <v/>
      </c>
      <c r="I492" t="str">
        <f t="shared" si="117"/>
        <v/>
      </c>
      <c r="J492">
        <f>SUM($G$3:I492)</f>
        <v>3137100</v>
      </c>
      <c r="K492">
        <f t="shared" si="118"/>
        <v>15230.000000000002</v>
      </c>
      <c r="L492">
        <f t="shared" si="119"/>
        <v>1.159</v>
      </c>
      <c r="M492">
        <f t="shared" si="120"/>
        <v>1.0794999999999999</v>
      </c>
      <c r="N492">
        <f t="shared" si="121"/>
        <v>627420</v>
      </c>
      <c r="O492">
        <f t="shared" si="122"/>
        <v>19054.869815000002</v>
      </c>
      <c r="P492">
        <f t="shared" si="123"/>
        <v>5900</v>
      </c>
      <c r="Q492">
        <f t="shared" si="124"/>
        <v>0.8</v>
      </c>
    </row>
    <row r="493" spans="1:17" x14ac:dyDescent="0.25">
      <c r="A493">
        <v>491</v>
      </c>
      <c r="B493">
        <f t="shared" si="125"/>
        <v>17</v>
      </c>
      <c r="C493">
        <f t="shared" si="126"/>
        <v>2</v>
      </c>
      <c r="D493" t="str">
        <f t="shared" si="112"/>
        <v/>
      </c>
      <c r="E493">
        <f t="shared" si="113"/>
        <v>1600</v>
      </c>
      <c r="F493" t="str">
        <f t="shared" si="114"/>
        <v/>
      </c>
      <c r="G493" t="str">
        <f t="shared" si="115"/>
        <v/>
      </c>
      <c r="H493">
        <f t="shared" si="116"/>
        <v>16000</v>
      </c>
      <c r="I493" t="str">
        <f t="shared" si="117"/>
        <v/>
      </c>
      <c r="J493">
        <f>SUM($G$3:I493)</f>
        <v>3153100</v>
      </c>
      <c r="K493">
        <f t="shared" si="118"/>
        <v>15230.000000000002</v>
      </c>
      <c r="L493">
        <f t="shared" si="119"/>
        <v>1.1599999999999999</v>
      </c>
      <c r="M493">
        <f t="shared" si="120"/>
        <v>1.0794999999999999</v>
      </c>
      <c r="N493">
        <f t="shared" si="121"/>
        <v>630620</v>
      </c>
      <c r="O493">
        <f t="shared" si="122"/>
        <v>19071.310599999997</v>
      </c>
      <c r="P493">
        <f t="shared" si="123"/>
        <v>5900</v>
      </c>
      <c r="Q493">
        <f t="shared" si="124"/>
        <v>0.8</v>
      </c>
    </row>
    <row r="494" spans="1:17" x14ac:dyDescent="0.25">
      <c r="A494">
        <v>492</v>
      </c>
      <c r="B494">
        <f t="shared" si="125"/>
        <v>17</v>
      </c>
      <c r="C494">
        <f t="shared" si="126"/>
        <v>2</v>
      </c>
      <c r="D494" t="str">
        <f t="shared" si="112"/>
        <v/>
      </c>
      <c r="E494">
        <f t="shared" si="113"/>
        <v>1610</v>
      </c>
      <c r="F494" t="str">
        <f t="shared" si="114"/>
        <v/>
      </c>
      <c r="G494" t="str">
        <f t="shared" si="115"/>
        <v/>
      </c>
      <c r="H494">
        <f t="shared" si="116"/>
        <v>16127</v>
      </c>
      <c r="I494" t="str">
        <f t="shared" si="117"/>
        <v/>
      </c>
      <c r="J494">
        <f>SUM($G$3:I494)</f>
        <v>3169227</v>
      </c>
      <c r="K494">
        <f t="shared" si="118"/>
        <v>15230.000000000002</v>
      </c>
      <c r="L494">
        <f t="shared" si="119"/>
        <v>1.161</v>
      </c>
      <c r="M494">
        <f t="shared" si="120"/>
        <v>1.0794999999999999</v>
      </c>
      <c r="N494">
        <f t="shared" si="121"/>
        <v>633845.4</v>
      </c>
      <c r="O494">
        <f t="shared" si="122"/>
        <v>19087.751385</v>
      </c>
      <c r="P494">
        <f t="shared" si="123"/>
        <v>5900</v>
      </c>
      <c r="Q494">
        <f t="shared" si="124"/>
        <v>0.8</v>
      </c>
    </row>
    <row r="495" spans="1:17" x14ac:dyDescent="0.25">
      <c r="A495">
        <v>493</v>
      </c>
      <c r="B495">
        <f t="shared" si="125"/>
        <v>17</v>
      </c>
      <c r="C495">
        <f t="shared" si="126"/>
        <v>2</v>
      </c>
      <c r="D495" t="str">
        <f t="shared" si="112"/>
        <v/>
      </c>
      <c r="E495">
        <f t="shared" si="113"/>
        <v>1620</v>
      </c>
      <c r="F495" t="str">
        <f t="shared" si="114"/>
        <v/>
      </c>
      <c r="G495" t="str">
        <f t="shared" si="115"/>
        <v/>
      </c>
      <c r="H495">
        <f t="shared" si="116"/>
        <v>16254</v>
      </c>
      <c r="I495" t="str">
        <f t="shared" si="117"/>
        <v/>
      </c>
      <c r="J495">
        <f>SUM($G$3:I495)</f>
        <v>3185481</v>
      </c>
      <c r="K495">
        <f t="shared" si="118"/>
        <v>15230.000000000002</v>
      </c>
      <c r="L495">
        <f t="shared" si="119"/>
        <v>1.1619999999999999</v>
      </c>
      <c r="M495">
        <f t="shared" si="120"/>
        <v>1.0794999999999999</v>
      </c>
      <c r="N495">
        <f t="shared" si="121"/>
        <v>637096.20000000007</v>
      </c>
      <c r="O495">
        <f t="shared" si="122"/>
        <v>19104.192170000002</v>
      </c>
      <c r="P495">
        <f t="shared" si="123"/>
        <v>5900</v>
      </c>
      <c r="Q495">
        <f t="shared" si="124"/>
        <v>0.8</v>
      </c>
    </row>
    <row r="496" spans="1:17" x14ac:dyDescent="0.25">
      <c r="A496">
        <v>494</v>
      </c>
      <c r="B496">
        <f t="shared" si="125"/>
        <v>17</v>
      </c>
      <c r="C496">
        <f t="shared" si="126"/>
        <v>2</v>
      </c>
      <c r="D496" t="str">
        <f t="shared" si="112"/>
        <v/>
      </c>
      <c r="E496">
        <f t="shared" si="113"/>
        <v>1630</v>
      </c>
      <c r="F496" t="str">
        <f t="shared" si="114"/>
        <v/>
      </c>
      <c r="G496" t="str">
        <f t="shared" si="115"/>
        <v/>
      </c>
      <c r="H496">
        <f t="shared" si="116"/>
        <v>16381</v>
      </c>
      <c r="I496" t="str">
        <f t="shared" si="117"/>
        <v/>
      </c>
      <c r="J496">
        <f>SUM($G$3:I496)</f>
        <v>3201862</v>
      </c>
      <c r="K496">
        <f t="shared" si="118"/>
        <v>15230.000000000002</v>
      </c>
      <c r="L496">
        <f t="shared" si="119"/>
        <v>1.163</v>
      </c>
      <c r="M496">
        <f t="shared" si="120"/>
        <v>1.0794999999999999</v>
      </c>
      <c r="N496">
        <f t="shared" si="121"/>
        <v>640372.4</v>
      </c>
      <c r="O496">
        <f t="shared" si="122"/>
        <v>19120.632955000001</v>
      </c>
      <c r="P496">
        <f t="shared" si="123"/>
        <v>5900</v>
      </c>
      <c r="Q496">
        <f t="shared" si="124"/>
        <v>0.8</v>
      </c>
    </row>
    <row r="497" spans="1:17" x14ac:dyDescent="0.25">
      <c r="A497">
        <v>495</v>
      </c>
      <c r="B497">
        <f t="shared" si="125"/>
        <v>17</v>
      </c>
      <c r="C497">
        <f t="shared" si="126"/>
        <v>2</v>
      </c>
      <c r="D497" t="str">
        <f t="shared" si="112"/>
        <v/>
      </c>
      <c r="E497">
        <f t="shared" si="113"/>
        <v>1640</v>
      </c>
      <c r="F497" t="str">
        <f t="shared" si="114"/>
        <v/>
      </c>
      <c r="G497" t="str">
        <f t="shared" si="115"/>
        <v/>
      </c>
      <c r="H497">
        <f t="shared" si="116"/>
        <v>16508</v>
      </c>
      <c r="I497" t="str">
        <f t="shared" si="117"/>
        <v/>
      </c>
      <c r="J497">
        <f>SUM($G$3:I497)</f>
        <v>3218370</v>
      </c>
      <c r="K497">
        <f t="shared" si="118"/>
        <v>15230.000000000002</v>
      </c>
      <c r="L497">
        <f t="shared" si="119"/>
        <v>1.1639999999999999</v>
      </c>
      <c r="M497">
        <f t="shared" si="120"/>
        <v>1.0794999999999999</v>
      </c>
      <c r="N497">
        <f t="shared" si="121"/>
        <v>643674</v>
      </c>
      <c r="O497">
        <f t="shared" si="122"/>
        <v>19137.07374</v>
      </c>
      <c r="P497">
        <f t="shared" si="123"/>
        <v>5900</v>
      </c>
      <c r="Q497">
        <f t="shared" si="124"/>
        <v>0.8</v>
      </c>
    </row>
    <row r="498" spans="1:17" x14ac:dyDescent="0.25">
      <c r="A498">
        <v>496</v>
      </c>
      <c r="B498">
        <f t="shared" si="125"/>
        <v>17</v>
      </c>
      <c r="C498">
        <f t="shared" si="126"/>
        <v>2</v>
      </c>
      <c r="D498" t="str">
        <f t="shared" si="112"/>
        <v/>
      </c>
      <c r="E498">
        <f t="shared" si="113"/>
        <v>1650</v>
      </c>
      <c r="F498" t="str">
        <f t="shared" si="114"/>
        <v/>
      </c>
      <c r="G498" t="str">
        <f t="shared" si="115"/>
        <v/>
      </c>
      <c r="H498">
        <f t="shared" si="116"/>
        <v>16635</v>
      </c>
      <c r="I498" t="str">
        <f t="shared" si="117"/>
        <v/>
      </c>
      <c r="J498">
        <f>SUM($G$3:I498)</f>
        <v>3235005</v>
      </c>
      <c r="K498">
        <f t="shared" si="118"/>
        <v>15230.000000000002</v>
      </c>
      <c r="L498">
        <f t="shared" si="119"/>
        <v>1.165</v>
      </c>
      <c r="M498">
        <f t="shared" si="120"/>
        <v>1.0794999999999999</v>
      </c>
      <c r="N498">
        <f t="shared" si="121"/>
        <v>647001</v>
      </c>
      <c r="O498">
        <f t="shared" si="122"/>
        <v>19153.514525000002</v>
      </c>
      <c r="P498">
        <f t="shared" si="123"/>
        <v>5900</v>
      </c>
      <c r="Q498">
        <f t="shared" si="124"/>
        <v>0.8</v>
      </c>
    </row>
    <row r="499" spans="1:17" x14ac:dyDescent="0.25">
      <c r="A499">
        <v>497</v>
      </c>
      <c r="B499">
        <f t="shared" si="125"/>
        <v>17</v>
      </c>
      <c r="C499">
        <f t="shared" si="126"/>
        <v>2</v>
      </c>
      <c r="D499" t="str">
        <f t="shared" si="112"/>
        <v/>
      </c>
      <c r="E499">
        <f t="shared" si="113"/>
        <v>1660</v>
      </c>
      <c r="F499" t="str">
        <f t="shared" si="114"/>
        <v/>
      </c>
      <c r="G499" t="str">
        <f t="shared" si="115"/>
        <v/>
      </c>
      <c r="H499">
        <f t="shared" si="116"/>
        <v>16762</v>
      </c>
      <c r="I499" t="str">
        <f t="shared" si="117"/>
        <v/>
      </c>
      <c r="J499">
        <f>SUM($G$3:I499)</f>
        <v>3251767</v>
      </c>
      <c r="K499">
        <f t="shared" si="118"/>
        <v>15230.000000000002</v>
      </c>
      <c r="L499">
        <f t="shared" si="119"/>
        <v>1.1659999999999999</v>
      </c>
      <c r="M499">
        <f t="shared" si="120"/>
        <v>1.0794999999999999</v>
      </c>
      <c r="N499">
        <f t="shared" si="121"/>
        <v>650353.4</v>
      </c>
      <c r="O499">
        <f t="shared" si="122"/>
        <v>19169.955309999998</v>
      </c>
      <c r="P499">
        <f t="shared" si="123"/>
        <v>5900</v>
      </c>
      <c r="Q499">
        <f t="shared" si="124"/>
        <v>0.8</v>
      </c>
    </row>
    <row r="500" spans="1:17" x14ac:dyDescent="0.25">
      <c r="A500">
        <v>498</v>
      </c>
      <c r="B500">
        <f t="shared" si="125"/>
        <v>17</v>
      </c>
      <c r="C500">
        <f t="shared" si="126"/>
        <v>2</v>
      </c>
      <c r="D500" t="str">
        <f t="shared" si="112"/>
        <v/>
      </c>
      <c r="E500">
        <f t="shared" si="113"/>
        <v>1670</v>
      </c>
      <c r="F500" t="str">
        <f t="shared" si="114"/>
        <v/>
      </c>
      <c r="G500" t="str">
        <f t="shared" si="115"/>
        <v/>
      </c>
      <c r="H500">
        <f t="shared" si="116"/>
        <v>16889</v>
      </c>
      <c r="I500" t="str">
        <f t="shared" si="117"/>
        <v/>
      </c>
      <c r="J500">
        <f>SUM($G$3:I500)</f>
        <v>3268656</v>
      </c>
      <c r="K500">
        <f t="shared" si="118"/>
        <v>15230.000000000002</v>
      </c>
      <c r="L500">
        <f t="shared" si="119"/>
        <v>1.167</v>
      </c>
      <c r="M500">
        <f t="shared" si="120"/>
        <v>1.0794999999999999</v>
      </c>
      <c r="N500">
        <f t="shared" si="121"/>
        <v>653731.20000000007</v>
      </c>
      <c r="O500">
        <f t="shared" si="122"/>
        <v>19186.396095000004</v>
      </c>
      <c r="P500">
        <f t="shared" si="123"/>
        <v>5900</v>
      </c>
      <c r="Q500">
        <f t="shared" si="124"/>
        <v>0.8</v>
      </c>
    </row>
    <row r="501" spans="1:17" x14ac:dyDescent="0.25">
      <c r="A501">
        <v>499</v>
      </c>
      <c r="B501">
        <f t="shared" si="125"/>
        <v>17</v>
      </c>
      <c r="C501">
        <f t="shared" si="126"/>
        <v>2</v>
      </c>
      <c r="D501" t="str">
        <f t="shared" si="112"/>
        <v/>
      </c>
      <c r="E501">
        <f t="shared" si="113"/>
        <v>1680</v>
      </c>
      <c r="F501" t="str">
        <f t="shared" si="114"/>
        <v/>
      </c>
      <c r="G501" t="str">
        <f t="shared" si="115"/>
        <v/>
      </c>
      <c r="H501">
        <f t="shared" si="116"/>
        <v>17016</v>
      </c>
      <c r="I501" t="str">
        <f t="shared" si="117"/>
        <v/>
      </c>
      <c r="J501">
        <f>SUM($G$3:I501)</f>
        <v>3285672</v>
      </c>
      <c r="K501">
        <f t="shared" si="118"/>
        <v>15230.000000000002</v>
      </c>
      <c r="L501">
        <f t="shared" si="119"/>
        <v>1.1679999999999999</v>
      </c>
      <c r="M501">
        <f t="shared" si="120"/>
        <v>1.0794999999999999</v>
      </c>
      <c r="N501">
        <f t="shared" si="121"/>
        <v>657134.4</v>
      </c>
      <c r="O501">
        <f t="shared" si="122"/>
        <v>19202.836879999999</v>
      </c>
      <c r="P501">
        <f t="shared" si="123"/>
        <v>5900</v>
      </c>
      <c r="Q501">
        <f t="shared" si="124"/>
        <v>0.8</v>
      </c>
    </row>
    <row r="502" spans="1:17" x14ac:dyDescent="0.25">
      <c r="A502">
        <v>500</v>
      </c>
      <c r="B502">
        <f t="shared" si="125"/>
        <v>17</v>
      </c>
      <c r="C502">
        <f t="shared" si="126"/>
        <v>2</v>
      </c>
      <c r="D502" t="str">
        <f t="shared" si="112"/>
        <v/>
      </c>
      <c r="E502">
        <f t="shared" si="113"/>
        <v>1690</v>
      </c>
      <c r="F502" t="str">
        <f t="shared" si="114"/>
        <v/>
      </c>
      <c r="G502" t="str">
        <f t="shared" si="115"/>
        <v/>
      </c>
      <c r="H502">
        <f t="shared" si="116"/>
        <v>17143</v>
      </c>
      <c r="I502" t="str">
        <f t="shared" si="117"/>
        <v/>
      </c>
      <c r="J502">
        <f>SUM($G$3:I502)</f>
        <v>3302815</v>
      </c>
      <c r="K502">
        <f t="shared" si="118"/>
        <v>15230.000000000002</v>
      </c>
      <c r="L502">
        <f t="shared" si="119"/>
        <v>1.169</v>
      </c>
      <c r="M502">
        <f t="shared" si="120"/>
        <v>1.0794999999999999</v>
      </c>
      <c r="N502">
        <f t="shared" si="121"/>
        <v>660563</v>
      </c>
      <c r="O502">
        <f t="shared" si="122"/>
        <v>19219.277665000001</v>
      </c>
      <c r="P502">
        <f t="shared" si="123"/>
        <v>5900</v>
      </c>
      <c r="Q502">
        <f t="shared" si="124"/>
        <v>0.8</v>
      </c>
    </row>
    <row r="503" spans="1:17" x14ac:dyDescent="0.25">
      <c r="A503">
        <v>501</v>
      </c>
      <c r="B503">
        <f t="shared" si="125"/>
        <v>17</v>
      </c>
      <c r="C503">
        <f t="shared" si="126"/>
        <v>3</v>
      </c>
      <c r="D503" t="str">
        <f t="shared" si="112"/>
        <v/>
      </c>
      <c r="E503" t="str">
        <f t="shared" si="113"/>
        <v/>
      </c>
      <c r="F503">
        <f t="shared" si="114"/>
        <v>800</v>
      </c>
      <c r="G503" t="str">
        <f t="shared" si="115"/>
        <v/>
      </c>
      <c r="H503" t="str">
        <f t="shared" si="116"/>
        <v/>
      </c>
      <c r="I503">
        <f t="shared" si="117"/>
        <v>11900</v>
      </c>
      <c r="J503">
        <f>SUM($G$3:I503)</f>
        <v>3314715</v>
      </c>
      <c r="K503">
        <f t="shared" si="118"/>
        <v>15230.000000000002</v>
      </c>
      <c r="L503">
        <f t="shared" si="119"/>
        <v>1.169</v>
      </c>
      <c r="M503">
        <f t="shared" si="120"/>
        <v>1.08</v>
      </c>
      <c r="N503">
        <f t="shared" si="121"/>
        <v>662943</v>
      </c>
      <c r="O503">
        <f t="shared" si="122"/>
        <v>19228.179600000003</v>
      </c>
      <c r="P503">
        <f t="shared" si="123"/>
        <v>5900</v>
      </c>
      <c r="Q503">
        <f t="shared" si="124"/>
        <v>0.8</v>
      </c>
    </row>
    <row r="504" spans="1:17" x14ac:dyDescent="0.25">
      <c r="A504">
        <v>502</v>
      </c>
      <c r="B504">
        <f t="shared" si="125"/>
        <v>17</v>
      </c>
      <c r="C504">
        <f t="shared" si="126"/>
        <v>3</v>
      </c>
      <c r="D504" t="str">
        <f t="shared" si="112"/>
        <v/>
      </c>
      <c r="E504" t="str">
        <f t="shared" si="113"/>
        <v/>
      </c>
      <c r="F504">
        <f t="shared" si="114"/>
        <v>805</v>
      </c>
      <c r="G504" t="str">
        <f t="shared" si="115"/>
        <v/>
      </c>
      <c r="H504" t="str">
        <f t="shared" si="116"/>
        <v/>
      </c>
      <c r="I504">
        <f t="shared" si="117"/>
        <v>12050</v>
      </c>
      <c r="J504">
        <f>SUM($G$3:I504)</f>
        <v>3326765</v>
      </c>
      <c r="K504">
        <f t="shared" si="118"/>
        <v>15230.000000000002</v>
      </c>
      <c r="L504">
        <f t="shared" si="119"/>
        <v>1.169</v>
      </c>
      <c r="M504">
        <f t="shared" si="120"/>
        <v>1.0805</v>
      </c>
      <c r="N504">
        <f t="shared" si="121"/>
        <v>665353</v>
      </c>
      <c r="O504">
        <f t="shared" si="122"/>
        <v>19237.081535000005</v>
      </c>
      <c r="P504">
        <f t="shared" si="123"/>
        <v>5900</v>
      </c>
      <c r="Q504">
        <f t="shared" si="124"/>
        <v>0.8</v>
      </c>
    </row>
    <row r="505" spans="1:17" x14ac:dyDescent="0.25">
      <c r="A505">
        <v>503</v>
      </c>
      <c r="B505">
        <f t="shared" si="125"/>
        <v>17</v>
      </c>
      <c r="C505">
        <f t="shared" si="126"/>
        <v>3</v>
      </c>
      <c r="D505" t="str">
        <f t="shared" si="112"/>
        <v/>
      </c>
      <c r="E505" t="str">
        <f t="shared" si="113"/>
        <v/>
      </c>
      <c r="F505">
        <f t="shared" si="114"/>
        <v>810</v>
      </c>
      <c r="G505" t="str">
        <f t="shared" si="115"/>
        <v/>
      </c>
      <c r="H505" t="str">
        <f t="shared" si="116"/>
        <v/>
      </c>
      <c r="I505">
        <f t="shared" si="117"/>
        <v>12200</v>
      </c>
      <c r="J505">
        <f>SUM($G$3:I505)</f>
        <v>3338965</v>
      </c>
      <c r="K505">
        <f t="shared" si="118"/>
        <v>15230.000000000002</v>
      </c>
      <c r="L505">
        <f t="shared" si="119"/>
        <v>1.169</v>
      </c>
      <c r="M505">
        <f t="shared" si="120"/>
        <v>1.081</v>
      </c>
      <c r="N505">
        <f t="shared" si="121"/>
        <v>667793</v>
      </c>
      <c r="O505">
        <f t="shared" si="122"/>
        <v>19245.983470000003</v>
      </c>
      <c r="P505">
        <f t="shared" si="123"/>
        <v>5900</v>
      </c>
      <c r="Q505">
        <f t="shared" si="124"/>
        <v>0.8</v>
      </c>
    </row>
    <row r="506" spans="1:17" x14ac:dyDescent="0.25">
      <c r="A506">
        <v>504</v>
      </c>
      <c r="B506">
        <f t="shared" si="125"/>
        <v>17</v>
      </c>
      <c r="C506">
        <f t="shared" si="126"/>
        <v>3</v>
      </c>
      <c r="D506" t="str">
        <f t="shared" si="112"/>
        <v/>
      </c>
      <c r="E506" t="str">
        <f t="shared" si="113"/>
        <v/>
      </c>
      <c r="F506">
        <f t="shared" si="114"/>
        <v>815</v>
      </c>
      <c r="G506" t="str">
        <f t="shared" si="115"/>
        <v/>
      </c>
      <c r="H506" t="str">
        <f t="shared" si="116"/>
        <v/>
      </c>
      <c r="I506">
        <f t="shared" si="117"/>
        <v>12350</v>
      </c>
      <c r="J506">
        <f>SUM($G$3:I506)</f>
        <v>3351315</v>
      </c>
      <c r="K506">
        <f t="shared" si="118"/>
        <v>15230.000000000002</v>
      </c>
      <c r="L506">
        <f t="shared" si="119"/>
        <v>1.169</v>
      </c>
      <c r="M506">
        <f t="shared" si="120"/>
        <v>1.0814999999999999</v>
      </c>
      <c r="N506">
        <f t="shared" si="121"/>
        <v>670263</v>
      </c>
      <c r="O506">
        <f t="shared" si="122"/>
        <v>19254.885405000001</v>
      </c>
      <c r="P506">
        <f t="shared" si="123"/>
        <v>5900</v>
      </c>
      <c r="Q506">
        <f t="shared" si="124"/>
        <v>0.8</v>
      </c>
    </row>
    <row r="507" spans="1:17" x14ac:dyDescent="0.25">
      <c r="A507">
        <v>505</v>
      </c>
      <c r="B507">
        <f t="shared" si="125"/>
        <v>17</v>
      </c>
      <c r="C507">
        <f t="shared" si="126"/>
        <v>3</v>
      </c>
      <c r="D507" t="str">
        <f t="shared" si="112"/>
        <v/>
      </c>
      <c r="E507" t="str">
        <f t="shared" si="113"/>
        <v/>
      </c>
      <c r="F507">
        <f t="shared" si="114"/>
        <v>820</v>
      </c>
      <c r="G507" t="str">
        <f t="shared" si="115"/>
        <v/>
      </c>
      <c r="H507" t="str">
        <f t="shared" si="116"/>
        <v/>
      </c>
      <c r="I507">
        <f t="shared" si="117"/>
        <v>12500</v>
      </c>
      <c r="J507">
        <f>SUM($G$3:I507)</f>
        <v>3363815</v>
      </c>
      <c r="K507">
        <f t="shared" si="118"/>
        <v>15230.000000000002</v>
      </c>
      <c r="L507">
        <f t="shared" si="119"/>
        <v>1.169</v>
      </c>
      <c r="M507">
        <f t="shared" si="120"/>
        <v>1.0820000000000001</v>
      </c>
      <c r="N507">
        <f t="shared" si="121"/>
        <v>672763</v>
      </c>
      <c r="O507">
        <f t="shared" si="122"/>
        <v>19263.787340000003</v>
      </c>
      <c r="P507">
        <f t="shared" si="123"/>
        <v>5900</v>
      </c>
      <c r="Q507">
        <f t="shared" si="124"/>
        <v>0.8</v>
      </c>
    </row>
    <row r="508" spans="1:17" x14ac:dyDescent="0.25">
      <c r="A508">
        <v>506</v>
      </c>
      <c r="B508">
        <f t="shared" si="125"/>
        <v>17</v>
      </c>
      <c r="C508">
        <f t="shared" si="126"/>
        <v>3</v>
      </c>
      <c r="D508" t="str">
        <f t="shared" si="112"/>
        <v/>
      </c>
      <c r="E508" t="str">
        <f t="shared" si="113"/>
        <v/>
      </c>
      <c r="F508">
        <f t="shared" si="114"/>
        <v>825</v>
      </c>
      <c r="G508" t="str">
        <f t="shared" si="115"/>
        <v/>
      </c>
      <c r="H508" t="str">
        <f t="shared" si="116"/>
        <v/>
      </c>
      <c r="I508">
        <f t="shared" si="117"/>
        <v>12650</v>
      </c>
      <c r="J508">
        <f>SUM($G$3:I508)</f>
        <v>3376465</v>
      </c>
      <c r="K508">
        <f t="shared" si="118"/>
        <v>15230.000000000002</v>
      </c>
      <c r="L508">
        <f t="shared" si="119"/>
        <v>1.169</v>
      </c>
      <c r="M508">
        <f t="shared" si="120"/>
        <v>1.0825</v>
      </c>
      <c r="N508">
        <f t="shared" si="121"/>
        <v>675293</v>
      </c>
      <c r="O508">
        <f t="shared" si="122"/>
        <v>19272.689275000004</v>
      </c>
      <c r="P508">
        <f t="shared" si="123"/>
        <v>5900</v>
      </c>
      <c r="Q508">
        <f t="shared" si="124"/>
        <v>0.8</v>
      </c>
    </row>
    <row r="509" spans="1:17" x14ac:dyDescent="0.25">
      <c r="A509">
        <v>507</v>
      </c>
      <c r="B509">
        <f t="shared" si="125"/>
        <v>17</v>
      </c>
      <c r="C509">
        <f t="shared" si="126"/>
        <v>3</v>
      </c>
      <c r="D509" t="str">
        <f t="shared" si="112"/>
        <v/>
      </c>
      <c r="E509" t="str">
        <f t="shared" si="113"/>
        <v/>
      </c>
      <c r="F509">
        <f t="shared" si="114"/>
        <v>830</v>
      </c>
      <c r="G509" t="str">
        <f t="shared" si="115"/>
        <v/>
      </c>
      <c r="H509" t="str">
        <f t="shared" si="116"/>
        <v/>
      </c>
      <c r="I509">
        <f t="shared" si="117"/>
        <v>12800</v>
      </c>
      <c r="J509">
        <f>SUM($G$3:I509)</f>
        <v>3389265</v>
      </c>
      <c r="K509">
        <f t="shared" si="118"/>
        <v>15230.000000000002</v>
      </c>
      <c r="L509">
        <f t="shared" si="119"/>
        <v>1.169</v>
      </c>
      <c r="M509">
        <f t="shared" si="120"/>
        <v>1.083</v>
      </c>
      <c r="N509">
        <f t="shared" si="121"/>
        <v>677853</v>
      </c>
      <c r="O509">
        <f t="shared" si="122"/>
        <v>19281.591210000002</v>
      </c>
      <c r="P509">
        <f t="shared" si="123"/>
        <v>5900</v>
      </c>
      <c r="Q509">
        <f t="shared" si="124"/>
        <v>0.8</v>
      </c>
    </row>
    <row r="510" spans="1:17" x14ac:dyDescent="0.25">
      <c r="A510">
        <v>508</v>
      </c>
      <c r="B510">
        <f t="shared" si="125"/>
        <v>17</v>
      </c>
      <c r="C510">
        <f t="shared" si="126"/>
        <v>3</v>
      </c>
      <c r="D510" t="str">
        <f t="shared" si="112"/>
        <v/>
      </c>
      <c r="E510" t="str">
        <f t="shared" si="113"/>
        <v/>
      </c>
      <c r="F510">
        <f t="shared" si="114"/>
        <v>835</v>
      </c>
      <c r="G510" t="str">
        <f t="shared" si="115"/>
        <v/>
      </c>
      <c r="H510" t="str">
        <f t="shared" si="116"/>
        <v/>
      </c>
      <c r="I510">
        <f t="shared" si="117"/>
        <v>12950</v>
      </c>
      <c r="J510">
        <f>SUM($G$3:I510)</f>
        <v>3402215</v>
      </c>
      <c r="K510">
        <f t="shared" si="118"/>
        <v>15230.000000000002</v>
      </c>
      <c r="L510">
        <f t="shared" si="119"/>
        <v>1.169</v>
      </c>
      <c r="M510">
        <f t="shared" si="120"/>
        <v>1.0834999999999999</v>
      </c>
      <c r="N510">
        <f t="shared" si="121"/>
        <v>680443</v>
      </c>
      <c r="O510">
        <f t="shared" si="122"/>
        <v>19290.493145</v>
      </c>
      <c r="P510">
        <f t="shared" si="123"/>
        <v>5900</v>
      </c>
      <c r="Q510">
        <f t="shared" si="124"/>
        <v>0.8</v>
      </c>
    </row>
    <row r="511" spans="1:17" x14ac:dyDescent="0.25">
      <c r="A511">
        <v>509</v>
      </c>
      <c r="B511">
        <f t="shared" si="125"/>
        <v>17</v>
      </c>
      <c r="C511">
        <f t="shared" si="126"/>
        <v>3</v>
      </c>
      <c r="D511" t="str">
        <f t="shared" si="112"/>
        <v/>
      </c>
      <c r="E511" t="str">
        <f t="shared" si="113"/>
        <v/>
      </c>
      <c r="F511">
        <f t="shared" si="114"/>
        <v>840</v>
      </c>
      <c r="G511" t="str">
        <f t="shared" si="115"/>
        <v/>
      </c>
      <c r="H511" t="str">
        <f t="shared" si="116"/>
        <v/>
      </c>
      <c r="I511">
        <f t="shared" si="117"/>
        <v>13100</v>
      </c>
      <c r="J511">
        <f>SUM($G$3:I511)</f>
        <v>3415315</v>
      </c>
      <c r="K511">
        <f t="shared" si="118"/>
        <v>15230.000000000002</v>
      </c>
      <c r="L511">
        <f t="shared" si="119"/>
        <v>1.169</v>
      </c>
      <c r="M511">
        <f t="shared" si="120"/>
        <v>1.0840000000000001</v>
      </c>
      <c r="N511">
        <f t="shared" si="121"/>
        <v>683063</v>
      </c>
      <c r="O511">
        <f t="shared" si="122"/>
        <v>19299.395080000006</v>
      </c>
      <c r="P511">
        <f t="shared" si="123"/>
        <v>5900</v>
      </c>
      <c r="Q511">
        <f t="shared" si="124"/>
        <v>0.8</v>
      </c>
    </row>
    <row r="512" spans="1:17" x14ac:dyDescent="0.25">
      <c r="A512">
        <v>510</v>
      </c>
      <c r="B512">
        <f t="shared" si="125"/>
        <v>17</v>
      </c>
      <c r="C512">
        <f t="shared" si="126"/>
        <v>3</v>
      </c>
      <c r="D512" t="str">
        <f t="shared" si="112"/>
        <v/>
      </c>
      <c r="E512" t="str">
        <f t="shared" si="113"/>
        <v/>
      </c>
      <c r="F512">
        <f t="shared" si="114"/>
        <v>845</v>
      </c>
      <c r="G512" t="str">
        <f t="shared" si="115"/>
        <v/>
      </c>
      <c r="H512" t="str">
        <f t="shared" si="116"/>
        <v/>
      </c>
      <c r="I512">
        <f t="shared" si="117"/>
        <v>13250</v>
      </c>
      <c r="J512">
        <f>SUM($G$3:I512)</f>
        <v>3428565</v>
      </c>
      <c r="K512">
        <f t="shared" si="118"/>
        <v>15230.000000000002</v>
      </c>
      <c r="L512">
        <f t="shared" si="119"/>
        <v>1.169</v>
      </c>
      <c r="M512">
        <f t="shared" si="120"/>
        <v>1.0845</v>
      </c>
      <c r="N512">
        <f t="shared" si="121"/>
        <v>685713</v>
      </c>
      <c r="O512">
        <f t="shared" si="122"/>
        <v>19308.297015000004</v>
      </c>
      <c r="P512">
        <f t="shared" si="123"/>
        <v>5900</v>
      </c>
      <c r="Q512">
        <f t="shared" si="124"/>
        <v>0.8</v>
      </c>
    </row>
    <row r="513" spans="1:17" x14ac:dyDescent="0.25">
      <c r="A513">
        <v>511</v>
      </c>
      <c r="B513">
        <f t="shared" si="125"/>
        <v>18</v>
      </c>
      <c r="C513">
        <f t="shared" si="126"/>
        <v>1</v>
      </c>
      <c r="D513">
        <f t="shared" si="112"/>
        <v>1540</v>
      </c>
      <c r="E513" t="str">
        <f t="shared" si="113"/>
        <v/>
      </c>
      <c r="F513" t="str">
        <f t="shared" si="114"/>
        <v/>
      </c>
      <c r="G513">
        <f t="shared" si="115"/>
        <v>28000</v>
      </c>
      <c r="H513" t="str">
        <f t="shared" si="116"/>
        <v/>
      </c>
      <c r="I513" t="str">
        <f t="shared" si="117"/>
        <v/>
      </c>
      <c r="J513">
        <f>SUM($G$3:I513)</f>
        <v>3456565</v>
      </c>
      <c r="K513">
        <f t="shared" si="118"/>
        <v>15400</v>
      </c>
      <c r="L513">
        <f t="shared" si="119"/>
        <v>1.169</v>
      </c>
      <c r="M513">
        <f t="shared" si="120"/>
        <v>1.0845</v>
      </c>
      <c r="N513">
        <f t="shared" si="121"/>
        <v>691313</v>
      </c>
      <c r="O513">
        <f t="shared" si="122"/>
        <v>19523.819700000004</v>
      </c>
      <c r="P513">
        <f t="shared" si="123"/>
        <v>5900</v>
      </c>
      <c r="Q513">
        <f t="shared" si="124"/>
        <v>0.8</v>
      </c>
    </row>
    <row r="514" spans="1:17" x14ac:dyDescent="0.25">
      <c r="A514">
        <v>512</v>
      </c>
      <c r="B514">
        <f t="shared" si="125"/>
        <v>18</v>
      </c>
      <c r="C514">
        <f t="shared" si="126"/>
        <v>1</v>
      </c>
      <c r="D514">
        <f t="shared" si="112"/>
        <v>1558</v>
      </c>
      <c r="E514" t="str">
        <f t="shared" si="113"/>
        <v/>
      </c>
      <c r="F514" t="str">
        <f t="shared" si="114"/>
        <v/>
      </c>
      <c r="G514">
        <f t="shared" si="115"/>
        <v>28200</v>
      </c>
      <c r="H514" t="str">
        <f t="shared" si="116"/>
        <v/>
      </c>
      <c r="I514" t="str">
        <f t="shared" si="117"/>
        <v/>
      </c>
      <c r="J514">
        <f>SUM($G$3:I514)</f>
        <v>3484765</v>
      </c>
      <c r="K514">
        <f t="shared" si="118"/>
        <v>15580.000000000002</v>
      </c>
      <c r="L514">
        <f t="shared" si="119"/>
        <v>1.169</v>
      </c>
      <c r="M514">
        <f t="shared" si="120"/>
        <v>1.0845</v>
      </c>
      <c r="N514">
        <f t="shared" si="121"/>
        <v>696953</v>
      </c>
      <c r="O514">
        <f t="shared" si="122"/>
        <v>19752.020190000007</v>
      </c>
      <c r="P514">
        <f t="shared" si="123"/>
        <v>5900</v>
      </c>
      <c r="Q514">
        <f t="shared" si="124"/>
        <v>0.8</v>
      </c>
    </row>
    <row r="515" spans="1:17" x14ac:dyDescent="0.25">
      <c r="A515">
        <v>513</v>
      </c>
      <c r="B515">
        <f t="shared" si="125"/>
        <v>18</v>
      </c>
      <c r="C515">
        <f t="shared" si="126"/>
        <v>1</v>
      </c>
      <c r="D515">
        <f t="shared" ref="D515:D578" si="127">IF($C515=1,INDEX($Z:$Z,MATCH($B515,$Y:$Y,0))+MOD($A515-1,10)*INDEX($AC:$AC,MATCH($B515,$Y:$Y,0)),"")</f>
        <v>1576</v>
      </c>
      <c r="E515" t="str">
        <f t="shared" ref="E515:E578" si="128">IF($C515=2,INDEX($AA:$AA,MATCH($B515,$Y:$Y,0))+MOD($A515-1,10)*INDEX($AD:$AD,MATCH($B515,$Y:$Y,0)),"")</f>
        <v/>
      </c>
      <c r="F515" t="str">
        <f t="shared" ref="F515:F578" si="129">IF($C515=3,INDEX($AB:$AB,MATCH($B515,$Y:$Y,0))+MOD($A515-1,10)*INDEX($AE:$AE,MATCH($B515,$Y:$Y,0)),"")</f>
        <v/>
      </c>
      <c r="G515">
        <f t="shared" ref="G515:G578" si="130">IF($C515=1,INDEX($AF:$AF,MATCH($B515,$Y:$Y,0))+MOD($A515-1,10)*INDEX($AI:$AI,MATCH($B515,$Y:$Y,0)),"")</f>
        <v>28400</v>
      </c>
      <c r="H515" t="str">
        <f t="shared" ref="H515:H578" si="131">IF($C515=2,INDEX($AG:$AG,MATCH($B515,$Y:$Y,0))+MOD($A515-1,10)*INDEX($AJ:$AJ,MATCH($B515,$Y:$Y,0)),"")</f>
        <v/>
      </c>
      <c r="I515" t="str">
        <f t="shared" ref="I515:I578" si="132">IF($C515=3,INDEX($AH:$AH,MATCH($B515,$Y:$Y,0))+MOD($A515-1,10)*INDEX($AK:$AK,MATCH($B515,$Y:$Y,0)),"")</f>
        <v/>
      </c>
      <c r="J515">
        <f>SUM($G$3:I515)</f>
        <v>3513165</v>
      </c>
      <c r="K515">
        <f t="shared" si="118"/>
        <v>15760</v>
      </c>
      <c r="L515">
        <f t="shared" si="119"/>
        <v>1.169</v>
      </c>
      <c r="M515">
        <f t="shared" si="120"/>
        <v>1.0845</v>
      </c>
      <c r="N515">
        <f t="shared" si="121"/>
        <v>702633</v>
      </c>
      <c r="O515">
        <f t="shared" si="122"/>
        <v>19980.220680000002</v>
      </c>
      <c r="P515">
        <f t="shared" si="123"/>
        <v>5900</v>
      </c>
      <c r="Q515">
        <f t="shared" si="124"/>
        <v>0.8</v>
      </c>
    </row>
    <row r="516" spans="1:17" x14ac:dyDescent="0.25">
      <c r="A516">
        <v>514</v>
      </c>
      <c r="B516">
        <f t="shared" si="125"/>
        <v>18</v>
      </c>
      <c r="C516">
        <f t="shared" si="126"/>
        <v>1</v>
      </c>
      <c r="D516">
        <f t="shared" si="127"/>
        <v>1594</v>
      </c>
      <c r="E516" t="str">
        <f t="shared" si="128"/>
        <v/>
      </c>
      <c r="F516" t="str">
        <f t="shared" si="129"/>
        <v/>
      </c>
      <c r="G516">
        <f t="shared" si="130"/>
        <v>28600</v>
      </c>
      <c r="H516" t="str">
        <f t="shared" si="131"/>
        <v/>
      </c>
      <c r="I516" t="str">
        <f t="shared" si="132"/>
        <v/>
      </c>
      <c r="J516">
        <f>SUM($G$3:I516)</f>
        <v>3541765</v>
      </c>
      <c r="K516">
        <f t="shared" ref="K516:K579" si="133">_xlfn.MAXIFS($D:$D,$A:$A,"&lt;="&amp;A516)/10*100</f>
        <v>15940</v>
      </c>
      <c r="L516">
        <f t="shared" ref="L516:L579" si="134">_xlfn.MAXIFS($E:$E,$A:$A,"&lt;="&amp;A516)/10000+1</f>
        <v>1.169</v>
      </c>
      <c r="M516">
        <f t="shared" ref="M516:M579" si="135">_xlfn.MAXIFS($F:$F,$A:$A,"&lt;="&amp;A516)/10000+1</f>
        <v>1.0845</v>
      </c>
      <c r="N516">
        <f t="shared" ref="N516:N579" si="136">J516*0.2</f>
        <v>708353</v>
      </c>
      <c r="O516">
        <f t="shared" ref="O516:O579" si="137">K516*L516*M516</f>
        <v>20208.421170000001</v>
      </c>
      <c r="P516">
        <f t="shared" ref="P516:P579" si="138">SUMIFS($AZ:$AZ,$AW:$AW,$AW$3,$AY:$AY,3,$AV:$AV,"&lt;="&amp;A516)</f>
        <v>5900</v>
      </c>
      <c r="Q516">
        <f t="shared" ref="Q516:Q579" si="139">SUMIFS($AZ:$AZ,$AY:$AY,98,$AV:$AV,"&lt;="&amp;A516)*10/100</f>
        <v>0.8</v>
      </c>
    </row>
    <row r="517" spans="1:17" x14ac:dyDescent="0.25">
      <c r="A517">
        <v>515</v>
      </c>
      <c r="B517">
        <f t="shared" si="125"/>
        <v>18</v>
      </c>
      <c r="C517">
        <f t="shared" si="126"/>
        <v>1</v>
      </c>
      <c r="D517">
        <f t="shared" si="127"/>
        <v>1612</v>
      </c>
      <c r="E517" t="str">
        <f t="shared" si="128"/>
        <v/>
      </c>
      <c r="F517" t="str">
        <f t="shared" si="129"/>
        <v/>
      </c>
      <c r="G517">
        <f t="shared" si="130"/>
        <v>28800</v>
      </c>
      <c r="H517" t="str">
        <f t="shared" si="131"/>
        <v/>
      </c>
      <c r="I517" t="str">
        <f t="shared" si="132"/>
        <v/>
      </c>
      <c r="J517">
        <f>SUM($G$3:I517)</f>
        <v>3570565</v>
      </c>
      <c r="K517">
        <f t="shared" si="133"/>
        <v>16119.999999999998</v>
      </c>
      <c r="L517">
        <f t="shared" si="134"/>
        <v>1.169</v>
      </c>
      <c r="M517">
        <f t="shared" si="135"/>
        <v>1.0845</v>
      </c>
      <c r="N517">
        <f t="shared" si="136"/>
        <v>714113</v>
      </c>
      <c r="O517">
        <f t="shared" si="137"/>
        <v>20436.621660000001</v>
      </c>
      <c r="P517">
        <f t="shared" si="138"/>
        <v>5900</v>
      </c>
      <c r="Q517">
        <f t="shared" si="139"/>
        <v>0.8</v>
      </c>
    </row>
    <row r="518" spans="1:17" x14ac:dyDescent="0.25">
      <c r="A518">
        <v>516</v>
      </c>
      <c r="B518">
        <f t="shared" si="125"/>
        <v>18</v>
      </c>
      <c r="C518">
        <f t="shared" si="126"/>
        <v>1</v>
      </c>
      <c r="D518">
        <f t="shared" si="127"/>
        <v>1630</v>
      </c>
      <c r="E518" t="str">
        <f t="shared" si="128"/>
        <v/>
      </c>
      <c r="F518" t="str">
        <f t="shared" si="129"/>
        <v/>
      </c>
      <c r="G518">
        <f t="shared" si="130"/>
        <v>29000</v>
      </c>
      <c r="H518" t="str">
        <f t="shared" si="131"/>
        <v/>
      </c>
      <c r="I518" t="str">
        <f t="shared" si="132"/>
        <v/>
      </c>
      <c r="J518">
        <f>SUM($G$3:I518)</f>
        <v>3599565</v>
      </c>
      <c r="K518">
        <f t="shared" si="133"/>
        <v>16300</v>
      </c>
      <c r="L518">
        <f t="shared" si="134"/>
        <v>1.169</v>
      </c>
      <c r="M518">
        <f t="shared" si="135"/>
        <v>1.0845</v>
      </c>
      <c r="N518">
        <f t="shared" si="136"/>
        <v>719913</v>
      </c>
      <c r="O518">
        <f t="shared" si="137"/>
        <v>20664.82215</v>
      </c>
      <c r="P518">
        <f t="shared" si="138"/>
        <v>5900</v>
      </c>
      <c r="Q518">
        <f t="shared" si="139"/>
        <v>0.8</v>
      </c>
    </row>
    <row r="519" spans="1:17" x14ac:dyDescent="0.25">
      <c r="A519">
        <v>517</v>
      </c>
      <c r="B519">
        <f t="shared" si="125"/>
        <v>18</v>
      </c>
      <c r="C519">
        <f t="shared" si="126"/>
        <v>1</v>
      </c>
      <c r="D519">
        <f t="shared" si="127"/>
        <v>1648</v>
      </c>
      <c r="E519" t="str">
        <f t="shared" si="128"/>
        <v/>
      </c>
      <c r="F519" t="str">
        <f t="shared" si="129"/>
        <v/>
      </c>
      <c r="G519">
        <f t="shared" si="130"/>
        <v>29200</v>
      </c>
      <c r="H519" t="str">
        <f t="shared" si="131"/>
        <v/>
      </c>
      <c r="I519" t="str">
        <f t="shared" si="132"/>
        <v/>
      </c>
      <c r="J519">
        <f>SUM($G$3:I519)</f>
        <v>3628765</v>
      </c>
      <c r="K519">
        <f t="shared" si="133"/>
        <v>16480</v>
      </c>
      <c r="L519">
        <f t="shared" si="134"/>
        <v>1.169</v>
      </c>
      <c r="M519">
        <f t="shared" si="135"/>
        <v>1.0845</v>
      </c>
      <c r="N519">
        <f t="shared" si="136"/>
        <v>725753</v>
      </c>
      <c r="O519">
        <f t="shared" si="137"/>
        <v>20893.022639999999</v>
      </c>
      <c r="P519">
        <f t="shared" si="138"/>
        <v>5900</v>
      </c>
      <c r="Q519">
        <f t="shared" si="139"/>
        <v>0.8</v>
      </c>
    </row>
    <row r="520" spans="1:17" x14ac:dyDescent="0.25">
      <c r="A520">
        <v>518</v>
      </c>
      <c r="B520">
        <f t="shared" si="125"/>
        <v>18</v>
      </c>
      <c r="C520">
        <f t="shared" si="126"/>
        <v>1</v>
      </c>
      <c r="D520">
        <f t="shared" si="127"/>
        <v>1666</v>
      </c>
      <c r="E520" t="str">
        <f t="shared" si="128"/>
        <v/>
      </c>
      <c r="F520" t="str">
        <f t="shared" si="129"/>
        <v/>
      </c>
      <c r="G520">
        <f t="shared" si="130"/>
        <v>29400</v>
      </c>
      <c r="H520" t="str">
        <f t="shared" si="131"/>
        <v/>
      </c>
      <c r="I520" t="str">
        <f t="shared" si="132"/>
        <v/>
      </c>
      <c r="J520">
        <f>SUM($G$3:I520)</f>
        <v>3658165</v>
      </c>
      <c r="K520">
        <f t="shared" si="133"/>
        <v>16660</v>
      </c>
      <c r="L520">
        <f t="shared" si="134"/>
        <v>1.169</v>
      </c>
      <c r="M520">
        <f t="shared" si="135"/>
        <v>1.0845</v>
      </c>
      <c r="N520">
        <f t="shared" si="136"/>
        <v>731633</v>
      </c>
      <c r="O520">
        <f t="shared" si="137"/>
        <v>21121.223130000002</v>
      </c>
      <c r="P520">
        <f t="shared" si="138"/>
        <v>5900</v>
      </c>
      <c r="Q520">
        <f t="shared" si="139"/>
        <v>0.8</v>
      </c>
    </row>
    <row r="521" spans="1:17" x14ac:dyDescent="0.25">
      <c r="A521">
        <v>519</v>
      </c>
      <c r="B521">
        <f t="shared" si="125"/>
        <v>18</v>
      </c>
      <c r="C521">
        <f t="shared" si="126"/>
        <v>1</v>
      </c>
      <c r="D521">
        <f t="shared" si="127"/>
        <v>1684</v>
      </c>
      <c r="E521" t="str">
        <f t="shared" si="128"/>
        <v/>
      </c>
      <c r="F521" t="str">
        <f t="shared" si="129"/>
        <v/>
      </c>
      <c r="G521">
        <f t="shared" si="130"/>
        <v>29600</v>
      </c>
      <c r="H521" t="str">
        <f t="shared" si="131"/>
        <v/>
      </c>
      <c r="I521" t="str">
        <f t="shared" si="132"/>
        <v/>
      </c>
      <c r="J521">
        <f>SUM($G$3:I521)</f>
        <v>3687765</v>
      </c>
      <c r="K521">
        <f t="shared" si="133"/>
        <v>16840</v>
      </c>
      <c r="L521">
        <f t="shared" si="134"/>
        <v>1.169</v>
      </c>
      <c r="M521">
        <f t="shared" si="135"/>
        <v>1.0845</v>
      </c>
      <c r="N521">
        <f t="shared" si="136"/>
        <v>737553</v>
      </c>
      <c r="O521">
        <f t="shared" si="137"/>
        <v>21349.423619999998</v>
      </c>
      <c r="P521">
        <f t="shared" si="138"/>
        <v>5900</v>
      </c>
      <c r="Q521">
        <f t="shared" si="139"/>
        <v>0.8</v>
      </c>
    </row>
    <row r="522" spans="1:17" x14ac:dyDescent="0.25">
      <c r="A522">
        <v>520</v>
      </c>
      <c r="B522">
        <f t="shared" si="125"/>
        <v>18</v>
      </c>
      <c r="C522">
        <f t="shared" si="126"/>
        <v>1</v>
      </c>
      <c r="D522">
        <f t="shared" si="127"/>
        <v>1702</v>
      </c>
      <c r="E522" t="str">
        <f t="shared" si="128"/>
        <v/>
      </c>
      <c r="F522" t="str">
        <f t="shared" si="129"/>
        <v/>
      </c>
      <c r="G522">
        <f t="shared" si="130"/>
        <v>29800</v>
      </c>
      <c r="H522" t="str">
        <f t="shared" si="131"/>
        <v/>
      </c>
      <c r="I522" t="str">
        <f t="shared" si="132"/>
        <v/>
      </c>
      <c r="J522">
        <f>SUM($G$3:I522)</f>
        <v>3717565</v>
      </c>
      <c r="K522">
        <f t="shared" si="133"/>
        <v>17020</v>
      </c>
      <c r="L522">
        <f t="shared" si="134"/>
        <v>1.169</v>
      </c>
      <c r="M522">
        <f t="shared" si="135"/>
        <v>1.0845</v>
      </c>
      <c r="N522">
        <f t="shared" si="136"/>
        <v>743513</v>
      </c>
      <c r="O522">
        <f t="shared" si="137"/>
        <v>21577.624110000001</v>
      </c>
      <c r="P522">
        <f t="shared" si="138"/>
        <v>6700</v>
      </c>
      <c r="Q522">
        <f t="shared" si="139"/>
        <v>0.8</v>
      </c>
    </row>
    <row r="523" spans="1:17" x14ac:dyDescent="0.25">
      <c r="A523">
        <v>521</v>
      </c>
      <c r="B523">
        <f t="shared" si="125"/>
        <v>18</v>
      </c>
      <c r="C523">
        <f t="shared" si="126"/>
        <v>2</v>
      </c>
      <c r="D523" t="str">
        <f t="shared" si="127"/>
        <v/>
      </c>
      <c r="E523">
        <f t="shared" si="128"/>
        <v>1700</v>
      </c>
      <c r="F523" t="str">
        <f t="shared" si="129"/>
        <v/>
      </c>
      <c r="G523" t="str">
        <f t="shared" si="130"/>
        <v/>
      </c>
      <c r="H523">
        <f t="shared" si="131"/>
        <v>18667</v>
      </c>
      <c r="I523" t="str">
        <f t="shared" si="132"/>
        <v/>
      </c>
      <c r="J523">
        <f>SUM($G$3:I523)</f>
        <v>3736232</v>
      </c>
      <c r="K523">
        <f t="shared" si="133"/>
        <v>17020</v>
      </c>
      <c r="L523">
        <f t="shared" si="134"/>
        <v>1.17</v>
      </c>
      <c r="M523">
        <f t="shared" si="135"/>
        <v>1.0845</v>
      </c>
      <c r="N523">
        <f t="shared" si="136"/>
        <v>747246.4</v>
      </c>
      <c r="O523">
        <f t="shared" si="137"/>
        <v>21596.082299999998</v>
      </c>
      <c r="P523">
        <f t="shared" si="138"/>
        <v>6700</v>
      </c>
      <c r="Q523">
        <f t="shared" si="139"/>
        <v>0.8</v>
      </c>
    </row>
    <row r="524" spans="1:17" x14ac:dyDescent="0.25">
      <c r="A524">
        <v>522</v>
      </c>
      <c r="B524">
        <f t="shared" si="125"/>
        <v>18</v>
      </c>
      <c r="C524">
        <f t="shared" si="126"/>
        <v>2</v>
      </c>
      <c r="D524" t="str">
        <f t="shared" si="127"/>
        <v/>
      </c>
      <c r="E524">
        <f t="shared" si="128"/>
        <v>1710</v>
      </c>
      <c r="F524" t="str">
        <f t="shared" si="129"/>
        <v/>
      </c>
      <c r="G524" t="str">
        <f t="shared" si="130"/>
        <v/>
      </c>
      <c r="H524">
        <f t="shared" si="131"/>
        <v>18800</v>
      </c>
      <c r="I524" t="str">
        <f t="shared" si="132"/>
        <v/>
      </c>
      <c r="J524">
        <f>SUM($G$3:I524)</f>
        <v>3755032</v>
      </c>
      <c r="K524">
        <f t="shared" si="133"/>
        <v>17020</v>
      </c>
      <c r="L524">
        <f t="shared" si="134"/>
        <v>1.171</v>
      </c>
      <c r="M524">
        <f t="shared" si="135"/>
        <v>1.0845</v>
      </c>
      <c r="N524">
        <f t="shared" si="136"/>
        <v>751006.4</v>
      </c>
      <c r="O524">
        <f t="shared" si="137"/>
        <v>21614.540490000003</v>
      </c>
      <c r="P524">
        <f t="shared" si="138"/>
        <v>6700</v>
      </c>
      <c r="Q524">
        <f t="shared" si="139"/>
        <v>0.8</v>
      </c>
    </row>
    <row r="525" spans="1:17" x14ac:dyDescent="0.25">
      <c r="A525">
        <v>523</v>
      </c>
      <c r="B525">
        <f t="shared" si="125"/>
        <v>18</v>
      </c>
      <c r="C525">
        <f t="shared" si="126"/>
        <v>2</v>
      </c>
      <c r="D525" t="str">
        <f t="shared" si="127"/>
        <v/>
      </c>
      <c r="E525">
        <f t="shared" si="128"/>
        <v>1720</v>
      </c>
      <c r="F525" t="str">
        <f t="shared" si="129"/>
        <v/>
      </c>
      <c r="G525" t="str">
        <f t="shared" si="130"/>
        <v/>
      </c>
      <c r="H525">
        <f t="shared" si="131"/>
        <v>18933</v>
      </c>
      <c r="I525" t="str">
        <f t="shared" si="132"/>
        <v/>
      </c>
      <c r="J525">
        <f>SUM($G$3:I525)</f>
        <v>3773965</v>
      </c>
      <c r="K525">
        <f t="shared" si="133"/>
        <v>17020</v>
      </c>
      <c r="L525">
        <f t="shared" si="134"/>
        <v>1.1719999999999999</v>
      </c>
      <c r="M525">
        <f t="shared" si="135"/>
        <v>1.0845</v>
      </c>
      <c r="N525">
        <f t="shared" si="136"/>
        <v>754793</v>
      </c>
      <c r="O525">
        <f t="shared" si="137"/>
        <v>21632.998680000001</v>
      </c>
      <c r="P525">
        <f t="shared" si="138"/>
        <v>6700</v>
      </c>
      <c r="Q525">
        <f t="shared" si="139"/>
        <v>0.8</v>
      </c>
    </row>
    <row r="526" spans="1:17" x14ac:dyDescent="0.25">
      <c r="A526">
        <v>524</v>
      </c>
      <c r="B526">
        <f t="shared" si="125"/>
        <v>18</v>
      </c>
      <c r="C526">
        <f t="shared" si="126"/>
        <v>2</v>
      </c>
      <c r="D526" t="str">
        <f t="shared" si="127"/>
        <v/>
      </c>
      <c r="E526">
        <f t="shared" si="128"/>
        <v>1730</v>
      </c>
      <c r="F526" t="str">
        <f t="shared" si="129"/>
        <v/>
      </c>
      <c r="G526" t="str">
        <f t="shared" si="130"/>
        <v/>
      </c>
      <c r="H526">
        <f t="shared" si="131"/>
        <v>19066</v>
      </c>
      <c r="I526" t="str">
        <f t="shared" si="132"/>
        <v/>
      </c>
      <c r="J526">
        <f>SUM($G$3:I526)</f>
        <v>3793031</v>
      </c>
      <c r="K526">
        <f t="shared" si="133"/>
        <v>17020</v>
      </c>
      <c r="L526">
        <f t="shared" si="134"/>
        <v>1.173</v>
      </c>
      <c r="M526">
        <f t="shared" si="135"/>
        <v>1.0845</v>
      </c>
      <c r="N526">
        <f t="shared" si="136"/>
        <v>758606.20000000007</v>
      </c>
      <c r="O526">
        <f t="shared" si="137"/>
        <v>21651.456869999998</v>
      </c>
      <c r="P526">
        <f t="shared" si="138"/>
        <v>6700</v>
      </c>
      <c r="Q526">
        <f t="shared" si="139"/>
        <v>0.8</v>
      </c>
    </row>
    <row r="527" spans="1:17" x14ac:dyDescent="0.25">
      <c r="A527">
        <v>525</v>
      </c>
      <c r="B527">
        <f t="shared" si="125"/>
        <v>18</v>
      </c>
      <c r="C527">
        <f t="shared" si="126"/>
        <v>2</v>
      </c>
      <c r="D527" t="str">
        <f t="shared" si="127"/>
        <v/>
      </c>
      <c r="E527">
        <f t="shared" si="128"/>
        <v>1740</v>
      </c>
      <c r="F527" t="str">
        <f t="shared" si="129"/>
        <v/>
      </c>
      <c r="G527" t="str">
        <f t="shared" si="130"/>
        <v/>
      </c>
      <c r="H527">
        <f t="shared" si="131"/>
        <v>19199</v>
      </c>
      <c r="I527" t="str">
        <f t="shared" si="132"/>
        <v/>
      </c>
      <c r="J527">
        <f>SUM($G$3:I527)</f>
        <v>3812230</v>
      </c>
      <c r="K527">
        <f t="shared" si="133"/>
        <v>17020</v>
      </c>
      <c r="L527">
        <f t="shared" si="134"/>
        <v>1.1739999999999999</v>
      </c>
      <c r="M527">
        <f t="shared" si="135"/>
        <v>1.0845</v>
      </c>
      <c r="N527">
        <f t="shared" si="136"/>
        <v>762446</v>
      </c>
      <c r="O527">
        <f t="shared" si="137"/>
        <v>21669.915059999999</v>
      </c>
      <c r="P527">
        <f t="shared" si="138"/>
        <v>6700</v>
      </c>
      <c r="Q527">
        <f t="shared" si="139"/>
        <v>0.8</v>
      </c>
    </row>
    <row r="528" spans="1:17" x14ac:dyDescent="0.25">
      <c r="A528">
        <v>526</v>
      </c>
      <c r="B528">
        <f t="shared" si="125"/>
        <v>18</v>
      </c>
      <c r="C528">
        <f t="shared" si="126"/>
        <v>2</v>
      </c>
      <c r="D528" t="str">
        <f t="shared" si="127"/>
        <v/>
      </c>
      <c r="E528">
        <f t="shared" si="128"/>
        <v>1750</v>
      </c>
      <c r="F528" t="str">
        <f t="shared" si="129"/>
        <v/>
      </c>
      <c r="G528" t="str">
        <f t="shared" si="130"/>
        <v/>
      </c>
      <c r="H528">
        <f t="shared" si="131"/>
        <v>19332</v>
      </c>
      <c r="I528" t="str">
        <f t="shared" si="132"/>
        <v/>
      </c>
      <c r="J528">
        <f>SUM($G$3:I528)</f>
        <v>3831562</v>
      </c>
      <c r="K528">
        <f t="shared" si="133"/>
        <v>17020</v>
      </c>
      <c r="L528">
        <f t="shared" si="134"/>
        <v>1.175</v>
      </c>
      <c r="M528">
        <f t="shared" si="135"/>
        <v>1.0845</v>
      </c>
      <c r="N528">
        <f t="shared" si="136"/>
        <v>766312.4</v>
      </c>
      <c r="O528">
        <f t="shared" si="137"/>
        <v>21688.373250000001</v>
      </c>
      <c r="P528">
        <f t="shared" si="138"/>
        <v>6700</v>
      </c>
      <c r="Q528">
        <f t="shared" si="139"/>
        <v>0.8</v>
      </c>
    </row>
    <row r="529" spans="1:17" x14ac:dyDescent="0.25">
      <c r="A529">
        <v>527</v>
      </c>
      <c r="B529">
        <f t="shared" si="125"/>
        <v>18</v>
      </c>
      <c r="C529">
        <f t="shared" si="126"/>
        <v>2</v>
      </c>
      <c r="D529" t="str">
        <f t="shared" si="127"/>
        <v/>
      </c>
      <c r="E529">
        <f t="shared" si="128"/>
        <v>1760</v>
      </c>
      <c r="F529" t="str">
        <f t="shared" si="129"/>
        <v/>
      </c>
      <c r="G529" t="str">
        <f t="shared" si="130"/>
        <v/>
      </c>
      <c r="H529">
        <f t="shared" si="131"/>
        <v>19465</v>
      </c>
      <c r="I529" t="str">
        <f t="shared" si="132"/>
        <v/>
      </c>
      <c r="J529">
        <f>SUM($G$3:I529)</f>
        <v>3851027</v>
      </c>
      <c r="K529">
        <f t="shared" si="133"/>
        <v>17020</v>
      </c>
      <c r="L529">
        <f t="shared" si="134"/>
        <v>1.1759999999999999</v>
      </c>
      <c r="M529">
        <f t="shared" si="135"/>
        <v>1.0845</v>
      </c>
      <c r="N529">
        <f t="shared" si="136"/>
        <v>770205.4</v>
      </c>
      <c r="O529">
        <f t="shared" si="137"/>
        <v>21706.831440000002</v>
      </c>
      <c r="P529">
        <f t="shared" si="138"/>
        <v>6700</v>
      </c>
      <c r="Q529">
        <f t="shared" si="139"/>
        <v>0.8</v>
      </c>
    </row>
    <row r="530" spans="1:17" x14ac:dyDescent="0.25">
      <c r="A530">
        <v>528</v>
      </c>
      <c r="B530">
        <f t="shared" si="125"/>
        <v>18</v>
      </c>
      <c r="C530">
        <f t="shared" si="126"/>
        <v>2</v>
      </c>
      <c r="D530" t="str">
        <f t="shared" si="127"/>
        <v/>
      </c>
      <c r="E530">
        <f t="shared" si="128"/>
        <v>1770</v>
      </c>
      <c r="F530" t="str">
        <f t="shared" si="129"/>
        <v/>
      </c>
      <c r="G530" t="str">
        <f t="shared" si="130"/>
        <v/>
      </c>
      <c r="H530">
        <f t="shared" si="131"/>
        <v>19598</v>
      </c>
      <c r="I530" t="str">
        <f t="shared" si="132"/>
        <v/>
      </c>
      <c r="J530">
        <f>SUM($G$3:I530)</f>
        <v>3870625</v>
      </c>
      <c r="K530">
        <f t="shared" si="133"/>
        <v>17020</v>
      </c>
      <c r="L530">
        <f t="shared" si="134"/>
        <v>1.177</v>
      </c>
      <c r="M530">
        <f t="shared" si="135"/>
        <v>1.0845</v>
      </c>
      <c r="N530">
        <f t="shared" si="136"/>
        <v>774125</v>
      </c>
      <c r="O530">
        <f t="shared" si="137"/>
        <v>21725.289630000003</v>
      </c>
      <c r="P530">
        <f t="shared" si="138"/>
        <v>6700</v>
      </c>
      <c r="Q530">
        <f t="shared" si="139"/>
        <v>0.8</v>
      </c>
    </row>
    <row r="531" spans="1:17" x14ac:dyDescent="0.25">
      <c r="A531">
        <v>529</v>
      </c>
      <c r="B531">
        <f t="shared" si="125"/>
        <v>18</v>
      </c>
      <c r="C531">
        <f t="shared" si="126"/>
        <v>2</v>
      </c>
      <c r="D531" t="str">
        <f t="shared" si="127"/>
        <v/>
      </c>
      <c r="E531">
        <f t="shared" si="128"/>
        <v>1780</v>
      </c>
      <c r="F531" t="str">
        <f t="shared" si="129"/>
        <v/>
      </c>
      <c r="G531" t="str">
        <f t="shared" si="130"/>
        <v/>
      </c>
      <c r="H531">
        <f t="shared" si="131"/>
        <v>19731</v>
      </c>
      <c r="I531" t="str">
        <f t="shared" si="132"/>
        <v/>
      </c>
      <c r="J531">
        <f>SUM($G$3:I531)</f>
        <v>3890356</v>
      </c>
      <c r="K531">
        <f t="shared" si="133"/>
        <v>17020</v>
      </c>
      <c r="L531">
        <f t="shared" si="134"/>
        <v>1.1779999999999999</v>
      </c>
      <c r="M531">
        <f t="shared" si="135"/>
        <v>1.0845</v>
      </c>
      <c r="N531">
        <f t="shared" si="136"/>
        <v>778071.20000000007</v>
      </c>
      <c r="O531">
        <f t="shared" si="137"/>
        <v>21743.747819999997</v>
      </c>
      <c r="P531">
        <f t="shared" si="138"/>
        <v>6700</v>
      </c>
      <c r="Q531">
        <f t="shared" si="139"/>
        <v>0.8</v>
      </c>
    </row>
    <row r="532" spans="1:17" x14ac:dyDescent="0.25">
      <c r="A532">
        <v>530</v>
      </c>
      <c r="B532">
        <f t="shared" si="125"/>
        <v>18</v>
      </c>
      <c r="C532">
        <f t="shared" si="126"/>
        <v>2</v>
      </c>
      <c r="D532" t="str">
        <f t="shared" si="127"/>
        <v/>
      </c>
      <c r="E532">
        <f t="shared" si="128"/>
        <v>1790</v>
      </c>
      <c r="F532" t="str">
        <f t="shared" si="129"/>
        <v/>
      </c>
      <c r="G532" t="str">
        <f t="shared" si="130"/>
        <v/>
      </c>
      <c r="H532">
        <f t="shared" si="131"/>
        <v>19864</v>
      </c>
      <c r="I532" t="str">
        <f t="shared" si="132"/>
        <v/>
      </c>
      <c r="J532">
        <f>SUM($G$3:I532)</f>
        <v>3910220</v>
      </c>
      <c r="K532">
        <f t="shared" si="133"/>
        <v>17020</v>
      </c>
      <c r="L532">
        <f t="shared" si="134"/>
        <v>1.179</v>
      </c>
      <c r="M532">
        <f t="shared" si="135"/>
        <v>1.0845</v>
      </c>
      <c r="N532">
        <f t="shared" si="136"/>
        <v>782044</v>
      </c>
      <c r="O532">
        <f t="shared" si="137"/>
        <v>21762.206010000002</v>
      </c>
      <c r="P532">
        <f t="shared" si="138"/>
        <v>6700</v>
      </c>
      <c r="Q532">
        <f t="shared" si="139"/>
        <v>0.9</v>
      </c>
    </row>
    <row r="533" spans="1:17" x14ac:dyDescent="0.25">
      <c r="A533">
        <v>531</v>
      </c>
      <c r="B533">
        <f t="shared" si="125"/>
        <v>18</v>
      </c>
      <c r="C533">
        <f t="shared" si="126"/>
        <v>3</v>
      </c>
      <c r="D533" t="str">
        <f t="shared" si="127"/>
        <v/>
      </c>
      <c r="E533" t="str">
        <f t="shared" si="128"/>
        <v/>
      </c>
      <c r="F533">
        <f t="shared" si="129"/>
        <v>850</v>
      </c>
      <c r="G533" t="str">
        <f t="shared" si="130"/>
        <v/>
      </c>
      <c r="H533" t="str">
        <f t="shared" si="131"/>
        <v/>
      </c>
      <c r="I533">
        <f t="shared" si="132"/>
        <v>13400</v>
      </c>
      <c r="J533">
        <f>SUM($G$3:I533)</f>
        <v>3923620</v>
      </c>
      <c r="K533">
        <f t="shared" si="133"/>
        <v>17020</v>
      </c>
      <c r="L533">
        <f t="shared" si="134"/>
        <v>1.179</v>
      </c>
      <c r="M533">
        <f t="shared" si="135"/>
        <v>1.085</v>
      </c>
      <c r="N533">
        <f t="shared" si="136"/>
        <v>784724</v>
      </c>
      <c r="O533">
        <f t="shared" si="137"/>
        <v>21772.239300000001</v>
      </c>
      <c r="P533">
        <f t="shared" si="138"/>
        <v>6700</v>
      </c>
      <c r="Q533">
        <f t="shared" si="139"/>
        <v>0.9</v>
      </c>
    </row>
    <row r="534" spans="1:17" x14ac:dyDescent="0.25">
      <c r="A534">
        <v>532</v>
      </c>
      <c r="B534">
        <f t="shared" si="125"/>
        <v>18</v>
      </c>
      <c r="C534">
        <f t="shared" si="126"/>
        <v>3</v>
      </c>
      <c r="D534" t="str">
        <f t="shared" si="127"/>
        <v/>
      </c>
      <c r="E534" t="str">
        <f t="shared" si="128"/>
        <v/>
      </c>
      <c r="F534">
        <f t="shared" si="129"/>
        <v>855</v>
      </c>
      <c r="G534" t="str">
        <f t="shared" si="130"/>
        <v/>
      </c>
      <c r="H534" t="str">
        <f t="shared" si="131"/>
        <v/>
      </c>
      <c r="I534">
        <f t="shared" si="132"/>
        <v>13550</v>
      </c>
      <c r="J534">
        <f>SUM($G$3:I534)</f>
        <v>3937170</v>
      </c>
      <c r="K534">
        <f t="shared" si="133"/>
        <v>17020</v>
      </c>
      <c r="L534">
        <f t="shared" si="134"/>
        <v>1.179</v>
      </c>
      <c r="M534">
        <f t="shared" si="135"/>
        <v>1.0854999999999999</v>
      </c>
      <c r="N534">
        <f t="shared" si="136"/>
        <v>787434</v>
      </c>
      <c r="O534">
        <f t="shared" si="137"/>
        <v>21782.27259</v>
      </c>
      <c r="P534">
        <f t="shared" si="138"/>
        <v>6700</v>
      </c>
      <c r="Q534">
        <f t="shared" si="139"/>
        <v>0.9</v>
      </c>
    </row>
    <row r="535" spans="1:17" x14ac:dyDescent="0.25">
      <c r="A535">
        <v>533</v>
      </c>
      <c r="B535">
        <f t="shared" si="125"/>
        <v>18</v>
      </c>
      <c r="C535">
        <f t="shared" si="126"/>
        <v>3</v>
      </c>
      <c r="D535" t="str">
        <f t="shared" si="127"/>
        <v/>
      </c>
      <c r="E535" t="str">
        <f t="shared" si="128"/>
        <v/>
      </c>
      <c r="F535">
        <f t="shared" si="129"/>
        <v>860</v>
      </c>
      <c r="G535" t="str">
        <f t="shared" si="130"/>
        <v/>
      </c>
      <c r="H535" t="str">
        <f t="shared" si="131"/>
        <v/>
      </c>
      <c r="I535">
        <f t="shared" si="132"/>
        <v>13700</v>
      </c>
      <c r="J535">
        <f>SUM($G$3:I535)</f>
        <v>3950870</v>
      </c>
      <c r="K535">
        <f t="shared" si="133"/>
        <v>17020</v>
      </c>
      <c r="L535">
        <f t="shared" si="134"/>
        <v>1.179</v>
      </c>
      <c r="M535">
        <f t="shared" si="135"/>
        <v>1.0860000000000001</v>
      </c>
      <c r="N535">
        <f t="shared" si="136"/>
        <v>790174</v>
      </c>
      <c r="O535">
        <f t="shared" si="137"/>
        <v>21792.305880000004</v>
      </c>
      <c r="P535">
        <f t="shared" si="138"/>
        <v>6700</v>
      </c>
      <c r="Q535">
        <f t="shared" si="139"/>
        <v>0.9</v>
      </c>
    </row>
    <row r="536" spans="1:17" x14ac:dyDescent="0.25">
      <c r="A536">
        <v>534</v>
      </c>
      <c r="B536">
        <f t="shared" si="125"/>
        <v>18</v>
      </c>
      <c r="C536">
        <f t="shared" si="126"/>
        <v>3</v>
      </c>
      <c r="D536" t="str">
        <f t="shared" si="127"/>
        <v/>
      </c>
      <c r="E536" t="str">
        <f t="shared" si="128"/>
        <v/>
      </c>
      <c r="F536">
        <f t="shared" si="129"/>
        <v>865</v>
      </c>
      <c r="G536" t="str">
        <f t="shared" si="130"/>
        <v/>
      </c>
      <c r="H536" t="str">
        <f t="shared" si="131"/>
        <v/>
      </c>
      <c r="I536">
        <f t="shared" si="132"/>
        <v>13850</v>
      </c>
      <c r="J536">
        <f>SUM($G$3:I536)</f>
        <v>3964720</v>
      </c>
      <c r="K536">
        <f t="shared" si="133"/>
        <v>17020</v>
      </c>
      <c r="L536">
        <f t="shared" si="134"/>
        <v>1.179</v>
      </c>
      <c r="M536">
        <f t="shared" si="135"/>
        <v>1.0865</v>
      </c>
      <c r="N536">
        <f t="shared" si="136"/>
        <v>792944</v>
      </c>
      <c r="O536">
        <f t="shared" si="137"/>
        <v>21802.339170000003</v>
      </c>
      <c r="P536">
        <f t="shared" si="138"/>
        <v>6700</v>
      </c>
      <c r="Q536">
        <f t="shared" si="139"/>
        <v>0.9</v>
      </c>
    </row>
    <row r="537" spans="1:17" x14ac:dyDescent="0.25">
      <c r="A537">
        <v>535</v>
      </c>
      <c r="B537">
        <f t="shared" si="125"/>
        <v>18</v>
      </c>
      <c r="C537">
        <f t="shared" si="126"/>
        <v>3</v>
      </c>
      <c r="D537" t="str">
        <f t="shared" si="127"/>
        <v/>
      </c>
      <c r="E537" t="str">
        <f t="shared" si="128"/>
        <v/>
      </c>
      <c r="F537">
        <f t="shared" si="129"/>
        <v>870</v>
      </c>
      <c r="G537" t="str">
        <f t="shared" si="130"/>
        <v/>
      </c>
      <c r="H537" t="str">
        <f t="shared" si="131"/>
        <v/>
      </c>
      <c r="I537">
        <f t="shared" si="132"/>
        <v>14000</v>
      </c>
      <c r="J537">
        <f>SUM($G$3:I537)</f>
        <v>3978720</v>
      </c>
      <c r="K537">
        <f t="shared" si="133"/>
        <v>17020</v>
      </c>
      <c r="L537">
        <f t="shared" si="134"/>
        <v>1.179</v>
      </c>
      <c r="M537">
        <f t="shared" si="135"/>
        <v>1.087</v>
      </c>
      <c r="N537">
        <f t="shared" si="136"/>
        <v>795744</v>
      </c>
      <c r="O537">
        <f t="shared" si="137"/>
        <v>21812.372460000002</v>
      </c>
      <c r="P537">
        <f t="shared" si="138"/>
        <v>6700</v>
      </c>
      <c r="Q537">
        <f t="shared" si="139"/>
        <v>0.9</v>
      </c>
    </row>
    <row r="538" spans="1:17" x14ac:dyDescent="0.25">
      <c r="A538">
        <v>536</v>
      </c>
      <c r="B538">
        <f t="shared" si="125"/>
        <v>18</v>
      </c>
      <c r="C538">
        <f t="shared" si="126"/>
        <v>3</v>
      </c>
      <c r="D538" t="str">
        <f t="shared" si="127"/>
        <v/>
      </c>
      <c r="E538" t="str">
        <f t="shared" si="128"/>
        <v/>
      </c>
      <c r="F538">
        <f t="shared" si="129"/>
        <v>875</v>
      </c>
      <c r="G538" t="str">
        <f t="shared" si="130"/>
        <v/>
      </c>
      <c r="H538" t="str">
        <f t="shared" si="131"/>
        <v/>
      </c>
      <c r="I538">
        <f t="shared" si="132"/>
        <v>14150</v>
      </c>
      <c r="J538">
        <f>SUM($G$3:I538)</f>
        <v>3992870</v>
      </c>
      <c r="K538">
        <f t="shared" si="133"/>
        <v>17020</v>
      </c>
      <c r="L538">
        <f t="shared" si="134"/>
        <v>1.179</v>
      </c>
      <c r="M538">
        <f t="shared" si="135"/>
        <v>1.0874999999999999</v>
      </c>
      <c r="N538">
        <f t="shared" si="136"/>
        <v>798574</v>
      </c>
      <c r="O538">
        <f t="shared" si="137"/>
        <v>21822.405750000002</v>
      </c>
      <c r="P538">
        <f t="shared" si="138"/>
        <v>6700</v>
      </c>
      <c r="Q538">
        <f t="shared" si="139"/>
        <v>0.9</v>
      </c>
    </row>
    <row r="539" spans="1:17" x14ac:dyDescent="0.25">
      <c r="A539">
        <v>537</v>
      </c>
      <c r="B539">
        <f t="shared" si="125"/>
        <v>18</v>
      </c>
      <c r="C539">
        <f t="shared" si="126"/>
        <v>3</v>
      </c>
      <c r="D539" t="str">
        <f t="shared" si="127"/>
        <v/>
      </c>
      <c r="E539" t="str">
        <f t="shared" si="128"/>
        <v/>
      </c>
      <c r="F539">
        <f t="shared" si="129"/>
        <v>880</v>
      </c>
      <c r="G539" t="str">
        <f t="shared" si="130"/>
        <v/>
      </c>
      <c r="H539" t="str">
        <f t="shared" si="131"/>
        <v/>
      </c>
      <c r="I539">
        <f t="shared" si="132"/>
        <v>14300</v>
      </c>
      <c r="J539">
        <f>SUM($G$3:I539)</f>
        <v>4007170</v>
      </c>
      <c r="K539">
        <f t="shared" si="133"/>
        <v>17020</v>
      </c>
      <c r="L539">
        <f t="shared" si="134"/>
        <v>1.179</v>
      </c>
      <c r="M539">
        <f t="shared" si="135"/>
        <v>1.0880000000000001</v>
      </c>
      <c r="N539">
        <f t="shared" si="136"/>
        <v>801434</v>
      </c>
      <c r="O539">
        <f t="shared" si="137"/>
        <v>21832.439040000005</v>
      </c>
      <c r="P539">
        <f t="shared" si="138"/>
        <v>6700</v>
      </c>
      <c r="Q539">
        <f t="shared" si="139"/>
        <v>0.9</v>
      </c>
    </row>
    <row r="540" spans="1:17" x14ac:dyDescent="0.25">
      <c r="A540">
        <v>538</v>
      </c>
      <c r="B540">
        <f t="shared" si="125"/>
        <v>18</v>
      </c>
      <c r="C540">
        <f t="shared" si="126"/>
        <v>3</v>
      </c>
      <c r="D540" t="str">
        <f t="shared" si="127"/>
        <v/>
      </c>
      <c r="E540" t="str">
        <f t="shared" si="128"/>
        <v/>
      </c>
      <c r="F540">
        <f t="shared" si="129"/>
        <v>885</v>
      </c>
      <c r="G540" t="str">
        <f t="shared" si="130"/>
        <v/>
      </c>
      <c r="H540" t="str">
        <f t="shared" si="131"/>
        <v/>
      </c>
      <c r="I540">
        <f t="shared" si="132"/>
        <v>14450</v>
      </c>
      <c r="J540">
        <f>SUM($G$3:I540)</f>
        <v>4021620</v>
      </c>
      <c r="K540">
        <f t="shared" si="133"/>
        <v>17020</v>
      </c>
      <c r="L540">
        <f t="shared" si="134"/>
        <v>1.179</v>
      </c>
      <c r="M540">
        <f t="shared" si="135"/>
        <v>1.0885</v>
      </c>
      <c r="N540">
        <f t="shared" si="136"/>
        <v>804324</v>
      </c>
      <c r="O540">
        <f t="shared" si="137"/>
        <v>21842.472330000004</v>
      </c>
      <c r="P540">
        <f t="shared" si="138"/>
        <v>6700</v>
      </c>
      <c r="Q540">
        <f t="shared" si="139"/>
        <v>0.9</v>
      </c>
    </row>
    <row r="541" spans="1:17" x14ac:dyDescent="0.25">
      <c r="A541">
        <v>539</v>
      </c>
      <c r="B541">
        <f t="shared" si="125"/>
        <v>18</v>
      </c>
      <c r="C541">
        <f t="shared" si="126"/>
        <v>3</v>
      </c>
      <c r="D541" t="str">
        <f t="shared" si="127"/>
        <v/>
      </c>
      <c r="E541" t="str">
        <f t="shared" si="128"/>
        <v/>
      </c>
      <c r="F541">
        <f t="shared" si="129"/>
        <v>890</v>
      </c>
      <c r="G541" t="str">
        <f t="shared" si="130"/>
        <v/>
      </c>
      <c r="H541" t="str">
        <f t="shared" si="131"/>
        <v/>
      </c>
      <c r="I541">
        <f t="shared" si="132"/>
        <v>14600</v>
      </c>
      <c r="J541">
        <f>SUM($G$3:I541)</f>
        <v>4036220</v>
      </c>
      <c r="K541">
        <f t="shared" si="133"/>
        <v>17020</v>
      </c>
      <c r="L541">
        <f t="shared" si="134"/>
        <v>1.179</v>
      </c>
      <c r="M541">
        <f t="shared" si="135"/>
        <v>1.089</v>
      </c>
      <c r="N541">
        <f t="shared" si="136"/>
        <v>807244</v>
      </c>
      <c r="O541">
        <f t="shared" si="137"/>
        <v>21852.50562</v>
      </c>
      <c r="P541">
        <f t="shared" si="138"/>
        <v>6700</v>
      </c>
      <c r="Q541">
        <f t="shared" si="139"/>
        <v>0.9</v>
      </c>
    </row>
    <row r="542" spans="1:17" x14ac:dyDescent="0.25">
      <c r="A542">
        <v>540</v>
      </c>
      <c r="B542">
        <f t="shared" si="125"/>
        <v>18</v>
      </c>
      <c r="C542">
        <f t="shared" si="126"/>
        <v>3</v>
      </c>
      <c r="D542" t="str">
        <f t="shared" si="127"/>
        <v/>
      </c>
      <c r="E542" t="str">
        <f t="shared" si="128"/>
        <v/>
      </c>
      <c r="F542">
        <f t="shared" si="129"/>
        <v>895</v>
      </c>
      <c r="G542" t="str">
        <f t="shared" si="130"/>
        <v/>
      </c>
      <c r="H542" t="str">
        <f t="shared" si="131"/>
        <v/>
      </c>
      <c r="I542">
        <f t="shared" si="132"/>
        <v>14750</v>
      </c>
      <c r="J542">
        <f>SUM($G$3:I542)</f>
        <v>4050970</v>
      </c>
      <c r="K542">
        <f t="shared" si="133"/>
        <v>17020</v>
      </c>
      <c r="L542">
        <f t="shared" si="134"/>
        <v>1.179</v>
      </c>
      <c r="M542">
        <f t="shared" si="135"/>
        <v>1.0894999999999999</v>
      </c>
      <c r="N542">
        <f t="shared" si="136"/>
        <v>810194</v>
      </c>
      <c r="O542">
        <f t="shared" si="137"/>
        <v>21862.538909999999</v>
      </c>
      <c r="P542">
        <f t="shared" si="138"/>
        <v>6700</v>
      </c>
      <c r="Q542">
        <f t="shared" si="139"/>
        <v>0.9</v>
      </c>
    </row>
    <row r="543" spans="1:17" x14ac:dyDescent="0.25">
      <c r="A543">
        <v>541</v>
      </c>
      <c r="B543">
        <f t="shared" si="125"/>
        <v>19</v>
      </c>
      <c r="C543">
        <f t="shared" si="126"/>
        <v>1</v>
      </c>
      <c r="D543">
        <f t="shared" si="127"/>
        <v>1720</v>
      </c>
      <c r="E543" t="str">
        <f t="shared" si="128"/>
        <v/>
      </c>
      <c r="F543" t="str">
        <f t="shared" si="129"/>
        <v/>
      </c>
      <c r="G543">
        <f t="shared" si="130"/>
        <v>33500</v>
      </c>
      <c r="H543" t="str">
        <f t="shared" si="131"/>
        <v/>
      </c>
      <c r="I543" t="str">
        <f t="shared" si="132"/>
        <v/>
      </c>
      <c r="J543">
        <f>SUM($G$3:I543)</f>
        <v>4084470</v>
      </c>
      <c r="K543">
        <f t="shared" si="133"/>
        <v>17200</v>
      </c>
      <c r="L543">
        <f t="shared" si="134"/>
        <v>1.179</v>
      </c>
      <c r="M543">
        <f t="shared" si="135"/>
        <v>1.0894999999999999</v>
      </c>
      <c r="N543">
        <f t="shared" si="136"/>
        <v>816894</v>
      </c>
      <c r="O543">
        <f t="shared" si="137"/>
        <v>22093.752599999996</v>
      </c>
      <c r="P543">
        <f t="shared" si="138"/>
        <v>6700</v>
      </c>
      <c r="Q543">
        <f t="shared" si="139"/>
        <v>0.9</v>
      </c>
    </row>
    <row r="544" spans="1:17" x14ac:dyDescent="0.25">
      <c r="A544">
        <v>542</v>
      </c>
      <c r="B544">
        <f t="shared" si="125"/>
        <v>19</v>
      </c>
      <c r="C544">
        <f t="shared" si="126"/>
        <v>1</v>
      </c>
      <c r="D544">
        <f t="shared" si="127"/>
        <v>1739</v>
      </c>
      <c r="E544" t="str">
        <f t="shared" si="128"/>
        <v/>
      </c>
      <c r="F544" t="str">
        <f t="shared" si="129"/>
        <v/>
      </c>
      <c r="G544">
        <f t="shared" si="130"/>
        <v>33710</v>
      </c>
      <c r="H544" t="str">
        <f t="shared" si="131"/>
        <v/>
      </c>
      <c r="I544" t="str">
        <f t="shared" si="132"/>
        <v/>
      </c>
      <c r="J544">
        <f>SUM($G$3:I544)</f>
        <v>4118180</v>
      </c>
      <c r="K544">
        <f t="shared" si="133"/>
        <v>17390</v>
      </c>
      <c r="L544">
        <f t="shared" si="134"/>
        <v>1.179</v>
      </c>
      <c r="M544">
        <f t="shared" si="135"/>
        <v>1.0894999999999999</v>
      </c>
      <c r="N544">
        <f t="shared" si="136"/>
        <v>823636</v>
      </c>
      <c r="O544">
        <f t="shared" si="137"/>
        <v>22337.811494999998</v>
      </c>
      <c r="P544">
        <f t="shared" si="138"/>
        <v>6700</v>
      </c>
      <c r="Q544">
        <f t="shared" si="139"/>
        <v>0.9</v>
      </c>
    </row>
    <row r="545" spans="1:17" x14ac:dyDescent="0.25">
      <c r="A545">
        <v>543</v>
      </c>
      <c r="B545">
        <f t="shared" si="125"/>
        <v>19</v>
      </c>
      <c r="C545">
        <f t="shared" si="126"/>
        <v>1</v>
      </c>
      <c r="D545">
        <f t="shared" si="127"/>
        <v>1758</v>
      </c>
      <c r="E545" t="str">
        <f t="shared" si="128"/>
        <v/>
      </c>
      <c r="F545" t="str">
        <f t="shared" si="129"/>
        <v/>
      </c>
      <c r="G545">
        <f t="shared" si="130"/>
        <v>33920</v>
      </c>
      <c r="H545" t="str">
        <f t="shared" si="131"/>
        <v/>
      </c>
      <c r="I545" t="str">
        <f t="shared" si="132"/>
        <v/>
      </c>
      <c r="J545">
        <f>SUM($G$3:I545)</f>
        <v>4152100</v>
      </c>
      <c r="K545">
        <f t="shared" si="133"/>
        <v>17580</v>
      </c>
      <c r="L545">
        <f t="shared" si="134"/>
        <v>1.179</v>
      </c>
      <c r="M545">
        <f t="shared" si="135"/>
        <v>1.0894999999999999</v>
      </c>
      <c r="N545">
        <f t="shared" si="136"/>
        <v>830420</v>
      </c>
      <c r="O545">
        <f t="shared" si="137"/>
        <v>22581.870389999996</v>
      </c>
      <c r="P545">
        <f t="shared" si="138"/>
        <v>6700</v>
      </c>
      <c r="Q545">
        <f t="shared" si="139"/>
        <v>0.9</v>
      </c>
    </row>
    <row r="546" spans="1:17" x14ac:dyDescent="0.25">
      <c r="A546">
        <v>544</v>
      </c>
      <c r="B546">
        <f t="shared" ref="B546:B609" si="140">B516+1</f>
        <v>19</v>
      </c>
      <c r="C546">
        <f t="shared" ref="C546:C609" si="141">C516</f>
        <v>1</v>
      </c>
      <c r="D546">
        <f t="shared" si="127"/>
        <v>1777</v>
      </c>
      <c r="E546" t="str">
        <f t="shared" si="128"/>
        <v/>
      </c>
      <c r="F546" t="str">
        <f t="shared" si="129"/>
        <v/>
      </c>
      <c r="G546">
        <f t="shared" si="130"/>
        <v>34130</v>
      </c>
      <c r="H546" t="str">
        <f t="shared" si="131"/>
        <v/>
      </c>
      <c r="I546" t="str">
        <f t="shared" si="132"/>
        <v/>
      </c>
      <c r="J546">
        <f>SUM($G$3:I546)</f>
        <v>4186230</v>
      </c>
      <c r="K546">
        <f t="shared" si="133"/>
        <v>17770</v>
      </c>
      <c r="L546">
        <f t="shared" si="134"/>
        <v>1.179</v>
      </c>
      <c r="M546">
        <f t="shared" si="135"/>
        <v>1.0894999999999999</v>
      </c>
      <c r="N546">
        <f t="shared" si="136"/>
        <v>837246</v>
      </c>
      <c r="O546">
        <f t="shared" si="137"/>
        <v>22825.929284999998</v>
      </c>
      <c r="P546">
        <f t="shared" si="138"/>
        <v>6700</v>
      </c>
      <c r="Q546">
        <f t="shared" si="139"/>
        <v>0.9</v>
      </c>
    </row>
    <row r="547" spans="1:17" x14ac:dyDescent="0.25">
      <c r="A547">
        <v>545</v>
      </c>
      <c r="B547">
        <f t="shared" si="140"/>
        <v>19</v>
      </c>
      <c r="C547">
        <f t="shared" si="141"/>
        <v>1</v>
      </c>
      <c r="D547">
        <f t="shared" si="127"/>
        <v>1796</v>
      </c>
      <c r="E547" t="str">
        <f t="shared" si="128"/>
        <v/>
      </c>
      <c r="F547" t="str">
        <f t="shared" si="129"/>
        <v/>
      </c>
      <c r="G547">
        <f t="shared" si="130"/>
        <v>34340</v>
      </c>
      <c r="H547" t="str">
        <f t="shared" si="131"/>
        <v/>
      </c>
      <c r="I547" t="str">
        <f t="shared" si="132"/>
        <v/>
      </c>
      <c r="J547">
        <f>SUM($G$3:I547)</f>
        <v>4220570</v>
      </c>
      <c r="K547">
        <f t="shared" si="133"/>
        <v>17960</v>
      </c>
      <c r="L547">
        <f t="shared" si="134"/>
        <v>1.179</v>
      </c>
      <c r="M547">
        <f t="shared" si="135"/>
        <v>1.0894999999999999</v>
      </c>
      <c r="N547">
        <f t="shared" si="136"/>
        <v>844114</v>
      </c>
      <c r="O547">
        <f t="shared" si="137"/>
        <v>23069.988179999997</v>
      </c>
      <c r="P547">
        <f t="shared" si="138"/>
        <v>6700</v>
      </c>
      <c r="Q547">
        <f t="shared" si="139"/>
        <v>0.9</v>
      </c>
    </row>
    <row r="548" spans="1:17" x14ac:dyDescent="0.25">
      <c r="A548">
        <v>546</v>
      </c>
      <c r="B548">
        <f t="shared" si="140"/>
        <v>19</v>
      </c>
      <c r="C548">
        <f t="shared" si="141"/>
        <v>1</v>
      </c>
      <c r="D548">
        <f t="shared" si="127"/>
        <v>1815</v>
      </c>
      <c r="E548" t="str">
        <f t="shared" si="128"/>
        <v/>
      </c>
      <c r="F548" t="str">
        <f t="shared" si="129"/>
        <v/>
      </c>
      <c r="G548">
        <f t="shared" si="130"/>
        <v>34550</v>
      </c>
      <c r="H548" t="str">
        <f t="shared" si="131"/>
        <v/>
      </c>
      <c r="I548" t="str">
        <f t="shared" si="132"/>
        <v/>
      </c>
      <c r="J548">
        <f>SUM($G$3:I548)</f>
        <v>4255120</v>
      </c>
      <c r="K548">
        <f t="shared" si="133"/>
        <v>18150</v>
      </c>
      <c r="L548">
        <f t="shared" si="134"/>
        <v>1.179</v>
      </c>
      <c r="M548">
        <f t="shared" si="135"/>
        <v>1.0894999999999999</v>
      </c>
      <c r="N548">
        <f t="shared" si="136"/>
        <v>851024</v>
      </c>
      <c r="O548">
        <f t="shared" si="137"/>
        <v>23314.047075000002</v>
      </c>
      <c r="P548">
        <f t="shared" si="138"/>
        <v>6700</v>
      </c>
      <c r="Q548">
        <f t="shared" si="139"/>
        <v>0.9</v>
      </c>
    </row>
    <row r="549" spans="1:17" x14ac:dyDescent="0.25">
      <c r="A549">
        <v>547</v>
      </c>
      <c r="B549">
        <f t="shared" si="140"/>
        <v>19</v>
      </c>
      <c r="C549">
        <f t="shared" si="141"/>
        <v>1</v>
      </c>
      <c r="D549">
        <f t="shared" si="127"/>
        <v>1834</v>
      </c>
      <c r="E549" t="str">
        <f t="shared" si="128"/>
        <v/>
      </c>
      <c r="F549" t="str">
        <f t="shared" si="129"/>
        <v/>
      </c>
      <c r="G549">
        <f t="shared" si="130"/>
        <v>34760</v>
      </c>
      <c r="H549" t="str">
        <f t="shared" si="131"/>
        <v/>
      </c>
      <c r="I549" t="str">
        <f t="shared" si="132"/>
        <v/>
      </c>
      <c r="J549">
        <f>SUM($G$3:I549)</f>
        <v>4289880</v>
      </c>
      <c r="K549">
        <f t="shared" si="133"/>
        <v>18340</v>
      </c>
      <c r="L549">
        <f t="shared" si="134"/>
        <v>1.179</v>
      </c>
      <c r="M549">
        <f t="shared" si="135"/>
        <v>1.0894999999999999</v>
      </c>
      <c r="N549">
        <f t="shared" si="136"/>
        <v>857976</v>
      </c>
      <c r="O549">
        <f t="shared" si="137"/>
        <v>23558.105970000001</v>
      </c>
      <c r="P549">
        <f t="shared" si="138"/>
        <v>6700</v>
      </c>
      <c r="Q549">
        <f t="shared" si="139"/>
        <v>0.9</v>
      </c>
    </row>
    <row r="550" spans="1:17" x14ac:dyDescent="0.25">
      <c r="A550">
        <v>548</v>
      </c>
      <c r="B550">
        <f t="shared" si="140"/>
        <v>19</v>
      </c>
      <c r="C550">
        <f t="shared" si="141"/>
        <v>1</v>
      </c>
      <c r="D550">
        <f t="shared" si="127"/>
        <v>1853</v>
      </c>
      <c r="E550" t="str">
        <f t="shared" si="128"/>
        <v/>
      </c>
      <c r="F550" t="str">
        <f t="shared" si="129"/>
        <v/>
      </c>
      <c r="G550">
        <f t="shared" si="130"/>
        <v>34970</v>
      </c>
      <c r="H550" t="str">
        <f t="shared" si="131"/>
        <v/>
      </c>
      <c r="I550" t="str">
        <f t="shared" si="132"/>
        <v/>
      </c>
      <c r="J550">
        <f>SUM($G$3:I550)</f>
        <v>4324850</v>
      </c>
      <c r="K550">
        <f t="shared" si="133"/>
        <v>18530</v>
      </c>
      <c r="L550">
        <f t="shared" si="134"/>
        <v>1.179</v>
      </c>
      <c r="M550">
        <f t="shared" si="135"/>
        <v>1.0894999999999999</v>
      </c>
      <c r="N550">
        <f t="shared" si="136"/>
        <v>864970</v>
      </c>
      <c r="O550">
        <f t="shared" si="137"/>
        <v>23802.164865000002</v>
      </c>
      <c r="P550">
        <f t="shared" si="138"/>
        <v>6700</v>
      </c>
      <c r="Q550">
        <f t="shared" si="139"/>
        <v>0.9</v>
      </c>
    </row>
    <row r="551" spans="1:17" x14ac:dyDescent="0.25">
      <c r="A551">
        <v>549</v>
      </c>
      <c r="B551">
        <f t="shared" si="140"/>
        <v>19</v>
      </c>
      <c r="C551">
        <f t="shared" si="141"/>
        <v>1</v>
      </c>
      <c r="D551">
        <f t="shared" si="127"/>
        <v>1872</v>
      </c>
      <c r="E551" t="str">
        <f t="shared" si="128"/>
        <v/>
      </c>
      <c r="F551" t="str">
        <f t="shared" si="129"/>
        <v/>
      </c>
      <c r="G551">
        <f t="shared" si="130"/>
        <v>35180</v>
      </c>
      <c r="H551" t="str">
        <f t="shared" si="131"/>
        <v/>
      </c>
      <c r="I551" t="str">
        <f t="shared" si="132"/>
        <v/>
      </c>
      <c r="J551">
        <f>SUM($G$3:I551)</f>
        <v>4360030</v>
      </c>
      <c r="K551">
        <f t="shared" si="133"/>
        <v>18720</v>
      </c>
      <c r="L551">
        <f t="shared" si="134"/>
        <v>1.179</v>
      </c>
      <c r="M551">
        <f t="shared" si="135"/>
        <v>1.0894999999999999</v>
      </c>
      <c r="N551">
        <f t="shared" si="136"/>
        <v>872006</v>
      </c>
      <c r="O551">
        <f t="shared" si="137"/>
        <v>24046.223760000001</v>
      </c>
      <c r="P551">
        <f t="shared" si="138"/>
        <v>6700</v>
      </c>
      <c r="Q551">
        <f t="shared" si="139"/>
        <v>0.9</v>
      </c>
    </row>
    <row r="552" spans="1:17" x14ac:dyDescent="0.25">
      <c r="A552">
        <v>550</v>
      </c>
      <c r="B552">
        <f t="shared" si="140"/>
        <v>19</v>
      </c>
      <c r="C552">
        <f t="shared" si="141"/>
        <v>1</v>
      </c>
      <c r="D552">
        <f t="shared" si="127"/>
        <v>1891</v>
      </c>
      <c r="E552" t="str">
        <f t="shared" si="128"/>
        <v/>
      </c>
      <c r="F552" t="str">
        <f t="shared" si="129"/>
        <v/>
      </c>
      <c r="G552">
        <f t="shared" si="130"/>
        <v>35390</v>
      </c>
      <c r="H552" t="str">
        <f t="shared" si="131"/>
        <v/>
      </c>
      <c r="I552" t="str">
        <f t="shared" si="132"/>
        <v/>
      </c>
      <c r="J552">
        <f>SUM($G$3:I552)</f>
        <v>4395420</v>
      </c>
      <c r="K552">
        <f t="shared" si="133"/>
        <v>18910</v>
      </c>
      <c r="L552">
        <f t="shared" si="134"/>
        <v>1.179</v>
      </c>
      <c r="M552">
        <f t="shared" si="135"/>
        <v>1.0894999999999999</v>
      </c>
      <c r="N552">
        <f t="shared" si="136"/>
        <v>879084</v>
      </c>
      <c r="O552">
        <f t="shared" si="137"/>
        <v>24290.282654999999</v>
      </c>
      <c r="P552">
        <f t="shared" si="138"/>
        <v>7700</v>
      </c>
      <c r="Q552">
        <f t="shared" si="139"/>
        <v>0.9</v>
      </c>
    </row>
    <row r="553" spans="1:17" x14ac:dyDescent="0.25">
      <c r="A553">
        <v>551</v>
      </c>
      <c r="B553">
        <f t="shared" si="140"/>
        <v>19</v>
      </c>
      <c r="C553">
        <f t="shared" si="141"/>
        <v>2</v>
      </c>
      <c r="D553" t="str">
        <f t="shared" si="127"/>
        <v/>
      </c>
      <c r="E553">
        <f t="shared" si="128"/>
        <v>1800</v>
      </c>
      <c r="F553" t="str">
        <f t="shared" si="129"/>
        <v/>
      </c>
      <c r="G553" t="str">
        <f t="shared" si="130"/>
        <v/>
      </c>
      <c r="H553">
        <f t="shared" si="131"/>
        <v>22333</v>
      </c>
      <c r="I553" t="str">
        <f t="shared" si="132"/>
        <v/>
      </c>
      <c r="J553">
        <f>SUM($G$3:I553)</f>
        <v>4417753</v>
      </c>
      <c r="K553">
        <f t="shared" si="133"/>
        <v>18910</v>
      </c>
      <c r="L553">
        <f t="shared" si="134"/>
        <v>1.18</v>
      </c>
      <c r="M553">
        <f t="shared" si="135"/>
        <v>1.0894999999999999</v>
      </c>
      <c r="N553">
        <f t="shared" si="136"/>
        <v>883550.60000000009</v>
      </c>
      <c r="O553">
        <f t="shared" si="137"/>
        <v>24310.885099999996</v>
      </c>
      <c r="P553">
        <f t="shared" si="138"/>
        <v>7700</v>
      </c>
      <c r="Q553">
        <f t="shared" si="139"/>
        <v>0.9</v>
      </c>
    </row>
    <row r="554" spans="1:17" x14ac:dyDescent="0.25">
      <c r="A554">
        <v>552</v>
      </c>
      <c r="B554">
        <f t="shared" si="140"/>
        <v>19</v>
      </c>
      <c r="C554">
        <f t="shared" si="141"/>
        <v>2</v>
      </c>
      <c r="D554" t="str">
        <f t="shared" si="127"/>
        <v/>
      </c>
      <c r="E554">
        <f t="shared" si="128"/>
        <v>1810</v>
      </c>
      <c r="F554" t="str">
        <f t="shared" si="129"/>
        <v/>
      </c>
      <c r="G554" t="str">
        <f t="shared" si="130"/>
        <v/>
      </c>
      <c r="H554">
        <f t="shared" si="131"/>
        <v>22473</v>
      </c>
      <c r="I554" t="str">
        <f t="shared" si="132"/>
        <v/>
      </c>
      <c r="J554">
        <f>SUM($G$3:I554)</f>
        <v>4440226</v>
      </c>
      <c r="K554">
        <f t="shared" si="133"/>
        <v>18910</v>
      </c>
      <c r="L554">
        <f t="shared" si="134"/>
        <v>1.181</v>
      </c>
      <c r="M554">
        <f t="shared" si="135"/>
        <v>1.0894999999999999</v>
      </c>
      <c r="N554">
        <f t="shared" si="136"/>
        <v>888045.20000000007</v>
      </c>
      <c r="O554">
        <f t="shared" si="137"/>
        <v>24331.487544999996</v>
      </c>
      <c r="P554">
        <f t="shared" si="138"/>
        <v>7700</v>
      </c>
      <c r="Q554">
        <f t="shared" si="139"/>
        <v>0.9</v>
      </c>
    </row>
    <row r="555" spans="1:17" x14ac:dyDescent="0.25">
      <c r="A555">
        <v>553</v>
      </c>
      <c r="B555">
        <f t="shared" si="140"/>
        <v>19</v>
      </c>
      <c r="C555">
        <f t="shared" si="141"/>
        <v>2</v>
      </c>
      <c r="D555" t="str">
        <f t="shared" si="127"/>
        <v/>
      </c>
      <c r="E555">
        <f t="shared" si="128"/>
        <v>1820</v>
      </c>
      <c r="F555" t="str">
        <f t="shared" si="129"/>
        <v/>
      </c>
      <c r="G555" t="str">
        <f t="shared" si="130"/>
        <v/>
      </c>
      <c r="H555">
        <f t="shared" si="131"/>
        <v>22613</v>
      </c>
      <c r="I555" t="str">
        <f t="shared" si="132"/>
        <v/>
      </c>
      <c r="J555">
        <f>SUM($G$3:I555)</f>
        <v>4462839</v>
      </c>
      <c r="K555">
        <f t="shared" si="133"/>
        <v>18910</v>
      </c>
      <c r="L555">
        <f t="shared" si="134"/>
        <v>1.1819999999999999</v>
      </c>
      <c r="M555">
        <f t="shared" si="135"/>
        <v>1.0894999999999999</v>
      </c>
      <c r="N555">
        <f t="shared" si="136"/>
        <v>892567.8</v>
      </c>
      <c r="O555">
        <f t="shared" si="137"/>
        <v>24352.089989999997</v>
      </c>
      <c r="P555">
        <f t="shared" si="138"/>
        <v>7700</v>
      </c>
      <c r="Q555">
        <f t="shared" si="139"/>
        <v>0.9</v>
      </c>
    </row>
    <row r="556" spans="1:17" x14ac:dyDescent="0.25">
      <c r="A556">
        <v>554</v>
      </c>
      <c r="B556">
        <f t="shared" si="140"/>
        <v>19</v>
      </c>
      <c r="C556">
        <f t="shared" si="141"/>
        <v>2</v>
      </c>
      <c r="D556" t="str">
        <f t="shared" si="127"/>
        <v/>
      </c>
      <c r="E556">
        <f t="shared" si="128"/>
        <v>1830</v>
      </c>
      <c r="F556" t="str">
        <f t="shared" si="129"/>
        <v/>
      </c>
      <c r="G556" t="str">
        <f t="shared" si="130"/>
        <v/>
      </c>
      <c r="H556">
        <f t="shared" si="131"/>
        <v>22753</v>
      </c>
      <c r="I556" t="str">
        <f t="shared" si="132"/>
        <v/>
      </c>
      <c r="J556">
        <f>SUM($G$3:I556)</f>
        <v>4485592</v>
      </c>
      <c r="K556">
        <f t="shared" si="133"/>
        <v>18910</v>
      </c>
      <c r="L556">
        <f t="shared" si="134"/>
        <v>1.1830000000000001</v>
      </c>
      <c r="M556">
        <f t="shared" si="135"/>
        <v>1.0894999999999999</v>
      </c>
      <c r="N556">
        <f t="shared" si="136"/>
        <v>897118.4</v>
      </c>
      <c r="O556">
        <f t="shared" si="137"/>
        <v>24372.692435000001</v>
      </c>
      <c r="P556">
        <f t="shared" si="138"/>
        <v>7700</v>
      </c>
      <c r="Q556">
        <f t="shared" si="139"/>
        <v>0.9</v>
      </c>
    </row>
    <row r="557" spans="1:17" x14ac:dyDescent="0.25">
      <c r="A557">
        <v>555</v>
      </c>
      <c r="B557">
        <f t="shared" si="140"/>
        <v>19</v>
      </c>
      <c r="C557">
        <f t="shared" si="141"/>
        <v>2</v>
      </c>
      <c r="D557" t="str">
        <f t="shared" si="127"/>
        <v/>
      </c>
      <c r="E557">
        <f t="shared" si="128"/>
        <v>1840</v>
      </c>
      <c r="F557" t="str">
        <f t="shared" si="129"/>
        <v/>
      </c>
      <c r="G557" t="str">
        <f t="shared" si="130"/>
        <v/>
      </c>
      <c r="H557">
        <f t="shared" si="131"/>
        <v>22893</v>
      </c>
      <c r="I557" t="str">
        <f t="shared" si="132"/>
        <v/>
      </c>
      <c r="J557">
        <f>SUM($G$3:I557)</f>
        <v>4508485</v>
      </c>
      <c r="K557">
        <f t="shared" si="133"/>
        <v>18910</v>
      </c>
      <c r="L557">
        <f t="shared" si="134"/>
        <v>1.1839999999999999</v>
      </c>
      <c r="M557">
        <f t="shared" si="135"/>
        <v>1.0894999999999999</v>
      </c>
      <c r="N557">
        <f t="shared" si="136"/>
        <v>901697</v>
      </c>
      <c r="O557">
        <f t="shared" si="137"/>
        <v>24393.294879999998</v>
      </c>
      <c r="P557">
        <f t="shared" si="138"/>
        <v>7700</v>
      </c>
      <c r="Q557">
        <f t="shared" si="139"/>
        <v>0.9</v>
      </c>
    </row>
    <row r="558" spans="1:17" x14ac:dyDescent="0.25">
      <c r="A558">
        <v>556</v>
      </c>
      <c r="B558">
        <f t="shared" si="140"/>
        <v>19</v>
      </c>
      <c r="C558">
        <f t="shared" si="141"/>
        <v>2</v>
      </c>
      <c r="D558" t="str">
        <f t="shared" si="127"/>
        <v/>
      </c>
      <c r="E558">
        <f t="shared" si="128"/>
        <v>1850</v>
      </c>
      <c r="F558" t="str">
        <f t="shared" si="129"/>
        <v/>
      </c>
      <c r="G558" t="str">
        <f t="shared" si="130"/>
        <v/>
      </c>
      <c r="H558">
        <f t="shared" si="131"/>
        <v>23033</v>
      </c>
      <c r="I558" t="str">
        <f t="shared" si="132"/>
        <v/>
      </c>
      <c r="J558">
        <f>SUM($G$3:I558)</f>
        <v>4531518</v>
      </c>
      <c r="K558">
        <f t="shared" si="133"/>
        <v>18910</v>
      </c>
      <c r="L558">
        <f t="shared" si="134"/>
        <v>1.1850000000000001</v>
      </c>
      <c r="M558">
        <f t="shared" si="135"/>
        <v>1.0894999999999999</v>
      </c>
      <c r="N558">
        <f t="shared" si="136"/>
        <v>906303.60000000009</v>
      </c>
      <c r="O558">
        <f t="shared" si="137"/>
        <v>24413.897325000002</v>
      </c>
      <c r="P558">
        <f t="shared" si="138"/>
        <v>7700</v>
      </c>
      <c r="Q558">
        <f t="shared" si="139"/>
        <v>0.9</v>
      </c>
    </row>
    <row r="559" spans="1:17" x14ac:dyDescent="0.25">
      <c r="A559">
        <v>557</v>
      </c>
      <c r="B559">
        <f t="shared" si="140"/>
        <v>19</v>
      </c>
      <c r="C559">
        <f t="shared" si="141"/>
        <v>2</v>
      </c>
      <c r="D559" t="str">
        <f t="shared" si="127"/>
        <v/>
      </c>
      <c r="E559">
        <f t="shared" si="128"/>
        <v>1860</v>
      </c>
      <c r="F559" t="str">
        <f t="shared" si="129"/>
        <v/>
      </c>
      <c r="G559" t="str">
        <f t="shared" si="130"/>
        <v/>
      </c>
      <c r="H559">
        <f t="shared" si="131"/>
        <v>23173</v>
      </c>
      <c r="I559" t="str">
        <f t="shared" si="132"/>
        <v/>
      </c>
      <c r="J559">
        <f>SUM($G$3:I559)</f>
        <v>4554691</v>
      </c>
      <c r="K559">
        <f t="shared" si="133"/>
        <v>18910</v>
      </c>
      <c r="L559">
        <f t="shared" si="134"/>
        <v>1.1859999999999999</v>
      </c>
      <c r="M559">
        <f t="shared" si="135"/>
        <v>1.0894999999999999</v>
      </c>
      <c r="N559">
        <f t="shared" si="136"/>
        <v>910938.20000000007</v>
      </c>
      <c r="O559">
        <f t="shared" si="137"/>
        <v>24434.499769999995</v>
      </c>
      <c r="P559">
        <f t="shared" si="138"/>
        <v>7700</v>
      </c>
      <c r="Q559">
        <f t="shared" si="139"/>
        <v>0.9</v>
      </c>
    </row>
    <row r="560" spans="1:17" x14ac:dyDescent="0.25">
      <c r="A560">
        <v>558</v>
      </c>
      <c r="B560">
        <f t="shared" si="140"/>
        <v>19</v>
      </c>
      <c r="C560">
        <f t="shared" si="141"/>
        <v>2</v>
      </c>
      <c r="D560" t="str">
        <f t="shared" si="127"/>
        <v/>
      </c>
      <c r="E560">
        <f t="shared" si="128"/>
        <v>1870</v>
      </c>
      <c r="F560" t="str">
        <f t="shared" si="129"/>
        <v/>
      </c>
      <c r="G560" t="str">
        <f t="shared" si="130"/>
        <v/>
      </c>
      <c r="H560">
        <f t="shared" si="131"/>
        <v>23313</v>
      </c>
      <c r="I560" t="str">
        <f t="shared" si="132"/>
        <v/>
      </c>
      <c r="J560">
        <f>SUM($G$3:I560)</f>
        <v>4578004</v>
      </c>
      <c r="K560">
        <f t="shared" si="133"/>
        <v>18910</v>
      </c>
      <c r="L560">
        <f t="shared" si="134"/>
        <v>1.1870000000000001</v>
      </c>
      <c r="M560">
        <f t="shared" si="135"/>
        <v>1.0894999999999999</v>
      </c>
      <c r="N560">
        <f t="shared" si="136"/>
        <v>915600.8</v>
      </c>
      <c r="O560">
        <f t="shared" si="137"/>
        <v>24455.102214999999</v>
      </c>
      <c r="P560">
        <f t="shared" si="138"/>
        <v>7700</v>
      </c>
      <c r="Q560">
        <f t="shared" si="139"/>
        <v>0.9</v>
      </c>
    </row>
    <row r="561" spans="1:17" x14ac:dyDescent="0.25">
      <c r="A561">
        <v>559</v>
      </c>
      <c r="B561">
        <f t="shared" si="140"/>
        <v>19</v>
      </c>
      <c r="C561">
        <f t="shared" si="141"/>
        <v>2</v>
      </c>
      <c r="D561" t="str">
        <f t="shared" si="127"/>
        <v/>
      </c>
      <c r="E561">
        <f t="shared" si="128"/>
        <v>1880</v>
      </c>
      <c r="F561" t="str">
        <f t="shared" si="129"/>
        <v/>
      </c>
      <c r="G561" t="str">
        <f t="shared" si="130"/>
        <v/>
      </c>
      <c r="H561">
        <f t="shared" si="131"/>
        <v>23453</v>
      </c>
      <c r="I561" t="str">
        <f t="shared" si="132"/>
        <v/>
      </c>
      <c r="J561">
        <f>SUM($G$3:I561)</f>
        <v>4601457</v>
      </c>
      <c r="K561">
        <f t="shared" si="133"/>
        <v>18910</v>
      </c>
      <c r="L561">
        <f t="shared" si="134"/>
        <v>1.1879999999999999</v>
      </c>
      <c r="M561">
        <f t="shared" si="135"/>
        <v>1.0894999999999999</v>
      </c>
      <c r="N561">
        <f t="shared" si="136"/>
        <v>920291.4</v>
      </c>
      <c r="O561">
        <f t="shared" si="137"/>
        <v>24475.704659999996</v>
      </c>
      <c r="P561">
        <f t="shared" si="138"/>
        <v>7700</v>
      </c>
      <c r="Q561">
        <f t="shared" si="139"/>
        <v>0.9</v>
      </c>
    </row>
    <row r="562" spans="1:17" x14ac:dyDescent="0.25">
      <c r="A562">
        <v>560</v>
      </c>
      <c r="B562">
        <f t="shared" si="140"/>
        <v>19</v>
      </c>
      <c r="C562">
        <f t="shared" si="141"/>
        <v>2</v>
      </c>
      <c r="D562" t="str">
        <f t="shared" si="127"/>
        <v/>
      </c>
      <c r="E562">
        <f t="shared" si="128"/>
        <v>1890</v>
      </c>
      <c r="F562" t="str">
        <f t="shared" si="129"/>
        <v/>
      </c>
      <c r="G562" t="str">
        <f t="shared" si="130"/>
        <v/>
      </c>
      <c r="H562">
        <f t="shared" si="131"/>
        <v>23593</v>
      </c>
      <c r="I562" t="str">
        <f t="shared" si="132"/>
        <v/>
      </c>
      <c r="J562">
        <f>SUM($G$3:I562)</f>
        <v>4625050</v>
      </c>
      <c r="K562">
        <f t="shared" si="133"/>
        <v>18910</v>
      </c>
      <c r="L562">
        <f t="shared" si="134"/>
        <v>1.1890000000000001</v>
      </c>
      <c r="M562">
        <f t="shared" si="135"/>
        <v>1.0894999999999999</v>
      </c>
      <c r="N562">
        <f t="shared" si="136"/>
        <v>925010</v>
      </c>
      <c r="O562">
        <f t="shared" si="137"/>
        <v>24496.307105</v>
      </c>
      <c r="P562">
        <f t="shared" si="138"/>
        <v>7700</v>
      </c>
      <c r="Q562">
        <f t="shared" si="139"/>
        <v>0.9</v>
      </c>
    </row>
    <row r="563" spans="1:17" x14ac:dyDescent="0.25">
      <c r="A563">
        <v>561</v>
      </c>
      <c r="B563">
        <f t="shared" si="140"/>
        <v>19</v>
      </c>
      <c r="C563">
        <f t="shared" si="141"/>
        <v>3</v>
      </c>
      <c r="D563" t="str">
        <f t="shared" si="127"/>
        <v/>
      </c>
      <c r="E563" t="str">
        <f t="shared" si="128"/>
        <v/>
      </c>
      <c r="F563">
        <f t="shared" si="129"/>
        <v>900</v>
      </c>
      <c r="G563" t="str">
        <f t="shared" si="130"/>
        <v/>
      </c>
      <c r="H563" t="str">
        <f t="shared" si="131"/>
        <v/>
      </c>
      <c r="I563">
        <f t="shared" si="132"/>
        <v>16750</v>
      </c>
      <c r="J563">
        <f>SUM($G$3:I563)</f>
        <v>4641800</v>
      </c>
      <c r="K563">
        <f t="shared" si="133"/>
        <v>18910</v>
      </c>
      <c r="L563">
        <f t="shared" si="134"/>
        <v>1.1890000000000001</v>
      </c>
      <c r="M563">
        <f t="shared" si="135"/>
        <v>1.0900000000000001</v>
      </c>
      <c r="N563">
        <f t="shared" si="136"/>
        <v>928360</v>
      </c>
      <c r="O563">
        <f t="shared" si="137"/>
        <v>24507.549100000004</v>
      </c>
      <c r="P563">
        <f t="shared" si="138"/>
        <v>7700</v>
      </c>
      <c r="Q563">
        <f t="shared" si="139"/>
        <v>0.9</v>
      </c>
    </row>
    <row r="564" spans="1:17" x14ac:dyDescent="0.25">
      <c r="A564">
        <v>562</v>
      </c>
      <c r="B564">
        <f t="shared" si="140"/>
        <v>19</v>
      </c>
      <c r="C564">
        <f t="shared" si="141"/>
        <v>3</v>
      </c>
      <c r="D564" t="str">
        <f t="shared" si="127"/>
        <v/>
      </c>
      <c r="E564" t="str">
        <f t="shared" si="128"/>
        <v/>
      </c>
      <c r="F564">
        <f t="shared" si="129"/>
        <v>905</v>
      </c>
      <c r="G564" t="str">
        <f t="shared" si="130"/>
        <v/>
      </c>
      <c r="H564" t="str">
        <f t="shared" si="131"/>
        <v/>
      </c>
      <c r="I564">
        <f t="shared" si="132"/>
        <v>16860</v>
      </c>
      <c r="J564">
        <f>SUM($G$3:I564)</f>
        <v>4658660</v>
      </c>
      <c r="K564">
        <f t="shared" si="133"/>
        <v>18910</v>
      </c>
      <c r="L564">
        <f t="shared" si="134"/>
        <v>1.1890000000000001</v>
      </c>
      <c r="M564">
        <f t="shared" si="135"/>
        <v>1.0905</v>
      </c>
      <c r="N564">
        <f t="shared" si="136"/>
        <v>931732</v>
      </c>
      <c r="O564">
        <f t="shared" si="137"/>
        <v>24518.791095</v>
      </c>
      <c r="P564">
        <f t="shared" si="138"/>
        <v>7700</v>
      </c>
      <c r="Q564">
        <f t="shared" si="139"/>
        <v>0.9</v>
      </c>
    </row>
    <row r="565" spans="1:17" x14ac:dyDescent="0.25">
      <c r="A565">
        <v>563</v>
      </c>
      <c r="B565">
        <f t="shared" si="140"/>
        <v>19</v>
      </c>
      <c r="C565">
        <f t="shared" si="141"/>
        <v>3</v>
      </c>
      <c r="D565" t="str">
        <f t="shared" si="127"/>
        <v/>
      </c>
      <c r="E565" t="str">
        <f t="shared" si="128"/>
        <v/>
      </c>
      <c r="F565">
        <f t="shared" si="129"/>
        <v>910</v>
      </c>
      <c r="G565" t="str">
        <f t="shared" si="130"/>
        <v/>
      </c>
      <c r="H565" t="str">
        <f t="shared" si="131"/>
        <v/>
      </c>
      <c r="I565">
        <f t="shared" si="132"/>
        <v>16970</v>
      </c>
      <c r="J565">
        <f>SUM($G$3:I565)</f>
        <v>4675630</v>
      </c>
      <c r="K565">
        <f t="shared" si="133"/>
        <v>18910</v>
      </c>
      <c r="L565">
        <f t="shared" si="134"/>
        <v>1.1890000000000001</v>
      </c>
      <c r="M565">
        <f t="shared" si="135"/>
        <v>1.091</v>
      </c>
      <c r="N565">
        <f t="shared" si="136"/>
        <v>935126</v>
      </c>
      <c r="O565">
        <f t="shared" si="137"/>
        <v>24530.033090000001</v>
      </c>
      <c r="P565">
        <f t="shared" si="138"/>
        <v>7700</v>
      </c>
      <c r="Q565">
        <f t="shared" si="139"/>
        <v>0.9</v>
      </c>
    </row>
    <row r="566" spans="1:17" x14ac:dyDescent="0.25">
      <c r="A566">
        <v>564</v>
      </c>
      <c r="B566">
        <f t="shared" si="140"/>
        <v>19</v>
      </c>
      <c r="C566">
        <f t="shared" si="141"/>
        <v>3</v>
      </c>
      <c r="D566" t="str">
        <f t="shared" si="127"/>
        <v/>
      </c>
      <c r="E566" t="str">
        <f t="shared" si="128"/>
        <v/>
      </c>
      <c r="F566">
        <f t="shared" si="129"/>
        <v>915</v>
      </c>
      <c r="G566" t="str">
        <f t="shared" si="130"/>
        <v/>
      </c>
      <c r="H566" t="str">
        <f t="shared" si="131"/>
        <v/>
      </c>
      <c r="I566">
        <f t="shared" si="132"/>
        <v>17080</v>
      </c>
      <c r="J566">
        <f>SUM($G$3:I566)</f>
        <v>4692710</v>
      </c>
      <c r="K566">
        <f t="shared" si="133"/>
        <v>18910</v>
      </c>
      <c r="L566">
        <f t="shared" si="134"/>
        <v>1.1890000000000001</v>
      </c>
      <c r="M566">
        <f t="shared" si="135"/>
        <v>1.0914999999999999</v>
      </c>
      <c r="N566">
        <f t="shared" si="136"/>
        <v>938542</v>
      </c>
      <c r="O566">
        <f t="shared" si="137"/>
        <v>24541.275085000001</v>
      </c>
      <c r="P566">
        <f t="shared" si="138"/>
        <v>7700</v>
      </c>
      <c r="Q566">
        <f t="shared" si="139"/>
        <v>0.9</v>
      </c>
    </row>
    <row r="567" spans="1:17" x14ac:dyDescent="0.25">
      <c r="A567">
        <v>565</v>
      </c>
      <c r="B567">
        <f t="shared" si="140"/>
        <v>19</v>
      </c>
      <c r="C567">
        <f t="shared" si="141"/>
        <v>3</v>
      </c>
      <c r="D567" t="str">
        <f t="shared" si="127"/>
        <v/>
      </c>
      <c r="E567" t="str">
        <f t="shared" si="128"/>
        <v/>
      </c>
      <c r="F567">
        <f t="shared" si="129"/>
        <v>920</v>
      </c>
      <c r="G567" t="str">
        <f t="shared" si="130"/>
        <v/>
      </c>
      <c r="H567" t="str">
        <f t="shared" si="131"/>
        <v/>
      </c>
      <c r="I567">
        <f t="shared" si="132"/>
        <v>17190</v>
      </c>
      <c r="J567">
        <f>SUM($G$3:I567)</f>
        <v>4709900</v>
      </c>
      <c r="K567">
        <f t="shared" si="133"/>
        <v>18910</v>
      </c>
      <c r="L567">
        <f t="shared" si="134"/>
        <v>1.1890000000000001</v>
      </c>
      <c r="M567">
        <f t="shared" si="135"/>
        <v>1.0920000000000001</v>
      </c>
      <c r="N567">
        <f t="shared" si="136"/>
        <v>941980</v>
      </c>
      <c r="O567">
        <f t="shared" si="137"/>
        <v>24552.517080000005</v>
      </c>
      <c r="P567">
        <f t="shared" si="138"/>
        <v>7700</v>
      </c>
      <c r="Q567">
        <f t="shared" si="139"/>
        <v>0.9</v>
      </c>
    </row>
    <row r="568" spans="1:17" x14ac:dyDescent="0.25">
      <c r="A568">
        <v>566</v>
      </c>
      <c r="B568">
        <f t="shared" si="140"/>
        <v>19</v>
      </c>
      <c r="C568">
        <f t="shared" si="141"/>
        <v>3</v>
      </c>
      <c r="D568" t="str">
        <f t="shared" si="127"/>
        <v/>
      </c>
      <c r="E568" t="str">
        <f t="shared" si="128"/>
        <v/>
      </c>
      <c r="F568">
        <f t="shared" si="129"/>
        <v>925</v>
      </c>
      <c r="G568" t="str">
        <f t="shared" si="130"/>
        <v/>
      </c>
      <c r="H568" t="str">
        <f t="shared" si="131"/>
        <v/>
      </c>
      <c r="I568">
        <f t="shared" si="132"/>
        <v>17300</v>
      </c>
      <c r="J568">
        <f>SUM($G$3:I568)</f>
        <v>4727200</v>
      </c>
      <c r="K568">
        <f t="shared" si="133"/>
        <v>18910</v>
      </c>
      <c r="L568">
        <f t="shared" si="134"/>
        <v>1.1890000000000001</v>
      </c>
      <c r="M568">
        <f t="shared" si="135"/>
        <v>1.0925</v>
      </c>
      <c r="N568">
        <f t="shared" si="136"/>
        <v>945440</v>
      </c>
      <c r="O568">
        <f t="shared" si="137"/>
        <v>24563.759075000002</v>
      </c>
      <c r="P568">
        <f t="shared" si="138"/>
        <v>7700</v>
      </c>
      <c r="Q568">
        <f t="shared" si="139"/>
        <v>0.9</v>
      </c>
    </row>
    <row r="569" spans="1:17" x14ac:dyDescent="0.25">
      <c r="A569">
        <v>567</v>
      </c>
      <c r="B569">
        <f t="shared" si="140"/>
        <v>19</v>
      </c>
      <c r="C569">
        <f t="shared" si="141"/>
        <v>3</v>
      </c>
      <c r="D569" t="str">
        <f t="shared" si="127"/>
        <v/>
      </c>
      <c r="E569" t="str">
        <f t="shared" si="128"/>
        <v/>
      </c>
      <c r="F569">
        <f t="shared" si="129"/>
        <v>930</v>
      </c>
      <c r="G569" t="str">
        <f t="shared" si="130"/>
        <v/>
      </c>
      <c r="H569" t="str">
        <f t="shared" si="131"/>
        <v/>
      </c>
      <c r="I569">
        <f t="shared" si="132"/>
        <v>17410</v>
      </c>
      <c r="J569">
        <f>SUM($G$3:I569)</f>
        <v>4744610</v>
      </c>
      <c r="K569">
        <f t="shared" si="133"/>
        <v>18910</v>
      </c>
      <c r="L569">
        <f t="shared" si="134"/>
        <v>1.1890000000000001</v>
      </c>
      <c r="M569">
        <f t="shared" si="135"/>
        <v>1.093</v>
      </c>
      <c r="N569">
        <f t="shared" si="136"/>
        <v>948922</v>
      </c>
      <c r="O569">
        <f t="shared" si="137"/>
        <v>24575.001070000002</v>
      </c>
      <c r="P569">
        <f t="shared" si="138"/>
        <v>7700</v>
      </c>
      <c r="Q569">
        <f t="shared" si="139"/>
        <v>0.9</v>
      </c>
    </row>
    <row r="570" spans="1:17" x14ac:dyDescent="0.25">
      <c r="A570">
        <v>568</v>
      </c>
      <c r="B570">
        <f t="shared" si="140"/>
        <v>19</v>
      </c>
      <c r="C570">
        <f t="shared" si="141"/>
        <v>3</v>
      </c>
      <c r="D570" t="str">
        <f t="shared" si="127"/>
        <v/>
      </c>
      <c r="E570" t="str">
        <f t="shared" si="128"/>
        <v/>
      </c>
      <c r="F570">
        <f t="shared" si="129"/>
        <v>935</v>
      </c>
      <c r="G570" t="str">
        <f t="shared" si="130"/>
        <v/>
      </c>
      <c r="H570" t="str">
        <f t="shared" si="131"/>
        <v/>
      </c>
      <c r="I570">
        <f t="shared" si="132"/>
        <v>17520</v>
      </c>
      <c r="J570">
        <f>SUM($G$3:I570)</f>
        <v>4762130</v>
      </c>
      <c r="K570">
        <f t="shared" si="133"/>
        <v>18910</v>
      </c>
      <c r="L570">
        <f t="shared" si="134"/>
        <v>1.1890000000000001</v>
      </c>
      <c r="M570">
        <f t="shared" si="135"/>
        <v>1.0934999999999999</v>
      </c>
      <c r="N570">
        <f t="shared" si="136"/>
        <v>952426</v>
      </c>
      <c r="O570">
        <f t="shared" si="137"/>
        <v>24586.243064999999</v>
      </c>
      <c r="P570">
        <f t="shared" si="138"/>
        <v>7700</v>
      </c>
      <c r="Q570">
        <f t="shared" si="139"/>
        <v>0.9</v>
      </c>
    </row>
    <row r="571" spans="1:17" x14ac:dyDescent="0.25">
      <c r="A571">
        <v>569</v>
      </c>
      <c r="B571">
        <f t="shared" si="140"/>
        <v>19</v>
      </c>
      <c r="C571">
        <f t="shared" si="141"/>
        <v>3</v>
      </c>
      <c r="D571" t="str">
        <f t="shared" si="127"/>
        <v/>
      </c>
      <c r="E571" t="str">
        <f t="shared" si="128"/>
        <v/>
      </c>
      <c r="F571">
        <f t="shared" si="129"/>
        <v>940</v>
      </c>
      <c r="G571" t="str">
        <f t="shared" si="130"/>
        <v/>
      </c>
      <c r="H571" t="str">
        <f t="shared" si="131"/>
        <v/>
      </c>
      <c r="I571">
        <f t="shared" si="132"/>
        <v>17630</v>
      </c>
      <c r="J571">
        <f>SUM($G$3:I571)</f>
        <v>4779760</v>
      </c>
      <c r="K571">
        <f t="shared" si="133"/>
        <v>18910</v>
      </c>
      <c r="L571">
        <f t="shared" si="134"/>
        <v>1.1890000000000001</v>
      </c>
      <c r="M571">
        <f t="shared" si="135"/>
        <v>1.0940000000000001</v>
      </c>
      <c r="N571">
        <f t="shared" si="136"/>
        <v>955952</v>
      </c>
      <c r="O571">
        <f t="shared" si="137"/>
        <v>24597.485060000003</v>
      </c>
      <c r="P571">
        <f t="shared" si="138"/>
        <v>7700</v>
      </c>
      <c r="Q571">
        <f t="shared" si="139"/>
        <v>0.9</v>
      </c>
    </row>
    <row r="572" spans="1:17" x14ac:dyDescent="0.25">
      <c r="A572">
        <v>570</v>
      </c>
      <c r="B572">
        <f t="shared" si="140"/>
        <v>19</v>
      </c>
      <c r="C572">
        <f t="shared" si="141"/>
        <v>3</v>
      </c>
      <c r="D572" t="str">
        <f t="shared" si="127"/>
        <v/>
      </c>
      <c r="E572" t="str">
        <f t="shared" si="128"/>
        <v/>
      </c>
      <c r="F572">
        <f t="shared" si="129"/>
        <v>945</v>
      </c>
      <c r="G572" t="str">
        <f t="shared" si="130"/>
        <v/>
      </c>
      <c r="H572" t="str">
        <f t="shared" si="131"/>
        <v/>
      </c>
      <c r="I572">
        <f t="shared" si="132"/>
        <v>17740</v>
      </c>
      <c r="J572">
        <f>SUM($G$3:I572)</f>
        <v>4797500</v>
      </c>
      <c r="K572">
        <f t="shared" si="133"/>
        <v>18910</v>
      </c>
      <c r="L572">
        <f t="shared" si="134"/>
        <v>1.1890000000000001</v>
      </c>
      <c r="M572">
        <f t="shared" si="135"/>
        <v>1.0945</v>
      </c>
      <c r="N572">
        <f t="shared" si="136"/>
        <v>959500</v>
      </c>
      <c r="O572">
        <f t="shared" si="137"/>
        <v>24608.727055000003</v>
      </c>
      <c r="P572">
        <f t="shared" si="138"/>
        <v>7700</v>
      </c>
      <c r="Q572">
        <f t="shared" si="139"/>
        <v>0.9</v>
      </c>
    </row>
    <row r="573" spans="1:17" x14ac:dyDescent="0.25">
      <c r="A573">
        <v>571</v>
      </c>
      <c r="B573">
        <f t="shared" si="140"/>
        <v>20</v>
      </c>
      <c r="C573">
        <f t="shared" si="141"/>
        <v>1</v>
      </c>
      <c r="D573">
        <f t="shared" si="127"/>
        <v>1910</v>
      </c>
      <c r="E573" t="str">
        <f t="shared" si="128"/>
        <v/>
      </c>
      <c r="F573" t="str">
        <f t="shared" si="129"/>
        <v/>
      </c>
      <c r="G573">
        <f t="shared" si="130"/>
        <v>40000</v>
      </c>
      <c r="H573" t="str">
        <f t="shared" si="131"/>
        <v/>
      </c>
      <c r="I573" t="str">
        <f t="shared" si="132"/>
        <v/>
      </c>
      <c r="J573">
        <f>SUM($G$3:I573)</f>
        <v>4837500</v>
      </c>
      <c r="K573">
        <f t="shared" si="133"/>
        <v>19100</v>
      </c>
      <c r="L573">
        <f t="shared" si="134"/>
        <v>1.1890000000000001</v>
      </c>
      <c r="M573">
        <f t="shared" si="135"/>
        <v>1.0945</v>
      </c>
      <c r="N573">
        <f t="shared" si="136"/>
        <v>967500</v>
      </c>
      <c r="O573">
        <f t="shared" si="137"/>
        <v>24855.985550000001</v>
      </c>
      <c r="P573">
        <f t="shared" si="138"/>
        <v>7700</v>
      </c>
      <c r="Q573">
        <f t="shared" si="139"/>
        <v>0.9</v>
      </c>
    </row>
    <row r="574" spans="1:17" x14ac:dyDescent="0.25">
      <c r="A574">
        <v>572</v>
      </c>
      <c r="B574">
        <f t="shared" si="140"/>
        <v>20</v>
      </c>
      <c r="C574">
        <f t="shared" si="141"/>
        <v>1</v>
      </c>
      <c r="D574">
        <f t="shared" si="127"/>
        <v>1930</v>
      </c>
      <c r="E574" t="str">
        <f t="shared" si="128"/>
        <v/>
      </c>
      <c r="F574" t="str">
        <f t="shared" si="129"/>
        <v/>
      </c>
      <c r="G574">
        <f t="shared" si="130"/>
        <v>40220</v>
      </c>
      <c r="H574" t="str">
        <f t="shared" si="131"/>
        <v/>
      </c>
      <c r="I574" t="str">
        <f t="shared" si="132"/>
        <v/>
      </c>
      <c r="J574">
        <f>SUM($G$3:I574)</f>
        <v>4877720</v>
      </c>
      <c r="K574">
        <f t="shared" si="133"/>
        <v>19300</v>
      </c>
      <c r="L574">
        <f t="shared" si="134"/>
        <v>1.1890000000000001</v>
      </c>
      <c r="M574">
        <f t="shared" si="135"/>
        <v>1.0945</v>
      </c>
      <c r="N574">
        <f t="shared" si="136"/>
        <v>975544</v>
      </c>
      <c r="O574">
        <f t="shared" si="137"/>
        <v>25116.257650000003</v>
      </c>
      <c r="P574">
        <f t="shared" si="138"/>
        <v>7700</v>
      </c>
      <c r="Q574">
        <f t="shared" si="139"/>
        <v>0.9</v>
      </c>
    </row>
    <row r="575" spans="1:17" x14ac:dyDescent="0.25">
      <c r="A575">
        <v>573</v>
      </c>
      <c r="B575">
        <f t="shared" si="140"/>
        <v>20</v>
      </c>
      <c r="C575">
        <f t="shared" si="141"/>
        <v>1</v>
      </c>
      <c r="D575">
        <f t="shared" si="127"/>
        <v>1950</v>
      </c>
      <c r="E575" t="str">
        <f t="shared" si="128"/>
        <v/>
      </c>
      <c r="F575" t="str">
        <f t="shared" si="129"/>
        <v/>
      </c>
      <c r="G575">
        <f t="shared" si="130"/>
        <v>40440</v>
      </c>
      <c r="H575" t="str">
        <f t="shared" si="131"/>
        <v/>
      </c>
      <c r="I575" t="str">
        <f t="shared" si="132"/>
        <v/>
      </c>
      <c r="J575">
        <f>SUM($G$3:I575)</f>
        <v>4918160</v>
      </c>
      <c r="K575">
        <f t="shared" si="133"/>
        <v>19500</v>
      </c>
      <c r="L575">
        <f t="shared" si="134"/>
        <v>1.1890000000000001</v>
      </c>
      <c r="M575">
        <f t="shared" si="135"/>
        <v>1.0945</v>
      </c>
      <c r="N575">
        <f t="shared" si="136"/>
        <v>983632</v>
      </c>
      <c r="O575">
        <f t="shared" si="137"/>
        <v>25376.529750000002</v>
      </c>
      <c r="P575">
        <f t="shared" si="138"/>
        <v>7700</v>
      </c>
      <c r="Q575">
        <f t="shared" si="139"/>
        <v>0.9</v>
      </c>
    </row>
    <row r="576" spans="1:17" x14ac:dyDescent="0.25">
      <c r="A576">
        <v>574</v>
      </c>
      <c r="B576">
        <f t="shared" si="140"/>
        <v>20</v>
      </c>
      <c r="C576">
        <f t="shared" si="141"/>
        <v>1</v>
      </c>
      <c r="D576">
        <f t="shared" si="127"/>
        <v>1970</v>
      </c>
      <c r="E576" t="str">
        <f t="shared" si="128"/>
        <v/>
      </c>
      <c r="F576" t="str">
        <f t="shared" si="129"/>
        <v/>
      </c>
      <c r="G576">
        <f t="shared" si="130"/>
        <v>40660</v>
      </c>
      <c r="H576" t="str">
        <f t="shared" si="131"/>
        <v/>
      </c>
      <c r="I576" t="str">
        <f t="shared" si="132"/>
        <v/>
      </c>
      <c r="J576">
        <f>SUM($G$3:I576)</f>
        <v>4958820</v>
      </c>
      <c r="K576">
        <f t="shared" si="133"/>
        <v>19700</v>
      </c>
      <c r="L576">
        <f t="shared" si="134"/>
        <v>1.1890000000000001</v>
      </c>
      <c r="M576">
        <f t="shared" si="135"/>
        <v>1.0945</v>
      </c>
      <c r="N576">
        <f t="shared" si="136"/>
        <v>991764</v>
      </c>
      <c r="O576">
        <f t="shared" si="137"/>
        <v>25636.801850000003</v>
      </c>
      <c r="P576">
        <f t="shared" si="138"/>
        <v>7700</v>
      </c>
      <c r="Q576">
        <f t="shared" si="139"/>
        <v>0.9</v>
      </c>
    </row>
    <row r="577" spans="1:17" x14ac:dyDescent="0.25">
      <c r="A577">
        <v>575</v>
      </c>
      <c r="B577">
        <f t="shared" si="140"/>
        <v>20</v>
      </c>
      <c r="C577">
        <f t="shared" si="141"/>
        <v>1</v>
      </c>
      <c r="D577">
        <f t="shared" si="127"/>
        <v>1990</v>
      </c>
      <c r="E577" t="str">
        <f t="shared" si="128"/>
        <v/>
      </c>
      <c r="F577" t="str">
        <f t="shared" si="129"/>
        <v/>
      </c>
      <c r="G577">
        <f t="shared" si="130"/>
        <v>40880</v>
      </c>
      <c r="H577" t="str">
        <f t="shared" si="131"/>
        <v/>
      </c>
      <c r="I577" t="str">
        <f t="shared" si="132"/>
        <v/>
      </c>
      <c r="J577">
        <f>SUM($G$3:I577)</f>
        <v>4999700</v>
      </c>
      <c r="K577">
        <f t="shared" si="133"/>
        <v>19900</v>
      </c>
      <c r="L577">
        <f t="shared" si="134"/>
        <v>1.1890000000000001</v>
      </c>
      <c r="M577">
        <f t="shared" si="135"/>
        <v>1.0945</v>
      </c>
      <c r="N577">
        <f t="shared" si="136"/>
        <v>999940</v>
      </c>
      <c r="O577">
        <f t="shared" si="137"/>
        <v>25897.073950000002</v>
      </c>
      <c r="P577">
        <f t="shared" si="138"/>
        <v>7700</v>
      </c>
      <c r="Q577">
        <f t="shared" si="139"/>
        <v>0.9</v>
      </c>
    </row>
    <row r="578" spans="1:17" x14ac:dyDescent="0.25">
      <c r="A578">
        <v>576</v>
      </c>
      <c r="B578">
        <f t="shared" si="140"/>
        <v>20</v>
      </c>
      <c r="C578">
        <f t="shared" si="141"/>
        <v>1</v>
      </c>
      <c r="D578">
        <f t="shared" si="127"/>
        <v>2010</v>
      </c>
      <c r="E578" t="str">
        <f t="shared" si="128"/>
        <v/>
      </c>
      <c r="F578" t="str">
        <f t="shared" si="129"/>
        <v/>
      </c>
      <c r="G578">
        <f t="shared" si="130"/>
        <v>41100</v>
      </c>
      <c r="H578" t="str">
        <f t="shared" si="131"/>
        <v/>
      </c>
      <c r="I578" t="str">
        <f t="shared" si="132"/>
        <v/>
      </c>
      <c r="J578">
        <f>SUM($G$3:I578)</f>
        <v>5040800</v>
      </c>
      <c r="K578">
        <f t="shared" si="133"/>
        <v>20100</v>
      </c>
      <c r="L578">
        <f t="shared" si="134"/>
        <v>1.1890000000000001</v>
      </c>
      <c r="M578">
        <f t="shared" si="135"/>
        <v>1.0945</v>
      </c>
      <c r="N578">
        <f t="shared" si="136"/>
        <v>1008160</v>
      </c>
      <c r="O578">
        <f t="shared" si="137"/>
        <v>26157.346050000004</v>
      </c>
      <c r="P578">
        <f t="shared" si="138"/>
        <v>7700</v>
      </c>
      <c r="Q578">
        <f t="shared" si="139"/>
        <v>0.9</v>
      </c>
    </row>
    <row r="579" spans="1:17" x14ac:dyDescent="0.25">
      <c r="A579">
        <v>577</v>
      </c>
      <c r="B579">
        <f t="shared" si="140"/>
        <v>20</v>
      </c>
      <c r="C579">
        <f t="shared" si="141"/>
        <v>1</v>
      </c>
      <c r="D579">
        <f t="shared" ref="D579:D642" si="142">IF($C579=1,INDEX($Z:$Z,MATCH($B579,$Y:$Y,0))+MOD($A579-1,10)*INDEX($AC:$AC,MATCH($B579,$Y:$Y,0)),"")</f>
        <v>2030</v>
      </c>
      <c r="E579" t="str">
        <f t="shared" ref="E579:E642" si="143">IF($C579=2,INDEX($AA:$AA,MATCH($B579,$Y:$Y,0))+MOD($A579-1,10)*INDEX($AD:$AD,MATCH($B579,$Y:$Y,0)),"")</f>
        <v/>
      </c>
      <c r="F579" t="str">
        <f t="shared" ref="F579:F642" si="144">IF($C579=3,INDEX($AB:$AB,MATCH($B579,$Y:$Y,0))+MOD($A579-1,10)*INDEX($AE:$AE,MATCH($B579,$Y:$Y,0)),"")</f>
        <v/>
      </c>
      <c r="G579">
        <f t="shared" ref="G579:G642" si="145">IF($C579=1,INDEX($AF:$AF,MATCH($B579,$Y:$Y,0))+MOD($A579-1,10)*INDEX($AI:$AI,MATCH($B579,$Y:$Y,0)),"")</f>
        <v>41320</v>
      </c>
      <c r="H579" t="str">
        <f t="shared" ref="H579:H642" si="146">IF($C579=2,INDEX($AG:$AG,MATCH($B579,$Y:$Y,0))+MOD($A579-1,10)*INDEX($AJ:$AJ,MATCH($B579,$Y:$Y,0)),"")</f>
        <v/>
      </c>
      <c r="I579" t="str">
        <f t="shared" ref="I579:I642" si="147">IF($C579=3,INDEX($AH:$AH,MATCH($B579,$Y:$Y,0))+MOD($A579-1,10)*INDEX($AK:$AK,MATCH($B579,$Y:$Y,0)),"")</f>
        <v/>
      </c>
      <c r="J579">
        <f>SUM($G$3:I579)</f>
        <v>5082120</v>
      </c>
      <c r="K579">
        <f t="shared" si="133"/>
        <v>20300</v>
      </c>
      <c r="L579">
        <f t="shared" si="134"/>
        <v>1.1890000000000001</v>
      </c>
      <c r="M579">
        <f t="shared" si="135"/>
        <v>1.0945</v>
      </c>
      <c r="N579">
        <f t="shared" si="136"/>
        <v>1016424</v>
      </c>
      <c r="O579">
        <f t="shared" si="137"/>
        <v>26417.618150000002</v>
      </c>
      <c r="P579">
        <f t="shared" si="138"/>
        <v>7700</v>
      </c>
      <c r="Q579">
        <f t="shared" si="139"/>
        <v>0.9</v>
      </c>
    </row>
    <row r="580" spans="1:17" x14ac:dyDescent="0.25">
      <c r="A580">
        <v>578</v>
      </c>
      <c r="B580">
        <f t="shared" si="140"/>
        <v>20</v>
      </c>
      <c r="C580">
        <f t="shared" si="141"/>
        <v>1</v>
      </c>
      <c r="D580">
        <f t="shared" si="142"/>
        <v>2050</v>
      </c>
      <c r="E580" t="str">
        <f t="shared" si="143"/>
        <v/>
      </c>
      <c r="F580" t="str">
        <f t="shared" si="144"/>
        <v/>
      </c>
      <c r="G580">
        <f t="shared" si="145"/>
        <v>41540</v>
      </c>
      <c r="H580" t="str">
        <f t="shared" si="146"/>
        <v/>
      </c>
      <c r="I580" t="str">
        <f t="shared" si="147"/>
        <v/>
      </c>
      <c r="J580">
        <f>SUM($G$3:I580)</f>
        <v>5123660</v>
      </c>
      <c r="K580">
        <f t="shared" ref="K580:K643" si="148">_xlfn.MAXIFS($D:$D,$A:$A,"&lt;="&amp;A580)/10*100</f>
        <v>20500</v>
      </c>
      <c r="L580">
        <f t="shared" ref="L580:L643" si="149">_xlfn.MAXIFS($E:$E,$A:$A,"&lt;="&amp;A580)/10000+1</f>
        <v>1.1890000000000001</v>
      </c>
      <c r="M580">
        <f t="shared" ref="M580:M643" si="150">_xlfn.MAXIFS($F:$F,$A:$A,"&lt;="&amp;A580)/10000+1</f>
        <v>1.0945</v>
      </c>
      <c r="N580">
        <f t="shared" ref="N580:N643" si="151">J580*0.2</f>
        <v>1024732</v>
      </c>
      <c r="O580">
        <f t="shared" ref="O580:O643" si="152">K580*L580*M580</f>
        <v>26677.89025</v>
      </c>
      <c r="P580">
        <f t="shared" ref="P580:P643" si="153">SUMIFS($AZ:$AZ,$AW:$AW,$AW$3,$AY:$AY,3,$AV:$AV,"&lt;="&amp;A580)</f>
        <v>7700</v>
      </c>
      <c r="Q580">
        <f t="shared" ref="Q580:Q643" si="154">SUMIFS($AZ:$AZ,$AY:$AY,98,$AV:$AV,"&lt;="&amp;A580)*10/100</f>
        <v>0.9</v>
      </c>
    </row>
    <row r="581" spans="1:17" x14ac:dyDescent="0.25">
      <c r="A581">
        <v>579</v>
      </c>
      <c r="B581">
        <f t="shared" si="140"/>
        <v>20</v>
      </c>
      <c r="C581">
        <f t="shared" si="141"/>
        <v>1</v>
      </c>
      <c r="D581">
        <f t="shared" si="142"/>
        <v>2070</v>
      </c>
      <c r="E581" t="str">
        <f t="shared" si="143"/>
        <v/>
      </c>
      <c r="F581" t="str">
        <f t="shared" si="144"/>
        <v/>
      </c>
      <c r="G581">
        <f t="shared" si="145"/>
        <v>41760</v>
      </c>
      <c r="H581" t="str">
        <f t="shared" si="146"/>
        <v/>
      </c>
      <c r="I581" t="str">
        <f t="shared" si="147"/>
        <v/>
      </c>
      <c r="J581">
        <f>SUM($G$3:I581)</f>
        <v>5165420</v>
      </c>
      <c r="K581">
        <f t="shared" si="148"/>
        <v>20700</v>
      </c>
      <c r="L581">
        <f t="shared" si="149"/>
        <v>1.1890000000000001</v>
      </c>
      <c r="M581">
        <f t="shared" si="150"/>
        <v>1.0945</v>
      </c>
      <c r="N581">
        <f t="shared" si="151"/>
        <v>1033084</v>
      </c>
      <c r="O581">
        <f t="shared" si="152"/>
        <v>26938.162350000002</v>
      </c>
      <c r="P581">
        <f t="shared" si="153"/>
        <v>7700</v>
      </c>
      <c r="Q581">
        <f t="shared" si="154"/>
        <v>0.9</v>
      </c>
    </row>
    <row r="582" spans="1:17" x14ac:dyDescent="0.25">
      <c r="A582">
        <v>580</v>
      </c>
      <c r="B582">
        <f t="shared" si="140"/>
        <v>20</v>
      </c>
      <c r="C582">
        <f t="shared" si="141"/>
        <v>1</v>
      </c>
      <c r="D582">
        <f t="shared" si="142"/>
        <v>2090</v>
      </c>
      <c r="E582" t="str">
        <f t="shared" si="143"/>
        <v/>
      </c>
      <c r="F582" t="str">
        <f t="shared" si="144"/>
        <v/>
      </c>
      <c r="G582">
        <f t="shared" si="145"/>
        <v>41980</v>
      </c>
      <c r="H582" t="str">
        <f t="shared" si="146"/>
        <v/>
      </c>
      <c r="I582" t="str">
        <f t="shared" si="147"/>
        <v/>
      </c>
      <c r="J582">
        <f>SUM($G$3:I582)</f>
        <v>5207400</v>
      </c>
      <c r="K582">
        <f t="shared" si="148"/>
        <v>20900</v>
      </c>
      <c r="L582">
        <f t="shared" si="149"/>
        <v>1.1890000000000001</v>
      </c>
      <c r="M582">
        <f t="shared" si="150"/>
        <v>1.0945</v>
      </c>
      <c r="N582">
        <f t="shared" si="151"/>
        <v>1041480</v>
      </c>
      <c r="O582">
        <f t="shared" si="152"/>
        <v>27198.434450000004</v>
      </c>
      <c r="P582">
        <f t="shared" si="153"/>
        <v>9200</v>
      </c>
      <c r="Q582">
        <f t="shared" si="154"/>
        <v>0.9</v>
      </c>
    </row>
    <row r="583" spans="1:17" x14ac:dyDescent="0.25">
      <c r="A583">
        <v>581</v>
      </c>
      <c r="B583">
        <f t="shared" si="140"/>
        <v>20</v>
      </c>
      <c r="C583">
        <f t="shared" si="141"/>
        <v>2</v>
      </c>
      <c r="D583" t="str">
        <f t="shared" si="142"/>
        <v/>
      </c>
      <c r="E583">
        <f t="shared" si="143"/>
        <v>1900</v>
      </c>
      <c r="F583" t="str">
        <f t="shared" si="144"/>
        <v/>
      </c>
      <c r="G583" t="str">
        <f t="shared" si="145"/>
        <v/>
      </c>
      <c r="H583">
        <f t="shared" si="146"/>
        <v>26667</v>
      </c>
      <c r="I583" t="str">
        <f t="shared" si="147"/>
        <v/>
      </c>
      <c r="J583">
        <f>SUM($G$3:I583)</f>
        <v>5234067</v>
      </c>
      <c r="K583">
        <f t="shared" si="148"/>
        <v>20900</v>
      </c>
      <c r="L583">
        <f t="shared" si="149"/>
        <v>1.19</v>
      </c>
      <c r="M583">
        <f t="shared" si="150"/>
        <v>1.0945</v>
      </c>
      <c r="N583">
        <f t="shared" si="151"/>
        <v>1046813.4</v>
      </c>
      <c r="O583">
        <f t="shared" si="152"/>
        <v>27221.309499999999</v>
      </c>
      <c r="P583">
        <f t="shared" si="153"/>
        <v>9200</v>
      </c>
      <c r="Q583">
        <f t="shared" si="154"/>
        <v>0.9</v>
      </c>
    </row>
    <row r="584" spans="1:17" x14ac:dyDescent="0.25">
      <c r="A584">
        <v>582</v>
      </c>
      <c r="B584">
        <f t="shared" si="140"/>
        <v>20</v>
      </c>
      <c r="C584">
        <f t="shared" si="141"/>
        <v>2</v>
      </c>
      <c r="D584" t="str">
        <f t="shared" si="142"/>
        <v/>
      </c>
      <c r="E584">
        <f t="shared" si="143"/>
        <v>1910</v>
      </c>
      <c r="F584" t="str">
        <f t="shared" si="144"/>
        <v/>
      </c>
      <c r="G584" t="str">
        <f t="shared" si="145"/>
        <v/>
      </c>
      <c r="H584">
        <f t="shared" si="146"/>
        <v>26814</v>
      </c>
      <c r="I584" t="str">
        <f t="shared" si="147"/>
        <v/>
      </c>
      <c r="J584">
        <f>SUM($G$3:I584)</f>
        <v>5260881</v>
      </c>
      <c r="K584">
        <f t="shared" si="148"/>
        <v>20900</v>
      </c>
      <c r="L584">
        <f t="shared" si="149"/>
        <v>1.1910000000000001</v>
      </c>
      <c r="M584">
        <f t="shared" si="150"/>
        <v>1.0945</v>
      </c>
      <c r="N584">
        <f t="shared" si="151"/>
        <v>1052176.2</v>
      </c>
      <c r="O584">
        <f t="shared" si="152"/>
        <v>27244.184550000002</v>
      </c>
      <c r="P584">
        <f t="shared" si="153"/>
        <v>9200</v>
      </c>
      <c r="Q584">
        <f t="shared" si="154"/>
        <v>0.9</v>
      </c>
    </row>
    <row r="585" spans="1:17" x14ac:dyDescent="0.25">
      <c r="A585">
        <v>583</v>
      </c>
      <c r="B585">
        <f t="shared" si="140"/>
        <v>20</v>
      </c>
      <c r="C585">
        <f t="shared" si="141"/>
        <v>2</v>
      </c>
      <c r="D585" t="str">
        <f t="shared" si="142"/>
        <v/>
      </c>
      <c r="E585">
        <f t="shared" si="143"/>
        <v>1920</v>
      </c>
      <c r="F585" t="str">
        <f t="shared" si="144"/>
        <v/>
      </c>
      <c r="G585" t="str">
        <f t="shared" si="145"/>
        <v/>
      </c>
      <c r="H585">
        <f t="shared" si="146"/>
        <v>26961</v>
      </c>
      <c r="I585" t="str">
        <f t="shared" si="147"/>
        <v/>
      </c>
      <c r="J585">
        <f>SUM($G$3:I585)</f>
        <v>5287842</v>
      </c>
      <c r="K585">
        <f t="shared" si="148"/>
        <v>20900</v>
      </c>
      <c r="L585">
        <f t="shared" si="149"/>
        <v>1.1919999999999999</v>
      </c>
      <c r="M585">
        <f t="shared" si="150"/>
        <v>1.0945</v>
      </c>
      <c r="N585">
        <f t="shared" si="151"/>
        <v>1057568.4000000001</v>
      </c>
      <c r="O585">
        <f t="shared" si="152"/>
        <v>27267.059600000001</v>
      </c>
      <c r="P585">
        <f t="shared" si="153"/>
        <v>9200</v>
      </c>
      <c r="Q585">
        <f t="shared" si="154"/>
        <v>0.9</v>
      </c>
    </row>
    <row r="586" spans="1:17" x14ac:dyDescent="0.25">
      <c r="A586">
        <v>584</v>
      </c>
      <c r="B586">
        <f t="shared" si="140"/>
        <v>20</v>
      </c>
      <c r="C586">
        <f t="shared" si="141"/>
        <v>2</v>
      </c>
      <c r="D586" t="str">
        <f t="shared" si="142"/>
        <v/>
      </c>
      <c r="E586">
        <f t="shared" si="143"/>
        <v>1930</v>
      </c>
      <c r="F586" t="str">
        <f t="shared" si="144"/>
        <v/>
      </c>
      <c r="G586" t="str">
        <f t="shared" si="145"/>
        <v/>
      </c>
      <c r="H586">
        <f t="shared" si="146"/>
        <v>27108</v>
      </c>
      <c r="I586" t="str">
        <f t="shared" si="147"/>
        <v/>
      </c>
      <c r="J586">
        <f>SUM($G$3:I586)</f>
        <v>5314950</v>
      </c>
      <c r="K586">
        <f t="shared" si="148"/>
        <v>20900</v>
      </c>
      <c r="L586">
        <f t="shared" si="149"/>
        <v>1.1930000000000001</v>
      </c>
      <c r="M586">
        <f t="shared" si="150"/>
        <v>1.0945</v>
      </c>
      <c r="N586">
        <f t="shared" si="151"/>
        <v>1062990</v>
      </c>
      <c r="O586">
        <f t="shared" si="152"/>
        <v>27289.934650000003</v>
      </c>
      <c r="P586">
        <f t="shared" si="153"/>
        <v>9200</v>
      </c>
      <c r="Q586">
        <f t="shared" si="154"/>
        <v>0.9</v>
      </c>
    </row>
    <row r="587" spans="1:17" x14ac:dyDescent="0.25">
      <c r="A587">
        <v>585</v>
      </c>
      <c r="B587">
        <f t="shared" si="140"/>
        <v>20</v>
      </c>
      <c r="C587">
        <f t="shared" si="141"/>
        <v>2</v>
      </c>
      <c r="D587" t="str">
        <f t="shared" si="142"/>
        <v/>
      </c>
      <c r="E587">
        <f t="shared" si="143"/>
        <v>1940</v>
      </c>
      <c r="F587" t="str">
        <f t="shared" si="144"/>
        <v/>
      </c>
      <c r="G587" t="str">
        <f t="shared" si="145"/>
        <v/>
      </c>
      <c r="H587">
        <f t="shared" si="146"/>
        <v>27255</v>
      </c>
      <c r="I587" t="str">
        <f t="shared" si="147"/>
        <v/>
      </c>
      <c r="J587">
        <f>SUM($G$3:I587)</f>
        <v>5342205</v>
      </c>
      <c r="K587">
        <f t="shared" si="148"/>
        <v>20900</v>
      </c>
      <c r="L587">
        <f t="shared" si="149"/>
        <v>1.194</v>
      </c>
      <c r="M587">
        <f t="shared" si="150"/>
        <v>1.0945</v>
      </c>
      <c r="N587">
        <f t="shared" si="151"/>
        <v>1068441</v>
      </c>
      <c r="O587">
        <f t="shared" si="152"/>
        <v>27312.809699999998</v>
      </c>
      <c r="P587">
        <f t="shared" si="153"/>
        <v>9200</v>
      </c>
      <c r="Q587">
        <f t="shared" si="154"/>
        <v>0.9</v>
      </c>
    </row>
    <row r="588" spans="1:17" x14ac:dyDescent="0.25">
      <c r="A588">
        <v>586</v>
      </c>
      <c r="B588">
        <f t="shared" si="140"/>
        <v>20</v>
      </c>
      <c r="C588">
        <f t="shared" si="141"/>
        <v>2</v>
      </c>
      <c r="D588" t="str">
        <f t="shared" si="142"/>
        <v/>
      </c>
      <c r="E588">
        <f t="shared" si="143"/>
        <v>1950</v>
      </c>
      <c r="F588" t="str">
        <f t="shared" si="144"/>
        <v/>
      </c>
      <c r="G588" t="str">
        <f t="shared" si="145"/>
        <v/>
      </c>
      <c r="H588">
        <f t="shared" si="146"/>
        <v>27402</v>
      </c>
      <c r="I588" t="str">
        <f t="shared" si="147"/>
        <v/>
      </c>
      <c r="J588">
        <f>SUM($G$3:I588)</f>
        <v>5369607</v>
      </c>
      <c r="K588">
        <f t="shared" si="148"/>
        <v>20900</v>
      </c>
      <c r="L588">
        <f t="shared" si="149"/>
        <v>1.1950000000000001</v>
      </c>
      <c r="M588">
        <f t="shared" si="150"/>
        <v>1.0945</v>
      </c>
      <c r="N588">
        <f t="shared" si="151"/>
        <v>1073921.4000000001</v>
      </c>
      <c r="O588">
        <f t="shared" si="152"/>
        <v>27335.68475</v>
      </c>
      <c r="P588">
        <f t="shared" si="153"/>
        <v>9200</v>
      </c>
      <c r="Q588">
        <f t="shared" si="154"/>
        <v>0.9</v>
      </c>
    </row>
    <row r="589" spans="1:17" x14ac:dyDescent="0.25">
      <c r="A589">
        <v>587</v>
      </c>
      <c r="B589">
        <f t="shared" si="140"/>
        <v>20</v>
      </c>
      <c r="C589">
        <f t="shared" si="141"/>
        <v>2</v>
      </c>
      <c r="D589" t="str">
        <f t="shared" si="142"/>
        <v/>
      </c>
      <c r="E589">
        <f t="shared" si="143"/>
        <v>1960</v>
      </c>
      <c r="F589" t="str">
        <f t="shared" si="144"/>
        <v/>
      </c>
      <c r="G589" t="str">
        <f t="shared" si="145"/>
        <v/>
      </c>
      <c r="H589">
        <f t="shared" si="146"/>
        <v>27549</v>
      </c>
      <c r="I589" t="str">
        <f t="shared" si="147"/>
        <v/>
      </c>
      <c r="J589">
        <f>SUM($G$3:I589)</f>
        <v>5397156</v>
      </c>
      <c r="K589">
        <f t="shared" si="148"/>
        <v>20900</v>
      </c>
      <c r="L589">
        <f t="shared" si="149"/>
        <v>1.196</v>
      </c>
      <c r="M589">
        <f t="shared" si="150"/>
        <v>1.0945</v>
      </c>
      <c r="N589">
        <f t="shared" si="151"/>
        <v>1079431.2</v>
      </c>
      <c r="O589">
        <f t="shared" si="152"/>
        <v>27358.559799999999</v>
      </c>
      <c r="P589">
        <f t="shared" si="153"/>
        <v>9200</v>
      </c>
      <c r="Q589">
        <f t="shared" si="154"/>
        <v>0.9</v>
      </c>
    </row>
    <row r="590" spans="1:17" x14ac:dyDescent="0.25">
      <c r="A590">
        <v>588</v>
      </c>
      <c r="B590">
        <f t="shared" si="140"/>
        <v>20</v>
      </c>
      <c r="C590">
        <f t="shared" si="141"/>
        <v>2</v>
      </c>
      <c r="D590" t="str">
        <f t="shared" si="142"/>
        <v/>
      </c>
      <c r="E590">
        <f t="shared" si="143"/>
        <v>1970</v>
      </c>
      <c r="F590" t="str">
        <f t="shared" si="144"/>
        <v/>
      </c>
      <c r="G590" t="str">
        <f t="shared" si="145"/>
        <v/>
      </c>
      <c r="H590">
        <f t="shared" si="146"/>
        <v>27696</v>
      </c>
      <c r="I590" t="str">
        <f t="shared" si="147"/>
        <v/>
      </c>
      <c r="J590">
        <f>SUM($G$3:I590)</f>
        <v>5424852</v>
      </c>
      <c r="K590">
        <f t="shared" si="148"/>
        <v>20900</v>
      </c>
      <c r="L590">
        <f t="shared" si="149"/>
        <v>1.1970000000000001</v>
      </c>
      <c r="M590">
        <f t="shared" si="150"/>
        <v>1.0945</v>
      </c>
      <c r="N590">
        <f t="shared" si="151"/>
        <v>1084970.4000000001</v>
      </c>
      <c r="O590">
        <f t="shared" si="152"/>
        <v>27381.434850000005</v>
      </c>
      <c r="P590">
        <f t="shared" si="153"/>
        <v>9200</v>
      </c>
      <c r="Q590">
        <f t="shared" si="154"/>
        <v>0.9</v>
      </c>
    </row>
    <row r="591" spans="1:17" x14ac:dyDescent="0.25">
      <c r="A591">
        <v>589</v>
      </c>
      <c r="B591">
        <f t="shared" si="140"/>
        <v>20</v>
      </c>
      <c r="C591">
        <f t="shared" si="141"/>
        <v>2</v>
      </c>
      <c r="D591" t="str">
        <f t="shared" si="142"/>
        <v/>
      </c>
      <c r="E591">
        <f t="shared" si="143"/>
        <v>1980</v>
      </c>
      <c r="F591" t="str">
        <f t="shared" si="144"/>
        <v/>
      </c>
      <c r="G591" t="str">
        <f t="shared" si="145"/>
        <v/>
      </c>
      <c r="H591">
        <f t="shared" si="146"/>
        <v>27843</v>
      </c>
      <c r="I591" t="str">
        <f t="shared" si="147"/>
        <v/>
      </c>
      <c r="J591">
        <f>SUM($G$3:I591)</f>
        <v>5452695</v>
      </c>
      <c r="K591">
        <f t="shared" si="148"/>
        <v>20900</v>
      </c>
      <c r="L591">
        <f t="shared" si="149"/>
        <v>1.198</v>
      </c>
      <c r="M591">
        <f t="shared" si="150"/>
        <v>1.0945</v>
      </c>
      <c r="N591">
        <f t="shared" si="151"/>
        <v>1090539</v>
      </c>
      <c r="O591">
        <f t="shared" si="152"/>
        <v>27404.3099</v>
      </c>
      <c r="P591">
        <f t="shared" si="153"/>
        <v>9200</v>
      </c>
      <c r="Q591">
        <f t="shared" si="154"/>
        <v>0.9</v>
      </c>
    </row>
    <row r="592" spans="1:17" x14ac:dyDescent="0.25">
      <c r="A592">
        <v>590</v>
      </c>
      <c r="B592">
        <f t="shared" si="140"/>
        <v>20</v>
      </c>
      <c r="C592">
        <f t="shared" si="141"/>
        <v>2</v>
      </c>
      <c r="D592" t="str">
        <f t="shared" si="142"/>
        <v/>
      </c>
      <c r="E592">
        <f t="shared" si="143"/>
        <v>1990</v>
      </c>
      <c r="F592" t="str">
        <f t="shared" si="144"/>
        <v/>
      </c>
      <c r="G592" t="str">
        <f t="shared" si="145"/>
        <v/>
      </c>
      <c r="H592">
        <f t="shared" si="146"/>
        <v>27990</v>
      </c>
      <c r="I592" t="str">
        <f t="shared" si="147"/>
        <v/>
      </c>
      <c r="J592">
        <f>SUM($G$3:I592)</f>
        <v>5480685</v>
      </c>
      <c r="K592">
        <f t="shared" si="148"/>
        <v>20900</v>
      </c>
      <c r="L592">
        <f t="shared" si="149"/>
        <v>1.1990000000000001</v>
      </c>
      <c r="M592">
        <f t="shared" si="150"/>
        <v>1.0945</v>
      </c>
      <c r="N592">
        <f t="shared" si="151"/>
        <v>1096137</v>
      </c>
      <c r="O592">
        <f t="shared" si="152"/>
        <v>27427.184950000003</v>
      </c>
      <c r="P592">
        <f t="shared" si="153"/>
        <v>9200</v>
      </c>
      <c r="Q592">
        <f t="shared" si="154"/>
        <v>0.9</v>
      </c>
    </row>
    <row r="593" spans="1:17" x14ac:dyDescent="0.25">
      <c r="A593">
        <v>591</v>
      </c>
      <c r="B593">
        <f t="shared" si="140"/>
        <v>20</v>
      </c>
      <c r="C593">
        <f t="shared" si="141"/>
        <v>3</v>
      </c>
      <c r="D593" t="str">
        <f t="shared" si="142"/>
        <v/>
      </c>
      <c r="E593" t="str">
        <f t="shared" si="143"/>
        <v/>
      </c>
      <c r="F593">
        <f t="shared" si="144"/>
        <v>950</v>
      </c>
      <c r="G593" t="str">
        <f t="shared" si="145"/>
        <v/>
      </c>
      <c r="H593" t="str">
        <f t="shared" si="146"/>
        <v/>
      </c>
      <c r="I593">
        <f t="shared" si="147"/>
        <v>20000</v>
      </c>
      <c r="J593">
        <f>SUM($G$3:I593)</f>
        <v>5500685</v>
      </c>
      <c r="K593">
        <f t="shared" si="148"/>
        <v>20900</v>
      </c>
      <c r="L593">
        <f t="shared" si="149"/>
        <v>1.1990000000000001</v>
      </c>
      <c r="M593">
        <f t="shared" si="150"/>
        <v>1.095</v>
      </c>
      <c r="N593">
        <f t="shared" si="151"/>
        <v>1100137</v>
      </c>
      <c r="O593">
        <f t="shared" si="152"/>
        <v>27439.714500000002</v>
      </c>
      <c r="P593">
        <f t="shared" si="153"/>
        <v>9200</v>
      </c>
      <c r="Q593">
        <f t="shared" si="154"/>
        <v>0.9</v>
      </c>
    </row>
    <row r="594" spans="1:17" x14ac:dyDescent="0.25">
      <c r="A594">
        <v>592</v>
      </c>
      <c r="B594">
        <f t="shared" si="140"/>
        <v>20</v>
      </c>
      <c r="C594">
        <f t="shared" si="141"/>
        <v>3</v>
      </c>
      <c r="D594" t="str">
        <f t="shared" si="142"/>
        <v/>
      </c>
      <c r="E594" t="str">
        <f t="shared" si="143"/>
        <v/>
      </c>
      <c r="F594">
        <f t="shared" si="144"/>
        <v>955</v>
      </c>
      <c r="G594" t="str">
        <f t="shared" si="145"/>
        <v/>
      </c>
      <c r="H594" t="str">
        <f t="shared" si="146"/>
        <v/>
      </c>
      <c r="I594">
        <f t="shared" si="147"/>
        <v>20110</v>
      </c>
      <c r="J594">
        <f>SUM($G$3:I594)</f>
        <v>5520795</v>
      </c>
      <c r="K594">
        <f t="shared" si="148"/>
        <v>20900</v>
      </c>
      <c r="L594">
        <f t="shared" si="149"/>
        <v>1.1990000000000001</v>
      </c>
      <c r="M594">
        <f t="shared" si="150"/>
        <v>1.0954999999999999</v>
      </c>
      <c r="N594">
        <f t="shared" si="151"/>
        <v>1104159</v>
      </c>
      <c r="O594">
        <f t="shared" si="152"/>
        <v>27452.244050000001</v>
      </c>
      <c r="P594">
        <f t="shared" si="153"/>
        <v>9200</v>
      </c>
      <c r="Q594">
        <f t="shared" si="154"/>
        <v>0.9</v>
      </c>
    </row>
    <row r="595" spans="1:17" x14ac:dyDescent="0.25">
      <c r="A595">
        <v>593</v>
      </c>
      <c r="B595">
        <f t="shared" si="140"/>
        <v>20</v>
      </c>
      <c r="C595">
        <f t="shared" si="141"/>
        <v>3</v>
      </c>
      <c r="D595" t="str">
        <f t="shared" si="142"/>
        <v/>
      </c>
      <c r="E595" t="str">
        <f t="shared" si="143"/>
        <v/>
      </c>
      <c r="F595">
        <f t="shared" si="144"/>
        <v>960</v>
      </c>
      <c r="G595" t="str">
        <f t="shared" si="145"/>
        <v/>
      </c>
      <c r="H595" t="str">
        <f t="shared" si="146"/>
        <v/>
      </c>
      <c r="I595">
        <f t="shared" si="147"/>
        <v>20220</v>
      </c>
      <c r="J595">
        <f>SUM($G$3:I595)</f>
        <v>5541015</v>
      </c>
      <c r="K595">
        <f t="shared" si="148"/>
        <v>20900</v>
      </c>
      <c r="L595">
        <f t="shared" si="149"/>
        <v>1.1990000000000001</v>
      </c>
      <c r="M595">
        <f t="shared" si="150"/>
        <v>1.0960000000000001</v>
      </c>
      <c r="N595">
        <f t="shared" si="151"/>
        <v>1108203</v>
      </c>
      <c r="O595">
        <f t="shared" si="152"/>
        <v>27464.773600000004</v>
      </c>
      <c r="P595">
        <f t="shared" si="153"/>
        <v>9200</v>
      </c>
      <c r="Q595">
        <f t="shared" si="154"/>
        <v>0.9</v>
      </c>
    </row>
    <row r="596" spans="1:17" x14ac:dyDescent="0.25">
      <c r="A596">
        <v>594</v>
      </c>
      <c r="B596">
        <f t="shared" si="140"/>
        <v>20</v>
      </c>
      <c r="C596">
        <f t="shared" si="141"/>
        <v>3</v>
      </c>
      <c r="D596" t="str">
        <f t="shared" si="142"/>
        <v/>
      </c>
      <c r="E596" t="str">
        <f t="shared" si="143"/>
        <v/>
      </c>
      <c r="F596">
        <f t="shared" si="144"/>
        <v>965</v>
      </c>
      <c r="G596" t="str">
        <f t="shared" si="145"/>
        <v/>
      </c>
      <c r="H596" t="str">
        <f t="shared" si="146"/>
        <v/>
      </c>
      <c r="I596">
        <f t="shared" si="147"/>
        <v>20330</v>
      </c>
      <c r="J596">
        <f>SUM($G$3:I596)</f>
        <v>5561345</v>
      </c>
      <c r="K596">
        <f t="shared" si="148"/>
        <v>20900</v>
      </c>
      <c r="L596">
        <f t="shared" si="149"/>
        <v>1.1990000000000001</v>
      </c>
      <c r="M596">
        <f t="shared" si="150"/>
        <v>1.0965</v>
      </c>
      <c r="N596">
        <f t="shared" si="151"/>
        <v>1112269</v>
      </c>
      <c r="O596">
        <f t="shared" si="152"/>
        <v>27477.303150000003</v>
      </c>
      <c r="P596">
        <f t="shared" si="153"/>
        <v>9200</v>
      </c>
      <c r="Q596">
        <f t="shared" si="154"/>
        <v>0.9</v>
      </c>
    </row>
    <row r="597" spans="1:17" x14ac:dyDescent="0.25">
      <c r="A597">
        <v>595</v>
      </c>
      <c r="B597">
        <f t="shared" si="140"/>
        <v>20</v>
      </c>
      <c r="C597">
        <f t="shared" si="141"/>
        <v>3</v>
      </c>
      <c r="D597" t="str">
        <f t="shared" si="142"/>
        <v/>
      </c>
      <c r="E597" t="str">
        <f t="shared" si="143"/>
        <v/>
      </c>
      <c r="F597">
        <f t="shared" si="144"/>
        <v>970</v>
      </c>
      <c r="G597" t="str">
        <f t="shared" si="145"/>
        <v/>
      </c>
      <c r="H597" t="str">
        <f t="shared" si="146"/>
        <v/>
      </c>
      <c r="I597">
        <f t="shared" si="147"/>
        <v>20440</v>
      </c>
      <c r="J597">
        <f>SUM($G$3:I597)</f>
        <v>5581785</v>
      </c>
      <c r="K597">
        <f t="shared" si="148"/>
        <v>20900</v>
      </c>
      <c r="L597">
        <f t="shared" si="149"/>
        <v>1.1990000000000001</v>
      </c>
      <c r="M597">
        <f t="shared" si="150"/>
        <v>1.097</v>
      </c>
      <c r="N597">
        <f t="shared" si="151"/>
        <v>1116357</v>
      </c>
      <c r="O597">
        <f t="shared" si="152"/>
        <v>27489.832700000003</v>
      </c>
      <c r="P597">
        <f t="shared" si="153"/>
        <v>9200</v>
      </c>
      <c r="Q597">
        <f t="shared" si="154"/>
        <v>0.9</v>
      </c>
    </row>
    <row r="598" spans="1:17" x14ac:dyDescent="0.25">
      <c r="A598">
        <v>596</v>
      </c>
      <c r="B598">
        <f t="shared" si="140"/>
        <v>20</v>
      </c>
      <c r="C598">
        <f t="shared" si="141"/>
        <v>3</v>
      </c>
      <c r="D598" t="str">
        <f t="shared" si="142"/>
        <v/>
      </c>
      <c r="E598" t="str">
        <f t="shared" si="143"/>
        <v/>
      </c>
      <c r="F598">
        <f t="shared" si="144"/>
        <v>975</v>
      </c>
      <c r="G598" t="str">
        <f t="shared" si="145"/>
        <v/>
      </c>
      <c r="H598" t="str">
        <f t="shared" si="146"/>
        <v/>
      </c>
      <c r="I598">
        <f t="shared" si="147"/>
        <v>20550</v>
      </c>
      <c r="J598">
        <f>SUM($G$3:I598)</f>
        <v>5602335</v>
      </c>
      <c r="K598">
        <f t="shared" si="148"/>
        <v>20900</v>
      </c>
      <c r="L598">
        <f t="shared" si="149"/>
        <v>1.1990000000000001</v>
      </c>
      <c r="M598">
        <f t="shared" si="150"/>
        <v>1.0974999999999999</v>
      </c>
      <c r="N598">
        <f t="shared" si="151"/>
        <v>1120467</v>
      </c>
      <c r="O598">
        <f t="shared" si="152"/>
        <v>27502.362250000002</v>
      </c>
      <c r="P598">
        <f t="shared" si="153"/>
        <v>9200</v>
      </c>
      <c r="Q598">
        <f t="shared" si="154"/>
        <v>0.9</v>
      </c>
    </row>
    <row r="599" spans="1:17" x14ac:dyDescent="0.25">
      <c r="A599">
        <v>597</v>
      </c>
      <c r="B599">
        <f t="shared" si="140"/>
        <v>20</v>
      </c>
      <c r="C599">
        <f t="shared" si="141"/>
        <v>3</v>
      </c>
      <c r="D599" t="str">
        <f t="shared" si="142"/>
        <v/>
      </c>
      <c r="E599" t="str">
        <f t="shared" si="143"/>
        <v/>
      </c>
      <c r="F599">
        <f t="shared" si="144"/>
        <v>980</v>
      </c>
      <c r="G599" t="str">
        <f t="shared" si="145"/>
        <v/>
      </c>
      <c r="H599" t="str">
        <f t="shared" si="146"/>
        <v/>
      </c>
      <c r="I599">
        <f t="shared" si="147"/>
        <v>20660</v>
      </c>
      <c r="J599">
        <f>SUM($G$3:I599)</f>
        <v>5622995</v>
      </c>
      <c r="K599">
        <f t="shared" si="148"/>
        <v>20900</v>
      </c>
      <c r="L599">
        <f t="shared" si="149"/>
        <v>1.1990000000000001</v>
      </c>
      <c r="M599">
        <f t="shared" si="150"/>
        <v>1.0980000000000001</v>
      </c>
      <c r="N599">
        <f t="shared" si="151"/>
        <v>1124599</v>
      </c>
      <c r="O599">
        <f t="shared" si="152"/>
        <v>27514.891800000005</v>
      </c>
      <c r="P599">
        <f t="shared" si="153"/>
        <v>9200</v>
      </c>
      <c r="Q599">
        <f t="shared" si="154"/>
        <v>0.9</v>
      </c>
    </row>
    <row r="600" spans="1:17" x14ac:dyDescent="0.25">
      <c r="A600">
        <v>598</v>
      </c>
      <c r="B600">
        <f t="shared" si="140"/>
        <v>20</v>
      </c>
      <c r="C600">
        <f t="shared" si="141"/>
        <v>3</v>
      </c>
      <c r="D600" t="str">
        <f t="shared" si="142"/>
        <v/>
      </c>
      <c r="E600" t="str">
        <f t="shared" si="143"/>
        <v/>
      </c>
      <c r="F600">
        <f t="shared" si="144"/>
        <v>985</v>
      </c>
      <c r="G600" t="str">
        <f t="shared" si="145"/>
        <v/>
      </c>
      <c r="H600" t="str">
        <f t="shared" si="146"/>
        <v/>
      </c>
      <c r="I600">
        <f t="shared" si="147"/>
        <v>20770</v>
      </c>
      <c r="J600">
        <f>SUM($G$3:I600)</f>
        <v>5643765</v>
      </c>
      <c r="K600">
        <f t="shared" si="148"/>
        <v>20900</v>
      </c>
      <c r="L600">
        <f t="shared" si="149"/>
        <v>1.1990000000000001</v>
      </c>
      <c r="M600">
        <f t="shared" si="150"/>
        <v>1.0985</v>
      </c>
      <c r="N600">
        <f t="shared" si="151"/>
        <v>1128753</v>
      </c>
      <c r="O600">
        <f t="shared" si="152"/>
        <v>27527.421350000004</v>
      </c>
      <c r="P600">
        <f t="shared" si="153"/>
        <v>9200</v>
      </c>
      <c r="Q600">
        <f t="shared" si="154"/>
        <v>0.9</v>
      </c>
    </row>
    <row r="601" spans="1:17" x14ac:dyDescent="0.25">
      <c r="A601">
        <v>599</v>
      </c>
      <c r="B601">
        <f t="shared" si="140"/>
        <v>20</v>
      </c>
      <c r="C601">
        <f t="shared" si="141"/>
        <v>3</v>
      </c>
      <c r="D601" t="str">
        <f t="shared" si="142"/>
        <v/>
      </c>
      <c r="E601" t="str">
        <f t="shared" si="143"/>
        <v/>
      </c>
      <c r="F601">
        <f t="shared" si="144"/>
        <v>990</v>
      </c>
      <c r="G601" t="str">
        <f t="shared" si="145"/>
        <v/>
      </c>
      <c r="H601" t="str">
        <f t="shared" si="146"/>
        <v/>
      </c>
      <c r="I601">
        <f t="shared" si="147"/>
        <v>20880</v>
      </c>
      <c r="J601">
        <f>SUM($G$3:I601)</f>
        <v>5664645</v>
      </c>
      <c r="K601">
        <f t="shared" si="148"/>
        <v>20900</v>
      </c>
      <c r="L601">
        <f t="shared" si="149"/>
        <v>1.1990000000000001</v>
      </c>
      <c r="M601">
        <f t="shared" si="150"/>
        <v>1.099</v>
      </c>
      <c r="N601">
        <f t="shared" si="151"/>
        <v>1132929</v>
      </c>
      <c r="O601">
        <f t="shared" si="152"/>
        <v>27539.950900000003</v>
      </c>
      <c r="P601">
        <f t="shared" si="153"/>
        <v>9200</v>
      </c>
      <c r="Q601">
        <f t="shared" si="154"/>
        <v>0.9</v>
      </c>
    </row>
    <row r="602" spans="1:17" x14ac:dyDescent="0.25">
      <c r="A602">
        <v>600</v>
      </c>
      <c r="B602">
        <f t="shared" si="140"/>
        <v>20</v>
      </c>
      <c r="C602">
        <f t="shared" si="141"/>
        <v>3</v>
      </c>
      <c r="D602" t="str">
        <f t="shared" si="142"/>
        <v/>
      </c>
      <c r="E602" t="str">
        <f t="shared" si="143"/>
        <v/>
      </c>
      <c r="F602">
        <f t="shared" si="144"/>
        <v>995</v>
      </c>
      <c r="G602" t="str">
        <f t="shared" si="145"/>
        <v/>
      </c>
      <c r="H602" t="str">
        <f t="shared" si="146"/>
        <v/>
      </c>
      <c r="I602">
        <f t="shared" si="147"/>
        <v>20990</v>
      </c>
      <c r="J602">
        <f>SUM($G$3:I602)</f>
        <v>5685635</v>
      </c>
      <c r="K602">
        <f t="shared" si="148"/>
        <v>20900</v>
      </c>
      <c r="L602">
        <f t="shared" si="149"/>
        <v>1.1990000000000001</v>
      </c>
      <c r="M602">
        <f t="shared" si="150"/>
        <v>1.0994999999999999</v>
      </c>
      <c r="N602">
        <f t="shared" si="151"/>
        <v>1137127</v>
      </c>
      <c r="O602">
        <f t="shared" si="152"/>
        <v>27552.480449999999</v>
      </c>
      <c r="P602">
        <f t="shared" si="153"/>
        <v>9200</v>
      </c>
      <c r="Q602">
        <f t="shared" si="154"/>
        <v>0.9</v>
      </c>
    </row>
    <row r="603" spans="1:17" x14ac:dyDescent="0.25">
      <c r="A603">
        <v>601</v>
      </c>
      <c r="B603">
        <f t="shared" si="140"/>
        <v>21</v>
      </c>
      <c r="C603">
        <f t="shared" si="141"/>
        <v>1</v>
      </c>
      <c r="D603">
        <f t="shared" si="142"/>
        <v>2110</v>
      </c>
      <c r="E603" t="str">
        <f t="shared" si="143"/>
        <v/>
      </c>
      <c r="F603" t="str">
        <f t="shared" si="144"/>
        <v/>
      </c>
      <c r="G603">
        <f t="shared" si="145"/>
        <v>42200</v>
      </c>
      <c r="H603" t="str">
        <f t="shared" si="146"/>
        <v/>
      </c>
      <c r="I603" t="str">
        <f t="shared" si="147"/>
        <v/>
      </c>
      <c r="J603">
        <f>SUM($G$3:I603)</f>
        <v>5727835</v>
      </c>
      <c r="K603">
        <f t="shared" si="148"/>
        <v>21100</v>
      </c>
      <c r="L603">
        <f t="shared" si="149"/>
        <v>1.1990000000000001</v>
      </c>
      <c r="M603">
        <f t="shared" si="150"/>
        <v>1.0994999999999999</v>
      </c>
      <c r="N603">
        <f t="shared" si="151"/>
        <v>1145567</v>
      </c>
      <c r="O603">
        <f t="shared" si="152"/>
        <v>27816.14055</v>
      </c>
      <c r="P603">
        <f t="shared" si="153"/>
        <v>9200</v>
      </c>
      <c r="Q603">
        <f t="shared" si="154"/>
        <v>0.9</v>
      </c>
    </row>
    <row r="604" spans="1:17" x14ac:dyDescent="0.25">
      <c r="A604">
        <v>602</v>
      </c>
      <c r="B604">
        <f t="shared" si="140"/>
        <v>21</v>
      </c>
      <c r="C604">
        <f t="shared" si="141"/>
        <v>1</v>
      </c>
      <c r="D604">
        <f t="shared" si="142"/>
        <v>2131</v>
      </c>
      <c r="E604" t="str">
        <f t="shared" si="143"/>
        <v/>
      </c>
      <c r="F604" t="str">
        <f t="shared" si="144"/>
        <v/>
      </c>
      <c r="G604">
        <f t="shared" si="145"/>
        <v>42420</v>
      </c>
      <c r="H604" t="str">
        <f t="shared" si="146"/>
        <v/>
      </c>
      <c r="I604" t="str">
        <f t="shared" si="147"/>
        <v/>
      </c>
      <c r="J604">
        <f>SUM($G$3:I604)</f>
        <v>5770255</v>
      </c>
      <c r="K604">
        <f t="shared" si="148"/>
        <v>21310</v>
      </c>
      <c r="L604">
        <f t="shared" si="149"/>
        <v>1.1990000000000001</v>
      </c>
      <c r="M604">
        <f t="shared" si="150"/>
        <v>1.0994999999999999</v>
      </c>
      <c r="N604">
        <f t="shared" si="151"/>
        <v>1154051</v>
      </c>
      <c r="O604">
        <f t="shared" si="152"/>
        <v>28092.983655</v>
      </c>
      <c r="P604">
        <f t="shared" si="153"/>
        <v>9200</v>
      </c>
      <c r="Q604">
        <f t="shared" si="154"/>
        <v>0.9</v>
      </c>
    </row>
    <row r="605" spans="1:17" x14ac:dyDescent="0.25">
      <c r="A605">
        <v>603</v>
      </c>
      <c r="B605">
        <f t="shared" si="140"/>
        <v>21</v>
      </c>
      <c r="C605">
        <f t="shared" si="141"/>
        <v>1</v>
      </c>
      <c r="D605">
        <f t="shared" si="142"/>
        <v>2152</v>
      </c>
      <c r="E605" t="str">
        <f t="shared" si="143"/>
        <v/>
      </c>
      <c r="F605" t="str">
        <f t="shared" si="144"/>
        <v/>
      </c>
      <c r="G605">
        <f t="shared" si="145"/>
        <v>42640</v>
      </c>
      <c r="H605" t="str">
        <f t="shared" si="146"/>
        <v/>
      </c>
      <c r="I605" t="str">
        <f t="shared" si="147"/>
        <v/>
      </c>
      <c r="J605">
        <f>SUM($G$3:I605)</f>
        <v>5812895</v>
      </c>
      <c r="K605">
        <f t="shared" si="148"/>
        <v>21520</v>
      </c>
      <c r="L605">
        <f t="shared" si="149"/>
        <v>1.1990000000000001</v>
      </c>
      <c r="M605">
        <f t="shared" si="150"/>
        <v>1.0994999999999999</v>
      </c>
      <c r="N605">
        <f t="shared" si="151"/>
        <v>1162579</v>
      </c>
      <c r="O605">
        <f t="shared" si="152"/>
        <v>28369.82676</v>
      </c>
      <c r="P605">
        <f t="shared" si="153"/>
        <v>9200</v>
      </c>
      <c r="Q605">
        <f t="shared" si="154"/>
        <v>0.9</v>
      </c>
    </row>
    <row r="606" spans="1:17" x14ac:dyDescent="0.25">
      <c r="A606">
        <v>604</v>
      </c>
      <c r="B606">
        <f t="shared" si="140"/>
        <v>21</v>
      </c>
      <c r="C606">
        <f t="shared" si="141"/>
        <v>1</v>
      </c>
      <c r="D606">
        <f t="shared" si="142"/>
        <v>2173</v>
      </c>
      <c r="E606" t="str">
        <f t="shared" si="143"/>
        <v/>
      </c>
      <c r="F606" t="str">
        <f t="shared" si="144"/>
        <v/>
      </c>
      <c r="G606">
        <f t="shared" si="145"/>
        <v>42860</v>
      </c>
      <c r="H606" t="str">
        <f t="shared" si="146"/>
        <v/>
      </c>
      <c r="I606" t="str">
        <f t="shared" si="147"/>
        <v/>
      </c>
      <c r="J606">
        <f>SUM($G$3:I606)</f>
        <v>5855755</v>
      </c>
      <c r="K606">
        <f t="shared" si="148"/>
        <v>21730</v>
      </c>
      <c r="L606">
        <f t="shared" si="149"/>
        <v>1.1990000000000001</v>
      </c>
      <c r="M606">
        <f t="shared" si="150"/>
        <v>1.0994999999999999</v>
      </c>
      <c r="N606">
        <f t="shared" si="151"/>
        <v>1171151</v>
      </c>
      <c r="O606">
        <f t="shared" si="152"/>
        <v>28646.669865</v>
      </c>
      <c r="P606">
        <f t="shared" si="153"/>
        <v>9200</v>
      </c>
      <c r="Q606">
        <f t="shared" si="154"/>
        <v>0.9</v>
      </c>
    </row>
    <row r="607" spans="1:17" x14ac:dyDescent="0.25">
      <c r="A607">
        <v>605</v>
      </c>
      <c r="B607">
        <f t="shared" si="140"/>
        <v>21</v>
      </c>
      <c r="C607">
        <f t="shared" si="141"/>
        <v>1</v>
      </c>
      <c r="D607">
        <f t="shared" si="142"/>
        <v>2194</v>
      </c>
      <c r="E607" t="str">
        <f t="shared" si="143"/>
        <v/>
      </c>
      <c r="F607" t="str">
        <f t="shared" si="144"/>
        <v/>
      </c>
      <c r="G607">
        <f t="shared" si="145"/>
        <v>43080</v>
      </c>
      <c r="H607" t="str">
        <f t="shared" si="146"/>
        <v/>
      </c>
      <c r="I607" t="str">
        <f t="shared" si="147"/>
        <v/>
      </c>
      <c r="J607">
        <f>SUM($G$3:I607)</f>
        <v>5898835</v>
      </c>
      <c r="K607">
        <f t="shared" si="148"/>
        <v>21940</v>
      </c>
      <c r="L607">
        <f t="shared" si="149"/>
        <v>1.1990000000000001</v>
      </c>
      <c r="M607">
        <f t="shared" si="150"/>
        <v>1.0994999999999999</v>
      </c>
      <c r="N607">
        <f t="shared" si="151"/>
        <v>1179767</v>
      </c>
      <c r="O607">
        <f t="shared" si="152"/>
        <v>28923.51297</v>
      </c>
      <c r="P607">
        <f t="shared" si="153"/>
        <v>9200</v>
      </c>
      <c r="Q607">
        <f t="shared" si="154"/>
        <v>0.9</v>
      </c>
    </row>
    <row r="608" spans="1:17" x14ac:dyDescent="0.25">
      <c r="A608">
        <v>606</v>
      </c>
      <c r="B608">
        <f t="shared" si="140"/>
        <v>21</v>
      </c>
      <c r="C608">
        <f t="shared" si="141"/>
        <v>1</v>
      </c>
      <c r="D608">
        <f t="shared" si="142"/>
        <v>2215</v>
      </c>
      <c r="E608" t="str">
        <f t="shared" si="143"/>
        <v/>
      </c>
      <c r="F608" t="str">
        <f t="shared" si="144"/>
        <v/>
      </c>
      <c r="G608">
        <f t="shared" si="145"/>
        <v>43300</v>
      </c>
      <c r="H608" t="str">
        <f t="shared" si="146"/>
        <v/>
      </c>
      <c r="I608" t="str">
        <f t="shared" si="147"/>
        <v/>
      </c>
      <c r="J608">
        <f>SUM($G$3:I608)</f>
        <v>5942135</v>
      </c>
      <c r="K608">
        <f t="shared" si="148"/>
        <v>22150</v>
      </c>
      <c r="L608">
        <f t="shared" si="149"/>
        <v>1.1990000000000001</v>
      </c>
      <c r="M608">
        <f t="shared" si="150"/>
        <v>1.0994999999999999</v>
      </c>
      <c r="N608">
        <f t="shared" si="151"/>
        <v>1188427</v>
      </c>
      <c r="O608">
        <f t="shared" si="152"/>
        <v>29200.356075</v>
      </c>
      <c r="P608">
        <f t="shared" si="153"/>
        <v>9200</v>
      </c>
      <c r="Q608">
        <f t="shared" si="154"/>
        <v>0.9</v>
      </c>
    </row>
    <row r="609" spans="1:17" x14ac:dyDescent="0.25">
      <c r="A609">
        <v>607</v>
      </c>
      <c r="B609">
        <f t="shared" si="140"/>
        <v>21</v>
      </c>
      <c r="C609">
        <f t="shared" si="141"/>
        <v>1</v>
      </c>
      <c r="D609">
        <f t="shared" si="142"/>
        <v>2236</v>
      </c>
      <c r="E609" t="str">
        <f t="shared" si="143"/>
        <v/>
      </c>
      <c r="F609" t="str">
        <f t="shared" si="144"/>
        <v/>
      </c>
      <c r="G609">
        <f t="shared" si="145"/>
        <v>43520</v>
      </c>
      <c r="H609" t="str">
        <f t="shared" si="146"/>
        <v/>
      </c>
      <c r="I609" t="str">
        <f t="shared" si="147"/>
        <v/>
      </c>
      <c r="J609">
        <f>SUM($G$3:I609)</f>
        <v>5985655</v>
      </c>
      <c r="K609">
        <f t="shared" si="148"/>
        <v>22360</v>
      </c>
      <c r="L609">
        <f t="shared" si="149"/>
        <v>1.1990000000000001</v>
      </c>
      <c r="M609">
        <f t="shared" si="150"/>
        <v>1.0994999999999999</v>
      </c>
      <c r="N609">
        <f t="shared" si="151"/>
        <v>1197131</v>
      </c>
      <c r="O609">
        <f t="shared" si="152"/>
        <v>29477.19918</v>
      </c>
      <c r="P609">
        <f t="shared" si="153"/>
        <v>9200</v>
      </c>
      <c r="Q609">
        <f t="shared" si="154"/>
        <v>0.9</v>
      </c>
    </row>
    <row r="610" spans="1:17" x14ac:dyDescent="0.25">
      <c r="A610">
        <v>608</v>
      </c>
      <c r="B610">
        <f t="shared" ref="B610:B673" si="155">B580+1</f>
        <v>21</v>
      </c>
      <c r="C610">
        <f t="shared" ref="C610:C673" si="156">C580</f>
        <v>1</v>
      </c>
      <c r="D610">
        <f t="shared" si="142"/>
        <v>2257</v>
      </c>
      <c r="E610" t="str">
        <f t="shared" si="143"/>
        <v/>
      </c>
      <c r="F610" t="str">
        <f t="shared" si="144"/>
        <v/>
      </c>
      <c r="G610">
        <f t="shared" si="145"/>
        <v>43740</v>
      </c>
      <c r="H610" t="str">
        <f t="shared" si="146"/>
        <v/>
      </c>
      <c r="I610" t="str">
        <f t="shared" si="147"/>
        <v/>
      </c>
      <c r="J610">
        <f>SUM($G$3:I610)</f>
        <v>6029395</v>
      </c>
      <c r="K610">
        <f t="shared" si="148"/>
        <v>22570</v>
      </c>
      <c r="L610">
        <f t="shared" si="149"/>
        <v>1.1990000000000001</v>
      </c>
      <c r="M610">
        <f t="shared" si="150"/>
        <v>1.0994999999999999</v>
      </c>
      <c r="N610">
        <f t="shared" si="151"/>
        <v>1205879</v>
      </c>
      <c r="O610">
        <f t="shared" si="152"/>
        <v>29754.042285</v>
      </c>
      <c r="P610">
        <f t="shared" si="153"/>
        <v>9200</v>
      </c>
      <c r="Q610">
        <f t="shared" si="154"/>
        <v>0.9</v>
      </c>
    </row>
    <row r="611" spans="1:17" x14ac:dyDescent="0.25">
      <c r="A611">
        <v>609</v>
      </c>
      <c r="B611">
        <f t="shared" si="155"/>
        <v>21</v>
      </c>
      <c r="C611">
        <f t="shared" si="156"/>
        <v>1</v>
      </c>
      <c r="D611">
        <f t="shared" si="142"/>
        <v>2278</v>
      </c>
      <c r="E611" t="str">
        <f t="shared" si="143"/>
        <v/>
      </c>
      <c r="F611" t="str">
        <f t="shared" si="144"/>
        <v/>
      </c>
      <c r="G611">
        <f t="shared" si="145"/>
        <v>43960</v>
      </c>
      <c r="H611" t="str">
        <f t="shared" si="146"/>
        <v/>
      </c>
      <c r="I611" t="str">
        <f t="shared" si="147"/>
        <v/>
      </c>
      <c r="J611">
        <f>SUM($G$3:I611)</f>
        <v>6073355</v>
      </c>
      <c r="K611">
        <f t="shared" si="148"/>
        <v>22780</v>
      </c>
      <c r="L611">
        <f t="shared" si="149"/>
        <v>1.1990000000000001</v>
      </c>
      <c r="M611">
        <f t="shared" si="150"/>
        <v>1.0994999999999999</v>
      </c>
      <c r="N611">
        <f t="shared" si="151"/>
        <v>1214671</v>
      </c>
      <c r="O611">
        <f t="shared" si="152"/>
        <v>30030.885389999999</v>
      </c>
      <c r="P611">
        <f t="shared" si="153"/>
        <v>9200</v>
      </c>
      <c r="Q611">
        <f t="shared" si="154"/>
        <v>0.9</v>
      </c>
    </row>
    <row r="612" spans="1:17" x14ac:dyDescent="0.25">
      <c r="A612">
        <v>610</v>
      </c>
      <c r="B612">
        <f t="shared" si="155"/>
        <v>21</v>
      </c>
      <c r="C612">
        <f t="shared" si="156"/>
        <v>1</v>
      </c>
      <c r="D612">
        <f t="shared" si="142"/>
        <v>2299</v>
      </c>
      <c r="E612" t="str">
        <f t="shared" si="143"/>
        <v/>
      </c>
      <c r="F612" t="str">
        <f t="shared" si="144"/>
        <v/>
      </c>
      <c r="G612">
        <f t="shared" si="145"/>
        <v>44180</v>
      </c>
      <c r="H612" t="str">
        <f t="shared" si="146"/>
        <v/>
      </c>
      <c r="I612" t="str">
        <f t="shared" si="147"/>
        <v/>
      </c>
      <c r="J612">
        <f>SUM($G$3:I612)</f>
        <v>6117535</v>
      </c>
      <c r="K612">
        <f t="shared" si="148"/>
        <v>22990</v>
      </c>
      <c r="L612">
        <f t="shared" si="149"/>
        <v>1.1990000000000001</v>
      </c>
      <c r="M612">
        <f t="shared" si="150"/>
        <v>1.0994999999999999</v>
      </c>
      <c r="N612">
        <f t="shared" si="151"/>
        <v>1223507</v>
      </c>
      <c r="O612">
        <f t="shared" si="152"/>
        <v>30307.728494999999</v>
      </c>
      <c r="P612">
        <f t="shared" si="153"/>
        <v>10800</v>
      </c>
      <c r="Q612">
        <f t="shared" si="154"/>
        <v>0.9</v>
      </c>
    </row>
    <row r="613" spans="1:17" x14ac:dyDescent="0.25">
      <c r="A613">
        <v>611</v>
      </c>
      <c r="B613">
        <f t="shared" si="155"/>
        <v>21</v>
      </c>
      <c r="C613">
        <f t="shared" si="156"/>
        <v>2</v>
      </c>
      <c r="D613" t="str">
        <f t="shared" si="142"/>
        <v/>
      </c>
      <c r="E613">
        <f t="shared" si="143"/>
        <v>2000</v>
      </c>
      <c r="F613" t="str">
        <f t="shared" si="144"/>
        <v/>
      </c>
      <c r="G613" t="str">
        <f t="shared" si="145"/>
        <v/>
      </c>
      <c r="H613">
        <f t="shared" si="146"/>
        <v>28133</v>
      </c>
      <c r="I613" t="str">
        <f t="shared" si="147"/>
        <v/>
      </c>
      <c r="J613">
        <f>SUM($G$3:I613)</f>
        <v>6145668</v>
      </c>
      <c r="K613">
        <f t="shared" si="148"/>
        <v>22990</v>
      </c>
      <c r="L613">
        <f t="shared" si="149"/>
        <v>1.2</v>
      </c>
      <c r="M613">
        <f t="shared" si="150"/>
        <v>1.0994999999999999</v>
      </c>
      <c r="N613">
        <f t="shared" si="151"/>
        <v>1229133.6000000001</v>
      </c>
      <c r="O613">
        <f t="shared" si="152"/>
        <v>30333.005999999998</v>
      </c>
      <c r="P613">
        <f t="shared" si="153"/>
        <v>10800</v>
      </c>
      <c r="Q613">
        <f t="shared" si="154"/>
        <v>0.9</v>
      </c>
    </row>
    <row r="614" spans="1:17" x14ac:dyDescent="0.25">
      <c r="A614">
        <v>612</v>
      </c>
      <c r="B614">
        <f t="shared" si="155"/>
        <v>21</v>
      </c>
      <c r="C614">
        <f t="shared" si="156"/>
        <v>2</v>
      </c>
      <c r="D614" t="str">
        <f t="shared" si="142"/>
        <v/>
      </c>
      <c r="E614">
        <f t="shared" si="143"/>
        <v>2010</v>
      </c>
      <c r="F614" t="str">
        <f t="shared" si="144"/>
        <v/>
      </c>
      <c r="G614" t="str">
        <f t="shared" si="145"/>
        <v/>
      </c>
      <c r="H614">
        <f t="shared" si="146"/>
        <v>28280</v>
      </c>
      <c r="I614" t="str">
        <f t="shared" si="147"/>
        <v/>
      </c>
      <c r="J614">
        <f>SUM($G$3:I614)</f>
        <v>6173948</v>
      </c>
      <c r="K614">
        <f t="shared" si="148"/>
        <v>22990</v>
      </c>
      <c r="L614">
        <f t="shared" si="149"/>
        <v>1.2010000000000001</v>
      </c>
      <c r="M614">
        <f t="shared" si="150"/>
        <v>1.0994999999999999</v>
      </c>
      <c r="N614">
        <f t="shared" si="151"/>
        <v>1234789.6000000001</v>
      </c>
      <c r="O614">
        <f t="shared" si="152"/>
        <v>30358.283504999999</v>
      </c>
      <c r="P614">
        <f t="shared" si="153"/>
        <v>10800</v>
      </c>
      <c r="Q614">
        <f t="shared" si="154"/>
        <v>0.9</v>
      </c>
    </row>
    <row r="615" spans="1:17" x14ac:dyDescent="0.25">
      <c r="A615">
        <v>613</v>
      </c>
      <c r="B615">
        <f t="shared" si="155"/>
        <v>21</v>
      </c>
      <c r="C615">
        <f t="shared" si="156"/>
        <v>2</v>
      </c>
      <c r="D615" t="str">
        <f t="shared" si="142"/>
        <v/>
      </c>
      <c r="E615">
        <f t="shared" si="143"/>
        <v>2020</v>
      </c>
      <c r="F615" t="str">
        <f t="shared" si="144"/>
        <v/>
      </c>
      <c r="G615" t="str">
        <f t="shared" si="145"/>
        <v/>
      </c>
      <c r="H615">
        <f t="shared" si="146"/>
        <v>28427</v>
      </c>
      <c r="I615" t="str">
        <f t="shared" si="147"/>
        <v/>
      </c>
      <c r="J615">
        <f>SUM($G$3:I615)</f>
        <v>6202375</v>
      </c>
      <c r="K615">
        <f t="shared" si="148"/>
        <v>22990</v>
      </c>
      <c r="L615">
        <f t="shared" si="149"/>
        <v>1.202</v>
      </c>
      <c r="M615">
        <f t="shared" si="150"/>
        <v>1.0994999999999999</v>
      </c>
      <c r="N615">
        <f t="shared" si="151"/>
        <v>1240475</v>
      </c>
      <c r="O615">
        <f t="shared" si="152"/>
        <v>30383.561009999998</v>
      </c>
      <c r="P615">
        <f t="shared" si="153"/>
        <v>10800</v>
      </c>
      <c r="Q615">
        <f t="shared" si="154"/>
        <v>0.9</v>
      </c>
    </row>
    <row r="616" spans="1:17" x14ac:dyDescent="0.25">
      <c r="A616">
        <v>614</v>
      </c>
      <c r="B616">
        <f t="shared" si="155"/>
        <v>21</v>
      </c>
      <c r="C616">
        <f t="shared" si="156"/>
        <v>2</v>
      </c>
      <c r="D616" t="str">
        <f t="shared" si="142"/>
        <v/>
      </c>
      <c r="E616">
        <f t="shared" si="143"/>
        <v>2030</v>
      </c>
      <c r="F616" t="str">
        <f t="shared" si="144"/>
        <v/>
      </c>
      <c r="G616" t="str">
        <f t="shared" si="145"/>
        <v/>
      </c>
      <c r="H616">
        <f t="shared" si="146"/>
        <v>28574</v>
      </c>
      <c r="I616" t="str">
        <f t="shared" si="147"/>
        <v/>
      </c>
      <c r="J616">
        <f>SUM($G$3:I616)</f>
        <v>6230949</v>
      </c>
      <c r="K616">
        <f t="shared" si="148"/>
        <v>22990</v>
      </c>
      <c r="L616">
        <f t="shared" si="149"/>
        <v>1.2030000000000001</v>
      </c>
      <c r="M616">
        <f t="shared" si="150"/>
        <v>1.0994999999999999</v>
      </c>
      <c r="N616">
        <f t="shared" si="151"/>
        <v>1246189.8</v>
      </c>
      <c r="O616">
        <f t="shared" si="152"/>
        <v>30408.838514999999</v>
      </c>
      <c r="P616">
        <f t="shared" si="153"/>
        <v>10800</v>
      </c>
      <c r="Q616">
        <f t="shared" si="154"/>
        <v>0.9</v>
      </c>
    </row>
    <row r="617" spans="1:17" x14ac:dyDescent="0.25">
      <c r="A617">
        <v>615</v>
      </c>
      <c r="B617">
        <f t="shared" si="155"/>
        <v>21</v>
      </c>
      <c r="C617">
        <f t="shared" si="156"/>
        <v>2</v>
      </c>
      <c r="D617" t="str">
        <f t="shared" si="142"/>
        <v/>
      </c>
      <c r="E617">
        <f t="shared" si="143"/>
        <v>2040</v>
      </c>
      <c r="F617" t="str">
        <f t="shared" si="144"/>
        <v/>
      </c>
      <c r="G617" t="str">
        <f t="shared" si="145"/>
        <v/>
      </c>
      <c r="H617">
        <f t="shared" si="146"/>
        <v>28721</v>
      </c>
      <c r="I617" t="str">
        <f t="shared" si="147"/>
        <v/>
      </c>
      <c r="J617">
        <f>SUM($G$3:I617)</f>
        <v>6259670</v>
      </c>
      <c r="K617">
        <f t="shared" si="148"/>
        <v>22990</v>
      </c>
      <c r="L617">
        <f t="shared" si="149"/>
        <v>1.204</v>
      </c>
      <c r="M617">
        <f t="shared" si="150"/>
        <v>1.0994999999999999</v>
      </c>
      <c r="N617">
        <f t="shared" si="151"/>
        <v>1251934</v>
      </c>
      <c r="O617">
        <f t="shared" si="152"/>
        <v>30434.116019999998</v>
      </c>
      <c r="P617">
        <f t="shared" si="153"/>
        <v>10800</v>
      </c>
      <c r="Q617">
        <f t="shared" si="154"/>
        <v>0.9</v>
      </c>
    </row>
    <row r="618" spans="1:17" x14ac:dyDescent="0.25">
      <c r="A618">
        <v>616</v>
      </c>
      <c r="B618">
        <f t="shared" si="155"/>
        <v>21</v>
      </c>
      <c r="C618">
        <f t="shared" si="156"/>
        <v>2</v>
      </c>
      <c r="D618" t="str">
        <f t="shared" si="142"/>
        <v/>
      </c>
      <c r="E618">
        <f t="shared" si="143"/>
        <v>2050</v>
      </c>
      <c r="F618" t="str">
        <f t="shared" si="144"/>
        <v/>
      </c>
      <c r="G618" t="str">
        <f t="shared" si="145"/>
        <v/>
      </c>
      <c r="H618">
        <f t="shared" si="146"/>
        <v>28868</v>
      </c>
      <c r="I618" t="str">
        <f t="shared" si="147"/>
        <v/>
      </c>
      <c r="J618">
        <f>SUM($G$3:I618)</f>
        <v>6288538</v>
      </c>
      <c r="K618">
        <f t="shared" si="148"/>
        <v>22990</v>
      </c>
      <c r="L618">
        <f t="shared" si="149"/>
        <v>1.2050000000000001</v>
      </c>
      <c r="M618">
        <f t="shared" si="150"/>
        <v>1.0994999999999999</v>
      </c>
      <c r="N618">
        <f t="shared" si="151"/>
        <v>1257707.6000000001</v>
      </c>
      <c r="O618">
        <f t="shared" si="152"/>
        <v>30459.393524999999</v>
      </c>
      <c r="P618">
        <f t="shared" si="153"/>
        <v>10800</v>
      </c>
      <c r="Q618">
        <f t="shared" si="154"/>
        <v>0.9</v>
      </c>
    </row>
    <row r="619" spans="1:17" x14ac:dyDescent="0.25">
      <c r="A619">
        <v>617</v>
      </c>
      <c r="B619">
        <f t="shared" si="155"/>
        <v>21</v>
      </c>
      <c r="C619">
        <f t="shared" si="156"/>
        <v>2</v>
      </c>
      <c r="D619" t="str">
        <f t="shared" si="142"/>
        <v/>
      </c>
      <c r="E619">
        <f t="shared" si="143"/>
        <v>2060</v>
      </c>
      <c r="F619" t="str">
        <f t="shared" si="144"/>
        <v/>
      </c>
      <c r="G619" t="str">
        <f t="shared" si="145"/>
        <v/>
      </c>
      <c r="H619">
        <f t="shared" si="146"/>
        <v>29015</v>
      </c>
      <c r="I619" t="str">
        <f t="shared" si="147"/>
        <v/>
      </c>
      <c r="J619">
        <f>SUM($G$3:I619)</f>
        <v>6317553</v>
      </c>
      <c r="K619">
        <f t="shared" si="148"/>
        <v>22990</v>
      </c>
      <c r="L619">
        <f t="shared" si="149"/>
        <v>1.206</v>
      </c>
      <c r="M619">
        <f t="shared" si="150"/>
        <v>1.0994999999999999</v>
      </c>
      <c r="N619">
        <f t="shared" si="151"/>
        <v>1263510.6000000001</v>
      </c>
      <c r="O619">
        <f t="shared" si="152"/>
        <v>30484.671029999998</v>
      </c>
      <c r="P619">
        <f t="shared" si="153"/>
        <v>10800</v>
      </c>
      <c r="Q619">
        <f t="shared" si="154"/>
        <v>0.9</v>
      </c>
    </row>
    <row r="620" spans="1:17" x14ac:dyDescent="0.25">
      <c r="A620">
        <v>618</v>
      </c>
      <c r="B620">
        <f t="shared" si="155"/>
        <v>21</v>
      </c>
      <c r="C620">
        <f t="shared" si="156"/>
        <v>2</v>
      </c>
      <c r="D620" t="str">
        <f t="shared" si="142"/>
        <v/>
      </c>
      <c r="E620">
        <f t="shared" si="143"/>
        <v>2070</v>
      </c>
      <c r="F620" t="str">
        <f t="shared" si="144"/>
        <v/>
      </c>
      <c r="G620" t="str">
        <f t="shared" si="145"/>
        <v/>
      </c>
      <c r="H620">
        <f t="shared" si="146"/>
        <v>29162</v>
      </c>
      <c r="I620" t="str">
        <f t="shared" si="147"/>
        <v/>
      </c>
      <c r="J620">
        <f>SUM($G$3:I620)</f>
        <v>6346715</v>
      </c>
      <c r="K620">
        <f t="shared" si="148"/>
        <v>22990</v>
      </c>
      <c r="L620">
        <f t="shared" si="149"/>
        <v>1.2070000000000001</v>
      </c>
      <c r="M620">
        <f t="shared" si="150"/>
        <v>1.0994999999999999</v>
      </c>
      <c r="N620">
        <f t="shared" si="151"/>
        <v>1269343</v>
      </c>
      <c r="O620">
        <f t="shared" si="152"/>
        <v>30509.948535</v>
      </c>
      <c r="P620">
        <f t="shared" si="153"/>
        <v>10800</v>
      </c>
      <c r="Q620">
        <f t="shared" si="154"/>
        <v>0.9</v>
      </c>
    </row>
    <row r="621" spans="1:17" x14ac:dyDescent="0.25">
      <c r="A621">
        <v>619</v>
      </c>
      <c r="B621">
        <f t="shared" si="155"/>
        <v>21</v>
      </c>
      <c r="C621">
        <f t="shared" si="156"/>
        <v>2</v>
      </c>
      <c r="D621" t="str">
        <f t="shared" si="142"/>
        <v/>
      </c>
      <c r="E621">
        <f t="shared" si="143"/>
        <v>2080</v>
      </c>
      <c r="F621" t="str">
        <f t="shared" si="144"/>
        <v/>
      </c>
      <c r="G621" t="str">
        <f t="shared" si="145"/>
        <v/>
      </c>
      <c r="H621">
        <f t="shared" si="146"/>
        <v>29309</v>
      </c>
      <c r="I621" t="str">
        <f t="shared" si="147"/>
        <v/>
      </c>
      <c r="J621">
        <f>SUM($G$3:I621)</f>
        <v>6376024</v>
      </c>
      <c r="K621">
        <f t="shared" si="148"/>
        <v>22990</v>
      </c>
      <c r="L621">
        <f t="shared" si="149"/>
        <v>1.208</v>
      </c>
      <c r="M621">
        <f t="shared" si="150"/>
        <v>1.0994999999999999</v>
      </c>
      <c r="N621">
        <f t="shared" si="151"/>
        <v>1275204.8</v>
      </c>
      <c r="O621">
        <f t="shared" si="152"/>
        <v>30535.226039999994</v>
      </c>
      <c r="P621">
        <f t="shared" si="153"/>
        <v>10800</v>
      </c>
      <c r="Q621">
        <f t="shared" si="154"/>
        <v>0.9</v>
      </c>
    </row>
    <row r="622" spans="1:17" x14ac:dyDescent="0.25">
      <c r="A622">
        <v>620</v>
      </c>
      <c r="B622">
        <f t="shared" si="155"/>
        <v>21</v>
      </c>
      <c r="C622">
        <f t="shared" si="156"/>
        <v>2</v>
      </c>
      <c r="D622" t="str">
        <f t="shared" si="142"/>
        <v/>
      </c>
      <c r="E622">
        <f t="shared" si="143"/>
        <v>2090</v>
      </c>
      <c r="F622" t="str">
        <f t="shared" si="144"/>
        <v/>
      </c>
      <c r="G622" t="str">
        <f t="shared" si="145"/>
        <v/>
      </c>
      <c r="H622">
        <f t="shared" si="146"/>
        <v>29456</v>
      </c>
      <c r="I622" t="str">
        <f t="shared" si="147"/>
        <v/>
      </c>
      <c r="J622">
        <f>SUM($G$3:I622)</f>
        <v>6405480</v>
      </c>
      <c r="K622">
        <f t="shared" si="148"/>
        <v>22990</v>
      </c>
      <c r="L622">
        <f t="shared" si="149"/>
        <v>1.2090000000000001</v>
      </c>
      <c r="M622">
        <f t="shared" si="150"/>
        <v>1.0994999999999999</v>
      </c>
      <c r="N622">
        <f t="shared" si="151"/>
        <v>1281096</v>
      </c>
      <c r="O622">
        <f t="shared" si="152"/>
        <v>30560.503545000003</v>
      </c>
      <c r="P622">
        <f t="shared" si="153"/>
        <v>10800</v>
      </c>
      <c r="Q622">
        <f t="shared" si="154"/>
        <v>1</v>
      </c>
    </row>
    <row r="623" spans="1:17" x14ac:dyDescent="0.25">
      <c r="A623">
        <v>621</v>
      </c>
      <c r="B623">
        <f t="shared" si="155"/>
        <v>21</v>
      </c>
      <c r="C623">
        <f t="shared" si="156"/>
        <v>3</v>
      </c>
      <c r="D623" t="str">
        <f t="shared" si="142"/>
        <v/>
      </c>
      <c r="E623" t="str">
        <f t="shared" si="143"/>
        <v/>
      </c>
      <c r="F623">
        <f t="shared" si="144"/>
        <v>1000</v>
      </c>
      <c r="G623" t="str">
        <f t="shared" si="145"/>
        <v/>
      </c>
      <c r="H623" t="str">
        <f t="shared" si="146"/>
        <v/>
      </c>
      <c r="I623">
        <f t="shared" si="147"/>
        <v>21100</v>
      </c>
      <c r="J623">
        <f>SUM($G$3:I623)</f>
        <v>6426580</v>
      </c>
      <c r="K623">
        <f t="shared" si="148"/>
        <v>22990</v>
      </c>
      <c r="L623">
        <f t="shared" si="149"/>
        <v>1.2090000000000001</v>
      </c>
      <c r="M623">
        <f t="shared" si="150"/>
        <v>1.1000000000000001</v>
      </c>
      <c r="N623">
        <f t="shared" si="151"/>
        <v>1285316</v>
      </c>
      <c r="O623">
        <f t="shared" si="152"/>
        <v>30574.401000000005</v>
      </c>
      <c r="P623">
        <f t="shared" si="153"/>
        <v>10800</v>
      </c>
      <c r="Q623">
        <f t="shared" si="154"/>
        <v>1</v>
      </c>
    </row>
    <row r="624" spans="1:17" x14ac:dyDescent="0.25">
      <c r="A624">
        <v>622</v>
      </c>
      <c r="B624">
        <f t="shared" si="155"/>
        <v>21</v>
      </c>
      <c r="C624">
        <f t="shared" si="156"/>
        <v>3</v>
      </c>
      <c r="D624" t="str">
        <f t="shared" si="142"/>
        <v/>
      </c>
      <c r="E624" t="str">
        <f t="shared" si="143"/>
        <v/>
      </c>
      <c r="F624">
        <f t="shared" si="144"/>
        <v>1005</v>
      </c>
      <c r="G624" t="str">
        <f t="shared" si="145"/>
        <v/>
      </c>
      <c r="H624" t="str">
        <f t="shared" si="146"/>
        <v/>
      </c>
      <c r="I624">
        <f t="shared" si="147"/>
        <v>21210</v>
      </c>
      <c r="J624">
        <f>SUM($G$3:I624)</f>
        <v>6447790</v>
      </c>
      <c r="K624">
        <f t="shared" si="148"/>
        <v>22990</v>
      </c>
      <c r="L624">
        <f t="shared" si="149"/>
        <v>1.2090000000000001</v>
      </c>
      <c r="M624">
        <f t="shared" si="150"/>
        <v>1.1005</v>
      </c>
      <c r="N624">
        <f t="shared" si="151"/>
        <v>1289558</v>
      </c>
      <c r="O624">
        <f t="shared" si="152"/>
        <v>30588.298455000004</v>
      </c>
      <c r="P624">
        <f t="shared" si="153"/>
        <v>10800</v>
      </c>
      <c r="Q624">
        <f t="shared" si="154"/>
        <v>1</v>
      </c>
    </row>
    <row r="625" spans="1:17" x14ac:dyDescent="0.25">
      <c r="A625">
        <v>623</v>
      </c>
      <c r="B625">
        <f t="shared" si="155"/>
        <v>21</v>
      </c>
      <c r="C625">
        <f t="shared" si="156"/>
        <v>3</v>
      </c>
      <c r="D625" t="str">
        <f t="shared" si="142"/>
        <v/>
      </c>
      <c r="E625" t="str">
        <f t="shared" si="143"/>
        <v/>
      </c>
      <c r="F625">
        <f t="shared" si="144"/>
        <v>1010</v>
      </c>
      <c r="G625" t="str">
        <f t="shared" si="145"/>
        <v/>
      </c>
      <c r="H625" t="str">
        <f t="shared" si="146"/>
        <v/>
      </c>
      <c r="I625">
        <f t="shared" si="147"/>
        <v>21320</v>
      </c>
      <c r="J625">
        <f>SUM($G$3:I625)</f>
        <v>6469110</v>
      </c>
      <c r="K625">
        <f t="shared" si="148"/>
        <v>22990</v>
      </c>
      <c r="L625">
        <f t="shared" si="149"/>
        <v>1.2090000000000001</v>
      </c>
      <c r="M625">
        <f t="shared" si="150"/>
        <v>1.101</v>
      </c>
      <c r="N625">
        <f t="shared" si="151"/>
        <v>1293822</v>
      </c>
      <c r="O625">
        <f t="shared" si="152"/>
        <v>30602.195910000002</v>
      </c>
      <c r="P625">
        <f t="shared" si="153"/>
        <v>10800</v>
      </c>
      <c r="Q625">
        <f t="shared" si="154"/>
        <v>1</v>
      </c>
    </row>
    <row r="626" spans="1:17" x14ac:dyDescent="0.25">
      <c r="A626">
        <v>624</v>
      </c>
      <c r="B626">
        <f t="shared" si="155"/>
        <v>21</v>
      </c>
      <c r="C626">
        <f t="shared" si="156"/>
        <v>3</v>
      </c>
      <c r="D626" t="str">
        <f t="shared" si="142"/>
        <v/>
      </c>
      <c r="E626" t="str">
        <f t="shared" si="143"/>
        <v/>
      </c>
      <c r="F626">
        <f t="shared" si="144"/>
        <v>1015</v>
      </c>
      <c r="G626" t="str">
        <f t="shared" si="145"/>
        <v/>
      </c>
      <c r="H626" t="str">
        <f t="shared" si="146"/>
        <v/>
      </c>
      <c r="I626">
        <f t="shared" si="147"/>
        <v>21430</v>
      </c>
      <c r="J626">
        <f>SUM($G$3:I626)</f>
        <v>6490540</v>
      </c>
      <c r="K626">
        <f t="shared" si="148"/>
        <v>22990</v>
      </c>
      <c r="L626">
        <f t="shared" si="149"/>
        <v>1.2090000000000001</v>
      </c>
      <c r="M626">
        <f t="shared" si="150"/>
        <v>1.1014999999999999</v>
      </c>
      <c r="N626">
        <f t="shared" si="151"/>
        <v>1298108</v>
      </c>
      <c r="O626">
        <f t="shared" si="152"/>
        <v>30616.093365000001</v>
      </c>
      <c r="P626">
        <f t="shared" si="153"/>
        <v>10800</v>
      </c>
      <c r="Q626">
        <f t="shared" si="154"/>
        <v>1</v>
      </c>
    </row>
    <row r="627" spans="1:17" x14ac:dyDescent="0.25">
      <c r="A627">
        <v>625</v>
      </c>
      <c r="B627">
        <f t="shared" si="155"/>
        <v>21</v>
      </c>
      <c r="C627">
        <f t="shared" si="156"/>
        <v>3</v>
      </c>
      <c r="D627" t="str">
        <f t="shared" si="142"/>
        <v/>
      </c>
      <c r="E627" t="str">
        <f t="shared" si="143"/>
        <v/>
      </c>
      <c r="F627">
        <f t="shared" si="144"/>
        <v>1020</v>
      </c>
      <c r="G627" t="str">
        <f t="shared" si="145"/>
        <v/>
      </c>
      <c r="H627" t="str">
        <f t="shared" si="146"/>
        <v/>
      </c>
      <c r="I627">
        <f t="shared" si="147"/>
        <v>21540</v>
      </c>
      <c r="J627">
        <f>SUM($G$3:I627)</f>
        <v>6512080</v>
      </c>
      <c r="K627">
        <f t="shared" si="148"/>
        <v>22990</v>
      </c>
      <c r="L627">
        <f t="shared" si="149"/>
        <v>1.2090000000000001</v>
      </c>
      <c r="M627">
        <f t="shared" si="150"/>
        <v>1.1020000000000001</v>
      </c>
      <c r="N627">
        <f t="shared" si="151"/>
        <v>1302416</v>
      </c>
      <c r="O627">
        <f t="shared" si="152"/>
        <v>30629.990820000006</v>
      </c>
      <c r="P627">
        <f t="shared" si="153"/>
        <v>10800</v>
      </c>
      <c r="Q627">
        <f t="shared" si="154"/>
        <v>1</v>
      </c>
    </row>
    <row r="628" spans="1:17" x14ac:dyDescent="0.25">
      <c r="A628">
        <v>626</v>
      </c>
      <c r="B628">
        <f t="shared" si="155"/>
        <v>21</v>
      </c>
      <c r="C628">
        <f t="shared" si="156"/>
        <v>3</v>
      </c>
      <c r="D628" t="str">
        <f t="shared" si="142"/>
        <v/>
      </c>
      <c r="E628" t="str">
        <f t="shared" si="143"/>
        <v/>
      </c>
      <c r="F628">
        <f t="shared" si="144"/>
        <v>1025</v>
      </c>
      <c r="G628" t="str">
        <f t="shared" si="145"/>
        <v/>
      </c>
      <c r="H628" t="str">
        <f t="shared" si="146"/>
        <v/>
      </c>
      <c r="I628">
        <f t="shared" si="147"/>
        <v>21650</v>
      </c>
      <c r="J628">
        <f>SUM($G$3:I628)</f>
        <v>6533730</v>
      </c>
      <c r="K628">
        <f t="shared" si="148"/>
        <v>22990</v>
      </c>
      <c r="L628">
        <f t="shared" si="149"/>
        <v>1.2090000000000001</v>
      </c>
      <c r="M628">
        <f t="shared" si="150"/>
        <v>1.1025</v>
      </c>
      <c r="N628">
        <f t="shared" si="151"/>
        <v>1306746</v>
      </c>
      <c r="O628">
        <f t="shared" si="152"/>
        <v>30643.888275000005</v>
      </c>
      <c r="P628">
        <f t="shared" si="153"/>
        <v>10800</v>
      </c>
      <c r="Q628">
        <f t="shared" si="154"/>
        <v>1</v>
      </c>
    </row>
    <row r="629" spans="1:17" x14ac:dyDescent="0.25">
      <c r="A629">
        <v>627</v>
      </c>
      <c r="B629">
        <f t="shared" si="155"/>
        <v>21</v>
      </c>
      <c r="C629">
        <f t="shared" si="156"/>
        <v>3</v>
      </c>
      <c r="D629" t="str">
        <f t="shared" si="142"/>
        <v/>
      </c>
      <c r="E629" t="str">
        <f t="shared" si="143"/>
        <v/>
      </c>
      <c r="F629">
        <f t="shared" si="144"/>
        <v>1030</v>
      </c>
      <c r="G629" t="str">
        <f t="shared" si="145"/>
        <v/>
      </c>
      <c r="H629" t="str">
        <f t="shared" si="146"/>
        <v/>
      </c>
      <c r="I629">
        <f t="shared" si="147"/>
        <v>21760</v>
      </c>
      <c r="J629">
        <f>SUM($G$3:I629)</f>
        <v>6555490</v>
      </c>
      <c r="K629">
        <f t="shared" si="148"/>
        <v>22990</v>
      </c>
      <c r="L629">
        <f t="shared" si="149"/>
        <v>1.2090000000000001</v>
      </c>
      <c r="M629">
        <f t="shared" si="150"/>
        <v>1.103</v>
      </c>
      <c r="N629">
        <f t="shared" si="151"/>
        <v>1311098</v>
      </c>
      <c r="O629">
        <f t="shared" si="152"/>
        <v>30657.785730000003</v>
      </c>
      <c r="P629">
        <f t="shared" si="153"/>
        <v>10800</v>
      </c>
      <c r="Q629">
        <f t="shared" si="154"/>
        <v>1</v>
      </c>
    </row>
    <row r="630" spans="1:17" x14ac:dyDescent="0.25">
      <c r="A630">
        <v>628</v>
      </c>
      <c r="B630">
        <f t="shared" si="155"/>
        <v>21</v>
      </c>
      <c r="C630">
        <f t="shared" si="156"/>
        <v>3</v>
      </c>
      <c r="D630" t="str">
        <f t="shared" si="142"/>
        <v/>
      </c>
      <c r="E630" t="str">
        <f t="shared" si="143"/>
        <v/>
      </c>
      <c r="F630">
        <f t="shared" si="144"/>
        <v>1035</v>
      </c>
      <c r="G630" t="str">
        <f t="shared" si="145"/>
        <v/>
      </c>
      <c r="H630" t="str">
        <f t="shared" si="146"/>
        <v/>
      </c>
      <c r="I630">
        <f t="shared" si="147"/>
        <v>21870</v>
      </c>
      <c r="J630">
        <f>SUM($G$3:I630)</f>
        <v>6577360</v>
      </c>
      <c r="K630">
        <f t="shared" si="148"/>
        <v>22990</v>
      </c>
      <c r="L630">
        <f t="shared" si="149"/>
        <v>1.2090000000000001</v>
      </c>
      <c r="M630">
        <f t="shared" si="150"/>
        <v>1.1034999999999999</v>
      </c>
      <c r="N630">
        <f t="shared" si="151"/>
        <v>1315472</v>
      </c>
      <c r="O630">
        <f t="shared" si="152"/>
        <v>30671.683185000002</v>
      </c>
      <c r="P630">
        <f t="shared" si="153"/>
        <v>10800</v>
      </c>
      <c r="Q630">
        <f t="shared" si="154"/>
        <v>1</v>
      </c>
    </row>
    <row r="631" spans="1:17" x14ac:dyDescent="0.25">
      <c r="A631">
        <v>629</v>
      </c>
      <c r="B631">
        <f t="shared" si="155"/>
        <v>21</v>
      </c>
      <c r="C631">
        <f t="shared" si="156"/>
        <v>3</v>
      </c>
      <c r="D631" t="str">
        <f t="shared" si="142"/>
        <v/>
      </c>
      <c r="E631" t="str">
        <f t="shared" si="143"/>
        <v/>
      </c>
      <c r="F631">
        <f t="shared" si="144"/>
        <v>1040</v>
      </c>
      <c r="G631" t="str">
        <f t="shared" si="145"/>
        <v/>
      </c>
      <c r="H631" t="str">
        <f t="shared" si="146"/>
        <v/>
      </c>
      <c r="I631">
        <f t="shared" si="147"/>
        <v>21980</v>
      </c>
      <c r="J631">
        <f>SUM($G$3:I631)</f>
        <v>6599340</v>
      </c>
      <c r="K631">
        <f t="shared" si="148"/>
        <v>22990</v>
      </c>
      <c r="L631">
        <f t="shared" si="149"/>
        <v>1.2090000000000001</v>
      </c>
      <c r="M631">
        <f t="shared" si="150"/>
        <v>1.1040000000000001</v>
      </c>
      <c r="N631">
        <f t="shared" si="151"/>
        <v>1319868</v>
      </c>
      <c r="O631">
        <f t="shared" si="152"/>
        <v>30685.580640000007</v>
      </c>
      <c r="P631">
        <f t="shared" si="153"/>
        <v>10800</v>
      </c>
      <c r="Q631">
        <f t="shared" si="154"/>
        <v>1</v>
      </c>
    </row>
    <row r="632" spans="1:17" x14ac:dyDescent="0.25">
      <c r="A632">
        <v>630</v>
      </c>
      <c r="B632">
        <f t="shared" si="155"/>
        <v>21</v>
      </c>
      <c r="C632">
        <f t="shared" si="156"/>
        <v>3</v>
      </c>
      <c r="D632" t="str">
        <f t="shared" si="142"/>
        <v/>
      </c>
      <c r="E632" t="str">
        <f t="shared" si="143"/>
        <v/>
      </c>
      <c r="F632">
        <f t="shared" si="144"/>
        <v>1045</v>
      </c>
      <c r="G632" t="str">
        <f t="shared" si="145"/>
        <v/>
      </c>
      <c r="H632" t="str">
        <f t="shared" si="146"/>
        <v/>
      </c>
      <c r="I632">
        <f t="shared" si="147"/>
        <v>22090</v>
      </c>
      <c r="J632">
        <f>SUM($G$3:I632)</f>
        <v>6621430</v>
      </c>
      <c r="K632">
        <f t="shared" si="148"/>
        <v>22990</v>
      </c>
      <c r="L632">
        <f t="shared" si="149"/>
        <v>1.2090000000000001</v>
      </c>
      <c r="M632">
        <f t="shared" si="150"/>
        <v>1.1045</v>
      </c>
      <c r="N632">
        <f t="shared" si="151"/>
        <v>1324286</v>
      </c>
      <c r="O632">
        <f t="shared" si="152"/>
        <v>30699.478095000006</v>
      </c>
      <c r="P632">
        <f t="shared" si="153"/>
        <v>10800</v>
      </c>
      <c r="Q632">
        <f t="shared" si="154"/>
        <v>1</v>
      </c>
    </row>
    <row r="633" spans="1:17" x14ac:dyDescent="0.25">
      <c r="A633">
        <v>631</v>
      </c>
      <c r="B633">
        <f t="shared" si="155"/>
        <v>22</v>
      </c>
      <c r="C633">
        <f t="shared" si="156"/>
        <v>1</v>
      </c>
      <c r="D633">
        <f t="shared" si="142"/>
        <v>2320</v>
      </c>
      <c r="E633" t="str">
        <f t="shared" si="143"/>
        <v/>
      </c>
      <c r="F633" t="str">
        <f t="shared" si="144"/>
        <v/>
      </c>
      <c r="G633">
        <f t="shared" si="145"/>
        <v>44400</v>
      </c>
      <c r="H633" t="str">
        <f t="shared" si="146"/>
        <v/>
      </c>
      <c r="I633" t="str">
        <f t="shared" si="147"/>
        <v/>
      </c>
      <c r="J633">
        <f>SUM($G$3:I633)</f>
        <v>6665830</v>
      </c>
      <c r="K633">
        <f t="shared" si="148"/>
        <v>23200</v>
      </c>
      <c r="L633">
        <f t="shared" si="149"/>
        <v>1.2090000000000001</v>
      </c>
      <c r="M633">
        <f t="shared" si="150"/>
        <v>1.1045</v>
      </c>
      <c r="N633">
        <f t="shared" si="151"/>
        <v>1333166</v>
      </c>
      <c r="O633">
        <f t="shared" si="152"/>
        <v>30979.899600000004</v>
      </c>
      <c r="P633">
        <f t="shared" si="153"/>
        <v>10800</v>
      </c>
      <c r="Q633">
        <f t="shared" si="154"/>
        <v>1</v>
      </c>
    </row>
    <row r="634" spans="1:17" x14ac:dyDescent="0.25">
      <c r="A634">
        <v>632</v>
      </c>
      <c r="B634">
        <f t="shared" si="155"/>
        <v>22</v>
      </c>
      <c r="C634">
        <f t="shared" si="156"/>
        <v>1</v>
      </c>
      <c r="D634">
        <f t="shared" si="142"/>
        <v>2342</v>
      </c>
      <c r="E634" t="str">
        <f t="shared" si="143"/>
        <v/>
      </c>
      <c r="F634" t="str">
        <f t="shared" si="144"/>
        <v/>
      </c>
      <c r="G634">
        <f t="shared" si="145"/>
        <v>44620</v>
      </c>
      <c r="H634" t="str">
        <f t="shared" si="146"/>
        <v/>
      </c>
      <c r="I634" t="str">
        <f t="shared" si="147"/>
        <v/>
      </c>
      <c r="J634">
        <f>SUM($G$3:I634)</f>
        <v>6710450</v>
      </c>
      <c r="K634">
        <f t="shared" si="148"/>
        <v>23420</v>
      </c>
      <c r="L634">
        <f t="shared" si="149"/>
        <v>1.2090000000000001</v>
      </c>
      <c r="M634">
        <f t="shared" si="150"/>
        <v>1.1045</v>
      </c>
      <c r="N634">
        <f t="shared" si="151"/>
        <v>1342090</v>
      </c>
      <c r="O634">
        <f t="shared" si="152"/>
        <v>31273.674510000004</v>
      </c>
      <c r="P634">
        <f t="shared" si="153"/>
        <v>10800</v>
      </c>
      <c r="Q634">
        <f t="shared" si="154"/>
        <v>1</v>
      </c>
    </row>
    <row r="635" spans="1:17" x14ac:dyDescent="0.25">
      <c r="A635">
        <v>633</v>
      </c>
      <c r="B635">
        <f t="shared" si="155"/>
        <v>22</v>
      </c>
      <c r="C635">
        <f t="shared" si="156"/>
        <v>1</v>
      </c>
      <c r="D635">
        <f t="shared" si="142"/>
        <v>2364</v>
      </c>
      <c r="E635" t="str">
        <f t="shared" si="143"/>
        <v/>
      </c>
      <c r="F635" t="str">
        <f t="shared" si="144"/>
        <v/>
      </c>
      <c r="G635">
        <f t="shared" si="145"/>
        <v>44840</v>
      </c>
      <c r="H635" t="str">
        <f t="shared" si="146"/>
        <v/>
      </c>
      <c r="I635" t="str">
        <f t="shared" si="147"/>
        <v/>
      </c>
      <c r="J635">
        <f>SUM($G$3:I635)</f>
        <v>6755290</v>
      </c>
      <c r="K635">
        <f t="shared" si="148"/>
        <v>23640</v>
      </c>
      <c r="L635">
        <f t="shared" si="149"/>
        <v>1.2090000000000001</v>
      </c>
      <c r="M635">
        <f t="shared" si="150"/>
        <v>1.1045</v>
      </c>
      <c r="N635">
        <f t="shared" si="151"/>
        <v>1351058</v>
      </c>
      <c r="O635">
        <f t="shared" si="152"/>
        <v>31567.449420000004</v>
      </c>
      <c r="P635">
        <f t="shared" si="153"/>
        <v>10800</v>
      </c>
      <c r="Q635">
        <f t="shared" si="154"/>
        <v>1</v>
      </c>
    </row>
    <row r="636" spans="1:17" x14ac:dyDescent="0.25">
      <c r="A636">
        <v>634</v>
      </c>
      <c r="B636">
        <f t="shared" si="155"/>
        <v>22</v>
      </c>
      <c r="C636">
        <f t="shared" si="156"/>
        <v>1</v>
      </c>
      <c r="D636">
        <f t="shared" si="142"/>
        <v>2386</v>
      </c>
      <c r="E636" t="str">
        <f t="shared" si="143"/>
        <v/>
      </c>
      <c r="F636" t="str">
        <f t="shared" si="144"/>
        <v/>
      </c>
      <c r="G636">
        <f t="shared" si="145"/>
        <v>45060</v>
      </c>
      <c r="H636" t="str">
        <f t="shared" si="146"/>
        <v/>
      </c>
      <c r="I636" t="str">
        <f t="shared" si="147"/>
        <v/>
      </c>
      <c r="J636">
        <f>SUM($G$3:I636)</f>
        <v>6800350</v>
      </c>
      <c r="K636">
        <f t="shared" si="148"/>
        <v>23860</v>
      </c>
      <c r="L636">
        <f t="shared" si="149"/>
        <v>1.2090000000000001</v>
      </c>
      <c r="M636">
        <f t="shared" si="150"/>
        <v>1.1045</v>
      </c>
      <c r="N636">
        <f t="shared" si="151"/>
        <v>1360070</v>
      </c>
      <c r="O636">
        <f t="shared" si="152"/>
        <v>31861.224330000005</v>
      </c>
      <c r="P636">
        <f t="shared" si="153"/>
        <v>10800</v>
      </c>
      <c r="Q636">
        <f t="shared" si="154"/>
        <v>1</v>
      </c>
    </row>
    <row r="637" spans="1:17" x14ac:dyDescent="0.25">
      <c r="A637">
        <v>635</v>
      </c>
      <c r="B637">
        <f t="shared" si="155"/>
        <v>22</v>
      </c>
      <c r="C637">
        <f t="shared" si="156"/>
        <v>1</v>
      </c>
      <c r="D637">
        <f t="shared" si="142"/>
        <v>2408</v>
      </c>
      <c r="E637" t="str">
        <f t="shared" si="143"/>
        <v/>
      </c>
      <c r="F637" t="str">
        <f t="shared" si="144"/>
        <v/>
      </c>
      <c r="G637">
        <f t="shared" si="145"/>
        <v>45280</v>
      </c>
      <c r="H637" t="str">
        <f t="shared" si="146"/>
        <v/>
      </c>
      <c r="I637" t="str">
        <f t="shared" si="147"/>
        <v/>
      </c>
      <c r="J637">
        <f>SUM($G$3:I637)</f>
        <v>6845630</v>
      </c>
      <c r="K637">
        <f t="shared" si="148"/>
        <v>24080</v>
      </c>
      <c r="L637">
        <f t="shared" si="149"/>
        <v>1.2090000000000001</v>
      </c>
      <c r="M637">
        <f t="shared" si="150"/>
        <v>1.1045</v>
      </c>
      <c r="N637">
        <f t="shared" si="151"/>
        <v>1369126</v>
      </c>
      <c r="O637">
        <f t="shared" si="152"/>
        <v>32154.999240000001</v>
      </c>
      <c r="P637">
        <f t="shared" si="153"/>
        <v>10800</v>
      </c>
      <c r="Q637">
        <f t="shared" si="154"/>
        <v>1</v>
      </c>
    </row>
    <row r="638" spans="1:17" x14ac:dyDescent="0.25">
      <c r="A638">
        <v>636</v>
      </c>
      <c r="B638">
        <f t="shared" si="155"/>
        <v>22</v>
      </c>
      <c r="C638">
        <f t="shared" si="156"/>
        <v>1</v>
      </c>
      <c r="D638">
        <f t="shared" si="142"/>
        <v>2430</v>
      </c>
      <c r="E638" t="str">
        <f t="shared" si="143"/>
        <v/>
      </c>
      <c r="F638" t="str">
        <f t="shared" si="144"/>
        <v/>
      </c>
      <c r="G638">
        <f t="shared" si="145"/>
        <v>45500</v>
      </c>
      <c r="H638" t="str">
        <f t="shared" si="146"/>
        <v/>
      </c>
      <c r="I638" t="str">
        <f t="shared" si="147"/>
        <v/>
      </c>
      <c r="J638">
        <f>SUM($G$3:I638)</f>
        <v>6891130</v>
      </c>
      <c r="K638">
        <f t="shared" si="148"/>
        <v>24300</v>
      </c>
      <c r="L638">
        <f t="shared" si="149"/>
        <v>1.2090000000000001</v>
      </c>
      <c r="M638">
        <f t="shared" si="150"/>
        <v>1.1045</v>
      </c>
      <c r="N638">
        <f t="shared" si="151"/>
        <v>1378226</v>
      </c>
      <c r="O638">
        <f t="shared" si="152"/>
        <v>32448.774150000001</v>
      </c>
      <c r="P638">
        <f t="shared" si="153"/>
        <v>10800</v>
      </c>
      <c r="Q638">
        <f t="shared" si="154"/>
        <v>1</v>
      </c>
    </row>
    <row r="639" spans="1:17" x14ac:dyDescent="0.25">
      <c r="A639">
        <v>637</v>
      </c>
      <c r="B639">
        <f t="shared" si="155"/>
        <v>22</v>
      </c>
      <c r="C639">
        <f t="shared" si="156"/>
        <v>1</v>
      </c>
      <c r="D639">
        <f t="shared" si="142"/>
        <v>2452</v>
      </c>
      <c r="E639" t="str">
        <f t="shared" si="143"/>
        <v/>
      </c>
      <c r="F639" t="str">
        <f t="shared" si="144"/>
        <v/>
      </c>
      <c r="G639">
        <f t="shared" si="145"/>
        <v>45720</v>
      </c>
      <c r="H639" t="str">
        <f t="shared" si="146"/>
        <v/>
      </c>
      <c r="I639" t="str">
        <f t="shared" si="147"/>
        <v/>
      </c>
      <c r="J639">
        <f>SUM($G$3:I639)</f>
        <v>6936850</v>
      </c>
      <c r="K639">
        <f t="shared" si="148"/>
        <v>24520</v>
      </c>
      <c r="L639">
        <f t="shared" si="149"/>
        <v>1.2090000000000001</v>
      </c>
      <c r="M639">
        <f t="shared" si="150"/>
        <v>1.1045</v>
      </c>
      <c r="N639">
        <f t="shared" si="151"/>
        <v>1387370</v>
      </c>
      <c r="O639">
        <f t="shared" si="152"/>
        <v>32742.549060000001</v>
      </c>
      <c r="P639">
        <f t="shared" si="153"/>
        <v>10800</v>
      </c>
      <c r="Q639">
        <f t="shared" si="154"/>
        <v>1</v>
      </c>
    </row>
    <row r="640" spans="1:17" x14ac:dyDescent="0.25">
      <c r="A640">
        <v>638</v>
      </c>
      <c r="B640">
        <f t="shared" si="155"/>
        <v>22</v>
      </c>
      <c r="C640">
        <f t="shared" si="156"/>
        <v>1</v>
      </c>
      <c r="D640">
        <f t="shared" si="142"/>
        <v>2474</v>
      </c>
      <c r="E640" t="str">
        <f t="shared" si="143"/>
        <v/>
      </c>
      <c r="F640" t="str">
        <f t="shared" si="144"/>
        <v/>
      </c>
      <c r="G640">
        <f t="shared" si="145"/>
        <v>45940</v>
      </c>
      <c r="H640" t="str">
        <f t="shared" si="146"/>
        <v/>
      </c>
      <c r="I640" t="str">
        <f t="shared" si="147"/>
        <v/>
      </c>
      <c r="J640">
        <f>SUM($G$3:I640)</f>
        <v>6982790</v>
      </c>
      <c r="K640">
        <f t="shared" si="148"/>
        <v>24740</v>
      </c>
      <c r="L640">
        <f t="shared" si="149"/>
        <v>1.2090000000000001</v>
      </c>
      <c r="M640">
        <f t="shared" si="150"/>
        <v>1.1045</v>
      </c>
      <c r="N640">
        <f t="shared" si="151"/>
        <v>1396558</v>
      </c>
      <c r="O640">
        <f t="shared" si="152"/>
        <v>33036.323970000005</v>
      </c>
      <c r="P640">
        <f t="shared" si="153"/>
        <v>10800</v>
      </c>
      <c r="Q640">
        <f t="shared" si="154"/>
        <v>1</v>
      </c>
    </row>
    <row r="641" spans="1:17" x14ac:dyDescent="0.25">
      <c r="A641">
        <v>639</v>
      </c>
      <c r="B641">
        <f t="shared" si="155"/>
        <v>22</v>
      </c>
      <c r="C641">
        <f t="shared" si="156"/>
        <v>1</v>
      </c>
      <c r="D641">
        <f t="shared" si="142"/>
        <v>2496</v>
      </c>
      <c r="E641" t="str">
        <f t="shared" si="143"/>
        <v/>
      </c>
      <c r="F641" t="str">
        <f t="shared" si="144"/>
        <v/>
      </c>
      <c r="G641">
        <f t="shared" si="145"/>
        <v>46160</v>
      </c>
      <c r="H641" t="str">
        <f t="shared" si="146"/>
        <v/>
      </c>
      <c r="I641" t="str">
        <f t="shared" si="147"/>
        <v/>
      </c>
      <c r="J641">
        <f>SUM($G$3:I641)</f>
        <v>7028950</v>
      </c>
      <c r="K641">
        <f t="shared" si="148"/>
        <v>24960</v>
      </c>
      <c r="L641">
        <f t="shared" si="149"/>
        <v>1.2090000000000001</v>
      </c>
      <c r="M641">
        <f t="shared" si="150"/>
        <v>1.1045</v>
      </c>
      <c r="N641">
        <f t="shared" si="151"/>
        <v>1405790</v>
      </c>
      <c r="O641">
        <f t="shared" si="152"/>
        <v>33330.098880000005</v>
      </c>
      <c r="P641">
        <f t="shared" si="153"/>
        <v>10800</v>
      </c>
      <c r="Q641">
        <f t="shared" si="154"/>
        <v>1</v>
      </c>
    </row>
    <row r="642" spans="1:17" x14ac:dyDescent="0.25">
      <c r="A642">
        <v>640</v>
      </c>
      <c r="B642">
        <f t="shared" si="155"/>
        <v>22</v>
      </c>
      <c r="C642">
        <f t="shared" si="156"/>
        <v>1</v>
      </c>
      <c r="D642">
        <f t="shared" si="142"/>
        <v>2518</v>
      </c>
      <c r="E642" t="str">
        <f t="shared" si="143"/>
        <v/>
      </c>
      <c r="F642" t="str">
        <f t="shared" si="144"/>
        <v/>
      </c>
      <c r="G642">
        <f t="shared" si="145"/>
        <v>46380</v>
      </c>
      <c r="H642" t="str">
        <f t="shared" si="146"/>
        <v/>
      </c>
      <c r="I642" t="str">
        <f t="shared" si="147"/>
        <v/>
      </c>
      <c r="J642">
        <f>SUM($G$3:I642)</f>
        <v>7075330</v>
      </c>
      <c r="K642">
        <f t="shared" si="148"/>
        <v>25180</v>
      </c>
      <c r="L642">
        <f t="shared" si="149"/>
        <v>1.2090000000000001</v>
      </c>
      <c r="M642">
        <f t="shared" si="150"/>
        <v>1.1045</v>
      </c>
      <c r="N642">
        <f t="shared" si="151"/>
        <v>1415066</v>
      </c>
      <c r="O642">
        <f t="shared" si="152"/>
        <v>33623.873790000005</v>
      </c>
      <c r="P642">
        <f t="shared" si="153"/>
        <v>12500</v>
      </c>
      <c r="Q642">
        <f t="shared" si="154"/>
        <v>1</v>
      </c>
    </row>
    <row r="643" spans="1:17" x14ac:dyDescent="0.25">
      <c r="A643">
        <v>641</v>
      </c>
      <c r="B643">
        <f t="shared" si="155"/>
        <v>22</v>
      </c>
      <c r="C643">
        <f t="shared" si="156"/>
        <v>2</v>
      </c>
      <c r="D643" t="str">
        <f t="shared" ref="D643:D706" si="157">IF($C643=1,INDEX($Z:$Z,MATCH($B643,$Y:$Y,0))+MOD($A643-1,10)*INDEX($AC:$AC,MATCH($B643,$Y:$Y,0)),"")</f>
        <v/>
      </c>
      <c r="E643">
        <f t="shared" ref="E643:E706" si="158">IF($C643=2,INDEX($AA:$AA,MATCH($B643,$Y:$Y,0))+MOD($A643-1,10)*INDEX($AD:$AD,MATCH($B643,$Y:$Y,0)),"")</f>
        <v>2100</v>
      </c>
      <c r="F643" t="str">
        <f t="shared" ref="F643:F706" si="159">IF($C643=3,INDEX($AB:$AB,MATCH($B643,$Y:$Y,0))+MOD($A643-1,10)*INDEX($AE:$AE,MATCH($B643,$Y:$Y,0)),"")</f>
        <v/>
      </c>
      <c r="G643" t="str">
        <f t="shared" ref="G643:G706" si="160">IF($C643=1,INDEX($AF:$AF,MATCH($B643,$Y:$Y,0))+MOD($A643-1,10)*INDEX($AI:$AI,MATCH($B643,$Y:$Y,0)),"")</f>
        <v/>
      </c>
      <c r="H643">
        <f t="shared" ref="H643:H706" si="161">IF($C643=2,INDEX($AG:$AG,MATCH($B643,$Y:$Y,0))+MOD($A643-1,10)*INDEX($AJ:$AJ,MATCH($B643,$Y:$Y,0)),"")</f>
        <v>29600</v>
      </c>
      <c r="I643" t="str">
        <f t="shared" ref="I643:I706" si="162">IF($C643=3,INDEX($AH:$AH,MATCH($B643,$Y:$Y,0))+MOD($A643-1,10)*INDEX($AK:$AK,MATCH($B643,$Y:$Y,0)),"")</f>
        <v/>
      </c>
      <c r="J643">
        <f>SUM($G$3:I643)</f>
        <v>7104930</v>
      </c>
      <c r="K643">
        <f t="shared" si="148"/>
        <v>25180</v>
      </c>
      <c r="L643">
        <f t="shared" si="149"/>
        <v>1.21</v>
      </c>
      <c r="M643">
        <f t="shared" si="150"/>
        <v>1.1045</v>
      </c>
      <c r="N643">
        <f t="shared" si="151"/>
        <v>1420986</v>
      </c>
      <c r="O643">
        <f t="shared" si="152"/>
        <v>33651.685100000002</v>
      </c>
      <c r="P643">
        <f t="shared" si="153"/>
        <v>12500</v>
      </c>
      <c r="Q643">
        <f t="shared" si="154"/>
        <v>1</v>
      </c>
    </row>
    <row r="644" spans="1:17" x14ac:dyDescent="0.25">
      <c r="A644">
        <v>642</v>
      </c>
      <c r="B644">
        <f t="shared" si="155"/>
        <v>22</v>
      </c>
      <c r="C644">
        <f t="shared" si="156"/>
        <v>2</v>
      </c>
      <c r="D644" t="str">
        <f t="shared" si="157"/>
        <v/>
      </c>
      <c r="E644">
        <f t="shared" si="158"/>
        <v>2110</v>
      </c>
      <c r="F644" t="str">
        <f t="shared" si="159"/>
        <v/>
      </c>
      <c r="G644" t="str">
        <f t="shared" si="160"/>
        <v/>
      </c>
      <c r="H644">
        <f t="shared" si="161"/>
        <v>29747</v>
      </c>
      <c r="I644" t="str">
        <f t="shared" si="162"/>
        <v/>
      </c>
      <c r="J644">
        <f>SUM($G$3:I644)</f>
        <v>7134677</v>
      </c>
      <c r="K644">
        <f t="shared" ref="K644:K707" si="163">_xlfn.MAXIFS($D:$D,$A:$A,"&lt;="&amp;A644)/10*100</f>
        <v>25180</v>
      </c>
      <c r="L644">
        <f t="shared" ref="L644:L707" si="164">_xlfn.MAXIFS($E:$E,$A:$A,"&lt;="&amp;A644)/10000+1</f>
        <v>1.2110000000000001</v>
      </c>
      <c r="M644">
        <f t="shared" ref="M644:M707" si="165">_xlfn.MAXIFS($F:$F,$A:$A,"&lt;="&amp;A644)/10000+1</f>
        <v>1.1045</v>
      </c>
      <c r="N644">
        <f t="shared" ref="N644:N707" si="166">J644*0.2</f>
        <v>1426935.4000000001</v>
      </c>
      <c r="O644">
        <f t="shared" ref="O644:O707" si="167">K644*L644*M644</f>
        <v>33679.496410000007</v>
      </c>
      <c r="P644">
        <f t="shared" ref="P644:P707" si="168">SUMIFS($AZ:$AZ,$AW:$AW,$AW$3,$AY:$AY,3,$AV:$AV,"&lt;="&amp;A644)</f>
        <v>12500</v>
      </c>
      <c r="Q644">
        <f t="shared" ref="Q644:Q707" si="169">SUMIFS($AZ:$AZ,$AY:$AY,98,$AV:$AV,"&lt;="&amp;A644)*10/100</f>
        <v>1</v>
      </c>
    </row>
    <row r="645" spans="1:17" x14ac:dyDescent="0.25">
      <c r="A645">
        <v>643</v>
      </c>
      <c r="B645">
        <f t="shared" si="155"/>
        <v>22</v>
      </c>
      <c r="C645">
        <f t="shared" si="156"/>
        <v>2</v>
      </c>
      <c r="D645" t="str">
        <f t="shared" si="157"/>
        <v/>
      </c>
      <c r="E645">
        <f t="shared" si="158"/>
        <v>2120</v>
      </c>
      <c r="F645" t="str">
        <f t="shared" si="159"/>
        <v/>
      </c>
      <c r="G645" t="str">
        <f t="shared" si="160"/>
        <v/>
      </c>
      <c r="H645">
        <f t="shared" si="161"/>
        <v>29894</v>
      </c>
      <c r="I645" t="str">
        <f t="shared" si="162"/>
        <v/>
      </c>
      <c r="J645">
        <f>SUM($G$3:I645)</f>
        <v>7164571</v>
      </c>
      <c r="K645">
        <f t="shared" si="163"/>
        <v>25180</v>
      </c>
      <c r="L645">
        <f t="shared" si="164"/>
        <v>1.212</v>
      </c>
      <c r="M645">
        <f t="shared" si="165"/>
        <v>1.1045</v>
      </c>
      <c r="N645">
        <f t="shared" si="166"/>
        <v>1432914.2000000002</v>
      </c>
      <c r="O645">
        <f t="shared" si="167"/>
        <v>33707.307720000004</v>
      </c>
      <c r="P645">
        <f t="shared" si="168"/>
        <v>12500</v>
      </c>
      <c r="Q645">
        <f t="shared" si="169"/>
        <v>1</v>
      </c>
    </row>
    <row r="646" spans="1:17" x14ac:dyDescent="0.25">
      <c r="A646">
        <v>644</v>
      </c>
      <c r="B646">
        <f t="shared" si="155"/>
        <v>22</v>
      </c>
      <c r="C646">
        <f t="shared" si="156"/>
        <v>2</v>
      </c>
      <c r="D646" t="str">
        <f t="shared" si="157"/>
        <v/>
      </c>
      <c r="E646">
        <f t="shared" si="158"/>
        <v>2130</v>
      </c>
      <c r="F646" t="str">
        <f t="shared" si="159"/>
        <v/>
      </c>
      <c r="G646" t="str">
        <f t="shared" si="160"/>
        <v/>
      </c>
      <c r="H646">
        <f t="shared" si="161"/>
        <v>30041</v>
      </c>
      <c r="I646" t="str">
        <f t="shared" si="162"/>
        <v/>
      </c>
      <c r="J646">
        <f>SUM($G$3:I646)</f>
        <v>7194612</v>
      </c>
      <c r="K646">
        <f t="shared" si="163"/>
        <v>25180</v>
      </c>
      <c r="L646">
        <f t="shared" si="164"/>
        <v>1.2130000000000001</v>
      </c>
      <c r="M646">
        <f t="shared" si="165"/>
        <v>1.1045</v>
      </c>
      <c r="N646">
        <f t="shared" si="166"/>
        <v>1438922.4000000001</v>
      </c>
      <c r="O646">
        <f t="shared" si="167"/>
        <v>33735.119030000009</v>
      </c>
      <c r="P646">
        <f t="shared" si="168"/>
        <v>12500</v>
      </c>
      <c r="Q646">
        <f t="shared" si="169"/>
        <v>1</v>
      </c>
    </row>
    <row r="647" spans="1:17" x14ac:dyDescent="0.25">
      <c r="A647">
        <v>645</v>
      </c>
      <c r="B647">
        <f t="shared" si="155"/>
        <v>22</v>
      </c>
      <c r="C647">
        <f t="shared" si="156"/>
        <v>2</v>
      </c>
      <c r="D647" t="str">
        <f t="shared" si="157"/>
        <v/>
      </c>
      <c r="E647">
        <f t="shared" si="158"/>
        <v>2140</v>
      </c>
      <c r="F647" t="str">
        <f t="shared" si="159"/>
        <v/>
      </c>
      <c r="G647" t="str">
        <f t="shared" si="160"/>
        <v/>
      </c>
      <c r="H647">
        <f t="shared" si="161"/>
        <v>30188</v>
      </c>
      <c r="I647" t="str">
        <f t="shared" si="162"/>
        <v/>
      </c>
      <c r="J647">
        <f>SUM($G$3:I647)</f>
        <v>7224800</v>
      </c>
      <c r="K647">
        <f t="shared" si="163"/>
        <v>25180</v>
      </c>
      <c r="L647">
        <f t="shared" si="164"/>
        <v>1.214</v>
      </c>
      <c r="M647">
        <f t="shared" si="165"/>
        <v>1.1045</v>
      </c>
      <c r="N647">
        <f t="shared" si="166"/>
        <v>1444960</v>
      </c>
      <c r="O647">
        <f t="shared" si="167"/>
        <v>33762.930339999999</v>
      </c>
      <c r="P647">
        <f t="shared" si="168"/>
        <v>12500</v>
      </c>
      <c r="Q647">
        <f t="shared" si="169"/>
        <v>1</v>
      </c>
    </row>
    <row r="648" spans="1:17" x14ac:dyDescent="0.25">
      <c r="A648">
        <v>646</v>
      </c>
      <c r="B648">
        <f t="shared" si="155"/>
        <v>22</v>
      </c>
      <c r="C648">
        <f t="shared" si="156"/>
        <v>2</v>
      </c>
      <c r="D648" t="str">
        <f t="shared" si="157"/>
        <v/>
      </c>
      <c r="E648">
        <f t="shared" si="158"/>
        <v>2150</v>
      </c>
      <c r="F648" t="str">
        <f t="shared" si="159"/>
        <v/>
      </c>
      <c r="G648" t="str">
        <f t="shared" si="160"/>
        <v/>
      </c>
      <c r="H648">
        <f t="shared" si="161"/>
        <v>30335</v>
      </c>
      <c r="I648" t="str">
        <f t="shared" si="162"/>
        <v/>
      </c>
      <c r="J648">
        <f>SUM($G$3:I648)</f>
        <v>7255135</v>
      </c>
      <c r="K648">
        <f t="shared" si="163"/>
        <v>25180</v>
      </c>
      <c r="L648">
        <f t="shared" si="164"/>
        <v>1.2150000000000001</v>
      </c>
      <c r="M648">
        <f t="shared" si="165"/>
        <v>1.1045</v>
      </c>
      <c r="N648">
        <f t="shared" si="166"/>
        <v>1451027</v>
      </c>
      <c r="O648">
        <f t="shared" si="167"/>
        <v>33790.741650000004</v>
      </c>
      <c r="P648">
        <f t="shared" si="168"/>
        <v>12500</v>
      </c>
      <c r="Q648">
        <f t="shared" si="169"/>
        <v>1</v>
      </c>
    </row>
    <row r="649" spans="1:17" x14ac:dyDescent="0.25">
      <c r="A649">
        <v>647</v>
      </c>
      <c r="B649">
        <f t="shared" si="155"/>
        <v>22</v>
      </c>
      <c r="C649">
        <f t="shared" si="156"/>
        <v>2</v>
      </c>
      <c r="D649" t="str">
        <f t="shared" si="157"/>
        <v/>
      </c>
      <c r="E649">
        <f t="shared" si="158"/>
        <v>2160</v>
      </c>
      <c r="F649" t="str">
        <f t="shared" si="159"/>
        <v/>
      </c>
      <c r="G649" t="str">
        <f t="shared" si="160"/>
        <v/>
      </c>
      <c r="H649">
        <f t="shared" si="161"/>
        <v>30482</v>
      </c>
      <c r="I649" t="str">
        <f t="shared" si="162"/>
        <v/>
      </c>
      <c r="J649">
        <f>SUM($G$3:I649)</f>
        <v>7285617</v>
      </c>
      <c r="K649">
        <f t="shared" si="163"/>
        <v>25180</v>
      </c>
      <c r="L649">
        <f t="shared" si="164"/>
        <v>1.216</v>
      </c>
      <c r="M649">
        <f t="shared" si="165"/>
        <v>1.1045</v>
      </c>
      <c r="N649">
        <f t="shared" si="166"/>
        <v>1457123.4000000001</v>
      </c>
      <c r="O649">
        <f t="shared" si="167"/>
        <v>33818.552960000001</v>
      </c>
      <c r="P649">
        <f t="shared" si="168"/>
        <v>12500</v>
      </c>
      <c r="Q649">
        <f t="shared" si="169"/>
        <v>1</v>
      </c>
    </row>
    <row r="650" spans="1:17" x14ac:dyDescent="0.25">
      <c r="A650">
        <v>648</v>
      </c>
      <c r="B650">
        <f t="shared" si="155"/>
        <v>22</v>
      </c>
      <c r="C650">
        <f t="shared" si="156"/>
        <v>2</v>
      </c>
      <c r="D650" t="str">
        <f t="shared" si="157"/>
        <v/>
      </c>
      <c r="E650">
        <f t="shared" si="158"/>
        <v>2170</v>
      </c>
      <c r="F650" t="str">
        <f t="shared" si="159"/>
        <v/>
      </c>
      <c r="G650" t="str">
        <f t="shared" si="160"/>
        <v/>
      </c>
      <c r="H650">
        <f t="shared" si="161"/>
        <v>30629</v>
      </c>
      <c r="I650" t="str">
        <f t="shared" si="162"/>
        <v/>
      </c>
      <c r="J650">
        <f>SUM($G$3:I650)</f>
        <v>7316246</v>
      </c>
      <c r="K650">
        <f t="shared" si="163"/>
        <v>25180</v>
      </c>
      <c r="L650">
        <f t="shared" si="164"/>
        <v>1.2170000000000001</v>
      </c>
      <c r="M650">
        <f t="shared" si="165"/>
        <v>1.1045</v>
      </c>
      <c r="N650">
        <f t="shared" si="166"/>
        <v>1463249.2000000002</v>
      </c>
      <c r="O650">
        <f t="shared" si="167"/>
        <v>33846.364270000005</v>
      </c>
      <c r="P650">
        <f t="shared" si="168"/>
        <v>12500</v>
      </c>
      <c r="Q650">
        <f t="shared" si="169"/>
        <v>1</v>
      </c>
    </row>
    <row r="651" spans="1:17" x14ac:dyDescent="0.25">
      <c r="A651">
        <v>649</v>
      </c>
      <c r="B651">
        <f t="shared" si="155"/>
        <v>22</v>
      </c>
      <c r="C651">
        <f t="shared" si="156"/>
        <v>2</v>
      </c>
      <c r="D651" t="str">
        <f t="shared" si="157"/>
        <v/>
      </c>
      <c r="E651">
        <f t="shared" si="158"/>
        <v>2180</v>
      </c>
      <c r="F651" t="str">
        <f t="shared" si="159"/>
        <v/>
      </c>
      <c r="G651" t="str">
        <f t="shared" si="160"/>
        <v/>
      </c>
      <c r="H651">
        <f t="shared" si="161"/>
        <v>30776</v>
      </c>
      <c r="I651" t="str">
        <f t="shared" si="162"/>
        <v/>
      </c>
      <c r="J651">
        <f>SUM($G$3:I651)</f>
        <v>7347022</v>
      </c>
      <c r="K651">
        <f t="shared" si="163"/>
        <v>25180</v>
      </c>
      <c r="L651">
        <f t="shared" si="164"/>
        <v>1.218</v>
      </c>
      <c r="M651">
        <f t="shared" si="165"/>
        <v>1.1045</v>
      </c>
      <c r="N651">
        <f t="shared" si="166"/>
        <v>1469404.4000000001</v>
      </c>
      <c r="O651">
        <f t="shared" si="167"/>
        <v>33874.175579999996</v>
      </c>
      <c r="P651">
        <f t="shared" si="168"/>
        <v>12500</v>
      </c>
      <c r="Q651">
        <f t="shared" si="169"/>
        <v>1</v>
      </c>
    </row>
    <row r="652" spans="1:17" x14ac:dyDescent="0.25">
      <c r="A652">
        <v>650</v>
      </c>
      <c r="B652">
        <f t="shared" si="155"/>
        <v>22</v>
      </c>
      <c r="C652">
        <f t="shared" si="156"/>
        <v>2</v>
      </c>
      <c r="D652" t="str">
        <f t="shared" si="157"/>
        <v/>
      </c>
      <c r="E652">
        <f t="shared" si="158"/>
        <v>2190</v>
      </c>
      <c r="F652" t="str">
        <f t="shared" si="159"/>
        <v/>
      </c>
      <c r="G652" t="str">
        <f t="shared" si="160"/>
        <v/>
      </c>
      <c r="H652">
        <f t="shared" si="161"/>
        <v>30923</v>
      </c>
      <c r="I652" t="str">
        <f t="shared" si="162"/>
        <v/>
      </c>
      <c r="J652">
        <f>SUM($G$3:I652)</f>
        <v>7377945</v>
      </c>
      <c r="K652">
        <f t="shared" si="163"/>
        <v>25180</v>
      </c>
      <c r="L652">
        <f t="shared" si="164"/>
        <v>1.2190000000000001</v>
      </c>
      <c r="M652">
        <f t="shared" si="165"/>
        <v>1.1045</v>
      </c>
      <c r="N652">
        <f t="shared" si="166"/>
        <v>1475589</v>
      </c>
      <c r="O652">
        <f t="shared" si="167"/>
        <v>33901.98689</v>
      </c>
      <c r="P652">
        <f t="shared" si="168"/>
        <v>12500</v>
      </c>
      <c r="Q652">
        <f t="shared" si="169"/>
        <v>1.1000000000000001</v>
      </c>
    </row>
    <row r="653" spans="1:17" x14ac:dyDescent="0.25">
      <c r="A653">
        <v>651</v>
      </c>
      <c r="B653">
        <f t="shared" si="155"/>
        <v>22</v>
      </c>
      <c r="C653">
        <f t="shared" si="156"/>
        <v>3</v>
      </c>
      <c r="D653" t="str">
        <f t="shared" si="157"/>
        <v/>
      </c>
      <c r="E653" t="str">
        <f t="shared" si="158"/>
        <v/>
      </c>
      <c r="F653">
        <f t="shared" si="159"/>
        <v>1050</v>
      </c>
      <c r="G653" t="str">
        <f t="shared" si="160"/>
        <v/>
      </c>
      <c r="H653" t="str">
        <f t="shared" si="161"/>
        <v/>
      </c>
      <c r="I653">
        <f t="shared" si="162"/>
        <v>22200</v>
      </c>
      <c r="J653">
        <f>SUM($G$3:I653)</f>
        <v>7400145</v>
      </c>
      <c r="K653">
        <f t="shared" si="163"/>
        <v>25180</v>
      </c>
      <c r="L653">
        <f t="shared" si="164"/>
        <v>1.2190000000000001</v>
      </c>
      <c r="M653">
        <f t="shared" si="165"/>
        <v>1.105</v>
      </c>
      <c r="N653">
        <f t="shared" si="166"/>
        <v>1480029</v>
      </c>
      <c r="O653">
        <f t="shared" si="167"/>
        <v>33917.3341</v>
      </c>
      <c r="P653">
        <f t="shared" si="168"/>
        <v>12500</v>
      </c>
      <c r="Q653">
        <f t="shared" si="169"/>
        <v>1.1000000000000001</v>
      </c>
    </row>
    <row r="654" spans="1:17" x14ac:dyDescent="0.25">
      <c r="A654">
        <v>652</v>
      </c>
      <c r="B654">
        <f t="shared" si="155"/>
        <v>22</v>
      </c>
      <c r="C654">
        <f t="shared" si="156"/>
        <v>3</v>
      </c>
      <c r="D654" t="str">
        <f t="shared" si="157"/>
        <v/>
      </c>
      <c r="E654" t="str">
        <f t="shared" si="158"/>
        <v/>
      </c>
      <c r="F654">
        <f t="shared" si="159"/>
        <v>1055</v>
      </c>
      <c r="G654" t="str">
        <f t="shared" si="160"/>
        <v/>
      </c>
      <c r="H654" t="str">
        <f t="shared" si="161"/>
        <v/>
      </c>
      <c r="I654">
        <f t="shared" si="162"/>
        <v>22310</v>
      </c>
      <c r="J654">
        <f>SUM($G$3:I654)</f>
        <v>7422455</v>
      </c>
      <c r="K654">
        <f t="shared" si="163"/>
        <v>25180</v>
      </c>
      <c r="L654">
        <f t="shared" si="164"/>
        <v>1.2190000000000001</v>
      </c>
      <c r="M654">
        <f t="shared" si="165"/>
        <v>1.1054999999999999</v>
      </c>
      <c r="N654">
        <f t="shared" si="166"/>
        <v>1484491</v>
      </c>
      <c r="O654">
        <f t="shared" si="167"/>
        <v>33932.68131</v>
      </c>
      <c r="P654">
        <f t="shared" si="168"/>
        <v>12500</v>
      </c>
      <c r="Q654">
        <f t="shared" si="169"/>
        <v>1.1000000000000001</v>
      </c>
    </row>
    <row r="655" spans="1:17" x14ac:dyDescent="0.25">
      <c r="A655">
        <v>653</v>
      </c>
      <c r="B655">
        <f t="shared" si="155"/>
        <v>22</v>
      </c>
      <c r="C655">
        <f t="shared" si="156"/>
        <v>3</v>
      </c>
      <c r="D655" t="str">
        <f t="shared" si="157"/>
        <v/>
      </c>
      <c r="E655" t="str">
        <f t="shared" si="158"/>
        <v/>
      </c>
      <c r="F655">
        <f t="shared" si="159"/>
        <v>1060</v>
      </c>
      <c r="G655" t="str">
        <f t="shared" si="160"/>
        <v/>
      </c>
      <c r="H655" t="str">
        <f t="shared" si="161"/>
        <v/>
      </c>
      <c r="I655">
        <f t="shared" si="162"/>
        <v>22420</v>
      </c>
      <c r="J655">
        <f>SUM($G$3:I655)</f>
        <v>7444875</v>
      </c>
      <c r="K655">
        <f t="shared" si="163"/>
        <v>25180</v>
      </c>
      <c r="L655">
        <f t="shared" si="164"/>
        <v>1.2190000000000001</v>
      </c>
      <c r="M655">
        <f t="shared" si="165"/>
        <v>1.1060000000000001</v>
      </c>
      <c r="N655">
        <f t="shared" si="166"/>
        <v>1488975</v>
      </c>
      <c r="O655">
        <f t="shared" si="167"/>
        <v>33948.028520000007</v>
      </c>
      <c r="P655">
        <f t="shared" si="168"/>
        <v>12500</v>
      </c>
      <c r="Q655">
        <f t="shared" si="169"/>
        <v>1.1000000000000001</v>
      </c>
    </row>
    <row r="656" spans="1:17" x14ac:dyDescent="0.25">
      <c r="A656">
        <v>654</v>
      </c>
      <c r="B656">
        <f t="shared" si="155"/>
        <v>22</v>
      </c>
      <c r="C656">
        <f t="shared" si="156"/>
        <v>3</v>
      </c>
      <c r="D656" t="str">
        <f t="shared" si="157"/>
        <v/>
      </c>
      <c r="E656" t="str">
        <f t="shared" si="158"/>
        <v/>
      </c>
      <c r="F656">
        <f t="shared" si="159"/>
        <v>1065</v>
      </c>
      <c r="G656" t="str">
        <f t="shared" si="160"/>
        <v/>
      </c>
      <c r="H656" t="str">
        <f t="shared" si="161"/>
        <v/>
      </c>
      <c r="I656">
        <f t="shared" si="162"/>
        <v>22530</v>
      </c>
      <c r="J656">
        <f>SUM($G$3:I656)</f>
        <v>7467405</v>
      </c>
      <c r="K656">
        <f t="shared" si="163"/>
        <v>25180</v>
      </c>
      <c r="L656">
        <f t="shared" si="164"/>
        <v>1.2190000000000001</v>
      </c>
      <c r="M656">
        <f t="shared" si="165"/>
        <v>1.1065</v>
      </c>
      <c r="N656">
        <f t="shared" si="166"/>
        <v>1493481</v>
      </c>
      <c r="O656">
        <f t="shared" si="167"/>
        <v>33963.37573</v>
      </c>
      <c r="P656">
        <f t="shared" si="168"/>
        <v>12500</v>
      </c>
      <c r="Q656">
        <f t="shared" si="169"/>
        <v>1.1000000000000001</v>
      </c>
    </row>
    <row r="657" spans="1:17" x14ac:dyDescent="0.25">
      <c r="A657">
        <v>655</v>
      </c>
      <c r="B657">
        <f t="shared" si="155"/>
        <v>22</v>
      </c>
      <c r="C657">
        <f t="shared" si="156"/>
        <v>3</v>
      </c>
      <c r="D657" t="str">
        <f t="shared" si="157"/>
        <v/>
      </c>
      <c r="E657" t="str">
        <f t="shared" si="158"/>
        <v/>
      </c>
      <c r="F657">
        <f t="shared" si="159"/>
        <v>1070</v>
      </c>
      <c r="G657" t="str">
        <f t="shared" si="160"/>
        <v/>
      </c>
      <c r="H657" t="str">
        <f t="shared" si="161"/>
        <v/>
      </c>
      <c r="I657">
        <f t="shared" si="162"/>
        <v>22640</v>
      </c>
      <c r="J657">
        <f>SUM($G$3:I657)</f>
        <v>7490045</v>
      </c>
      <c r="K657">
        <f t="shared" si="163"/>
        <v>25180</v>
      </c>
      <c r="L657">
        <f t="shared" si="164"/>
        <v>1.2190000000000001</v>
      </c>
      <c r="M657">
        <f t="shared" si="165"/>
        <v>1.107</v>
      </c>
      <c r="N657">
        <f t="shared" si="166"/>
        <v>1498009</v>
      </c>
      <c r="O657">
        <f t="shared" si="167"/>
        <v>33978.72294</v>
      </c>
      <c r="P657">
        <f t="shared" si="168"/>
        <v>12500</v>
      </c>
      <c r="Q657">
        <f t="shared" si="169"/>
        <v>1.1000000000000001</v>
      </c>
    </row>
    <row r="658" spans="1:17" x14ac:dyDescent="0.25">
      <c r="A658">
        <v>656</v>
      </c>
      <c r="B658">
        <f t="shared" si="155"/>
        <v>22</v>
      </c>
      <c r="C658">
        <f t="shared" si="156"/>
        <v>3</v>
      </c>
      <c r="D658" t="str">
        <f t="shared" si="157"/>
        <v/>
      </c>
      <c r="E658" t="str">
        <f t="shared" si="158"/>
        <v/>
      </c>
      <c r="F658">
        <f t="shared" si="159"/>
        <v>1075</v>
      </c>
      <c r="G658" t="str">
        <f t="shared" si="160"/>
        <v/>
      </c>
      <c r="H658" t="str">
        <f t="shared" si="161"/>
        <v/>
      </c>
      <c r="I658">
        <f t="shared" si="162"/>
        <v>22750</v>
      </c>
      <c r="J658">
        <f>SUM($G$3:I658)</f>
        <v>7512795</v>
      </c>
      <c r="K658">
        <f t="shared" si="163"/>
        <v>25180</v>
      </c>
      <c r="L658">
        <f t="shared" si="164"/>
        <v>1.2190000000000001</v>
      </c>
      <c r="M658">
        <f t="shared" si="165"/>
        <v>1.1074999999999999</v>
      </c>
      <c r="N658">
        <f t="shared" si="166"/>
        <v>1502559</v>
      </c>
      <c r="O658">
        <f t="shared" si="167"/>
        <v>33994.07015</v>
      </c>
      <c r="P658">
        <f t="shared" si="168"/>
        <v>12500</v>
      </c>
      <c r="Q658">
        <f t="shared" si="169"/>
        <v>1.1000000000000001</v>
      </c>
    </row>
    <row r="659" spans="1:17" x14ac:dyDescent="0.25">
      <c r="A659">
        <v>657</v>
      </c>
      <c r="B659">
        <f t="shared" si="155"/>
        <v>22</v>
      </c>
      <c r="C659">
        <f t="shared" si="156"/>
        <v>3</v>
      </c>
      <c r="D659" t="str">
        <f t="shared" si="157"/>
        <v/>
      </c>
      <c r="E659" t="str">
        <f t="shared" si="158"/>
        <v/>
      </c>
      <c r="F659">
        <f t="shared" si="159"/>
        <v>1080</v>
      </c>
      <c r="G659" t="str">
        <f t="shared" si="160"/>
        <v/>
      </c>
      <c r="H659" t="str">
        <f t="shared" si="161"/>
        <v/>
      </c>
      <c r="I659">
        <f t="shared" si="162"/>
        <v>22860</v>
      </c>
      <c r="J659">
        <f>SUM($G$3:I659)</f>
        <v>7535655</v>
      </c>
      <c r="K659">
        <f t="shared" si="163"/>
        <v>25180</v>
      </c>
      <c r="L659">
        <f t="shared" si="164"/>
        <v>1.2190000000000001</v>
      </c>
      <c r="M659">
        <f t="shared" si="165"/>
        <v>1.1080000000000001</v>
      </c>
      <c r="N659">
        <f t="shared" si="166"/>
        <v>1507131</v>
      </c>
      <c r="O659">
        <f t="shared" si="167"/>
        <v>34009.417360000007</v>
      </c>
      <c r="P659">
        <f t="shared" si="168"/>
        <v>12500</v>
      </c>
      <c r="Q659">
        <f t="shared" si="169"/>
        <v>1.1000000000000001</v>
      </c>
    </row>
    <row r="660" spans="1:17" x14ac:dyDescent="0.25">
      <c r="A660">
        <v>658</v>
      </c>
      <c r="B660">
        <f t="shared" si="155"/>
        <v>22</v>
      </c>
      <c r="C660">
        <f t="shared" si="156"/>
        <v>3</v>
      </c>
      <c r="D660" t="str">
        <f t="shared" si="157"/>
        <v/>
      </c>
      <c r="E660" t="str">
        <f t="shared" si="158"/>
        <v/>
      </c>
      <c r="F660">
        <f t="shared" si="159"/>
        <v>1085</v>
      </c>
      <c r="G660" t="str">
        <f t="shared" si="160"/>
        <v/>
      </c>
      <c r="H660" t="str">
        <f t="shared" si="161"/>
        <v/>
      </c>
      <c r="I660">
        <f t="shared" si="162"/>
        <v>22970</v>
      </c>
      <c r="J660">
        <f>SUM($G$3:I660)</f>
        <v>7558625</v>
      </c>
      <c r="K660">
        <f t="shared" si="163"/>
        <v>25180</v>
      </c>
      <c r="L660">
        <f t="shared" si="164"/>
        <v>1.2190000000000001</v>
      </c>
      <c r="M660">
        <f t="shared" si="165"/>
        <v>1.1085</v>
      </c>
      <c r="N660">
        <f t="shared" si="166"/>
        <v>1511725</v>
      </c>
      <c r="O660">
        <f t="shared" si="167"/>
        <v>34024.764570000007</v>
      </c>
      <c r="P660">
        <f t="shared" si="168"/>
        <v>12500</v>
      </c>
      <c r="Q660">
        <f t="shared" si="169"/>
        <v>1.1000000000000001</v>
      </c>
    </row>
    <row r="661" spans="1:17" x14ac:dyDescent="0.25">
      <c r="A661">
        <v>659</v>
      </c>
      <c r="B661">
        <f t="shared" si="155"/>
        <v>22</v>
      </c>
      <c r="C661">
        <f t="shared" si="156"/>
        <v>3</v>
      </c>
      <c r="D661" t="str">
        <f t="shared" si="157"/>
        <v/>
      </c>
      <c r="E661" t="str">
        <f t="shared" si="158"/>
        <v/>
      </c>
      <c r="F661">
        <f t="shared" si="159"/>
        <v>1090</v>
      </c>
      <c r="G661" t="str">
        <f t="shared" si="160"/>
        <v/>
      </c>
      <c r="H661" t="str">
        <f t="shared" si="161"/>
        <v/>
      </c>
      <c r="I661">
        <f t="shared" si="162"/>
        <v>23080</v>
      </c>
      <c r="J661">
        <f>SUM($G$3:I661)</f>
        <v>7581705</v>
      </c>
      <c r="K661">
        <f t="shared" si="163"/>
        <v>25180</v>
      </c>
      <c r="L661">
        <f t="shared" si="164"/>
        <v>1.2190000000000001</v>
      </c>
      <c r="M661">
        <f t="shared" si="165"/>
        <v>1.109</v>
      </c>
      <c r="N661">
        <f t="shared" si="166"/>
        <v>1516341</v>
      </c>
      <c r="O661">
        <f t="shared" si="167"/>
        <v>34040.111779999999</v>
      </c>
      <c r="P661">
        <f t="shared" si="168"/>
        <v>12500</v>
      </c>
      <c r="Q661">
        <f t="shared" si="169"/>
        <v>1.1000000000000001</v>
      </c>
    </row>
    <row r="662" spans="1:17" x14ac:dyDescent="0.25">
      <c r="A662">
        <v>660</v>
      </c>
      <c r="B662">
        <f t="shared" si="155"/>
        <v>22</v>
      </c>
      <c r="C662">
        <f t="shared" si="156"/>
        <v>3</v>
      </c>
      <c r="D662" t="str">
        <f t="shared" si="157"/>
        <v/>
      </c>
      <c r="E662" t="str">
        <f t="shared" si="158"/>
        <v/>
      </c>
      <c r="F662">
        <f t="shared" si="159"/>
        <v>1095</v>
      </c>
      <c r="G662" t="str">
        <f t="shared" si="160"/>
        <v/>
      </c>
      <c r="H662" t="str">
        <f t="shared" si="161"/>
        <v/>
      </c>
      <c r="I662">
        <f t="shared" si="162"/>
        <v>23190</v>
      </c>
      <c r="J662">
        <f>SUM($G$3:I662)</f>
        <v>7604895</v>
      </c>
      <c r="K662">
        <f t="shared" si="163"/>
        <v>25180</v>
      </c>
      <c r="L662">
        <f t="shared" si="164"/>
        <v>1.2190000000000001</v>
      </c>
      <c r="M662">
        <f t="shared" si="165"/>
        <v>1.1094999999999999</v>
      </c>
      <c r="N662">
        <f t="shared" si="166"/>
        <v>1520979</v>
      </c>
      <c r="O662">
        <f t="shared" si="167"/>
        <v>34055.458989999999</v>
      </c>
      <c r="P662">
        <f t="shared" si="168"/>
        <v>12500</v>
      </c>
      <c r="Q662">
        <f t="shared" si="169"/>
        <v>1.1000000000000001</v>
      </c>
    </row>
    <row r="663" spans="1:17" x14ac:dyDescent="0.25">
      <c r="A663">
        <v>661</v>
      </c>
      <c r="B663">
        <f t="shared" si="155"/>
        <v>23</v>
      </c>
      <c r="C663">
        <f t="shared" si="156"/>
        <v>1</v>
      </c>
      <c r="D663">
        <f t="shared" si="157"/>
        <v>2540</v>
      </c>
      <c r="E663" t="str">
        <f t="shared" si="158"/>
        <v/>
      </c>
      <c r="F663" t="str">
        <f t="shared" si="159"/>
        <v/>
      </c>
      <c r="G663">
        <f t="shared" si="160"/>
        <v>46600</v>
      </c>
      <c r="H663" t="str">
        <f t="shared" si="161"/>
        <v/>
      </c>
      <c r="I663" t="str">
        <f t="shared" si="162"/>
        <v/>
      </c>
      <c r="J663">
        <f>SUM($G$3:I663)</f>
        <v>7651495</v>
      </c>
      <c r="K663">
        <f t="shared" si="163"/>
        <v>25400</v>
      </c>
      <c r="L663">
        <f t="shared" si="164"/>
        <v>1.2190000000000001</v>
      </c>
      <c r="M663">
        <f t="shared" si="165"/>
        <v>1.1094999999999999</v>
      </c>
      <c r="N663">
        <f t="shared" si="166"/>
        <v>1530299</v>
      </c>
      <c r="O663">
        <f t="shared" si="167"/>
        <v>34353.004699999998</v>
      </c>
      <c r="P663">
        <f t="shared" si="168"/>
        <v>12500</v>
      </c>
      <c r="Q663">
        <f t="shared" si="169"/>
        <v>1.1000000000000001</v>
      </c>
    </row>
    <row r="664" spans="1:17" x14ac:dyDescent="0.25">
      <c r="A664">
        <v>662</v>
      </c>
      <c r="B664">
        <f t="shared" si="155"/>
        <v>23</v>
      </c>
      <c r="C664">
        <f t="shared" si="156"/>
        <v>1</v>
      </c>
      <c r="D664">
        <f t="shared" si="157"/>
        <v>2563</v>
      </c>
      <c r="E664" t="str">
        <f t="shared" si="158"/>
        <v/>
      </c>
      <c r="F664" t="str">
        <f t="shared" si="159"/>
        <v/>
      </c>
      <c r="G664">
        <f t="shared" si="160"/>
        <v>46820</v>
      </c>
      <c r="H664" t="str">
        <f t="shared" si="161"/>
        <v/>
      </c>
      <c r="I664" t="str">
        <f t="shared" si="162"/>
        <v/>
      </c>
      <c r="J664">
        <f>SUM($G$3:I664)</f>
        <v>7698315</v>
      </c>
      <c r="K664">
        <f t="shared" si="163"/>
        <v>25630</v>
      </c>
      <c r="L664">
        <f t="shared" si="164"/>
        <v>1.2190000000000001</v>
      </c>
      <c r="M664">
        <f t="shared" si="165"/>
        <v>1.1094999999999999</v>
      </c>
      <c r="N664">
        <f t="shared" si="166"/>
        <v>1539663</v>
      </c>
      <c r="O664">
        <f t="shared" si="167"/>
        <v>34664.075214999997</v>
      </c>
      <c r="P664">
        <f t="shared" si="168"/>
        <v>12500</v>
      </c>
      <c r="Q664">
        <f t="shared" si="169"/>
        <v>1.1000000000000001</v>
      </c>
    </row>
    <row r="665" spans="1:17" x14ac:dyDescent="0.25">
      <c r="A665">
        <v>663</v>
      </c>
      <c r="B665">
        <f t="shared" si="155"/>
        <v>23</v>
      </c>
      <c r="C665">
        <f t="shared" si="156"/>
        <v>1</v>
      </c>
      <c r="D665">
        <f t="shared" si="157"/>
        <v>2586</v>
      </c>
      <c r="E665" t="str">
        <f t="shared" si="158"/>
        <v/>
      </c>
      <c r="F665" t="str">
        <f t="shared" si="159"/>
        <v/>
      </c>
      <c r="G665">
        <f t="shared" si="160"/>
        <v>47040</v>
      </c>
      <c r="H665" t="str">
        <f t="shared" si="161"/>
        <v/>
      </c>
      <c r="I665" t="str">
        <f t="shared" si="162"/>
        <v/>
      </c>
      <c r="J665">
        <f>SUM($G$3:I665)</f>
        <v>7745355</v>
      </c>
      <c r="K665">
        <f t="shared" si="163"/>
        <v>25860.000000000004</v>
      </c>
      <c r="L665">
        <f t="shared" si="164"/>
        <v>1.2190000000000001</v>
      </c>
      <c r="M665">
        <f t="shared" si="165"/>
        <v>1.1094999999999999</v>
      </c>
      <c r="N665">
        <f t="shared" si="166"/>
        <v>1549071</v>
      </c>
      <c r="O665">
        <f t="shared" si="167"/>
        <v>34975.145730000004</v>
      </c>
      <c r="P665">
        <f t="shared" si="168"/>
        <v>12500</v>
      </c>
      <c r="Q665">
        <f t="shared" si="169"/>
        <v>1.1000000000000001</v>
      </c>
    </row>
    <row r="666" spans="1:17" x14ac:dyDescent="0.25">
      <c r="A666">
        <v>664</v>
      </c>
      <c r="B666">
        <f t="shared" si="155"/>
        <v>23</v>
      </c>
      <c r="C666">
        <f t="shared" si="156"/>
        <v>1</v>
      </c>
      <c r="D666">
        <f t="shared" si="157"/>
        <v>2609</v>
      </c>
      <c r="E666" t="str">
        <f t="shared" si="158"/>
        <v/>
      </c>
      <c r="F666" t="str">
        <f t="shared" si="159"/>
        <v/>
      </c>
      <c r="G666">
        <f t="shared" si="160"/>
        <v>47260</v>
      </c>
      <c r="H666" t="str">
        <f t="shared" si="161"/>
        <v/>
      </c>
      <c r="I666" t="str">
        <f t="shared" si="162"/>
        <v/>
      </c>
      <c r="J666">
        <f>SUM($G$3:I666)</f>
        <v>7792615</v>
      </c>
      <c r="K666">
        <f t="shared" si="163"/>
        <v>26089.999999999996</v>
      </c>
      <c r="L666">
        <f t="shared" si="164"/>
        <v>1.2190000000000001</v>
      </c>
      <c r="M666">
        <f t="shared" si="165"/>
        <v>1.1094999999999999</v>
      </c>
      <c r="N666">
        <f t="shared" si="166"/>
        <v>1558523</v>
      </c>
      <c r="O666">
        <f t="shared" si="167"/>
        <v>35286.216244999996</v>
      </c>
      <c r="P666">
        <f t="shared" si="168"/>
        <v>12500</v>
      </c>
      <c r="Q666">
        <f t="shared" si="169"/>
        <v>1.1000000000000001</v>
      </c>
    </row>
    <row r="667" spans="1:17" x14ac:dyDescent="0.25">
      <c r="A667">
        <v>665</v>
      </c>
      <c r="B667">
        <f t="shared" si="155"/>
        <v>23</v>
      </c>
      <c r="C667">
        <f t="shared" si="156"/>
        <v>1</v>
      </c>
      <c r="D667">
        <f t="shared" si="157"/>
        <v>2632</v>
      </c>
      <c r="E667" t="str">
        <f t="shared" si="158"/>
        <v/>
      </c>
      <c r="F667" t="str">
        <f t="shared" si="159"/>
        <v/>
      </c>
      <c r="G667">
        <f t="shared" si="160"/>
        <v>47480</v>
      </c>
      <c r="H667" t="str">
        <f t="shared" si="161"/>
        <v/>
      </c>
      <c r="I667" t="str">
        <f t="shared" si="162"/>
        <v/>
      </c>
      <c r="J667">
        <f>SUM($G$3:I667)</f>
        <v>7840095</v>
      </c>
      <c r="K667">
        <f t="shared" si="163"/>
        <v>26320</v>
      </c>
      <c r="L667">
        <f t="shared" si="164"/>
        <v>1.2190000000000001</v>
      </c>
      <c r="M667">
        <f t="shared" si="165"/>
        <v>1.1094999999999999</v>
      </c>
      <c r="N667">
        <f t="shared" si="166"/>
        <v>1568019</v>
      </c>
      <c r="O667">
        <f t="shared" si="167"/>
        <v>35597.286760000003</v>
      </c>
      <c r="P667">
        <f t="shared" si="168"/>
        <v>12500</v>
      </c>
      <c r="Q667">
        <f t="shared" si="169"/>
        <v>1.1000000000000001</v>
      </c>
    </row>
    <row r="668" spans="1:17" x14ac:dyDescent="0.25">
      <c r="A668">
        <v>666</v>
      </c>
      <c r="B668">
        <f t="shared" si="155"/>
        <v>23</v>
      </c>
      <c r="C668">
        <f t="shared" si="156"/>
        <v>1</v>
      </c>
      <c r="D668">
        <f t="shared" si="157"/>
        <v>2655</v>
      </c>
      <c r="E668" t="str">
        <f t="shared" si="158"/>
        <v/>
      </c>
      <c r="F668" t="str">
        <f t="shared" si="159"/>
        <v/>
      </c>
      <c r="G668">
        <f t="shared" si="160"/>
        <v>47700</v>
      </c>
      <c r="H668" t="str">
        <f t="shared" si="161"/>
        <v/>
      </c>
      <c r="I668" t="str">
        <f t="shared" si="162"/>
        <v/>
      </c>
      <c r="J668">
        <f>SUM($G$3:I668)</f>
        <v>7887795</v>
      </c>
      <c r="K668">
        <f t="shared" si="163"/>
        <v>26550</v>
      </c>
      <c r="L668">
        <f t="shared" si="164"/>
        <v>1.2190000000000001</v>
      </c>
      <c r="M668">
        <f t="shared" si="165"/>
        <v>1.1094999999999999</v>
      </c>
      <c r="N668">
        <f t="shared" si="166"/>
        <v>1577559</v>
      </c>
      <c r="O668">
        <f t="shared" si="167"/>
        <v>35908.357275000002</v>
      </c>
      <c r="P668">
        <f t="shared" si="168"/>
        <v>12500</v>
      </c>
      <c r="Q668">
        <f t="shared" si="169"/>
        <v>1.1000000000000001</v>
      </c>
    </row>
    <row r="669" spans="1:17" x14ac:dyDescent="0.25">
      <c r="A669">
        <v>667</v>
      </c>
      <c r="B669">
        <f t="shared" si="155"/>
        <v>23</v>
      </c>
      <c r="C669">
        <f t="shared" si="156"/>
        <v>1</v>
      </c>
      <c r="D669">
        <f t="shared" si="157"/>
        <v>2678</v>
      </c>
      <c r="E669" t="str">
        <f t="shared" si="158"/>
        <v/>
      </c>
      <c r="F669" t="str">
        <f t="shared" si="159"/>
        <v/>
      </c>
      <c r="G669">
        <f t="shared" si="160"/>
        <v>47920</v>
      </c>
      <c r="H669" t="str">
        <f t="shared" si="161"/>
        <v/>
      </c>
      <c r="I669" t="str">
        <f t="shared" si="162"/>
        <v/>
      </c>
      <c r="J669">
        <f>SUM($G$3:I669)</f>
        <v>7935715</v>
      </c>
      <c r="K669">
        <f t="shared" si="163"/>
        <v>26780</v>
      </c>
      <c r="L669">
        <f t="shared" si="164"/>
        <v>1.2190000000000001</v>
      </c>
      <c r="M669">
        <f t="shared" si="165"/>
        <v>1.1094999999999999</v>
      </c>
      <c r="N669">
        <f t="shared" si="166"/>
        <v>1587143</v>
      </c>
      <c r="O669">
        <f t="shared" si="167"/>
        <v>36219.427790000002</v>
      </c>
      <c r="P669">
        <f t="shared" si="168"/>
        <v>12500</v>
      </c>
      <c r="Q669">
        <f t="shared" si="169"/>
        <v>1.1000000000000001</v>
      </c>
    </row>
    <row r="670" spans="1:17" x14ac:dyDescent="0.25">
      <c r="A670">
        <v>668</v>
      </c>
      <c r="B670">
        <f t="shared" si="155"/>
        <v>23</v>
      </c>
      <c r="C670">
        <f t="shared" si="156"/>
        <v>1</v>
      </c>
      <c r="D670">
        <f t="shared" si="157"/>
        <v>2701</v>
      </c>
      <c r="E670" t="str">
        <f t="shared" si="158"/>
        <v/>
      </c>
      <c r="F670" t="str">
        <f t="shared" si="159"/>
        <v/>
      </c>
      <c r="G670">
        <f t="shared" si="160"/>
        <v>48140</v>
      </c>
      <c r="H670" t="str">
        <f t="shared" si="161"/>
        <v/>
      </c>
      <c r="I670" t="str">
        <f t="shared" si="162"/>
        <v/>
      </c>
      <c r="J670">
        <f>SUM($G$3:I670)</f>
        <v>7983855</v>
      </c>
      <c r="K670">
        <f t="shared" si="163"/>
        <v>27010.000000000004</v>
      </c>
      <c r="L670">
        <f t="shared" si="164"/>
        <v>1.2190000000000001</v>
      </c>
      <c r="M670">
        <f t="shared" si="165"/>
        <v>1.1094999999999999</v>
      </c>
      <c r="N670">
        <f t="shared" si="166"/>
        <v>1596771</v>
      </c>
      <c r="O670">
        <f t="shared" si="167"/>
        <v>36530.498305000008</v>
      </c>
      <c r="P670">
        <f t="shared" si="168"/>
        <v>12500</v>
      </c>
      <c r="Q670">
        <f t="shared" si="169"/>
        <v>1.1000000000000001</v>
      </c>
    </row>
    <row r="671" spans="1:17" x14ac:dyDescent="0.25">
      <c r="A671">
        <v>669</v>
      </c>
      <c r="B671">
        <f t="shared" si="155"/>
        <v>23</v>
      </c>
      <c r="C671">
        <f t="shared" si="156"/>
        <v>1</v>
      </c>
      <c r="D671">
        <f t="shared" si="157"/>
        <v>2724</v>
      </c>
      <c r="E671" t="str">
        <f t="shared" si="158"/>
        <v/>
      </c>
      <c r="F671" t="str">
        <f t="shared" si="159"/>
        <v/>
      </c>
      <c r="G671">
        <f t="shared" si="160"/>
        <v>48360</v>
      </c>
      <c r="H671" t="str">
        <f t="shared" si="161"/>
        <v/>
      </c>
      <c r="I671" t="str">
        <f t="shared" si="162"/>
        <v/>
      </c>
      <c r="J671">
        <f>SUM($G$3:I671)</f>
        <v>8032215</v>
      </c>
      <c r="K671">
        <f t="shared" si="163"/>
        <v>27239.999999999996</v>
      </c>
      <c r="L671">
        <f t="shared" si="164"/>
        <v>1.2190000000000001</v>
      </c>
      <c r="M671">
        <f t="shared" si="165"/>
        <v>1.1094999999999999</v>
      </c>
      <c r="N671">
        <f t="shared" si="166"/>
        <v>1606443</v>
      </c>
      <c r="O671">
        <f t="shared" si="167"/>
        <v>36841.568819999993</v>
      </c>
      <c r="P671">
        <f t="shared" si="168"/>
        <v>12500</v>
      </c>
      <c r="Q671">
        <f t="shared" si="169"/>
        <v>1.1000000000000001</v>
      </c>
    </row>
    <row r="672" spans="1:17" x14ac:dyDescent="0.25">
      <c r="A672">
        <v>670</v>
      </c>
      <c r="B672">
        <f t="shared" si="155"/>
        <v>23</v>
      </c>
      <c r="C672">
        <f t="shared" si="156"/>
        <v>1</v>
      </c>
      <c r="D672">
        <f t="shared" si="157"/>
        <v>2747</v>
      </c>
      <c r="E672" t="str">
        <f t="shared" si="158"/>
        <v/>
      </c>
      <c r="F672" t="str">
        <f t="shared" si="159"/>
        <v/>
      </c>
      <c r="G672">
        <f t="shared" si="160"/>
        <v>48580</v>
      </c>
      <c r="H672" t="str">
        <f t="shared" si="161"/>
        <v/>
      </c>
      <c r="I672" t="str">
        <f t="shared" si="162"/>
        <v/>
      </c>
      <c r="J672">
        <f>SUM($G$3:I672)</f>
        <v>8080795</v>
      </c>
      <c r="K672">
        <f t="shared" si="163"/>
        <v>27470</v>
      </c>
      <c r="L672">
        <f t="shared" si="164"/>
        <v>1.2190000000000001</v>
      </c>
      <c r="M672">
        <f t="shared" si="165"/>
        <v>1.1094999999999999</v>
      </c>
      <c r="N672">
        <f t="shared" si="166"/>
        <v>1616159</v>
      </c>
      <c r="O672">
        <f t="shared" si="167"/>
        <v>37152.639335</v>
      </c>
      <c r="P672">
        <f t="shared" si="168"/>
        <v>14300</v>
      </c>
      <c r="Q672">
        <f t="shared" si="169"/>
        <v>1.1000000000000001</v>
      </c>
    </row>
    <row r="673" spans="1:17" x14ac:dyDescent="0.25">
      <c r="A673">
        <v>671</v>
      </c>
      <c r="B673">
        <f t="shared" si="155"/>
        <v>23</v>
      </c>
      <c r="C673">
        <f t="shared" si="156"/>
        <v>2</v>
      </c>
      <c r="D673" t="str">
        <f t="shared" si="157"/>
        <v/>
      </c>
      <c r="E673">
        <f t="shared" si="158"/>
        <v>2200</v>
      </c>
      <c r="F673" t="str">
        <f t="shared" si="159"/>
        <v/>
      </c>
      <c r="G673" t="str">
        <f t="shared" si="160"/>
        <v/>
      </c>
      <c r="H673">
        <f t="shared" si="161"/>
        <v>31067</v>
      </c>
      <c r="I673" t="str">
        <f t="shared" si="162"/>
        <v/>
      </c>
      <c r="J673">
        <f>SUM($G$3:I673)</f>
        <v>8111862</v>
      </c>
      <c r="K673">
        <f t="shared" si="163"/>
        <v>27470</v>
      </c>
      <c r="L673">
        <f t="shared" si="164"/>
        <v>1.22</v>
      </c>
      <c r="M673">
        <f t="shared" si="165"/>
        <v>1.1094999999999999</v>
      </c>
      <c r="N673">
        <f t="shared" si="166"/>
        <v>1622372.4000000001</v>
      </c>
      <c r="O673">
        <f t="shared" si="167"/>
        <v>37183.117299999998</v>
      </c>
      <c r="P673">
        <f t="shared" si="168"/>
        <v>14300</v>
      </c>
      <c r="Q673">
        <f t="shared" si="169"/>
        <v>1.1000000000000001</v>
      </c>
    </row>
    <row r="674" spans="1:17" x14ac:dyDescent="0.25">
      <c r="A674">
        <v>672</v>
      </c>
      <c r="B674">
        <f t="shared" ref="B674:B737" si="170">B644+1</f>
        <v>23</v>
      </c>
      <c r="C674">
        <f t="shared" ref="C674:C737" si="171">C644</f>
        <v>2</v>
      </c>
      <c r="D674" t="str">
        <f t="shared" si="157"/>
        <v/>
      </c>
      <c r="E674">
        <f t="shared" si="158"/>
        <v>2210</v>
      </c>
      <c r="F674" t="str">
        <f t="shared" si="159"/>
        <v/>
      </c>
      <c r="G674" t="str">
        <f t="shared" si="160"/>
        <v/>
      </c>
      <c r="H674">
        <f t="shared" si="161"/>
        <v>31214</v>
      </c>
      <c r="I674" t="str">
        <f t="shared" si="162"/>
        <v/>
      </c>
      <c r="J674">
        <f>SUM($G$3:I674)</f>
        <v>8143076</v>
      </c>
      <c r="K674">
        <f t="shared" si="163"/>
        <v>27470</v>
      </c>
      <c r="L674">
        <f t="shared" si="164"/>
        <v>1.2210000000000001</v>
      </c>
      <c r="M674">
        <f t="shared" si="165"/>
        <v>1.1094999999999999</v>
      </c>
      <c r="N674">
        <f t="shared" si="166"/>
        <v>1628615.2000000002</v>
      </c>
      <c r="O674">
        <f t="shared" si="167"/>
        <v>37213.595265000004</v>
      </c>
      <c r="P674">
        <f t="shared" si="168"/>
        <v>14300</v>
      </c>
      <c r="Q674">
        <f t="shared" si="169"/>
        <v>1.1000000000000001</v>
      </c>
    </row>
    <row r="675" spans="1:17" x14ac:dyDescent="0.25">
      <c r="A675">
        <v>673</v>
      </c>
      <c r="B675">
        <f t="shared" si="170"/>
        <v>23</v>
      </c>
      <c r="C675">
        <f t="shared" si="171"/>
        <v>2</v>
      </c>
      <c r="D675" t="str">
        <f t="shared" si="157"/>
        <v/>
      </c>
      <c r="E675">
        <f t="shared" si="158"/>
        <v>2220</v>
      </c>
      <c r="F675" t="str">
        <f t="shared" si="159"/>
        <v/>
      </c>
      <c r="G675" t="str">
        <f t="shared" si="160"/>
        <v/>
      </c>
      <c r="H675">
        <f t="shared" si="161"/>
        <v>31361</v>
      </c>
      <c r="I675" t="str">
        <f t="shared" si="162"/>
        <v/>
      </c>
      <c r="J675">
        <f>SUM($G$3:I675)</f>
        <v>8174437</v>
      </c>
      <c r="K675">
        <f t="shared" si="163"/>
        <v>27470</v>
      </c>
      <c r="L675">
        <f t="shared" si="164"/>
        <v>1.222</v>
      </c>
      <c r="M675">
        <f t="shared" si="165"/>
        <v>1.1094999999999999</v>
      </c>
      <c r="N675">
        <f t="shared" si="166"/>
        <v>1634887.4000000001</v>
      </c>
      <c r="O675">
        <f t="shared" si="167"/>
        <v>37244.073229999995</v>
      </c>
      <c r="P675">
        <f t="shared" si="168"/>
        <v>14300</v>
      </c>
      <c r="Q675">
        <f t="shared" si="169"/>
        <v>1.1000000000000001</v>
      </c>
    </row>
    <row r="676" spans="1:17" x14ac:dyDescent="0.25">
      <c r="A676">
        <v>674</v>
      </c>
      <c r="B676">
        <f t="shared" si="170"/>
        <v>23</v>
      </c>
      <c r="C676">
        <f t="shared" si="171"/>
        <v>2</v>
      </c>
      <c r="D676" t="str">
        <f t="shared" si="157"/>
        <v/>
      </c>
      <c r="E676">
        <f t="shared" si="158"/>
        <v>2230</v>
      </c>
      <c r="F676" t="str">
        <f t="shared" si="159"/>
        <v/>
      </c>
      <c r="G676" t="str">
        <f t="shared" si="160"/>
        <v/>
      </c>
      <c r="H676">
        <f t="shared" si="161"/>
        <v>31508</v>
      </c>
      <c r="I676" t="str">
        <f t="shared" si="162"/>
        <v/>
      </c>
      <c r="J676">
        <f>SUM($G$3:I676)</f>
        <v>8205945</v>
      </c>
      <c r="K676">
        <f t="shared" si="163"/>
        <v>27470</v>
      </c>
      <c r="L676">
        <f t="shared" si="164"/>
        <v>1.2230000000000001</v>
      </c>
      <c r="M676">
        <f t="shared" si="165"/>
        <v>1.1094999999999999</v>
      </c>
      <c r="N676">
        <f t="shared" si="166"/>
        <v>1641189</v>
      </c>
      <c r="O676">
        <f t="shared" si="167"/>
        <v>37274.551195</v>
      </c>
      <c r="P676">
        <f t="shared" si="168"/>
        <v>14300</v>
      </c>
      <c r="Q676">
        <f t="shared" si="169"/>
        <v>1.1000000000000001</v>
      </c>
    </row>
    <row r="677" spans="1:17" x14ac:dyDescent="0.25">
      <c r="A677">
        <v>675</v>
      </c>
      <c r="B677">
        <f t="shared" si="170"/>
        <v>23</v>
      </c>
      <c r="C677">
        <f t="shared" si="171"/>
        <v>2</v>
      </c>
      <c r="D677" t="str">
        <f t="shared" si="157"/>
        <v/>
      </c>
      <c r="E677">
        <f t="shared" si="158"/>
        <v>2240</v>
      </c>
      <c r="F677" t="str">
        <f t="shared" si="159"/>
        <v/>
      </c>
      <c r="G677" t="str">
        <f t="shared" si="160"/>
        <v/>
      </c>
      <c r="H677">
        <f t="shared" si="161"/>
        <v>31655</v>
      </c>
      <c r="I677" t="str">
        <f t="shared" si="162"/>
        <v/>
      </c>
      <c r="J677">
        <f>SUM($G$3:I677)</f>
        <v>8237600</v>
      </c>
      <c r="K677">
        <f t="shared" si="163"/>
        <v>27470</v>
      </c>
      <c r="L677">
        <f t="shared" si="164"/>
        <v>1.224</v>
      </c>
      <c r="M677">
        <f t="shared" si="165"/>
        <v>1.1094999999999999</v>
      </c>
      <c r="N677">
        <f t="shared" si="166"/>
        <v>1647520</v>
      </c>
      <c r="O677">
        <f t="shared" si="167"/>
        <v>37305.029159999998</v>
      </c>
      <c r="P677">
        <f t="shared" si="168"/>
        <v>14300</v>
      </c>
      <c r="Q677">
        <f t="shared" si="169"/>
        <v>1.1000000000000001</v>
      </c>
    </row>
    <row r="678" spans="1:17" x14ac:dyDescent="0.25">
      <c r="A678">
        <v>676</v>
      </c>
      <c r="B678">
        <f t="shared" si="170"/>
        <v>23</v>
      </c>
      <c r="C678">
        <f t="shared" si="171"/>
        <v>2</v>
      </c>
      <c r="D678" t="str">
        <f t="shared" si="157"/>
        <v/>
      </c>
      <c r="E678">
        <f t="shared" si="158"/>
        <v>2250</v>
      </c>
      <c r="F678" t="str">
        <f t="shared" si="159"/>
        <v/>
      </c>
      <c r="G678" t="str">
        <f t="shared" si="160"/>
        <v/>
      </c>
      <c r="H678">
        <f t="shared" si="161"/>
        <v>31802</v>
      </c>
      <c r="I678" t="str">
        <f t="shared" si="162"/>
        <v/>
      </c>
      <c r="J678">
        <f>SUM($G$3:I678)</f>
        <v>8269402</v>
      </c>
      <c r="K678">
        <f t="shared" si="163"/>
        <v>27470</v>
      </c>
      <c r="L678">
        <f t="shared" si="164"/>
        <v>1.2250000000000001</v>
      </c>
      <c r="M678">
        <f t="shared" si="165"/>
        <v>1.1094999999999999</v>
      </c>
      <c r="N678">
        <f t="shared" si="166"/>
        <v>1653880.4000000001</v>
      </c>
      <c r="O678">
        <f t="shared" si="167"/>
        <v>37335.507124999996</v>
      </c>
      <c r="P678">
        <f t="shared" si="168"/>
        <v>14300</v>
      </c>
      <c r="Q678">
        <f t="shared" si="169"/>
        <v>1.1000000000000001</v>
      </c>
    </row>
    <row r="679" spans="1:17" x14ac:dyDescent="0.25">
      <c r="A679">
        <v>677</v>
      </c>
      <c r="B679">
        <f t="shared" si="170"/>
        <v>23</v>
      </c>
      <c r="C679">
        <f t="shared" si="171"/>
        <v>2</v>
      </c>
      <c r="D679" t="str">
        <f t="shared" si="157"/>
        <v/>
      </c>
      <c r="E679">
        <f t="shared" si="158"/>
        <v>2260</v>
      </c>
      <c r="F679" t="str">
        <f t="shared" si="159"/>
        <v/>
      </c>
      <c r="G679" t="str">
        <f t="shared" si="160"/>
        <v/>
      </c>
      <c r="H679">
        <f t="shared" si="161"/>
        <v>31949</v>
      </c>
      <c r="I679" t="str">
        <f t="shared" si="162"/>
        <v/>
      </c>
      <c r="J679">
        <f>SUM($G$3:I679)</f>
        <v>8301351</v>
      </c>
      <c r="K679">
        <f t="shared" si="163"/>
        <v>27470</v>
      </c>
      <c r="L679">
        <f t="shared" si="164"/>
        <v>1.226</v>
      </c>
      <c r="M679">
        <f t="shared" si="165"/>
        <v>1.1094999999999999</v>
      </c>
      <c r="N679">
        <f t="shared" si="166"/>
        <v>1660270.2000000002</v>
      </c>
      <c r="O679">
        <f t="shared" si="167"/>
        <v>37365.985090000002</v>
      </c>
      <c r="P679">
        <f t="shared" si="168"/>
        <v>14300</v>
      </c>
      <c r="Q679">
        <f t="shared" si="169"/>
        <v>1.1000000000000001</v>
      </c>
    </row>
    <row r="680" spans="1:17" x14ac:dyDescent="0.25">
      <c r="A680">
        <v>678</v>
      </c>
      <c r="B680">
        <f t="shared" si="170"/>
        <v>23</v>
      </c>
      <c r="C680">
        <f t="shared" si="171"/>
        <v>2</v>
      </c>
      <c r="D680" t="str">
        <f t="shared" si="157"/>
        <v/>
      </c>
      <c r="E680">
        <f t="shared" si="158"/>
        <v>2270</v>
      </c>
      <c r="F680" t="str">
        <f t="shared" si="159"/>
        <v/>
      </c>
      <c r="G680" t="str">
        <f t="shared" si="160"/>
        <v/>
      </c>
      <c r="H680">
        <f t="shared" si="161"/>
        <v>32096</v>
      </c>
      <c r="I680" t="str">
        <f t="shared" si="162"/>
        <v/>
      </c>
      <c r="J680">
        <f>SUM($G$3:I680)</f>
        <v>8333447</v>
      </c>
      <c r="K680">
        <f t="shared" si="163"/>
        <v>27470</v>
      </c>
      <c r="L680">
        <f t="shared" si="164"/>
        <v>1.2270000000000001</v>
      </c>
      <c r="M680">
        <f t="shared" si="165"/>
        <v>1.1094999999999999</v>
      </c>
      <c r="N680">
        <f t="shared" si="166"/>
        <v>1666689.4000000001</v>
      </c>
      <c r="O680">
        <f t="shared" si="167"/>
        <v>37396.463055</v>
      </c>
      <c r="P680">
        <f t="shared" si="168"/>
        <v>14300</v>
      </c>
      <c r="Q680">
        <f t="shared" si="169"/>
        <v>1.1000000000000001</v>
      </c>
    </row>
    <row r="681" spans="1:17" x14ac:dyDescent="0.25">
      <c r="A681">
        <v>679</v>
      </c>
      <c r="B681">
        <f t="shared" si="170"/>
        <v>23</v>
      </c>
      <c r="C681">
        <f t="shared" si="171"/>
        <v>2</v>
      </c>
      <c r="D681" t="str">
        <f t="shared" si="157"/>
        <v/>
      </c>
      <c r="E681">
        <f t="shared" si="158"/>
        <v>2280</v>
      </c>
      <c r="F681" t="str">
        <f t="shared" si="159"/>
        <v/>
      </c>
      <c r="G681" t="str">
        <f t="shared" si="160"/>
        <v/>
      </c>
      <c r="H681">
        <f t="shared" si="161"/>
        <v>32243</v>
      </c>
      <c r="I681" t="str">
        <f t="shared" si="162"/>
        <v/>
      </c>
      <c r="J681">
        <f>SUM($G$3:I681)</f>
        <v>8365690</v>
      </c>
      <c r="K681">
        <f t="shared" si="163"/>
        <v>27470</v>
      </c>
      <c r="L681">
        <f t="shared" si="164"/>
        <v>1.228</v>
      </c>
      <c r="M681">
        <f t="shared" si="165"/>
        <v>1.1094999999999999</v>
      </c>
      <c r="N681">
        <f t="shared" si="166"/>
        <v>1673138</v>
      </c>
      <c r="O681">
        <f t="shared" si="167"/>
        <v>37426.941019999991</v>
      </c>
      <c r="P681">
        <f t="shared" si="168"/>
        <v>14300</v>
      </c>
      <c r="Q681">
        <f t="shared" si="169"/>
        <v>1.1000000000000001</v>
      </c>
    </row>
    <row r="682" spans="1:17" x14ac:dyDescent="0.25">
      <c r="A682">
        <v>680</v>
      </c>
      <c r="B682">
        <f t="shared" si="170"/>
        <v>23</v>
      </c>
      <c r="C682">
        <f t="shared" si="171"/>
        <v>2</v>
      </c>
      <c r="D682" t="str">
        <f t="shared" si="157"/>
        <v/>
      </c>
      <c r="E682">
        <f t="shared" si="158"/>
        <v>2290</v>
      </c>
      <c r="F682" t="str">
        <f t="shared" si="159"/>
        <v/>
      </c>
      <c r="G682" t="str">
        <f t="shared" si="160"/>
        <v/>
      </c>
      <c r="H682">
        <f t="shared" si="161"/>
        <v>32390</v>
      </c>
      <c r="I682" t="str">
        <f t="shared" si="162"/>
        <v/>
      </c>
      <c r="J682">
        <f>SUM($G$3:I682)</f>
        <v>8398080</v>
      </c>
      <c r="K682">
        <f t="shared" si="163"/>
        <v>27470</v>
      </c>
      <c r="L682">
        <f t="shared" si="164"/>
        <v>1.2290000000000001</v>
      </c>
      <c r="M682">
        <f t="shared" si="165"/>
        <v>1.1094999999999999</v>
      </c>
      <c r="N682">
        <f t="shared" si="166"/>
        <v>1679616</v>
      </c>
      <c r="O682">
        <f t="shared" si="167"/>
        <v>37457.418985000004</v>
      </c>
      <c r="P682">
        <f t="shared" si="168"/>
        <v>14300</v>
      </c>
      <c r="Q682">
        <f t="shared" si="169"/>
        <v>1.2</v>
      </c>
    </row>
    <row r="683" spans="1:17" x14ac:dyDescent="0.25">
      <c r="A683">
        <v>681</v>
      </c>
      <c r="B683">
        <f t="shared" si="170"/>
        <v>23</v>
      </c>
      <c r="C683">
        <f t="shared" si="171"/>
        <v>3</v>
      </c>
      <c r="D683" t="str">
        <f t="shared" si="157"/>
        <v/>
      </c>
      <c r="E683" t="str">
        <f t="shared" si="158"/>
        <v/>
      </c>
      <c r="F683">
        <f t="shared" si="159"/>
        <v>1100</v>
      </c>
      <c r="G683" t="str">
        <f t="shared" si="160"/>
        <v/>
      </c>
      <c r="H683" t="str">
        <f t="shared" si="161"/>
        <v/>
      </c>
      <c r="I683">
        <f t="shared" si="162"/>
        <v>23300</v>
      </c>
      <c r="J683">
        <f>SUM($G$3:I683)</f>
        <v>8421380</v>
      </c>
      <c r="K683">
        <f t="shared" si="163"/>
        <v>27470</v>
      </c>
      <c r="L683">
        <f t="shared" si="164"/>
        <v>1.2290000000000001</v>
      </c>
      <c r="M683">
        <f t="shared" si="165"/>
        <v>1.1100000000000001</v>
      </c>
      <c r="N683">
        <f t="shared" si="166"/>
        <v>1684276</v>
      </c>
      <c r="O683">
        <f t="shared" si="167"/>
        <v>37474.299300000006</v>
      </c>
      <c r="P683">
        <f t="shared" si="168"/>
        <v>14300</v>
      </c>
      <c r="Q683">
        <f t="shared" si="169"/>
        <v>1.2</v>
      </c>
    </row>
    <row r="684" spans="1:17" x14ac:dyDescent="0.25">
      <c r="A684">
        <v>682</v>
      </c>
      <c r="B684">
        <f t="shared" si="170"/>
        <v>23</v>
      </c>
      <c r="C684">
        <f t="shared" si="171"/>
        <v>3</v>
      </c>
      <c r="D684" t="str">
        <f t="shared" si="157"/>
        <v/>
      </c>
      <c r="E684" t="str">
        <f t="shared" si="158"/>
        <v/>
      </c>
      <c r="F684">
        <f t="shared" si="159"/>
        <v>1105</v>
      </c>
      <c r="G684" t="str">
        <f t="shared" si="160"/>
        <v/>
      </c>
      <c r="H684" t="str">
        <f t="shared" si="161"/>
        <v/>
      </c>
      <c r="I684">
        <f t="shared" si="162"/>
        <v>23410</v>
      </c>
      <c r="J684">
        <f>SUM($G$3:I684)</f>
        <v>8444790</v>
      </c>
      <c r="K684">
        <f t="shared" si="163"/>
        <v>27470</v>
      </c>
      <c r="L684">
        <f t="shared" si="164"/>
        <v>1.2290000000000001</v>
      </c>
      <c r="M684">
        <f t="shared" si="165"/>
        <v>1.1105</v>
      </c>
      <c r="N684">
        <f t="shared" si="166"/>
        <v>1688958</v>
      </c>
      <c r="O684">
        <f t="shared" si="167"/>
        <v>37491.179615000008</v>
      </c>
      <c r="P684">
        <f t="shared" si="168"/>
        <v>14300</v>
      </c>
      <c r="Q684">
        <f t="shared" si="169"/>
        <v>1.2</v>
      </c>
    </row>
    <row r="685" spans="1:17" x14ac:dyDescent="0.25">
      <c r="A685">
        <v>683</v>
      </c>
      <c r="B685">
        <f t="shared" si="170"/>
        <v>23</v>
      </c>
      <c r="C685">
        <f t="shared" si="171"/>
        <v>3</v>
      </c>
      <c r="D685" t="str">
        <f t="shared" si="157"/>
        <v/>
      </c>
      <c r="E685" t="str">
        <f t="shared" si="158"/>
        <v/>
      </c>
      <c r="F685">
        <f t="shared" si="159"/>
        <v>1110</v>
      </c>
      <c r="G685" t="str">
        <f t="shared" si="160"/>
        <v/>
      </c>
      <c r="H685" t="str">
        <f t="shared" si="161"/>
        <v/>
      </c>
      <c r="I685">
        <f t="shared" si="162"/>
        <v>23520</v>
      </c>
      <c r="J685">
        <f>SUM($G$3:I685)</f>
        <v>8468310</v>
      </c>
      <c r="K685">
        <f t="shared" si="163"/>
        <v>27470</v>
      </c>
      <c r="L685">
        <f t="shared" si="164"/>
        <v>1.2290000000000001</v>
      </c>
      <c r="M685">
        <f t="shared" si="165"/>
        <v>1.111</v>
      </c>
      <c r="N685">
        <f t="shared" si="166"/>
        <v>1693662</v>
      </c>
      <c r="O685">
        <f t="shared" si="167"/>
        <v>37508.059930000003</v>
      </c>
      <c r="P685">
        <f t="shared" si="168"/>
        <v>14300</v>
      </c>
      <c r="Q685">
        <f t="shared" si="169"/>
        <v>1.2</v>
      </c>
    </row>
    <row r="686" spans="1:17" x14ac:dyDescent="0.25">
      <c r="A686">
        <v>684</v>
      </c>
      <c r="B686">
        <f t="shared" si="170"/>
        <v>23</v>
      </c>
      <c r="C686">
        <f t="shared" si="171"/>
        <v>3</v>
      </c>
      <c r="D686" t="str">
        <f t="shared" si="157"/>
        <v/>
      </c>
      <c r="E686" t="str">
        <f t="shared" si="158"/>
        <v/>
      </c>
      <c r="F686">
        <f t="shared" si="159"/>
        <v>1115</v>
      </c>
      <c r="G686" t="str">
        <f t="shared" si="160"/>
        <v/>
      </c>
      <c r="H686" t="str">
        <f t="shared" si="161"/>
        <v/>
      </c>
      <c r="I686">
        <f t="shared" si="162"/>
        <v>23630</v>
      </c>
      <c r="J686">
        <f>SUM($G$3:I686)</f>
        <v>8491940</v>
      </c>
      <c r="K686">
        <f t="shared" si="163"/>
        <v>27470</v>
      </c>
      <c r="L686">
        <f t="shared" si="164"/>
        <v>1.2290000000000001</v>
      </c>
      <c r="M686">
        <f t="shared" si="165"/>
        <v>1.1114999999999999</v>
      </c>
      <c r="N686">
        <f t="shared" si="166"/>
        <v>1698388</v>
      </c>
      <c r="O686">
        <f t="shared" si="167"/>
        <v>37524.940245000005</v>
      </c>
      <c r="P686">
        <f t="shared" si="168"/>
        <v>14300</v>
      </c>
      <c r="Q686">
        <f t="shared" si="169"/>
        <v>1.2</v>
      </c>
    </row>
    <row r="687" spans="1:17" x14ac:dyDescent="0.25">
      <c r="A687">
        <v>685</v>
      </c>
      <c r="B687">
        <f t="shared" si="170"/>
        <v>23</v>
      </c>
      <c r="C687">
        <f t="shared" si="171"/>
        <v>3</v>
      </c>
      <c r="D687" t="str">
        <f t="shared" si="157"/>
        <v/>
      </c>
      <c r="E687" t="str">
        <f t="shared" si="158"/>
        <v/>
      </c>
      <c r="F687">
        <f t="shared" si="159"/>
        <v>1120</v>
      </c>
      <c r="G687" t="str">
        <f t="shared" si="160"/>
        <v/>
      </c>
      <c r="H687" t="str">
        <f t="shared" si="161"/>
        <v/>
      </c>
      <c r="I687">
        <f t="shared" si="162"/>
        <v>23740</v>
      </c>
      <c r="J687">
        <f>SUM($G$3:I687)</f>
        <v>8515680</v>
      </c>
      <c r="K687">
        <f t="shared" si="163"/>
        <v>27470</v>
      </c>
      <c r="L687">
        <f t="shared" si="164"/>
        <v>1.2290000000000001</v>
      </c>
      <c r="M687">
        <f t="shared" si="165"/>
        <v>1.1120000000000001</v>
      </c>
      <c r="N687">
        <f t="shared" si="166"/>
        <v>1703136</v>
      </c>
      <c r="O687">
        <f t="shared" si="167"/>
        <v>37541.820560000007</v>
      </c>
      <c r="P687">
        <f t="shared" si="168"/>
        <v>14300</v>
      </c>
      <c r="Q687">
        <f t="shared" si="169"/>
        <v>1.2</v>
      </c>
    </row>
    <row r="688" spans="1:17" x14ac:dyDescent="0.25">
      <c r="A688">
        <v>686</v>
      </c>
      <c r="B688">
        <f t="shared" si="170"/>
        <v>23</v>
      </c>
      <c r="C688">
        <f t="shared" si="171"/>
        <v>3</v>
      </c>
      <c r="D688" t="str">
        <f t="shared" si="157"/>
        <v/>
      </c>
      <c r="E688" t="str">
        <f t="shared" si="158"/>
        <v/>
      </c>
      <c r="F688">
        <f t="shared" si="159"/>
        <v>1125</v>
      </c>
      <c r="G688" t="str">
        <f t="shared" si="160"/>
        <v/>
      </c>
      <c r="H688" t="str">
        <f t="shared" si="161"/>
        <v/>
      </c>
      <c r="I688">
        <f t="shared" si="162"/>
        <v>23850</v>
      </c>
      <c r="J688">
        <f>SUM($G$3:I688)</f>
        <v>8539530</v>
      </c>
      <c r="K688">
        <f t="shared" si="163"/>
        <v>27470</v>
      </c>
      <c r="L688">
        <f t="shared" si="164"/>
        <v>1.2290000000000001</v>
      </c>
      <c r="M688">
        <f t="shared" si="165"/>
        <v>1.1125</v>
      </c>
      <c r="N688">
        <f t="shared" si="166"/>
        <v>1707906</v>
      </c>
      <c r="O688">
        <f t="shared" si="167"/>
        <v>37558.70087500001</v>
      </c>
      <c r="P688">
        <f t="shared" si="168"/>
        <v>14300</v>
      </c>
      <c r="Q688">
        <f t="shared" si="169"/>
        <v>1.2</v>
      </c>
    </row>
    <row r="689" spans="1:17" x14ac:dyDescent="0.25">
      <c r="A689">
        <v>687</v>
      </c>
      <c r="B689">
        <f t="shared" si="170"/>
        <v>23</v>
      </c>
      <c r="C689">
        <f t="shared" si="171"/>
        <v>3</v>
      </c>
      <c r="D689" t="str">
        <f t="shared" si="157"/>
        <v/>
      </c>
      <c r="E689" t="str">
        <f t="shared" si="158"/>
        <v/>
      </c>
      <c r="F689">
        <f t="shared" si="159"/>
        <v>1130</v>
      </c>
      <c r="G689" t="str">
        <f t="shared" si="160"/>
        <v/>
      </c>
      <c r="H689" t="str">
        <f t="shared" si="161"/>
        <v/>
      </c>
      <c r="I689">
        <f t="shared" si="162"/>
        <v>23960</v>
      </c>
      <c r="J689">
        <f>SUM($G$3:I689)</f>
        <v>8563490</v>
      </c>
      <c r="K689">
        <f t="shared" si="163"/>
        <v>27470</v>
      </c>
      <c r="L689">
        <f t="shared" si="164"/>
        <v>1.2290000000000001</v>
      </c>
      <c r="M689">
        <f t="shared" si="165"/>
        <v>1.113</v>
      </c>
      <c r="N689">
        <f t="shared" si="166"/>
        <v>1712698</v>
      </c>
      <c r="O689">
        <f t="shared" si="167"/>
        <v>37575.581190000004</v>
      </c>
      <c r="P689">
        <f t="shared" si="168"/>
        <v>14300</v>
      </c>
      <c r="Q689">
        <f t="shared" si="169"/>
        <v>1.2</v>
      </c>
    </row>
    <row r="690" spans="1:17" x14ac:dyDescent="0.25">
      <c r="A690">
        <v>688</v>
      </c>
      <c r="B690">
        <f t="shared" si="170"/>
        <v>23</v>
      </c>
      <c r="C690">
        <f t="shared" si="171"/>
        <v>3</v>
      </c>
      <c r="D690" t="str">
        <f t="shared" si="157"/>
        <v/>
      </c>
      <c r="E690" t="str">
        <f t="shared" si="158"/>
        <v/>
      </c>
      <c r="F690">
        <f t="shared" si="159"/>
        <v>1135</v>
      </c>
      <c r="G690" t="str">
        <f t="shared" si="160"/>
        <v/>
      </c>
      <c r="H690" t="str">
        <f t="shared" si="161"/>
        <v/>
      </c>
      <c r="I690">
        <f t="shared" si="162"/>
        <v>24070</v>
      </c>
      <c r="J690">
        <f>SUM($G$3:I690)</f>
        <v>8587560</v>
      </c>
      <c r="K690">
        <f t="shared" si="163"/>
        <v>27470</v>
      </c>
      <c r="L690">
        <f t="shared" si="164"/>
        <v>1.2290000000000001</v>
      </c>
      <c r="M690">
        <f t="shared" si="165"/>
        <v>1.1134999999999999</v>
      </c>
      <c r="N690">
        <f t="shared" si="166"/>
        <v>1717512</v>
      </c>
      <c r="O690">
        <f t="shared" si="167"/>
        <v>37592.461505000007</v>
      </c>
      <c r="P690">
        <f t="shared" si="168"/>
        <v>14300</v>
      </c>
      <c r="Q690">
        <f t="shared" si="169"/>
        <v>1.2</v>
      </c>
    </row>
    <row r="691" spans="1:17" x14ac:dyDescent="0.25">
      <c r="A691">
        <v>689</v>
      </c>
      <c r="B691">
        <f t="shared" si="170"/>
        <v>23</v>
      </c>
      <c r="C691">
        <f t="shared" si="171"/>
        <v>3</v>
      </c>
      <c r="D691" t="str">
        <f t="shared" si="157"/>
        <v/>
      </c>
      <c r="E691" t="str">
        <f t="shared" si="158"/>
        <v/>
      </c>
      <c r="F691">
        <f t="shared" si="159"/>
        <v>1140</v>
      </c>
      <c r="G691" t="str">
        <f t="shared" si="160"/>
        <v/>
      </c>
      <c r="H691" t="str">
        <f t="shared" si="161"/>
        <v/>
      </c>
      <c r="I691">
        <f t="shared" si="162"/>
        <v>24180</v>
      </c>
      <c r="J691">
        <f>SUM($G$3:I691)</f>
        <v>8611740</v>
      </c>
      <c r="K691">
        <f t="shared" si="163"/>
        <v>27470</v>
      </c>
      <c r="L691">
        <f t="shared" si="164"/>
        <v>1.2290000000000001</v>
      </c>
      <c r="M691">
        <f t="shared" si="165"/>
        <v>1.1140000000000001</v>
      </c>
      <c r="N691">
        <f t="shared" si="166"/>
        <v>1722348</v>
      </c>
      <c r="O691">
        <f t="shared" si="167"/>
        <v>37609.341820000009</v>
      </c>
      <c r="P691">
        <f t="shared" si="168"/>
        <v>14300</v>
      </c>
      <c r="Q691">
        <f t="shared" si="169"/>
        <v>1.2</v>
      </c>
    </row>
    <row r="692" spans="1:17" x14ac:dyDescent="0.25">
      <c r="A692">
        <v>690</v>
      </c>
      <c r="B692">
        <f t="shared" si="170"/>
        <v>23</v>
      </c>
      <c r="C692">
        <f t="shared" si="171"/>
        <v>3</v>
      </c>
      <c r="D692" t="str">
        <f t="shared" si="157"/>
        <v/>
      </c>
      <c r="E692" t="str">
        <f t="shared" si="158"/>
        <v/>
      </c>
      <c r="F692">
        <f t="shared" si="159"/>
        <v>1145</v>
      </c>
      <c r="G692" t="str">
        <f t="shared" si="160"/>
        <v/>
      </c>
      <c r="H692" t="str">
        <f t="shared" si="161"/>
        <v/>
      </c>
      <c r="I692">
        <f t="shared" si="162"/>
        <v>24290</v>
      </c>
      <c r="J692">
        <f>SUM($G$3:I692)</f>
        <v>8636030</v>
      </c>
      <c r="K692">
        <f t="shared" si="163"/>
        <v>27470</v>
      </c>
      <c r="L692">
        <f t="shared" si="164"/>
        <v>1.2290000000000001</v>
      </c>
      <c r="M692">
        <f t="shared" si="165"/>
        <v>1.1145</v>
      </c>
      <c r="N692">
        <f t="shared" si="166"/>
        <v>1727206</v>
      </c>
      <c r="O692">
        <f t="shared" si="167"/>
        <v>37626.222135000004</v>
      </c>
      <c r="P692">
        <f t="shared" si="168"/>
        <v>14300</v>
      </c>
      <c r="Q692">
        <f t="shared" si="169"/>
        <v>1.2</v>
      </c>
    </row>
    <row r="693" spans="1:17" x14ac:dyDescent="0.25">
      <c r="A693">
        <v>691</v>
      </c>
      <c r="B693">
        <f t="shared" si="170"/>
        <v>24</v>
      </c>
      <c r="C693">
        <f t="shared" si="171"/>
        <v>1</v>
      </c>
      <c r="D693">
        <f t="shared" si="157"/>
        <v>2770</v>
      </c>
      <c r="E693" t="str">
        <f t="shared" si="158"/>
        <v/>
      </c>
      <c r="F693" t="str">
        <f t="shared" si="159"/>
        <v/>
      </c>
      <c r="G693">
        <f t="shared" si="160"/>
        <v>48800</v>
      </c>
      <c r="H693" t="str">
        <f t="shared" si="161"/>
        <v/>
      </c>
      <c r="I693" t="str">
        <f t="shared" si="162"/>
        <v/>
      </c>
      <c r="J693">
        <f>SUM($G$3:I693)</f>
        <v>8684830</v>
      </c>
      <c r="K693">
        <f t="shared" si="163"/>
        <v>27700</v>
      </c>
      <c r="L693">
        <f t="shared" si="164"/>
        <v>1.2290000000000001</v>
      </c>
      <c r="M693">
        <f t="shared" si="165"/>
        <v>1.1145</v>
      </c>
      <c r="N693">
        <f t="shared" si="166"/>
        <v>1736966</v>
      </c>
      <c r="O693">
        <f t="shared" si="167"/>
        <v>37941.257850000002</v>
      </c>
      <c r="P693">
        <f t="shared" si="168"/>
        <v>14300</v>
      </c>
      <c r="Q693">
        <f t="shared" si="169"/>
        <v>1.2</v>
      </c>
    </row>
    <row r="694" spans="1:17" x14ac:dyDescent="0.25">
      <c r="A694">
        <v>692</v>
      </c>
      <c r="B694">
        <f t="shared" si="170"/>
        <v>24</v>
      </c>
      <c r="C694">
        <f t="shared" si="171"/>
        <v>1</v>
      </c>
      <c r="D694">
        <f t="shared" si="157"/>
        <v>2794</v>
      </c>
      <c r="E694" t="str">
        <f t="shared" si="158"/>
        <v/>
      </c>
      <c r="F694" t="str">
        <f t="shared" si="159"/>
        <v/>
      </c>
      <c r="G694">
        <f t="shared" si="160"/>
        <v>49020</v>
      </c>
      <c r="H694" t="str">
        <f t="shared" si="161"/>
        <v/>
      </c>
      <c r="I694" t="str">
        <f t="shared" si="162"/>
        <v/>
      </c>
      <c r="J694">
        <f>SUM($G$3:I694)</f>
        <v>8733850</v>
      </c>
      <c r="K694">
        <f t="shared" si="163"/>
        <v>27939.999999999996</v>
      </c>
      <c r="L694">
        <f t="shared" si="164"/>
        <v>1.2290000000000001</v>
      </c>
      <c r="M694">
        <f t="shared" si="165"/>
        <v>1.1145</v>
      </c>
      <c r="N694">
        <f t="shared" si="166"/>
        <v>1746770</v>
      </c>
      <c r="O694">
        <f t="shared" si="167"/>
        <v>38269.990769999997</v>
      </c>
      <c r="P694">
        <f t="shared" si="168"/>
        <v>14300</v>
      </c>
      <c r="Q694">
        <f t="shared" si="169"/>
        <v>1.2</v>
      </c>
    </row>
    <row r="695" spans="1:17" x14ac:dyDescent="0.25">
      <c r="A695">
        <v>693</v>
      </c>
      <c r="B695">
        <f t="shared" si="170"/>
        <v>24</v>
      </c>
      <c r="C695">
        <f t="shared" si="171"/>
        <v>1</v>
      </c>
      <c r="D695">
        <f t="shared" si="157"/>
        <v>2818</v>
      </c>
      <c r="E695" t="str">
        <f t="shared" si="158"/>
        <v/>
      </c>
      <c r="F695" t="str">
        <f t="shared" si="159"/>
        <v/>
      </c>
      <c r="G695">
        <f t="shared" si="160"/>
        <v>49240</v>
      </c>
      <c r="H695" t="str">
        <f t="shared" si="161"/>
        <v/>
      </c>
      <c r="I695" t="str">
        <f t="shared" si="162"/>
        <v/>
      </c>
      <c r="J695">
        <f>SUM($G$3:I695)</f>
        <v>8783090</v>
      </c>
      <c r="K695">
        <f t="shared" si="163"/>
        <v>28180</v>
      </c>
      <c r="L695">
        <f t="shared" si="164"/>
        <v>1.2290000000000001</v>
      </c>
      <c r="M695">
        <f t="shared" si="165"/>
        <v>1.1145</v>
      </c>
      <c r="N695">
        <f t="shared" si="166"/>
        <v>1756618</v>
      </c>
      <c r="O695">
        <f t="shared" si="167"/>
        <v>38598.723690000006</v>
      </c>
      <c r="P695">
        <f t="shared" si="168"/>
        <v>14300</v>
      </c>
      <c r="Q695">
        <f t="shared" si="169"/>
        <v>1.2</v>
      </c>
    </row>
    <row r="696" spans="1:17" x14ac:dyDescent="0.25">
      <c r="A696">
        <v>694</v>
      </c>
      <c r="B696">
        <f t="shared" si="170"/>
        <v>24</v>
      </c>
      <c r="C696">
        <f t="shared" si="171"/>
        <v>1</v>
      </c>
      <c r="D696">
        <f t="shared" si="157"/>
        <v>2842</v>
      </c>
      <c r="E696" t="str">
        <f t="shared" si="158"/>
        <v/>
      </c>
      <c r="F696" t="str">
        <f t="shared" si="159"/>
        <v/>
      </c>
      <c r="G696">
        <f t="shared" si="160"/>
        <v>49460</v>
      </c>
      <c r="H696" t="str">
        <f t="shared" si="161"/>
        <v/>
      </c>
      <c r="I696" t="str">
        <f t="shared" si="162"/>
        <v/>
      </c>
      <c r="J696">
        <f>SUM($G$3:I696)</f>
        <v>8832550</v>
      </c>
      <c r="K696">
        <f t="shared" si="163"/>
        <v>28420</v>
      </c>
      <c r="L696">
        <f t="shared" si="164"/>
        <v>1.2290000000000001</v>
      </c>
      <c r="M696">
        <f t="shared" si="165"/>
        <v>1.1145</v>
      </c>
      <c r="N696">
        <f t="shared" si="166"/>
        <v>1766510</v>
      </c>
      <c r="O696">
        <f t="shared" si="167"/>
        <v>38927.456610000001</v>
      </c>
      <c r="P696">
        <f t="shared" si="168"/>
        <v>14300</v>
      </c>
      <c r="Q696">
        <f t="shared" si="169"/>
        <v>1.2</v>
      </c>
    </row>
    <row r="697" spans="1:17" x14ac:dyDescent="0.25">
      <c r="A697">
        <v>695</v>
      </c>
      <c r="B697">
        <f t="shared" si="170"/>
        <v>24</v>
      </c>
      <c r="C697">
        <f t="shared" si="171"/>
        <v>1</v>
      </c>
      <c r="D697">
        <f t="shared" si="157"/>
        <v>2866</v>
      </c>
      <c r="E697" t="str">
        <f t="shared" si="158"/>
        <v/>
      </c>
      <c r="F697" t="str">
        <f t="shared" si="159"/>
        <v/>
      </c>
      <c r="G697">
        <f t="shared" si="160"/>
        <v>49680</v>
      </c>
      <c r="H697" t="str">
        <f t="shared" si="161"/>
        <v/>
      </c>
      <c r="I697" t="str">
        <f t="shared" si="162"/>
        <v/>
      </c>
      <c r="J697">
        <f>SUM($G$3:I697)</f>
        <v>8882230</v>
      </c>
      <c r="K697">
        <f t="shared" si="163"/>
        <v>28660.000000000004</v>
      </c>
      <c r="L697">
        <f t="shared" si="164"/>
        <v>1.2290000000000001</v>
      </c>
      <c r="M697">
        <f t="shared" si="165"/>
        <v>1.1145</v>
      </c>
      <c r="N697">
        <f t="shared" si="166"/>
        <v>1776446</v>
      </c>
      <c r="O697">
        <f t="shared" si="167"/>
        <v>39256.189530000011</v>
      </c>
      <c r="P697">
        <f t="shared" si="168"/>
        <v>14300</v>
      </c>
      <c r="Q697">
        <f t="shared" si="169"/>
        <v>1.2</v>
      </c>
    </row>
    <row r="698" spans="1:17" x14ac:dyDescent="0.25">
      <c r="A698">
        <v>696</v>
      </c>
      <c r="B698">
        <f t="shared" si="170"/>
        <v>24</v>
      </c>
      <c r="C698">
        <f t="shared" si="171"/>
        <v>1</v>
      </c>
      <c r="D698">
        <f t="shared" si="157"/>
        <v>2890</v>
      </c>
      <c r="E698" t="str">
        <f t="shared" si="158"/>
        <v/>
      </c>
      <c r="F698" t="str">
        <f t="shared" si="159"/>
        <v/>
      </c>
      <c r="G698">
        <f t="shared" si="160"/>
        <v>49900</v>
      </c>
      <c r="H698" t="str">
        <f t="shared" si="161"/>
        <v/>
      </c>
      <c r="I698" t="str">
        <f t="shared" si="162"/>
        <v/>
      </c>
      <c r="J698">
        <f>SUM($G$3:I698)</f>
        <v>8932130</v>
      </c>
      <c r="K698">
        <f t="shared" si="163"/>
        <v>28900</v>
      </c>
      <c r="L698">
        <f t="shared" si="164"/>
        <v>1.2290000000000001</v>
      </c>
      <c r="M698">
        <f t="shared" si="165"/>
        <v>1.1145</v>
      </c>
      <c r="N698">
        <f t="shared" si="166"/>
        <v>1786426</v>
      </c>
      <c r="O698">
        <f t="shared" si="167"/>
        <v>39584.922450000005</v>
      </c>
      <c r="P698">
        <f t="shared" si="168"/>
        <v>14300</v>
      </c>
      <c r="Q698">
        <f t="shared" si="169"/>
        <v>1.2</v>
      </c>
    </row>
    <row r="699" spans="1:17" x14ac:dyDescent="0.25">
      <c r="A699">
        <v>697</v>
      </c>
      <c r="B699">
        <f t="shared" si="170"/>
        <v>24</v>
      </c>
      <c r="C699">
        <f t="shared" si="171"/>
        <v>1</v>
      </c>
      <c r="D699">
        <f t="shared" si="157"/>
        <v>2914</v>
      </c>
      <c r="E699" t="str">
        <f t="shared" si="158"/>
        <v/>
      </c>
      <c r="F699" t="str">
        <f t="shared" si="159"/>
        <v/>
      </c>
      <c r="G699">
        <f t="shared" si="160"/>
        <v>50120</v>
      </c>
      <c r="H699" t="str">
        <f t="shared" si="161"/>
        <v/>
      </c>
      <c r="I699" t="str">
        <f t="shared" si="162"/>
        <v/>
      </c>
      <c r="J699">
        <f>SUM($G$3:I699)</f>
        <v>8982250</v>
      </c>
      <c r="K699">
        <f t="shared" si="163"/>
        <v>29139.999999999996</v>
      </c>
      <c r="L699">
        <f t="shared" si="164"/>
        <v>1.2290000000000001</v>
      </c>
      <c r="M699">
        <f t="shared" si="165"/>
        <v>1.1145</v>
      </c>
      <c r="N699">
        <f t="shared" si="166"/>
        <v>1796450</v>
      </c>
      <c r="O699">
        <f t="shared" si="167"/>
        <v>39913.65537</v>
      </c>
      <c r="P699">
        <f t="shared" si="168"/>
        <v>14300</v>
      </c>
      <c r="Q699">
        <f t="shared" si="169"/>
        <v>1.2</v>
      </c>
    </row>
    <row r="700" spans="1:17" x14ac:dyDescent="0.25">
      <c r="A700">
        <v>698</v>
      </c>
      <c r="B700">
        <f t="shared" si="170"/>
        <v>24</v>
      </c>
      <c r="C700">
        <f t="shared" si="171"/>
        <v>1</v>
      </c>
      <c r="D700">
        <f t="shared" si="157"/>
        <v>2938</v>
      </c>
      <c r="E700" t="str">
        <f t="shared" si="158"/>
        <v/>
      </c>
      <c r="F700" t="str">
        <f t="shared" si="159"/>
        <v/>
      </c>
      <c r="G700">
        <f t="shared" si="160"/>
        <v>50340</v>
      </c>
      <c r="H700" t="str">
        <f t="shared" si="161"/>
        <v/>
      </c>
      <c r="I700" t="str">
        <f t="shared" si="162"/>
        <v/>
      </c>
      <c r="J700">
        <f>SUM($G$3:I700)</f>
        <v>9032590</v>
      </c>
      <c r="K700">
        <f t="shared" si="163"/>
        <v>29380</v>
      </c>
      <c r="L700">
        <f t="shared" si="164"/>
        <v>1.2290000000000001</v>
      </c>
      <c r="M700">
        <f t="shared" si="165"/>
        <v>1.1145</v>
      </c>
      <c r="N700">
        <f t="shared" si="166"/>
        <v>1806518</v>
      </c>
      <c r="O700">
        <f t="shared" si="167"/>
        <v>40242.388290000003</v>
      </c>
      <c r="P700">
        <f t="shared" si="168"/>
        <v>14300</v>
      </c>
      <c r="Q700">
        <f t="shared" si="169"/>
        <v>1.2</v>
      </c>
    </row>
    <row r="701" spans="1:17" x14ac:dyDescent="0.25">
      <c r="A701">
        <v>699</v>
      </c>
      <c r="B701">
        <f t="shared" si="170"/>
        <v>24</v>
      </c>
      <c r="C701">
        <f t="shared" si="171"/>
        <v>1</v>
      </c>
      <c r="D701">
        <f t="shared" si="157"/>
        <v>2962</v>
      </c>
      <c r="E701" t="str">
        <f t="shared" si="158"/>
        <v/>
      </c>
      <c r="F701" t="str">
        <f t="shared" si="159"/>
        <v/>
      </c>
      <c r="G701">
        <f t="shared" si="160"/>
        <v>50560</v>
      </c>
      <c r="H701" t="str">
        <f t="shared" si="161"/>
        <v/>
      </c>
      <c r="I701" t="str">
        <f t="shared" si="162"/>
        <v/>
      </c>
      <c r="J701">
        <f>SUM($G$3:I701)</f>
        <v>9083150</v>
      </c>
      <c r="K701">
        <f t="shared" si="163"/>
        <v>29620</v>
      </c>
      <c r="L701">
        <f t="shared" si="164"/>
        <v>1.2290000000000001</v>
      </c>
      <c r="M701">
        <f t="shared" si="165"/>
        <v>1.1145</v>
      </c>
      <c r="N701">
        <f t="shared" si="166"/>
        <v>1816630</v>
      </c>
      <c r="O701">
        <f t="shared" si="167"/>
        <v>40571.121210000005</v>
      </c>
      <c r="P701">
        <f t="shared" si="168"/>
        <v>14300</v>
      </c>
      <c r="Q701">
        <f t="shared" si="169"/>
        <v>1.2</v>
      </c>
    </row>
    <row r="702" spans="1:17" x14ac:dyDescent="0.25">
      <c r="A702">
        <v>700</v>
      </c>
      <c r="B702">
        <f t="shared" si="170"/>
        <v>24</v>
      </c>
      <c r="C702">
        <f t="shared" si="171"/>
        <v>1</v>
      </c>
      <c r="D702">
        <f t="shared" si="157"/>
        <v>2986</v>
      </c>
      <c r="E702" t="str">
        <f t="shared" si="158"/>
        <v/>
      </c>
      <c r="F702" t="str">
        <f t="shared" si="159"/>
        <v/>
      </c>
      <c r="G702">
        <f t="shared" si="160"/>
        <v>50780</v>
      </c>
      <c r="H702" t="str">
        <f t="shared" si="161"/>
        <v/>
      </c>
      <c r="I702" t="str">
        <f t="shared" si="162"/>
        <v/>
      </c>
      <c r="J702">
        <f>SUM($G$3:I702)</f>
        <v>9133930</v>
      </c>
      <c r="K702">
        <f t="shared" si="163"/>
        <v>29860.000000000004</v>
      </c>
      <c r="L702">
        <f t="shared" si="164"/>
        <v>1.2290000000000001</v>
      </c>
      <c r="M702">
        <f t="shared" si="165"/>
        <v>1.1145</v>
      </c>
      <c r="N702">
        <f t="shared" si="166"/>
        <v>1826786</v>
      </c>
      <c r="O702">
        <f t="shared" si="167"/>
        <v>40899.854130000014</v>
      </c>
      <c r="P702">
        <f t="shared" si="168"/>
        <v>16200</v>
      </c>
      <c r="Q702">
        <f t="shared" si="169"/>
        <v>1.2</v>
      </c>
    </row>
    <row r="703" spans="1:17" x14ac:dyDescent="0.25">
      <c r="A703">
        <v>701</v>
      </c>
      <c r="B703">
        <f t="shared" si="170"/>
        <v>24</v>
      </c>
      <c r="C703">
        <f t="shared" si="171"/>
        <v>2</v>
      </c>
      <c r="D703" t="str">
        <f t="shared" si="157"/>
        <v/>
      </c>
      <c r="E703">
        <f t="shared" si="158"/>
        <v>2300</v>
      </c>
      <c r="F703" t="str">
        <f t="shared" si="159"/>
        <v/>
      </c>
      <c r="G703" t="str">
        <f t="shared" si="160"/>
        <v/>
      </c>
      <c r="H703">
        <f t="shared" si="161"/>
        <v>32533</v>
      </c>
      <c r="I703" t="str">
        <f t="shared" si="162"/>
        <v/>
      </c>
      <c r="J703">
        <f>SUM($G$3:I703)</f>
        <v>9166463</v>
      </c>
      <c r="K703">
        <f t="shared" si="163"/>
        <v>29860.000000000004</v>
      </c>
      <c r="L703">
        <f t="shared" si="164"/>
        <v>1.23</v>
      </c>
      <c r="M703">
        <f t="shared" si="165"/>
        <v>1.1145</v>
      </c>
      <c r="N703">
        <f t="shared" si="166"/>
        <v>1833292.6</v>
      </c>
      <c r="O703">
        <f t="shared" si="167"/>
        <v>40933.133100000006</v>
      </c>
      <c r="P703">
        <f t="shared" si="168"/>
        <v>16200</v>
      </c>
      <c r="Q703">
        <f t="shared" si="169"/>
        <v>1.2</v>
      </c>
    </row>
    <row r="704" spans="1:17" x14ac:dyDescent="0.25">
      <c r="A704">
        <v>702</v>
      </c>
      <c r="B704">
        <f t="shared" si="170"/>
        <v>24</v>
      </c>
      <c r="C704">
        <f t="shared" si="171"/>
        <v>2</v>
      </c>
      <c r="D704" t="str">
        <f t="shared" si="157"/>
        <v/>
      </c>
      <c r="E704">
        <f t="shared" si="158"/>
        <v>2310</v>
      </c>
      <c r="F704" t="str">
        <f t="shared" si="159"/>
        <v/>
      </c>
      <c r="G704" t="str">
        <f t="shared" si="160"/>
        <v/>
      </c>
      <c r="H704">
        <f t="shared" si="161"/>
        <v>32680</v>
      </c>
      <c r="I704" t="str">
        <f t="shared" si="162"/>
        <v/>
      </c>
      <c r="J704">
        <f>SUM($G$3:I704)</f>
        <v>9199143</v>
      </c>
      <c r="K704">
        <f t="shared" si="163"/>
        <v>29860.000000000004</v>
      </c>
      <c r="L704">
        <f t="shared" si="164"/>
        <v>1.2310000000000001</v>
      </c>
      <c r="M704">
        <f t="shared" si="165"/>
        <v>1.1145</v>
      </c>
      <c r="N704">
        <f t="shared" si="166"/>
        <v>1839828.6</v>
      </c>
      <c r="O704">
        <f t="shared" si="167"/>
        <v>40966.412070000013</v>
      </c>
      <c r="P704">
        <f t="shared" si="168"/>
        <v>16200</v>
      </c>
      <c r="Q704">
        <f t="shared" si="169"/>
        <v>1.2</v>
      </c>
    </row>
    <row r="705" spans="1:17" x14ac:dyDescent="0.25">
      <c r="A705">
        <v>703</v>
      </c>
      <c r="B705">
        <f t="shared" si="170"/>
        <v>24</v>
      </c>
      <c r="C705">
        <f t="shared" si="171"/>
        <v>2</v>
      </c>
      <c r="D705" t="str">
        <f t="shared" si="157"/>
        <v/>
      </c>
      <c r="E705">
        <f t="shared" si="158"/>
        <v>2320</v>
      </c>
      <c r="F705" t="str">
        <f t="shared" si="159"/>
        <v/>
      </c>
      <c r="G705" t="str">
        <f t="shared" si="160"/>
        <v/>
      </c>
      <c r="H705">
        <f t="shared" si="161"/>
        <v>32827</v>
      </c>
      <c r="I705" t="str">
        <f t="shared" si="162"/>
        <v/>
      </c>
      <c r="J705">
        <f>SUM($G$3:I705)</f>
        <v>9231970</v>
      </c>
      <c r="K705">
        <f t="shared" si="163"/>
        <v>29860.000000000004</v>
      </c>
      <c r="L705">
        <f t="shared" si="164"/>
        <v>1.232</v>
      </c>
      <c r="M705">
        <f t="shared" si="165"/>
        <v>1.1145</v>
      </c>
      <c r="N705">
        <f t="shared" si="166"/>
        <v>1846394</v>
      </c>
      <c r="O705">
        <f t="shared" si="167"/>
        <v>40999.691040000005</v>
      </c>
      <c r="P705">
        <f t="shared" si="168"/>
        <v>16200</v>
      </c>
      <c r="Q705">
        <f t="shared" si="169"/>
        <v>1.2</v>
      </c>
    </row>
    <row r="706" spans="1:17" x14ac:dyDescent="0.25">
      <c r="A706">
        <v>704</v>
      </c>
      <c r="B706">
        <f t="shared" si="170"/>
        <v>24</v>
      </c>
      <c r="C706">
        <f t="shared" si="171"/>
        <v>2</v>
      </c>
      <c r="D706" t="str">
        <f t="shared" si="157"/>
        <v/>
      </c>
      <c r="E706">
        <f t="shared" si="158"/>
        <v>2330</v>
      </c>
      <c r="F706" t="str">
        <f t="shared" si="159"/>
        <v/>
      </c>
      <c r="G706" t="str">
        <f t="shared" si="160"/>
        <v/>
      </c>
      <c r="H706">
        <f t="shared" si="161"/>
        <v>32974</v>
      </c>
      <c r="I706" t="str">
        <f t="shared" si="162"/>
        <v/>
      </c>
      <c r="J706">
        <f>SUM($G$3:I706)</f>
        <v>9264944</v>
      </c>
      <c r="K706">
        <f t="shared" si="163"/>
        <v>29860.000000000004</v>
      </c>
      <c r="L706">
        <f t="shared" si="164"/>
        <v>1.2330000000000001</v>
      </c>
      <c r="M706">
        <f t="shared" si="165"/>
        <v>1.1145</v>
      </c>
      <c r="N706">
        <f t="shared" si="166"/>
        <v>1852988.8</v>
      </c>
      <c r="O706">
        <f t="shared" si="167"/>
        <v>41032.970010000005</v>
      </c>
      <c r="P706">
        <f t="shared" si="168"/>
        <v>16200</v>
      </c>
      <c r="Q706">
        <f t="shared" si="169"/>
        <v>1.2</v>
      </c>
    </row>
    <row r="707" spans="1:17" x14ac:dyDescent="0.25">
      <c r="A707">
        <v>705</v>
      </c>
      <c r="B707">
        <f t="shared" si="170"/>
        <v>24</v>
      </c>
      <c r="C707">
        <f t="shared" si="171"/>
        <v>2</v>
      </c>
      <c r="D707" t="str">
        <f t="shared" ref="D707:D770" si="172">IF($C707=1,INDEX($Z:$Z,MATCH($B707,$Y:$Y,0))+MOD($A707-1,10)*INDEX($AC:$AC,MATCH($B707,$Y:$Y,0)),"")</f>
        <v/>
      </c>
      <c r="E707">
        <f t="shared" ref="E707:E770" si="173">IF($C707=2,INDEX($AA:$AA,MATCH($B707,$Y:$Y,0))+MOD($A707-1,10)*INDEX($AD:$AD,MATCH($B707,$Y:$Y,0)),"")</f>
        <v>2340</v>
      </c>
      <c r="F707" t="str">
        <f t="shared" ref="F707:F770" si="174">IF($C707=3,INDEX($AB:$AB,MATCH($B707,$Y:$Y,0))+MOD($A707-1,10)*INDEX($AE:$AE,MATCH($B707,$Y:$Y,0)),"")</f>
        <v/>
      </c>
      <c r="G707" t="str">
        <f t="shared" ref="G707:G770" si="175">IF($C707=1,INDEX($AF:$AF,MATCH($B707,$Y:$Y,0))+MOD($A707-1,10)*INDEX($AI:$AI,MATCH($B707,$Y:$Y,0)),"")</f>
        <v/>
      </c>
      <c r="H707">
        <f t="shared" ref="H707:H770" si="176">IF($C707=2,INDEX($AG:$AG,MATCH($B707,$Y:$Y,0))+MOD($A707-1,10)*INDEX($AJ:$AJ,MATCH($B707,$Y:$Y,0)),"")</f>
        <v>33121</v>
      </c>
      <c r="I707" t="str">
        <f t="shared" ref="I707:I770" si="177">IF($C707=3,INDEX($AH:$AH,MATCH($B707,$Y:$Y,0))+MOD($A707-1,10)*INDEX($AK:$AK,MATCH($B707,$Y:$Y,0)),"")</f>
        <v/>
      </c>
      <c r="J707">
        <f>SUM($G$3:I707)</f>
        <v>9298065</v>
      </c>
      <c r="K707">
        <f t="shared" si="163"/>
        <v>29860.000000000004</v>
      </c>
      <c r="L707">
        <f t="shared" si="164"/>
        <v>1.234</v>
      </c>
      <c r="M707">
        <f t="shared" si="165"/>
        <v>1.1145</v>
      </c>
      <c r="N707">
        <f t="shared" si="166"/>
        <v>1859613</v>
      </c>
      <c r="O707">
        <f t="shared" si="167"/>
        <v>41066.248980000004</v>
      </c>
      <c r="P707">
        <f t="shared" si="168"/>
        <v>16200</v>
      </c>
      <c r="Q707">
        <f t="shared" si="169"/>
        <v>1.2</v>
      </c>
    </row>
    <row r="708" spans="1:17" x14ac:dyDescent="0.25">
      <c r="A708">
        <v>706</v>
      </c>
      <c r="B708">
        <f t="shared" si="170"/>
        <v>24</v>
      </c>
      <c r="C708">
        <f t="shared" si="171"/>
        <v>2</v>
      </c>
      <c r="D708" t="str">
        <f t="shared" si="172"/>
        <v/>
      </c>
      <c r="E708">
        <f t="shared" si="173"/>
        <v>2350</v>
      </c>
      <c r="F708" t="str">
        <f t="shared" si="174"/>
        <v/>
      </c>
      <c r="G708" t="str">
        <f t="shared" si="175"/>
        <v/>
      </c>
      <c r="H708">
        <f t="shared" si="176"/>
        <v>33268</v>
      </c>
      <c r="I708" t="str">
        <f t="shared" si="177"/>
        <v/>
      </c>
      <c r="J708">
        <f>SUM($G$3:I708)</f>
        <v>9331333</v>
      </c>
      <c r="K708">
        <f t="shared" ref="K708:K771" si="178">_xlfn.MAXIFS($D:$D,$A:$A,"&lt;="&amp;A708)/10*100</f>
        <v>29860.000000000004</v>
      </c>
      <c r="L708">
        <f t="shared" ref="L708:L771" si="179">_xlfn.MAXIFS($E:$E,$A:$A,"&lt;="&amp;A708)/10000+1</f>
        <v>1.2349999999999999</v>
      </c>
      <c r="M708">
        <f t="shared" ref="M708:M771" si="180">_xlfn.MAXIFS($F:$F,$A:$A,"&lt;="&amp;A708)/10000+1</f>
        <v>1.1145</v>
      </c>
      <c r="N708">
        <f t="shared" ref="N708:N771" si="181">J708*0.2</f>
        <v>1866266.6</v>
      </c>
      <c r="O708">
        <f t="shared" ref="O708:O771" si="182">K708*L708*M708</f>
        <v>41099.527950000003</v>
      </c>
      <c r="P708">
        <f t="shared" ref="P708:P771" si="183">SUMIFS($AZ:$AZ,$AW:$AW,$AW$3,$AY:$AY,3,$AV:$AV,"&lt;="&amp;A708)</f>
        <v>16200</v>
      </c>
      <c r="Q708">
        <f t="shared" ref="Q708:Q771" si="184">SUMIFS($AZ:$AZ,$AY:$AY,98,$AV:$AV,"&lt;="&amp;A708)*10/100</f>
        <v>1.2</v>
      </c>
    </row>
    <row r="709" spans="1:17" x14ac:dyDescent="0.25">
      <c r="A709">
        <v>707</v>
      </c>
      <c r="B709">
        <f t="shared" si="170"/>
        <v>24</v>
      </c>
      <c r="C709">
        <f t="shared" si="171"/>
        <v>2</v>
      </c>
      <c r="D709" t="str">
        <f t="shared" si="172"/>
        <v/>
      </c>
      <c r="E709">
        <f t="shared" si="173"/>
        <v>2360</v>
      </c>
      <c r="F709" t="str">
        <f t="shared" si="174"/>
        <v/>
      </c>
      <c r="G709" t="str">
        <f t="shared" si="175"/>
        <v/>
      </c>
      <c r="H709">
        <f t="shared" si="176"/>
        <v>33415</v>
      </c>
      <c r="I709" t="str">
        <f t="shared" si="177"/>
        <v/>
      </c>
      <c r="J709">
        <f>SUM($G$3:I709)</f>
        <v>9364748</v>
      </c>
      <c r="K709">
        <f t="shared" si="178"/>
        <v>29860.000000000004</v>
      </c>
      <c r="L709">
        <f t="shared" si="179"/>
        <v>1.236</v>
      </c>
      <c r="M709">
        <f t="shared" si="180"/>
        <v>1.1145</v>
      </c>
      <c r="N709">
        <f t="shared" si="181"/>
        <v>1872949.6</v>
      </c>
      <c r="O709">
        <f t="shared" si="182"/>
        <v>41132.80692000001</v>
      </c>
      <c r="P709">
        <f t="shared" si="183"/>
        <v>16200</v>
      </c>
      <c r="Q709">
        <f t="shared" si="184"/>
        <v>1.2</v>
      </c>
    </row>
    <row r="710" spans="1:17" x14ac:dyDescent="0.25">
      <c r="A710">
        <v>708</v>
      </c>
      <c r="B710">
        <f t="shared" si="170"/>
        <v>24</v>
      </c>
      <c r="C710">
        <f t="shared" si="171"/>
        <v>2</v>
      </c>
      <c r="D710" t="str">
        <f t="shared" si="172"/>
        <v/>
      </c>
      <c r="E710">
        <f t="shared" si="173"/>
        <v>2370</v>
      </c>
      <c r="F710" t="str">
        <f t="shared" si="174"/>
        <v/>
      </c>
      <c r="G710" t="str">
        <f t="shared" si="175"/>
        <v/>
      </c>
      <c r="H710">
        <f t="shared" si="176"/>
        <v>33562</v>
      </c>
      <c r="I710" t="str">
        <f t="shared" si="177"/>
        <v/>
      </c>
      <c r="J710">
        <f>SUM($G$3:I710)</f>
        <v>9398310</v>
      </c>
      <c r="K710">
        <f t="shared" si="178"/>
        <v>29860.000000000004</v>
      </c>
      <c r="L710">
        <f t="shared" si="179"/>
        <v>1.2370000000000001</v>
      </c>
      <c r="M710">
        <f t="shared" si="180"/>
        <v>1.1145</v>
      </c>
      <c r="N710">
        <f t="shared" si="181"/>
        <v>1879662</v>
      </c>
      <c r="O710">
        <f t="shared" si="182"/>
        <v>41166.085890000009</v>
      </c>
      <c r="P710">
        <f t="shared" si="183"/>
        <v>16200</v>
      </c>
      <c r="Q710">
        <f t="shared" si="184"/>
        <v>1.2</v>
      </c>
    </row>
    <row r="711" spans="1:17" x14ac:dyDescent="0.25">
      <c r="A711">
        <v>709</v>
      </c>
      <c r="B711">
        <f t="shared" si="170"/>
        <v>24</v>
      </c>
      <c r="C711">
        <f t="shared" si="171"/>
        <v>2</v>
      </c>
      <c r="D711" t="str">
        <f t="shared" si="172"/>
        <v/>
      </c>
      <c r="E711">
        <f t="shared" si="173"/>
        <v>2380</v>
      </c>
      <c r="F711" t="str">
        <f t="shared" si="174"/>
        <v/>
      </c>
      <c r="G711" t="str">
        <f t="shared" si="175"/>
        <v/>
      </c>
      <c r="H711">
        <f t="shared" si="176"/>
        <v>33709</v>
      </c>
      <c r="I711" t="str">
        <f t="shared" si="177"/>
        <v/>
      </c>
      <c r="J711">
        <f>SUM($G$3:I711)</f>
        <v>9432019</v>
      </c>
      <c r="K711">
        <f t="shared" si="178"/>
        <v>29860.000000000004</v>
      </c>
      <c r="L711">
        <f t="shared" si="179"/>
        <v>1.238</v>
      </c>
      <c r="M711">
        <f t="shared" si="180"/>
        <v>1.1145</v>
      </c>
      <c r="N711">
        <f t="shared" si="181"/>
        <v>1886403.8</v>
      </c>
      <c r="O711">
        <f t="shared" si="182"/>
        <v>41199.364860000009</v>
      </c>
      <c r="P711">
        <f t="shared" si="183"/>
        <v>16200</v>
      </c>
      <c r="Q711">
        <f t="shared" si="184"/>
        <v>1.2</v>
      </c>
    </row>
    <row r="712" spans="1:17" x14ac:dyDescent="0.25">
      <c r="A712">
        <v>710</v>
      </c>
      <c r="B712">
        <f t="shared" si="170"/>
        <v>24</v>
      </c>
      <c r="C712">
        <f t="shared" si="171"/>
        <v>2</v>
      </c>
      <c r="D712" t="str">
        <f t="shared" si="172"/>
        <v/>
      </c>
      <c r="E712">
        <f t="shared" si="173"/>
        <v>2390</v>
      </c>
      <c r="F712" t="str">
        <f t="shared" si="174"/>
        <v/>
      </c>
      <c r="G712" t="str">
        <f t="shared" si="175"/>
        <v/>
      </c>
      <c r="H712">
        <f t="shared" si="176"/>
        <v>33856</v>
      </c>
      <c r="I712" t="str">
        <f t="shared" si="177"/>
        <v/>
      </c>
      <c r="J712">
        <f>SUM($G$3:I712)</f>
        <v>9465875</v>
      </c>
      <c r="K712">
        <f t="shared" si="178"/>
        <v>29860.000000000004</v>
      </c>
      <c r="L712">
        <f t="shared" si="179"/>
        <v>1.2389999999999999</v>
      </c>
      <c r="M712">
        <f t="shared" si="180"/>
        <v>1.1145</v>
      </c>
      <c r="N712">
        <f t="shared" si="181"/>
        <v>1893175</v>
      </c>
      <c r="O712">
        <f t="shared" si="182"/>
        <v>41232.643830000001</v>
      </c>
      <c r="P712">
        <f t="shared" si="183"/>
        <v>16200</v>
      </c>
      <c r="Q712">
        <f t="shared" si="184"/>
        <v>1.3</v>
      </c>
    </row>
    <row r="713" spans="1:17" x14ac:dyDescent="0.25">
      <c r="A713">
        <v>711</v>
      </c>
      <c r="B713">
        <f t="shared" si="170"/>
        <v>24</v>
      </c>
      <c r="C713">
        <f t="shared" si="171"/>
        <v>3</v>
      </c>
      <c r="D713" t="str">
        <f t="shared" si="172"/>
        <v/>
      </c>
      <c r="E713" t="str">
        <f t="shared" si="173"/>
        <v/>
      </c>
      <c r="F713">
        <f t="shared" si="174"/>
        <v>1150</v>
      </c>
      <c r="G713" t="str">
        <f t="shared" si="175"/>
        <v/>
      </c>
      <c r="H713" t="str">
        <f t="shared" si="176"/>
        <v/>
      </c>
      <c r="I713">
        <f t="shared" si="177"/>
        <v>24400</v>
      </c>
      <c r="J713">
        <f>SUM($G$3:I713)</f>
        <v>9490275</v>
      </c>
      <c r="K713">
        <f t="shared" si="178"/>
        <v>29860.000000000004</v>
      </c>
      <c r="L713">
        <f t="shared" si="179"/>
        <v>1.2389999999999999</v>
      </c>
      <c r="M713">
        <f t="shared" si="180"/>
        <v>1.115</v>
      </c>
      <c r="N713">
        <f t="shared" si="181"/>
        <v>1898055</v>
      </c>
      <c r="O713">
        <f t="shared" si="182"/>
        <v>41251.142099999997</v>
      </c>
      <c r="P713">
        <f t="shared" si="183"/>
        <v>16200</v>
      </c>
      <c r="Q713">
        <f t="shared" si="184"/>
        <v>1.3</v>
      </c>
    </row>
    <row r="714" spans="1:17" x14ac:dyDescent="0.25">
      <c r="A714">
        <v>712</v>
      </c>
      <c r="B714">
        <f t="shared" si="170"/>
        <v>24</v>
      </c>
      <c r="C714">
        <f t="shared" si="171"/>
        <v>3</v>
      </c>
      <c r="D714" t="str">
        <f t="shared" si="172"/>
        <v/>
      </c>
      <c r="E714" t="str">
        <f t="shared" si="173"/>
        <v/>
      </c>
      <c r="F714">
        <f t="shared" si="174"/>
        <v>1155</v>
      </c>
      <c r="G714" t="str">
        <f t="shared" si="175"/>
        <v/>
      </c>
      <c r="H714" t="str">
        <f t="shared" si="176"/>
        <v/>
      </c>
      <c r="I714">
        <f t="shared" si="177"/>
        <v>24510</v>
      </c>
      <c r="J714">
        <f>SUM($G$3:I714)</f>
        <v>9514785</v>
      </c>
      <c r="K714">
        <f t="shared" si="178"/>
        <v>29860.000000000004</v>
      </c>
      <c r="L714">
        <f t="shared" si="179"/>
        <v>1.2389999999999999</v>
      </c>
      <c r="M714">
        <f t="shared" si="180"/>
        <v>1.1154999999999999</v>
      </c>
      <c r="N714">
        <f t="shared" si="181"/>
        <v>1902957</v>
      </c>
      <c r="O714">
        <f t="shared" si="182"/>
        <v>41269.640370000001</v>
      </c>
      <c r="P714">
        <f t="shared" si="183"/>
        <v>16200</v>
      </c>
      <c r="Q714">
        <f t="shared" si="184"/>
        <v>1.3</v>
      </c>
    </row>
    <row r="715" spans="1:17" x14ac:dyDescent="0.25">
      <c r="A715">
        <v>713</v>
      </c>
      <c r="B715">
        <f t="shared" si="170"/>
        <v>24</v>
      </c>
      <c r="C715">
        <f t="shared" si="171"/>
        <v>3</v>
      </c>
      <c r="D715" t="str">
        <f t="shared" si="172"/>
        <v/>
      </c>
      <c r="E715" t="str">
        <f t="shared" si="173"/>
        <v/>
      </c>
      <c r="F715">
        <f t="shared" si="174"/>
        <v>1160</v>
      </c>
      <c r="G715" t="str">
        <f t="shared" si="175"/>
        <v/>
      </c>
      <c r="H715" t="str">
        <f t="shared" si="176"/>
        <v/>
      </c>
      <c r="I715">
        <f t="shared" si="177"/>
        <v>24620</v>
      </c>
      <c r="J715">
        <f>SUM($G$3:I715)</f>
        <v>9539405</v>
      </c>
      <c r="K715">
        <f t="shared" si="178"/>
        <v>29860.000000000004</v>
      </c>
      <c r="L715">
        <f t="shared" si="179"/>
        <v>1.2389999999999999</v>
      </c>
      <c r="M715">
        <f t="shared" si="180"/>
        <v>1.1160000000000001</v>
      </c>
      <c r="N715">
        <f t="shared" si="181"/>
        <v>1907881</v>
      </c>
      <c r="O715">
        <f t="shared" si="182"/>
        <v>41288.138640000005</v>
      </c>
      <c r="P715">
        <f t="shared" si="183"/>
        <v>16200</v>
      </c>
      <c r="Q715">
        <f t="shared" si="184"/>
        <v>1.3</v>
      </c>
    </row>
    <row r="716" spans="1:17" x14ac:dyDescent="0.25">
      <c r="A716">
        <v>714</v>
      </c>
      <c r="B716">
        <f t="shared" si="170"/>
        <v>24</v>
      </c>
      <c r="C716">
        <f t="shared" si="171"/>
        <v>3</v>
      </c>
      <c r="D716" t="str">
        <f t="shared" si="172"/>
        <v/>
      </c>
      <c r="E716" t="str">
        <f t="shared" si="173"/>
        <v/>
      </c>
      <c r="F716">
        <f t="shared" si="174"/>
        <v>1165</v>
      </c>
      <c r="G716" t="str">
        <f t="shared" si="175"/>
        <v/>
      </c>
      <c r="H716" t="str">
        <f t="shared" si="176"/>
        <v/>
      </c>
      <c r="I716">
        <f t="shared" si="177"/>
        <v>24730</v>
      </c>
      <c r="J716">
        <f>SUM($G$3:I716)</f>
        <v>9564135</v>
      </c>
      <c r="K716">
        <f t="shared" si="178"/>
        <v>29860.000000000004</v>
      </c>
      <c r="L716">
        <f t="shared" si="179"/>
        <v>1.2389999999999999</v>
      </c>
      <c r="M716">
        <f t="shared" si="180"/>
        <v>1.1165</v>
      </c>
      <c r="N716">
        <f t="shared" si="181"/>
        <v>1912827</v>
      </c>
      <c r="O716">
        <f t="shared" si="182"/>
        <v>41306.636910000001</v>
      </c>
      <c r="P716">
        <f t="shared" si="183"/>
        <v>16200</v>
      </c>
      <c r="Q716">
        <f t="shared" si="184"/>
        <v>1.3</v>
      </c>
    </row>
    <row r="717" spans="1:17" x14ac:dyDescent="0.25">
      <c r="A717">
        <v>715</v>
      </c>
      <c r="B717">
        <f t="shared" si="170"/>
        <v>24</v>
      </c>
      <c r="C717">
        <f t="shared" si="171"/>
        <v>3</v>
      </c>
      <c r="D717" t="str">
        <f t="shared" si="172"/>
        <v/>
      </c>
      <c r="E717" t="str">
        <f t="shared" si="173"/>
        <v/>
      </c>
      <c r="F717">
        <f t="shared" si="174"/>
        <v>1170</v>
      </c>
      <c r="G717" t="str">
        <f t="shared" si="175"/>
        <v/>
      </c>
      <c r="H717" t="str">
        <f t="shared" si="176"/>
        <v/>
      </c>
      <c r="I717">
        <f t="shared" si="177"/>
        <v>24840</v>
      </c>
      <c r="J717">
        <f>SUM($G$3:I717)</f>
        <v>9588975</v>
      </c>
      <c r="K717">
        <f t="shared" si="178"/>
        <v>29860.000000000004</v>
      </c>
      <c r="L717">
        <f t="shared" si="179"/>
        <v>1.2389999999999999</v>
      </c>
      <c r="M717">
        <f t="shared" si="180"/>
        <v>1.117</v>
      </c>
      <c r="N717">
        <f t="shared" si="181"/>
        <v>1917795</v>
      </c>
      <c r="O717">
        <f t="shared" si="182"/>
        <v>41325.135179999997</v>
      </c>
      <c r="P717">
        <f t="shared" si="183"/>
        <v>16200</v>
      </c>
      <c r="Q717">
        <f t="shared" si="184"/>
        <v>1.3</v>
      </c>
    </row>
    <row r="718" spans="1:17" x14ac:dyDescent="0.25">
      <c r="A718">
        <v>716</v>
      </c>
      <c r="B718">
        <f t="shared" si="170"/>
        <v>24</v>
      </c>
      <c r="C718">
        <f t="shared" si="171"/>
        <v>3</v>
      </c>
      <c r="D718" t="str">
        <f t="shared" si="172"/>
        <v/>
      </c>
      <c r="E718" t="str">
        <f t="shared" si="173"/>
        <v/>
      </c>
      <c r="F718">
        <f t="shared" si="174"/>
        <v>1175</v>
      </c>
      <c r="G718" t="str">
        <f t="shared" si="175"/>
        <v/>
      </c>
      <c r="H718" t="str">
        <f t="shared" si="176"/>
        <v/>
      </c>
      <c r="I718">
        <f t="shared" si="177"/>
        <v>24950</v>
      </c>
      <c r="J718">
        <f>SUM($G$3:I718)</f>
        <v>9613925</v>
      </c>
      <c r="K718">
        <f t="shared" si="178"/>
        <v>29860.000000000004</v>
      </c>
      <c r="L718">
        <f t="shared" si="179"/>
        <v>1.2389999999999999</v>
      </c>
      <c r="M718">
        <f t="shared" si="180"/>
        <v>1.1174999999999999</v>
      </c>
      <c r="N718">
        <f t="shared" si="181"/>
        <v>1922785</v>
      </c>
      <c r="O718">
        <f t="shared" si="182"/>
        <v>41343.633450000001</v>
      </c>
      <c r="P718">
        <f t="shared" si="183"/>
        <v>16200</v>
      </c>
      <c r="Q718">
        <f t="shared" si="184"/>
        <v>1.3</v>
      </c>
    </row>
    <row r="719" spans="1:17" x14ac:dyDescent="0.25">
      <c r="A719">
        <v>717</v>
      </c>
      <c r="B719">
        <f t="shared" si="170"/>
        <v>24</v>
      </c>
      <c r="C719">
        <f t="shared" si="171"/>
        <v>3</v>
      </c>
      <c r="D719" t="str">
        <f t="shared" si="172"/>
        <v/>
      </c>
      <c r="E719" t="str">
        <f t="shared" si="173"/>
        <v/>
      </c>
      <c r="F719">
        <f t="shared" si="174"/>
        <v>1180</v>
      </c>
      <c r="G719" t="str">
        <f t="shared" si="175"/>
        <v/>
      </c>
      <c r="H719" t="str">
        <f t="shared" si="176"/>
        <v/>
      </c>
      <c r="I719">
        <f t="shared" si="177"/>
        <v>25060</v>
      </c>
      <c r="J719">
        <f>SUM($G$3:I719)</f>
        <v>9638985</v>
      </c>
      <c r="K719">
        <f t="shared" si="178"/>
        <v>29860.000000000004</v>
      </c>
      <c r="L719">
        <f t="shared" si="179"/>
        <v>1.2389999999999999</v>
      </c>
      <c r="M719">
        <f t="shared" si="180"/>
        <v>1.1179999999999999</v>
      </c>
      <c r="N719">
        <f t="shared" si="181"/>
        <v>1927797</v>
      </c>
      <c r="O719">
        <f t="shared" si="182"/>
        <v>41362.131719999998</v>
      </c>
      <c r="P719">
        <f t="shared" si="183"/>
        <v>16200</v>
      </c>
      <c r="Q719">
        <f t="shared" si="184"/>
        <v>1.3</v>
      </c>
    </row>
    <row r="720" spans="1:17" x14ac:dyDescent="0.25">
      <c r="A720">
        <v>718</v>
      </c>
      <c r="B720">
        <f t="shared" si="170"/>
        <v>24</v>
      </c>
      <c r="C720">
        <f t="shared" si="171"/>
        <v>3</v>
      </c>
      <c r="D720" t="str">
        <f t="shared" si="172"/>
        <v/>
      </c>
      <c r="E720" t="str">
        <f t="shared" si="173"/>
        <v/>
      </c>
      <c r="F720">
        <f t="shared" si="174"/>
        <v>1185</v>
      </c>
      <c r="G720" t="str">
        <f t="shared" si="175"/>
        <v/>
      </c>
      <c r="H720" t="str">
        <f t="shared" si="176"/>
        <v/>
      </c>
      <c r="I720">
        <f t="shared" si="177"/>
        <v>25170</v>
      </c>
      <c r="J720">
        <f>SUM($G$3:I720)</f>
        <v>9664155</v>
      </c>
      <c r="K720">
        <f t="shared" si="178"/>
        <v>29860.000000000004</v>
      </c>
      <c r="L720">
        <f t="shared" si="179"/>
        <v>1.2389999999999999</v>
      </c>
      <c r="M720">
        <f t="shared" si="180"/>
        <v>1.1185</v>
      </c>
      <c r="N720">
        <f t="shared" si="181"/>
        <v>1932831</v>
      </c>
      <c r="O720">
        <f t="shared" si="182"/>
        <v>41380.629990000001</v>
      </c>
      <c r="P720">
        <f t="shared" si="183"/>
        <v>16200</v>
      </c>
      <c r="Q720">
        <f t="shared" si="184"/>
        <v>1.3</v>
      </c>
    </row>
    <row r="721" spans="1:17" x14ac:dyDescent="0.25">
      <c r="A721">
        <v>719</v>
      </c>
      <c r="B721">
        <f t="shared" si="170"/>
        <v>24</v>
      </c>
      <c r="C721">
        <f t="shared" si="171"/>
        <v>3</v>
      </c>
      <c r="D721" t="str">
        <f t="shared" si="172"/>
        <v/>
      </c>
      <c r="E721" t="str">
        <f t="shared" si="173"/>
        <v/>
      </c>
      <c r="F721">
        <f t="shared" si="174"/>
        <v>1190</v>
      </c>
      <c r="G721" t="str">
        <f t="shared" si="175"/>
        <v/>
      </c>
      <c r="H721" t="str">
        <f t="shared" si="176"/>
        <v/>
      </c>
      <c r="I721">
        <f t="shared" si="177"/>
        <v>25280</v>
      </c>
      <c r="J721">
        <f>SUM($G$3:I721)</f>
        <v>9689435</v>
      </c>
      <c r="K721">
        <f t="shared" si="178"/>
        <v>29860.000000000004</v>
      </c>
      <c r="L721">
        <f t="shared" si="179"/>
        <v>1.2389999999999999</v>
      </c>
      <c r="M721">
        <f t="shared" si="180"/>
        <v>1.119</v>
      </c>
      <c r="N721">
        <f t="shared" si="181"/>
        <v>1937887</v>
      </c>
      <c r="O721">
        <f t="shared" si="182"/>
        <v>41399.128259999998</v>
      </c>
      <c r="P721">
        <f t="shared" si="183"/>
        <v>16200</v>
      </c>
      <c r="Q721">
        <f t="shared" si="184"/>
        <v>1.3</v>
      </c>
    </row>
    <row r="722" spans="1:17" x14ac:dyDescent="0.25">
      <c r="A722">
        <v>720</v>
      </c>
      <c r="B722">
        <f t="shared" si="170"/>
        <v>24</v>
      </c>
      <c r="C722">
        <f t="shared" si="171"/>
        <v>3</v>
      </c>
      <c r="D722" t="str">
        <f t="shared" si="172"/>
        <v/>
      </c>
      <c r="E722" t="str">
        <f t="shared" si="173"/>
        <v/>
      </c>
      <c r="F722">
        <f t="shared" si="174"/>
        <v>1195</v>
      </c>
      <c r="G722" t="str">
        <f t="shared" si="175"/>
        <v/>
      </c>
      <c r="H722" t="str">
        <f t="shared" si="176"/>
        <v/>
      </c>
      <c r="I722">
        <f t="shared" si="177"/>
        <v>25390</v>
      </c>
      <c r="J722">
        <f>SUM($G$3:I722)</f>
        <v>9714825</v>
      </c>
      <c r="K722">
        <f t="shared" si="178"/>
        <v>29860.000000000004</v>
      </c>
      <c r="L722">
        <f t="shared" si="179"/>
        <v>1.2389999999999999</v>
      </c>
      <c r="M722">
        <f t="shared" si="180"/>
        <v>1.1194999999999999</v>
      </c>
      <c r="N722">
        <f t="shared" si="181"/>
        <v>1942965</v>
      </c>
      <c r="O722">
        <f t="shared" si="182"/>
        <v>41417.626530000001</v>
      </c>
      <c r="P722">
        <f t="shared" si="183"/>
        <v>16200</v>
      </c>
      <c r="Q722">
        <f t="shared" si="184"/>
        <v>1.3</v>
      </c>
    </row>
    <row r="723" spans="1:17" x14ac:dyDescent="0.25">
      <c r="A723">
        <v>721</v>
      </c>
      <c r="B723">
        <f t="shared" si="170"/>
        <v>25</v>
      </c>
      <c r="C723">
        <f t="shared" si="171"/>
        <v>1</v>
      </c>
      <c r="D723">
        <f t="shared" si="172"/>
        <v>3010</v>
      </c>
      <c r="E723" t="str">
        <f t="shared" si="173"/>
        <v/>
      </c>
      <c r="F723" t="str">
        <f t="shared" si="174"/>
        <v/>
      </c>
      <c r="G723">
        <f t="shared" si="175"/>
        <v>51000</v>
      </c>
      <c r="H723" t="str">
        <f t="shared" si="176"/>
        <v/>
      </c>
      <c r="I723" t="str">
        <f t="shared" si="177"/>
        <v/>
      </c>
      <c r="J723">
        <f>SUM($G$3:I723)</f>
        <v>9765825</v>
      </c>
      <c r="K723">
        <f t="shared" si="178"/>
        <v>30100</v>
      </c>
      <c r="L723">
        <f t="shared" si="179"/>
        <v>1.2389999999999999</v>
      </c>
      <c r="M723">
        <f t="shared" si="180"/>
        <v>1.1194999999999999</v>
      </c>
      <c r="N723">
        <f t="shared" si="181"/>
        <v>1953165</v>
      </c>
      <c r="O723">
        <f t="shared" si="182"/>
        <v>41750.521049999988</v>
      </c>
      <c r="P723">
        <f t="shared" si="183"/>
        <v>16200</v>
      </c>
      <c r="Q723">
        <f t="shared" si="184"/>
        <v>1.3</v>
      </c>
    </row>
    <row r="724" spans="1:17" x14ac:dyDescent="0.25">
      <c r="A724">
        <v>722</v>
      </c>
      <c r="B724">
        <f t="shared" si="170"/>
        <v>25</v>
      </c>
      <c r="C724">
        <f t="shared" si="171"/>
        <v>1</v>
      </c>
      <c r="D724">
        <f t="shared" si="172"/>
        <v>3035</v>
      </c>
      <c r="E724" t="str">
        <f t="shared" si="173"/>
        <v/>
      </c>
      <c r="F724" t="str">
        <f t="shared" si="174"/>
        <v/>
      </c>
      <c r="G724">
        <f t="shared" si="175"/>
        <v>51220</v>
      </c>
      <c r="H724" t="str">
        <f t="shared" si="176"/>
        <v/>
      </c>
      <c r="I724" t="str">
        <f t="shared" si="177"/>
        <v/>
      </c>
      <c r="J724">
        <f>SUM($G$3:I724)</f>
        <v>9817045</v>
      </c>
      <c r="K724">
        <f t="shared" si="178"/>
        <v>30350</v>
      </c>
      <c r="L724">
        <f t="shared" si="179"/>
        <v>1.2389999999999999</v>
      </c>
      <c r="M724">
        <f t="shared" si="180"/>
        <v>1.1194999999999999</v>
      </c>
      <c r="N724">
        <f t="shared" si="181"/>
        <v>1963409</v>
      </c>
      <c r="O724">
        <f t="shared" si="182"/>
        <v>42097.286174999994</v>
      </c>
      <c r="P724">
        <f t="shared" si="183"/>
        <v>16200</v>
      </c>
      <c r="Q724">
        <f t="shared" si="184"/>
        <v>1.3</v>
      </c>
    </row>
    <row r="725" spans="1:17" x14ac:dyDescent="0.25">
      <c r="A725">
        <v>723</v>
      </c>
      <c r="B725">
        <f t="shared" si="170"/>
        <v>25</v>
      </c>
      <c r="C725">
        <f t="shared" si="171"/>
        <v>1</v>
      </c>
      <c r="D725">
        <f t="shared" si="172"/>
        <v>3060</v>
      </c>
      <c r="E725" t="str">
        <f t="shared" si="173"/>
        <v/>
      </c>
      <c r="F725" t="str">
        <f t="shared" si="174"/>
        <v/>
      </c>
      <c r="G725">
        <f t="shared" si="175"/>
        <v>51440</v>
      </c>
      <c r="H725" t="str">
        <f t="shared" si="176"/>
        <v/>
      </c>
      <c r="I725" t="str">
        <f t="shared" si="177"/>
        <v/>
      </c>
      <c r="J725">
        <f>SUM($G$3:I725)</f>
        <v>9868485</v>
      </c>
      <c r="K725">
        <f t="shared" si="178"/>
        <v>30600</v>
      </c>
      <c r="L725">
        <f t="shared" si="179"/>
        <v>1.2389999999999999</v>
      </c>
      <c r="M725">
        <f t="shared" si="180"/>
        <v>1.1194999999999999</v>
      </c>
      <c r="N725">
        <f t="shared" si="181"/>
        <v>1973697</v>
      </c>
      <c r="O725">
        <f t="shared" si="182"/>
        <v>42444.051299999992</v>
      </c>
      <c r="P725">
        <f t="shared" si="183"/>
        <v>16200</v>
      </c>
      <c r="Q725">
        <f t="shared" si="184"/>
        <v>1.3</v>
      </c>
    </row>
    <row r="726" spans="1:17" x14ac:dyDescent="0.25">
      <c r="A726">
        <v>724</v>
      </c>
      <c r="B726">
        <f t="shared" si="170"/>
        <v>25</v>
      </c>
      <c r="C726">
        <f t="shared" si="171"/>
        <v>1</v>
      </c>
      <c r="D726">
        <f t="shared" si="172"/>
        <v>3085</v>
      </c>
      <c r="E726" t="str">
        <f t="shared" si="173"/>
        <v/>
      </c>
      <c r="F726" t="str">
        <f t="shared" si="174"/>
        <v/>
      </c>
      <c r="G726">
        <f t="shared" si="175"/>
        <v>51660</v>
      </c>
      <c r="H726" t="str">
        <f t="shared" si="176"/>
        <v/>
      </c>
      <c r="I726" t="str">
        <f t="shared" si="177"/>
        <v/>
      </c>
      <c r="J726">
        <f>SUM($G$3:I726)</f>
        <v>9920145</v>
      </c>
      <c r="K726">
        <f t="shared" si="178"/>
        <v>30850</v>
      </c>
      <c r="L726">
        <f t="shared" si="179"/>
        <v>1.2389999999999999</v>
      </c>
      <c r="M726">
        <f t="shared" si="180"/>
        <v>1.1194999999999999</v>
      </c>
      <c r="N726">
        <f t="shared" si="181"/>
        <v>1984029</v>
      </c>
      <c r="O726">
        <f t="shared" si="182"/>
        <v>42790.81642499999</v>
      </c>
      <c r="P726">
        <f t="shared" si="183"/>
        <v>16200</v>
      </c>
      <c r="Q726">
        <f t="shared" si="184"/>
        <v>1.3</v>
      </c>
    </row>
    <row r="727" spans="1:17" x14ac:dyDescent="0.25">
      <c r="A727">
        <v>725</v>
      </c>
      <c r="B727">
        <f t="shared" si="170"/>
        <v>25</v>
      </c>
      <c r="C727">
        <f t="shared" si="171"/>
        <v>1</v>
      </c>
      <c r="D727">
        <f t="shared" si="172"/>
        <v>3110</v>
      </c>
      <c r="E727" t="str">
        <f t="shared" si="173"/>
        <v/>
      </c>
      <c r="F727" t="str">
        <f t="shared" si="174"/>
        <v/>
      </c>
      <c r="G727">
        <f t="shared" si="175"/>
        <v>51880</v>
      </c>
      <c r="H727" t="str">
        <f t="shared" si="176"/>
        <v/>
      </c>
      <c r="I727" t="str">
        <f t="shared" si="177"/>
        <v/>
      </c>
      <c r="J727">
        <f>SUM($G$3:I727)</f>
        <v>9972025</v>
      </c>
      <c r="K727">
        <f t="shared" si="178"/>
        <v>31100</v>
      </c>
      <c r="L727">
        <f t="shared" si="179"/>
        <v>1.2389999999999999</v>
      </c>
      <c r="M727">
        <f t="shared" si="180"/>
        <v>1.1194999999999999</v>
      </c>
      <c r="N727">
        <f t="shared" si="181"/>
        <v>1994405</v>
      </c>
      <c r="O727">
        <f t="shared" si="182"/>
        <v>43137.581549999988</v>
      </c>
      <c r="P727">
        <f t="shared" si="183"/>
        <v>16200</v>
      </c>
      <c r="Q727">
        <f t="shared" si="184"/>
        <v>1.3</v>
      </c>
    </row>
    <row r="728" spans="1:17" x14ac:dyDescent="0.25">
      <c r="A728">
        <v>726</v>
      </c>
      <c r="B728">
        <f t="shared" si="170"/>
        <v>25</v>
      </c>
      <c r="C728">
        <f t="shared" si="171"/>
        <v>1</v>
      </c>
      <c r="D728">
        <f t="shared" si="172"/>
        <v>3135</v>
      </c>
      <c r="E728" t="str">
        <f t="shared" si="173"/>
        <v/>
      </c>
      <c r="F728" t="str">
        <f t="shared" si="174"/>
        <v/>
      </c>
      <c r="G728">
        <f t="shared" si="175"/>
        <v>52100</v>
      </c>
      <c r="H728" t="str">
        <f t="shared" si="176"/>
        <v/>
      </c>
      <c r="I728" t="str">
        <f t="shared" si="177"/>
        <v/>
      </c>
      <c r="J728">
        <f>SUM($G$3:I728)</f>
        <v>10024125</v>
      </c>
      <c r="K728">
        <f t="shared" si="178"/>
        <v>31350</v>
      </c>
      <c r="L728">
        <f t="shared" si="179"/>
        <v>1.2389999999999999</v>
      </c>
      <c r="M728">
        <f t="shared" si="180"/>
        <v>1.1194999999999999</v>
      </c>
      <c r="N728">
        <f t="shared" si="181"/>
        <v>2004825</v>
      </c>
      <c r="O728">
        <f t="shared" si="182"/>
        <v>43484.346674999993</v>
      </c>
      <c r="P728">
        <f t="shared" si="183"/>
        <v>16200</v>
      </c>
      <c r="Q728">
        <f t="shared" si="184"/>
        <v>1.3</v>
      </c>
    </row>
    <row r="729" spans="1:17" x14ac:dyDescent="0.25">
      <c r="A729">
        <v>727</v>
      </c>
      <c r="B729">
        <f t="shared" si="170"/>
        <v>25</v>
      </c>
      <c r="C729">
        <f t="shared" si="171"/>
        <v>1</v>
      </c>
      <c r="D729">
        <f t="shared" si="172"/>
        <v>3160</v>
      </c>
      <c r="E729" t="str">
        <f t="shared" si="173"/>
        <v/>
      </c>
      <c r="F729" t="str">
        <f t="shared" si="174"/>
        <v/>
      </c>
      <c r="G729">
        <f t="shared" si="175"/>
        <v>52320</v>
      </c>
      <c r="H729" t="str">
        <f t="shared" si="176"/>
        <v/>
      </c>
      <c r="I729" t="str">
        <f t="shared" si="177"/>
        <v/>
      </c>
      <c r="J729">
        <f>SUM($G$3:I729)</f>
        <v>10076445</v>
      </c>
      <c r="K729">
        <f t="shared" si="178"/>
        <v>31600</v>
      </c>
      <c r="L729">
        <f t="shared" si="179"/>
        <v>1.2389999999999999</v>
      </c>
      <c r="M729">
        <f t="shared" si="180"/>
        <v>1.1194999999999999</v>
      </c>
      <c r="N729">
        <f t="shared" si="181"/>
        <v>2015289</v>
      </c>
      <c r="O729">
        <f t="shared" si="182"/>
        <v>43831.111799999991</v>
      </c>
      <c r="P729">
        <f t="shared" si="183"/>
        <v>16200</v>
      </c>
      <c r="Q729">
        <f t="shared" si="184"/>
        <v>1.3</v>
      </c>
    </row>
    <row r="730" spans="1:17" x14ac:dyDescent="0.25">
      <c r="A730">
        <v>728</v>
      </c>
      <c r="B730">
        <f t="shared" si="170"/>
        <v>25</v>
      </c>
      <c r="C730">
        <f t="shared" si="171"/>
        <v>1</v>
      </c>
      <c r="D730">
        <f t="shared" si="172"/>
        <v>3185</v>
      </c>
      <c r="E730" t="str">
        <f t="shared" si="173"/>
        <v/>
      </c>
      <c r="F730" t="str">
        <f t="shared" si="174"/>
        <v/>
      </c>
      <c r="G730">
        <f t="shared" si="175"/>
        <v>52540</v>
      </c>
      <c r="H730" t="str">
        <f t="shared" si="176"/>
        <v/>
      </c>
      <c r="I730" t="str">
        <f t="shared" si="177"/>
        <v/>
      </c>
      <c r="J730">
        <f>SUM($G$3:I730)</f>
        <v>10128985</v>
      </c>
      <c r="K730">
        <f t="shared" si="178"/>
        <v>31850</v>
      </c>
      <c r="L730">
        <f t="shared" si="179"/>
        <v>1.2389999999999999</v>
      </c>
      <c r="M730">
        <f t="shared" si="180"/>
        <v>1.1194999999999999</v>
      </c>
      <c r="N730">
        <f t="shared" si="181"/>
        <v>2025797</v>
      </c>
      <c r="O730">
        <f t="shared" si="182"/>
        <v>44177.87692499999</v>
      </c>
      <c r="P730">
        <f t="shared" si="183"/>
        <v>16200</v>
      </c>
      <c r="Q730">
        <f t="shared" si="184"/>
        <v>1.3</v>
      </c>
    </row>
    <row r="731" spans="1:17" x14ac:dyDescent="0.25">
      <c r="A731">
        <v>729</v>
      </c>
      <c r="B731">
        <f t="shared" si="170"/>
        <v>25</v>
      </c>
      <c r="C731">
        <f t="shared" si="171"/>
        <v>1</v>
      </c>
      <c r="D731">
        <f t="shared" si="172"/>
        <v>3210</v>
      </c>
      <c r="E731" t="str">
        <f t="shared" si="173"/>
        <v/>
      </c>
      <c r="F731" t="str">
        <f t="shared" si="174"/>
        <v/>
      </c>
      <c r="G731">
        <f t="shared" si="175"/>
        <v>52760</v>
      </c>
      <c r="H731" t="str">
        <f t="shared" si="176"/>
        <v/>
      </c>
      <c r="I731" t="str">
        <f t="shared" si="177"/>
        <v/>
      </c>
      <c r="J731">
        <f>SUM($G$3:I731)</f>
        <v>10181745</v>
      </c>
      <c r="K731">
        <f t="shared" si="178"/>
        <v>32100</v>
      </c>
      <c r="L731">
        <f t="shared" si="179"/>
        <v>1.2389999999999999</v>
      </c>
      <c r="M731">
        <f t="shared" si="180"/>
        <v>1.1194999999999999</v>
      </c>
      <c r="N731">
        <f t="shared" si="181"/>
        <v>2036349</v>
      </c>
      <c r="O731">
        <f t="shared" si="182"/>
        <v>44524.642049999988</v>
      </c>
      <c r="P731">
        <f t="shared" si="183"/>
        <v>16200</v>
      </c>
      <c r="Q731">
        <f t="shared" si="184"/>
        <v>1.3</v>
      </c>
    </row>
    <row r="732" spans="1:17" x14ac:dyDescent="0.25">
      <c r="A732">
        <v>730</v>
      </c>
      <c r="B732">
        <f t="shared" si="170"/>
        <v>25</v>
      </c>
      <c r="C732">
        <f t="shared" si="171"/>
        <v>1</v>
      </c>
      <c r="D732">
        <f t="shared" si="172"/>
        <v>3235</v>
      </c>
      <c r="E732" t="str">
        <f t="shared" si="173"/>
        <v/>
      </c>
      <c r="F732" t="str">
        <f t="shared" si="174"/>
        <v/>
      </c>
      <c r="G732">
        <f t="shared" si="175"/>
        <v>52980</v>
      </c>
      <c r="H732" t="str">
        <f t="shared" si="176"/>
        <v/>
      </c>
      <c r="I732" t="str">
        <f t="shared" si="177"/>
        <v/>
      </c>
      <c r="J732">
        <f>SUM($G$3:I732)</f>
        <v>10234725</v>
      </c>
      <c r="K732">
        <f t="shared" si="178"/>
        <v>32350</v>
      </c>
      <c r="L732">
        <f t="shared" si="179"/>
        <v>1.2389999999999999</v>
      </c>
      <c r="M732">
        <f t="shared" si="180"/>
        <v>1.1194999999999999</v>
      </c>
      <c r="N732">
        <f t="shared" si="181"/>
        <v>2046945</v>
      </c>
      <c r="O732">
        <f t="shared" si="182"/>
        <v>44871.407174999993</v>
      </c>
      <c r="P732">
        <f t="shared" si="183"/>
        <v>18200</v>
      </c>
      <c r="Q732">
        <f t="shared" si="184"/>
        <v>1.3</v>
      </c>
    </row>
    <row r="733" spans="1:17" x14ac:dyDescent="0.25">
      <c r="A733">
        <v>731</v>
      </c>
      <c r="B733">
        <f t="shared" si="170"/>
        <v>25</v>
      </c>
      <c r="C733">
        <f t="shared" si="171"/>
        <v>2</v>
      </c>
      <c r="D733" t="str">
        <f t="shared" si="172"/>
        <v/>
      </c>
      <c r="E733">
        <f t="shared" si="173"/>
        <v>2400</v>
      </c>
      <c r="F733" t="str">
        <f t="shared" si="174"/>
        <v/>
      </c>
      <c r="G733" t="str">
        <f t="shared" si="175"/>
        <v/>
      </c>
      <c r="H733">
        <f t="shared" si="176"/>
        <v>34000</v>
      </c>
      <c r="I733" t="str">
        <f t="shared" si="177"/>
        <v/>
      </c>
      <c r="J733">
        <f>SUM($G$3:I733)</f>
        <v>10268725</v>
      </c>
      <c r="K733">
        <f t="shared" si="178"/>
        <v>32350</v>
      </c>
      <c r="L733">
        <f t="shared" si="179"/>
        <v>1.24</v>
      </c>
      <c r="M733">
        <f t="shared" si="180"/>
        <v>1.1194999999999999</v>
      </c>
      <c r="N733">
        <f t="shared" si="181"/>
        <v>2053745</v>
      </c>
      <c r="O733">
        <f t="shared" si="182"/>
        <v>44907.623</v>
      </c>
      <c r="P733">
        <f t="shared" si="183"/>
        <v>18200</v>
      </c>
      <c r="Q733">
        <f t="shared" si="184"/>
        <v>1.3</v>
      </c>
    </row>
    <row r="734" spans="1:17" x14ac:dyDescent="0.25">
      <c r="A734">
        <v>732</v>
      </c>
      <c r="B734">
        <f t="shared" si="170"/>
        <v>25</v>
      </c>
      <c r="C734">
        <f t="shared" si="171"/>
        <v>2</v>
      </c>
      <c r="D734" t="str">
        <f t="shared" si="172"/>
        <v/>
      </c>
      <c r="E734">
        <f t="shared" si="173"/>
        <v>2410</v>
      </c>
      <c r="F734" t="str">
        <f t="shared" si="174"/>
        <v/>
      </c>
      <c r="G734" t="str">
        <f t="shared" si="175"/>
        <v/>
      </c>
      <c r="H734">
        <f t="shared" si="176"/>
        <v>34147</v>
      </c>
      <c r="I734" t="str">
        <f t="shared" si="177"/>
        <v/>
      </c>
      <c r="J734">
        <f>SUM($G$3:I734)</f>
        <v>10302872</v>
      </c>
      <c r="K734">
        <f t="shared" si="178"/>
        <v>32350</v>
      </c>
      <c r="L734">
        <f t="shared" si="179"/>
        <v>1.2410000000000001</v>
      </c>
      <c r="M734">
        <f t="shared" si="180"/>
        <v>1.1194999999999999</v>
      </c>
      <c r="N734">
        <f t="shared" si="181"/>
        <v>2060574.4000000001</v>
      </c>
      <c r="O734">
        <f t="shared" si="182"/>
        <v>44943.838825000006</v>
      </c>
      <c r="P734">
        <f t="shared" si="183"/>
        <v>18200</v>
      </c>
      <c r="Q734">
        <f t="shared" si="184"/>
        <v>1.3</v>
      </c>
    </row>
    <row r="735" spans="1:17" x14ac:dyDescent="0.25">
      <c r="A735">
        <v>733</v>
      </c>
      <c r="B735">
        <f t="shared" si="170"/>
        <v>25</v>
      </c>
      <c r="C735">
        <f t="shared" si="171"/>
        <v>2</v>
      </c>
      <c r="D735" t="str">
        <f t="shared" si="172"/>
        <v/>
      </c>
      <c r="E735">
        <f t="shared" si="173"/>
        <v>2420</v>
      </c>
      <c r="F735" t="str">
        <f t="shared" si="174"/>
        <v/>
      </c>
      <c r="G735" t="str">
        <f t="shared" si="175"/>
        <v/>
      </c>
      <c r="H735">
        <f t="shared" si="176"/>
        <v>34294</v>
      </c>
      <c r="I735" t="str">
        <f t="shared" si="177"/>
        <v/>
      </c>
      <c r="J735">
        <f>SUM($G$3:I735)</f>
        <v>10337166</v>
      </c>
      <c r="K735">
        <f t="shared" si="178"/>
        <v>32350</v>
      </c>
      <c r="L735">
        <f t="shared" si="179"/>
        <v>1.242</v>
      </c>
      <c r="M735">
        <f t="shared" si="180"/>
        <v>1.1194999999999999</v>
      </c>
      <c r="N735">
        <f t="shared" si="181"/>
        <v>2067433.2000000002</v>
      </c>
      <c r="O735">
        <f t="shared" si="182"/>
        <v>44980.054649999991</v>
      </c>
      <c r="P735">
        <f t="shared" si="183"/>
        <v>18200</v>
      </c>
      <c r="Q735">
        <f t="shared" si="184"/>
        <v>1.3</v>
      </c>
    </row>
    <row r="736" spans="1:17" x14ac:dyDescent="0.25">
      <c r="A736">
        <v>734</v>
      </c>
      <c r="B736">
        <f t="shared" si="170"/>
        <v>25</v>
      </c>
      <c r="C736">
        <f t="shared" si="171"/>
        <v>2</v>
      </c>
      <c r="D736" t="str">
        <f t="shared" si="172"/>
        <v/>
      </c>
      <c r="E736">
        <f t="shared" si="173"/>
        <v>2430</v>
      </c>
      <c r="F736" t="str">
        <f t="shared" si="174"/>
        <v/>
      </c>
      <c r="G736" t="str">
        <f t="shared" si="175"/>
        <v/>
      </c>
      <c r="H736">
        <f t="shared" si="176"/>
        <v>34441</v>
      </c>
      <c r="I736" t="str">
        <f t="shared" si="177"/>
        <v/>
      </c>
      <c r="J736">
        <f>SUM($G$3:I736)</f>
        <v>10371607</v>
      </c>
      <c r="K736">
        <f t="shared" si="178"/>
        <v>32350</v>
      </c>
      <c r="L736">
        <f t="shared" si="179"/>
        <v>1.2429999999999999</v>
      </c>
      <c r="M736">
        <f t="shared" si="180"/>
        <v>1.1194999999999999</v>
      </c>
      <c r="N736">
        <f t="shared" si="181"/>
        <v>2074321.4000000001</v>
      </c>
      <c r="O736">
        <f t="shared" si="182"/>
        <v>45016.27047499999</v>
      </c>
      <c r="P736">
        <f t="shared" si="183"/>
        <v>18200</v>
      </c>
      <c r="Q736">
        <f t="shared" si="184"/>
        <v>1.3</v>
      </c>
    </row>
    <row r="737" spans="1:17" x14ac:dyDescent="0.25">
      <c r="A737">
        <v>735</v>
      </c>
      <c r="B737">
        <f t="shared" si="170"/>
        <v>25</v>
      </c>
      <c r="C737">
        <f t="shared" si="171"/>
        <v>2</v>
      </c>
      <c r="D737" t="str">
        <f t="shared" si="172"/>
        <v/>
      </c>
      <c r="E737">
        <f t="shared" si="173"/>
        <v>2440</v>
      </c>
      <c r="F737" t="str">
        <f t="shared" si="174"/>
        <v/>
      </c>
      <c r="G737" t="str">
        <f t="shared" si="175"/>
        <v/>
      </c>
      <c r="H737">
        <f t="shared" si="176"/>
        <v>34588</v>
      </c>
      <c r="I737" t="str">
        <f t="shared" si="177"/>
        <v/>
      </c>
      <c r="J737">
        <f>SUM($G$3:I737)</f>
        <v>10406195</v>
      </c>
      <c r="K737">
        <f t="shared" si="178"/>
        <v>32350</v>
      </c>
      <c r="L737">
        <f t="shared" si="179"/>
        <v>1.244</v>
      </c>
      <c r="M737">
        <f t="shared" si="180"/>
        <v>1.1194999999999999</v>
      </c>
      <c r="N737">
        <f t="shared" si="181"/>
        <v>2081239</v>
      </c>
      <c r="O737">
        <f t="shared" si="182"/>
        <v>45052.486299999997</v>
      </c>
      <c r="P737">
        <f t="shared" si="183"/>
        <v>18200</v>
      </c>
      <c r="Q737">
        <f t="shared" si="184"/>
        <v>1.3</v>
      </c>
    </row>
    <row r="738" spans="1:17" x14ac:dyDescent="0.25">
      <c r="A738">
        <v>736</v>
      </c>
      <c r="B738">
        <f t="shared" ref="B738:B801" si="185">B708+1</f>
        <v>25</v>
      </c>
      <c r="C738">
        <f t="shared" ref="C738:C801" si="186">C708</f>
        <v>2</v>
      </c>
      <c r="D738" t="str">
        <f t="shared" si="172"/>
        <v/>
      </c>
      <c r="E738">
        <f t="shared" si="173"/>
        <v>2450</v>
      </c>
      <c r="F738" t="str">
        <f t="shared" si="174"/>
        <v/>
      </c>
      <c r="G738" t="str">
        <f t="shared" si="175"/>
        <v/>
      </c>
      <c r="H738">
        <f t="shared" si="176"/>
        <v>34735</v>
      </c>
      <c r="I738" t="str">
        <f t="shared" si="177"/>
        <v/>
      </c>
      <c r="J738">
        <f>SUM($G$3:I738)</f>
        <v>10440930</v>
      </c>
      <c r="K738">
        <f t="shared" si="178"/>
        <v>32350</v>
      </c>
      <c r="L738">
        <f t="shared" si="179"/>
        <v>1.2450000000000001</v>
      </c>
      <c r="M738">
        <f t="shared" si="180"/>
        <v>1.1194999999999999</v>
      </c>
      <c r="N738">
        <f t="shared" si="181"/>
        <v>2088186</v>
      </c>
      <c r="O738">
        <f t="shared" si="182"/>
        <v>45088.702124999996</v>
      </c>
      <c r="P738">
        <f t="shared" si="183"/>
        <v>18200</v>
      </c>
      <c r="Q738">
        <f t="shared" si="184"/>
        <v>1.3</v>
      </c>
    </row>
    <row r="739" spans="1:17" x14ac:dyDescent="0.25">
      <c r="A739">
        <v>737</v>
      </c>
      <c r="B739">
        <f t="shared" si="185"/>
        <v>25</v>
      </c>
      <c r="C739">
        <f t="shared" si="186"/>
        <v>2</v>
      </c>
      <c r="D739" t="str">
        <f t="shared" si="172"/>
        <v/>
      </c>
      <c r="E739">
        <f t="shared" si="173"/>
        <v>2460</v>
      </c>
      <c r="F739" t="str">
        <f t="shared" si="174"/>
        <v/>
      </c>
      <c r="G739" t="str">
        <f t="shared" si="175"/>
        <v/>
      </c>
      <c r="H739">
        <f t="shared" si="176"/>
        <v>34882</v>
      </c>
      <c r="I739" t="str">
        <f t="shared" si="177"/>
        <v/>
      </c>
      <c r="J739">
        <f>SUM($G$3:I739)</f>
        <v>10475812</v>
      </c>
      <c r="K739">
        <f t="shared" si="178"/>
        <v>32350</v>
      </c>
      <c r="L739">
        <f t="shared" si="179"/>
        <v>1.246</v>
      </c>
      <c r="M739">
        <f t="shared" si="180"/>
        <v>1.1194999999999999</v>
      </c>
      <c r="N739">
        <f t="shared" si="181"/>
        <v>2095162.4000000001</v>
      </c>
      <c r="O739">
        <f t="shared" si="182"/>
        <v>45124.917949999995</v>
      </c>
      <c r="P739">
        <f t="shared" si="183"/>
        <v>18200</v>
      </c>
      <c r="Q739">
        <f t="shared" si="184"/>
        <v>1.3</v>
      </c>
    </row>
    <row r="740" spans="1:17" x14ac:dyDescent="0.25">
      <c r="A740">
        <v>738</v>
      </c>
      <c r="B740">
        <f t="shared" si="185"/>
        <v>25</v>
      </c>
      <c r="C740">
        <f t="shared" si="186"/>
        <v>2</v>
      </c>
      <c r="D740" t="str">
        <f t="shared" si="172"/>
        <v/>
      </c>
      <c r="E740">
        <f t="shared" si="173"/>
        <v>2470</v>
      </c>
      <c r="F740" t="str">
        <f t="shared" si="174"/>
        <v/>
      </c>
      <c r="G740" t="str">
        <f t="shared" si="175"/>
        <v/>
      </c>
      <c r="H740">
        <f t="shared" si="176"/>
        <v>35029</v>
      </c>
      <c r="I740" t="str">
        <f t="shared" si="177"/>
        <v/>
      </c>
      <c r="J740">
        <f>SUM($G$3:I740)</f>
        <v>10510841</v>
      </c>
      <c r="K740">
        <f t="shared" si="178"/>
        <v>32350</v>
      </c>
      <c r="L740">
        <f t="shared" si="179"/>
        <v>1.2469999999999999</v>
      </c>
      <c r="M740">
        <f t="shared" si="180"/>
        <v>1.1194999999999999</v>
      </c>
      <c r="N740">
        <f t="shared" si="181"/>
        <v>2102168.2000000002</v>
      </c>
      <c r="O740">
        <f t="shared" si="182"/>
        <v>45161.133774999995</v>
      </c>
      <c r="P740">
        <f t="shared" si="183"/>
        <v>18200</v>
      </c>
      <c r="Q740">
        <f t="shared" si="184"/>
        <v>1.3</v>
      </c>
    </row>
    <row r="741" spans="1:17" x14ac:dyDescent="0.25">
      <c r="A741">
        <v>739</v>
      </c>
      <c r="B741">
        <f t="shared" si="185"/>
        <v>25</v>
      </c>
      <c r="C741">
        <f t="shared" si="186"/>
        <v>2</v>
      </c>
      <c r="D741" t="str">
        <f t="shared" si="172"/>
        <v/>
      </c>
      <c r="E741">
        <f t="shared" si="173"/>
        <v>2480</v>
      </c>
      <c r="F741" t="str">
        <f t="shared" si="174"/>
        <v/>
      </c>
      <c r="G741" t="str">
        <f t="shared" si="175"/>
        <v/>
      </c>
      <c r="H741">
        <f t="shared" si="176"/>
        <v>35176</v>
      </c>
      <c r="I741" t="str">
        <f t="shared" si="177"/>
        <v/>
      </c>
      <c r="J741">
        <f>SUM($G$3:I741)</f>
        <v>10546017</v>
      </c>
      <c r="K741">
        <f t="shared" si="178"/>
        <v>32350</v>
      </c>
      <c r="L741">
        <f t="shared" si="179"/>
        <v>1.248</v>
      </c>
      <c r="M741">
        <f t="shared" si="180"/>
        <v>1.1194999999999999</v>
      </c>
      <c r="N741">
        <f t="shared" si="181"/>
        <v>2109203.4</v>
      </c>
      <c r="O741">
        <f t="shared" si="182"/>
        <v>45197.349600000001</v>
      </c>
      <c r="P741">
        <f t="shared" si="183"/>
        <v>18200</v>
      </c>
      <c r="Q741">
        <f t="shared" si="184"/>
        <v>1.3</v>
      </c>
    </row>
    <row r="742" spans="1:17" x14ac:dyDescent="0.25">
      <c r="A742">
        <v>740</v>
      </c>
      <c r="B742">
        <f t="shared" si="185"/>
        <v>25</v>
      </c>
      <c r="C742">
        <f t="shared" si="186"/>
        <v>2</v>
      </c>
      <c r="D742" t="str">
        <f t="shared" si="172"/>
        <v/>
      </c>
      <c r="E742">
        <f t="shared" si="173"/>
        <v>2490</v>
      </c>
      <c r="F742" t="str">
        <f t="shared" si="174"/>
        <v/>
      </c>
      <c r="G742" t="str">
        <f t="shared" si="175"/>
        <v/>
      </c>
      <c r="H742">
        <f t="shared" si="176"/>
        <v>35323</v>
      </c>
      <c r="I742" t="str">
        <f t="shared" si="177"/>
        <v/>
      </c>
      <c r="J742">
        <f>SUM($G$3:I742)</f>
        <v>10581340</v>
      </c>
      <c r="K742">
        <f t="shared" si="178"/>
        <v>32350</v>
      </c>
      <c r="L742">
        <f t="shared" si="179"/>
        <v>1.2490000000000001</v>
      </c>
      <c r="M742">
        <f t="shared" si="180"/>
        <v>1.1194999999999999</v>
      </c>
      <c r="N742">
        <f t="shared" si="181"/>
        <v>2116268</v>
      </c>
      <c r="O742">
        <f t="shared" si="182"/>
        <v>45233.565425000001</v>
      </c>
      <c r="P742">
        <f t="shared" si="183"/>
        <v>18200</v>
      </c>
      <c r="Q742">
        <f t="shared" si="184"/>
        <v>1.4</v>
      </c>
    </row>
    <row r="743" spans="1:17" x14ac:dyDescent="0.25">
      <c r="A743">
        <v>741</v>
      </c>
      <c r="B743">
        <f t="shared" si="185"/>
        <v>25</v>
      </c>
      <c r="C743">
        <f t="shared" si="186"/>
        <v>3</v>
      </c>
      <c r="D743" t="str">
        <f t="shared" si="172"/>
        <v/>
      </c>
      <c r="E743" t="str">
        <f t="shared" si="173"/>
        <v/>
      </c>
      <c r="F743">
        <f t="shared" si="174"/>
        <v>1200</v>
      </c>
      <c r="G743" t="str">
        <f t="shared" si="175"/>
        <v/>
      </c>
      <c r="H743" t="str">
        <f t="shared" si="176"/>
        <v/>
      </c>
      <c r="I743">
        <f t="shared" si="177"/>
        <v>25500</v>
      </c>
      <c r="J743">
        <f>SUM($G$3:I743)</f>
        <v>10606840</v>
      </c>
      <c r="K743">
        <f t="shared" si="178"/>
        <v>32350</v>
      </c>
      <c r="L743">
        <f t="shared" si="179"/>
        <v>1.2490000000000001</v>
      </c>
      <c r="M743">
        <f t="shared" si="180"/>
        <v>1.1200000000000001</v>
      </c>
      <c r="N743">
        <f t="shared" si="181"/>
        <v>2121368</v>
      </c>
      <c r="O743">
        <f t="shared" si="182"/>
        <v>45253.768000000004</v>
      </c>
      <c r="P743">
        <f t="shared" si="183"/>
        <v>18200</v>
      </c>
      <c r="Q743">
        <f t="shared" si="184"/>
        <v>1.4</v>
      </c>
    </row>
    <row r="744" spans="1:17" x14ac:dyDescent="0.25">
      <c r="A744">
        <v>742</v>
      </c>
      <c r="B744">
        <f t="shared" si="185"/>
        <v>25</v>
      </c>
      <c r="C744">
        <f t="shared" si="186"/>
        <v>3</v>
      </c>
      <c r="D744" t="str">
        <f t="shared" si="172"/>
        <v/>
      </c>
      <c r="E744" t="str">
        <f t="shared" si="173"/>
        <v/>
      </c>
      <c r="F744">
        <f t="shared" si="174"/>
        <v>1205</v>
      </c>
      <c r="G744" t="str">
        <f t="shared" si="175"/>
        <v/>
      </c>
      <c r="H744" t="str">
        <f t="shared" si="176"/>
        <v/>
      </c>
      <c r="I744">
        <f t="shared" si="177"/>
        <v>25610</v>
      </c>
      <c r="J744">
        <f>SUM($G$3:I744)</f>
        <v>10632450</v>
      </c>
      <c r="K744">
        <f t="shared" si="178"/>
        <v>32350</v>
      </c>
      <c r="L744">
        <f t="shared" si="179"/>
        <v>1.2490000000000001</v>
      </c>
      <c r="M744">
        <f t="shared" si="180"/>
        <v>1.1205000000000001</v>
      </c>
      <c r="N744">
        <f t="shared" si="181"/>
        <v>2126490</v>
      </c>
      <c r="O744">
        <f t="shared" si="182"/>
        <v>45273.970575000007</v>
      </c>
      <c r="P744">
        <f t="shared" si="183"/>
        <v>18200</v>
      </c>
      <c r="Q744">
        <f t="shared" si="184"/>
        <v>1.4</v>
      </c>
    </row>
    <row r="745" spans="1:17" x14ac:dyDescent="0.25">
      <c r="A745">
        <v>743</v>
      </c>
      <c r="B745">
        <f t="shared" si="185"/>
        <v>25</v>
      </c>
      <c r="C745">
        <f t="shared" si="186"/>
        <v>3</v>
      </c>
      <c r="D745" t="str">
        <f t="shared" si="172"/>
        <v/>
      </c>
      <c r="E745" t="str">
        <f t="shared" si="173"/>
        <v/>
      </c>
      <c r="F745">
        <f t="shared" si="174"/>
        <v>1210</v>
      </c>
      <c r="G745" t="str">
        <f t="shared" si="175"/>
        <v/>
      </c>
      <c r="H745" t="str">
        <f t="shared" si="176"/>
        <v/>
      </c>
      <c r="I745">
        <f t="shared" si="177"/>
        <v>25720</v>
      </c>
      <c r="J745">
        <f>SUM($G$3:I745)</f>
        <v>10658170</v>
      </c>
      <c r="K745">
        <f t="shared" si="178"/>
        <v>32350</v>
      </c>
      <c r="L745">
        <f t="shared" si="179"/>
        <v>1.2490000000000001</v>
      </c>
      <c r="M745">
        <f t="shared" si="180"/>
        <v>1.121</v>
      </c>
      <c r="N745">
        <f t="shared" si="181"/>
        <v>2131634</v>
      </c>
      <c r="O745">
        <f t="shared" si="182"/>
        <v>45294.173150000002</v>
      </c>
      <c r="P745">
        <f t="shared" si="183"/>
        <v>18200</v>
      </c>
      <c r="Q745">
        <f t="shared" si="184"/>
        <v>1.4</v>
      </c>
    </row>
    <row r="746" spans="1:17" x14ac:dyDescent="0.25">
      <c r="A746">
        <v>744</v>
      </c>
      <c r="B746">
        <f t="shared" si="185"/>
        <v>25</v>
      </c>
      <c r="C746">
        <f t="shared" si="186"/>
        <v>3</v>
      </c>
      <c r="D746" t="str">
        <f t="shared" si="172"/>
        <v/>
      </c>
      <c r="E746" t="str">
        <f t="shared" si="173"/>
        <v/>
      </c>
      <c r="F746">
        <f t="shared" si="174"/>
        <v>1215</v>
      </c>
      <c r="G746" t="str">
        <f t="shared" si="175"/>
        <v/>
      </c>
      <c r="H746" t="str">
        <f t="shared" si="176"/>
        <v/>
      </c>
      <c r="I746">
        <f t="shared" si="177"/>
        <v>25830</v>
      </c>
      <c r="J746">
        <f>SUM($G$3:I746)</f>
        <v>10684000</v>
      </c>
      <c r="K746">
        <f t="shared" si="178"/>
        <v>32350</v>
      </c>
      <c r="L746">
        <f t="shared" si="179"/>
        <v>1.2490000000000001</v>
      </c>
      <c r="M746">
        <f t="shared" si="180"/>
        <v>1.1214999999999999</v>
      </c>
      <c r="N746">
        <f t="shared" si="181"/>
        <v>2136800</v>
      </c>
      <c r="O746">
        <f t="shared" si="182"/>
        <v>45314.375724999998</v>
      </c>
      <c r="P746">
        <f t="shared" si="183"/>
        <v>18200</v>
      </c>
      <c r="Q746">
        <f t="shared" si="184"/>
        <v>1.4</v>
      </c>
    </row>
    <row r="747" spans="1:17" x14ac:dyDescent="0.25">
      <c r="A747">
        <v>745</v>
      </c>
      <c r="B747">
        <f t="shared" si="185"/>
        <v>25</v>
      </c>
      <c r="C747">
        <f t="shared" si="186"/>
        <v>3</v>
      </c>
      <c r="D747" t="str">
        <f t="shared" si="172"/>
        <v/>
      </c>
      <c r="E747" t="str">
        <f t="shared" si="173"/>
        <v/>
      </c>
      <c r="F747">
        <f t="shared" si="174"/>
        <v>1220</v>
      </c>
      <c r="G747" t="str">
        <f t="shared" si="175"/>
        <v/>
      </c>
      <c r="H747" t="str">
        <f t="shared" si="176"/>
        <v/>
      </c>
      <c r="I747">
        <f t="shared" si="177"/>
        <v>25940</v>
      </c>
      <c r="J747">
        <f>SUM($G$3:I747)</f>
        <v>10709940</v>
      </c>
      <c r="K747">
        <f t="shared" si="178"/>
        <v>32350</v>
      </c>
      <c r="L747">
        <f t="shared" si="179"/>
        <v>1.2490000000000001</v>
      </c>
      <c r="M747">
        <f t="shared" si="180"/>
        <v>1.1219999999999999</v>
      </c>
      <c r="N747">
        <f t="shared" si="181"/>
        <v>2141988</v>
      </c>
      <c r="O747">
        <f t="shared" si="182"/>
        <v>45334.578299999994</v>
      </c>
      <c r="P747">
        <f t="shared" si="183"/>
        <v>18200</v>
      </c>
      <c r="Q747">
        <f t="shared" si="184"/>
        <v>1.4</v>
      </c>
    </row>
    <row r="748" spans="1:17" x14ac:dyDescent="0.25">
      <c r="A748">
        <v>746</v>
      </c>
      <c r="B748">
        <f t="shared" si="185"/>
        <v>25</v>
      </c>
      <c r="C748">
        <f t="shared" si="186"/>
        <v>3</v>
      </c>
      <c r="D748" t="str">
        <f t="shared" si="172"/>
        <v/>
      </c>
      <c r="E748" t="str">
        <f t="shared" si="173"/>
        <v/>
      </c>
      <c r="F748">
        <f t="shared" si="174"/>
        <v>1225</v>
      </c>
      <c r="G748" t="str">
        <f t="shared" si="175"/>
        <v/>
      </c>
      <c r="H748" t="str">
        <f t="shared" si="176"/>
        <v/>
      </c>
      <c r="I748">
        <f t="shared" si="177"/>
        <v>26050</v>
      </c>
      <c r="J748">
        <f>SUM($G$3:I748)</f>
        <v>10735990</v>
      </c>
      <c r="K748">
        <f t="shared" si="178"/>
        <v>32350</v>
      </c>
      <c r="L748">
        <f t="shared" si="179"/>
        <v>1.2490000000000001</v>
      </c>
      <c r="M748">
        <f t="shared" si="180"/>
        <v>1.1225000000000001</v>
      </c>
      <c r="N748">
        <f t="shared" si="181"/>
        <v>2147198</v>
      </c>
      <c r="O748">
        <f t="shared" si="182"/>
        <v>45354.780875000004</v>
      </c>
      <c r="P748">
        <f t="shared" si="183"/>
        <v>18200</v>
      </c>
      <c r="Q748">
        <f t="shared" si="184"/>
        <v>1.4</v>
      </c>
    </row>
    <row r="749" spans="1:17" x14ac:dyDescent="0.25">
      <c r="A749">
        <v>747</v>
      </c>
      <c r="B749">
        <f t="shared" si="185"/>
        <v>25</v>
      </c>
      <c r="C749">
        <f t="shared" si="186"/>
        <v>3</v>
      </c>
      <c r="D749" t="str">
        <f t="shared" si="172"/>
        <v/>
      </c>
      <c r="E749" t="str">
        <f t="shared" si="173"/>
        <v/>
      </c>
      <c r="F749">
        <f t="shared" si="174"/>
        <v>1230</v>
      </c>
      <c r="G749" t="str">
        <f t="shared" si="175"/>
        <v/>
      </c>
      <c r="H749" t="str">
        <f t="shared" si="176"/>
        <v/>
      </c>
      <c r="I749">
        <f t="shared" si="177"/>
        <v>26160</v>
      </c>
      <c r="J749">
        <f>SUM($G$3:I749)</f>
        <v>10762150</v>
      </c>
      <c r="K749">
        <f t="shared" si="178"/>
        <v>32350</v>
      </c>
      <c r="L749">
        <f t="shared" si="179"/>
        <v>1.2490000000000001</v>
      </c>
      <c r="M749">
        <f t="shared" si="180"/>
        <v>1.123</v>
      </c>
      <c r="N749">
        <f t="shared" si="181"/>
        <v>2152430</v>
      </c>
      <c r="O749">
        <f t="shared" si="182"/>
        <v>45374.98345</v>
      </c>
      <c r="P749">
        <f t="shared" si="183"/>
        <v>18200</v>
      </c>
      <c r="Q749">
        <f t="shared" si="184"/>
        <v>1.4</v>
      </c>
    </row>
    <row r="750" spans="1:17" x14ac:dyDescent="0.25">
      <c r="A750">
        <v>748</v>
      </c>
      <c r="B750">
        <f t="shared" si="185"/>
        <v>25</v>
      </c>
      <c r="C750">
        <f t="shared" si="186"/>
        <v>3</v>
      </c>
      <c r="D750" t="str">
        <f t="shared" si="172"/>
        <v/>
      </c>
      <c r="E750" t="str">
        <f t="shared" si="173"/>
        <v/>
      </c>
      <c r="F750">
        <f t="shared" si="174"/>
        <v>1235</v>
      </c>
      <c r="G750" t="str">
        <f t="shared" si="175"/>
        <v/>
      </c>
      <c r="H750" t="str">
        <f t="shared" si="176"/>
        <v/>
      </c>
      <c r="I750">
        <f t="shared" si="177"/>
        <v>26270</v>
      </c>
      <c r="J750">
        <f>SUM($G$3:I750)</f>
        <v>10788420</v>
      </c>
      <c r="K750">
        <f t="shared" si="178"/>
        <v>32350</v>
      </c>
      <c r="L750">
        <f t="shared" si="179"/>
        <v>1.2490000000000001</v>
      </c>
      <c r="M750">
        <f t="shared" si="180"/>
        <v>1.1234999999999999</v>
      </c>
      <c r="N750">
        <f t="shared" si="181"/>
        <v>2157684</v>
      </c>
      <c r="O750">
        <f t="shared" si="182"/>
        <v>45395.186025000003</v>
      </c>
      <c r="P750">
        <f t="shared" si="183"/>
        <v>18200</v>
      </c>
      <c r="Q750">
        <f t="shared" si="184"/>
        <v>1.4</v>
      </c>
    </row>
    <row r="751" spans="1:17" x14ac:dyDescent="0.25">
      <c r="A751">
        <v>749</v>
      </c>
      <c r="B751">
        <f t="shared" si="185"/>
        <v>25</v>
      </c>
      <c r="C751">
        <f t="shared" si="186"/>
        <v>3</v>
      </c>
      <c r="D751" t="str">
        <f t="shared" si="172"/>
        <v/>
      </c>
      <c r="E751" t="str">
        <f t="shared" si="173"/>
        <v/>
      </c>
      <c r="F751">
        <f t="shared" si="174"/>
        <v>1240</v>
      </c>
      <c r="G751" t="str">
        <f t="shared" si="175"/>
        <v/>
      </c>
      <c r="H751" t="str">
        <f t="shared" si="176"/>
        <v/>
      </c>
      <c r="I751">
        <f t="shared" si="177"/>
        <v>26380</v>
      </c>
      <c r="J751">
        <f>SUM($G$3:I751)</f>
        <v>10814800</v>
      </c>
      <c r="K751">
        <f t="shared" si="178"/>
        <v>32350</v>
      </c>
      <c r="L751">
        <f t="shared" si="179"/>
        <v>1.2490000000000001</v>
      </c>
      <c r="M751">
        <f t="shared" si="180"/>
        <v>1.1240000000000001</v>
      </c>
      <c r="N751">
        <f t="shared" si="181"/>
        <v>2162960</v>
      </c>
      <c r="O751">
        <f t="shared" si="182"/>
        <v>45415.388600000006</v>
      </c>
      <c r="P751">
        <f t="shared" si="183"/>
        <v>18200</v>
      </c>
      <c r="Q751">
        <f t="shared" si="184"/>
        <v>1.4</v>
      </c>
    </row>
    <row r="752" spans="1:17" x14ac:dyDescent="0.25">
      <c r="A752">
        <v>750</v>
      </c>
      <c r="B752">
        <f t="shared" si="185"/>
        <v>25</v>
      </c>
      <c r="C752">
        <f t="shared" si="186"/>
        <v>3</v>
      </c>
      <c r="D752" t="str">
        <f t="shared" si="172"/>
        <v/>
      </c>
      <c r="E752" t="str">
        <f t="shared" si="173"/>
        <v/>
      </c>
      <c r="F752">
        <f t="shared" si="174"/>
        <v>1245</v>
      </c>
      <c r="G752" t="str">
        <f t="shared" si="175"/>
        <v/>
      </c>
      <c r="H752" t="str">
        <f t="shared" si="176"/>
        <v/>
      </c>
      <c r="I752">
        <f t="shared" si="177"/>
        <v>26490</v>
      </c>
      <c r="J752">
        <f>SUM($G$3:I752)</f>
        <v>10841290</v>
      </c>
      <c r="K752">
        <f t="shared" si="178"/>
        <v>32350</v>
      </c>
      <c r="L752">
        <f t="shared" si="179"/>
        <v>1.2490000000000001</v>
      </c>
      <c r="M752">
        <f t="shared" si="180"/>
        <v>1.1245000000000001</v>
      </c>
      <c r="N752">
        <f t="shared" si="181"/>
        <v>2168258</v>
      </c>
      <c r="O752">
        <f t="shared" si="182"/>
        <v>45435.591175000001</v>
      </c>
      <c r="P752">
        <f t="shared" si="183"/>
        <v>18200</v>
      </c>
      <c r="Q752">
        <f t="shared" si="184"/>
        <v>1.4</v>
      </c>
    </row>
    <row r="753" spans="1:17" x14ac:dyDescent="0.25">
      <c r="A753">
        <v>751</v>
      </c>
      <c r="B753">
        <f t="shared" si="185"/>
        <v>26</v>
      </c>
      <c r="C753">
        <f t="shared" si="186"/>
        <v>1</v>
      </c>
      <c r="D753">
        <f t="shared" si="172"/>
        <v>3260</v>
      </c>
      <c r="E753" t="str">
        <f t="shared" si="173"/>
        <v/>
      </c>
      <c r="F753" t="str">
        <f t="shared" si="174"/>
        <v/>
      </c>
      <c r="G753">
        <f t="shared" si="175"/>
        <v>53200</v>
      </c>
      <c r="H753" t="str">
        <f t="shared" si="176"/>
        <v/>
      </c>
      <c r="I753" t="str">
        <f t="shared" si="177"/>
        <v/>
      </c>
      <c r="J753">
        <f>SUM($G$3:I753)</f>
        <v>10894490</v>
      </c>
      <c r="K753">
        <f t="shared" si="178"/>
        <v>32600</v>
      </c>
      <c r="L753">
        <f t="shared" si="179"/>
        <v>1.2490000000000001</v>
      </c>
      <c r="M753">
        <f t="shared" si="180"/>
        <v>1.1245000000000001</v>
      </c>
      <c r="N753">
        <f t="shared" si="181"/>
        <v>2178898</v>
      </c>
      <c r="O753">
        <f t="shared" si="182"/>
        <v>45786.716300000007</v>
      </c>
      <c r="P753">
        <f t="shared" si="183"/>
        <v>18200</v>
      </c>
      <c r="Q753">
        <f t="shared" si="184"/>
        <v>1.4</v>
      </c>
    </row>
    <row r="754" spans="1:17" x14ac:dyDescent="0.25">
      <c r="A754">
        <v>752</v>
      </c>
      <c r="B754">
        <f t="shared" si="185"/>
        <v>26</v>
      </c>
      <c r="C754">
        <f t="shared" si="186"/>
        <v>1</v>
      </c>
      <c r="D754">
        <f t="shared" si="172"/>
        <v>3286</v>
      </c>
      <c r="E754" t="str">
        <f t="shared" si="173"/>
        <v/>
      </c>
      <c r="F754" t="str">
        <f t="shared" si="174"/>
        <v/>
      </c>
      <c r="G754">
        <f t="shared" si="175"/>
        <v>53420</v>
      </c>
      <c r="H754" t="str">
        <f t="shared" si="176"/>
        <v/>
      </c>
      <c r="I754" t="str">
        <f t="shared" si="177"/>
        <v/>
      </c>
      <c r="J754">
        <f>SUM($G$3:I754)</f>
        <v>10947910</v>
      </c>
      <c r="K754">
        <f t="shared" si="178"/>
        <v>32860</v>
      </c>
      <c r="L754">
        <f t="shared" si="179"/>
        <v>1.2490000000000001</v>
      </c>
      <c r="M754">
        <f t="shared" si="180"/>
        <v>1.1245000000000001</v>
      </c>
      <c r="N754">
        <f t="shared" si="181"/>
        <v>2189582</v>
      </c>
      <c r="O754">
        <f t="shared" si="182"/>
        <v>46151.886430000013</v>
      </c>
      <c r="P754">
        <f t="shared" si="183"/>
        <v>18200</v>
      </c>
      <c r="Q754">
        <f t="shared" si="184"/>
        <v>1.4</v>
      </c>
    </row>
    <row r="755" spans="1:17" x14ac:dyDescent="0.25">
      <c r="A755">
        <v>753</v>
      </c>
      <c r="B755">
        <f t="shared" si="185"/>
        <v>26</v>
      </c>
      <c r="C755">
        <f t="shared" si="186"/>
        <v>1</v>
      </c>
      <c r="D755">
        <f t="shared" si="172"/>
        <v>3312</v>
      </c>
      <c r="E755" t="str">
        <f t="shared" si="173"/>
        <v/>
      </c>
      <c r="F755" t="str">
        <f t="shared" si="174"/>
        <v/>
      </c>
      <c r="G755">
        <f t="shared" si="175"/>
        <v>53640</v>
      </c>
      <c r="H755" t="str">
        <f t="shared" si="176"/>
        <v/>
      </c>
      <c r="I755" t="str">
        <f t="shared" si="177"/>
        <v/>
      </c>
      <c r="J755">
        <f>SUM($G$3:I755)</f>
        <v>11001550</v>
      </c>
      <c r="K755">
        <f t="shared" si="178"/>
        <v>33120</v>
      </c>
      <c r="L755">
        <f t="shared" si="179"/>
        <v>1.2490000000000001</v>
      </c>
      <c r="M755">
        <f t="shared" si="180"/>
        <v>1.1245000000000001</v>
      </c>
      <c r="N755">
        <f t="shared" si="181"/>
        <v>2200310</v>
      </c>
      <c r="O755">
        <f t="shared" si="182"/>
        <v>46517.056560000005</v>
      </c>
      <c r="P755">
        <f t="shared" si="183"/>
        <v>18200</v>
      </c>
      <c r="Q755">
        <f t="shared" si="184"/>
        <v>1.4</v>
      </c>
    </row>
    <row r="756" spans="1:17" x14ac:dyDescent="0.25">
      <c r="A756">
        <v>754</v>
      </c>
      <c r="B756">
        <f t="shared" si="185"/>
        <v>26</v>
      </c>
      <c r="C756">
        <f t="shared" si="186"/>
        <v>1</v>
      </c>
      <c r="D756">
        <f t="shared" si="172"/>
        <v>3338</v>
      </c>
      <c r="E756" t="str">
        <f t="shared" si="173"/>
        <v/>
      </c>
      <c r="F756" t="str">
        <f t="shared" si="174"/>
        <v/>
      </c>
      <c r="G756">
        <f t="shared" si="175"/>
        <v>53860</v>
      </c>
      <c r="H756" t="str">
        <f t="shared" si="176"/>
        <v/>
      </c>
      <c r="I756" t="str">
        <f t="shared" si="177"/>
        <v/>
      </c>
      <c r="J756">
        <f>SUM($G$3:I756)</f>
        <v>11055410</v>
      </c>
      <c r="K756">
        <f t="shared" si="178"/>
        <v>33380</v>
      </c>
      <c r="L756">
        <f t="shared" si="179"/>
        <v>1.2490000000000001</v>
      </c>
      <c r="M756">
        <f t="shared" si="180"/>
        <v>1.1245000000000001</v>
      </c>
      <c r="N756">
        <f t="shared" si="181"/>
        <v>2211082</v>
      </c>
      <c r="O756">
        <f t="shared" si="182"/>
        <v>46882.226690000003</v>
      </c>
      <c r="P756">
        <f t="shared" si="183"/>
        <v>18200</v>
      </c>
      <c r="Q756">
        <f t="shared" si="184"/>
        <v>1.4</v>
      </c>
    </row>
    <row r="757" spans="1:17" x14ac:dyDescent="0.25">
      <c r="A757">
        <v>755</v>
      </c>
      <c r="B757">
        <f t="shared" si="185"/>
        <v>26</v>
      </c>
      <c r="C757">
        <f t="shared" si="186"/>
        <v>1</v>
      </c>
      <c r="D757">
        <f t="shared" si="172"/>
        <v>3364</v>
      </c>
      <c r="E757" t="str">
        <f t="shared" si="173"/>
        <v/>
      </c>
      <c r="F757" t="str">
        <f t="shared" si="174"/>
        <v/>
      </c>
      <c r="G757">
        <f t="shared" si="175"/>
        <v>54080</v>
      </c>
      <c r="H757" t="str">
        <f t="shared" si="176"/>
        <v/>
      </c>
      <c r="I757" t="str">
        <f t="shared" si="177"/>
        <v/>
      </c>
      <c r="J757">
        <f>SUM($G$3:I757)</f>
        <v>11109490</v>
      </c>
      <c r="K757">
        <f t="shared" si="178"/>
        <v>33640</v>
      </c>
      <c r="L757">
        <f t="shared" si="179"/>
        <v>1.2490000000000001</v>
      </c>
      <c r="M757">
        <f t="shared" si="180"/>
        <v>1.1245000000000001</v>
      </c>
      <c r="N757">
        <f t="shared" si="181"/>
        <v>2221898</v>
      </c>
      <c r="O757">
        <f t="shared" si="182"/>
        <v>47247.396820000002</v>
      </c>
      <c r="P757">
        <f t="shared" si="183"/>
        <v>18200</v>
      </c>
      <c r="Q757">
        <f t="shared" si="184"/>
        <v>1.4</v>
      </c>
    </row>
    <row r="758" spans="1:17" x14ac:dyDescent="0.25">
      <c r="A758">
        <v>756</v>
      </c>
      <c r="B758">
        <f t="shared" si="185"/>
        <v>26</v>
      </c>
      <c r="C758">
        <f t="shared" si="186"/>
        <v>1</v>
      </c>
      <c r="D758">
        <f t="shared" si="172"/>
        <v>3390</v>
      </c>
      <c r="E758" t="str">
        <f t="shared" si="173"/>
        <v/>
      </c>
      <c r="F758" t="str">
        <f t="shared" si="174"/>
        <v/>
      </c>
      <c r="G758">
        <f t="shared" si="175"/>
        <v>54300</v>
      </c>
      <c r="H758" t="str">
        <f t="shared" si="176"/>
        <v/>
      </c>
      <c r="I758" t="str">
        <f t="shared" si="177"/>
        <v/>
      </c>
      <c r="J758">
        <f>SUM($G$3:I758)</f>
        <v>11163790</v>
      </c>
      <c r="K758">
        <f t="shared" si="178"/>
        <v>33900</v>
      </c>
      <c r="L758">
        <f t="shared" si="179"/>
        <v>1.2490000000000001</v>
      </c>
      <c r="M758">
        <f t="shared" si="180"/>
        <v>1.1245000000000001</v>
      </c>
      <c r="N758">
        <f t="shared" si="181"/>
        <v>2232758</v>
      </c>
      <c r="O758">
        <f t="shared" si="182"/>
        <v>47612.566950000008</v>
      </c>
      <c r="P758">
        <f t="shared" si="183"/>
        <v>18200</v>
      </c>
      <c r="Q758">
        <f t="shared" si="184"/>
        <v>1.4</v>
      </c>
    </row>
    <row r="759" spans="1:17" x14ac:dyDescent="0.25">
      <c r="A759">
        <v>757</v>
      </c>
      <c r="B759">
        <f t="shared" si="185"/>
        <v>26</v>
      </c>
      <c r="C759">
        <f t="shared" si="186"/>
        <v>1</v>
      </c>
      <c r="D759">
        <f t="shared" si="172"/>
        <v>3416</v>
      </c>
      <c r="E759" t="str">
        <f t="shared" si="173"/>
        <v/>
      </c>
      <c r="F759" t="str">
        <f t="shared" si="174"/>
        <v/>
      </c>
      <c r="G759">
        <f t="shared" si="175"/>
        <v>54520</v>
      </c>
      <c r="H759" t="str">
        <f t="shared" si="176"/>
        <v/>
      </c>
      <c r="I759" t="str">
        <f t="shared" si="177"/>
        <v/>
      </c>
      <c r="J759">
        <f>SUM($G$3:I759)</f>
        <v>11218310</v>
      </c>
      <c r="K759">
        <f t="shared" si="178"/>
        <v>34160</v>
      </c>
      <c r="L759">
        <f t="shared" si="179"/>
        <v>1.2490000000000001</v>
      </c>
      <c r="M759">
        <f t="shared" si="180"/>
        <v>1.1245000000000001</v>
      </c>
      <c r="N759">
        <f t="shared" si="181"/>
        <v>2243662</v>
      </c>
      <c r="O759">
        <f t="shared" si="182"/>
        <v>47977.737080000006</v>
      </c>
      <c r="P759">
        <f t="shared" si="183"/>
        <v>18200</v>
      </c>
      <c r="Q759">
        <f t="shared" si="184"/>
        <v>1.4</v>
      </c>
    </row>
    <row r="760" spans="1:17" x14ac:dyDescent="0.25">
      <c r="A760">
        <v>758</v>
      </c>
      <c r="B760">
        <f t="shared" si="185"/>
        <v>26</v>
      </c>
      <c r="C760">
        <f t="shared" si="186"/>
        <v>1</v>
      </c>
      <c r="D760">
        <f t="shared" si="172"/>
        <v>3442</v>
      </c>
      <c r="E760" t="str">
        <f t="shared" si="173"/>
        <v/>
      </c>
      <c r="F760" t="str">
        <f t="shared" si="174"/>
        <v/>
      </c>
      <c r="G760">
        <f t="shared" si="175"/>
        <v>54740</v>
      </c>
      <c r="H760" t="str">
        <f t="shared" si="176"/>
        <v/>
      </c>
      <c r="I760" t="str">
        <f t="shared" si="177"/>
        <v/>
      </c>
      <c r="J760">
        <f>SUM($G$3:I760)</f>
        <v>11273050</v>
      </c>
      <c r="K760">
        <f t="shared" si="178"/>
        <v>34420</v>
      </c>
      <c r="L760">
        <f t="shared" si="179"/>
        <v>1.2490000000000001</v>
      </c>
      <c r="M760">
        <f t="shared" si="180"/>
        <v>1.1245000000000001</v>
      </c>
      <c r="N760">
        <f t="shared" si="181"/>
        <v>2254610</v>
      </c>
      <c r="O760">
        <f t="shared" si="182"/>
        <v>48342.907210000005</v>
      </c>
      <c r="P760">
        <f t="shared" si="183"/>
        <v>18200</v>
      </c>
      <c r="Q760">
        <f t="shared" si="184"/>
        <v>1.4</v>
      </c>
    </row>
    <row r="761" spans="1:17" x14ac:dyDescent="0.25">
      <c r="A761">
        <v>759</v>
      </c>
      <c r="B761">
        <f t="shared" si="185"/>
        <v>26</v>
      </c>
      <c r="C761">
        <f t="shared" si="186"/>
        <v>1</v>
      </c>
      <c r="D761">
        <f t="shared" si="172"/>
        <v>3468</v>
      </c>
      <c r="E761" t="str">
        <f t="shared" si="173"/>
        <v/>
      </c>
      <c r="F761" t="str">
        <f t="shared" si="174"/>
        <v/>
      </c>
      <c r="G761">
        <f t="shared" si="175"/>
        <v>54960</v>
      </c>
      <c r="H761" t="str">
        <f t="shared" si="176"/>
        <v/>
      </c>
      <c r="I761" t="str">
        <f t="shared" si="177"/>
        <v/>
      </c>
      <c r="J761">
        <f>SUM($G$3:I761)</f>
        <v>11328010</v>
      </c>
      <c r="K761">
        <f t="shared" si="178"/>
        <v>34680</v>
      </c>
      <c r="L761">
        <f t="shared" si="179"/>
        <v>1.2490000000000001</v>
      </c>
      <c r="M761">
        <f t="shared" si="180"/>
        <v>1.1245000000000001</v>
      </c>
      <c r="N761">
        <f t="shared" si="181"/>
        <v>2265602</v>
      </c>
      <c r="O761">
        <f t="shared" si="182"/>
        <v>48708.077340000011</v>
      </c>
      <c r="P761">
        <f t="shared" si="183"/>
        <v>18200</v>
      </c>
      <c r="Q761">
        <f t="shared" si="184"/>
        <v>1.4</v>
      </c>
    </row>
    <row r="762" spans="1:17" x14ac:dyDescent="0.25">
      <c r="A762">
        <v>760</v>
      </c>
      <c r="B762">
        <f t="shared" si="185"/>
        <v>26</v>
      </c>
      <c r="C762">
        <f t="shared" si="186"/>
        <v>1</v>
      </c>
      <c r="D762">
        <f t="shared" si="172"/>
        <v>3494</v>
      </c>
      <c r="E762" t="str">
        <f t="shared" si="173"/>
        <v/>
      </c>
      <c r="F762" t="str">
        <f t="shared" si="174"/>
        <v/>
      </c>
      <c r="G762">
        <f t="shared" si="175"/>
        <v>55180</v>
      </c>
      <c r="H762" t="str">
        <f t="shared" si="176"/>
        <v/>
      </c>
      <c r="I762" t="str">
        <f t="shared" si="177"/>
        <v/>
      </c>
      <c r="J762">
        <f>SUM($G$3:I762)</f>
        <v>11383190</v>
      </c>
      <c r="K762">
        <f t="shared" si="178"/>
        <v>34940</v>
      </c>
      <c r="L762">
        <f t="shared" si="179"/>
        <v>1.2490000000000001</v>
      </c>
      <c r="M762">
        <f t="shared" si="180"/>
        <v>1.1245000000000001</v>
      </c>
      <c r="N762">
        <f t="shared" si="181"/>
        <v>2276638</v>
      </c>
      <c r="O762">
        <f t="shared" si="182"/>
        <v>49073.247470000009</v>
      </c>
      <c r="P762">
        <f t="shared" si="183"/>
        <v>20300</v>
      </c>
      <c r="Q762">
        <f t="shared" si="184"/>
        <v>1.4</v>
      </c>
    </row>
    <row r="763" spans="1:17" x14ac:dyDescent="0.25">
      <c r="A763">
        <v>761</v>
      </c>
      <c r="B763">
        <f t="shared" si="185"/>
        <v>26</v>
      </c>
      <c r="C763">
        <f t="shared" si="186"/>
        <v>2</v>
      </c>
      <c r="D763" t="str">
        <f t="shared" si="172"/>
        <v/>
      </c>
      <c r="E763">
        <f t="shared" si="173"/>
        <v>2500</v>
      </c>
      <c r="F763" t="str">
        <f t="shared" si="174"/>
        <v/>
      </c>
      <c r="G763" t="str">
        <f t="shared" si="175"/>
        <v/>
      </c>
      <c r="H763">
        <f t="shared" si="176"/>
        <v>35467</v>
      </c>
      <c r="I763" t="str">
        <f t="shared" si="177"/>
        <v/>
      </c>
      <c r="J763">
        <f>SUM($G$3:I763)</f>
        <v>11418657</v>
      </c>
      <c r="K763">
        <f t="shared" si="178"/>
        <v>34940</v>
      </c>
      <c r="L763">
        <f t="shared" si="179"/>
        <v>1.25</v>
      </c>
      <c r="M763">
        <f t="shared" si="180"/>
        <v>1.1245000000000001</v>
      </c>
      <c r="N763">
        <f t="shared" si="181"/>
        <v>2283731.4</v>
      </c>
      <c r="O763">
        <f t="shared" si="182"/>
        <v>49112.537500000006</v>
      </c>
      <c r="P763">
        <f t="shared" si="183"/>
        <v>20300</v>
      </c>
      <c r="Q763">
        <f t="shared" si="184"/>
        <v>1.4</v>
      </c>
    </row>
    <row r="764" spans="1:17" x14ac:dyDescent="0.25">
      <c r="A764">
        <v>762</v>
      </c>
      <c r="B764">
        <f t="shared" si="185"/>
        <v>26</v>
      </c>
      <c r="C764">
        <f t="shared" si="186"/>
        <v>2</v>
      </c>
      <c r="D764" t="str">
        <f t="shared" si="172"/>
        <v/>
      </c>
      <c r="E764">
        <f t="shared" si="173"/>
        <v>2510</v>
      </c>
      <c r="F764" t="str">
        <f t="shared" si="174"/>
        <v/>
      </c>
      <c r="G764" t="str">
        <f t="shared" si="175"/>
        <v/>
      </c>
      <c r="H764">
        <f t="shared" si="176"/>
        <v>35614</v>
      </c>
      <c r="I764" t="str">
        <f t="shared" si="177"/>
        <v/>
      </c>
      <c r="J764">
        <f>SUM($G$3:I764)</f>
        <v>11454271</v>
      </c>
      <c r="K764">
        <f t="shared" si="178"/>
        <v>34940</v>
      </c>
      <c r="L764">
        <f t="shared" si="179"/>
        <v>1.2509999999999999</v>
      </c>
      <c r="M764">
        <f t="shared" si="180"/>
        <v>1.1245000000000001</v>
      </c>
      <c r="N764">
        <f t="shared" si="181"/>
        <v>2290854.2000000002</v>
      </c>
      <c r="O764">
        <f t="shared" si="182"/>
        <v>49151.827529999995</v>
      </c>
      <c r="P764">
        <f t="shared" si="183"/>
        <v>20300</v>
      </c>
      <c r="Q764">
        <f t="shared" si="184"/>
        <v>1.4</v>
      </c>
    </row>
    <row r="765" spans="1:17" x14ac:dyDescent="0.25">
      <c r="A765">
        <v>763</v>
      </c>
      <c r="B765">
        <f t="shared" si="185"/>
        <v>26</v>
      </c>
      <c r="C765">
        <f t="shared" si="186"/>
        <v>2</v>
      </c>
      <c r="D765" t="str">
        <f t="shared" si="172"/>
        <v/>
      </c>
      <c r="E765">
        <f t="shared" si="173"/>
        <v>2520</v>
      </c>
      <c r="F765" t="str">
        <f t="shared" si="174"/>
        <v/>
      </c>
      <c r="G765" t="str">
        <f t="shared" si="175"/>
        <v/>
      </c>
      <c r="H765">
        <f t="shared" si="176"/>
        <v>35761</v>
      </c>
      <c r="I765" t="str">
        <f t="shared" si="177"/>
        <v/>
      </c>
      <c r="J765">
        <f>SUM($G$3:I765)</f>
        <v>11490032</v>
      </c>
      <c r="K765">
        <f t="shared" si="178"/>
        <v>34940</v>
      </c>
      <c r="L765">
        <f t="shared" si="179"/>
        <v>1.252</v>
      </c>
      <c r="M765">
        <f t="shared" si="180"/>
        <v>1.1245000000000001</v>
      </c>
      <c r="N765">
        <f t="shared" si="181"/>
        <v>2298006.4</v>
      </c>
      <c r="O765">
        <f t="shared" si="182"/>
        <v>49191.117559999999</v>
      </c>
      <c r="P765">
        <f t="shared" si="183"/>
        <v>20300</v>
      </c>
      <c r="Q765">
        <f t="shared" si="184"/>
        <v>1.4</v>
      </c>
    </row>
    <row r="766" spans="1:17" x14ac:dyDescent="0.25">
      <c r="A766">
        <v>764</v>
      </c>
      <c r="B766">
        <f t="shared" si="185"/>
        <v>26</v>
      </c>
      <c r="C766">
        <f t="shared" si="186"/>
        <v>2</v>
      </c>
      <c r="D766" t="str">
        <f t="shared" si="172"/>
        <v/>
      </c>
      <c r="E766">
        <f t="shared" si="173"/>
        <v>2530</v>
      </c>
      <c r="F766" t="str">
        <f t="shared" si="174"/>
        <v/>
      </c>
      <c r="G766" t="str">
        <f t="shared" si="175"/>
        <v/>
      </c>
      <c r="H766">
        <f t="shared" si="176"/>
        <v>35908</v>
      </c>
      <c r="I766" t="str">
        <f t="shared" si="177"/>
        <v/>
      </c>
      <c r="J766">
        <f>SUM($G$3:I766)</f>
        <v>11525940</v>
      </c>
      <c r="K766">
        <f t="shared" si="178"/>
        <v>34940</v>
      </c>
      <c r="L766">
        <f t="shared" si="179"/>
        <v>1.2530000000000001</v>
      </c>
      <c r="M766">
        <f t="shared" si="180"/>
        <v>1.1245000000000001</v>
      </c>
      <c r="N766">
        <f t="shared" si="181"/>
        <v>2305188</v>
      </c>
      <c r="O766">
        <f t="shared" si="182"/>
        <v>49230.40759000001</v>
      </c>
      <c r="P766">
        <f t="shared" si="183"/>
        <v>20300</v>
      </c>
      <c r="Q766">
        <f t="shared" si="184"/>
        <v>1.4</v>
      </c>
    </row>
    <row r="767" spans="1:17" x14ac:dyDescent="0.25">
      <c r="A767">
        <v>765</v>
      </c>
      <c r="B767">
        <f t="shared" si="185"/>
        <v>26</v>
      </c>
      <c r="C767">
        <f t="shared" si="186"/>
        <v>2</v>
      </c>
      <c r="D767" t="str">
        <f t="shared" si="172"/>
        <v/>
      </c>
      <c r="E767">
        <f t="shared" si="173"/>
        <v>2540</v>
      </c>
      <c r="F767" t="str">
        <f t="shared" si="174"/>
        <v/>
      </c>
      <c r="G767" t="str">
        <f t="shared" si="175"/>
        <v/>
      </c>
      <c r="H767">
        <f t="shared" si="176"/>
        <v>36055</v>
      </c>
      <c r="I767" t="str">
        <f t="shared" si="177"/>
        <v/>
      </c>
      <c r="J767">
        <f>SUM($G$3:I767)</f>
        <v>11561995</v>
      </c>
      <c r="K767">
        <f t="shared" si="178"/>
        <v>34940</v>
      </c>
      <c r="L767">
        <f t="shared" si="179"/>
        <v>1.254</v>
      </c>
      <c r="M767">
        <f t="shared" si="180"/>
        <v>1.1245000000000001</v>
      </c>
      <c r="N767">
        <f t="shared" si="181"/>
        <v>2312399</v>
      </c>
      <c r="O767">
        <f t="shared" si="182"/>
        <v>49269.697620000006</v>
      </c>
      <c r="P767">
        <f t="shared" si="183"/>
        <v>20300</v>
      </c>
      <c r="Q767">
        <f t="shared" si="184"/>
        <v>1.4</v>
      </c>
    </row>
    <row r="768" spans="1:17" x14ac:dyDescent="0.25">
      <c r="A768">
        <v>766</v>
      </c>
      <c r="B768">
        <f t="shared" si="185"/>
        <v>26</v>
      </c>
      <c r="C768">
        <f t="shared" si="186"/>
        <v>2</v>
      </c>
      <c r="D768" t="str">
        <f t="shared" si="172"/>
        <v/>
      </c>
      <c r="E768">
        <f t="shared" si="173"/>
        <v>2550</v>
      </c>
      <c r="F768" t="str">
        <f t="shared" si="174"/>
        <v/>
      </c>
      <c r="G768" t="str">
        <f t="shared" si="175"/>
        <v/>
      </c>
      <c r="H768">
        <f t="shared" si="176"/>
        <v>36202</v>
      </c>
      <c r="I768" t="str">
        <f t="shared" si="177"/>
        <v/>
      </c>
      <c r="J768">
        <f>SUM($G$3:I768)</f>
        <v>11598197</v>
      </c>
      <c r="K768">
        <f t="shared" si="178"/>
        <v>34940</v>
      </c>
      <c r="L768">
        <f t="shared" si="179"/>
        <v>1.2549999999999999</v>
      </c>
      <c r="M768">
        <f t="shared" si="180"/>
        <v>1.1245000000000001</v>
      </c>
      <c r="N768">
        <f t="shared" si="181"/>
        <v>2319639.4</v>
      </c>
      <c r="O768">
        <f t="shared" si="182"/>
        <v>49308.987650000003</v>
      </c>
      <c r="P768">
        <f t="shared" si="183"/>
        <v>20300</v>
      </c>
      <c r="Q768">
        <f t="shared" si="184"/>
        <v>1.4</v>
      </c>
    </row>
    <row r="769" spans="1:17" x14ac:dyDescent="0.25">
      <c r="A769">
        <v>767</v>
      </c>
      <c r="B769">
        <f t="shared" si="185"/>
        <v>26</v>
      </c>
      <c r="C769">
        <f t="shared" si="186"/>
        <v>2</v>
      </c>
      <c r="D769" t="str">
        <f t="shared" si="172"/>
        <v/>
      </c>
      <c r="E769">
        <f t="shared" si="173"/>
        <v>2560</v>
      </c>
      <c r="F769" t="str">
        <f t="shared" si="174"/>
        <v/>
      </c>
      <c r="G769" t="str">
        <f t="shared" si="175"/>
        <v/>
      </c>
      <c r="H769">
        <f t="shared" si="176"/>
        <v>36349</v>
      </c>
      <c r="I769" t="str">
        <f t="shared" si="177"/>
        <v/>
      </c>
      <c r="J769">
        <f>SUM($G$3:I769)</f>
        <v>11634546</v>
      </c>
      <c r="K769">
        <f t="shared" si="178"/>
        <v>34940</v>
      </c>
      <c r="L769">
        <f t="shared" si="179"/>
        <v>1.256</v>
      </c>
      <c r="M769">
        <f t="shared" si="180"/>
        <v>1.1245000000000001</v>
      </c>
      <c r="N769">
        <f t="shared" si="181"/>
        <v>2326909.2000000002</v>
      </c>
      <c r="O769">
        <f t="shared" si="182"/>
        <v>49348.277679999999</v>
      </c>
      <c r="P769">
        <f t="shared" si="183"/>
        <v>20300</v>
      </c>
      <c r="Q769">
        <f t="shared" si="184"/>
        <v>1.4</v>
      </c>
    </row>
    <row r="770" spans="1:17" x14ac:dyDescent="0.25">
      <c r="A770">
        <v>768</v>
      </c>
      <c r="B770">
        <f t="shared" si="185"/>
        <v>26</v>
      </c>
      <c r="C770">
        <f t="shared" si="186"/>
        <v>2</v>
      </c>
      <c r="D770" t="str">
        <f t="shared" si="172"/>
        <v/>
      </c>
      <c r="E770">
        <f t="shared" si="173"/>
        <v>2570</v>
      </c>
      <c r="F770" t="str">
        <f t="shared" si="174"/>
        <v/>
      </c>
      <c r="G770" t="str">
        <f t="shared" si="175"/>
        <v/>
      </c>
      <c r="H770">
        <f t="shared" si="176"/>
        <v>36496</v>
      </c>
      <c r="I770" t="str">
        <f t="shared" si="177"/>
        <v/>
      </c>
      <c r="J770">
        <f>SUM($G$3:I770)</f>
        <v>11671042</v>
      </c>
      <c r="K770">
        <f t="shared" si="178"/>
        <v>34940</v>
      </c>
      <c r="L770">
        <f t="shared" si="179"/>
        <v>1.2570000000000001</v>
      </c>
      <c r="M770">
        <f t="shared" si="180"/>
        <v>1.1245000000000001</v>
      </c>
      <c r="N770">
        <f t="shared" si="181"/>
        <v>2334208.4</v>
      </c>
      <c r="O770">
        <f t="shared" si="182"/>
        <v>49387.567710000003</v>
      </c>
      <c r="P770">
        <f t="shared" si="183"/>
        <v>20300</v>
      </c>
      <c r="Q770">
        <f t="shared" si="184"/>
        <v>1.4</v>
      </c>
    </row>
    <row r="771" spans="1:17" x14ac:dyDescent="0.25">
      <c r="A771">
        <v>769</v>
      </c>
      <c r="B771">
        <f t="shared" si="185"/>
        <v>26</v>
      </c>
      <c r="C771">
        <f t="shared" si="186"/>
        <v>2</v>
      </c>
      <c r="D771" t="str">
        <f t="shared" ref="D771:D834" si="187">IF($C771=1,INDEX($Z:$Z,MATCH($B771,$Y:$Y,0))+MOD($A771-1,10)*INDEX($AC:$AC,MATCH($B771,$Y:$Y,0)),"")</f>
        <v/>
      </c>
      <c r="E771">
        <f t="shared" ref="E771:E834" si="188">IF($C771=2,INDEX($AA:$AA,MATCH($B771,$Y:$Y,0))+MOD($A771-1,10)*INDEX($AD:$AD,MATCH($B771,$Y:$Y,0)),"")</f>
        <v>2580</v>
      </c>
      <c r="F771" t="str">
        <f t="shared" ref="F771:F834" si="189">IF($C771=3,INDEX($AB:$AB,MATCH($B771,$Y:$Y,0))+MOD($A771-1,10)*INDEX($AE:$AE,MATCH($B771,$Y:$Y,0)),"")</f>
        <v/>
      </c>
      <c r="G771" t="str">
        <f t="shared" ref="G771:G834" si="190">IF($C771=1,INDEX($AF:$AF,MATCH($B771,$Y:$Y,0))+MOD($A771-1,10)*INDEX($AI:$AI,MATCH($B771,$Y:$Y,0)),"")</f>
        <v/>
      </c>
      <c r="H771">
        <f t="shared" ref="H771:H834" si="191">IF($C771=2,INDEX($AG:$AG,MATCH($B771,$Y:$Y,0))+MOD($A771-1,10)*INDEX($AJ:$AJ,MATCH($B771,$Y:$Y,0)),"")</f>
        <v>36643</v>
      </c>
      <c r="I771" t="str">
        <f t="shared" ref="I771:I834" si="192">IF($C771=3,INDEX($AH:$AH,MATCH($B771,$Y:$Y,0))+MOD($A771-1,10)*INDEX($AK:$AK,MATCH($B771,$Y:$Y,0)),"")</f>
        <v/>
      </c>
      <c r="J771">
        <f>SUM($G$3:I771)</f>
        <v>11707685</v>
      </c>
      <c r="K771">
        <f t="shared" si="178"/>
        <v>34940</v>
      </c>
      <c r="L771">
        <f t="shared" si="179"/>
        <v>1.258</v>
      </c>
      <c r="M771">
        <f t="shared" si="180"/>
        <v>1.1245000000000001</v>
      </c>
      <c r="N771">
        <f t="shared" si="181"/>
        <v>2341537</v>
      </c>
      <c r="O771">
        <f t="shared" si="182"/>
        <v>49426.857739999999</v>
      </c>
      <c r="P771">
        <f t="shared" si="183"/>
        <v>20300</v>
      </c>
      <c r="Q771">
        <f t="shared" si="184"/>
        <v>1.4</v>
      </c>
    </row>
    <row r="772" spans="1:17" x14ac:dyDescent="0.25">
      <c r="A772">
        <v>770</v>
      </c>
      <c r="B772">
        <f t="shared" si="185"/>
        <v>26</v>
      </c>
      <c r="C772">
        <f t="shared" si="186"/>
        <v>2</v>
      </c>
      <c r="D772" t="str">
        <f t="shared" si="187"/>
        <v/>
      </c>
      <c r="E772">
        <f t="shared" si="188"/>
        <v>2590</v>
      </c>
      <c r="F772" t="str">
        <f t="shared" si="189"/>
        <v/>
      </c>
      <c r="G772" t="str">
        <f t="shared" si="190"/>
        <v/>
      </c>
      <c r="H772">
        <f t="shared" si="191"/>
        <v>36790</v>
      </c>
      <c r="I772" t="str">
        <f t="shared" si="192"/>
        <v/>
      </c>
      <c r="J772">
        <f>SUM($G$3:I772)</f>
        <v>11744475</v>
      </c>
      <c r="K772">
        <f t="shared" ref="K772:K835" si="193">_xlfn.MAXIFS($D:$D,$A:$A,"&lt;="&amp;A772)/10*100</f>
        <v>34940</v>
      </c>
      <c r="L772">
        <f t="shared" ref="L772:L835" si="194">_xlfn.MAXIFS($E:$E,$A:$A,"&lt;="&amp;A772)/10000+1</f>
        <v>1.2589999999999999</v>
      </c>
      <c r="M772">
        <f t="shared" ref="M772:M835" si="195">_xlfn.MAXIFS($F:$F,$A:$A,"&lt;="&amp;A772)/10000+1</f>
        <v>1.1245000000000001</v>
      </c>
      <c r="N772">
        <f t="shared" ref="N772:N835" si="196">J772*0.2</f>
        <v>2348895</v>
      </c>
      <c r="O772">
        <f t="shared" ref="O772:O835" si="197">K772*L772*M772</f>
        <v>49466.147770000003</v>
      </c>
      <c r="P772">
        <f t="shared" ref="P772:P835" si="198">SUMIFS($AZ:$AZ,$AW:$AW,$AW$3,$AY:$AY,3,$AV:$AV,"&lt;="&amp;A772)</f>
        <v>20300</v>
      </c>
      <c r="Q772">
        <f t="shared" ref="Q772:Q835" si="199">SUMIFS($AZ:$AZ,$AY:$AY,98,$AV:$AV,"&lt;="&amp;A772)*10/100</f>
        <v>1.5</v>
      </c>
    </row>
    <row r="773" spans="1:17" x14ac:dyDescent="0.25">
      <c r="A773">
        <v>771</v>
      </c>
      <c r="B773">
        <f t="shared" si="185"/>
        <v>26</v>
      </c>
      <c r="C773">
        <f t="shared" si="186"/>
        <v>3</v>
      </c>
      <c r="D773" t="str">
        <f t="shared" si="187"/>
        <v/>
      </c>
      <c r="E773" t="str">
        <f t="shared" si="188"/>
        <v/>
      </c>
      <c r="F773">
        <f t="shared" si="189"/>
        <v>1250</v>
      </c>
      <c r="G773" t="str">
        <f t="shared" si="190"/>
        <v/>
      </c>
      <c r="H773" t="str">
        <f t="shared" si="191"/>
        <v/>
      </c>
      <c r="I773">
        <f t="shared" si="192"/>
        <v>26600</v>
      </c>
      <c r="J773">
        <f>SUM($G$3:I773)</f>
        <v>11771075</v>
      </c>
      <c r="K773">
        <f t="shared" si="193"/>
        <v>34940</v>
      </c>
      <c r="L773">
        <f t="shared" si="194"/>
        <v>1.2589999999999999</v>
      </c>
      <c r="M773">
        <f t="shared" si="195"/>
        <v>1.125</v>
      </c>
      <c r="N773">
        <f t="shared" si="196"/>
        <v>2354215</v>
      </c>
      <c r="O773">
        <f t="shared" si="197"/>
        <v>49488.142500000002</v>
      </c>
      <c r="P773">
        <f t="shared" si="198"/>
        <v>20300</v>
      </c>
      <c r="Q773">
        <f t="shared" si="199"/>
        <v>1.5</v>
      </c>
    </row>
    <row r="774" spans="1:17" x14ac:dyDescent="0.25">
      <c r="A774">
        <v>772</v>
      </c>
      <c r="B774">
        <f t="shared" si="185"/>
        <v>26</v>
      </c>
      <c r="C774">
        <f t="shared" si="186"/>
        <v>3</v>
      </c>
      <c r="D774" t="str">
        <f t="shared" si="187"/>
        <v/>
      </c>
      <c r="E774" t="str">
        <f t="shared" si="188"/>
        <v/>
      </c>
      <c r="F774">
        <f t="shared" si="189"/>
        <v>1255</v>
      </c>
      <c r="G774" t="str">
        <f t="shared" si="190"/>
        <v/>
      </c>
      <c r="H774" t="str">
        <f t="shared" si="191"/>
        <v/>
      </c>
      <c r="I774">
        <f t="shared" si="192"/>
        <v>26710</v>
      </c>
      <c r="J774">
        <f>SUM($G$3:I774)</f>
        <v>11797785</v>
      </c>
      <c r="K774">
        <f t="shared" si="193"/>
        <v>34940</v>
      </c>
      <c r="L774">
        <f t="shared" si="194"/>
        <v>1.2589999999999999</v>
      </c>
      <c r="M774">
        <f t="shared" si="195"/>
        <v>1.1254999999999999</v>
      </c>
      <c r="N774">
        <f t="shared" si="196"/>
        <v>2359557</v>
      </c>
      <c r="O774">
        <f t="shared" si="197"/>
        <v>49510.137229999993</v>
      </c>
      <c r="P774">
        <f t="shared" si="198"/>
        <v>20300</v>
      </c>
      <c r="Q774">
        <f t="shared" si="199"/>
        <v>1.5</v>
      </c>
    </row>
    <row r="775" spans="1:17" x14ac:dyDescent="0.25">
      <c r="A775">
        <v>773</v>
      </c>
      <c r="B775">
        <f t="shared" si="185"/>
        <v>26</v>
      </c>
      <c r="C775">
        <f t="shared" si="186"/>
        <v>3</v>
      </c>
      <c r="D775" t="str">
        <f t="shared" si="187"/>
        <v/>
      </c>
      <c r="E775" t="str">
        <f t="shared" si="188"/>
        <v/>
      </c>
      <c r="F775">
        <f t="shared" si="189"/>
        <v>1260</v>
      </c>
      <c r="G775" t="str">
        <f t="shared" si="190"/>
        <v/>
      </c>
      <c r="H775" t="str">
        <f t="shared" si="191"/>
        <v/>
      </c>
      <c r="I775">
        <f t="shared" si="192"/>
        <v>26820</v>
      </c>
      <c r="J775">
        <f>SUM($G$3:I775)</f>
        <v>11824605</v>
      </c>
      <c r="K775">
        <f t="shared" si="193"/>
        <v>34940</v>
      </c>
      <c r="L775">
        <f t="shared" si="194"/>
        <v>1.2589999999999999</v>
      </c>
      <c r="M775">
        <f t="shared" si="195"/>
        <v>1.1259999999999999</v>
      </c>
      <c r="N775">
        <f t="shared" si="196"/>
        <v>2364921</v>
      </c>
      <c r="O775">
        <f t="shared" si="197"/>
        <v>49532.131959999992</v>
      </c>
      <c r="P775">
        <f t="shared" si="198"/>
        <v>20300</v>
      </c>
      <c r="Q775">
        <f t="shared" si="199"/>
        <v>1.5</v>
      </c>
    </row>
    <row r="776" spans="1:17" x14ac:dyDescent="0.25">
      <c r="A776">
        <v>774</v>
      </c>
      <c r="B776">
        <f t="shared" si="185"/>
        <v>26</v>
      </c>
      <c r="C776">
        <f t="shared" si="186"/>
        <v>3</v>
      </c>
      <c r="D776" t="str">
        <f t="shared" si="187"/>
        <v/>
      </c>
      <c r="E776" t="str">
        <f t="shared" si="188"/>
        <v/>
      </c>
      <c r="F776">
        <f t="shared" si="189"/>
        <v>1265</v>
      </c>
      <c r="G776" t="str">
        <f t="shared" si="190"/>
        <v/>
      </c>
      <c r="H776" t="str">
        <f t="shared" si="191"/>
        <v/>
      </c>
      <c r="I776">
        <f t="shared" si="192"/>
        <v>26930</v>
      </c>
      <c r="J776">
        <f>SUM($G$3:I776)</f>
        <v>11851535</v>
      </c>
      <c r="K776">
        <f t="shared" si="193"/>
        <v>34940</v>
      </c>
      <c r="L776">
        <f t="shared" si="194"/>
        <v>1.2589999999999999</v>
      </c>
      <c r="M776">
        <f t="shared" si="195"/>
        <v>1.1265000000000001</v>
      </c>
      <c r="N776">
        <f t="shared" si="196"/>
        <v>2370307</v>
      </c>
      <c r="O776">
        <f t="shared" si="197"/>
        <v>49554.126690000005</v>
      </c>
      <c r="P776">
        <f t="shared" si="198"/>
        <v>20300</v>
      </c>
      <c r="Q776">
        <f t="shared" si="199"/>
        <v>1.5</v>
      </c>
    </row>
    <row r="777" spans="1:17" x14ac:dyDescent="0.25">
      <c r="A777">
        <v>775</v>
      </c>
      <c r="B777">
        <f t="shared" si="185"/>
        <v>26</v>
      </c>
      <c r="C777">
        <f t="shared" si="186"/>
        <v>3</v>
      </c>
      <c r="D777" t="str">
        <f t="shared" si="187"/>
        <v/>
      </c>
      <c r="E777" t="str">
        <f t="shared" si="188"/>
        <v/>
      </c>
      <c r="F777">
        <f t="shared" si="189"/>
        <v>1270</v>
      </c>
      <c r="G777" t="str">
        <f t="shared" si="190"/>
        <v/>
      </c>
      <c r="H777" t="str">
        <f t="shared" si="191"/>
        <v/>
      </c>
      <c r="I777">
        <f t="shared" si="192"/>
        <v>27040</v>
      </c>
      <c r="J777">
        <f>SUM($G$3:I777)</f>
        <v>11878575</v>
      </c>
      <c r="K777">
        <f t="shared" si="193"/>
        <v>34940</v>
      </c>
      <c r="L777">
        <f t="shared" si="194"/>
        <v>1.2589999999999999</v>
      </c>
      <c r="M777">
        <f t="shared" si="195"/>
        <v>1.127</v>
      </c>
      <c r="N777">
        <f t="shared" si="196"/>
        <v>2375715</v>
      </c>
      <c r="O777">
        <f t="shared" si="197"/>
        <v>49576.121419999996</v>
      </c>
      <c r="P777">
        <f t="shared" si="198"/>
        <v>20300</v>
      </c>
      <c r="Q777">
        <f t="shared" si="199"/>
        <v>1.5</v>
      </c>
    </row>
    <row r="778" spans="1:17" x14ac:dyDescent="0.25">
      <c r="A778">
        <v>776</v>
      </c>
      <c r="B778">
        <f t="shared" si="185"/>
        <v>26</v>
      </c>
      <c r="C778">
        <f t="shared" si="186"/>
        <v>3</v>
      </c>
      <c r="D778" t="str">
        <f t="shared" si="187"/>
        <v/>
      </c>
      <c r="E778" t="str">
        <f t="shared" si="188"/>
        <v/>
      </c>
      <c r="F778">
        <f t="shared" si="189"/>
        <v>1275</v>
      </c>
      <c r="G778" t="str">
        <f t="shared" si="190"/>
        <v/>
      </c>
      <c r="H778" t="str">
        <f t="shared" si="191"/>
        <v/>
      </c>
      <c r="I778">
        <f t="shared" si="192"/>
        <v>27150</v>
      </c>
      <c r="J778">
        <f>SUM($G$3:I778)</f>
        <v>11905725</v>
      </c>
      <c r="K778">
        <f t="shared" si="193"/>
        <v>34940</v>
      </c>
      <c r="L778">
        <f t="shared" si="194"/>
        <v>1.2589999999999999</v>
      </c>
      <c r="M778">
        <f t="shared" si="195"/>
        <v>1.1274999999999999</v>
      </c>
      <c r="N778">
        <f t="shared" si="196"/>
        <v>2381145</v>
      </c>
      <c r="O778">
        <f t="shared" si="197"/>
        <v>49598.116149999994</v>
      </c>
      <c r="P778">
        <f t="shared" si="198"/>
        <v>20300</v>
      </c>
      <c r="Q778">
        <f t="shared" si="199"/>
        <v>1.5</v>
      </c>
    </row>
    <row r="779" spans="1:17" x14ac:dyDescent="0.25">
      <c r="A779">
        <v>777</v>
      </c>
      <c r="B779">
        <f t="shared" si="185"/>
        <v>26</v>
      </c>
      <c r="C779">
        <f t="shared" si="186"/>
        <v>3</v>
      </c>
      <c r="D779" t="str">
        <f t="shared" si="187"/>
        <v/>
      </c>
      <c r="E779" t="str">
        <f t="shared" si="188"/>
        <v/>
      </c>
      <c r="F779">
        <f t="shared" si="189"/>
        <v>1280</v>
      </c>
      <c r="G779" t="str">
        <f t="shared" si="190"/>
        <v/>
      </c>
      <c r="H779" t="str">
        <f t="shared" si="191"/>
        <v/>
      </c>
      <c r="I779">
        <f t="shared" si="192"/>
        <v>27260</v>
      </c>
      <c r="J779">
        <f>SUM($G$3:I779)</f>
        <v>11932985</v>
      </c>
      <c r="K779">
        <f t="shared" si="193"/>
        <v>34940</v>
      </c>
      <c r="L779">
        <f t="shared" si="194"/>
        <v>1.2589999999999999</v>
      </c>
      <c r="M779">
        <f t="shared" si="195"/>
        <v>1.1280000000000001</v>
      </c>
      <c r="N779">
        <f t="shared" si="196"/>
        <v>2386597</v>
      </c>
      <c r="O779">
        <f t="shared" si="197"/>
        <v>49620.110880000007</v>
      </c>
      <c r="P779">
        <f t="shared" si="198"/>
        <v>20300</v>
      </c>
      <c r="Q779">
        <f t="shared" si="199"/>
        <v>1.5</v>
      </c>
    </row>
    <row r="780" spans="1:17" x14ac:dyDescent="0.25">
      <c r="A780">
        <v>778</v>
      </c>
      <c r="B780">
        <f t="shared" si="185"/>
        <v>26</v>
      </c>
      <c r="C780">
        <f t="shared" si="186"/>
        <v>3</v>
      </c>
      <c r="D780" t="str">
        <f t="shared" si="187"/>
        <v/>
      </c>
      <c r="E780" t="str">
        <f t="shared" si="188"/>
        <v/>
      </c>
      <c r="F780">
        <f t="shared" si="189"/>
        <v>1285</v>
      </c>
      <c r="G780" t="str">
        <f t="shared" si="190"/>
        <v/>
      </c>
      <c r="H780" t="str">
        <f t="shared" si="191"/>
        <v/>
      </c>
      <c r="I780">
        <f t="shared" si="192"/>
        <v>27370</v>
      </c>
      <c r="J780">
        <f>SUM($G$3:I780)</f>
        <v>11960355</v>
      </c>
      <c r="K780">
        <f t="shared" si="193"/>
        <v>34940</v>
      </c>
      <c r="L780">
        <f t="shared" si="194"/>
        <v>1.2589999999999999</v>
      </c>
      <c r="M780">
        <f t="shared" si="195"/>
        <v>1.1285000000000001</v>
      </c>
      <c r="N780">
        <f t="shared" si="196"/>
        <v>2392071</v>
      </c>
      <c r="O780">
        <f t="shared" si="197"/>
        <v>49642.105609999999</v>
      </c>
      <c r="P780">
        <f t="shared" si="198"/>
        <v>20300</v>
      </c>
      <c r="Q780">
        <f t="shared" si="199"/>
        <v>1.5</v>
      </c>
    </row>
    <row r="781" spans="1:17" x14ac:dyDescent="0.25">
      <c r="A781">
        <v>779</v>
      </c>
      <c r="B781">
        <f t="shared" si="185"/>
        <v>26</v>
      </c>
      <c r="C781">
        <f t="shared" si="186"/>
        <v>3</v>
      </c>
      <c r="D781" t="str">
        <f t="shared" si="187"/>
        <v/>
      </c>
      <c r="E781" t="str">
        <f t="shared" si="188"/>
        <v/>
      </c>
      <c r="F781">
        <f t="shared" si="189"/>
        <v>1290</v>
      </c>
      <c r="G781" t="str">
        <f t="shared" si="190"/>
        <v/>
      </c>
      <c r="H781" t="str">
        <f t="shared" si="191"/>
        <v/>
      </c>
      <c r="I781">
        <f t="shared" si="192"/>
        <v>27480</v>
      </c>
      <c r="J781">
        <f>SUM($G$3:I781)</f>
        <v>11987835</v>
      </c>
      <c r="K781">
        <f t="shared" si="193"/>
        <v>34940</v>
      </c>
      <c r="L781">
        <f t="shared" si="194"/>
        <v>1.2589999999999999</v>
      </c>
      <c r="M781">
        <f t="shared" si="195"/>
        <v>1.129</v>
      </c>
      <c r="N781">
        <f t="shared" si="196"/>
        <v>2397567</v>
      </c>
      <c r="O781">
        <f t="shared" si="197"/>
        <v>49664.100339999997</v>
      </c>
      <c r="P781">
        <f t="shared" si="198"/>
        <v>20300</v>
      </c>
      <c r="Q781">
        <f t="shared" si="199"/>
        <v>1.5</v>
      </c>
    </row>
    <row r="782" spans="1:17" x14ac:dyDescent="0.25">
      <c r="A782">
        <v>780</v>
      </c>
      <c r="B782">
        <f t="shared" si="185"/>
        <v>26</v>
      </c>
      <c r="C782">
        <f t="shared" si="186"/>
        <v>3</v>
      </c>
      <c r="D782" t="str">
        <f t="shared" si="187"/>
        <v/>
      </c>
      <c r="E782" t="str">
        <f t="shared" si="188"/>
        <v/>
      </c>
      <c r="F782">
        <f t="shared" si="189"/>
        <v>1295</v>
      </c>
      <c r="G782" t="str">
        <f t="shared" si="190"/>
        <v/>
      </c>
      <c r="H782" t="str">
        <f t="shared" si="191"/>
        <v/>
      </c>
      <c r="I782">
        <f t="shared" si="192"/>
        <v>27590</v>
      </c>
      <c r="J782">
        <f>SUM($G$3:I782)</f>
        <v>12015425</v>
      </c>
      <c r="K782">
        <f t="shared" si="193"/>
        <v>34940</v>
      </c>
      <c r="L782">
        <f t="shared" si="194"/>
        <v>1.2589999999999999</v>
      </c>
      <c r="M782">
        <f t="shared" si="195"/>
        <v>1.1294999999999999</v>
      </c>
      <c r="N782">
        <f t="shared" si="196"/>
        <v>2403085</v>
      </c>
      <c r="O782">
        <f t="shared" si="197"/>
        <v>49686.095069999996</v>
      </c>
      <c r="P782">
        <f t="shared" si="198"/>
        <v>20300</v>
      </c>
      <c r="Q782">
        <f t="shared" si="199"/>
        <v>1.5</v>
      </c>
    </row>
    <row r="783" spans="1:17" x14ac:dyDescent="0.25">
      <c r="A783">
        <v>781</v>
      </c>
      <c r="B783">
        <f t="shared" si="185"/>
        <v>27</v>
      </c>
      <c r="C783">
        <f t="shared" si="186"/>
        <v>1</v>
      </c>
      <c r="D783">
        <f t="shared" si="187"/>
        <v>3520</v>
      </c>
      <c r="E783" t="str">
        <f t="shared" si="188"/>
        <v/>
      </c>
      <c r="F783" t="str">
        <f t="shared" si="189"/>
        <v/>
      </c>
      <c r="G783">
        <f t="shared" si="190"/>
        <v>55400</v>
      </c>
      <c r="H783" t="str">
        <f t="shared" si="191"/>
        <v/>
      </c>
      <c r="I783" t="str">
        <f t="shared" si="192"/>
        <v/>
      </c>
      <c r="J783">
        <f>SUM($G$3:I783)</f>
        <v>12070825</v>
      </c>
      <c r="K783">
        <f t="shared" si="193"/>
        <v>35200</v>
      </c>
      <c r="L783">
        <f t="shared" si="194"/>
        <v>1.2589999999999999</v>
      </c>
      <c r="M783">
        <f t="shared" si="195"/>
        <v>1.1294999999999999</v>
      </c>
      <c r="N783">
        <f t="shared" si="196"/>
        <v>2414165</v>
      </c>
      <c r="O783">
        <f t="shared" si="197"/>
        <v>50055.825599999989</v>
      </c>
      <c r="P783">
        <f t="shared" si="198"/>
        <v>20300</v>
      </c>
      <c r="Q783">
        <f t="shared" si="199"/>
        <v>1.5</v>
      </c>
    </row>
    <row r="784" spans="1:17" x14ac:dyDescent="0.25">
      <c r="A784">
        <v>782</v>
      </c>
      <c r="B784">
        <f t="shared" si="185"/>
        <v>27</v>
      </c>
      <c r="C784">
        <f t="shared" si="186"/>
        <v>1</v>
      </c>
      <c r="D784">
        <f t="shared" si="187"/>
        <v>3547</v>
      </c>
      <c r="E784" t="str">
        <f t="shared" si="188"/>
        <v/>
      </c>
      <c r="F784" t="str">
        <f t="shared" si="189"/>
        <v/>
      </c>
      <c r="G784">
        <f t="shared" si="190"/>
        <v>55620</v>
      </c>
      <c r="H784" t="str">
        <f t="shared" si="191"/>
        <v/>
      </c>
      <c r="I784" t="str">
        <f t="shared" si="192"/>
        <v/>
      </c>
      <c r="J784">
        <f>SUM($G$3:I784)</f>
        <v>12126445</v>
      </c>
      <c r="K784">
        <f t="shared" si="193"/>
        <v>35470</v>
      </c>
      <c r="L784">
        <f t="shared" si="194"/>
        <v>1.2589999999999999</v>
      </c>
      <c r="M784">
        <f t="shared" si="195"/>
        <v>1.1294999999999999</v>
      </c>
      <c r="N784">
        <f t="shared" si="196"/>
        <v>2425289</v>
      </c>
      <c r="O784">
        <f t="shared" si="197"/>
        <v>50439.77653499999</v>
      </c>
      <c r="P784">
        <f t="shared" si="198"/>
        <v>20300</v>
      </c>
      <c r="Q784">
        <f t="shared" si="199"/>
        <v>1.5</v>
      </c>
    </row>
    <row r="785" spans="1:17" x14ac:dyDescent="0.25">
      <c r="A785">
        <v>783</v>
      </c>
      <c r="B785">
        <f t="shared" si="185"/>
        <v>27</v>
      </c>
      <c r="C785">
        <f t="shared" si="186"/>
        <v>1</v>
      </c>
      <c r="D785">
        <f t="shared" si="187"/>
        <v>3574</v>
      </c>
      <c r="E785" t="str">
        <f t="shared" si="188"/>
        <v/>
      </c>
      <c r="F785" t="str">
        <f t="shared" si="189"/>
        <v/>
      </c>
      <c r="G785">
        <f t="shared" si="190"/>
        <v>55840</v>
      </c>
      <c r="H785" t="str">
        <f t="shared" si="191"/>
        <v/>
      </c>
      <c r="I785" t="str">
        <f t="shared" si="192"/>
        <v/>
      </c>
      <c r="J785">
        <f>SUM($G$3:I785)</f>
        <v>12182285</v>
      </c>
      <c r="K785">
        <f t="shared" si="193"/>
        <v>35740</v>
      </c>
      <c r="L785">
        <f t="shared" si="194"/>
        <v>1.2589999999999999</v>
      </c>
      <c r="M785">
        <f t="shared" si="195"/>
        <v>1.1294999999999999</v>
      </c>
      <c r="N785">
        <f t="shared" si="196"/>
        <v>2436457</v>
      </c>
      <c r="O785">
        <f t="shared" si="197"/>
        <v>50823.727469999991</v>
      </c>
      <c r="P785">
        <f t="shared" si="198"/>
        <v>20300</v>
      </c>
      <c r="Q785">
        <f t="shared" si="199"/>
        <v>1.5</v>
      </c>
    </row>
    <row r="786" spans="1:17" x14ac:dyDescent="0.25">
      <c r="A786">
        <v>784</v>
      </c>
      <c r="B786">
        <f t="shared" si="185"/>
        <v>27</v>
      </c>
      <c r="C786">
        <f t="shared" si="186"/>
        <v>1</v>
      </c>
      <c r="D786">
        <f t="shared" si="187"/>
        <v>3601</v>
      </c>
      <c r="E786" t="str">
        <f t="shared" si="188"/>
        <v/>
      </c>
      <c r="F786" t="str">
        <f t="shared" si="189"/>
        <v/>
      </c>
      <c r="G786">
        <f t="shared" si="190"/>
        <v>56060</v>
      </c>
      <c r="H786" t="str">
        <f t="shared" si="191"/>
        <v/>
      </c>
      <c r="I786" t="str">
        <f t="shared" si="192"/>
        <v/>
      </c>
      <c r="J786">
        <f>SUM($G$3:I786)</f>
        <v>12238345</v>
      </c>
      <c r="K786">
        <f t="shared" si="193"/>
        <v>36010</v>
      </c>
      <c r="L786">
        <f t="shared" si="194"/>
        <v>1.2589999999999999</v>
      </c>
      <c r="M786">
        <f t="shared" si="195"/>
        <v>1.1294999999999999</v>
      </c>
      <c r="N786">
        <f t="shared" si="196"/>
        <v>2447669</v>
      </c>
      <c r="O786">
        <f t="shared" si="197"/>
        <v>51207.678404999991</v>
      </c>
      <c r="P786">
        <f t="shared" si="198"/>
        <v>20300</v>
      </c>
      <c r="Q786">
        <f t="shared" si="199"/>
        <v>1.5</v>
      </c>
    </row>
    <row r="787" spans="1:17" x14ac:dyDescent="0.25">
      <c r="A787">
        <v>785</v>
      </c>
      <c r="B787">
        <f t="shared" si="185"/>
        <v>27</v>
      </c>
      <c r="C787">
        <f t="shared" si="186"/>
        <v>1</v>
      </c>
      <c r="D787">
        <f t="shared" si="187"/>
        <v>3628</v>
      </c>
      <c r="E787" t="str">
        <f t="shared" si="188"/>
        <v/>
      </c>
      <c r="F787" t="str">
        <f t="shared" si="189"/>
        <v/>
      </c>
      <c r="G787">
        <f t="shared" si="190"/>
        <v>56280</v>
      </c>
      <c r="H787" t="str">
        <f t="shared" si="191"/>
        <v/>
      </c>
      <c r="I787" t="str">
        <f t="shared" si="192"/>
        <v/>
      </c>
      <c r="J787">
        <f>SUM($G$3:I787)</f>
        <v>12294625</v>
      </c>
      <c r="K787">
        <f t="shared" si="193"/>
        <v>36280</v>
      </c>
      <c r="L787">
        <f t="shared" si="194"/>
        <v>1.2589999999999999</v>
      </c>
      <c r="M787">
        <f t="shared" si="195"/>
        <v>1.1294999999999999</v>
      </c>
      <c r="N787">
        <f t="shared" si="196"/>
        <v>2458925</v>
      </c>
      <c r="O787">
        <f t="shared" si="197"/>
        <v>51591.629339999992</v>
      </c>
      <c r="P787">
        <f t="shared" si="198"/>
        <v>20300</v>
      </c>
      <c r="Q787">
        <f t="shared" si="199"/>
        <v>1.5</v>
      </c>
    </row>
    <row r="788" spans="1:17" x14ac:dyDescent="0.25">
      <c r="A788">
        <v>786</v>
      </c>
      <c r="B788">
        <f t="shared" si="185"/>
        <v>27</v>
      </c>
      <c r="C788">
        <f t="shared" si="186"/>
        <v>1</v>
      </c>
      <c r="D788">
        <f t="shared" si="187"/>
        <v>3655</v>
      </c>
      <c r="E788" t="str">
        <f t="shared" si="188"/>
        <v/>
      </c>
      <c r="F788" t="str">
        <f t="shared" si="189"/>
        <v/>
      </c>
      <c r="G788">
        <f t="shared" si="190"/>
        <v>56500</v>
      </c>
      <c r="H788" t="str">
        <f t="shared" si="191"/>
        <v/>
      </c>
      <c r="I788" t="str">
        <f t="shared" si="192"/>
        <v/>
      </c>
      <c r="J788">
        <f>SUM($G$3:I788)</f>
        <v>12351125</v>
      </c>
      <c r="K788">
        <f t="shared" si="193"/>
        <v>36550</v>
      </c>
      <c r="L788">
        <f t="shared" si="194"/>
        <v>1.2589999999999999</v>
      </c>
      <c r="M788">
        <f t="shared" si="195"/>
        <v>1.1294999999999999</v>
      </c>
      <c r="N788">
        <f t="shared" si="196"/>
        <v>2470225</v>
      </c>
      <c r="O788">
        <f t="shared" si="197"/>
        <v>51975.580274999993</v>
      </c>
      <c r="P788">
        <f t="shared" si="198"/>
        <v>20300</v>
      </c>
      <c r="Q788">
        <f t="shared" si="199"/>
        <v>1.5</v>
      </c>
    </row>
    <row r="789" spans="1:17" x14ac:dyDescent="0.25">
      <c r="A789">
        <v>787</v>
      </c>
      <c r="B789">
        <f t="shared" si="185"/>
        <v>27</v>
      </c>
      <c r="C789">
        <f t="shared" si="186"/>
        <v>1</v>
      </c>
      <c r="D789">
        <f t="shared" si="187"/>
        <v>3682</v>
      </c>
      <c r="E789" t="str">
        <f t="shared" si="188"/>
        <v/>
      </c>
      <c r="F789" t="str">
        <f t="shared" si="189"/>
        <v/>
      </c>
      <c r="G789">
        <f t="shared" si="190"/>
        <v>56720</v>
      </c>
      <c r="H789" t="str">
        <f t="shared" si="191"/>
        <v/>
      </c>
      <c r="I789" t="str">
        <f t="shared" si="192"/>
        <v/>
      </c>
      <c r="J789">
        <f>SUM($G$3:I789)</f>
        <v>12407845</v>
      </c>
      <c r="K789">
        <f t="shared" si="193"/>
        <v>36820</v>
      </c>
      <c r="L789">
        <f t="shared" si="194"/>
        <v>1.2589999999999999</v>
      </c>
      <c r="M789">
        <f t="shared" si="195"/>
        <v>1.1294999999999999</v>
      </c>
      <c r="N789">
        <f t="shared" si="196"/>
        <v>2481569</v>
      </c>
      <c r="O789">
        <f t="shared" si="197"/>
        <v>52359.531209999994</v>
      </c>
      <c r="P789">
        <f t="shared" si="198"/>
        <v>20300</v>
      </c>
      <c r="Q789">
        <f t="shared" si="199"/>
        <v>1.5</v>
      </c>
    </row>
    <row r="790" spans="1:17" x14ac:dyDescent="0.25">
      <c r="A790">
        <v>788</v>
      </c>
      <c r="B790">
        <f t="shared" si="185"/>
        <v>27</v>
      </c>
      <c r="C790">
        <f t="shared" si="186"/>
        <v>1</v>
      </c>
      <c r="D790">
        <f t="shared" si="187"/>
        <v>3709</v>
      </c>
      <c r="E790" t="str">
        <f t="shared" si="188"/>
        <v/>
      </c>
      <c r="F790" t="str">
        <f t="shared" si="189"/>
        <v/>
      </c>
      <c r="G790">
        <f t="shared" si="190"/>
        <v>56940</v>
      </c>
      <c r="H790" t="str">
        <f t="shared" si="191"/>
        <v/>
      </c>
      <c r="I790" t="str">
        <f t="shared" si="192"/>
        <v/>
      </c>
      <c r="J790">
        <f>SUM($G$3:I790)</f>
        <v>12464785</v>
      </c>
      <c r="K790">
        <f t="shared" si="193"/>
        <v>37090</v>
      </c>
      <c r="L790">
        <f t="shared" si="194"/>
        <v>1.2589999999999999</v>
      </c>
      <c r="M790">
        <f t="shared" si="195"/>
        <v>1.1294999999999999</v>
      </c>
      <c r="N790">
        <f t="shared" si="196"/>
        <v>2492957</v>
      </c>
      <c r="O790">
        <f t="shared" si="197"/>
        <v>52743.482144999994</v>
      </c>
      <c r="P790">
        <f t="shared" si="198"/>
        <v>20300</v>
      </c>
      <c r="Q790">
        <f t="shared" si="199"/>
        <v>1.5</v>
      </c>
    </row>
    <row r="791" spans="1:17" x14ac:dyDescent="0.25">
      <c r="A791">
        <v>789</v>
      </c>
      <c r="B791">
        <f t="shared" si="185"/>
        <v>27</v>
      </c>
      <c r="C791">
        <f t="shared" si="186"/>
        <v>1</v>
      </c>
      <c r="D791">
        <f t="shared" si="187"/>
        <v>3736</v>
      </c>
      <c r="E791" t="str">
        <f t="shared" si="188"/>
        <v/>
      </c>
      <c r="F791" t="str">
        <f t="shared" si="189"/>
        <v/>
      </c>
      <c r="G791">
        <f t="shared" si="190"/>
        <v>57160</v>
      </c>
      <c r="H791" t="str">
        <f t="shared" si="191"/>
        <v/>
      </c>
      <c r="I791" t="str">
        <f t="shared" si="192"/>
        <v/>
      </c>
      <c r="J791">
        <f>SUM($G$3:I791)</f>
        <v>12521945</v>
      </c>
      <c r="K791">
        <f t="shared" si="193"/>
        <v>37360</v>
      </c>
      <c r="L791">
        <f t="shared" si="194"/>
        <v>1.2589999999999999</v>
      </c>
      <c r="M791">
        <f t="shared" si="195"/>
        <v>1.1294999999999999</v>
      </c>
      <c r="N791">
        <f t="shared" si="196"/>
        <v>2504389</v>
      </c>
      <c r="O791">
        <f t="shared" si="197"/>
        <v>53127.433079999995</v>
      </c>
      <c r="P791">
        <f t="shared" si="198"/>
        <v>20300</v>
      </c>
      <c r="Q791">
        <f t="shared" si="199"/>
        <v>1.5</v>
      </c>
    </row>
    <row r="792" spans="1:17" x14ac:dyDescent="0.25">
      <c r="A792">
        <v>790</v>
      </c>
      <c r="B792">
        <f t="shared" si="185"/>
        <v>27</v>
      </c>
      <c r="C792">
        <f t="shared" si="186"/>
        <v>1</v>
      </c>
      <c r="D792">
        <f t="shared" si="187"/>
        <v>3763</v>
      </c>
      <c r="E792" t="str">
        <f t="shared" si="188"/>
        <v/>
      </c>
      <c r="F792" t="str">
        <f t="shared" si="189"/>
        <v/>
      </c>
      <c r="G792">
        <f t="shared" si="190"/>
        <v>57380</v>
      </c>
      <c r="H792" t="str">
        <f t="shared" si="191"/>
        <v/>
      </c>
      <c r="I792" t="str">
        <f t="shared" si="192"/>
        <v/>
      </c>
      <c r="J792">
        <f>SUM($G$3:I792)</f>
        <v>12579325</v>
      </c>
      <c r="K792">
        <f t="shared" si="193"/>
        <v>37630</v>
      </c>
      <c r="L792">
        <f t="shared" si="194"/>
        <v>1.2589999999999999</v>
      </c>
      <c r="M792">
        <f t="shared" si="195"/>
        <v>1.1294999999999999</v>
      </c>
      <c r="N792">
        <f t="shared" si="196"/>
        <v>2515865</v>
      </c>
      <c r="O792">
        <f t="shared" si="197"/>
        <v>53511.384014999996</v>
      </c>
      <c r="P792">
        <f t="shared" si="198"/>
        <v>22500</v>
      </c>
      <c r="Q792">
        <f t="shared" si="199"/>
        <v>1.5</v>
      </c>
    </row>
    <row r="793" spans="1:17" x14ac:dyDescent="0.25">
      <c r="A793">
        <v>791</v>
      </c>
      <c r="B793">
        <f t="shared" si="185"/>
        <v>27</v>
      </c>
      <c r="C793">
        <f t="shared" si="186"/>
        <v>2</v>
      </c>
      <c r="D793" t="str">
        <f t="shared" si="187"/>
        <v/>
      </c>
      <c r="E793">
        <f t="shared" si="188"/>
        <v>2600</v>
      </c>
      <c r="F793" t="str">
        <f t="shared" si="189"/>
        <v/>
      </c>
      <c r="G793" t="str">
        <f t="shared" si="190"/>
        <v/>
      </c>
      <c r="H793">
        <f t="shared" si="191"/>
        <v>36933</v>
      </c>
      <c r="I793" t="str">
        <f t="shared" si="192"/>
        <v/>
      </c>
      <c r="J793">
        <f>SUM($G$3:I793)</f>
        <v>12616258</v>
      </c>
      <c r="K793">
        <f t="shared" si="193"/>
        <v>37630</v>
      </c>
      <c r="L793">
        <f t="shared" si="194"/>
        <v>1.26</v>
      </c>
      <c r="M793">
        <f t="shared" si="195"/>
        <v>1.1294999999999999</v>
      </c>
      <c r="N793">
        <f t="shared" si="196"/>
        <v>2523251.6</v>
      </c>
      <c r="O793">
        <f t="shared" si="197"/>
        <v>53553.8871</v>
      </c>
      <c r="P793">
        <f t="shared" si="198"/>
        <v>22500</v>
      </c>
      <c r="Q793">
        <f t="shared" si="199"/>
        <v>1.5</v>
      </c>
    </row>
    <row r="794" spans="1:17" x14ac:dyDescent="0.25">
      <c r="A794">
        <v>792</v>
      </c>
      <c r="B794">
        <f t="shared" si="185"/>
        <v>27</v>
      </c>
      <c r="C794">
        <f t="shared" si="186"/>
        <v>2</v>
      </c>
      <c r="D794" t="str">
        <f t="shared" si="187"/>
        <v/>
      </c>
      <c r="E794">
        <f t="shared" si="188"/>
        <v>2610</v>
      </c>
      <c r="F794" t="str">
        <f t="shared" si="189"/>
        <v/>
      </c>
      <c r="G794" t="str">
        <f t="shared" si="190"/>
        <v/>
      </c>
      <c r="H794">
        <f t="shared" si="191"/>
        <v>37080</v>
      </c>
      <c r="I794" t="str">
        <f t="shared" si="192"/>
        <v/>
      </c>
      <c r="J794">
        <f>SUM($G$3:I794)</f>
        <v>12653338</v>
      </c>
      <c r="K794">
        <f t="shared" si="193"/>
        <v>37630</v>
      </c>
      <c r="L794">
        <f t="shared" si="194"/>
        <v>1.2610000000000001</v>
      </c>
      <c r="M794">
        <f t="shared" si="195"/>
        <v>1.1294999999999999</v>
      </c>
      <c r="N794">
        <f t="shared" si="196"/>
        <v>2530667.6</v>
      </c>
      <c r="O794">
        <f t="shared" si="197"/>
        <v>53596.390185000004</v>
      </c>
      <c r="P794">
        <f t="shared" si="198"/>
        <v>22500</v>
      </c>
      <c r="Q794">
        <f t="shared" si="199"/>
        <v>1.5</v>
      </c>
    </row>
    <row r="795" spans="1:17" x14ac:dyDescent="0.25">
      <c r="A795">
        <v>793</v>
      </c>
      <c r="B795">
        <f t="shared" si="185"/>
        <v>27</v>
      </c>
      <c r="C795">
        <f t="shared" si="186"/>
        <v>2</v>
      </c>
      <c r="D795" t="str">
        <f t="shared" si="187"/>
        <v/>
      </c>
      <c r="E795">
        <f t="shared" si="188"/>
        <v>2620</v>
      </c>
      <c r="F795" t="str">
        <f t="shared" si="189"/>
        <v/>
      </c>
      <c r="G795" t="str">
        <f t="shared" si="190"/>
        <v/>
      </c>
      <c r="H795">
        <f t="shared" si="191"/>
        <v>37227</v>
      </c>
      <c r="I795" t="str">
        <f t="shared" si="192"/>
        <v/>
      </c>
      <c r="J795">
        <f>SUM($G$3:I795)</f>
        <v>12690565</v>
      </c>
      <c r="K795">
        <f t="shared" si="193"/>
        <v>37630</v>
      </c>
      <c r="L795">
        <f t="shared" si="194"/>
        <v>1.262</v>
      </c>
      <c r="M795">
        <f t="shared" si="195"/>
        <v>1.1294999999999999</v>
      </c>
      <c r="N795">
        <f t="shared" si="196"/>
        <v>2538113</v>
      </c>
      <c r="O795">
        <f t="shared" si="197"/>
        <v>53638.893269999993</v>
      </c>
      <c r="P795">
        <f t="shared" si="198"/>
        <v>22500</v>
      </c>
      <c r="Q795">
        <f t="shared" si="199"/>
        <v>1.5</v>
      </c>
    </row>
    <row r="796" spans="1:17" x14ac:dyDescent="0.25">
      <c r="A796">
        <v>794</v>
      </c>
      <c r="B796">
        <f t="shared" si="185"/>
        <v>27</v>
      </c>
      <c r="C796">
        <f t="shared" si="186"/>
        <v>2</v>
      </c>
      <c r="D796" t="str">
        <f t="shared" si="187"/>
        <v/>
      </c>
      <c r="E796">
        <f t="shared" si="188"/>
        <v>2630</v>
      </c>
      <c r="F796" t="str">
        <f t="shared" si="189"/>
        <v/>
      </c>
      <c r="G796" t="str">
        <f t="shared" si="190"/>
        <v/>
      </c>
      <c r="H796">
        <f t="shared" si="191"/>
        <v>37374</v>
      </c>
      <c r="I796" t="str">
        <f t="shared" si="192"/>
        <v/>
      </c>
      <c r="J796">
        <f>SUM($G$3:I796)</f>
        <v>12727939</v>
      </c>
      <c r="K796">
        <f t="shared" si="193"/>
        <v>37630</v>
      </c>
      <c r="L796">
        <f t="shared" si="194"/>
        <v>1.2629999999999999</v>
      </c>
      <c r="M796">
        <f t="shared" si="195"/>
        <v>1.1294999999999999</v>
      </c>
      <c r="N796">
        <f t="shared" si="196"/>
        <v>2545587.8000000003</v>
      </c>
      <c r="O796">
        <f t="shared" si="197"/>
        <v>53681.39635499999</v>
      </c>
      <c r="P796">
        <f t="shared" si="198"/>
        <v>22500</v>
      </c>
      <c r="Q796">
        <f t="shared" si="199"/>
        <v>1.5</v>
      </c>
    </row>
    <row r="797" spans="1:17" x14ac:dyDescent="0.25">
      <c r="A797">
        <v>795</v>
      </c>
      <c r="B797">
        <f t="shared" si="185"/>
        <v>27</v>
      </c>
      <c r="C797">
        <f t="shared" si="186"/>
        <v>2</v>
      </c>
      <c r="D797" t="str">
        <f t="shared" si="187"/>
        <v/>
      </c>
      <c r="E797">
        <f t="shared" si="188"/>
        <v>2640</v>
      </c>
      <c r="F797" t="str">
        <f t="shared" si="189"/>
        <v/>
      </c>
      <c r="G797" t="str">
        <f t="shared" si="190"/>
        <v/>
      </c>
      <c r="H797">
        <f t="shared" si="191"/>
        <v>37521</v>
      </c>
      <c r="I797" t="str">
        <f t="shared" si="192"/>
        <v/>
      </c>
      <c r="J797">
        <f>SUM($G$3:I797)</f>
        <v>12765460</v>
      </c>
      <c r="K797">
        <f t="shared" si="193"/>
        <v>37630</v>
      </c>
      <c r="L797">
        <f t="shared" si="194"/>
        <v>1.264</v>
      </c>
      <c r="M797">
        <f t="shared" si="195"/>
        <v>1.1294999999999999</v>
      </c>
      <c r="N797">
        <f t="shared" si="196"/>
        <v>2553092</v>
      </c>
      <c r="O797">
        <f t="shared" si="197"/>
        <v>53723.899439999994</v>
      </c>
      <c r="P797">
        <f t="shared" si="198"/>
        <v>22500</v>
      </c>
      <c r="Q797">
        <f t="shared" si="199"/>
        <v>1.5</v>
      </c>
    </row>
    <row r="798" spans="1:17" x14ac:dyDescent="0.25">
      <c r="A798">
        <v>796</v>
      </c>
      <c r="B798">
        <f t="shared" si="185"/>
        <v>27</v>
      </c>
      <c r="C798">
        <f t="shared" si="186"/>
        <v>2</v>
      </c>
      <c r="D798" t="str">
        <f t="shared" si="187"/>
        <v/>
      </c>
      <c r="E798">
        <f t="shared" si="188"/>
        <v>2650</v>
      </c>
      <c r="F798" t="str">
        <f t="shared" si="189"/>
        <v/>
      </c>
      <c r="G798" t="str">
        <f t="shared" si="190"/>
        <v/>
      </c>
      <c r="H798">
        <f t="shared" si="191"/>
        <v>37668</v>
      </c>
      <c r="I798" t="str">
        <f t="shared" si="192"/>
        <v/>
      </c>
      <c r="J798">
        <f>SUM($G$3:I798)</f>
        <v>12803128</v>
      </c>
      <c r="K798">
        <f t="shared" si="193"/>
        <v>37630</v>
      </c>
      <c r="L798">
        <f t="shared" si="194"/>
        <v>1.2650000000000001</v>
      </c>
      <c r="M798">
        <f t="shared" si="195"/>
        <v>1.1294999999999999</v>
      </c>
      <c r="N798">
        <f t="shared" si="196"/>
        <v>2560625.6</v>
      </c>
      <c r="O798">
        <f t="shared" si="197"/>
        <v>53766.402525000005</v>
      </c>
      <c r="P798">
        <f t="shared" si="198"/>
        <v>22500</v>
      </c>
      <c r="Q798">
        <f t="shared" si="199"/>
        <v>1.5</v>
      </c>
    </row>
    <row r="799" spans="1:17" x14ac:dyDescent="0.25">
      <c r="A799">
        <v>797</v>
      </c>
      <c r="B799">
        <f t="shared" si="185"/>
        <v>27</v>
      </c>
      <c r="C799">
        <f t="shared" si="186"/>
        <v>2</v>
      </c>
      <c r="D799" t="str">
        <f t="shared" si="187"/>
        <v/>
      </c>
      <c r="E799">
        <f t="shared" si="188"/>
        <v>2660</v>
      </c>
      <c r="F799" t="str">
        <f t="shared" si="189"/>
        <v/>
      </c>
      <c r="G799" t="str">
        <f t="shared" si="190"/>
        <v/>
      </c>
      <c r="H799">
        <f t="shared" si="191"/>
        <v>37815</v>
      </c>
      <c r="I799" t="str">
        <f t="shared" si="192"/>
        <v/>
      </c>
      <c r="J799">
        <f>SUM($G$3:I799)</f>
        <v>12840943</v>
      </c>
      <c r="K799">
        <f t="shared" si="193"/>
        <v>37630</v>
      </c>
      <c r="L799">
        <f t="shared" si="194"/>
        <v>1.266</v>
      </c>
      <c r="M799">
        <f t="shared" si="195"/>
        <v>1.1294999999999999</v>
      </c>
      <c r="N799">
        <f t="shared" si="196"/>
        <v>2568188.6</v>
      </c>
      <c r="O799">
        <f t="shared" si="197"/>
        <v>53808.905610000002</v>
      </c>
      <c r="P799">
        <f t="shared" si="198"/>
        <v>22500</v>
      </c>
      <c r="Q799">
        <f t="shared" si="199"/>
        <v>1.5</v>
      </c>
    </row>
    <row r="800" spans="1:17" x14ac:dyDescent="0.25">
      <c r="A800">
        <v>798</v>
      </c>
      <c r="B800">
        <f t="shared" si="185"/>
        <v>27</v>
      </c>
      <c r="C800">
        <f t="shared" si="186"/>
        <v>2</v>
      </c>
      <c r="D800" t="str">
        <f t="shared" si="187"/>
        <v/>
      </c>
      <c r="E800">
        <f t="shared" si="188"/>
        <v>2670</v>
      </c>
      <c r="F800" t="str">
        <f t="shared" si="189"/>
        <v/>
      </c>
      <c r="G800" t="str">
        <f t="shared" si="190"/>
        <v/>
      </c>
      <c r="H800">
        <f t="shared" si="191"/>
        <v>37962</v>
      </c>
      <c r="I800" t="str">
        <f t="shared" si="192"/>
        <v/>
      </c>
      <c r="J800">
        <f>SUM($G$3:I800)</f>
        <v>12878905</v>
      </c>
      <c r="K800">
        <f t="shared" si="193"/>
        <v>37630</v>
      </c>
      <c r="L800">
        <f t="shared" si="194"/>
        <v>1.2669999999999999</v>
      </c>
      <c r="M800">
        <f t="shared" si="195"/>
        <v>1.1294999999999999</v>
      </c>
      <c r="N800">
        <f t="shared" si="196"/>
        <v>2575781</v>
      </c>
      <c r="O800">
        <f t="shared" si="197"/>
        <v>53851.408694999998</v>
      </c>
      <c r="P800">
        <f t="shared" si="198"/>
        <v>22500</v>
      </c>
      <c r="Q800">
        <f t="shared" si="199"/>
        <v>1.5</v>
      </c>
    </row>
    <row r="801" spans="1:22" x14ac:dyDescent="0.25">
      <c r="A801">
        <v>799</v>
      </c>
      <c r="B801">
        <f t="shared" si="185"/>
        <v>27</v>
      </c>
      <c r="C801">
        <f t="shared" si="186"/>
        <v>2</v>
      </c>
      <c r="D801" t="str">
        <f t="shared" si="187"/>
        <v/>
      </c>
      <c r="E801">
        <f t="shared" si="188"/>
        <v>2680</v>
      </c>
      <c r="F801" t="str">
        <f t="shared" si="189"/>
        <v/>
      </c>
      <c r="G801" t="str">
        <f t="shared" si="190"/>
        <v/>
      </c>
      <c r="H801">
        <f t="shared" si="191"/>
        <v>38109</v>
      </c>
      <c r="I801" t="str">
        <f t="shared" si="192"/>
        <v/>
      </c>
      <c r="J801">
        <f>SUM($G$3:I801)</f>
        <v>12917014</v>
      </c>
      <c r="K801">
        <f t="shared" si="193"/>
        <v>37630</v>
      </c>
      <c r="L801">
        <f t="shared" si="194"/>
        <v>1.268</v>
      </c>
      <c r="M801">
        <f t="shared" si="195"/>
        <v>1.1294999999999999</v>
      </c>
      <c r="N801">
        <f t="shared" si="196"/>
        <v>2583402.8000000003</v>
      </c>
      <c r="O801">
        <f t="shared" si="197"/>
        <v>53893.911780000002</v>
      </c>
      <c r="P801">
        <f t="shared" si="198"/>
        <v>22500</v>
      </c>
      <c r="Q801">
        <f t="shared" si="199"/>
        <v>1.5</v>
      </c>
    </row>
    <row r="802" spans="1:22" x14ac:dyDescent="0.25">
      <c r="A802">
        <v>800</v>
      </c>
      <c r="B802">
        <f t="shared" ref="B802:B865" si="200">B772+1</f>
        <v>27</v>
      </c>
      <c r="C802">
        <f t="shared" ref="C802:C865" si="201">C772</f>
        <v>2</v>
      </c>
      <c r="D802" t="str">
        <f t="shared" si="187"/>
        <v/>
      </c>
      <c r="E802">
        <f t="shared" si="188"/>
        <v>2690</v>
      </c>
      <c r="F802" t="str">
        <f t="shared" si="189"/>
        <v/>
      </c>
      <c r="G802" t="str">
        <f t="shared" si="190"/>
        <v/>
      </c>
      <c r="H802">
        <f t="shared" si="191"/>
        <v>38256</v>
      </c>
      <c r="I802" t="str">
        <f t="shared" si="192"/>
        <v/>
      </c>
      <c r="J802">
        <f>SUM($G$3:I802)</f>
        <v>12955270</v>
      </c>
      <c r="K802">
        <f t="shared" si="193"/>
        <v>37630</v>
      </c>
      <c r="L802">
        <f t="shared" si="194"/>
        <v>1.2690000000000001</v>
      </c>
      <c r="M802">
        <f t="shared" si="195"/>
        <v>1.1294999999999999</v>
      </c>
      <c r="N802">
        <f t="shared" si="196"/>
        <v>2591054</v>
      </c>
      <c r="O802">
        <f t="shared" si="197"/>
        <v>53936.414865000006</v>
      </c>
      <c r="P802">
        <f t="shared" si="198"/>
        <v>22500</v>
      </c>
      <c r="Q802">
        <f t="shared" si="199"/>
        <v>1.6</v>
      </c>
      <c r="T802">
        <v>63250</v>
      </c>
      <c r="U802">
        <v>72000</v>
      </c>
      <c r="V802">
        <v>72400</v>
      </c>
    </row>
    <row r="803" spans="1:22" x14ac:dyDescent="0.25">
      <c r="A803">
        <v>801</v>
      </c>
      <c r="B803">
        <f t="shared" si="200"/>
        <v>27</v>
      </c>
      <c r="C803">
        <f t="shared" si="201"/>
        <v>3</v>
      </c>
      <c r="D803" t="str">
        <f t="shared" si="187"/>
        <v/>
      </c>
      <c r="E803" t="str">
        <f t="shared" si="188"/>
        <v/>
      </c>
      <c r="F803">
        <f t="shared" si="189"/>
        <v>1300</v>
      </c>
      <c r="G803" t="str">
        <f t="shared" si="190"/>
        <v/>
      </c>
      <c r="H803" t="str">
        <f t="shared" si="191"/>
        <v/>
      </c>
      <c r="I803">
        <f t="shared" si="192"/>
        <v>27700</v>
      </c>
      <c r="J803">
        <f>SUM($G$3:I803)</f>
        <v>12982970</v>
      </c>
      <c r="K803">
        <f t="shared" si="193"/>
        <v>37630</v>
      </c>
      <c r="L803">
        <f t="shared" si="194"/>
        <v>1.2690000000000001</v>
      </c>
      <c r="M803">
        <f t="shared" si="195"/>
        <v>1.1299999999999999</v>
      </c>
      <c r="N803">
        <f t="shared" si="196"/>
        <v>2596594</v>
      </c>
      <c r="O803">
        <f t="shared" si="197"/>
        <v>53960.291100000002</v>
      </c>
      <c r="P803">
        <f t="shared" si="198"/>
        <v>22500</v>
      </c>
      <c r="Q803">
        <f t="shared" si="199"/>
        <v>1.6</v>
      </c>
      <c r="T803">
        <v>63500</v>
      </c>
      <c r="U803">
        <v>72400</v>
      </c>
      <c r="V803">
        <v>72800</v>
      </c>
    </row>
    <row r="804" spans="1:22" x14ac:dyDescent="0.25">
      <c r="A804">
        <v>802</v>
      </c>
      <c r="B804">
        <f t="shared" si="200"/>
        <v>27</v>
      </c>
      <c r="C804">
        <f t="shared" si="201"/>
        <v>3</v>
      </c>
      <c r="D804" t="str">
        <f t="shared" si="187"/>
        <v/>
      </c>
      <c r="E804" t="str">
        <f t="shared" si="188"/>
        <v/>
      </c>
      <c r="F804">
        <f t="shared" si="189"/>
        <v>1305</v>
      </c>
      <c r="G804" t="str">
        <f t="shared" si="190"/>
        <v/>
      </c>
      <c r="H804" t="str">
        <f t="shared" si="191"/>
        <v/>
      </c>
      <c r="I804">
        <f t="shared" si="192"/>
        <v>27810</v>
      </c>
      <c r="J804">
        <f>SUM($G$3:I804)</f>
        <v>13010780</v>
      </c>
      <c r="K804">
        <f t="shared" si="193"/>
        <v>37630</v>
      </c>
      <c r="L804">
        <f t="shared" si="194"/>
        <v>1.2690000000000001</v>
      </c>
      <c r="M804">
        <f t="shared" si="195"/>
        <v>1.1305000000000001</v>
      </c>
      <c r="N804">
        <f t="shared" si="196"/>
        <v>2602156</v>
      </c>
      <c r="O804">
        <f t="shared" si="197"/>
        <v>53984.167335000013</v>
      </c>
      <c r="P804">
        <f t="shared" si="198"/>
        <v>22500</v>
      </c>
      <c r="Q804">
        <f t="shared" si="199"/>
        <v>1.6</v>
      </c>
    </row>
    <row r="805" spans="1:22" x14ac:dyDescent="0.25">
      <c r="A805">
        <v>803</v>
      </c>
      <c r="B805">
        <f t="shared" si="200"/>
        <v>27</v>
      </c>
      <c r="C805">
        <f t="shared" si="201"/>
        <v>3</v>
      </c>
      <c r="D805" t="str">
        <f t="shared" si="187"/>
        <v/>
      </c>
      <c r="E805" t="str">
        <f t="shared" si="188"/>
        <v/>
      </c>
      <c r="F805">
        <f t="shared" si="189"/>
        <v>1310</v>
      </c>
      <c r="G805" t="str">
        <f t="shared" si="190"/>
        <v/>
      </c>
      <c r="H805" t="str">
        <f t="shared" si="191"/>
        <v/>
      </c>
      <c r="I805">
        <f t="shared" si="192"/>
        <v>27920</v>
      </c>
      <c r="J805">
        <f>SUM($G$3:I805)</f>
        <v>13038700</v>
      </c>
      <c r="K805">
        <f t="shared" si="193"/>
        <v>37630</v>
      </c>
      <c r="L805">
        <f t="shared" si="194"/>
        <v>1.2690000000000001</v>
      </c>
      <c r="M805">
        <f t="shared" si="195"/>
        <v>1.131</v>
      </c>
      <c r="N805">
        <f t="shared" si="196"/>
        <v>2607740</v>
      </c>
      <c r="O805">
        <f t="shared" si="197"/>
        <v>54008.043570000009</v>
      </c>
      <c r="P805">
        <f t="shared" si="198"/>
        <v>22500</v>
      </c>
      <c r="Q805">
        <f t="shared" si="199"/>
        <v>1.6</v>
      </c>
    </row>
    <row r="806" spans="1:22" x14ac:dyDescent="0.25">
      <c r="A806">
        <v>804</v>
      </c>
      <c r="B806">
        <f t="shared" si="200"/>
        <v>27</v>
      </c>
      <c r="C806">
        <f t="shared" si="201"/>
        <v>3</v>
      </c>
      <c r="D806" t="str">
        <f t="shared" si="187"/>
        <v/>
      </c>
      <c r="E806" t="str">
        <f t="shared" si="188"/>
        <v/>
      </c>
      <c r="F806">
        <f t="shared" si="189"/>
        <v>1315</v>
      </c>
      <c r="G806" t="str">
        <f t="shared" si="190"/>
        <v/>
      </c>
      <c r="H806" t="str">
        <f t="shared" si="191"/>
        <v/>
      </c>
      <c r="I806">
        <f t="shared" si="192"/>
        <v>28030</v>
      </c>
      <c r="J806">
        <f>SUM($G$3:I806)</f>
        <v>13066730</v>
      </c>
      <c r="K806">
        <f t="shared" si="193"/>
        <v>37630</v>
      </c>
      <c r="L806">
        <f t="shared" si="194"/>
        <v>1.2690000000000001</v>
      </c>
      <c r="M806">
        <f t="shared" si="195"/>
        <v>1.1315</v>
      </c>
      <c r="N806">
        <f t="shared" si="196"/>
        <v>2613346</v>
      </c>
      <c r="O806">
        <f t="shared" si="197"/>
        <v>54031.919805000005</v>
      </c>
      <c r="P806">
        <f t="shared" si="198"/>
        <v>22500</v>
      </c>
      <c r="Q806">
        <f t="shared" si="199"/>
        <v>1.6</v>
      </c>
    </row>
    <row r="807" spans="1:22" x14ac:dyDescent="0.25">
      <c r="A807">
        <v>805</v>
      </c>
      <c r="B807">
        <f t="shared" si="200"/>
        <v>27</v>
      </c>
      <c r="C807">
        <f t="shared" si="201"/>
        <v>3</v>
      </c>
      <c r="D807" t="str">
        <f t="shared" si="187"/>
        <v/>
      </c>
      <c r="E807" t="str">
        <f t="shared" si="188"/>
        <v/>
      </c>
      <c r="F807">
        <f t="shared" si="189"/>
        <v>1320</v>
      </c>
      <c r="G807" t="str">
        <f t="shared" si="190"/>
        <v/>
      </c>
      <c r="H807" t="str">
        <f t="shared" si="191"/>
        <v/>
      </c>
      <c r="I807">
        <f t="shared" si="192"/>
        <v>28140</v>
      </c>
      <c r="J807">
        <f>SUM($G$3:I807)</f>
        <v>13094870</v>
      </c>
      <c r="K807">
        <f t="shared" si="193"/>
        <v>37630</v>
      </c>
      <c r="L807">
        <f t="shared" si="194"/>
        <v>1.2690000000000001</v>
      </c>
      <c r="M807">
        <f t="shared" si="195"/>
        <v>1.1320000000000001</v>
      </c>
      <c r="N807">
        <f t="shared" si="196"/>
        <v>2618974</v>
      </c>
      <c r="O807">
        <f t="shared" si="197"/>
        <v>54055.796040000016</v>
      </c>
      <c r="P807">
        <f t="shared" si="198"/>
        <v>22500</v>
      </c>
      <c r="Q807">
        <f t="shared" si="199"/>
        <v>1.6</v>
      </c>
    </row>
    <row r="808" spans="1:22" x14ac:dyDescent="0.25">
      <c r="A808">
        <v>806</v>
      </c>
      <c r="B808">
        <f t="shared" si="200"/>
        <v>27</v>
      </c>
      <c r="C808">
        <f t="shared" si="201"/>
        <v>3</v>
      </c>
      <c r="D808" t="str">
        <f t="shared" si="187"/>
        <v/>
      </c>
      <c r="E808" t="str">
        <f t="shared" si="188"/>
        <v/>
      </c>
      <c r="F808">
        <f t="shared" si="189"/>
        <v>1325</v>
      </c>
      <c r="G808" t="str">
        <f t="shared" si="190"/>
        <v/>
      </c>
      <c r="H808" t="str">
        <f t="shared" si="191"/>
        <v/>
      </c>
      <c r="I808">
        <f t="shared" si="192"/>
        <v>28250</v>
      </c>
      <c r="J808">
        <f>SUM($G$3:I808)</f>
        <v>13123120</v>
      </c>
      <c r="K808">
        <f t="shared" si="193"/>
        <v>37630</v>
      </c>
      <c r="L808">
        <f t="shared" si="194"/>
        <v>1.2690000000000001</v>
      </c>
      <c r="M808">
        <f t="shared" si="195"/>
        <v>1.1325000000000001</v>
      </c>
      <c r="N808">
        <f t="shared" si="196"/>
        <v>2624624</v>
      </c>
      <c r="O808">
        <f t="shared" si="197"/>
        <v>54079.672275000012</v>
      </c>
      <c r="P808">
        <f t="shared" si="198"/>
        <v>22500</v>
      </c>
      <c r="Q808">
        <f t="shared" si="199"/>
        <v>1.6</v>
      </c>
    </row>
    <row r="809" spans="1:22" x14ac:dyDescent="0.25">
      <c r="A809">
        <v>807</v>
      </c>
      <c r="B809">
        <f t="shared" si="200"/>
        <v>27</v>
      </c>
      <c r="C809">
        <f t="shared" si="201"/>
        <v>3</v>
      </c>
      <c r="D809" t="str">
        <f t="shared" si="187"/>
        <v/>
      </c>
      <c r="E809" t="str">
        <f t="shared" si="188"/>
        <v/>
      </c>
      <c r="F809">
        <f t="shared" si="189"/>
        <v>1330</v>
      </c>
      <c r="G809" t="str">
        <f t="shared" si="190"/>
        <v/>
      </c>
      <c r="H809" t="str">
        <f t="shared" si="191"/>
        <v/>
      </c>
      <c r="I809">
        <f t="shared" si="192"/>
        <v>28360</v>
      </c>
      <c r="J809">
        <f>SUM($G$3:I809)</f>
        <v>13151480</v>
      </c>
      <c r="K809">
        <f t="shared" si="193"/>
        <v>37630</v>
      </c>
      <c r="L809">
        <f t="shared" si="194"/>
        <v>1.2690000000000001</v>
      </c>
      <c r="M809">
        <f t="shared" si="195"/>
        <v>1.133</v>
      </c>
      <c r="N809">
        <f t="shared" si="196"/>
        <v>2630296</v>
      </c>
      <c r="O809">
        <f t="shared" si="197"/>
        <v>54103.548510000008</v>
      </c>
      <c r="P809">
        <f t="shared" si="198"/>
        <v>22500</v>
      </c>
      <c r="Q809">
        <f t="shared" si="199"/>
        <v>1.6</v>
      </c>
    </row>
    <row r="810" spans="1:22" x14ac:dyDescent="0.25">
      <c r="A810">
        <v>808</v>
      </c>
      <c r="B810">
        <f t="shared" si="200"/>
        <v>27</v>
      </c>
      <c r="C810">
        <f t="shared" si="201"/>
        <v>3</v>
      </c>
      <c r="D810" t="str">
        <f t="shared" si="187"/>
        <v/>
      </c>
      <c r="E810" t="str">
        <f t="shared" si="188"/>
        <v/>
      </c>
      <c r="F810">
        <f t="shared" si="189"/>
        <v>1335</v>
      </c>
      <c r="G810" t="str">
        <f t="shared" si="190"/>
        <v/>
      </c>
      <c r="H810" t="str">
        <f t="shared" si="191"/>
        <v/>
      </c>
      <c r="I810">
        <f t="shared" si="192"/>
        <v>28470</v>
      </c>
      <c r="J810">
        <f>SUM($G$3:I810)</f>
        <v>13179950</v>
      </c>
      <c r="K810">
        <f t="shared" si="193"/>
        <v>37630</v>
      </c>
      <c r="L810">
        <f t="shared" si="194"/>
        <v>1.2690000000000001</v>
      </c>
      <c r="M810">
        <f t="shared" si="195"/>
        <v>1.1335</v>
      </c>
      <c r="N810">
        <f t="shared" si="196"/>
        <v>2635990</v>
      </c>
      <c r="O810">
        <f t="shared" si="197"/>
        <v>54127.424745000004</v>
      </c>
      <c r="P810">
        <f t="shared" si="198"/>
        <v>22500</v>
      </c>
      <c r="Q810">
        <f t="shared" si="199"/>
        <v>1.6</v>
      </c>
    </row>
    <row r="811" spans="1:22" x14ac:dyDescent="0.25">
      <c r="A811">
        <v>809</v>
      </c>
      <c r="B811">
        <f t="shared" si="200"/>
        <v>27</v>
      </c>
      <c r="C811">
        <f t="shared" si="201"/>
        <v>3</v>
      </c>
      <c r="D811" t="str">
        <f t="shared" si="187"/>
        <v/>
      </c>
      <c r="E811" t="str">
        <f t="shared" si="188"/>
        <v/>
      </c>
      <c r="F811">
        <f t="shared" si="189"/>
        <v>1340</v>
      </c>
      <c r="G811" t="str">
        <f t="shared" si="190"/>
        <v/>
      </c>
      <c r="H811" t="str">
        <f t="shared" si="191"/>
        <v/>
      </c>
      <c r="I811">
        <f t="shared" si="192"/>
        <v>28580</v>
      </c>
      <c r="J811">
        <f>SUM($G$3:I811)</f>
        <v>13208530</v>
      </c>
      <c r="K811">
        <f t="shared" si="193"/>
        <v>37630</v>
      </c>
      <c r="L811">
        <f t="shared" si="194"/>
        <v>1.2690000000000001</v>
      </c>
      <c r="M811">
        <f t="shared" si="195"/>
        <v>1.1339999999999999</v>
      </c>
      <c r="N811">
        <f t="shared" si="196"/>
        <v>2641706</v>
      </c>
      <c r="O811">
        <f t="shared" si="197"/>
        <v>54151.300980000007</v>
      </c>
      <c r="P811">
        <f t="shared" si="198"/>
        <v>22500</v>
      </c>
      <c r="Q811">
        <f t="shared" si="199"/>
        <v>1.6</v>
      </c>
    </row>
    <row r="812" spans="1:22" x14ac:dyDescent="0.25">
      <c r="A812">
        <v>810</v>
      </c>
      <c r="B812">
        <f t="shared" si="200"/>
        <v>27</v>
      </c>
      <c r="C812">
        <f t="shared" si="201"/>
        <v>3</v>
      </c>
      <c r="D812" t="str">
        <f t="shared" si="187"/>
        <v/>
      </c>
      <c r="E812" t="str">
        <f t="shared" si="188"/>
        <v/>
      </c>
      <c r="F812">
        <f t="shared" si="189"/>
        <v>1345</v>
      </c>
      <c r="G812" t="str">
        <f t="shared" si="190"/>
        <v/>
      </c>
      <c r="H812" t="str">
        <f t="shared" si="191"/>
        <v/>
      </c>
      <c r="I812">
        <f t="shared" si="192"/>
        <v>28690</v>
      </c>
      <c r="J812">
        <f>SUM($G$3:I812)</f>
        <v>13237220</v>
      </c>
      <c r="K812">
        <f t="shared" si="193"/>
        <v>37630</v>
      </c>
      <c r="L812">
        <f t="shared" si="194"/>
        <v>1.2690000000000001</v>
      </c>
      <c r="M812">
        <f t="shared" si="195"/>
        <v>1.1345000000000001</v>
      </c>
      <c r="N812">
        <f t="shared" si="196"/>
        <v>2647444</v>
      </c>
      <c r="O812">
        <f t="shared" si="197"/>
        <v>54175.177215000011</v>
      </c>
      <c r="P812">
        <f t="shared" si="198"/>
        <v>22500</v>
      </c>
      <c r="Q812">
        <f t="shared" si="199"/>
        <v>1.6</v>
      </c>
    </row>
    <row r="813" spans="1:22" x14ac:dyDescent="0.25">
      <c r="A813">
        <v>811</v>
      </c>
      <c r="B813">
        <f t="shared" si="200"/>
        <v>28</v>
      </c>
      <c r="C813">
        <f t="shared" si="201"/>
        <v>1</v>
      </c>
      <c r="D813">
        <f t="shared" si="187"/>
        <v>3790</v>
      </c>
      <c r="E813" t="str">
        <f t="shared" si="188"/>
        <v/>
      </c>
      <c r="F813" t="str">
        <f t="shared" si="189"/>
        <v/>
      </c>
      <c r="G813">
        <f t="shared" si="190"/>
        <v>57600</v>
      </c>
      <c r="H813" t="str">
        <f t="shared" si="191"/>
        <v/>
      </c>
      <c r="I813" t="str">
        <f t="shared" si="192"/>
        <v/>
      </c>
      <c r="J813">
        <f>SUM($G$3:I813)</f>
        <v>13294820</v>
      </c>
      <c r="K813">
        <f t="shared" si="193"/>
        <v>37900</v>
      </c>
      <c r="L813">
        <f t="shared" si="194"/>
        <v>1.2690000000000001</v>
      </c>
      <c r="M813">
        <f t="shared" si="195"/>
        <v>1.1345000000000001</v>
      </c>
      <c r="N813">
        <f t="shared" si="196"/>
        <v>2658964</v>
      </c>
      <c r="O813">
        <f t="shared" si="197"/>
        <v>54563.890950000008</v>
      </c>
      <c r="P813">
        <f t="shared" si="198"/>
        <v>22500</v>
      </c>
      <c r="Q813">
        <f t="shared" si="199"/>
        <v>1.6</v>
      </c>
    </row>
    <row r="814" spans="1:22" x14ac:dyDescent="0.25">
      <c r="A814">
        <v>812</v>
      </c>
      <c r="B814">
        <f t="shared" si="200"/>
        <v>28</v>
      </c>
      <c r="C814">
        <f t="shared" si="201"/>
        <v>1</v>
      </c>
      <c r="D814">
        <f t="shared" si="187"/>
        <v>3818</v>
      </c>
      <c r="E814" t="str">
        <f t="shared" si="188"/>
        <v/>
      </c>
      <c r="F814" t="str">
        <f t="shared" si="189"/>
        <v/>
      </c>
      <c r="G814">
        <f t="shared" si="190"/>
        <v>57820</v>
      </c>
      <c r="H814" t="str">
        <f t="shared" si="191"/>
        <v/>
      </c>
      <c r="I814" t="str">
        <f t="shared" si="192"/>
        <v/>
      </c>
      <c r="J814">
        <f>SUM($G$3:I814)</f>
        <v>13352640</v>
      </c>
      <c r="K814">
        <f t="shared" si="193"/>
        <v>38180</v>
      </c>
      <c r="L814">
        <f t="shared" si="194"/>
        <v>1.2690000000000001</v>
      </c>
      <c r="M814">
        <f t="shared" si="195"/>
        <v>1.1345000000000001</v>
      </c>
      <c r="N814">
        <f t="shared" si="196"/>
        <v>2670528</v>
      </c>
      <c r="O814">
        <f t="shared" si="197"/>
        <v>54967.00149000001</v>
      </c>
      <c r="P814">
        <f t="shared" si="198"/>
        <v>22500</v>
      </c>
      <c r="Q814">
        <f t="shared" si="199"/>
        <v>1.6</v>
      </c>
    </row>
    <row r="815" spans="1:22" x14ac:dyDescent="0.25">
      <c r="A815">
        <v>813</v>
      </c>
      <c r="B815">
        <f t="shared" si="200"/>
        <v>28</v>
      </c>
      <c r="C815">
        <f t="shared" si="201"/>
        <v>1</v>
      </c>
      <c r="D815">
        <f t="shared" si="187"/>
        <v>3846</v>
      </c>
      <c r="E815" t="str">
        <f t="shared" si="188"/>
        <v/>
      </c>
      <c r="F815" t="str">
        <f t="shared" si="189"/>
        <v/>
      </c>
      <c r="G815">
        <f t="shared" si="190"/>
        <v>58040</v>
      </c>
      <c r="H815" t="str">
        <f t="shared" si="191"/>
        <v/>
      </c>
      <c r="I815" t="str">
        <f t="shared" si="192"/>
        <v/>
      </c>
      <c r="J815">
        <f>SUM($G$3:I815)</f>
        <v>13410680</v>
      </c>
      <c r="K815">
        <f t="shared" si="193"/>
        <v>38460</v>
      </c>
      <c r="L815">
        <f t="shared" si="194"/>
        <v>1.2690000000000001</v>
      </c>
      <c r="M815">
        <f t="shared" si="195"/>
        <v>1.1345000000000001</v>
      </c>
      <c r="N815">
        <f t="shared" si="196"/>
        <v>2682136</v>
      </c>
      <c r="O815">
        <f t="shared" si="197"/>
        <v>55370.112030000011</v>
      </c>
      <c r="P815">
        <f t="shared" si="198"/>
        <v>22500</v>
      </c>
      <c r="Q815">
        <f t="shared" si="199"/>
        <v>1.6</v>
      </c>
    </row>
    <row r="816" spans="1:22" x14ac:dyDescent="0.25">
      <c r="A816">
        <v>814</v>
      </c>
      <c r="B816">
        <f t="shared" si="200"/>
        <v>28</v>
      </c>
      <c r="C816">
        <f t="shared" si="201"/>
        <v>1</v>
      </c>
      <c r="D816">
        <f t="shared" si="187"/>
        <v>3874</v>
      </c>
      <c r="E816" t="str">
        <f t="shared" si="188"/>
        <v/>
      </c>
      <c r="F816" t="str">
        <f t="shared" si="189"/>
        <v/>
      </c>
      <c r="G816">
        <f t="shared" si="190"/>
        <v>58260</v>
      </c>
      <c r="H816" t="str">
        <f t="shared" si="191"/>
        <v/>
      </c>
      <c r="I816" t="str">
        <f t="shared" si="192"/>
        <v/>
      </c>
      <c r="J816">
        <f>SUM($G$3:I816)</f>
        <v>13468940</v>
      </c>
      <c r="K816">
        <f t="shared" si="193"/>
        <v>38740</v>
      </c>
      <c r="L816">
        <f t="shared" si="194"/>
        <v>1.2690000000000001</v>
      </c>
      <c r="M816">
        <f t="shared" si="195"/>
        <v>1.1345000000000001</v>
      </c>
      <c r="N816">
        <f t="shared" si="196"/>
        <v>2693788</v>
      </c>
      <c r="O816">
        <f t="shared" si="197"/>
        <v>55773.222570000005</v>
      </c>
      <c r="P816">
        <f t="shared" si="198"/>
        <v>22500</v>
      </c>
      <c r="Q816">
        <f t="shared" si="199"/>
        <v>1.6</v>
      </c>
    </row>
    <row r="817" spans="1:17" x14ac:dyDescent="0.25">
      <c r="A817">
        <v>815</v>
      </c>
      <c r="B817">
        <f t="shared" si="200"/>
        <v>28</v>
      </c>
      <c r="C817">
        <f t="shared" si="201"/>
        <v>1</v>
      </c>
      <c r="D817">
        <f t="shared" si="187"/>
        <v>3902</v>
      </c>
      <c r="E817" t="str">
        <f t="shared" si="188"/>
        <v/>
      </c>
      <c r="F817" t="str">
        <f t="shared" si="189"/>
        <v/>
      </c>
      <c r="G817">
        <f t="shared" si="190"/>
        <v>58480</v>
      </c>
      <c r="H817" t="str">
        <f t="shared" si="191"/>
        <v/>
      </c>
      <c r="I817" t="str">
        <f t="shared" si="192"/>
        <v/>
      </c>
      <c r="J817">
        <f>SUM($G$3:I817)</f>
        <v>13527420</v>
      </c>
      <c r="K817">
        <f t="shared" si="193"/>
        <v>39020</v>
      </c>
      <c r="L817">
        <f t="shared" si="194"/>
        <v>1.2690000000000001</v>
      </c>
      <c r="M817">
        <f t="shared" si="195"/>
        <v>1.1345000000000001</v>
      </c>
      <c r="N817">
        <f t="shared" si="196"/>
        <v>2705484</v>
      </c>
      <c r="O817">
        <f t="shared" si="197"/>
        <v>56176.333110000007</v>
      </c>
      <c r="P817">
        <f t="shared" si="198"/>
        <v>22500</v>
      </c>
      <c r="Q817">
        <f t="shared" si="199"/>
        <v>1.6</v>
      </c>
    </row>
    <row r="818" spans="1:17" x14ac:dyDescent="0.25">
      <c r="A818">
        <v>816</v>
      </c>
      <c r="B818">
        <f t="shared" si="200"/>
        <v>28</v>
      </c>
      <c r="C818">
        <f t="shared" si="201"/>
        <v>1</v>
      </c>
      <c r="D818">
        <f t="shared" si="187"/>
        <v>3930</v>
      </c>
      <c r="E818" t="str">
        <f t="shared" si="188"/>
        <v/>
      </c>
      <c r="F818" t="str">
        <f t="shared" si="189"/>
        <v/>
      </c>
      <c r="G818">
        <f t="shared" si="190"/>
        <v>58700</v>
      </c>
      <c r="H818" t="str">
        <f t="shared" si="191"/>
        <v/>
      </c>
      <c r="I818" t="str">
        <f t="shared" si="192"/>
        <v/>
      </c>
      <c r="J818">
        <f>SUM($G$3:I818)</f>
        <v>13586120</v>
      </c>
      <c r="K818">
        <f t="shared" si="193"/>
        <v>39300</v>
      </c>
      <c r="L818">
        <f t="shared" si="194"/>
        <v>1.2690000000000001</v>
      </c>
      <c r="M818">
        <f t="shared" si="195"/>
        <v>1.1345000000000001</v>
      </c>
      <c r="N818">
        <f t="shared" si="196"/>
        <v>2717224</v>
      </c>
      <c r="O818">
        <f t="shared" si="197"/>
        <v>56579.443650000008</v>
      </c>
      <c r="P818">
        <f t="shared" si="198"/>
        <v>22500</v>
      </c>
      <c r="Q818">
        <f t="shared" si="199"/>
        <v>1.6</v>
      </c>
    </row>
    <row r="819" spans="1:17" x14ac:dyDescent="0.25">
      <c r="A819">
        <v>817</v>
      </c>
      <c r="B819">
        <f t="shared" si="200"/>
        <v>28</v>
      </c>
      <c r="C819">
        <f t="shared" si="201"/>
        <v>1</v>
      </c>
      <c r="D819">
        <f t="shared" si="187"/>
        <v>3958</v>
      </c>
      <c r="E819" t="str">
        <f t="shared" si="188"/>
        <v/>
      </c>
      <c r="F819" t="str">
        <f t="shared" si="189"/>
        <v/>
      </c>
      <c r="G819">
        <f t="shared" si="190"/>
        <v>58920</v>
      </c>
      <c r="H819" t="str">
        <f t="shared" si="191"/>
        <v/>
      </c>
      <c r="I819" t="str">
        <f t="shared" si="192"/>
        <v/>
      </c>
      <c r="J819">
        <f>SUM($G$3:I819)</f>
        <v>13645040</v>
      </c>
      <c r="K819">
        <f t="shared" si="193"/>
        <v>39580</v>
      </c>
      <c r="L819">
        <f t="shared" si="194"/>
        <v>1.2690000000000001</v>
      </c>
      <c r="M819">
        <f t="shared" si="195"/>
        <v>1.1345000000000001</v>
      </c>
      <c r="N819">
        <f t="shared" si="196"/>
        <v>2729008</v>
      </c>
      <c r="O819">
        <f t="shared" si="197"/>
        <v>56982.55419000001</v>
      </c>
      <c r="P819">
        <f t="shared" si="198"/>
        <v>22500</v>
      </c>
      <c r="Q819">
        <f t="shared" si="199"/>
        <v>1.6</v>
      </c>
    </row>
    <row r="820" spans="1:17" x14ac:dyDescent="0.25">
      <c r="A820">
        <v>818</v>
      </c>
      <c r="B820">
        <f t="shared" si="200"/>
        <v>28</v>
      </c>
      <c r="C820">
        <f t="shared" si="201"/>
        <v>1</v>
      </c>
      <c r="D820">
        <f t="shared" si="187"/>
        <v>3986</v>
      </c>
      <c r="E820" t="str">
        <f t="shared" si="188"/>
        <v/>
      </c>
      <c r="F820" t="str">
        <f t="shared" si="189"/>
        <v/>
      </c>
      <c r="G820">
        <f t="shared" si="190"/>
        <v>59140</v>
      </c>
      <c r="H820" t="str">
        <f t="shared" si="191"/>
        <v/>
      </c>
      <c r="I820" t="str">
        <f t="shared" si="192"/>
        <v/>
      </c>
      <c r="J820">
        <f>SUM($G$3:I820)</f>
        <v>13704180</v>
      </c>
      <c r="K820">
        <f t="shared" si="193"/>
        <v>39860</v>
      </c>
      <c r="L820">
        <f t="shared" si="194"/>
        <v>1.2690000000000001</v>
      </c>
      <c r="M820">
        <f t="shared" si="195"/>
        <v>1.1345000000000001</v>
      </c>
      <c r="N820">
        <f t="shared" si="196"/>
        <v>2740836</v>
      </c>
      <c r="O820">
        <f t="shared" si="197"/>
        <v>57385.664730000004</v>
      </c>
      <c r="P820">
        <f t="shared" si="198"/>
        <v>22500</v>
      </c>
      <c r="Q820">
        <f t="shared" si="199"/>
        <v>1.6</v>
      </c>
    </row>
    <row r="821" spans="1:17" x14ac:dyDescent="0.25">
      <c r="A821">
        <v>819</v>
      </c>
      <c r="B821">
        <f t="shared" si="200"/>
        <v>28</v>
      </c>
      <c r="C821">
        <f t="shared" si="201"/>
        <v>1</v>
      </c>
      <c r="D821">
        <f t="shared" si="187"/>
        <v>4014</v>
      </c>
      <c r="E821" t="str">
        <f t="shared" si="188"/>
        <v/>
      </c>
      <c r="F821" t="str">
        <f t="shared" si="189"/>
        <v/>
      </c>
      <c r="G821">
        <f t="shared" si="190"/>
        <v>59360</v>
      </c>
      <c r="H821" t="str">
        <f t="shared" si="191"/>
        <v/>
      </c>
      <c r="I821" t="str">
        <f t="shared" si="192"/>
        <v/>
      </c>
      <c r="J821">
        <f>SUM($G$3:I821)</f>
        <v>13763540</v>
      </c>
      <c r="K821">
        <f t="shared" si="193"/>
        <v>40140</v>
      </c>
      <c r="L821">
        <f t="shared" si="194"/>
        <v>1.2690000000000001</v>
      </c>
      <c r="M821">
        <f t="shared" si="195"/>
        <v>1.1345000000000001</v>
      </c>
      <c r="N821">
        <f t="shared" si="196"/>
        <v>2752708</v>
      </c>
      <c r="O821">
        <f t="shared" si="197"/>
        <v>57788.775270000006</v>
      </c>
      <c r="P821">
        <f t="shared" si="198"/>
        <v>22500</v>
      </c>
      <c r="Q821">
        <f t="shared" si="199"/>
        <v>1.6</v>
      </c>
    </row>
    <row r="822" spans="1:17" x14ac:dyDescent="0.25">
      <c r="A822">
        <v>820</v>
      </c>
      <c r="B822">
        <f t="shared" si="200"/>
        <v>28</v>
      </c>
      <c r="C822">
        <f t="shared" si="201"/>
        <v>1</v>
      </c>
      <c r="D822">
        <f t="shared" si="187"/>
        <v>4042</v>
      </c>
      <c r="E822" t="str">
        <f t="shared" si="188"/>
        <v/>
      </c>
      <c r="F822" t="str">
        <f t="shared" si="189"/>
        <v/>
      </c>
      <c r="G822">
        <f t="shared" si="190"/>
        <v>59580</v>
      </c>
      <c r="H822" t="str">
        <f t="shared" si="191"/>
        <v/>
      </c>
      <c r="I822" t="str">
        <f t="shared" si="192"/>
        <v/>
      </c>
      <c r="J822">
        <f>SUM($G$3:I822)</f>
        <v>13823120</v>
      </c>
      <c r="K822">
        <f t="shared" si="193"/>
        <v>40420</v>
      </c>
      <c r="L822">
        <f t="shared" si="194"/>
        <v>1.2690000000000001</v>
      </c>
      <c r="M822">
        <f t="shared" si="195"/>
        <v>1.1345000000000001</v>
      </c>
      <c r="N822">
        <f t="shared" si="196"/>
        <v>2764624</v>
      </c>
      <c r="O822">
        <f t="shared" si="197"/>
        <v>58191.885810000007</v>
      </c>
      <c r="P822">
        <f t="shared" si="198"/>
        <v>24800</v>
      </c>
      <c r="Q822">
        <f t="shared" si="199"/>
        <v>1.6</v>
      </c>
    </row>
    <row r="823" spans="1:17" x14ac:dyDescent="0.25">
      <c r="A823">
        <v>821</v>
      </c>
      <c r="B823">
        <f t="shared" si="200"/>
        <v>28</v>
      </c>
      <c r="C823">
        <f t="shared" si="201"/>
        <v>2</v>
      </c>
      <c r="D823" t="str">
        <f t="shared" si="187"/>
        <v/>
      </c>
      <c r="E823">
        <f t="shared" si="188"/>
        <v>2700</v>
      </c>
      <c r="F823" t="str">
        <f t="shared" si="189"/>
        <v/>
      </c>
      <c r="G823" t="str">
        <f t="shared" si="190"/>
        <v/>
      </c>
      <c r="H823">
        <f t="shared" si="191"/>
        <v>38400</v>
      </c>
      <c r="I823" t="str">
        <f t="shared" si="192"/>
        <v/>
      </c>
      <c r="J823">
        <f>SUM($G$3:I823)</f>
        <v>13861520</v>
      </c>
      <c r="K823">
        <f t="shared" si="193"/>
        <v>40420</v>
      </c>
      <c r="L823">
        <f t="shared" si="194"/>
        <v>1.27</v>
      </c>
      <c r="M823">
        <f t="shared" si="195"/>
        <v>1.1345000000000001</v>
      </c>
      <c r="N823">
        <f t="shared" si="196"/>
        <v>2772304</v>
      </c>
      <c r="O823">
        <f t="shared" si="197"/>
        <v>58237.742300000005</v>
      </c>
      <c r="P823">
        <f t="shared" si="198"/>
        <v>24800</v>
      </c>
      <c r="Q823">
        <f t="shared" si="199"/>
        <v>1.6</v>
      </c>
    </row>
    <row r="824" spans="1:17" x14ac:dyDescent="0.25">
      <c r="A824">
        <v>822</v>
      </c>
      <c r="B824">
        <f t="shared" si="200"/>
        <v>28</v>
      </c>
      <c r="C824">
        <f t="shared" si="201"/>
        <v>2</v>
      </c>
      <c r="D824" t="str">
        <f t="shared" si="187"/>
        <v/>
      </c>
      <c r="E824">
        <f t="shared" si="188"/>
        <v>2710</v>
      </c>
      <c r="F824" t="str">
        <f t="shared" si="189"/>
        <v/>
      </c>
      <c r="G824" t="str">
        <f t="shared" si="190"/>
        <v/>
      </c>
      <c r="H824">
        <f t="shared" si="191"/>
        <v>38547</v>
      </c>
      <c r="I824" t="str">
        <f t="shared" si="192"/>
        <v/>
      </c>
      <c r="J824">
        <f>SUM($G$3:I824)</f>
        <v>13900067</v>
      </c>
      <c r="K824">
        <f t="shared" si="193"/>
        <v>40420</v>
      </c>
      <c r="L824">
        <f t="shared" si="194"/>
        <v>1.2709999999999999</v>
      </c>
      <c r="M824">
        <f t="shared" si="195"/>
        <v>1.1345000000000001</v>
      </c>
      <c r="N824">
        <f t="shared" si="196"/>
        <v>2780013.4000000004</v>
      </c>
      <c r="O824">
        <f t="shared" si="197"/>
        <v>58283.598790000004</v>
      </c>
      <c r="P824">
        <f t="shared" si="198"/>
        <v>24800</v>
      </c>
      <c r="Q824">
        <f t="shared" si="199"/>
        <v>1.6</v>
      </c>
    </row>
    <row r="825" spans="1:17" x14ac:dyDescent="0.25">
      <c r="A825">
        <v>823</v>
      </c>
      <c r="B825">
        <f t="shared" si="200"/>
        <v>28</v>
      </c>
      <c r="C825">
        <f t="shared" si="201"/>
        <v>2</v>
      </c>
      <c r="D825" t="str">
        <f t="shared" si="187"/>
        <v/>
      </c>
      <c r="E825">
        <f t="shared" si="188"/>
        <v>2720</v>
      </c>
      <c r="F825" t="str">
        <f t="shared" si="189"/>
        <v/>
      </c>
      <c r="G825" t="str">
        <f t="shared" si="190"/>
        <v/>
      </c>
      <c r="H825">
        <f t="shared" si="191"/>
        <v>38694</v>
      </c>
      <c r="I825" t="str">
        <f t="shared" si="192"/>
        <v/>
      </c>
      <c r="J825">
        <f>SUM($G$3:I825)</f>
        <v>13938761</v>
      </c>
      <c r="K825">
        <f t="shared" si="193"/>
        <v>40420</v>
      </c>
      <c r="L825">
        <f t="shared" si="194"/>
        <v>1.272</v>
      </c>
      <c r="M825">
        <f t="shared" si="195"/>
        <v>1.1345000000000001</v>
      </c>
      <c r="N825">
        <f t="shared" si="196"/>
        <v>2787752.2</v>
      </c>
      <c r="O825">
        <f t="shared" si="197"/>
        <v>58329.455280000002</v>
      </c>
      <c r="P825">
        <f t="shared" si="198"/>
        <v>24800</v>
      </c>
      <c r="Q825">
        <f t="shared" si="199"/>
        <v>1.6</v>
      </c>
    </row>
    <row r="826" spans="1:17" x14ac:dyDescent="0.25">
      <c r="A826">
        <v>824</v>
      </c>
      <c r="B826">
        <f t="shared" si="200"/>
        <v>28</v>
      </c>
      <c r="C826">
        <f t="shared" si="201"/>
        <v>2</v>
      </c>
      <c r="D826" t="str">
        <f t="shared" si="187"/>
        <v/>
      </c>
      <c r="E826">
        <f t="shared" si="188"/>
        <v>2730</v>
      </c>
      <c r="F826" t="str">
        <f t="shared" si="189"/>
        <v/>
      </c>
      <c r="G826" t="str">
        <f t="shared" si="190"/>
        <v/>
      </c>
      <c r="H826">
        <f t="shared" si="191"/>
        <v>38841</v>
      </c>
      <c r="I826" t="str">
        <f t="shared" si="192"/>
        <v/>
      </c>
      <c r="J826">
        <f>SUM($G$3:I826)</f>
        <v>13977602</v>
      </c>
      <c r="K826">
        <f t="shared" si="193"/>
        <v>40420</v>
      </c>
      <c r="L826">
        <f t="shared" si="194"/>
        <v>1.2730000000000001</v>
      </c>
      <c r="M826">
        <f t="shared" si="195"/>
        <v>1.1345000000000001</v>
      </c>
      <c r="N826">
        <f t="shared" si="196"/>
        <v>2795520.4000000004</v>
      </c>
      <c r="O826">
        <f t="shared" si="197"/>
        <v>58375.311770000008</v>
      </c>
      <c r="P826">
        <f t="shared" si="198"/>
        <v>24800</v>
      </c>
      <c r="Q826">
        <f t="shared" si="199"/>
        <v>1.6</v>
      </c>
    </row>
    <row r="827" spans="1:17" x14ac:dyDescent="0.25">
      <c r="A827">
        <v>825</v>
      </c>
      <c r="B827">
        <f t="shared" si="200"/>
        <v>28</v>
      </c>
      <c r="C827">
        <f t="shared" si="201"/>
        <v>2</v>
      </c>
      <c r="D827" t="str">
        <f t="shared" si="187"/>
        <v/>
      </c>
      <c r="E827">
        <f t="shared" si="188"/>
        <v>2740</v>
      </c>
      <c r="F827" t="str">
        <f t="shared" si="189"/>
        <v/>
      </c>
      <c r="G827" t="str">
        <f t="shared" si="190"/>
        <v/>
      </c>
      <c r="H827">
        <f t="shared" si="191"/>
        <v>38988</v>
      </c>
      <c r="I827" t="str">
        <f t="shared" si="192"/>
        <v/>
      </c>
      <c r="J827">
        <f>SUM($G$3:I827)</f>
        <v>14016590</v>
      </c>
      <c r="K827">
        <f t="shared" si="193"/>
        <v>40420</v>
      </c>
      <c r="L827">
        <f t="shared" si="194"/>
        <v>1.274</v>
      </c>
      <c r="M827">
        <f t="shared" si="195"/>
        <v>1.1345000000000001</v>
      </c>
      <c r="N827">
        <f t="shared" si="196"/>
        <v>2803318</v>
      </c>
      <c r="O827">
        <f t="shared" si="197"/>
        <v>58421.168260000006</v>
      </c>
      <c r="P827">
        <f t="shared" si="198"/>
        <v>24800</v>
      </c>
      <c r="Q827">
        <f t="shared" si="199"/>
        <v>1.6</v>
      </c>
    </row>
    <row r="828" spans="1:17" x14ac:dyDescent="0.25">
      <c r="A828">
        <v>826</v>
      </c>
      <c r="B828">
        <f t="shared" si="200"/>
        <v>28</v>
      </c>
      <c r="C828">
        <f t="shared" si="201"/>
        <v>2</v>
      </c>
      <c r="D828" t="str">
        <f t="shared" si="187"/>
        <v/>
      </c>
      <c r="E828">
        <f t="shared" si="188"/>
        <v>2750</v>
      </c>
      <c r="F828" t="str">
        <f t="shared" si="189"/>
        <v/>
      </c>
      <c r="G828" t="str">
        <f t="shared" si="190"/>
        <v/>
      </c>
      <c r="H828">
        <f t="shared" si="191"/>
        <v>39135</v>
      </c>
      <c r="I828" t="str">
        <f t="shared" si="192"/>
        <v/>
      </c>
      <c r="J828">
        <f>SUM($G$3:I828)</f>
        <v>14055725</v>
      </c>
      <c r="K828">
        <f t="shared" si="193"/>
        <v>40420</v>
      </c>
      <c r="L828">
        <f t="shared" si="194"/>
        <v>1.2749999999999999</v>
      </c>
      <c r="M828">
        <f t="shared" si="195"/>
        <v>1.1345000000000001</v>
      </c>
      <c r="N828">
        <f t="shared" si="196"/>
        <v>2811145</v>
      </c>
      <c r="O828">
        <f t="shared" si="197"/>
        <v>58467.024750000004</v>
      </c>
      <c r="P828">
        <f t="shared" si="198"/>
        <v>24800</v>
      </c>
      <c r="Q828">
        <f t="shared" si="199"/>
        <v>1.6</v>
      </c>
    </row>
    <row r="829" spans="1:17" x14ac:dyDescent="0.25">
      <c r="A829">
        <v>827</v>
      </c>
      <c r="B829">
        <f t="shared" si="200"/>
        <v>28</v>
      </c>
      <c r="C829">
        <f t="shared" si="201"/>
        <v>2</v>
      </c>
      <c r="D829" t="str">
        <f t="shared" si="187"/>
        <v/>
      </c>
      <c r="E829">
        <f t="shared" si="188"/>
        <v>2760</v>
      </c>
      <c r="F829" t="str">
        <f t="shared" si="189"/>
        <v/>
      </c>
      <c r="G829" t="str">
        <f t="shared" si="190"/>
        <v/>
      </c>
      <c r="H829">
        <f t="shared" si="191"/>
        <v>39282</v>
      </c>
      <c r="I829" t="str">
        <f t="shared" si="192"/>
        <v/>
      </c>
      <c r="J829">
        <f>SUM($G$3:I829)</f>
        <v>14095007</v>
      </c>
      <c r="K829">
        <f t="shared" si="193"/>
        <v>40420</v>
      </c>
      <c r="L829">
        <f t="shared" si="194"/>
        <v>1.276</v>
      </c>
      <c r="M829">
        <f t="shared" si="195"/>
        <v>1.1345000000000001</v>
      </c>
      <c r="N829">
        <f t="shared" si="196"/>
        <v>2819001.4000000004</v>
      </c>
      <c r="O829">
        <f t="shared" si="197"/>
        <v>58512.881240000002</v>
      </c>
      <c r="P829">
        <f t="shared" si="198"/>
        <v>24800</v>
      </c>
      <c r="Q829">
        <f t="shared" si="199"/>
        <v>1.6</v>
      </c>
    </row>
    <row r="830" spans="1:17" x14ac:dyDescent="0.25">
      <c r="A830">
        <v>828</v>
      </c>
      <c r="B830">
        <f t="shared" si="200"/>
        <v>28</v>
      </c>
      <c r="C830">
        <f t="shared" si="201"/>
        <v>2</v>
      </c>
      <c r="D830" t="str">
        <f t="shared" si="187"/>
        <v/>
      </c>
      <c r="E830">
        <f t="shared" si="188"/>
        <v>2770</v>
      </c>
      <c r="F830" t="str">
        <f t="shared" si="189"/>
        <v/>
      </c>
      <c r="G830" t="str">
        <f t="shared" si="190"/>
        <v/>
      </c>
      <c r="H830">
        <f t="shared" si="191"/>
        <v>39429</v>
      </c>
      <c r="I830" t="str">
        <f t="shared" si="192"/>
        <v/>
      </c>
      <c r="J830">
        <f>SUM($G$3:I830)</f>
        <v>14134436</v>
      </c>
      <c r="K830">
        <f t="shared" si="193"/>
        <v>40420</v>
      </c>
      <c r="L830">
        <f t="shared" si="194"/>
        <v>1.2770000000000001</v>
      </c>
      <c r="M830">
        <f t="shared" si="195"/>
        <v>1.1345000000000001</v>
      </c>
      <c r="N830">
        <f t="shared" si="196"/>
        <v>2826887.2</v>
      </c>
      <c r="O830">
        <f t="shared" si="197"/>
        <v>58558.737730000008</v>
      </c>
      <c r="P830">
        <f t="shared" si="198"/>
        <v>24800</v>
      </c>
      <c r="Q830">
        <f t="shared" si="199"/>
        <v>1.6</v>
      </c>
    </row>
    <row r="831" spans="1:17" x14ac:dyDescent="0.25">
      <c r="A831">
        <v>829</v>
      </c>
      <c r="B831">
        <f t="shared" si="200"/>
        <v>28</v>
      </c>
      <c r="C831">
        <f t="shared" si="201"/>
        <v>2</v>
      </c>
      <c r="D831" t="str">
        <f t="shared" si="187"/>
        <v/>
      </c>
      <c r="E831">
        <f t="shared" si="188"/>
        <v>2780</v>
      </c>
      <c r="F831" t="str">
        <f t="shared" si="189"/>
        <v/>
      </c>
      <c r="G831" t="str">
        <f t="shared" si="190"/>
        <v/>
      </c>
      <c r="H831">
        <f t="shared" si="191"/>
        <v>39576</v>
      </c>
      <c r="I831" t="str">
        <f t="shared" si="192"/>
        <v/>
      </c>
      <c r="J831">
        <f>SUM($G$3:I831)</f>
        <v>14174012</v>
      </c>
      <c r="K831">
        <f t="shared" si="193"/>
        <v>40420</v>
      </c>
      <c r="L831">
        <f t="shared" si="194"/>
        <v>1.278</v>
      </c>
      <c r="M831">
        <f t="shared" si="195"/>
        <v>1.1345000000000001</v>
      </c>
      <c r="N831">
        <f t="shared" si="196"/>
        <v>2834802.4000000004</v>
      </c>
      <c r="O831">
        <f t="shared" si="197"/>
        <v>58604.594220000006</v>
      </c>
      <c r="P831">
        <f t="shared" si="198"/>
        <v>24800</v>
      </c>
      <c r="Q831">
        <f t="shared" si="199"/>
        <v>1.6</v>
      </c>
    </row>
    <row r="832" spans="1:17" x14ac:dyDescent="0.25">
      <c r="A832">
        <v>830</v>
      </c>
      <c r="B832">
        <f t="shared" si="200"/>
        <v>28</v>
      </c>
      <c r="C832">
        <f t="shared" si="201"/>
        <v>2</v>
      </c>
      <c r="D832" t="str">
        <f t="shared" si="187"/>
        <v/>
      </c>
      <c r="E832">
        <f t="shared" si="188"/>
        <v>2790</v>
      </c>
      <c r="F832" t="str">
        <f t="shared" si="189"/>
        <v/>
      </c>
      <c r="G832" t="str">
        <f t="shared" si="190"/>
        <v/>
      </c>
      <c r="H832">
        <f t="shared" si="191"/>
        <v>39723</v>
      </c>
      <c r="I832" t="str">
        <f t="shared" si="192"/>
        <v/>
      </c>
      <c r="J832">
        <f>SUM($G$3:I832)</f>
        <v>14213735</v>
      </c>
      <c r="K832">
        <f t="shared" si="193"/>
        <v>40420</v>
      </c>
      <c r="L832">
        <f t="shared" si="194"/>
        <v>1.2789999999999999</v>
      </c>
      <c r="M832">
        <f t="shared" si="195"/>
        <v>1.1345000000000001</v>
      </c>
      <c r="N832">
        <f t="shared" si="196"/>
        <v>2842747</v>
      </c>
      <c r="O832">
        <f t="shared" si="197"/>
        <v>58650.450709999997</v>
      </c>
      <c r="P832">
        <f t="shared" si="198"/>
        <v>24800</v>
      </c>
      <c r="Q832">
        <f t="shared" si="199"/>
        <v>1.7</v>
      </c>
    </row>
    <row r="833" spans="1:22" x14ac:dyDescent="0.25">
      <c r="A833">
        <v>831</v>
      </c>
      <c r="B833">
        <f t="shared" si="200"/>
        <v>28</v>
      </c>
      <c r="C833">
        <f t="shared" si="201"/>
        <v>3</v>
      </c>
      <c r="D833" t="str">
        <f t="shared" si="187"/>
        <v/>
      </c>
      <c r="E833" t="str">
        <f t="shared" si="188"/>
        <v/>
      </c>
      <c r="F833">
        <f t="shared" si="189"/>
        <v>1350</v>
      </c>
      <c r="G833" t="str">
        <f t="shared" si="190"/>
        <v/>
      </c>
      <c r="H833" t="str">
        <f t="shared" si="191"/>
        <v/>
      </c>
      <c r="I833">
        <f t="shared" si="192"/>
        <v>28800</v>
      </c>
      <c r="J833">
        <f>SUM($G$3:I833)</f>
        <v>14242535</v>
      </c>
      <c r="K833">
        <f t="shared" si="193"/>
        <v>40420</v>
      </c>
      <c r="L833">
        <f t="shared" si="194"/>
        <v>1.2789999999999999</v>
      </c>
      <c r="M833">
        <f t="shared" si="195"/>
        <v>1.135</v>
      </c>
      <c r="N833">
        <f t="shared" si="196"/>
        <v>2848507</v>
      </c>
      <c r="O833">
        <f t="shared" si="197"/>
        <v>58676.299299999991</v>
      </c>
      <c r="P833">
        <f t="shared" si="198"/>
        <v>24800</v>
      </c>
      <c r="Q833">
        <f t="shared" si="199"/>
        <v>1.7</v>
      </c>
    </row>
    <row r="834" spans="1:22" x14ac:dyDescent="0.25">
      <c r="A834">
        <v>832</v>
      </c>
      <c r="B834">
        <f t="shared" si="200"/>
        <v>28</v>
      </c>
      <c r="C834">
        <f t="shared" si="201"/>
        <v>3</v>
      </c>
      <c r="D834" t="str">
        <f t="shared" si="187"/>
        <v/>
      </c>
      <c r="E834" t="str">
        <f t="shared" si="188"/>
        <v/>
      </c>
      <c r="F834">
        <f t="shared" si="189"/>
        <v>1355</v>
      </c>
      <c r="G834" t="str">
        <f t="shared" si="190"/>
        <v/>
      </c>
      <c r="H834" t="str">
        <f t="shared" si="191"/>
        <v/>
      </c>
      <c r="I834">
        <f t="shared" si="192"/>
        <v>28910</v>
      </c>
      <c r="J834">
        <f>SUM($G$3:I834)</f>
        <v>14271445</v>
      </c>
      <c r="K834">
        <f t="shared" si="193"/>
        <v>40420</v>
      </c>
      <c r="L834">
        <f t="shared" si="194"/>
        <v>1.2789999999999999</v>
      </c>
      <c r="M834">
        <f t="shared" si="195"/>
        <v>1.1355</v>
      </c>
      <c r="N834">
        <f t="shared" si="196"/>
        <v>2854289</v>
      </c>
      <c r="O834">
        <f t="shared" si="197"/>
        <v>58702.147889999993</v>
      </c>
      <c r="P834">
        <f t="shared" si="198"/>
        <v>24800</v>
      </c>
      <c r="Q834">
        <f t="shared" si="199"/>
        <v>1.7</v>
      </c>
    </row>
    <row r="835" spans="1:22" x14ac:dyDescent="0.25">
      <c r="A835">
        <v>833</v>
      </c>
      <c r="B835">
        <f t="shared" si="200"/>
        <v>28</v>
      </c>
      <c r="C835">
        <f t="shared" si="201"/>
        <v>3</v>
      </c>
      <c r="D835" t="str">
        <f t="shared" ref="D835:D898" si="202">IF($C835=1,INDEX($Z:$Z,MATCH($B835,$Y:$Y,0))+MOD($A835-1,10)*INDEX($AC:$AC,MATCH($B835,$Y:$Y,0)),"")</f>
        <v/>
      </c>
      <c r="E835" t="str">
        <f t="shared" ref="E835:E898" si="203">IF($C835=2,INDEX($AA:$AA,MATCH($B835,$Y:$Y,0))+MOD($A835-1,10)*INDEX($AD:$AD,MATCH($B835,$Y:$Y,0)),"")</f>
        <v/>
      </c>
      <c r="F835">
        <f t="shared" ref="F835:F898" si="204">IF($C835=3,INDEX($AB:$AB,MATCH($B835,$Y:$Y,0))+MOD($A835-1,10)*INDEX($AE:$AE,MATCH($B835,$Y:$Y,0)),"")</f>
        <v>1360</v>
      </c>
      <c r="G835" t="str">
        <f t="shared" ref="G835:G898" si="205">IF($C835=1,INDEX($AF:$AF,MATCH($B835,$Y:$Y,0))+MOD($A835-1,10)*INDEX($AI:$AI,MATCH($B835,$Y:$Y,0)),"")</f>
        <v/>
      </c>
      <c r="H835" t="str">
        <f t="shared" ref="H835:H898" si="206">IF($C835=2,INDEX($AG:$AG,MATCH($B835,$Y:$Y,0))+MOD($A835-1,10)*INDEX($AJ:$AJ,MATCH($B835,$Y:$Y,0)),"")</f>
        <v/>
      </c>
      <c r="I835">
        <f t="shared" ref="I835:I898" si="207">IF($C835=3,INDEX($AH:$AH,MATCH($B835,$Y:$Y,0))+MOD($A835-1,10)*INDEX($AK:$AK,MATCH($B835,$Y:$Y,0)),"")</f>
        <v>29020</v>
      </c>
      <c r="J835">
        <f>SUM($G$3:I835)</f>
        <v>14300465</v>
      </c>
      <c r="K835">
        <f t="shared" si="193"/>
        <v>40420</v>
      </c>
      <c r="L835">
        <f t="shared" si="194"/>
        <v>1.2789999999999999</v>
      </c>
      <c r="M835">
        <f t="shared" si="195"/>
        <v>1.1360000000000001</v>
      </c>
      <c r="N835">
        <f t="shared" si="196"/>
        <v>2860093</v>
      </c>
      <c r="O835">
        <f t="shared" si="197"/>
        <v>58727.996480000002</v>
      </c>
      <c r="P835">
        <f t="shared" si="198"/>
        <v>24800</v>
      </c>
      <c r="Q835">
        <f t="shared" si="199"/>
        <v>1.7</v>
      </c>
    </row>
    <row r="836" spans="1:22" x14ac:dyDescent="0.25">
      <c r="A836">
        <v>834</v>
      </c>
      <c r="B836">
        <f t="shared" si="200"/>
        <v>28</v>
      </c>
      <c r="C836">
        <f t="shared" si="201"/>
        <v>3</v>
      </c>
      <c r="D836" t="str">
        <f t="shared" si="202"/>
        <v/>
      </c>
      <c r="E836" t="str">
        <f t="shared" si="203"/>
        <v/>
      </c>
      <c r="F836">
        <f t="shared" si="204"/>
        <v>1365</v>
      </c>
      <c r="G836" t="str">
        <f t="shared" si="205"/>
        <v/>
      </c>
      <c r="H836" t="str">
        <f t="shared" si="206"/>
        <v/>
      </c>
      <c r="I836">
        <f t="shared" si="207"/>
        <v>29130</v>
      </c>
      <c r="J836">
        <f>SUM($G$3:I836)</f>
        <v>14329595</v>
      </c>
      <c r="K836">
        <f t="shared" ref="K836:K899" si="208">_xlfn.MAXIFS($D:$D,$A:$A,"&lt;="&amp;A836)/10*100</f>
        <v>40420</v>
      </c>
      <c r="L836">
        <f t="shared" ref="L836:L899" si="209">_xlfn.MAXIFS($E:$E,$A:$A,"&lt;="&amp;A836)/10000+1</f>
        <v>1.2789999999999999</v>
      </c>
      <c r="M836">
        <f t="shared" ref="M836:M899" si="210">_xlfn.MAXIFS($F:$F,$A:$A,"&lt;="&amp;A836)/10000+1</f>
        <v>1.1365000000000001</v>
      </c>
      <c r="N836">
        <f t="shared" ref="N836:N899" si="211">J836*0.2</f>
        <v>2865919</v>
      </c>
      <c r="O836">
        <f t="shared" ref="O836:O899" si="212">K836*L836*M836</f>
        <v>58753.845069999996</v>
      </c>
      <c r="P836">
        <f t="shared" ref="P836:P899" si="213">SUMIFS($AZ:$AZ,$AW:$AW,$AW$3,$AY:$AY,3,$AV:$AV,"&lt;="&amp;A836)</f>
        <v>24800</v>
      </c>
      <c r="Q836">
        <f t="shared" ref="Q836:Q899" si="214">SUMIFS($AZ:$AZ,$AY:$AY,98,$AV:$AV,"&lt;="&amp;A836)*10/100</f>
        <v>1.7</v>
      </c>
    </row>
    <row r="837" spans="1:22" x14ac:dyDescent="0.25">
      <c r="A837">
        <v>835</v>
      </c>
      <c r="B837">
        <f t="shared" si="200"/>
        <v>28</v>
      </c>
      <c r="C837">
        <f t="shared" si="201"/>
        <v>3</v>
      </c>
      <c r="D837" t="str">
        <f t="shared" si="202"/>
        <v/>
      </c>
      <c r="E837" t="str">
        <f t="shared" si="203"/>
        <v/>
      </c>
      <c r="F837">
        <f t="shared" si="204"/>
        <v>1370</v>
      </c>
      <c r="G837" t="str">
        <f t="shared" si="205"/>
        <v/>
      </c>
      <c r="H837" t="str">
        <f t="shared" si="206"/>
        <v/>
      </c>
      <c r="I837">
        <f t="shared" si="207"/>
        <v>29240</v>
      </c>
      <c r="J837">
        <f>SUM($G$3:I837)</f>
        <v>14358835</v>
      </c>
      <c r="K837">
        <f t="shared" si="208"/>
        <v>40420</v>
      </c>
      <c r="L837">
        <f t="shared" si="209"/>
        <v>1.2789999999999999</v>
      </c>
      <c r="M837">
        <f t="shared" si="210"/>
        <v>1.137</v>
      </c>
      <c r="N837">
        <f t="shared" si="211"/>
        <v>2871767</v>
      </c>
      <c r="O837">
        <f t="shared" si="212"/>
        <v>58779.69365999999</v>
      </c>
      <c r="P837">
        <f t="shared" si="213"/>
        <v>24800</v>
      </c>
      <c r="Q837">
        <f t="shared" si="214"/>
        <v>1.7</v>
      </c>
    </row>
    <row r="838" spans="1:22" x14ac:dyDescent="0.25">
      <c r="A838">
        <v>836</v>
      </c>
      <c r="B838">
        <f t="shared" si="200"/>
        <v>28</v>
      </c>
      <c r="C838">
        <f t="shared" si="201"/>
        <v>3</v>
      </c>
      <c r="D838" t="str">
        <f t="shared" si="202"/>
        <v/>
      </c>
      <c r="E838" t="str">
        <f t="shared" si="203"/>
        <v/>
      </c>
      <c r="F838">
        <f t="shared" si="204"/>
        <v>1375</v>
      </c>
      <c r="G838" t="str">
        <f t="shared" si="205"/>
        <v/>
      </c>
      <c r="H838" t="str">
        <f t="shared" si="206"/>
        <v/>
      </c>
      <c r="I838">
        <f t="shared" si="207"/>
        <v>29350</v>
      </c>
      <c r="J838">
        <f>SUM($G$3:I838)</f>
        <v>14388185</v>
      </c>
      <c r="K838">
        <f t="shared" si="208"/>
        <v>40420</v>
      </c>
      <c r="L838">
        <f t="shared" si="209"/>
        <v>1.2789999999999999</v>
      </c>
      <c r="M838">
        <f t="shared" si="210"/>
        <v>1.1375</v>
      </c>
      <c r="N838">
        <f t="shared" si="211"/>
        <v>2877637</v>
      </c>
      <c r="O838">
        <f t="shared" si="212"/>
        <v>58805.542249999991</v>
      </c>
      <c r="P838">
        <f t="shared" si="213"/>
        <v>24800</v>
      </c>
      <c r="Q838">
        <f t="shared" si="214"/>
        <v>1.7</v>
      </c>
    </row>
    <row r="839" spans="1:22" x14ac:dyDescent="0.25">
      <c r="A839">
        <v>837</v>
      </c>
      <c r="B839">
        <f t="shared" si="200"/>
        <v>28</v>
      </c>
      <c r="C839">
        <f t="shared" si="201"/>
        <v>3</v>
      </c>
      <c r="D839" t="str">
        <f t="shared" si="202"/>
        <v/>
      </c>
      <c r="E839" t="str">
        <f t="shared" si="203"/>
        <v/>
      </c>
      <c r="F839">
        <f t="shared" si="204"/>
        <v>1380</v>
      </c>
      <c r="G839" t="str">
        <f t="shared" si="205"/>
        <v/>
      </c>
      <c r="H839" t="str">
        <f t="shared" si="206"/>
        <v/>
      </c>
      <c r="I839">
        <f t="shared" si="207"/>
        <v>29460</v>
      </c>
      <c r="J839">
        <f>SUM($G$3:I839)</f>
        <v>14417645</v>
      </c>
      <c r="K839">
        <f t="shared" si="208"/>
        <v>40420</v>
      </c>
      <c r="L839">
        <f t="shared" si="209"/>
        <v>1.2789999999999999</v>
      </c>
      <c r="M839">
        <f t="shared" si="210"/>
        <v>1.1379999999999999</v>
      </c>
      <c r="N839">
        <f t="shared" si="211"/>
        <v>2883529</v>
      </c>
      <c r="O839">
        <f t="shared" si="212"/>
        <v>58831.390839999985</v>
      </c>
      <c r="P839">
        <f t="shared" si="213"/>
        <v>24800</v>
      </c>
      <c r="Q839">
        <f t="shared" si="214"/>
        <v>1.7</v>
      </c>
    </row>
    <row r="840" spans="1:22" x14ac:dyDescent="0.25">
      <c r="A840">
        <v>838</v>
      </c>
      <c r="B840">
        <f t="shared" si="200"/>
        <v>28</v>
      </c>
      <c r="C840">
        <f t="shared" si="201"/>
        <v>3</v>
      </c>
      <c r="D840" t="str">
        <f t="shared" si="202"/>
        <v/>
      </c>
      <c r="E840" t="str">
        <f t="shared" si="203"/>
        <v/>
      </c>
      <c r="F840">
        <f t="shared" si="204"/>
        <v>1385</v>
      </c>
      <c r="G840" t="str">
        <f t="shared" si="205"/>
        <v/>
      </c>
      <c r="H840" t="str">
        <f t="shared" si="206"/>
        <v/>
      </c>
      <c r="I840">
        <f t="shared" si="207"/>
        <v>29570</v>
      </c>
      <c r="J840">
        <f>SUM($G$3:I840)</f>
        <v>14447215</v>
      </c>
      <c r="K840">
        <f t="shared" si="208"/>
        <v>40420</v>
      </c>
      <c r="L840">
        <f t="shared" si="209"/>
        <v>1.2789999999999999</v>
      </c>
      <c r="M840">
        <f t="shared" si="210"/>
        <v>1.1385000000000001</v>
      </c>
      <c r="N840">
        <f t="shared" si="211"/>
        <v>2889443</v>
      </c>
      <c r="O840">
        <f t="shared" si="212"/>
        <v>58857.239429999994</v>
      </c>
      <c r="P840">
        <f t="shared" si="213"/>
        <v>24800</v>
      </c>
      <c r="Q840">
        <f t="shared" si="214"/>
        <v>1.7</v>
      </c>
    </row>
    <row r="841" spans="1:22" x14ac:dyDescent="0.25">
      <c r="A841">
        <v>839</v>
      </c>
      <c r="B841">
        <f t="shared" si="200"/>
        <v>28</v>
      </c>
      <c r="C841">
        <f t="shared" si="201"/>
        <v>3</v>
      </c>
      <c r="D841" t="str">
        <f t="shared" si="202"/>
        <v/>
      </c>
      <c r="E841" t="str">
        <f t="shared" si="203"/>
        <v/>
      </c>
      <c r="F841">
        <f t="shared" si="204"/>
        <v>1390</v>
      </c>
      <c r="G841" t="str">
        <f t="shared" si="205"/>
        <v/>
      </c>
      <c r="H841" t="str">
        <f t="shared" si="206"/>
        <v/>
      </c>
      <c r="I841">
        <f t="shared" si="207"/>
        <v>29680</v>
      </c>
      <c r="J841">
        <f>SUM($G$3:I841)</f>
        <v>14476895</v>
      </c>
      <c r="K841">
        <f t="shared" si="208"/>
        <v>40420</v>
      </c>
      <c r="L841">
        <f t="shared" si="209"/>
        <v>1.2789999999999999</v>
      </c>
      <c r="M841">
        <f t="shared" si="210"/>
        <v>1.139</v>
      </c>
      <c r="N841">
        <f t="shared" si="211"/>
        <v>2895379</v>
      </c>
      <c r="O841">
        <f t="shared" si="212"/>
        <v>58883.088019999996</v>
      </c>
      <c r="P841">
        <f t="shared" si="213"/>
        <v>24800</v>
      </c>
      <c r="Q841">
        <f t="shared" si="214"/>
        <v>1.7</v>
      </c>
    </row>
    <row r="842" spans="1:22" x14ac:dyDescent="0.25">
      <c r="A842">
        <v>840</v>
      </c>
      <c r="B842">
        <f t="shared" si="200"/>
        <v>28</v>
      </c>
      <c r="C842">
        <f t="shared" si="201"/>
        <v>3</v>
      </c>
      <c r="D842" t="str">
        <f t="shared" si="202"/>
        <v/>
      </c>
      <c r="E842" t="str">
        <f t="shared" si="203"/>
        <v/>
      </c>
      <c r="F842">
        <f t="shared" si="204"/>
        <v>1395</v>
      </c>
      <c r="G842" t="str">
        <f t="shared" si="205"/>
        <v/>
      </c>
      <c r="H842" t="str">
        <f t="shared" si="206"/>
        <v/>
      </c>
      <c r="I842">
        <f t="shared" si="207"/>
        <v>29790</v>
      </c>
      <c r="J842">
        <f>SUM($G$3:I842)</f>
        <v>14506685</v>
      </c>
      <c r="K842">
        <f t="shared" si="208"/>
        <v>40420</v>
      </c>
      <c r="L842">
        <f t="shared" si="209"/>
        <v>1.2789999999999999</v>
      </c>
      <c r="M842">
        <f t="shared" si="210"/>
        <v>1.1395</v>
      </c>
      <c r="N842">
        <f t="shared" si="211"/>
        <v>2901337</v>
      </c>
      <c r="O842">
        <f t="shared" si="212"/>
        <v>58908.93660999999</v>
      </c>
      <c r="P842">
        <f t="shared" si="213"/>
        <v>24800</v>
      </c>
      <c r="Q842">
        <f t="shared" si="214"/>
        <v>1.7</v>
      </c>
      <c r="T842">
        <v>65750</v>
      </c>
      <c r="U842">
        <v>76000</v>
      </c>
      <c r="V842">
        <v>76000</v>
      </c>
    </row>
    <row r="843" spans="1:22" x14ac:dyDescent="0.25">
      <c r="A843">
        <v>841</v>
      </c>
      <c r="B843">
        <f t="shared" si="200"/>
        <v>29</v>
      </c>
      <c r="C843">
        <f t="shared" si="201"/>
        <v>1</v>
      </c>
      <c r="D843">
        <f t="shared" si="202"/>
        <v>4070</v>
      </c>
      <c r="E843" t="str">
        <f t="shared" si="203"/>
        <v/>
      </c>
      <c r="F843" t="str">
        <f t="shared" si="204"/>
        <v/>
      </c>
      <c r="G843">
        <f t="shared" si="205"/>
        <v>59800</v>
      </c>
      <c r="H843" t="str">
        <f t="shared" si="206"/>
        <v/>
      </c>
      <c r="I843" t="str">
        <f t="shared" si="207"/>
        <v/>
      </c>
      <c r="J843">
        <f>SUM($G$3:I843)</f>
        <v>14566485</v>
      </c>
      <c r="K843">
        <f t="shared" si="208"/>
        <v>40700</v>
      </c>
      <c r="L843">
        <f t="shared" si="209"/>
        <v>1.2789999999999999</v>
      </c>
      <c r="M843">
        <f t="shared" si="210"/>
        <v>1.1395</v>
      </c>
      <c r="N843">
        <f t="shared" si="211"/>
        <v>2913297</v>
      </c>
      <c r="O843">
        <f t="shared" si="212"/>
        <v>59317.01434999999</v>
      </c>
      <c r="P843">
        <f t="shared" si="213"/>
        <v>24800</v>
      </c>
      <c r="Q843">
        <f t="shared" si="214"/>
        <v>1.7</v>
      </c>
      <c r="T843">
        <v>66000</v>
      </c>
      <c r="U843">
        <v>76400</v>
      </c>
      <c r="V843">
        <v>76400</v>
      </c>
    </row>
    <row r="844" spans="1:22" x14ac:dyDescent="0.25">
      <c r="A844">
        <v>842</v>
      </c>
      <c r="B844">
        <f t="shared" si="200"/>
        <v>29</v>
      </c>
      <c r="C844">
        <f t="shared" si="201"/>
        <v>1</v>
      </c>
      <c r="D844">
        <f t="shared" si="202"/>
        <v>4099</v>
      </c>
      <c r="E844" t="str">
        <f t="shared" si="203"/>
        <v/>
      </c>
      <c r="F844" t="str">
        <f t="shared" si="204"/>
        <v/>
      </c>
      <c r="G844">
        <f t="shared" si="205"/>
        <v>60020</v>
      </c>
      <c r="H844" t="str">
        <f t="shared" si="206"/>
        <v/>
      </c>
      <c r="I844" t="str">
        <f t="shared" si="207"/>
        <v/>
      </c>
      <c r="J844">
        <f>SUM($G$3:I844)</f>
        <v>14626505</v>
      </c>
      <c r="K844">
        <f t="shared" si="208"/>
        <v>40990</v>
      </c>
      <c r="L844">
        <f t="shared" si="209"/>
        <v>1.2789999999999999</v>
      </c>
      <c r="M844">
        <f t="shared" si="210"/>
        <v>1.1395</v>
      </c>
      <c r="N844">
        <f t="shared" si="211"/>
        <v>2925301</v>
      </c>
      <c r="O844">
        <f t="shared" si="212"/>
        <v>59739.666294999995</v>
      </c>
      <c r="P844">
        <f t="shared" si="213"/>
        <v>24800</v>
      </c>
      <c r="Q844">
        <f t="shared" si="214"/>
        <v>1.7</v>
      </c>
    </row>
    <row r="845" spans="1:22" x14ac:dyDescent="0.25">
      <c r="A845">
        <v>843</v>
      </c>
      <c r="B845">
        <f t="shared" si="200"/>
        <v>29</v>
      </c>
      <c r="C845">
        <f t="shared" si="201"/>
        <v>1</v>
      </c>
      <c r="D845">
        <f t="shared" si="202"/>
        <v>4128</v>
      </c>
      <c r="E845" t="str">
        <f t="shared" si="203"/>
        <v/>
      </c>
      <c r="F845" t="str">
        <f t="shared" si="204"/>
        <v/>
      </c>
      <c r="G845">
        <f t="shared" si="205"/>
        <v>60240</v>
      </c>
      <c r="H845" t="str">
        <f t="shared" si="206"/>
        <v/>
      </c>
      <c r="I845" t="str">
        <f t="shared" si="207"/>
        <v/>
      </c>
      <c r="J845">
        <f>SUM($G$3:I845)</f>
        <v>14686745</v>
      </c>
      <c r="K845">
        <f t="shared" si="208"/>
        <v>41280</v>
      </c>
      <c r="L845">
        <f t="shared" si="209"/>
        <v>1.2789999999999999</v>
      </c>
      <c r="M845">
        <f t="shared" si="210"/>
        <v>1.1395</v>
      </c>
      <c r="N845">
        <f t="shared" si="211"/>
        <v>2937349</v>
      </c>
      <c r="O845">
        <f t="shared" si="212"/>
        <v>60162.318239999993</v>
      </c>
      <c r="P845">
        <f t="shared" si="213"/>
        <v>24800</v>
      </c>
      <c r="Q845">
        <f t="shared" si="214"/>
        <v>1.7</v>
      </c>
    </row>
    <row r="846" spans="1:22" x14ac:dyDescent="0.25">
      <c r="A846">
        <v>844</v>
      </c>
      <c r="B846">
        <f t="shared" si="200"/>
        <v>29</v>
      </c>
      <c r="C846">
        <f t="shared" si="201"/>
        <v>1</v>
      </c>
      <c r="D846">
        <f t="shared" si="202"/>
        <v>4157</v>
      </c>
      <c r="E846" t="str">
        <f t="shared" si="203"/>
        <v/>
      </c>
      <c r="F846" t="str">
        <f t="shared" si="204"/>
        <v/>
      </c>
      <c r="G846">
        <f t="shared" si="205"/>
        <v>60460</v>
      </c>
      <c r="H846" t="str">
        <f t="shared" si="206"/>
        <v/>
      </c>
      <c r="I846" t="str">
        <f t="shared" si="207"/>
        <v/>
      </c>
      <c r="J846">
        <f>SUM($G$3:I846)</f>
        <v>14747205</v>
      </c>
      <c r="K846">
        <f t="shared" si="208"/>
        <v>41570</v>
      </c>
      <c r="L846">
        <f t="shared" si="209"/>
        <v>1.2789999999999999</v>
      </c>
      <c r="M846">
        <f t="shared" si="210"/>
        <v>1.1395</v>
      </c>
      <c r="N846">
        <f t="shared" si="211"/>
        <v>2949441</v>
      </c>
      <c r="O846">
        <f t="shared" si="212"/>
        <v>60584.970184999998</v>
      </c>
      <c r="P846">
        <f t="shared" si="213"/>
        <v>24800</v>
      </c>
      <c r="Q846">
        <f t="shared" si="214"/>
        <v>1.7</v>
      </c>
    </row>
    <row r="847" spans="1:22" x14ac:dyDescent="0.25">
      <c r="A847">
        <v>845</v>
      </c>
      <c r="B847">
        <f t="shared" si="200"/>
        <v>29</v>
      </c>
      <c r="C847">
        <f t="shared" si="201"/>
        <v>1</v>
      </c>
      <c r="D847">
        <f t="shared" si="202"/>
        <v>4186</v>
      </c>
      <c r="E847" t="str">
        <f t="shared" si="203"/>
        <v/>
      </c>
      <c r="F847" t="str">
        <f t="shared" si="204"/>
        <v/>
      </c>
      <c r="G847">
        <f t="shared" si="205"/>
        <v>60680</v>
      </c>
      <c r="H847" t="str">
        <f t="shared" si="206"/>
        <v/>
      </c>
      <c r="I847" t="str">
        <f t="shared" si="207"/>
        <v/>
      </c>
      <c r="J847">
        <f>SUM($G$3:I847)</f>
        <v>14807885</v>
      </c>
      <c r="K847">
        <f t="shared" si="208"/>
        <v>41860</v>
      </c>
      <c r="L847">
        <f t="shared" si="209"/>
        <v>1.2789999999999999</v>
      </c>
      <c r="M847">
        <f t="shared" si="210"/>
        <v>1.1395</v>
      </c>
      <c r="N847">
        <f t="shared" si="211"/>
        <v>2961577</v>
      </c>
      <c r="O847">
        <f t="shared" si="212"/>
        <v>61007.622129999989</v>
      </c>
      <c r="P847">
        <f t="shared" si="213"/>
        <v>24800</v>
      </c>
      <c r="Q847">
        <f t="shared" si="214"/>
        <v>1.7</v>
      </c>
    </row>
    <row r="848" spans="1:22" x14ac:dyDescent="0.25">
      <c r="A848">
        <v>846</v>
      </c>
      <c r="B848">
        <f t="shared" si="200"/>
        <v>29</v>
      </c>
      <c r="C848">
        <f t="shared" si="201"/>
        <v>1</v>
      </c>
      <c r="D848">
        <f t="shared" si="202"/>
        <v>4215</v>
      </c>
      <c r="E848" t="str">
        <f t="shared" si="203"/>
        <v/>
      </c>
      <c r="F848" t="str">
        <f t="shared" si="204"/>
        <v/>
      </c>
      <c r="G848">
        <f t="shared" si="205"/>
        <v>60900</v>
      </c>
      <c r="H848" t="str">
        <f t="shared" si="206"/>
        <v/>
      </c>
      <c r="I848" t="str">
        <f t="shared" si="207"/>
        <v/>
      </c>
      <c r="J848">
        <f>SUM($G$3:I848)</f>
        <v>14868785</v>
      </c>
      <c r="K848">
        <f t="shared" si="208"/>
        <v>42150</v>
      </c>
      <c r="L848">
        <f t="shared" si="209"/>
        <v>1.2789999999999999</v>
      </c>
      <c r="M848">
        <f t="shared" si="210"/>
        <v>1.1395</v>
      </c>
      <c r="N848">
        <f t="shared" si="211"/>
        <v>2973757</v>
      </c>
      <c r="O848">
        <f t="shared" si="212"/>
        <v>61430.274074999994</v>
      </c>
      <c r="P848">
        <f t="shared" si="213"/>
        <v>24800</v>
      </c>
      <c r="Q848">
        <f t="shared" si="214"/>
        <v>1.7</v>
      </c>
    </row>
    <row r="849" spans="1:17" x14ac:dyDescent="0.25">
      <c r="A849">
        <v>847</v>
      </c>
      <c r="B849">
        <f t="shared" si="200"/>
        <v>29</v>
      </c>
      <c r="C849">
        <f t="shared" si="201"/>
        <v>1</v>
      </c>
      <c r="D849">
        <f t="shared" si="202"/>
        <v>4244</v>
      </c>
      <c r="E849" t="str">
        <f t="shared" si="203"/>
        <v/>
      </c>
      <c r="F849" t="str">
        <f t="shared" si="204"/>
        <v/>
      </c>
      <c r="G849">
        <f t="shared" si="205"/>
        <v>61120</v>
      </c>
      <c r="H849" t="str">
        <f t="shared" si="206"/>
        <v/>
      </c>
      <c r="I849" t="str">
        <f t="shared" si="207"/>
        <v/>
      </c>
      <c r="J849">
        <f>SUM($G$3:I849)</f>
        <v>14929905</v>
      </c>
      <c r="K849">
        <f t="shared" si="208"/>
        <v>42440</v>
      </c>
      <c r="L849">
        <f t="shared" si="209"/>
        <v>1.2789999999999999</v>
      </c>
      <c r="M849">
        <f t="shared" si="210"/>
        <v>1.1395</v>
      </c>
      <c r="N849">
        <f t="shared" si="211"/>
        <v>2985981</v>
      </c>
      <c r="O849">
        <f t="shared" si="212"/>
        <v>61852.926019999992</v>
      </c>
      <c r="P849">
        <f t="shared" si="213"/>
        <v>24800</v>
      </c>
      <c r="Q849">
        <f t="shared" si="214"/>
        <v>1.7</v>
      </c>
    </row>
    <row r="850" spans="1:17" x14ac:dyDescent="0.25">
      <c r="A850">
        <v>848</v>
      </c>
      <c r="B850">
        <f t="shared" si="200"/>
        <v>29</v>
      </c>
      <c r="C850">
        <f t="shared" si="201"/>
        <v>1</v>
      </c>
      <c r="D850">
        <f t="shared" si="202"/>
        <v>4273</v>
      </c>
      <c r="E850" t="str">
        <f t="shared" si="203"/>
        <v/>
      </c>
      <c r="F850" t="str">
        <f t="shared" si="204"/>
        <v/>
      </c>
      <c r="G850">
        <f t="shared" si="205"/>
        <v>61340</v>
      </c>
      <c r="H850" t="str">
        <f t="shared" si="206"/>
        <v/>
      </c>
      <c r="I850" t="str">
        <f t="shared" si="207"/>
        <v/>
      </c>
      <c r="J850">
        <f>SUM($G$3:I850)</f>
        <v>14991245</v>
      </c>
      <c r="K850">
        <f t="shared" si="208"/>
        <v>42730</v>
      </c>
      <c r="L850">
        <f t="shared" si="209"/>
        <v>1.2789999999999999</v>
      </c>
      <c r="M850">
        <f t="shared" si="210"/>
        <v>1.1395</v>
      </c>
      <c r="N850">
        <f t="shared" si="211"/>
        <v>2998249</v>
      </c>
      <c r="O850">
        <f t="shared" si="212"/>
        <v>62275.577964999997</v>
      </c>
      <c r="P850">
        <f t="shared" si="213"/>
        <v>24800</v>
      </c>
      <c r="Q850">
        <f t="shared" si="214"/>
        <v>1.7</v>
      </c>
    </row>
    <row r="851" spans="1:17" x14ac:dyDescent="0.25">
      <c r="A851">
        <v>849</v>
      </c>
      <c r="B851">
        <f t="shared" si="200"/>
        <v>29</v>
      </c>
      <c r="C851">
        <f t="shared" si="201"/>
        <v>1</v>
      </c>
      <c r="D851">
        <f t="shared" si="202"/>
        <v>4302</v>
      </c>
      <c r="E851" t="str">
        <f t="shared" si="203"/>
        <v/>
      </c>
      <c r="F851" t="str">
        <f t="shared" si="204"/>
        <v/>
      </c>
      <c r="G851">
        <f t="shared" si="205"/>
        <v>61560</v>
      </c>
      <c r="H851" t="str">
        <f t="shared" si="206"/>
        <v/>
      </c>
      <c r="I851" t="str">
        <f t="shared" si="207"/>
        <v/>
      </c>
      <c r="J851">
        <f>SUM($G$3:I851)</f>
        <v>15052805</v>
      </c>
      <c r="K851">
        <f t="shared" si="208"/>
        <v>43020</v>
      </c>
      <c r="L851">
        <f t="shared" si="209"/>
        <v>1.2789999999999999</v>
      </c>
      <c r="M851">
        <f t="shared" si="210"/>
        <v>1.1395</v>
      </c>
      <c r="N851">
        <f t="shared" si="211"/>
        <v>3010561</v>
      </c>
      <c r="O851">
        <f t="shared" si="212"/>
        <v>62698.229909999995</v>
      </c>
      <c r="P851">
        <f t="shared" si="213"/>
        <v>24800</v>
      </c>
      <c r="Q851">
        <f t="shared" si="214"/>
        <v>1.7</v>
      </c>
    </row>
    <row r="852" spans="1:17" x14ac:dyDescent="0.25">
      <c r="A852">
        <v>850</v>
      </c>
      <c r="B852">
        <f t="shared" si="200"/>
        <v>29</v>
      </c>
      <c r="C852">
        <f t="shared" si="201"/>
        <v>1</v>
      </c>
      <c r="D852">
        <f t="shared" si="202"/>
        <v>4331</v>
      </c>
      <c r="E852" t="str">
        <f t="shared" si="203"/>
        <v/>
      </c>
      <c r="F852" t="str">
        <f t="shared" si="204"/>
        <v/>
      </c>
      <c r="G852">
        <f t="shared" si="205"/>
        <v>61780</v>
      </c>
      <c r="H852" t="str">
        <f t="shared" si="206"/>
        <v/>
      </c>
      <c r="I852" t="str">
        <f t="shared" si="207"/>
        <v/>
      </c>
      <c r="J852">
        <f>SUM($G$3:I852)</f>
        <v>15114585</v>
      </c>
      <c r="K852">
        <f t="shared" si="208"/>
        <v>43310</v>
      </c>
      <c r="L852">
        <f t="shared" si="209"/>
        <v>1.2789999999999999</v>
      </c>
      <c r="M852">
        <f t="shared" si="210"/>
        <v>1.1395</v>
      </c>
      <c r="N852">
        <f t="shared" si="211"/>
        <v>3022917</v>
      </c>
      <c r="O852">
        <f t="shared" si="212"/>
        <v>63120.881854999992</v>
      </c>
      <c r="P852">
        <f t="shared" si="213"/>
        <v>27200</v>
      </c>
      <c r="Q852">
        <f t="shared" si="214"/>
        <v>1.7</v>
      </c>
    </row>
    <row r="853" spans="1:17" x14ac:dyDescent="0.25">
      <c r="A853">
        <v>851</v>
      </c>
      <c r="B853">
        <f t="shared" si="200"/>
        <v>29</v>
      </c>
      <c r="C853">
        <f t="shared" si="201"/>
        <v>2</v>
      </c>
      <c r="D853" t="str">
        <f t="shared" si="202"/>
        <v/>
      </c>
      <c r="E853">
        <f t="shared" si="203"/>
        <v>2800</v>
      </c>
      <c r="F853" t="str">
        <f t="shared" si="204"/>
        <v/>
      </c>
      <c r="G853" t="str">
        <f t="shared" si="205"/>
        <v/>
      </c>
      <c r="H853">
        <f t="shared" si="206"/>
        <v>39867</v>
      </c>
      <c r="I853" t="str">
        <f t="shared" si="207"/>
        <v/>
      </c>
      <c r="J853">
        <f>SUM($G$3:I853)</f>
        <v>15154452</v>
      </c>
      <c r="K853">
        <f t="shared" si="208"/>
        <v>43310</v>
      </c>
      <c r="L853">
        <f t="shared" si="209"/>
        <v>1.28</v>
      </c>
      <c r="M853">
        <f t="shared" si="210"/>
        <v>1.1395</v>
      </c>
      <c r="N853">
        <f t="shared" si="211"/>
        <v>3030890.4000000004</v>
      </c>
      <c r="O853">
        <f t="shared" si="212"/>
        <v>63170.2336</v>
      </c>
      <c r="P853">
        <f t="shared" si="213"/>
        <v>27200</v>
      </c>
      <c r="Q853">
        <f t="shared" si="214"/>
        <v>1.7</v>
      </c>
    </row>
    <row r="854" spans="1:17" x14ac:dyDescent="0.25">
      <c r="A854">
        <v>852</v>
      </c>
      <c r="B854">
        <f t="shared" si="200"/>
        <v>29</v>
      </c>
      <c r="C854">
        <f t="shared" si="201"/>
        <v>2</v>
      </c>
      <c r="D854" t="str">
        <f t="shared" si="202"/>
        <v/>
      </c>
      <c r="E854">
        <f t="shared" si="203"/>
        <v>2810</v>
      </c>
      <c r="F854" t="str">
        <f t="shared" si="204"/>
        <v/>
      </c>
      <c r="G854" t="str">
        <f t="shared" si="205"/>
        <v/>
      </c>
      <c r="H854">
        <f t="shared" si="206"/>
        <v>40014</v>
      </c>
      <c r="I854" t="str">
        <f t="shared" si="207"/>
        <v/>
      </c>
      <c r="J854">
        <f>SUM($G$3:I854)</f>
        <v>15194466</v>
      </c>
      <c r="K854">
        <f t="shared" si="208"/>
        <v>43310</v>
      </c>
      <c r="L854">
        <f t="shared" si="209"/>
        <v>1.2810000000000001</v>
      </c>
      <c r="M854">
        <f t="shared" si="210"/>
        <v>1.1395</v>
      </c>
      <c r="N854">
        <f t="shared" si="211"/>
        <v>3038893.2</v>
      </c>
      <c r="O854">
        <f t="shared" si="212"/>
        <v>63219.585345000007</v>
      </c>
      <c r="P854">
        <f t="shared" si="213"/>
        <v>27200</v>
      </c>
      <c r="Q854">
        <f t="shared" si="214"/>
        <v>1.7</v>
      </c>
    </row>
    <row r="855" spans="1:17" x14ac:dyDescent="0.25">
      <c r="A855">
        <v>853</v>
      </c>
      <c r="B855">
        <f t="shared" si="200"/>
        <v>29</v>
      </c>
      <c r="C855">
        <f t="shared" si="201"/>
        <v>2</v>
      </c>
      <c r="D855" t="str">
        <f t="shared" si="202"/>
        <v/>
      </c>
      <c r="E855">
        <f t="shared" si="203"/>
        <v>2820</v>
      </c>
      <c r="F855" t="str">
        <f t="shared" si="204"/>
        <v/>
      </c>
      <c r="G855" t="str">
        <f t="shared" si="205"/>
        <v/>
      </c>
      <c r="H855">
        <f t="shared" si="206"/>
        <v>40161</v>
      </c>
      <c r="I855" t="str">
        <f t="shared" si="207"/>
        <v/>
      </c>
      <c r="J855">
        <f>SUM($G$3:I855)</f>
        <v>15234627</v>
      </c>
      <c r="K855">
        <f t="shared" si="208"/>
        <v>43310</v>
      </c>
      <c r="L855">
        <f t="shared" si="209"/>
        <v>1.282</v>
      </c>
      <c r="M855">
        <f t="shared" si="210"/>
        <v>1.1395</v>
      </c>
      <c r="N855">
        <f t="shared" si="211"/>
        <v>3046925.4000000004</v>
      </c>
      <c r="O855">
        <f t="shared" si="212"/>
        <v>63268.937089999992</v>
      </c>
      <c r="P855">
        <f t="shared" si="213"/>
        <v>27200</v>
      </c>
      <c r="Q855">
        <f t="shared" si="214"/>
        <v>1.7</v>
      </c>
    </row>
    <row r="856" spans="1:17" x14ac:dyDescent="0.25">
      <c r="A856">
        <v>854</v>
      </c>
      <c r="B856">
        <f t="shared" si="200"/>
        <v>29</v>
      </c>
      <c r="C856">
        <f t="shared" si="201"/>
        <v>2</v>
      </c>
      <c r="D856" t="str">
        <f t="shared" si="202"/>
        <v/>
      </c>
      <c r="E856">
        <f t="shared" si="203"/>
        <v>2830</v>
      </c>
      <c r="F856" t="str">
        <f t="shared" si="204"/>
        <v/>
      </c>
      <c r="G856" t="str">
        <f t="shared" si="205"/>
        <v/>
      </c>
      <c r="H856">
        <f t="shared" si="206"/>
        <v>40308</v>
      </c>
      <c r="I856" t="str">
        <f t="shared" si="207"/>
        <v/>
      </c>
      <c r="J856">
        <f>SUM($G$3:I856)</f>
        <v>15274935</v>
      </c>
      <c r="K856">
        <f t="shared" si="208"/>
        <v>43310</v>
      </c>
      <c r="L856">
        <f t="shared" si="209"/>
        <v>1.2829999999999999</v>
      </c>
      <c r="M856">
        <f t="shared" si="210"/>
        <v>1.1395</v>
      </c>
      <c r="N856">
        <f t="shared" si="211"/>
        <v>3054987</v>
      </c>
      <c r="O856">
        <f t="shared" si="212"/>
        <v>63318.288834999992</v>
      </c>
      <c r="P856">
        <f t="shared" si="213"/>
        <v>27200</v>
      </c>
      <c r="Q856">
        <f t="shared" si="214"/>
        <v>1.7</v>
      </c>
    </row>
    <row r="857" spans="1:17" x14ac:dyDescent="0.25">
      <c r="A857">
        <v>855</v>
      </c>
      <c r="B857">
        <f t="shared" si="200"/>
        <v>29</v>
      </c>
      <c r="C857">
        <f t="shared" si="201"/>
        <v>2</v>
      </c>
      <c r="D857" t="str">
        <f t="shared" si="202"/>
        <v/>
      </c>
      <c r="E857">
        <f t="shared" si="203"/>
        <v>2840</v>
      </c>
      <c r="F857" t="str">
        <f t="shared" si="204"/>
        <v/>
      </c>
      <c r="G857" t="str">
        <f t="shared" si="205"/>
        <v/>
      </c>
      <c r="H857">
        <f t="shared" si="206"/>
        <v>40455</v>
      </c>
      <c r="I857" t="str">
        <f t="shared" si="207"/>
        <v/>
      </c>
      <c r="J857">
        <f>SUM($G$3:I857)</f>
        <v>15315390</v>
      </c>
      <c r="K857">
        <f t="shared" si="208"/>
        <v>43310</v>
      </c>
      <c r="L857">
        <f t="shared" si="209"/>
        <v>1.284</v>
      </c>
      <c r="M857">
        <f t="shared" si="210"/>
        <v>1.1395</v>
      </c>
      <c r="N857">
        <f t="shared" si="211"/>
        <v>3063078</v>
      </c>
      <c r="O857">
        <f t="shared" si="212"/>
        <v>63367.640579999999</v>
      </c>
      <c r="P857">
        <f t="shared" si="213"/>
        <v>27200</v>
      </c>
      <c r="Q857">
        <f t="shared" si="214"/>
        <v>1.7</v>
      </c>
    </row>
    <row r="858" spans="1:17" x14ac:dyDescent="0.25">
      <c r="A858">
        <v>856</v>
      </c>
      <c r="B858">
        <f t="shared" si="200"/>
        <v>29</v>
      </c>
      <c r="C858">
        <f t="shared" si="201"/>
        <v>2</v>
      </c>
      <c r="D858" t="str">
        <f t="shared" si="202"/>
        <v/>
      </c>
      <c r="E858">
        <f t="shared" si="203"/>
        <v>2850</v>
      </c>
      <c r="F858" t="str">
        <f t="shared" si="204"/>
        <v/>
      </c>
      <c r="G858" t="str">
        <f t="shared" si="205"/>
        <v/>
      </c>
      <c r="H858">
        <f t="shared" si="206"/>
        <v>40602</v>
      </c>
      <c r="I858" t="str">
        <f t="shared" si="207"/>
        <v/>
      </c>
      <c r="J858">
        <f>SUM($G$3:I858)</f>
        <v>15355992</v>
      </c>
      <c r="K858">
        <f t="shared" si="208"/>
        <v>43310</v>
      </c>
      <c r="L858">
        <f t="shared" si="209"/>
        <v>1.2849999999999999</v>
      </c>
      <c r="M858">
        <f t="shared" si="210"/>
        <v>1.1395</v>
      </c>
      <c r="N858">
        <f t="shared" si="211"/>
        <v>3071198.4000000004</v>
      </c>
      <c r="O858">
        <f t="shared" si="212"/>
        <v>63416.992324999999</v>
      </c>
      <c r="P858">
        <f t="shared" si="213"/>
        <v>27200</v>
      </c>
      <c r="Q858">
        <f t="shared" si="214"/>
        <v>1.7</v>
      </c>
    </row>
    <row r="859" spans="1:17" x14ac:dyDescent="0.25">
      <c r="A859">
        <v>857</v>
      </c>
      <c r="B859">
        <f t="shared" si="200"/>
        <v>29</v>
      </c>
      <c r="C859">
        <f t="shared" si="201"/>
        <v>2</v>
      </c>
      <c r="D859" t="str">
        <f t="shared" si="202"/>
        <v/>
      </c>
      <c r="E859">
        <f t="shared" si="203"/>
        <v>2860</v>
      </c>
      <c r="F859" t="str">
        <f t="shared" si="204"/>
        <v/>
      </c>
      <c r="G859" t="str">
        <f t="shared" si="205"/>
        <v/>
      </c>
      <c r="H859">
        <f t="shared" si="206"/>
        <v>40749</v>
      </c>
      <c r="I859" t="str">
        <f t="shared" si="207"/>
        <v/>
      </c>
      <c r="J859">
        <f>SUM($G$3:I859)</f>
        <v>15396741</v>
      </c>
      <c r="K859">
        <f t="shared" si="208"/>
        <v>43310</v>
      </c>
      <c r="L859">
        <f t="shared" si="209"/>
        <v>1.286</v>
      </c>
      <c r="M859">
        <f t="shared" si="210"/>
        <v>1.1395</v>
      </c>
      <c r="N859">
        <f t="shared" si="211"/>
        <v>3079348.2</v>
      </c>
      <c r="O859">
        <f t="shared" si="212"/>
        <v>63466.344069999999</v>
      </c>
      <c r="P859">
        <f t="shared" si="213"/>
        <v>27200</v>
      </c>
      <c r="Q859">
        <f t="shared" si="214"/>
        <v>1.7</v>
      </c>
    </row>
    <row r="860" spans="1:17" x14ac:dyDescent="0.25">
      <c r="A860">
        <v>858</v>
      </c>
      <c r="B860">
        <f t="shared" si="200"/>
        <v>29</v>
      </c>
      <c r="C860">
        <f t="shared" si="201"/>
        <v>2</v>
      </c>
      <c r="D860" t="str">
        <f t="shared" si="202"/>
        <v/>
      </c>
      <c r="E860">
        <f t="shared" si="203"/>
        <v>2870</v>
      </c>
      <c r="F860" t="str">
        <f t="shared" si="204"/>
        <v/>
      </c>
      <c r="G860" t="str">
        <f t="shared" si="205"/>
        <v/>
      </c>
      <c r="H860">
        <f t="shared" si="206"/>
        <v>40896</v>
      </c>
      <c r="I860" t="str">
        <f t="shared" si="207"/>
        <v/>
      </c>
      <c r="J860">
        <f>SUM($G$3:I860)</f>
        <v>15437637</v>
      </c>
      <c r="K860">
        <f t="shared" si="208"/>
        <v>43310</v>
      </c>
      <c r="L860">
        <f t="shared" si="209"/>
        <v>1.2869999999999999</v>
      </c>
      <c r="M860">
        <f t="shared" si="210"/>
        <v>1.1395</v>
      </c>
      <c r="N860">
        <f t="shared" si="211"/>
        <v>3087527.4000000004</v>
      </c>
      <c r="O860">
        <f t="shared" si="212"/>
        <v>63515.695814999992</v>
      </c>
      <c r="P860">
        <f t="shared" si="213"/>
        <v>27200</v>
      </c>
      <c r="Q860">
        <f t="shared" si="214"/>
        <v>1.7</v>
      </c>
    </row>
    <row r="861" spans="1:17" x14ac:dyDescent="0.25">
      <c r="A861">
        <v>859</v>
      </c>
      <c r="B861">
        <f t="shared" si="200"/>
        <v>29</v>
      </c>
      <c r="C861">
        <f t="shared" si="201"/>
        <v>2</v>
      </c>
      <c r="D861" t="str">
        <f t="shared" si="202"/>
        <v/>
      </c>
      <c r="E861">
        <f t="shared" si="203"/>
        <v>2880</v>
      </c>
      <c r="F861" t="str">
        <f t="shared" si="204"/>
        <v/>
      </c>
      <c r="G861" t="str">
        <f t="shared" si="205"/>
        <v/>
      </c>
      <c r="H861">
        <f t="shared" si="206"/>
        <v>41043</v>
      </c>
      <c r="I861" t="str">
        <f t="shared" si="207"/>
        <v/>
      </c>
      <c r="J861">
        <f>SUM($G$3:I861)</f>
        <v>15478680</v>
      </c>
      <c r="K861">
        <f t="shared" si="208"/>
        <v>43310</v>
      </c>
      <c r="L861">
        <f t="shared" si="209"/>
        <v>1.288</v>
      </c>
      <c r="M861">
        <f t="shared" si="210"/>
        <v>1.1395</v>
      </c>
      <c r="N861">
        <f t="shared" si="211"/>
        <v>3095736</v>
      </c>
      <c r="O861">
        <f t="shared" si="212"/>
        <v>63565.047559999999</v>
      </c>
      <c r="P861">
        <f t="shared" si="213"/>
        <v>27200</v>
      </c>
      <c r="Q861">
        <f t="shared" si="214"/>
        <v>1.7</v>
      </c>
    </row>
    <row r="862" spans="1:17" x14ac:dyDescent="0.25">
      <c r="A862">
        <v>860</v>
      </c>
      <c r="B862">
        <f t="shared" si="200"/>
        <v>29</v>
      </c>
      <c r="C862">
        <f t="shared" si="201"/>
        <v>2</v>
      </c>
      <c r="D862" t="str">
        <f t="shared" si="202"/>
        <v/>
      </c>
      <c r="E862">
        <f t="shared" si="203"/>
        <v>2890</v>
      </c>
      <c r="F862" t="str">
        <f t="shared" si="204"/>
        <v/>
      </c>
      <c r="G862" t="str">
        <f t="shared" si="205"/>
        <v/>
      </c>
      <c r="H862">
        <f t="shared" si="206"/>
        <v>41190</v>
      </c>
      <c r="I862" t="str">
        <f t="shared" si="207"/>
        <v/>
      </c>
      <c r="J862">
        <f>SUM($G$3:I862)</f>
        <v>15519870</v>
      </c>
      <c r="K862">
        <f t="shared" si="208"/>
        <v>43310</v>
      </c>
      <c r="L862">
        <f t="shared" si="209"/>
        <v>1.2889999999999999</v>
      </c>
      <c r="M862">
        <f t="shared" si="210"/>
        <v>1.1395</v>
      </c>
      <c r="N862">
        <f t="shared" si="211"/>
        <v>3103974</v>
      </c>
      <c r="O862">
        <f t="shared" si="212"/>
        <v>63614.399304999992</v>
      </c>
      <c r="P862">
        <f t="shared" si="213"/>
        <v>27200</v>
      </c>
      <c r="Q862">
        <f t="shared" si="214"/>
        <v>1.8</v>
      </c>
    </row>
    <row r="863" spans="1:17" x14ac:dyDescent="0.25">
      <c r="A863">
        <v>861</v>
      </c>
      <c r="B863">
        <f t="shared" si="200"/>
        <v>29</v>
      </c>
      <c r="C863">
        <f t="shared" si="201"/>
        <v>3</v>
      </c>
      <c r="D863" t="str">
        <f t="shared" si="202"/>
        <v/>
      </c>
      <c r="E863" t="str">
        <f t="shared" si="203"/>
        <v/>
      </c>
      <c r="F863">
        <f t="shared" si="204"/>
        <v>1400</v>
      </c>
      <c r="G863" t="str">
        <f t="shared" si="205"/>
        <v/>
      </c>
      <c r="H863" t="str">
        <f t="shared" si="206"/>
        <v/>
      </c>
      <c r="I863">
        <f t="shared" si="207"/>
        <v>29900</v>
      </c>
      <c r="J863">
        <f>SUM($G$3:I863)</f>
        <v>15549770</v>
      </c>
      <c r="K863">
        <f t="shared" si="208"/>
        <v>43310</v>
      </c>
      <c r="L863">
        <f t="shared" si="209"/>
        <v>1.2889999999999999</v>
      </c>
      <c r="M863">
        <f t="shared" si="210"/>
        <v>1.1400000000000001</v>
      </c>
      <c r="N863">
        <f t="shared" si="211"/>
        <v>3109954</v>
      </c>
      <c r="O863">
        <f t="shared" si="212"/>
        <v>63642.312600000005</v>
      </c>
      <c r="P863">
        <f t="shared" si="213"/>
        <v>27200</v>
      </c>
      <c r="Q863">
        <f t="shared" si="214"/>
        <v>1.8</v>
      </c>
    </row>
    <row r="864" spans="1:17" x14ac:dyDescent="0.25">
      <c r="A864">
        <v>862</v>
      </c>
      <c r="B864">
        <f t="shared" si="200"/>
        <v>29</v>
      </c>
      <c r="C864">
        <f t="shared" si="201"/>
        <v>3</v>
      </c>
      <c r="D864" t="str">
        <f t="shared" si="202"/>
        <v/>
      </c>
      <c r="E864" t="str">
        <f t="shared" si="203"/>
        <v/>
      </c>
      <c r="F864">
        <f t="shared" si="204"/>
        <v>1405</v>
      </c>
      <c r="G864" t="str">
        <f t="shared" si="205"/>
        <v/>
      </c>
      <c r="H864" t="str">
        <f t="shared" si="206"/>
        <v/>
      </c>
      <c r="I864">
        <f t="shared" si="207"/>
        <v>30010</v>
      </c>
      <c r="J864">
        <f>SUM($G$3:I864)</f>
        <v>15579780</v>
      </c>
      <c r="K864">
        <f t="shared" si="208"/>
        <v>43310</v>
      </c>
      <c r="L864">
        <f t="shared" si="209"/>
        <v>1.2889999999999999</v>
      </c>
      <c r="M864">
        <f t="shared" si="210"/>
        <v>1.1405000000000001</v>
      </c>
      <c r="N864">
        <f t="shared" si="211"/>
        <v>3115956</v>
      </c>
      <c r="O864">
        <f t="shared" si="212"/>
        <v>63670.225895000003</v>
      </c>
      <c r="P864">
        <f t="shared" si="213"/>
        <v>27200</v>
      </c>
      <c r="Q864">
        <f t="shared" si="214"/>
        <v>1.8</v>
      </c>
    </row>
    <row r="865" spans="1:17" x14ac:dyDescent="0.25">
      <c r="A865">
        <v>863</v>
      </c>
      <c r="B865">
        <f t="shared" si="200"/>
        <v>29</v>
      </c>
      <c r="C865">
        <f t="shared" si="201"/>
        <v>3</v>
      </c>
      <c r="D865" t="str">
        <f t="shared" si="202"/>
        <v/>
      </c>
      <c r="E865" t="str">
        <f t="shared" si="203"/>
        <v/>
      </c>
      <c r="F865">
        <f t="shared" si="204"/>
        <v>1410</v>
      </c>
      <c r="G865" t="str">
        <f t="shared" si="205"/>
        <v/>
      </c>
      <c r="H865" t="str">
        <f t="shared" si="206"/>
        <v/>
      </c>
      <c r="I865">
        <f t="shared" si="207"/>
        <v>30120</v>
      </c>
      <c r="J865">
        <f>SUM($G$3:I865)</f>
        <v>15609900</v>
      </c>
      <c r="K865">
        <f t="shared" si="208"/>
        <v>43310</v>
      </c>
      <c r="L865">
        <f t="shared" si="209"/>
        <v>1.2889999999999999</v>
      </c>
      <c r="M865">
        <f t="shared" si="210"/>
        <v>1.141</v>
      </c>
      <c r="N865">
        <f t="shared" si="211"/>
        <v>3121980</v>
      </c>
      <c r="O865">
        <f t="shared" si="212"/>
        <v>63698.139189999994</v>
      </c>
      <c r="P865">
        <f t="shared" si="213"/>
        <v>27200</v>
      </c>
      <c r="Q865">
        <f t="shared" si="214"/>
        <v>1.8</v>
      </c>
    </row>
    <row r="866" spans="1:17" x14ac:dyDescent="0.25">
      <c r="A866">
        <v>864</v>
      </c>
      <c r="B866">
        <f t="shared" ref="B866:B929" si="215">B836+1</f>
        <v>29</v>
      </c>
      <c r="C866">
        <f t="shared" ref="C866:C929" si="216">C836</f>
        <v>3</v>
      </c>
      <c r="D866" t="str">
        <f t="shared" si="202"/>
        <v/>
      </c>
      <c r="E866" t="str">
        <f t="shared" si="203"/>
        <v/>
      </c>
      <c r="F866">
        <f t="shared" si="204"/>
        <v>1415</v>
      </c>
      <c r="G866" t="str">
        <f t="shared" si="205"/>
        <v/>
      </c>
      <c r="H866" t="str">
        <f t="shared" si="206"/>
        <v/>
      </c>
      <c r="I866">
        <f t="shared" si="207"/>
        <v>30230</v>
      </c>
      <c r="J866">
        <f>SUM($G$3:I866)</f>
        <v>15640130</v>
      </c>
      <c r="K866">
        <f t="shared" si="208"/>
        <v>43310</v>
      </c>
      <c r="L866">
        <f t="shared" si="209"/>
        <v>1.2889999999999999</v>
      </c>
      <c r="M866">
        <f t="shared" si="210"/>
        <v>1.1415</v>
      </c>
      <c r="N866">
        <f t="shared" si="211"/>
        <v>3128026</v>
      </c>
      <c r="O866">
        <f t="shared" si="212"/>
        <v>63726.052484999993</v>
      </c>
      <c r="P866">
        <f t="shared" si="213"/>
        <v>27200</v>
      </c>
      <c r="Q866">
        <f t="shared" si="214"/>
        <v>1.8</v>
      </c>
    </row>
    <row r="867" spans="1:17" x14ac:dyDescent="0.25">
      <c r="A867">
        <v>865</v>
      </c>
      <c r="B867">
        <f t="shared" si="215"/>
        <v>29</v>
      </c>
      <c r="C867">
        <f t="shared" si="216"/>
        <v>3</v>
      </c>
      <c r="D867" t="str">
        <f t="shared" si="202"/>
        <v/>
      </c>
      <c r="E867" t="str">
        <f t="shared" si="203"/>
        <v/>
      </c>
      <c r="F867">
        <f t="shared" si="204"/>
        <v>1420</v>
      </c>
      <c r="G867" t="str">
        <f t="shared" si="205"/>
        <v/>
      </c>
      <c r="H867" t="str">
        <f t="shared" si="206"/>
        <v/>
      </c>
      <c r="I867">
        <f t="shared" si="207"/>
        <v>30340</v>
      </c>
      <c r="J867">
        <f>SUM($G$3:I867)</f>
        <v>15670470</v>
      </c>
      <c r="K867">
        <f t="shared" si="208"/>
        <v>43310</v>
      </c>
      <c r="L867">
        <f t="shared" si="209"/>
        <v>1.2889999999999999</v>
      </c>
      <c r="M867">
        <f t="shared" si="210"/>
        <v>1.1419999999999999</v>
      </c>
      <c r="N867">
        <f t="shared" si="211"/>
        <v>3134094</v>
      </c>
      <c r="O867">
        <f t="shared" si="212"/>
        <v>63753.965779999991</v>
      </c>
      <c r="P867">
        <f t="shared" si="213"/>
        <v>27200</v>
      </c>
      <c r="Q867">
        <f t="shared" si="214"/>
        <v>1.8</v>
      </c>
    </row>
    <row r="868" spans="1:17" x14ac:dyDescent="0.25">
      <c r="A868">
        <v>866</v>
      </c>
      <c r="B868">
        <f t="shared" si="215"/>
        <v>29</v>
      </c>
      <c r="C868">
        <f t="shared" si="216"/>
        <v>3</v>
      </c>
      <c r="D868" t="str">
        <f t="shared" si="202"/>
        <v/>
      </c>
      <c r="E868" t="str">
        <f t="shared" si="203"/>
        <v/>
      </c>
      <c r="F868">
        <f t="shared" si="204"/>
        <v>1425</v>
      </c>
      <c r="G868" t="str">
        <f t="shared" si="205"/>
        <v/>
      </c>
      <c r="H868" t="str">
        <f t="shared" si="206"/>
        <v/>
      </c>
      <c r="I868">
        <f t="shared" si="207"/>
        <v>30450</v>
      </c>
      <c r="J868">
        <f>SUM($G$3:I868)</f>
        <v>15700920</v>
      </c>
      <c r="K868">
        <f t="shared" si="208"/>
        <v>43310</v>
      </c>
      <c r="L868">
        <f t="shared" si="209"/>
        <v>1.2889999999999999</v>
      </c>
      <c r="M868">
        <f t="shared" si="210"/>
        <v>1.1425000000000001</v>
      </c>
      <c r="N868">
        <f t="shared" si="211"/>
        <v>3140184</v>
      </c>
      <c r="O868">
        <f t="shared" si="212"/>
        <v>63781.879074999997</v>
      </c>
      <c r="P868">
        <f t="shared" si="213"/>
        <v>27200</v>
      </c>
      <c r="Q868">
        <f t="shared" si="214"/>
        <v>1.8</v>
      </c>
    </row>
    <row r="869" spans="1:17" x14ac:dyDescent="0.25">
      <c r="A869">
        <v>867</v>
      </c>
      <c r="B869">
        <f t="shared" si="215"/>
        <v>29</v>
      </c>
      <c r="C869">
        <f t="shared" si="216"/>
        <v>3</v>
      </c>
      <c r="D869" t="str">
        <f t="shared" si="202"/>
        <v/>
      </c>
      <c r="E869" t="str">
        <f t="shared" si="203"/>
        <v/>
      </c>
      <c r="F869">
        <f t="shared" si="204"/>
        <v>1430</v>
      </c>
      <c r="G869" t="str">
        <f t="shared" si="205"/>
        <v/>
      </c>
      <c r="H869" t="str">
        <f t="shared" si="206"/>
        <v/>
      </c>
      <c r="I869">
        <f t="shared" si="207"/>
        <v>30560</v>
      </c>
      <c r="J869">
        <f>SUM($G$3:I869)</f>
        <v>15731480</v>
      </c>
      <c r="K869">
        <f t="shared" si="208"/>
        <v>43310</v>
      </c>
      <c r="L869">
        <f t="shared" si="209"/>
        <v>1.2889999999999999</v>
      </c>
      <c r="M869">
        <f t="shared" si="210"/>
        <v>1.143</v>
      </c>
      <c r="N869">
        <f t="shared" si="211"/>
        <v>3146296</v>
      </c>
      <c r="O869">
        <f t="shared" si="212"/>
        <v>63809.792369999996</v>
      </c>
      <c r="P869">
        <f t="shared" si="213"/>
        <v>27200</v>
      </c>
      <c r="Q869">
        <f t="shared" si="214"/>
        <v>1.8</v>
      </c>
    </row>
    <row r="870" spans="1:17" x14ac:dyDescent="0.25">
      <c r="A870">
        <v>868</v>
      </c>
      <c r="B870">
        <f t="shared" si="215"/>
        <v>29</v>
      </c>
      <c r="C870">
        <f t="shared" si="216"/>
        <v>3</v>
      </c>
      <c r="D870" t="str">
        <f t="shared" si="202"/>
        <v/>
      </c>
      <c r="E870" t="str">
        <f t="shared" si="203"/>
        <v/>
      </c>
      <c r="F870">
        <f t="shared" si="204"/>
        <v>1435</v>
      </c>
      <c r="G870" t="str">
        <f t="shared" si="205"/>
        <v/>
      </c>
      <c r="H870" t="str">
        <f t="shared" si="206"/>
        <v/>
      </c>
      <c r="I870">
        <f t="shared" si="207"/>
        <v>30670</v>
      </c>
      <c r="J870">
        <f>SUM($G$3:I870)</f>
        <v>15762150</v>
      </c>
      <c r="K870">
        <f t="shared" si="208"/>
        <v>43310</v>
      </c>
      <c r="L870">
        <f t="shared" si="209"/>
        <v>1.2889999999999999</v>
      </c>
      <c r="M870">
        <f t="shared" si="210"/>
        <v>1.1435</v>
      </c>
      <c r="N870">
        <f t="shared" si="211"/>
        <v>3152430</v>
      </c>
      <c r="O870">
        <f t="shared" si="212"/>
        <v>63837.705664999994</v>
      </c>
      <c r="P870">
        <f t="shared" si="213"/>
        <v>27200</v>
      </c>
      <c r="Q870">
        <f t="shared" si="214"/>
        <v>1.8</v>
      </c>
    </row>
    <row r="871" spans="1:17" x14ac:dyDescent="0.25">
      <c r="A871">
        <v>869</v>
      </c>
      <c r="B871">
        <f t="shared" si="215"/>
        <v>29</v>
      </c>
      <c r="C871">
        <f t="shared" si="216"/>
        <v>3</v>
      </c>
      <c r="D871" t="str">
        <f t="shared" si="202"/>
        <v/>
      </c>
      <c r="E871" t="str">
        <f t="shared" si="203"/>
        <v/>
      </c>
      <c r="F871">
        <f t="shared" si="204"/>
        <v>1440</v>
      </c>
      <c r="G871" t="str">
        <f t="shared" si="205"/>
        <v/>
      </c>
      <c r="H871" t="str">
        <f t="shared" si="206"/>
        <v/>
      </c>
      <c r="I871">
        <f t="shared" si="207"/>
        <v>30780</v>
      </c>
      <c r="J871">
        <f>SUM($G$3:I871)</f>
        <v>15792930</v>
      </c>
      <c r="K871">
        <f t="shared" si="208"/>
        <v>43310</v>
      </c>
      <c r="L871">
        <f t="shared" si="209"/>
        <v>1.2889999999999999</v>
      </c>
      <c r="M871">
        <f t="shared" si="210"/>
        <v>1.1439999999999999</v>
      </c>
      <c r="N871">
        <f t="shared" si="211"/>
        <v>3158586</v>
      </c>
      <c r="O871">
        <f t="shared" si="212"/>
        <v>63865.618959999993</v>
      </c>
      <c r="P871">
        <f t="shared" si="213"/>
        <v>27200</v>
      </c>
      <c r="Q871">
        <f t="shared" si="214"/>
        <v>1.8</v>
      </c>
    </row>
    <row r="872" spans="1:17" x14ac:dyDescent="0.25">
      <c r="A872">
        <v>870</v>
      </c>
      <c r="B872">
        <f t="shared" si="215"/>
        <v>29</v>
      </c>
      <c r="C872">
        <f t="shared" si="216"/>
        <v>3</v>
      </c>
      <c r="D872" t="str">
        <f t="shared" si="202"/>
        <v/>
      </c>
      <c r="E872" t="str">
        <f t="shared" si="203"/>
        <v/>
      </c>
      <c r="F872">
        <f t="shared" si="204"/>
        <v>1445</v>
      </c>
      <c r="G872" t="str">
        <f t="shared" si="205"/>
        <v/>
      </c>
      <c r="H872" t="str">
        <f t="shared" si="206"/>
        <v/>
      </c>
      <c r="I872">
        <f t="shared" si="207"/>
        <v>30890</v>
      </c>
      <c r="J872">
        <f>SUM($G$3:I872)</f>
        <v>15823820</v>
      </c>
      <c r="K872">
        <f t="shared" si="208"/>
        <v>43310</v>
      </c>
      <c r="L872">
        <f t="shared" si="209"/>
        <v>1.2889999999999999</v>
      </c>
      <c r="M872">
        <f t="shared" si="210"/>
        <v>1.1445000000000001</v>
      </c>
      <c r="N872">
        <f t="shared" si="211"/>
        <v>3164764</v>
      </c>
      <c r="O872">
        <f t="shared" si="212"/>
        <v>63893.532254999998</v>
      </c>
      <c r="P872">
        <f t="shared" si="213"/>
        <v>27200</v>
      </c>
      <c r="Q872">
        <f t="shared" si="214"/>
        <v>1.8</v>
      </c>
    </row>
    <row r="873" spans="1:17" x14ac:dyDescent="0.25">
      <c r="A873">
        <v>871</v>
      </c>
      <c r="B873">
        <f t="shared" si="215"/>
        <v>30</v>
      </c>
      <c r="C873">
        <f t="shared" si="216"/>
        <v>1</v>
      </c>
      <c r="D873">
        <f t="shared" si="202"/>
        <v>4360</v>
      </c>
      <c r="E873" t="str">
        <f t="shared" si="203"/>
        <v/>
      </c>
      <c r="F873" t="str">
        <f t="shared" si="204"/>
        <v/>
      </c>
      <c r="G873">
        <f t="shared" si="205"/>
        <v>62000</v>
      </c>
      <c r="H873" t="str">
        <f t="shared" si="206"/>
        <v/>
      </c>
      <c r="I873" t="str">
        <f t="shared" si="207"/>
        <v/>
      </c>
      <c r="J873">
        <f>SUM($G$3:I873)</f>
        <v>15885820</v>
      </c>
      <c r="K873">
        <f t="shared" si="208"/>
        <v>43600</v>
      </c>
      <c r="L873">
        <f t="shared" si="209"/>
        <v>1.2889999999999999</v>
      </c>
      <c r="M873">
        <f t="shared" si="210"/>
        <v>1.1445000000000001</v>
      </c>
      <c r="N873">
        <f t="shared" si="211"/>
        <v>3177164</v>
      </c>
      <c r="O873">
        <f t="shared" si="212"/>
        <v>64321.357799999998</v>
      </c>
      <c r="P873">
        <f t="shared" si="213"/>
        <v>27200</v>
      </c>
      <c r="Q873">
        <f t="shared" si="214"/>
        <v>1.8</v>
      </c>
    </row>
    <row r="874" spans="1:17" x14ac:dyDescent="0.25">
      <c r="A874">
        <v>872</v>
      </c>
      <c r="B874">
        <f t="shared" si="215"/>
        <v>30</v>
      </c>
      <c r="C874">
        <f t="shared" si="216"/>
        <v>1</v>
      </c>
      <c r="D874">
        <f t="shared" si="202"/>
        <v>4390</v>
      </c>
      <c r="E874" t="str">
        <f t="shared" si="203"/>
        <v/>
      </c>
      <c r="F874" t="str">
        <f t="shared" si="204"/>
        <v/>
      </c>
      <c r="G874">
        <f t="shared" si="205"/>
        <v>62220</v>
      </c>
      <c r="H874" t="str">
        <f t="shared" si="206"/>
        <v/>
      </c>
      <c r="I874" t="str">
        <f t="shared" si="207"/>
        <v/>
      </c>
      <c r="J874">
        <f>SUM($G$3:I874)</f>
        <v>15948040</v>
      </c>
      <c r="K874">
        <f t="shared" si="208"/>
        <v>43900</v>
      </c>
      <c r="L874">
        <f t="shared" si="209"/>
        <v>1.2889999999999999</v>
      </c>
      <c r="M874">
        <f t="shared" si="210"/>
        <v>1.1445000000000001</v>
      </c>
      <c r="N874">
        <f t="shared" si="211"/>
        <v>3189608</v>
      </c>
      <c r="O874">
        <f t="shared" si="212"/>
        <v>64763.935949999999</v>
      </c>
      <c r="P874">
        <f t="shared" si="213"/>
        <v>27200</v>
      </c>
      <c r="Q874">
        <f t="shared" si="214"/>
        <v>1.8</v>
      </c>
    </row>
    <row r="875" spans="1:17" x14ac:dyDescent="0.25">
      <c r="A875">
        <v>873</v>
      </c>
      <c r="B875">
        <f t="shared" si="215"/>
        <v>30</v>
      </c>
      <c r="C875">
        <f t="shared" si="216"/>
        <v>1</v>
      </c>
      <c r="D875">
        <f t="shared" si="202"/>
        <v>4420</v>
      </c>
      <c r="E875" t="str">
        <f t="shared" si="203"/>
        <v/>
      </c>
      <c r="F875" t="str">
        <f t="shared" si="204"/>
        <v/>
      </c>
      <c r="G875">
        <f t="shared" si="205"/>
        <v>62440</v>
      </c>
      <c r="H875" t="str">
        <f t="shared" si="206"/>
        <v/>
      </c>
      <c r="I875" t="str">
        <f t="shared" si="207"/>
        <v/>
      </c>
      <c r="J875">
        <f>SUM($G$3:I875)</f>
        <v>16010480</v>
      </c>
      <c r="K875">
        <f t="shared" si="208"/>
        <v>44200</v>
      </c>
      <c r="L875">
        <f t="shared" si="209"/>
        <v>1.2889999999999999</v>
      </c>
      <c r="M875">
        <f t="shared" si="210"/>
        <v>1.1445000000000001</v>
      </c>
      <c r="N875">
        <f t="shared" si="211"/>
        <v>3202096</v>
      </c>
      <c r="O875">
        <f t="shared" si="212"/>
        <v>65206.5141</v>
      </c>
      <c r="P875">
        <f t="shared" si="213"/>
        <v>27200</v>
      </c>
      <c r="Q875">
        <f t="shared" si="214"/>
        <v>1.8</v>
      </c>
    </row>
    <row r="876" spans="1:17" x14ac:dyDescent="0.25">
      <c r="A876">
        <v>874</v>
      </c>
      <c r="B876">
        <f t="shared" si="215"/>
        <v>30</v>
      </c>
      <c r="C876">
        <f t="shared" si="216"/>
        <v>1</v>
      </c>
      <c r="D876">
        <f t="shared" si="202"/>
        <v>4450</v>
      </c>
      <c r="E876" t="str">
        <f t="shared" si="203"/>
        <v/>
      </c>
      <c r="F876" t="str">
        <f t="shared" si="204"/>
        <v/>
      </c>
      <c r="G876">
        <f t="shared" si="205"/>
        <v>62660</v>
      </c>
      <c r="H876" t="str">
        <f t="shared" si="206"/>
        <v/>
      </c>
      <c r="I876" t="str">
        <f t="shared" si="207"/>
        <v/>
      </c>
      <c r="J876">
        <f>SUM($G$3:I876)</f>
        <v>16073140</v>
      </c>
      <c r="K876">
        <f t="shared" si="208"/>
        <v>44500</v>
      </c>
      <c r="L876">
        <f t="shared" si="209"/>
        <v>1.2889999999999999</v>
      </c>
      <c r="M876">
        <f t="shared" si="210"/>
        <v>1.1445000000000001</v>
      </c>
      <c r="N876">
        <f t="shared" si="211"/>
        <v>3214628</v>
      </c>
      <c r="O876">
        <f t="shared" si="212"/>
        <v>65649.092250000002</v>
      </c>
      <c r="P876">
        <f t="shared" si="213"/>
        <v>27200</v>
      </c>
      <c r="Q876">
        <f t="shared" si="214"/>
        <v>1.8</v>
      </c>
    </row>
    <row r="877" spans="1:17" x14ac:dyDescent="0.25">
      <c r="A877">
        <v>875</v>
      </c>
      <c r="B877">
        <f t="shared" si="215"/>
        <v>30</v>
      </c>
      <c r="C877">
        <f t="shared" si="216"/>
        <v>1</v>
      </c>
      <c r="D877">
        <f t="shared" si="202"/>
        <v>4480</v>
      </c>
      <c r="E877" t="str">
        <f t="shared" si="203"/>
        <v/>
      </c>
      <c r="F877" t="str">
        <f t="shared" si="204"/>
        <v/>
      </c>
      <c r="G877">
        <f t="shared" si="205"/>
        <v>62880</v>
      </c>
      <c r="H877" t="str">
        <f t="shared" si="206"/>
        <v/>
      </c>
      <c r="I877" t="str">
        <f t="shared" si="207"/>
        <v/>
      </c>
      <c r="J877">
        <f>SUM($G$3:I877)</f>
        <v>16136020</v>
      </c>
      <c r="K877">
        <f t="shared" si="208"/>
        <v>44800</v>
      </c>
      <c r="L877">
        <f t="shared" si="209"/>
        <v>1.2889999999999999</v>
      </c>
      <c r="M877">
        <f t="shared" si="210"/>
        <v>1.1445000000000001</v>
      </c>
      <c r="N877">
        <f t="shared" si="211"/>
        <v>3227204</v>
      </c>
      <c r="O877">
        <f t="shared" si="212"/>
        <v>66091.670400000003</v>
      </c>
      <c r="P877">
        <f t="shared" si="213"/>
        <v>27200</v>
      </c>
      <c r="Q877">
        <f t="shared" si="214"/>
        <v>1.8</v>
      </c>
    </row>
    <row r="878" spans="1:17" x14ac:dyDescent="0.25">
      <c r="A878">
        <v>876</v>
      </c>
      <c r="B878">
        <f t="shared" si="215"/>
        <v>30</v>
      </c>
      <c r="C878">
        <f t="shared" si="216"/>
        <v>1</v>
      </c>
      <c r="D878">
        <f t="shared" si="202"/>
        <v>4510</v>
      </c>
      <c r="E878" t="str">
        <f t="shared" si="203"/>
        <v/>
      </c>
      <c r="F878" t="str">
        <f t="shared" si="204"/>
        <v/>
      </c>
      <c r="G878">
        <f t="shared" si="205"/>
        <v>63100</v>
      </c>
      <c r="H878" t="str">
        <f t="shared" si="206"/>
        <v/>
      </c>
      <c r="I878" t="str">
        <f t="shared" si="207"/>
        <v/>
      </c>
      <c r="J878">
        <f>SUM($G$3:I878)</f>
        <v>16199120</v>
      </c>
      <c r="K878">
        <f t="shared" si="208"/>
        <v>45100</v>
      </c>
      <c r="L878">
        <f t="shared" si="209"/>
        <v>1.2889999999999999</v>
      </c>
      <c r="M878">
        <f t="shared" si="210"/>
        <v>1.1445000000000001</v>
      </c>
      <c r="N878">
        <f t="shared" si="211"/>
        <v>3239824</v>
      </c>
      <c r="O878">
        <f t="shared" si="212"/>
        <v>66534.248550000004</v>
      </c>
      <c r="P878">
        <f t="shared" si="213"/>
        <v>27200</v>
      </c>
      <c r="Q878">
        <f t="shared" si="214"/>
        <v>1.8</v>
      </c>
    </row>
    <row r="879" spans="1:17" x14ac:dyDescent="0.25">
      <c r="A879">
        <v>877</v>
      </c>
      <c r="B879">
        <f t="shared" si="215"/>
        <v>30</v>
      </c>
      <c r="C879">
        <f t="shared" si="216"/>
        <v>1</v>
      </c>
      <c r="D879">
        <f t="shared" si="202"/>
        <v>4540</v>
      </c>
      <c r="E879" t="str">
        <f t="shared" si="203"/>
        <v/>
      </c>
      <c r="F879" t="str">
        <f t="shared" si="204"/>
        <v/>
      </c>
      <c r="G879">
        <f t="shared" si="205"/>
        <v>63320</v>
      </c>
      <c r="H879" t="str">
        <f t="shared" si="206"/>
        <v/>
      </c>
      <c r="I879" t="str">
        <f t="shared" si="207"/>
        <v/>
      </c>
      <c r="J879">
        <f>SUM($G$3:I879)</f>
        <v>16262440</v>
      </c>
      <c r="K879">
        <f t="shared" si="208"/>
        <v>45400</v>
      </c>
      <c r="L879">
        <f t="shared" si="209"/>
        <v>1.2889999999999999</v>
      </c>
      <c r="M879">
        <f t="shared" si="210"/>
        <v>1.1445000000000001</v>
      </c>
      <c r="N879">
        <f t="shared" si="211"/>
        <v>3252488</v>
      </c>
      <c r="O879">
        <f t="shared" si="212"/>
        <v>66976.826700000005</v>
      </c>
      <c r="P879">
        <f t="shared" si="213"/>
        <v>27200</v>
      </c>
      <c r="Q879">
        <f t="shared" si="214"/>
        <v>1.8</v>
      </c>
    </row>
    <row r="880" spans="1:17" x14ac:dyDescent="0.25">
      <c r="A880">
        <v>878</v>
      </c>
      <c r="B880">
        <f t="shared" si="215"/>
        <v>30</v>
      </c>
      <c r="C880">
        <f t="shared" si="216"/>
        <v>1</v>
      </c>
      <c r="D880">
        <f t="shared" si="202"/>
        <v>4570</v>
      </c>
      <c r="E880" t="str">
        <f t="shared" si="203"/>
        <v/>
      </c>
      <c r="F880" t="str">
        <f t="shared" si="204"/>
        <v/>
      </c>
      <c r="G880">
        <f t="shared" si="205"/>
        <v>63540</v>
      </c>
      <c r="H880" t="str">
        <f t="shared" si="206"/>
        <v/>
      </c>
      <c r="I880" t="str">
        <f t="shared" si="207"/>
        <v/>
      </c>
      <c r="J880">
        <f>SUM($G$3:I880)</f>
        <v>16325980</v>
      </c>
      <c r="K880">
        <f t="shared" si="208"/>
        <v>45700</v>
      </c>
      <c r="L880">
        <f t="shared" si="209"/>
        <v>1.2889999999999999</v>
      </c>
      <c r="M880">
        <f t="shared" si="210"/>
        <v>1.1445000000000001</v>
      </c>
      <c r="N880">
        <f t="shared" si="211"/>
        <v>3265196</v>
      </c>
      <c r="O880">
        <f t="shared" si="212"/>
        <v>67419.404850000006</v>
      </c>
      <c r="P880">
        <f t="shared" si="213"/>
        <v>27200</v>
      </c>
      <c r="Q880">
        <f t="shared" si="214"/>
        <v>1.8</v>
      </c>
    </row>
    <row r="881" spans="1:17" x14ac:dyDescent="0.25">
      <c r="A881">
        <v>879</v>
      </c>
      <c r="B881">
        <f t="shared" si="215"/>
        <v>30</v>
      </c>
      <c r="C881">
        <f t="shared" si="216"/>
        <v>1</v>
      </c>
      <c r="D881">
        <f t="shared" si="202"/>
        <v>4600</v>
      </c>
      <c r="E881" t="str">
        <f t="shared" si="203"/>
        <v/>
      </c>
      <c r="F881" t="str">
        <f t="shared" si="204"/>
        <v/>
      </c>
      <c r="G881">
        <f t="shared" si="205"/>
        <v>63760</v>
      </c>
      <c r="H881" t="str">
        <f t="shared" si="206"/>
        <v/>
      </c>
      <c r="I881" t="str">
        <f t="shared" si="207"/>
        <v/>
      </c>
      <c r="J881">
        <f>SUM($G$3:I881)</f>
        <v>16389740</v>
      </c>
      <c r="K881">
        <f t="shared" si="208"/>
        <v>46000</v>
      </c>
      <c r="L881">
        <f t="shared" si="209"/>
        <v>1.2889999999999999</v>
      </c>
      <c r="M881">
        <f t="shared" si="210"/>
        <v>1.1445000000000001</v>
      </c>
      <c r="N881">
        <f t="shared" si="211"/>
        <v>3277948</v>
      </c>
      <c r="O881">
        <f t="shared" si="212"/>
        <v>67861.983000000007</v>
      </c>
      <c r="P881">
        <f t="shared" si="213"/>
        <v>27200</v>
      </c>
      <c r="Q881">
        <f t="shared" si="214"/>
        <v>1.8</v>
      </c>
    </row>
    <row r="882" spans="1:17" x14ac:dyDescent="0.25">
      <c r="A882">
        <v>880</v>
      </c>
      <c r="B882">
        <f t="shared" si="215"/>
        <v>30</v>
      </c>
      <c r="C882">
        <f t="shared" si="216"/>
        <v>1</v>
      </c>
      <c r="D882">
        <f t="shared" si="202"/>
        <v>4630</v>
      </c>
      <c r="E882" t="str">
        <f t="shared" si="203"/>
        <v/>
      </c>
      <c r="F882" t="str">
        <f t="shared" si="204"/>
        <v/>
      </c>
      <c r="G882">
        <f t="shared" si="205"/>
        <v>63980</v>
      </c>
      <c r="H882" t="str">
        <f t="shared" si="206"/>
        <v/>
      </c>
      <c r="I882" t="str">
        <f t="shared" si="207"/>
        <v/>
      </c>
      <c r="J882">
        <f>SUM($G$3:I882)</f>
        <v>16453720</v>
      </c>
      <c r="K882">
        <f t="shared" si="208"/>
        <v>46300</v>
      </c>
      <c r="L882">
        <f t="shared" si="209"/>
        <v>1.2889999999999999</v>
      </c>
      <c r="M882">
        <f t="shared" si="210"/>
        <v>1.1445000000000001</v>
      </c>
      <c r="N882">
        <f t="shared" si="211"/>
        <v>3290744</v>
      </c>
      <c r="O882">
        <f t="shared" si="212"/>
        <v>68304.561149999994</v>
      </c>
      <c r="P882">
        <f t="shared" si="213"/>
        <v>29700</v>
      </c>
      <c r="Q882">
        <f t="shared" si="214"/>
        <v>1.8</v>
      </c>
    </row>
    <row r="883" spans="1:17" x14ac:dyDescent="0.25">
      <c r="A883">
        <v>881</v>
      </c>
      <c r="B883">
        <f t="shared" si="215"/>
        <v>30</v>
      </c>
      <c r="C883">
        <f t="shared" si="216"/>
        <v>2</v>
      </c>
      <c r="D883" t="str">
        <f t="shared" si="202"/>
        <v/>
      </c>
      <c r="E883">
        <f t="shared" si="203"/>
        <v>2900</v>
      </c>
      <c r="F883" t="str">
        <f t="shared" si="204"/>
        <v/>
      </c>
      <c r="G883" t="str">
        <f t="shared" si="205"/>
        <v/>
      </c>
      <c r="H883">
        <f t="shared" si="206"/>
        <v>41333</v>
      </c>
      <c r="I883" t="str">
        <f t="shared" si="207"/>
        <v/>
      </c>
      <c r="J883">
        <f>SUM($G$3:I883)</f>
        <v>16495053</v>
      </c>
      <c r="K883">
        <f t="shared" si="208"/>
        <v>46300</v>
      </c>
      <c r="L883">
        <f t="shared" si="209"/>
        <v>1.29</v>
      </c>
      <c r="M883">
        <f t="shared" si="210"/>
        <v>1.1445000000000001</v>
      </c>
      <c r="N883">
        <f t="shared" si="211"/>
        <v>3299010.6</v>
      </c>
      <c r="O883">
        <f t="shared" si="212"/>
        <v>68357.551500000001</v>
      </c>
      <c r="P883">
        <f t="shared" si="213"/>
        <v>29700</v>
      </c>
      <c r="Q883">
        <f t="shared" si="214"/>
        <v>1.8</v>
      </c>
    </row>
    <row r="884" spans="1:17" x14ac:dyDescent="0.25">
      <c r="A884">
        <v>882</v>
      </c>
      <c r="B884">
        <f t="shared" si="215"/>
        <v>30</v>
      </c>
      <c r="C884">
        <f t="shared" si="216"/>
        <v>2</v>
      </c>
      <c r="D884" t="str">
        <f t="shared" si="202"/>
        <v/>
      </c>
      <c r="E884">
        <f t="shared" si="203"/>
        <v>2910</v>
      </c>
      <c r="F884" t="str">
        <f t="shared" si="204"/>
        <v/>
      </c>
      <c r="G884" t="str">
        <f t="shared" si="205"/>
        <v/>
      </c>
      <c r="H884">
        <f t="shared" si="206"/>
        <v>41480</v>
      </c>
      <c r="I884" t="str">
        <f t="shared" si="207"/>
        <v/>
      </c>
      <c r="J884">
        <f>SUM($G$3:I884)</f>
        <v>16536533</v>
      </c>
      <c r="K884">
        <f t="shared" si="208"/>
        <v>46300</v>
      </c>
      <c r="L884">
        <f t="shared" si="209"/>
        <v>1.2909999999999999</v>
      </c>
      <c r="M884">
        <f t="shared" si="210"/>
        <v>1.1445000000000001</v>
      </c>
      <c r="N884">
        <f t="shared" si="211"/>
        <v>3307306.6</v>
      </c>
      <c r="O884">
        <f t="shared" si="212"/>
        <v>68410.541849999994</v>
      </c>
      <c r="P884">
        <f t="shared" si="213"/>
        <v>29700</v>
      </c>
      <c r="Q884">
        <f t="shared" si="214"/>
        <v>1.8</v>
      </c>
    </row>
    <row r="885" spans="1:17" x14ac:dyDescent="0.25">
      <c r="A885">
        <v>883</v>
      </c>
      <c r="B885">
        <f t="shared" si="215"/>
        <v>30</v>
      </c>
      <c r="C885">
        <f t="shared" si="216"/>
        <v>2</v>
      </c>
      <c r="D885" t="str">
        <f t="shared" si="202"/>
        <v/>
      </c>
      <c r="E885">
        <f t="shared" si="203"/>
        <v>2920</v>
      </c>
      <c r="F885" t="str">
        <f t="shared" si="204"/>
        <v/>
      </c>
      <c r="G885" t="str">
        <f t="shared" si="205"/>
        <v/>
      </c>
      <c r="H885">
        <f t="shared" si="206"/>
        <v>41627</v>
      </c>
      <c r="I885" t="str">
        <f t="shared" si="207"/>
        <v/>
      </c>
      <c r="J885">
        <f>SUM($G$3:I885)</f>
        <v>16578160</v>
      </c>
      <c r="K885">
        <f t="shared" si="208"/>
        <v>46300</v>
      </c>
      <c r="L885">
        <f t="shared" si="209"/>
        <v>1.292</v>
      </c>
      <c r="M885">
        <f t="shared" si="210"/>
        <v>1.1445000000000001</v>
      </c>
      <c r="N885">
        <f t="shared" si="211"/>
        <v>3315632</v>
      </c>
      <c r="O885">
        <f t="shared" si="212"/>
        <v>68463.532200000001</v>
      </c>
      <c r="P885">
        <f t="shared" si="213"/>
        <v>29700</v>
      </c>
      <c r="Q885">
        <f t="shared" si="214"/>
        <v>1.8</v>
      </c>
    </row>
    <row r="886" spans="1:17" x14ac:dyDescent="0.25">
      <c r="A886">
        <v>884</v>
      </c>
      <c r="B886">
        <f t="shared" si="215"/>
        <v>30</v>
      </c>
      <c r="C886">
        <f t="shared" si="216"/>
        <v>2</v>
      </c>
      <c r="D886" t="str">
        <f t="shared" si="202"/>
        <v/>
      </c>
      <c r="E886">
        <f t="shared" si="203"/>
        <v>2930</v>
      </c>
      <c r="F886" t="str">
        <f t="shared" si="204"/>
        <v/>
      </c>
      <c r="G886" t="str">
        <f t="shared" si="205"/>
        <v/>
      </c>
      <c r="H886">
        <f t="shared" si="206"/>
        <v>41774</v>
      </c>
      <c r="I886" t="str">
        <f t="shared" si="207"/>
        <v/>
      </c>
      <c r="J886">
        <f>SUM($G$3:I886)</f>
        <v>16619934</v>
      </c>
      <c r="K886">
        <f t="shared" si="208"/>
        <v>46300</v>
      </c>
      <c r="L886">
        <f t="shared" si="209"/>
        <v>1.2929999999999999</v>
      </c>
      <c r="M886">
        <f t="shared" si="210"/>
        <v>1.1445000000000001</v>
      </c>
      <c r="N886">
        <f t="shared" si="211"/>
        <v>3323986.8000000003</v>
      </c>
      <c r="O886">
        <f t="shared" si="212"/>
        <v>68516.522549999994</v>
      </c>
      <c r="P886">
        <f t="shared" si="213"/>
        <v>29700</v>
      </c>
      <c r="Q886">
        <f t="shared" si="214"/>
        <v>1.8</v>
      </c>
    </row>
    <row r="887" spans="1:17" x14ac:dyDescent="0.25">
      <c r="A887">
        <v>885</v>
      </c>
      <c r="B887">
        <f t="shared" si="215"/>
        <v>30</v>
      </c>
      <c r="C887">
        <f t="shared" si="216"/>
        <v>2</v>
      </c>
      <c r="D887" t="str">
        <f t="shared" si="202"/>
        <v/>
      </c>
      <c r="E887">
        <f t="shared" si="203"/>
        <v>2940</v>
      </c>
      <c r="F887" t="str">
        <f t="shared" si="204"/>
        <v/>
      </c>
      <c r="G887" t="str">
        <f t="shared" si="205"/>
        <v/>
      </c>
      <c r="H887">
        <f t="shared" si="206"/>
        <v>41921</v>
      </c>
      <c r="I887" t="str">
        <f t="shared" si="207"/>
        <v/>
      </c>
      <c r="J887">
        <f>SUM($G$3:I887)</f>
        <v>16661855</v>
      </c>
      <c r="K887">
        <f t="shared" si="208"/>
        <v>46300</v>
      </c>
      <c r="L887">
        <f t="shared" si="209"/>
        <v>1.294</v>
      </c>
      <c r="M887">
        <f t="shared" si="210"/>
        <v>1.1445000000000001</v>
      </c>
      <c r="N887">
        <f t="shared" si="211"/>
        <v>3332371</v>
      </c>
      <c r="O887">
        <f t="shared" si="212"/>
        <v>68569.512900000016</v>
      </c>
      <c r="P887">
        <f t="shared" si="213"/>
        <v>29700</v>
      </c>
      <c r="Q887">
        <f t="shared" si="214"/>
        <v>1.8</v>
      </c>
    </row>
    <row r="888" spans="1:17" x14ac:dyDescent="0.25">
      <c r="A888">
        <v>886</v>
      </c>
      <c r="B888">
        <f t="shared" si="215"/>
        <v>30</v>
      </c>
      <c r="C888">
        <f t="shared" si="216"/>
        <v>2</v>
      </c>
      <c r="D888" t="str">
        <f t="shared" si="202"/>
        <v/>
      </c>
      <c r="E888">
        <f t="shared" si="203"/>
        <v>2950</v>
      </c>
      <c r="F888" t="str">
        <f t="shared" si="204"/>
        <v/>
      </c>
      <c r="G888" t="str">
        <f t="shared" si="205"/>
        <v/>
      </c>
      <c r="H888">
        <f t="shared" si="206"/>
        <v>42068</v>
      </c>
      <c r="I888" t="str">
        <f t="shared" si="207"/>
        <v/>
      </c>
      <c r="J888">
        <f>SUM($G$3:I888)</f>
        <v>16703923</v>
      </c>
      <c r="K888">
        <f t="shared" si="208"/>
        <v>46300</v>
      </c>
      <c r="L888">
        <f t="shared" si="209"/>
        <v>1.2949999999999999</v>
      </c>
      <c r="M888">
        <f t="shared" si="210"/>
        <v>1.1445000000000001</v>
      </c>
      <c r="N888">
        <f t="shared" si="211"/>
        <v>3340784.6</v>
      </c>
      <c r="O888">
        <f t="shared" si="212"/>
        <v>68622.503250000009</v>
      </c>
      <c r="P888">
        <f t="shared" si="213"/>
        <v>29700</v>
      </c>
      <c r="Q888">
        <f t="shared" si="214"/>
        <v>1.8</v>
      </c>
    </row>
    <row r="889" spans="1:17" x14ac:dyDescent="0.25">
      <c r="A889">
        <v>887</v>
      </c>
      <c r="B889">
        <f t="shared" si="215"/>
        <v>30</v>
      </c>
      <c r="C889">
        <f t="shared" si="216"/>
        <v>2</v>
      </c>
      <c r="D889" t="str">
        <f t="shared" si="202"/>
        <v/>
      </c>
      <c r="E889">
        <f t="shared" si="203"/>
        <v>2960</v>
      </c>
      <c r="F889" t="str">
        <f t="shared" si="204"/>
        <v/>
      </c>
      <c r="G889" t="str">
        <f t="shared" si="205"/>
        <v/>
      </c>
      <c r="H889">
        <f t="shared" si="206"/>
        <v>42215</v>
      </c>
      <c r="I889" t="str">
        <f t="shared" si="207"/>
        <v/>
      </c>
      <c r="J889">
        <f>SUM($G$3:I889)</f>
        <v>16746138</v>
      </c>
      <c r="K889">
        <f t="shared" si="208"/>
        <v>46300</v>
      </c>
      <c r="L889">
        <f t="shared" si="209"/>
        <v>1.296</v>
      </c>
      <c r="M889">
        <f t="shared" si="210"/>
        <v>1.1445000000000001</v>
      </c>
      <c r="N889">
        <f t="shared" si="211"/>
        <v>3349227.6</v>
      </c>
      <c r="O889">
        <f t="shared" si="212"/>
        <v>68675.493600000002</v>
      </c>
      <c r="P889">
        <f t="shared" si="213"/>
        <v>29700</v>
      </c>
      <c r="Q889">
        <f t="shared" si="214"/>
        <v>1.8</v>
      </c>
    </row>
    <row r="890" spans="1:17" x14ac:dyDescent="0.25">
      <c r="A890">
        <v>888</v>
      </c>
      <c r="B890">
        <f t="shared" si="215"/>
        <v>30</v>
      </c>
      <c r="C890">
        <f t="shared" si="216"/>
        <v>2</v>
      </c>
      <c r="D890" t="str">
        <f t="shared" si="202"/>
        <v/>
      </c>
      <c r="E890">
        <f t="shared" si="203"/>
        <v>2970</v>
      </c>
      <c r="F890" t="str">
        <f t="shared" si="204"/>
        <v/>
      </c>
      <c r="G890" t="str">
        <f t="shared" si="205"/>
        <v/>
      </c>
      <c r="H890">
        <f t="shared" si="206"/>
        <v>42362</v>
      </c>
      <c r="I890" t="str">
        <f t="shared" si="207"/>
        <v/>
      </c>
      <c r="J890">
        <f>SUM($G$3:I890)</f>
        <v>16788500</v>
      </c>
      <c r="K890">
        <f t="shared" si="208"/>
        <v>46300</v>
      </c>
      <c r="L890">
        <f t="shared" si="209"/>
        <v>1.2969999999999999</v>
      </c>
      <c r="M890">
        <f t="shared" si="210"/>
        <v>1.1445000000000001</v>
      </c>
      <c r="N890">
        <f t="shared" si="211"/>
        <v>3357700</v>
      </c>
      <c r="O890">
        <f t="shared" si="212"/>
        <v>68728.483950000009</v>
      </c>
      <c r="P890">
        <f t="shared" si="213"/>
        <v>29700</v>
      </c>
      <c r="Q890">
        <f t="shared" si="214"/>
        <v>1.8</v>
      </c>
    </row>
    <row r="891" spans="1:17" x14ac:dyDescent="0.25">
      <c r="A891">
        <v>889</v>
      </c>
      <c r="B891">
        <f t="shared" si="215"/>
        <v>30</v>
      </c>
      <c r="C891">
        <f t="shared" si="216"/>
        <v>2</v>
      </c>
      <c r="D891" t="str">
        <f t="shared" si="202"/>
        <v/>
      </c>
      <c r="E891">
        <f t="shared" si="203"/>
        <v>2980</v>
      </c>
      <c r="F891" t="str">
        <f t="shared" si="204"/>
        <v/>
      </c>
      <c r="G891" t="str">
        <f t="shared" si="205"/>
        <v/>
      </c>
      <c r="H891">
        <f t="shared" si="206"/>
        <v>42509</v>
      </c>
      <c r="I891" t="str">
        <f t="shared" si="207"/>
        <v/>
      </c>
      <c r="J891">
        <f>SUM($G$3:I891)</f>
        <v>16831009</v>
      </c>
      <c r="K891">
        <f t="shared" si="208"/>
        <v>46300</v>
      </c>
      <c r="L891">
        <f t="shared" si="209"/>
        <v>1.298</v>
      </c>
      <c r="M891">
        <f t="shared" si="210"/>
        <v>1.1445000000000001</v>
      </c>
      <c r="N891">
        <f t="shared" si="211"/>
        <v>3366201.8000000003</v>
      </c>
      <c r="O891">
        <f t="shared" si="212"/>
        <v>68781.474300000002</v>
      </c>
      <c r="P891">
        <f t="shared" si="213"/>
        <v>29700</v>
      </c>
      <c r="Q891">
        <f t="shared" si="214"/>
        <v>1.8</v>
      </c>
    </row>
    <row r="892" spans="1:17" x14ac:dyDescent="0.25">
      <c r="A892">
        <v>890</v>
      </c>
      <c r="B892">
        <f t="shared" si="215"/>
        <v>30</v>
      </c>
      <c r="C892">
        <f t="shared" si="216"/>
        <v>2</v>
      </c>
      <c r="D892" t="str">
        <f t="shared" si="202"/>
        <v/>
      </c>
      <c r="E892">
        <f t="shared" si="203"/>
        <v>2990</v>
      </c>
      <c r="F892" t="str">
        <f t="shared" si="204"/>
        <v/>
      </c>
      <c r="G892" t="str">
        <f t="shared" si="205"/>
        <v/>
      </c>
      <c r="H892">
        <f t="shared" si="206"/>
        <v>42656</v>
      </c>
      <c r="I892" t="str">
        <f t="shared" si="207"/>
        <v/>
      </c>
      <c r="J892">
        <f>SUM($G$3:I892)</f>
        <v>16873665</v>
      </c>
      <c r="K892">
        <f t="shared" si="208"/>
        <v>46300</v>
      </c>
      <c r="L892">
        <f t="shared" si="209"/>
        <v>1.2989999999999999</v>
      </c>
      <c r="M892">
        <f t="shared" si="210"/>
        <v>1.1445000000000001</v>
      </c>
      <c r="N892">
        <f t="shared" si="211"/>
        <v>3374733</v>
      </c>
      <c r="O892">
        <f t="shared" si="212"/>
        <v>68834.464649999994</v>
      </c>
      <c r="P892">
        <f t="shared" si="213"/>
        <v>29700</v>
      </c>
      <c r="Q892">
        <f t="shared" si="214"/>
        <v>1.9</v>
      </c>
    </row>
    <row r="893" spans="1:17" x14ac:dyDescent="0.25">
      <c r="A893">
        <v>891</v>
      </c>
      <c r="B893">
        <f t="shared" si="215"/>
        <v>30</v>
      </c>
      <c r="C893">
        <f t="shared" si="216"/>
        <v>3</v>
      </c>
      <c r="D893" t="str">
        <f t="shared" si="202"/>
        <v/>
      </c>
      <c r="E893" t="str">
        <f t="shared" si="203"/>
        <v/>
      </c>
      <c r="F893">
        <f t="shared" si="204"/>
        <v>1450</v>
      </c>
      <c r="G893" t="str">
        <f t="shared" si="205"/>
        <v/>
      </c>
      <c r="H893" t="str">
        <f t="shared" si="206"/>
        <v/>
      </c>
      <c r="I893">
        <f t="shared" si="207"/>
        <v>31000</v>
      </c>
      <c r="J893">
        <f>SUM($G$3:I893)</f>
        <v>16904665</v>
      </c>
      <c r="K893">
        <f t="shared" si="208"/>
        <v>46300</v>
      </c>
      <c r="L893">
        <f t="shared" si="209"/>
        <v>1.2989999999999999</v>
      </c>
      <c r="M893">
        <f t="shared" si="210"/>
        <v>1.145</v>
      </c>
      <c r="N893">
        <f t="shared" si="211"/>
        <v>3380933</v>
      </c>
      <c r="O893">
        <f t="shared" si="212"/>
        <v>68864.536500000002</v>
      </c>
      <c r="P893">
        <f t="shared" si="213"/>
        <v>29700</v>
      </c>
      <c r="Q893">
        <f t="shared" si="214"/>
        <v>1.9</v>
      </c>
    </row>
    <row r="894" spans="1:17" x14ac:dyDescent="0.25">
      <c r="A894">
        <v>892</v>
      </c>
      <c r="B894">
        <f t="shared" si="215"/>
        <v>30</v>
      </c>
      <c r="C894">
        <f t="shared" si="216"/>
        <v>3</v>
      </c>
      <c r="D894" t="str">
        <f t="shared" si="202"/>
        <v/>
      </c>
      <c r="E894" t="str">
        <f t="shared" si="203"/>
        <v/>
      </c>
      <c r="F894">
        <f t="shared" si="204"/>
        <v>1455</v>
      </c>
      <c r="G894" t="str">
        <f t="shared" si="205"/>
        <v/>
      </c>
      <c r="H894" t="str">
        <f t="shared" si="206"/>
        <v/>
      </c>
      <c r="I894">
        <f t="shared" si="207"/>
        <v>31110</v>
      </c>
      <c r="J894">
        <f>SUM($G$3:I894)</f>
        <v>16935775</v>
      </c>
      <c r="K894">
        <f t="shared" si="208"/>
        <v>46300</v>
      </c>
      <c r="L894">
        <f t="shared" si="209"/>
        <v>1.2989999999999999</v>
      </c>
      <c r="M894">
        <f t="shared" si="210"/>
        <v>1.1455</v>
      </c>
      <c r="N894">
        <f t="shared" si="211"/>
        <v>3387155</v>
      </c>
      <c r="O894">
        <f t="shared" si="212"/>
        <v>68894.608349999995</v>
      </c>
      <c r="P894">
        <f t="shared" si="213"/>
        <v>29700</v>
      </c>
      <c r="Q894">
        <f t="shared" si="214"/>
        <v>1.9</v>
      </c>
    </row>
    <row r="895" spans="1:17" x14ac:dyDescent="0.25">
      <c r="A895">
        <v>893</v>
      </c>
      <c r="B895">
        <f t="shared" si="215"/>
        <v>30</v>
      </c>
      <c r="C895">
        <f t="shared" si="216"/>
        <v>3</v>
      </c>
      <c r="D895" t="str">
        <f t="shared" si="202"/>
        <v/>
      </c>
      <c r="E895" t="str">
        <f t="shared" si="203"/>
        <v/>
      </c>
      <c r="F895">
        <f t="shared" si="204"/>
        <v>1460</v>
      </c>
      <c r="G895" t="str">
        <f t="shared" si="205"/>
        <v/>
      </c>
      <c r="H895" t="str">
        <f t="shared" si="206"/>
        <v/>
      </c>
      <c r="I895">
        <f t="shared" si="207"/>
        <v>31220</v>
      </c>
      <c r="J895">
        <f>SUM($G$3:I895)</f>
        <v>16966995</v>
      </c>
      <c r="K895">
        <f t="shared" si="208"/>
        <v>46300</v>
      </c>
      <c r="L895">
        <f t="shared" si="209"/>
        <v>1.2989999999999999</v>
      </c>
      <c r="M895">
        <f t="shared" si="210"/>
        <v>1.1459999999999999</v>
      </c>
      <c r="N895">
        <f t="shared" si="211"/>
        <v>3393399</v>
      </c>
      <c r="O895">
        <f t="shared" si="212"/>
        <v>68924.680199999988</v>
      </c>
      <c r="P895">
        <f t="shared" si="213"/>
        <v>29700</v>
      </c>
      <c r="Q895">
        <f t="shared" si="214"/>
        <v>1.9</v>
      </c>
    </row>
    <row r="896" spans="1:17" x14ac:dyDescent="0.25">
      <c r="A896">
        <v>894</v>
      </c>
      <c r="B896">
        <f t="shared" si="215"/>
        <v>30</v>
      </c>
      <c r="C896">
        <f t="shared" si="216"/>
        <v>3</v>
      </c>
      <c r="D896" t="str">
        <f t="shared" si="202"/>
        <v/>
      </c>
      <c r="E896" t="str">
        <f t="shared" si="203"/>
        <v/>
      </c>
      <c r="F896">
        <f t="shared" si="204"/>
        <v>1465</v>
      </c>
      <c r="G896" t="str">
        <f t="shared" si="205"/>
        <v/>
      </c>
      <c r="H896" t="str">
        <f t="shared" si="206"/>
        <v/>
      </c>
      <c r="I896">
        <f t="shared" si="207"/>
        <v>31330</v>
      </c>
      <c r="J896">
        <f>SUM($G$3:I896)</f>
        <v>16998325</v>
      </c>
      <c r="K896">
        <f t="shared" si="208"/>
        <v>46300</v>
      </c>
      <c r="L896">
        <f t="shared" si="209"/>
        <v>1.2989999999999999</v>
      </c>
      <c r="M896">
        <f t="shared" si="210"/>
        <v>1.1465000000000001</v>
      </c>
      <c r="N896">
        <f t="shared" si="211"/>
        <v>3399665</v>
      </c>
      <c r="O896">
        <f t="shared" si="212"/>
        <v>68954.752049999996</v>
      </c>
      <c r="P896">
        <f t="shared" si="213"/>
        <v>29700</v>
      </c>
      <c r="Q896">
        <f t="shared" si="214"/>
        <v>1.9</v>
      </c>
    </row>
    <row r="897" spans="1:20" x14ac:dyDescent="0.25">
      <c r="A897">
        <v>895</v>
      </c>
      <c r="B897">
        <f t="shared" si="215"/>
        <v>30</v>
      </c>
      <c r="C897">
        <f t="shared" si="216"/>
        <v>3</v>
      </c>
      <c r="D897" t="str">
        <f t="shared" si="202"/>
        <v/>
      </c>
      <c r="E897" t="str">
        <f t="shared" si="203"/>
        <v/>
      </c>
      <c r="F897">
        <f t="shared" si="204"/>
        <v>1470</v>
      </c>
      <c r="G897" t="str">
        <f t="shared" si="205"/>
        <v/>
      </c>
      <c r="H897" t="str">
        <f t="shared" si="206"/>
        <v/>
      </c>
      <c r="I897">
        <f t="shared" si="207"/>
        <v>31440</v>
      </c>
      <c r="J897">
        <f>SUM($G$3:I897)</f>
        <v>17029765</v>
      </c>
      <c r="K897">
        <f t="shared" si="208"/>
        <v>46300</v>
      </c>
      <c r="L897">
        <f t="shared" si="209"/>
        <v>1.2989999999999999</v>
      </c>
      <c r="M897">
        <f t="shared" si="210"/>
        <v>1.147</v>
      </c>
      <c r="N897">
        <f t="shared" si="211"/>
        <v>3405953</v>
      </c>
      <c r="O897">
        <f t="shared" si="212"/>
        <v>68984.823900000003</v>
      </c>
      <c r="P897">
        <f t="shared" si="213"/>
        <v>29700</v>
      </c>
      <c r="Q897">
        <f t="shared" si="214"/>
        <v>1.9</v>
      </c>
    </row>
    <row r="898" spans="1:20" x14ac:dyDescent="0.25">
      <c r="A898">
        <v>896</v>
      </c>
      <c r="B898">
        <f t="shared" si="215"/>
        <v>30</v>
      </c>
      <c r="C898">
        <f t="shared" si="216"/>
        <v>3</v>
      </c>
      <c r="D898" t="str">
        <f t="shared" si="202"/>
        <v/>
      </c>
      <c r="E898" t="str">
        <f t="shared" si="203"/>
        <v/>
      </c>
      <c r="F898">
        <f t="shared" si="204"/>
        <v>1475</v>
      </c>
      <c r="G898" t="str">
        <f t="shared" si="205"/>
        <v/>
      </c>
      <c r="H898" t="str">
        <f t="shared" si="206"/>
        <v/>
      </c>
      <c r="I898">
        <f t="shared" si="207"/>
        <v>31550</v>
      </c>
      <c r="J898">
        <f>SUM($G$3:I898)</f>
        <v>17061315</v>
      </c>
      <c r="K898">
        <f t="shared" si="208"/>
        <v>46300</v>
      </c>
      <c r="L898">
        <f t="shared" si="209"/>
        <v>1.2989999999999999</v>
      </c>
      <c r="M898">
        <f t="shared" si="210"/>
        <v>1.1475</v>
      </c>
      <c r="N898">
        <f t="shared" si="211"/>
        <v>3412263</v>
      </c>
      <c r="O898">
        <f t="shared" si="212"/>
        <v>69014.895749999996</v>
      </c>
      <c r="P898">
        <f t="shared" si="213"/>
        <v>29700</v>
      </c>
      <c r="Q898">
        <f t="shared" si="214"/>
        <v>1.9</v>
      </c>
    </row>
    <row r="899" spans="1:20" x14ac:dyDescent="0.25">
      <c r="A899">
        <v>897</v>
      </c>
      <c r="B899">
        <f t="shared" si="215"/>
        <v>30</v>
      </c>
      <c r="C899">
        <f t="shared" si="216"/>
        <v>3</v>
      </c>
      <c r="D899" t="str">
        <f t="shared" ref="D899:D962" si="217">IF($C899=1,INDEX($Z:$Z,MATCH($B899,$Y:$Y,0))+MOD($A899-1,10)*INDEX($AC:$AC,MATCH($B899,$Y:$Y,0)),"")</f>
        <v/>
      </c>
      <c r="E899" t="str">
        <f t="shared" ref="E899:E962" si="218">IF($C899=2,INDEX($AA:$AA,MATCH($B899,$Y:$Y,0))+MOD($A899-1,10)*INDEX($AD:$AD,MATCH($B899,$Y:$Y,0)),"")</f>
        <v/>
      </c>
      <c r="F899">
        <f t="shared" ref="F899:F962" si="219">IF($C899=3,INDEX($AB:$AB,MATCH($B899,$Y:$Y,0))+MOD($A899-1,10)*INDEX($AE:$AE,MATCH($B899,$Y:$Y,0)),"")</f>
        <v>1480</v>
      </c>
      <c r="G899" t="str">
        <f t="shared" ref="G899:G962" si="220">IF($C899=1,INDEX($AF:$AF,MATCH($B899,$Y:$Y,0))+MOD($A899-1,10)*INDEX($AI:$AI,MATCH($B899,$Y:$Y,0)),"")</f>
        <v/>
      </c>
      <c r="H899" t="str">
        <f t="shared" ref="H899:H962" si="221">IF($C899=2,INDEX($AG:$AG,MATCH($B899,$Y:$Y,0))+MOD($A899-1,10)*INDEX($AJ:$AJ,MATCH($B899,$Y:$Y,0)),"")</f>
        <v/>
      </c>
      <c r="I899">
        <f t="shared" ref="I899:I962" si="222">IF($C899=3,INDEX($AH:$AH,MATCH($B899,$Y:$Y,0))+MOD($A899-1,10)*INDEX($AK:$AK,MATCH($B899,$Y:$Y,0)),"")</f>
        <v>31660</v>
      </c>
      <c r="J899">
        <f>SUM($G$3:I899)</f>
        <v>17092975</v>
      </c>
      <c r="K899">
        <f t="shared" si="208"/>
        <v>46300</v>
      </c>
      <c r="L899">
        <f t="shared" si="209"/>
        <v>1.2989999999999999</v>
      </c>
      <c r="M899">
        <f t="shared" si="210"/>
        <v>1.1479999999999999</v>
      </c>
      <c r="N899">
        <f t="shared" si="211"/>
        <v>3418595</v>
      </c>
      <c r="O899">
        <f t="shared" si="212"/>
        <v>69044.967599999989</v>
      </c>
      <c r="P899">
        <f t="shared" si="213"/>
        <v>29700</v>
      </c>
      <c r="Q899">
        <f t="shared" si="214"/>
        <v>1.9</v>
      </c>
    </row>
    <row r="900" spans="1:20" x14ac:dyDescent="0.25">
      <c r="A900">
        <v>898</v>
      </c>
      <c r="B900">
        <f t="shared" si="215"/>
        <v>30</v>
      </c>
      <c r="C900">
        <f t="shared" si="216"/>
        <v>3</v>
      </c>
      <c r="D900" t="str">
        <f t="shared" si="217"/>
        <v/>
      </c>
      <c r="E900" t="str">
        <f t="shared" si="218"/>
        <v/>
      </c>
      <c r="F900">
        <f t="shared" si="219"/>
        <v>1485</v>
      </c>
      <c r="G900" t="str">
        <f t="shared" si="220"/>
        <v/>
      </c>
      <c r="H900" t="str">
        <f t="shared" si="221"/>
        <v/>
      </c>
      <c r="I900">
        <f t="shared" si="222"/>
        <v>31770</v>
      </c>
      <c r="J900">
        <f>SUM($G$3:I900)</f>
        <v>17124745</v>
      </c>
      <c r="K900">
        <f t="shared" ref="K900:K963" si="223">_xlfn.MAXIFS($D:$D,$A:$A,"&lt;="&amp;A900)/10*100</f>
        <v>46300</v>
      </c>
      <c r="L900">
        <f t="shared" ref="L900:L963" si="224">_xlfn.MAXIFS($E:$E,$A:$A,"&lt;="&amp;A900)/10000+1</f>
        <v>1.2989999999999999</v>
      </c>
      <c r="M900">
        <f t="shared" ref="M900:M963" si="225">_xlfn.MAXIFS($F:$F,$A:$A,"&lt;="&amp;A900)/10000+1</f>
        <v>1.1485000000000001</v>
      </c>
      <c r="N900">
        <f t="shared" ref="N900:N963" si="226">J900*0.2</f>
        <v>3424949</v>
      </c>
      <c r="O900">
        <f t="shared" ref="O900:O963" si="227">K900*L900*M900</f>
        <v>69075.039449999997</v>
      </c>
      <c r="P900">
        <f t="shared" ref="P900:P963" si="228">SUMIFS($AZ:$AZ,$AW:$AW,$AW$3,$AY:$AY,3,$AV:$AV,"&lt;="&amp;A900)</f>
        <v>29700</v>
      </c>
      <c r="Q900">
        <f t="shared" ref="Q900:Q963" si="229">SUMIFS($AZ:$AZ,$AY:$AY,98,$AV:$AV,"&lt;="&amp;A900)*10/100</f>
        <v>1.9</v>
      </c>
    </row>
    <row r="901" spans="1:20" x14ac:dyDescent="0.25">
      <c r="A901">
        <v>899</v>
      </c>
      <c r="B901">
        <f t="shared" si="215"/>
        <v>30</v>
      </c>
      <c r="C901">
        <f t="shared" si="216"/>
        <v>3</v>
      </c>
      <c r="D901" t="str">
        <f t="shared" si="217"/>
        <v/>
      </c>
      <c r="E901" t="str">
        <f t="shared" si="218"/>
        <v/>
      </c>
      <c r="F901">
        <f t="shared" si="219"/>
        <v>1490</v>
      </c>
      <c r="G901" t="str">
        <f t="shared" si="220"/>
        <v/>
      </c>
      <c r="H901" t="str">
        <f t="shared" si="221"/>
        <v/>
      </c>
      <c r="I901">
        <f t="shared" si="222"/>
        <v>31880</v>
      </c>
      <c r="J901">
        <f>SUM($G$3:I901)</f>
        <v>17156625</v>
      </c>
      <c r="K901">
        <f t="shared" si="223"/>
        <v>46300</v>
      </c>
      <c r="L901">
        <f t="shared" si="224"/>
        <v>1.2989999999999999</v>
      </c>
      <c r="M901">
        <f t="shared" si="225"/>
        <v>1.149</v>
      </c>
      <c r="N901">
        <f t="shared" si="226"/>
        <v>3431325</v>
      </c>
      <c r="O901">
        <f t="shared" si="227"/>
        <v>69105.111300000004</v>
      </c>
      <c r="P901">
        <f t="shared" si="228"/>
        <v>29700</v>
      </c>
      <c r="Q901">
        <f t="shared" si="229"/>
        <v>1.9</v>
      </c>
    </row>
    <row r="902" spans="1:20" x14ac:dyDescent="0.25">
      <c r="A902">
        <v>900</v>
      </c>
      <c r="B902">
        <f t="shared" si="215"/>
        <v>30</v>
      </c>
      <c r="C902">
        <f t="shared" si="216"/>
        <v>3</v>
      </c>
      <c r="D902" t="str">
        <f t="shared" si="217"/>
        <v/>
      </c>
      <c r="E902" t="str">
        <f t="shared" si="218"/>
        <v/>
      </c>
      <c r="F902">
        <f t="shared" si="219"/>
        <v>1495</v>
      </c>
      <c r="G902" t="str">
        <f t="shared" si="220"/>
        <v/>
      </c>
      <c r="H902" t="str">
        <f t="shared" si="221"/>
        <v/>
      </c>
      <c r="I902">
        <f t="shared" si="222"/>
        <v>31990</v>
      </c>
      <c r="J902">
        <f>SUM($G$3:I902)</f>
        <v>17188615</v>
      </c>
      <c r="K902">
        <f t="shared" si="223"/>
        <v>46300</v>
      </c>
      <c r="L902">
        <f t="shared" si="224"/>
        <v>1.2989999999999999</v>
      </c>
      <c r="M902">
        <f t="shared" si="225"/>
        <v>1.1495</v>
      </c>
      <c r="N902">
        <f t="shared" si="226"/>
        <v>3437723</v>
      </c>
      <c r="O902">
        <f t="shared" si="227"/>
        <v>69135.183149999997</v>
      </c>
      <c r="P902">
        <f t="shared" si="228"/>
        <v>29700</v>
      </c>
      <c r="Q902">
        <f t="shared" si="229"/>
        <v>1.9</v>
      </c>
      <c r="T902">
        <v>70750</v>
      </c>
    </row>
    <row r="903" spans="1:20" x14ac:dyDescent="0.25">
      <c r="A903">
        <v>901</v>
      </c>
      <c r="B903">
        <f t="shared" si="215"/>
        <v>31</v>
      </c>
      <c r="C903">
        <f t="shared" si="216"/>
        <v>1</v>
      </c>
      <c r="D903">
        <f t="shared" si="217"/>
        <v>4660</v>
      </c>
      <c r="E903" t="str">
        <f t="shared" si="218"/>
        <v/>
      </c>
      <c r="F903" t="str">
        <f t="shared" si="219"/>
        <v/>
      </c>
      <c r="G903">
        <f t="shared" si="220"/>
        <v>64200</v>
      </c>
      <c r="H903" t="str">
        <f t="shared" si="221"/>
        <v/>
      </c>
      <c r="I903" t="str">
        <f t="shared" si="222"/>
        <v/>
      </c>
      <c r="J903">
        <f>SUM($G$3:I903)</f>
        <v>17252815</v>
      </c>
      <c r="K903">
        <f t="shared" si="223"/>
        <v>46600</v>
      </c>
      <c r="L903">
        <f t="shared" si="224"/>
        <v>1.2989999999999999</v>
      </c>
      <c r="M903">
        <f t="shared" si="225"/>
        <v>1.1495</v>
      </c>
      <c r="N903">
        <f t="shared" si="226"/>
        <v>3450563</v>
      </c>
      <c r="O903">
        <f t="shared" si="227"/>
        <v>69583.143299999996</v>
      </c>
      <c r="P903">
        <f t="shared" si="228"/>
        <v>29700</v>
      </c>
      <c r="Q903">
        <f t="shared" si="229"/>
        <v>1.9</v>
      </c>
      <c r="T903">
        <v>71000</v>
      </c>
    </row>
    <row r="904" spans="1:20" x14ac:dyDescent="0.25">
      <c r="A904">
        <v>902</v>
      </c>
      <c r="B904">
        <f t="shared" si="215"/>
        <v>31</v>
      </c>
      <c r="C904">
        <f t="shared" si="216"/>
        <v>1</v>
      </c>
      <c r="D904">
        <f t="shared" si="217"/>
        <v>4691</v>
      </c>
      <c r="E904" t="str">
        <f t="shared" si="218"/>
        <v/>
      </c>
      <c r="F904" t="str">
        <f t="shared" si="219"/>
        <v/>
      </c>
      <c r="G904">
        <f t="shared" si="220"/>
        <v>64420</v>
      </c>
      <c r="H904" t="str">
        <f t="shared" si="221"/>
        <v/>
      </c>
      <c r="I904" t="str">
        <f t="shared" si="222"/>
        <v/>
      </c>
      <c r="J904">
        <f>SUM($G$3:I904)</f>
        <v>17317235</v>
      </c>
      <c r="K904">
        <f t="shared" si="223"/>
        <v>46910</v>
      </c>
      <c r="L904">
        <f t="shared" si="224"/>
        <v>1.2989999999999999</v>
      </c>
      <c r="M904">
        <f t="shared" si="225"/>
        <v>1.1495</v>
      </c>
      <c r="N904">
        <f t="shared" si="226"/>
        <v>3463447</v>
      </c>
      <c r="O904">
        <f t="shared" si="227"/>
        <v>70046.03545499999</v>
      </c>
      <c r="P904">
        <f t="shared" si="228"/>
        <v>29700</v>
      </c>
      <c r="Q904">
        <f t="shared" si="229"/>
        <v>1.9</v>
      </c>
    </row>
    <row r="905" spans="1:20" x14ac:dyDescent="0.25">
      <c r="A905">
        <v>903</v>
      </c>
      <c r="B905">
        <f t="shared" si="215"/>
        <v>31</v>
      </c>
      <c r="C905">
        <f t="shared" si="216"/>
        <v>1</v>
      </c>
      <c r="D905">
        <f t="shared" si="217"/>
        <v>4722</v>
      </c>
      <c r="E905" t="str">
        <f t="shared" si="218"/>
        <v/>
      </c>
      <c r="F905" t="str">
        <f t="shared" si="219"/>
        <v/>
      </c>
      <c r="G905">
        <f t="shared" si="220"/>
        <v>64640</v>
      </c>
      <c r="H905" t="str">
        <f t="shared" si="221"/>
        <v/>
      </c>
      <c r="I905" t="str">
        <f t="shared" si="222"/>
        <v/>
      </c>
      <c r="J905">
        <f>SUM($G$3:I905)</f>
        <v>17381875</v>
      </c>
      <c r="K905">
        <f t="shared" si="223"/>
        <v>47220</v>
      </c>
      <c r="L905">
        <f t="shared" si="224"/>
        <v>1.2989999999999999</v>
      </c>
      <c r="M905">
        <f t="shared" si="225"/>
        <v>1.1495</v>
      </c>
      <c r="N905">
        <f t="shared" si="226"/>
        <v>3476375</v>
      </c>
      <c r="O905">
        <f t="shared" si="227"/>
        <v>70508.927609999999</v>
      </c>
      <c r="P905">
        <f t="shared" si="228"/>
        <v>29700</v>
      </c>
      <c r="Q905">
        <f t="shared" si="229"/>
        <v>1.9</v>
      </c>
    </row>
    <row r="906" spans="1:20" x14ac:dyDescent="0.25">
      <c r="A906">
        <v>904</v>
      </c>
      <c r="B906">
        <f t="shared" si="215"/>
        <v>31</v>
      </c>
      <c r="C906">
        <f t="shared" si="216"/>
        <v>1</v>
      </c>
      <c r="D906">
        <f t="shared" si="217"/>
        <v>4753</v>
      </c>
      <c r="E906" t="str">
        <f t="shared" si="218"/>
        <v/>
      </c>
      <c r="F906" t="str">
        <f t="shared" si="219"/>
        <v/>
      </c>
      <c r="G906">
        <f t="shared" si="220"/>
        <v>64860</v>
      </c>
      <c r="H906" t="str">
        <f t="shared" si="221"/>
        <v/>
      </c>
      <c r="I906" t="str">
        <f t="shared" si="222"/>
        <v/>
      </c>
      <c r="J906">
        <f>SUM($G$3:I906)</f>
        <v>17446735</v>
      </c>
      <c r="K906">
        <f t="shared" si="223"/>
        <v>47530</v>
      </c>
      <c r="L906">
        <f t="shared" si="224"/>
        <v>1.2989999999999999</v>
      </c>
      <c r="M906">
        <f t="shared" si="225"/>
        <v>1.1495</v>
      </c>
      <c r="N906">
        <f t="shared" si="226"/>
        <v>3489347</v>
      </c>
      <c r="O906">
        <f t="shared" si="227"/>
        <v>70971.819764999993</v>
      </c>
      <c r="P906">
        <f t="shared" si="228"/>
        <v>29700</v>
      </c>
      <c r="Q906">
        <f t="shared" si="229"/>
        <v>1.9</v>
      </c>
    </row>
    <row r="907" spans="1:20" x14ac:dyDescent="0.25">
      <c r="A907">
        <v>905</v>
      </c>
      <c r="B907">
        <f t="shared" si="215"/>
        <v>31</v>
      </c>
      <c r="C907">
        <f t="shared" si="216"/>
        <v>1</v>
      </c>
      <c r="D907">
        <f t="shared" si="217"/>
        <v>4784</v>
      </c>
      <c r="E907" t="str">
        <f t="shared" si="218"/>
        <v/>
      </c>
      <c r="F907" t="str">
        <f t="shared" si="219"/>
        <v/>
      </c>
      <c r="G907">
        <f t="shared" si="220"/>
        <v>65080</v>
      </c>
      <c r="H907" t="str">
        <f t="shared" si="221"/>
        <v/>
      </c>
      <c r="I907" t="str">
        <f t="shared" si="222"/>
        <v/>
      </c>
      <c r="J907">
        <f>SUM($G$3:I907)</f>
        <v>17511815</v>
      </c>
      <c r="K907">
        <f t="shared" si="223"/>
        <v>47840</v>
      </c>
      <c r="L907">
        <f t="shared" si="224"/>
        <v>1.2989999999999999</v>
      </c>
      <c r="M907">
        <f t="shared" si="225"/>
        <v>1.1495</v>
      </c>
      <c r="N907">
        <f t="shared" si="226"/>
        <v>3502363</v>
      </c>
      <c r="O907">
        <f t="shared" si="227"/>
        <v>71434.711919999987</v>
      </c>
      <c r="P907">
        <f t="shared" si="228"/>
        <v>29700</v>
      </c>
      <c r="Q907">
        <f t="shared" si="229"/>
        <v>1.9</v>
      </c>
    </row>
    <row r="908" spans="1:20" x14ac:dyDescent="0.25">
      <c r="A908">
        <v>906</v>
      </c>
      <c r="B908">
        <f t="shared" si="215"/>
        <v>31</v>
      </c>
      <c r="C908">
        <f t="shared" si="216"/>
        <v>1</v>
      </c>
      <c r="D908">
        <f t="shared" si="217"/>
        <v>4815</v>
      </c>
      <c r="E908" t="str">
        <f t="shared" si="218"/>
        <v/>
      </c>
      <c r="F908" t="str">
        <f t="shared" si="219"/>
        <v/>
      </c>
      <c r="G908">
        <f t="shared" si="220"/>
        <v>65300</v>
      </c>
      <c r="H908" t="str">
        <f t="shared" si="221"/>
        <v/>
      </c>
      <c r="I908" t="str">
        <f t="shared" si="222"/>
        <v/>
      </c>
      <c r="J908">
        <f>SUM($G$3:I908)</f>
        <v>17577115</v>
      </c>
      <c r="K908">
        <f t="shared" si="223"/>
        <v>48150</v>
      </c>
      <c r="L908">
        <f t="shared" si="224"/>
        <v>1.2989999999999999</v>
      </c>
      <c r="M908">
        <f t="shared" si="225"/>
        <v>1.1495</v>
      </c>
      <c r="N908">
        <f t="shared" si="226"/>
        <v>3515423</v>
      </c>
      <c r="O908">
        <f t="shared" si="227"/>
        <v>71897.604074999996</v>
      </c>
      <c r="P908">
        <f t="shared" si="228"/>
        <v>29700</v>
      </c>
      <c r="Q908">
        <f t="shared" si="229"/>
        <v>1.9</v>
      </c>
    </row>
    <row r="909" spans="1:20" x14ac:dyDescent="0.25">
      <c r="A909">
        <v>907</v>
      </c>
      <c r="B909">
        <f t="shared" si="215"/>
        <v>31</v>
      </c>
      <c r="C909">
        <f t="shared" si="216"/>
        <v>1</v>
      </c>
      <c r="D909">
        <f t="shared" si="217"/>
        <v>4846</v>
      </c>
      <c r="E909" t="str">
        <f t="shared" si="218"/>
        <v/>
      </c>
      <c r="F909" t="str">
        <f t="shared" si="219"/>
        <v/>
      </c>
      <c r="G909">
        <f t="shared" si="220"/>
        <v>65520</v>
      </c>
      <c r="H909" t="str">
        <f t="shared" si="221"/>
        <v/>
      </c>
      <c r="I909" t="str">
        <f t="shared" si="222"/>
        <v/>
      </c>
      <c r="J909">
        <f>SUM($G$3:I909)</f>
        <v>17642635</v>
      </c>
      <c r="K909">
        <f t="shared" si="223"/>
        <v>48460</v>
      </c>
      <c r="L909">
        <f t="shared" si="224"/>
        <v>1.2989999999999999</v>
      </c>
      <c r="M909">
        <f t="shared" si="225"/>
        <v>1.1495</v>
      </c>
      <c r="N909">
        <f t="shared" si="226"/>
        <v>3528527</v>
      </c>
      <c r="O909">
        <f t="shared" si="227"/>
        <v>72360.49622999999</v>
      </c>
      <c r="P909">
        <f t="shared" si="228"/>
        <v>29700</v>
      </c>
      <c r="Q909">
        <f t="shared" si="229"/>
        <v>1.9</v>
      </c>
    </row>
    <row r="910" spans="1:20" x14ac:dyDescent="0.25">
      <c r="A910">
        <v>908</v>
      </c>
      <c r="B910">
        <f t="shared" si="215"/>
        <v>31</v>
      </c>
      <c r="C910">
        <f t="shared" si="216"/>
        <v>1</v>
      </c>
      <c r="D910">
        <f t="shared" si="217"/>
        <v>4877</v>
      </c>
      <c r="E910" t="str">
        <f t="shared" si="218"/>
        <v/>
      </c>
      <c r="F910" t="str">
        <f t="shared" si="219"/>
        <v/>
      </c>
      <c r="G910">
        <f t="shared" si="220"/>
        <v>65740</v>
      </c>
      <c r="H910" t="str">
        <f t="shared" si="221"/>
        <v/>
      </c>
      <c r="I910" t="str">
        <f t="shared" si="222"/>
        <v/>
      </c>
      <c r="J910">
        <f>SUM($G$3:I910)</f>
        <v>17708375</v>
      </c>
      <c r="K910">
        <f t="shared" si="223"/>
        <v>48770</v>
      </c>
      <c r="L910">
        <f t="shared" si="224"/>
        <v>1.2989999999999999</v>
      </c>
      <c r="M910">
        <f t="shared" si="225"/>
        <v>1.1495</v>
      </c>
      <c r="N910">
        <f t="shared" si="226"/>
        <v>3541675</v>
      </c>
      <c r="O910">
        <f t="shared" si="227"/>
        <v>72823.388384999998</v>
      </c>
      <c r="P910">
        <f t="shared" si="228"/>
        <v>29700</v>
      </c>
      <c r="Q910">
        <f t="shared" si="229"/>
        <v>1.9</v>
      </c>
    </row>
    <row r="911" spans="1:20" x14ac:dyDescent="0.25">
      <c r="A911">
        <v>909</v>
      </c>
      <c r="B911">
        <f t="shared" si="215"/>
        <v>31</v>
      </c>
      <c r="C911">
        <f t="shared" si="216"/>
        <v>1</v>
      </c>
      <c r="D911">
        <f t="shared" si="217"/>
        <v>4908</v>
      </c>
      <c r="E911" t="str">
        <f t="shared" si="218"/>
        <v/>
      </c>
      <c r="F911" t="str">
        <f t="shared" si="219"/>
        <v/>
      </c>
      <c r="G911">
        <f t="shared" si="220"/>
        <v>65960</v>
      </c>
      <c r="H911" t="str">
        <f t="shared" si="221"/>
        <v/>
      </c>
      <c r="I911" t="str">
        <f t="shared" si="222"/>
        <v/>
      </c>
      <c r="J911">
        <f>SUM($G$3:I911)</f>
        <v>17774335</v>
      </c>
      <c r="K911">
        <f t="shared" si="223"/>
        <v>49080</v>
      </c>
      <c r="L911">
        <f t="shared" si="224"/>
        <v>1.2989999999999999</v>
      </c>
      <c r="M911">
        <f t="shared" si="225"/>
        <v>1.1495</v>
      </c>
      <c r="N911">
        <f t="shared" si="226"/>
        <v>3554867</v>
      </c>
      <c r="O911">
        <f t="shared" si="227"/>
        <v>73286.280539999992</v>
      </c>
      <c r="P911">
        <f t="shared" si="228"/>
        <v>29700</v>
      </c>
      <c r="Q911">
        <f t="shared" si="229"/>
        <v>1.9</v>
      </c>
    </row>
    <row r="912" spans="1:20" x14ac:dyDescent="0.25">
      <c r="A912">
        <v>910</v>
      </c>
      <c r="B912">
        <f t="shared" si="215"/>
        <v>31</v>
      </c>
      <c r="C912">
        <f t="shared" si="216"/>
        <v>1</v>
      </c>
      <c r="D912">
        <f t="shared" si="217"/>
        <v>4939</v>
      </c>
      <c r="E912" t="str">
        <f t="shared" si="218"/>
        <v/>
      </c>
      <c r="F912" t="str">
        <f t="shared" si="219"/>
        <v/>
      </c>
      <c r="G912">
        <f t="shared" si="220"/>
        <v>66180</v>
      </c>
      <c r="H912" t="str">
        <f t="shared" si="221"/>
        <v/>
      </c>
      <c r="I912" t="str">
        <f t="shared" si="222"/>
        <v/>
      </c>
      <c r="J912">
        <f>SUM($G$3:I912)</f>
        <v>17840515</v>
      </c>
      <c r="K912">
        <f t="shared" si="223"/>
        <v>49390</v>
      </c>
      <c r="L912">
        <f t="shared" si="224"/>
        <v>1.2989999999999999</v>
      </c>
      <c r="M912">
        <f t="shared" si="225"/>
        <v>1.1495</v>
      </c>
      <c r="N912">
        <f t="shared" si="226"/>
        <v>3568103</v>
      </c>
      <c r="O912">
        <f t="shared" si="227"/>
        <v>73749.172694999987</v>
      </c>
      <c r="P912">
        <f t="shared" si="228"/>
        <v>32300</v>
      </c>
      <c r="Q912">
        <f t="shared" si="229"/>
        <v>1.9</v>
      </c>
    </row>
    <row r="913" spans="1:17" x14ac:dyDescent="0.25">
      <c r="A913">
        <v>911</v>
      </c>
      <c r="B913">
        <f t="shared" si="215"/>
        <v>31</v>
      </c>
      <c r="C913">
        <f t="shared" si="216"/>
        <v>2</v>
      </c>
      <c r="D913" t="str">
        <f t="shared" si="217"/>
        <v/>
      </c>
      <c r="E913">
        <f t="shared" si="218"/>
        <v>3000</v>
      </c>
      <c r="F913" t="str">
        <f t="shared" si="219"/>
        <v/>
      </c>
      <c r="G913" t="str">
        <f t="shared" si="220"/>
        <v/>
      </c>
      <c r="H913">
        <f t="shared" si="221"/>
        <v>42800</v>
      </c>
      <c r="I913" t="str">
        <f t="shared" si="222"/>
        <v/>
      </c>
      <c r="J913">
        <f>SUM($G$3:I913)</f>
        <v>17883315</v>
      </c>
      <c r="K913">
        <f t="shared" si="223"/>
        <v>49390</v>
      </c>
      <c r="L913">
        <f t="shared" si="224"/>
        <v>1.3</v>
      </c>
      <c r="M913">
        <f t="shared" si="225"/>
        <v>1.1495</v>
      </c>
      <c r="N913">
        <f t="shared" si="226"/>
        <v>3576663</v>
      </c>
      <c r="O913">
        <f t="shared" si="227"/>
        <v>73805.946499999991</v>
      </c>
      <c r="P913">
        <f t="shared" si="228"/>
        <v>32300</v>
      </c>
      <c r="Q913">
        <f t="shared" si="229"/>
        <v>1.9</v>
      </c>
    </row>
    <row r="914" spans="1:17" x14ac:dyDescent="0.25">
      <c r="A914">
        <v>912</v>
      </c>
      <c r="B914">
        <f t="shared" si="215"/>
        <v>31</v>
      </c>
      <c r="C914">
        <f t="shared" si="216"/>
        <v>2</v>
      </c>
      <c r="D914" t="str">
        <f t="shared" si="217"/>
        <v/>
      </c>
      <c r="E914">
        <f t="shared" si="218"/>
        <v>3010</v>
      </c>
      <c r="F914" t="str">
        <f t="shared" si="219"/>
        <v/>
      </c>
      <c r="G914" t="str">
        <f t="shared" si="220"/>
        <v/>
      </c>
      <c r="H914">
        <f t="shared" si="221"/>
        <v>42947</v>
      </c>
      <c r="I914" t="str">
        <f t="shared" si="222"/>
        <v/>
      </c>
      <c r="J914">
        <f>SUM($G$3:I914)</f>
        <v>17926262</v>
      </c>
      <c r="K914">
        <f t="shared" si="223"/>
        <v>49390</v>
      </c>
      <c r="L914">
        <f t="shared" si="224"/>
        <v>1.3009999999999999</v>
      </c>
      <c r="M914">
        <f t="shared" si="225"/>
        <v>1.1495</v>
      </c>
      <c r="N914">
        <f t="shared" si="226"/>
        <v>3585252.4000000004</v>
      </c>
      <c r="O914">
        <f t="shared" si="227"/>
        <v>73862.720304999995</v>
      </c>
      <c r="P914">
        <f t="shared" si="228"/>
        <v>32300</v>
      </c>
      <c r="Q914">
        <f t="shared" si="229"/>
        <v>1.9</v>
      </c>
    </row>
    <row r="915" spans="1:17" x14ac:dyDescent="0.25">
      <c r="A915">
        <v>913</v>
      </c>
      <c r="B915">
        <f t="shared" si="215"/>
        <v>31</v>
      </c>
      <c r="C915">
        <f t="shared" si="216"/>
        <v>2</v>
      </c>
      <c r="D915" t="str">
        <f t="shared" si="217"/>
        <v/>
      </c>
      <c r="E915">
        <f t="shared" si="218"/>
        <v>3020</v>
      </c>
      <c r="F915" t="str">
        <f t="shared" si="219"/>
        <v/>
      </c>
      <c r="G915" t="str">
        <f t="shared" si="220"/>
        <v/>
      </c>
      <c r="H915">
        <f t="shared" si="221"/>
        <v>43094</v>
      </c>
      <c r="I915" t="str">
        <f t="shared" si="222"/>
        <v/>
      </c>
      <c r="J915">
        <f>SUM($G$3:I915)</f>
        <v>17969356</v>
      </c>
      <c r="K915">
        <f t="shared" si="223"/>
        <v>49390</v>
      </c>
      <c r="L915">
        <f t="shared" si="224"/>
        <v>1.302</v>
      </c>
      <c r="M915">
        <f t="shared" si="225"/>
        <v>1.1495</v>
      </c>
      <c r="N915">
        <f t="shared" si="226"/>
        <v>3593871.2</v>
      </c>
      <c r="O915">
        <f t="shared" si="227"/>
        <v>73919.49411</v>
      </c>
      <c r="P915">
        <f t="shared" si="228"/>
        <v>32300</v>
      </c>
      <c r="Q915">
        <f t="shared" si="229"/>
        <v>1.9</v>
      </c>
    </row>
    <row r="916" spans="1:17" x14ac:dyDescent="0.25">
      <c r="A916">
        <v>914</v>
      </c>
      <c r="B916">
        <f t="shared" si="215"/>
        <v>31</v>
      </c>
      <c r="C916">
        <f t="shared" si="216"/>
        <v>2</v>
      </c>
      <c r="D916" t="str">
        <f t="shared" si="217"/>
        <v/>
      </c>
      <c r="E916">
        <f t="shared" si="218"/>
        <v>3030</v>
      </c>
      <c r="F916" t="str">
        <f t="shared" si="219"/>
        <v/>
      </c>
      <c r="G916" t="str">
        <f t="shared" si="220"/>
        <v/>
      </c>
      <c r="H916">
        <f t="shared" si="221"/>
        <v>43241</v>
      </c>
      <c r="I916" t="str">
        <f t="shared" si="222"/>
        <v/>
      </c>
      <c r="J916">
        <f>SUM($G$3:I916)</f>
        <v>18012597</v>
      </c>
      <c r="K916">
        <f t="shared" si="223"/>
        <v>49390</v>
      </c>
      <c r="L916">
        <f t="shared" si="224"/>
        <v>1.3029999999999999</v>
      </c>
      <c r="M916">
        <f t="shared" si="225"/>
        <v>1.1495</v>
      </c>
      <c r="N916">
        <f t="shared" si="226"/>
        <v>3602519.4000000004</v>
      </c>
      <c r="O916">
        <f t="shared" si="227"/>
        <v>73976.267914999989</v>
      </c>
      <c r="P916">
        <f t="shared" si="228"/>
        <v>32300</v>
      </c>
      <c r="Q916">
        <f t="shared" si="229"/>
        <v>1.9</v>
      </c>
    </row>
    <row r="917" spans="1:17" x14ac:dyDescent="0.25">
      <c r="A917">
        <v>915</v>
      </c>
      <c r="B917">
        <f t="shared" si="215"/>
        <v>31</v>
      </c>
      <c r="C917">
        <f t="shared" si="216"/>
        <v>2</v>
      </c>
      <c r="D917" t="str">
        <f t="shared" si="217"/>
        <v/>
      </c>
      <c r="E917">
        <f t="shared" si="218"/>
        <v>3040</v>
      </c>
      <c r="F917" t="str">
        <f t="shared" si="219"/>
        <v/>
      </c>
      <c r="G917" t="str">
        <f t="shared" si="220"/>
        <v/>
      </c>
      <c r="H917">
        <f t="shared" si="221"/>
        <v>43388</v>
      </c>
      <c r="I917" t="str">
        <f t="shared" si="222"/>
        <v/>
      </c>
      <c r="J917">
        <f>SUM($G$3:I917)</f>
        <v>18055985</v>
      </c>
      <c r="K917">
        <f t="shared" si="223"/>
        <v>49390</v>
      </c>
      <c r="L917">
        <f t="shared" si="224"/>
        <v>1.304</v>
      </c>
      <c r="M917">
        <f t="shared" si="225"/>
        <v>1.1495</v>
      </c>
      <c r="N917">
        <f t="shared" si="226"/>
        <v>3611197</v>
      </c>
      <c r="O917">
        <f t="shared" si="227"/>
        <v>74033.041720000008</v>
      </c>
      <c r="P917">
        <f t="shared" si="228"/>
        <v>32300</v>
      </c>
      <c r="Q917">
        <f t="shared" si="229"/>
        <v>1.9</v>
      </c>
    </row>
    <row r="918" spans="1:17" x14ac:dyDescent="0.25">
      <c r="A918">
        <v>916</v>
      </c>
      <c r="B918">
        <f t="shared" si="215"/>
        <v>31</v>
      </c>
      <c r="C918">
        <f t="shared" si="216"/>
        <v>2</v>
      </c>
      <c r="D918" t="str">
        <f t="shared" si="217"/>
        <v/>
      </c>
      <c r="E918">
        <f t="shared" si="218"/>
        <v>3050</v>
      </c>
      <c r="F918" t="str">
        <f t="shared" si="219"/>
        <v/>
      </c>
      <c r="G918" t="str">
        <f t="shared" si="220"/>
        <v/>
      </c>
      <c r="H918">
        <f t="shared" si="221"/>
        <v>43535</v>
      </c>
      <c r="I918" t="str">
        <f t="shared" si="222"/>
        <v/>
      </c>
      <c r="J918">
        <f>SUM($G$3:I918)</f>
        <v>18099520</v>
      </c>
      <c r="K918">
        <f t="shared" si="223"/>
        <v>49390</v>
      </c>
      <c r="L918">
        <f t="shared" si="224"/>
        <v>1.3049999999999999</v>
      </c>
      <c r="M918">
        <f t="shared" si="225"/>
        <v>1.1495</v>
      </c>
      <c r="N918">
        <f t="shared" si="226"/>
        <v>3619904</v>
      </c>
      <c r="O918">
        <f t="shared" si="227"/>
        <v>74089.815524999998</v>
      </c>
      <c r="P918">
        <f t="shared" si="228"/>
        <v>32300</v>
      </c>
      <c r="Q918">
        <f t="shared" si="229"/>
        <v>1.9</v>
      </c>
    </row>
    <row r="919" spans="1:17" x14ac:dyDescent="0.25">
      <c r="A919">
        <v>917</v>
      </c>
      <c r="B919">
        <f t="shared" si="215"/>
        <v>31</v>
      </c>
      <c r="C919">
        <f t="shared" si="216"/>
        <v>2</v>
      </c>
      <c r="D919" t="str">
        <f t="shared" si="217"/>
        <v/>
      </c>
      <c r="E919">
        <f t="shared" si="218"/>
        <v>3060</v>
      </c>
      <c r="F919" t="str">
        <f t="shared" si="219"/>
        <v/>
      </c>
      <c r="G919" t="str">
        <f t="shared" si="220"/>
        <v/>
      </c>
      <c r="H919">
        <f t="shared" si="221"/>
        <v>43682</v>
      </c>
      <c r="I919" t="str">
        <f t="shared" si="222"/>
        <v/>
      </c>
      <c r="J919">
        <f>SUM($G$3:I919)</f>
        <v>18143202</v>
      </c>
      <c r="K919">
        <f t="shared" si="223"/>
        <v>49390</v>
      </c>
      <c r="L919">
        <f t="shared" si="224"/>
        <v>1.306</v>
      </c>
      <c r="M919">
        <f t="shared" si="225"/>
        <v>1.1495</v>
      </c>
      <c r="N919">
        <f t="shared" si="226"/>
        <v>3628640.4000000004</v>
      </c>
      <c r="O919">
        <f t="shared" si="227"/>
        <v>74146.589330000003</v>
      </c>
      <c r="P919">
        <f t="shared" si="228"/>
        <v>32300</v>
      </c>
      <c r="Q919">
        <f t="shared" si="229"/>
        <v>1.9</v>
      </c>
    </row>
    <row r="920" spans="1:17" x14ac:dyDescent="0.25">
      <c r="A920">
        <v>918</v>
      </c>
      <c r="B920">
        <f t="shared" si="215"/>
        <v>31</v>
      </c>
      <c r="C920">
        <f t="shared" si="216"/>
        <v>2</v>
      </c>
      <c r="D920" t="str">
        <f t="shared" si="217"/>
        <v/>
      </c>
      <c r="E920">
        <f t="shared" si="218"/>
        <v>3070</v>
      </c>
      <c r="F920" t="str">
        <f t="shared" si="219"/>
        <v/>
      </c>
      <c r="G920" t="str">
        <f t="shared" si="220"/>
        <v/>
      </c>
      <c r="H920">
        <f t="shared" si="221"/>
        <v>43829</v>
      </c>
      <c r="I920" t="str">
        <f t="shared" si="222"/>
        <v/>
      </c>
      <c r="J920">
        <f>SUM($G$3:I920)</f>
        <v>18187031</v>
      </c>
      <c r="K920">
        <f t="shared" si="223"/>
        <v>49390</v>
      </c>
      <c r="L920">
        <f t="shared" si="224"/>
        <v>1.3069999999999999</v>
      </c>
      <c r="M920">
        <f t="shared" si="225"/>
        <v>1.1495</v>
      </c>
      <c r="N920">
        <f t="shared" si="226"/>
        <v>3637406.2</v>
      </c>
      <c r="O920">
        <f t="shared" si="227"/>
        <v>74203.363134999992</v>
      </c>
      <c r="P920">
        <f t="shared" si="228"/>
        <v>32300</v>
      </c>
      <c r="Q920">
        <f t="shared" si="229"/>
        <v>1.9</v>
      </c>
    </row>
    <row r="921" spans="1:17" x14ac:dyDescent="0.25">
      <c r="A921">
        <v>919</v>
      </c>
      <c r="B921">
        <f t="shared" si="215"/>
        <v>31</v>
      </c>
      <c r="C921">
        <f t="shared" si="216"/>
        <v>2</v>
      </c>
      <c r="D921" t="str">
        <f t="shared" si="217"/>
        <v/>
      </c>
      <c r="E921">
        <f t="shared" si="218"/>
        <v>3080</v>
      </c>
      <c r="F921" t="str">
        <f t="shared" si="219"/>
        <v/>
      </c>
      <c r="G921" t="str">
        <f t="shared" si="220"/>
        <v/>
      </c>
      <c r="H921">
        <f t="shared" si="221"/>
        <v>43976</v>
      </c>
      <c r="I921" t="str">
        <f t="shared" si="222"/>
        <v/>
      </c>
      <c r="J921">
        <f>SUM($G$3:I921)</f>
        <v>18231007</v>
      </c>
      <c r="K921">
        <f t="shared" si="223"/>
        <v>49390</v>
      </c>
      <c r="L921">
        <f t="shared" si="224"/>
        <v>1.3080000000000001</v>
      </c>
      <c r="M921">
        <f t="shared" si="225"/>
        <v>1.1495</v>
      </c>
      <c r="N921">
        <f t="shared" si="226"/>
        <v>3646201.4000000004</v>
      </c>
      <c r="O921">
        <f t="shared" si="227"/>
        <v>74260.136939999997</v>
      </c>
      <c r="P921">
        <f t="shared" si="228"/>
        <v>32300</v>
      </c>
      <c r="Q921">
        <f t="shared" si="229"/>
        <v>1.9</v>
      </c>
    </row>
    <row r="922" spans="1:17" x14ac:dyDescent="0.25">
      <c r="A922">
        <v>920</v>
      </c>
      <c r="B922">
        <f t="shared" si="215"/>
        <v>31</v>
      </c>
      <c r="C922">
        <f t="shared" si="216"/>
        <v>2</v>
      </c>
      <c r="D922" t="str">
        <f t="shared" si="217"/>
        <v/>
      </c>
      <c r="E922">
        <f t="shared" si="218"/>
        <v>3090</v>
      </c>
      <c r="F922" t="str">
        <f t="shared" si="219"/>
        <v/>
      </c>
      <c r="G922" t="str">
        <f t="shared" si="220"/>
        <v/>
      </c>
      <c r="H922">
        <f t="shared" si="221"/>
        <v>44123</v>
      </c>
      <c r="I922" t="str">
        <f t="shared" si="222"/>
        <v/>
      </c>
      <c r="J922">
        <f>SUM($G$3:I922)</f>
        <v>18275130</v>
      </c>
      <c r="K922">
        <f t="shared" si="223"/>
        <v>49390</v>
      </c>
      <c r="L922">
        <f t="shared" si="224"/>
        <v>1.3089999999999999</v>
      </c>
      <c r="M922">
        <f t="shared" si="225"/>
        <v>1.1495</v>
      </c>
      <c r="N922">
        <f t="shared" si="226"/>
        <v>3655026</v>
      </c>
      <c r="O922">
        <f t="shared" si="227"/>
        <v>74316.910744999986</v>
      </c>
      <c r="P922">
        <f t="shared" si="228"/>
        <v>32300</v>
      </c>
      <c r="Q922">
        <f t="shared" si="229"/>
        <v>2</v>
      </c>
    </row>
    <row r="923" spans="1:17" x14ac:dyDescent="0.25">
      <c r="A923">
        <v>921</v>
      </c>
      <c r="B923">
        <f t="shared" si="215"/>
        <v>31</v>
      </c>
      <c r="C923">
        <f t="shared" si="216"/>
        <v>3</v>
      </c>
      <c r="D923" t="str">
        <f t="shared" si="217"/>
        <v/>
      </c>
      <c r="E923" t="str">
        <f t="shared" si="218"/>
        <v/>
      </c>
      <c r="F923">
        <f t="shared" si="219"/>
        <v>1500</v>
      </c>
      <c r="G923" t="str">
        <f t="shared" si="220"/>
        <v/>
      </c>
      <c r="H923" t="str">
        <f t="shared" si="221"/>
        <v/>
      </c>
      <c r="I923">
        <f t="shared" si="222"/>
        <v>32100</v>
      </c>
      <c r="J923">
        <f>SUM($G$3:I923)</f>
        <v>18307230</v>
      </c>
      <c r="K923">
        <f t="shared" si="223"/>
        <v>49390</v>
      </c>
      <c r="L923">
        <f t="shared" si="224"/>
        <v>1.3089999999999999</v>
      </c>
      <c r="M923">
        <f t="shared" si="225"/>
        <v>1.1499999999999999</v>
      </c>
      <c r="N923">
        <f t="shared" si="226"/>
        <v>3661446</v>
      </c>
      <c r="O923">
        <f t="shared" si="227"/>
        <v>74349.236499999985</v>
      </c>
      <c r="P923">
        <f t="shared" si="228"/>
        <v>32300</v>
      </c>
      <c r="Q923">
        <f t="shared" si="229"/>
        <v>2</v>
      </c>
    </row>
    <row r="924" spans="1:17" x14ac:dyDescent="0.25">
      <c r="A924">
        <v>922</v>
      </c>
      <c r="B924">
        <f t="shared" si="215"/>
        <v>31</v>
      </c>
      <c r="C924">
        <f t="shared" si="216"/>
        <v>3</v>
      </c>
      <c r="D924" t="str">
        <f t="shared" si="217"/>
        <v/>
      </c>
      <c r="E924" t="str">
        <f t="shared" si="218"/>
        <v/>
      </c>
      <c r="F924">
        <f t="shared" si="219"/>
        <v>1505</v>
      </c>
      <c r="G924" t="str">
        <f t="shared" si="220"/>
        <v/>
      </c>
      <c r="H924" t="str">
        <f t="shared" si="221"/>
        <v/>
      </c>
      <c r="I924">
        <f t="shared" si="222"/>
        <v>32210</v>
      </c>
      <c r="J924">
        <f>SUM($G$3:I924)</f>
        <v>18339440</v>
      </c>
      <c r="K924">
        <f t="shared" si="223"/>
        <v>49390</v>
      </c>
      <c r="L924">
        <f t="shared" si="224"/>
        <v>1.3089999999999999</v>
      </c>
      <c r="M924">
        <f t="shared" si="225"/>
        <v>1.1505000000000001</v>
      </c>
      <c r="N924">
        <f t="shared" si="226"/>
        <v>3667888</v>
      </c>
      <c r="O924">
        <f t="shared" si="227"/>
        <v>74381.562254999997</v>
      </c>
      <c r="P924">
        <f t="shared" si="228"/>
        <v>32300</v>
      </c>
      <c r="Q924">
        <f t="shared" si="229"/>
        <v>2</v>
      </c>
    </row>
    <row r="925" spans="1:17" x14ac:dyDescent="0.25">
      <c r="A925">
        <v>923</v>
      </c>
      <c r="B925">
        <f t="shared" si="215"/>
        <v>31</v>
      </c>
      <c r="C925">
        <f t="shared" si="216"/>
        <v>3</v>
      </c>
      <c r="D925" t="str">
        <f t="shared" si="217"/>
        <v/>
      </c>
      <c r="E925" t="str">
        <f t="shared" si="218"/>
        <v/>
      </c>
      <c r="F925">
        <f t="shared" si="219"/>
        <v>1510</v>
      </c>
      <c r="G925" t="str">
        <f t="shared" si="220"/>
        <v/>
      </c>
      <c r="H925" t="str">
        <f t="shared" si="221"/>
        <v/>
      </c>
      <c r="I925">
        <f t="shared" si="222"/>
        <v>32320</v>
      </c>
      <c r="J925">
        <f>SUM($G$3:I925)</f>
        <v>18371760</v>
      </c>
      <c r="K925">
        <f t="shared" si="223"/>
        <v>49390</v>
      </c>
      <c r="L925">
        <f t="shared" si="224"/>
        <v>1.3089999999999999</v>
      </c>
      <c r="M925">
        <f t="shared" si="225"/>
        <v>1.151</v>
      </c>
      <c r="N925">
        <f t="shared" si="226"/>
        <v>3674352</v>
      </c>
      <c r="O925">
        <f t="shared" si="227"/>
        <v>74413.888009999995</v>
      </c>
      <c r="P925">
        <f t="shared" si="228"/>
        <v>32300</v>
      </c>
      <c r="Q925">
        <f t="shared" si="229"/>
        <v>2</v>
      </c>
    </row>
    <row r="926" spans="1:17" x14ac:dyDescent="0.25">
      <c r="A926">
        <v>924</v>
      </c>
      <c r="B926">
        <f t="shared" si="215"/>
        <v>31</v>
      </c>
      <c r="C926">
        <f t="shared" si="216"/>
        <v>3</v>
      </c>
      <c r="D926" t="str">
        <f t="shared" si="217"/>
        <v/>
      </c>
      <c r="E926" t="str">
        <f t="shared" si="218"/>
        <v/>
      </c>
      <c r="F926">
        <f t="shared" si="219"/>
        <v>1515</v>
      </c>
      <c r="G926" t="str">
        <f t="shared" si="220"/>
        <v/>
      </c>
      <c r="H926" t="str">
        <f t="shared" si="221"/>
        <v/>
      </c>
      <c r="I926">
        <f t="shared" si="222"/>
        <v>32430</v>
      </c>
      <c r="J926">
        <f>SUM($G$3:I926)</f>
        <v>18404190</v>
      </c>
      <c r="K926">
        <f t="shared" si="223"/>
        <v>49390</v>
      </c>
      <c r="L926">
        <f t="shared" si="224"/>
        <v>1.3089999999999999</v>
      </c>
      <c r="M926">
        <f t="shared" si="225"/>
        <v>1.1515</v>
      </c>
      <c r="N926">
        <f t="shared" si="226"/>
        <v>3680838</v>
      </c>
      <c r="O926">
        <f t="shared" si="227"/>
        <v>74446.213764999993</v>
      </c>
      <c r="P926">
        <f t="shared" si="228"/>
        <v>32300</v>
      </c>
      <c r="Q926">
        <f t="shared" si="229"/>
        <v>2</v>
      </c>
    </row>
    <row r="927" spans="1:17" x14ac:dyDescent="0.25">
      <c r="A927">
        <v>925</v>
      </c>
      <c r="B927">
        <f t="shared" si="215"/>
        <v>31</v>
      </c>
      <c r="C927">
        <f t="shared" si="216"/>
        <v>3</v>
      </c>
      <c r="D927" t="str">
        <f t="shared" si="217"/>
        <v/>
      </c>
      <c r="E927" t="str">
        <f t="shared" si="218"/>
        <v/>
      </c>
      <c r="F927">
        <f t="shared" si="219"/>
        <v>1520</v>
      </c>
      <c r="G927" t="str">
        <f t="shared" si="220"/>
        <v/>
      </c>
      <c r="H927" t="str">
        <f t="shared" si="221"/>
        <v/>
      </c>
      <c r="I927">
        <f t="shared" si="222"/>
        <v>32540</v>
      </c>
      <c r="J927">
        <f>SUM($G$3:I927)</f>
        <v>18436730</v>
      </c>
      <c r="K927">
        <f t="shared" si="223"/>
        <v>49390</v>
      </c>
      <c r="L927">
        <f t="shared" si="224"/>
        <v>1.3089999999999999</v>
      </c>
      <c r="M927">
        <f t="shared" si="225"/>
        <v>1.1519999999999999</v>
      </c>
      <c r="N927">
        <f t="shared" si="226"/>
        <v>3687346</v>
      </c>
      <c r="O927">
        <f t="shared" si="227"/>
        <v>74478.539519999991</v>
      </c>
      <c r="P927">
        <f t="shared" si="228"/>
        <v>32300</v>
      </c>
      <c r="Q927">
        <f t="shared" si="229"/>
        <v>2</v>
      </c>
    </row>
    <row r="928" spans="1:17" x14ac:dyDescent="0.25">
      <c r="A928">
        <v>926</v>
      </c>
      <c r="B928">
        <f t="shared" si="215"/>
        <v>31</v>
      </c>
      <c r="C928">
        <f t="shared" si="216"/>
        <v>3</v>
      </c>
      <c r="D928" t="str">
        <f t="shared" si="217"/>
        <v/>
      </c>
      <c r="E928" t="str">
        <f t="shared" si="218"/>
        <v/>
      </c>
      <c r="F928">
        <f t="shared" si="219"/>
        <v>1525</v>
      </c>
      <c r="G928" t="str">
        <f t="shared" si="220"/>
        <v/>
      </c>
      <c r="H928" t="str">
        <f t="shared" si="221"/>
        <v/>
      </c>
      <c r="I928">
        <f t="shared" si="222"/>
        <v>32650</v>
      </c>
      <c r="J928">
        <f>SUM($G$3:I928)</f>
        <v>18469380</v>
      </c>
      <c r="K928">
        <f t="shared" si="223"/>
        <v>49390</v>
      </c>
      <c r="L928">
        <f t="shared" si="224"/>
        <v>1.3089999999999999</v>
      </c>
      <c r="M928">
        <f t="shared" si="225"/>
        <v>1.1525000000000001</v>
      </c>
      <c r="N928">
        <f t="shared" si="226"/>
        <v>3693876</v>
      </c>
      <c r="O928">
        <f t="shared" si="227"/>
        <v>74510.865275000004</v>
      </c>
      <c r="P928">
        <f t="shared" si="228"/>
        <v>32300</v>
      </c>
      <c r="Q928">
        <f t="shared" si="229"/>
        <v>2</v>
      </c>
    </row>
    <row r="929" spans="1:17" x14ac:dyDescent="0.25">
      <c r="A929">
        <v>927</v>
      </c>
      <c r="B929">
        <f t="shared" si="215"/>
        <v>31</v>
      </c>
      <c r="C929">
        <f t="shared" si="216"/>
        <v>3</v>
      </c>
      <c r="D929" t="str">
        <f t="shared" si="217"/>
        <v/>
      </c>
      <c r="E929" t="str">
        <f t="shared" si="218"/>
        <v/>
      </c>
      <c r="F929">
        <f t="shared" si="219"/>
        <v>1530</v>
      </c>
      <c r="G929" t="str">
        <f t="shared" si="220"/>
        <v/>
      </c>
      <c r="H929" t="str">
        <f t="shared" si="221"/>
        <v/>
      </c>
      <c r="I929">
        <f t="shared" si="222"/>
        <v>32760</v>
      </c>
      <c r="J929">
        <f>SUM($G$3:I929)</f>
        <v>18502140</v>
      </c>
      <c r="K929">
        <f t="shared" si="223"/>
        <v>49390</v>
      </c>
      <c r="L929">
        <f t="shared" si="224"/>
        <v>1.3089999999999999</v>
      </c>
      <c r="M929">
        <f t="shared" si="225"/>
        <v>1.153</v>
      </c>
      <c r="N929">
        <f t="shared" si="226"/>
        <v>3700428</v>
      </c>
      <c r="O929">
        <f t="shared" si="227"/>
        <v>74543.191030000002</v>
      </c>
      <c r="P929">
        <f t="shared" si="228"/>
        <v>32300</v>
      </c>
      <c r="Q929">
        <f t="shared" si="229"/>
        <v>2</v>
      </c>
    </row>
    <row r="930" spans="1:17" x14ac:dyDescent="0.25">
      <c r="A930">
        <v>928</v>
      </c>
      <c r="B930">
        <f t="shared" ref="B930:B993" si="230">B900+1</f>
        <v>31</v>
      </c>
      <c r="C930">
        <f t="shared" ref="C930:C993" si="231">C900</f>
        <v>3</v>
      </c>
      <c r="D930" t="str">
        <f t="shared" si="217"/>
        <v/>
      </c>
      <c r="E930" t="str">
        <f t="shared" si="218"/>
        <v/>
      </c>
      <c r="F930">
        <f t="shared" si="219"/>
        <v>1535</v>
      </c>
      <c r="G930" t="str">
        <f t="shared" si="220"/>
        <v/>
      </c>
      <c r="H930" t="str">
        <f t="shared" si="221"/>
        <v/>
      </c>
      <c r="I930">
        <f t="shared" si="222"/>
        <v>32870</v>
      </c>
      <c r="J930">
        <f>SUM($G$3:I930)</f>
        <v>18535010</v>
      </c>
      <c r="K930">
        <f t="shared" si="223"/>
        <v>49390</v>
      </c>
      <c r="L930">
        <f t="shared" si="224"/>
        <v>1.3089999999999999</v>
      </c>
      <c r="M930">
        <f t="shared" si="225"/>
        <v>1.1535</v>
      </c>
      <c r="N930">
        <f t="shared" si="226"/>
        <v>3707002</v>
      </c>
      <c r="O930">
        <f t="shared" si="227"/>
        <v>74575.516784999985</v>
      </c>
      <c r="P930">
        <f t="shared" si="228"/>
        <v>32300</v>
      </c>
      <c r="Q930">
        <f t="shared" si="229"/>
        <v>2</v>
      </c>
    </row>
    <row r="931" spans="1:17" x14ac:dyDescent="0.25">
      <c r="A931">
        <v>929</v>
      </c>
      <c r="B931">
        <f t="shared" si="230"/>
        <v>31</v>
      </c>
      <c r="C931">
        <f t="shared" si="231"/>
        <v>3</v>
      </c>
      <c r="D931" t="str">
        <f t="shared" si="217"/>
        <v/>
      </c>
      <c r="E931" t="str">
        <f t="shared" si="218"/>
        <v/>
      </c>
      <c r="F931">
        <f t="shared" si="219"/>
        <v>1540</v>
      </c>
      <c r="G931" t="str">
        <f t="shared" si="220"/>
        <v/>
      </c>
      <c r="H931" t="str">
        <f t="shared" si="221"/>
        <v/>
      </c>
      <c r="I931">
        <f t="shared" si="222"/>
        <v>32980</v>
      </c>
      <c r="J931">
        <f>SUM($G$3:I931)</f>
        <v>18567990</v>
      </c>
      <c r="K931">
        <f t="shared" si="223"/>
        <v>49390</v>
      </c>
      <c r="L931">
        <f t="shared" si="224"/>
        <v>1.3089999999999999</v>
      </c>
      <c r="M931">
        <f t="shared" si="225"/>
        <v>1.1539999999999999</v>
      </c>
      <c r="N931">
        <f t="shared" si="226"/>
        <v>3713598</v>
      </c>
      <c r="O931">
        <f t="shared" si="227"/>
        <v>74607.842539999983</v>
      </c>
      <c r="P931">
        <f t="shared" si="228"/>
        <v>32300</v>
      </c>
      <c r="Q931">
        <f t="shared" si="229"/>
        <v>2</v>
      </c>
    </row>
    <row r="932" spans="1:17" x14ac:dyDescent="0.25">
      <c r="A932">
        <v>930</v>
      </c>
      <c r="B932">
        <f t="shared" si="230"/>
        <v>31</v>
      </c>
      <c r="C932">
        <f t="shared" si="231"/>
        <v>3</v>
      </c>
      <c r="D932" t="str">
        <f t="shared" si="217"/>
        <v/>
      </c>
      <c r="E932" t="str">
        <f t="shared" si="218"/>
        <v/>
      </c>
      <c r="F932">
        <f t="shared" si="219"/>
        <v>1545</v>
      </c>
      <c r="G932" t="str">
        <f t="shared" si="220"/>
        <v/>
      </c>
      <c r="H932" t="str">
        <f t="shared" si="221"/>
        <v/>
      </c>
      <c r="I932">
        <f t="shared" si="222"/>
        <v>33090</v>
      </c>
      <c r="J932">
        <f>SUM($G$3:I932)</f>
        <v>18601080</v>
      </c>
      <c r="K932">
        <f t="shared" si="223"/>
        <v>49390</v>
      </c>
      <c r="L932">
        <f t="shared" si="224"/>
        <v>1.3089999999999999</v>
      </c>
      <c r="M932">
        <f t="shared" si="225"/>
        <v>1.1545000000000001</v>
      </c>
      <c r="N932">
        <f t="shared" si="226"/>
        <v>3720216</v>
      </c>
      <c r="O932">
        <f t="shared" si="227"/>
        <v>74640.168294999996</v>
      </c>
      <c r="P932">
        <f t="shared" si="228"/>
        <v>32300</v>
      </c>
      <c r="Q932">
        <f t="shared" si="229"/>
        <v>2</v>
      </c>
    </row>
    <row r="933" spans="1:17" x14ac:dyDescent="0.25">
      <c r="A933">
        <v>931</v>
      </c>
      <c r="B933">
        <f t="shared" si="230"/>
        <v>32</v>
      </c>
      <c r="C933">
        <f t="shared" si="231"/>
        <v>1</v>
      </c>
      <c r="D933">
        <f t="shared" si="217"/>
        <v>4970</v>
      </c>
      <c r="E933" t="str">
        <f t="shared" si="218"/>
        <v/>
      </c>
      <c r="F933" t="str">
        <f t="shared" si="219"/>
        <v/>
      </c>
      <c r="G933">
        <f t="shared" si="220"/>
        <v>66400</v>
      </c>
      <c r="H933" t="str">
        <f t="shared" si="221"/>
        <v/>
      </c>
      <c r="I933" t="str">
        <f t="shared" si="222"/>
        <v/>
      </c>
      <c r="J933">
        <f>SUM($G$3:I933)</f>
        <v>18667480</v>
      </c>
      <c r="K933">
        <f t="shared" si="223"/>
        <v>49700</v>
      </c>
      <c r="L933">
        <f t="shared" si="224"/>
        <v>1.3089999999999999</v>
      </c>
      <c r="M933">
        <f t="shared" si="225"/>
        <v>1.1545000000000001</v>
      </c>
      <c r="N933">
        <f t="shared" si="226"/>
        <v>3733496</v>
      </c>
      <c r="O933">
        <f t="shared" si="227"/>
        <v>75108.652849999999</v>
      </c>
      <c r="P933">
        <f t="shared" si="228"/>
        <v>32300</v>
      </c>
      <c r="Q933">
        <f t="shared" si="229"/>
        <v>2</v>
      </c>
    </row>
    <row r="934" spans="1:17" x14ac:dyDescent="0.25">
      <c r="A934">
        <v>932</v>
      </c>
      <c r="B934">
        <f t="shared" si="230"/>
        <v>32</v>
      </c>
      <c r="C934">
        <f t="shared" si="231"/>
        <v>1</v>
      </c>
      <c r="D934">
        <f t="shared" si="217"/>
        <v>5002</v>
      </c>
      <c r="E934" t="str">
        <f t="shared" si="218"/>
        <v/>
      </c>
      <c r="F934" t="str">
        <f t="shared" si="219"/>
        <v/>
      </c>
      <c r="G934">
        <f t="shared" si="220"/>
        <v>66620</v>
      </c>
      <c r="H934" t="str">
        <f t="shared" si="221"/>
        <v/>
      </c>
      <c r="I934" t="str">
        <f t="shared" si="222"/>
        <v/>
      </c>
      <c r="J934">
        <f>SUM($G$3:I934)</f>
        <v>18734100</v>
      </c>
      <c r="K934">
        <f t="shared" si="223"/>
        <v>50020</v>
      </c>
      <c r="L934">
        <f t="shared" si="224"/>
        <v>1.3089999999999999</v>
      </c>
      <c r="M934">
        <f t="shared" si="225"/>
        <v>1.1545000000000001</v>
      </c>
      <c r="N934">
        <f t="shared" si="226"/>
        <v>3746820</v>
      </c>
      <c r="O934">
        <f t="shared" si="227"/>
        <v>75592.249810000008</v>
      </c>
      <c r="P934">
        <f t="shared" si="228"/>
        <v>32300</v>
      </c>
      <c r="Q934">
        <f t="shared" si="229"/>
        <v>2</v>
      </c>
    </row>
    <row r="935" spans="1:17" x14ac:dyDescent="0.25">
      <c r="A935">
        <v>933</v>
      </c>
      <c r="B935">
        <f t="shared" si="230"/>
        <v>32</v>
      </c>
      <c r="C935">
        <f t="shared" si="231"/>
        <v>1</v>
      </c>
      <c r="D935">
        <f t="shared" si="217"/>
        <v>5034</v>
      </c>
      <c r="E935" t="str">
        <f t="shared" si="218"/>
        <v/>
      </c>
      <c r="F935" t="str">
        <f t="shared" si="219"/>
        <v/>
      </c>
      <c r="G935">
        <f t="shared" si="220"/>
        <v>66840</v>
      </c>
      <c r="H935" t="str">
        <f t="shared" si="221"/>
        <v/>
      </c>
      <c r="I935" t="str">
        <f t="shared" si="222"/>
        <v/>
      </c>
      <c r="J935">
        <f>SUM($G$3:I935)</f>
        <v>18800940</v>
      </c>
      <c r="K935">
        <f t="shared" si="223"/>
        <v>50340</v>
      </c>
      <c r="L935">
        <f t="shared" si="224"/>
        <v>1.3089999999999999</v>
      </c>
      <c r="M935">
        <f t="shared" si="225"/>
        <v>1.1545000000000001</v>
      </c>
      <c r="N935">
        <f t="shared" si="226"/>
        <v>3760188</v>
      </c>
      <c r="O935">
        <f t="shared" si="227"/>
        <v>76075.846770000004</v>
      </c>
      <c r="P935">
        <f t="shared" si="228"/>
        <v>32300</v>
      </c>
      <c r="Q935">
        <f t="shared" si="229"/>
        <v>2</v>
      </c>
    </row>
    <row r="936" spans="1:17" x14ac:dyDescent="0.25">
      <c r="A936">
        <v>934</v>
      </c>
      <c r="B936">
        <f t="shared" si="230"/>
        <v>32</v>
      </c>
      <c r="C936">
        <f t="shared" si="231"/>
        <v>1</v>
      </c>
      <c r="D936">
        <f t="shared" si="217"/>
        <v>5066</v>
      </c>
      <c r="E936" t="str">
        <f t="shared" si="218"/>
        <v/>
      </c>
      <c r="F936" t="str">
        <f t="shared" si="219"/>
        <v/>
      </c>
      <c r="G936">
        <f t="shared" si="220"/>
        <v>67060</v>
      </c>
      <c r="H936" t="str">
        <f t="shared" si="221"/>
        <v/>
      </c>
      <c r="I936" t="str">
        <f t="shared" si="222"/>
        <v/>
      </c>
      <c r="J936">
        <f>SUM($G$3:I936)</f>
        <v>18868000</v>
      </c>
      <c r="K936">
        <f t="shared" si="223"/>
        <v>50660</v>
      </c>
      <c r="L936">
        <f t="shared" si="224"/>
        <v>1.3089999999999999</v>
      </c>
      <c r="M936">
        <f t="shared" si="225"/>
        <v>1.1545000000000001</v>
      </c>
      <c r="N936">
        <f t="shared" si="226"/>
        <v>3773600</v>
      </c>
      <c r="O936">
        <f t="shared" si="227"/>
        <v>76559.443730000014</v>
      </c>
      <c r="P936">
        <f t="shared" si="228"/>
        <v>32300</v>
      </c>
      <c r="Q936">
        <f t="shared" si="229"/>
        <v>2</v>
      </c>
    </row>
    <row r="937" spans="1:17" x14ac:dyDescent="0.25">
      <c r="A937">
        <v>935</v>
      </c>
      <c r="B937">
        <f t="shared" si="230"/>
        <v>32</v>
      </c>
      <c r="C937">
        <f t="shared" si="231"/>
        <v>1</v>
      </c>
      <c r="D937">
        <f t="shared" si="217"/>
        <v>5098</v>
      </c>
      <c r="E937" t="str">
        <f t="shared" si="218"/>
        <v/>
      </c>
      <c r="F937" t="str">
        <f t="shared" si="219"/>
        <v/>
      </c>
      <c r="G937">
        <f t="shared" si="220"/>
        <v>67280</v>
      </c>
      <c r="H937" t="str">
        <f t="shared" si="221"/>
        <v/>
      </c>
      <c r="I937" t="str">
        <f t="shared" si="222"/>
        <v/>
      </c>
      <c r="J937">
        <f>SUM($G$3:I937)</f>
        <v>18935280</v>
      </c>
      <c r="K937">
        <f t="shared" si="223"/>
        <v>50980</v>
      </c>
      <c r="L937">
        <f t="shared" si="224"/>
        <v>1.3089999999999999</v>
      </c>
      <c r="M937">
        <f t="shared" si="225"/>
        <v>1.1545000000000001</v>
      </c>
      <c r="N937">
        <f t="shared" si="226"/>
        <v>3787056</v>
      </c>
      <c r="O937">
        <f t="shared" si="227"/>
        <v>77043.040689999994</v>
      </c>
      <c r="P937">
        <f t="shared" si="228"/>
        <v>32300</v>
      </c>
      <c r="Q937">
        <f t="shared" si="229"/>
        <v>2</v>
      </c>
    </row>
    <row r="938" spans="1:17" x14ac:dyDescent="0.25">
      <c r="A938">
        <v>936</v>
      </c>
      <c r="B938">
        <f t="shared" si="230"/>
        <v>32</v>
      </c>
      <c r="C938">
        <f t="shared" si="231"/>
        <v>1</v>
      </c>
      <c r="D938">
        <f t="shared" si="217"/>
        <v>5130</v>
      </c>
      <c r="E938" t="str">
        <f t="shared" si="218"/>
        <v/>
      </c>
      <c r="F938" t="str">
        <f t="shared" si="219"/>
        <v/>
      </c>
      <c r="G938">
        <f t="shared" si="220"/>
        <v>67500</v>
      </c>
      <c r="H938" t="str">
        <f t="shared" si="221"/>
        <v/>
      </c>
      <c r="I938" t="str">
        <f t="shared" si="222"/>
        <v/>
      </c>
      <c r="J938">
        <f>SUM($G$3:I938)</f>
        <v>19002780</v>
      </c>
      <c r="K938">
        <f t="shared" si="223"/>
        <v>51300</v>
      </c>
      <c r="L938">
        <f t="shared" si="224"/>
        <v>1.3089999999999999</v>
      </c>
      <c r="M938">
        <f t="shared" si="225"/>
        <v>1.1545000000000001</v>
      </c>
      <c r="N938">
        <f t="shared" si="226"/>
        <v>3800556</v>
      </c>
      <c r="O938">
        <f t="shared" si="227"/>
        <v>77526.637650000004</v>
      </c>
      <c r="P938">
        <f t="shared" si="228"/>
        <v>32300</v>
      </c>
      <c r="Q938">
        <f t="shared" si="229"/>
        <v>2</v>
      </c>
    </row>
    <row r="939" spans="1:17" x14ac:dyDescent="0.25">
      <c r="A939">
        <v>937</v>
      </c>
      <c r="B939">
        <f t="shared" si="230"/>
        <v>32</v>
      </c>
      <c r="C939">
        <f t="shared" si="231"/>
        <v>1</v>
      </c>
      <c r="D939">
        <f t="shared" si="217"/>
        <v>5162</v>
      </c>
      <c r="E939" t="str">
        <f t="shared" si="218"/>
        <v/>
      </c>
      <c r="F939" t="str">
        <f t="shared" si="219"/>
        <v/>
      </c>
      <c r="G939">
        <f t="shared" si="220"/>
        <v>67720</v>
      </c>
      <c r="H939" t="str">
        <f t="shared" si="221"/>
        <v/>
      </c>
      <c r="I939" t="str">
        <f t="shared" si="222"/>
        <v/>
      </c>
      <c r="J939">
        <f>SUM($G$3:I939)</f>
        <v>19070500</v>
      </c>
      <c r="K939">
        <f t="shared" si="223"/>
        <v>51620.000000000007</v>
      </c>
      <c r="L939">
        <f t="shared" si="224"/>
        <v>1.3089999999999999</v>
      </c>
      <c r="M939">
        <f t="shared" si="225"/>
        <v>1.1545000000000001</v>
      </c>
      <c r="N939">
        <f t="shared" si="226"/>
        <v>3814100</v>
      </c>
      <c r="O939">
        <f t="shared" si="227"/>
        <v>78010.234610000014</v>
      </c>
      <c r="P939">
        <f t="shared" si="228"/>
        <v>32300</v>
      </c>
      <c r="Q939">
        <f t="shared" si="229"/>
        <v>2</v>
      </c>
    </row>
    <row r="940" spans="1:17" x14ac:dyDescent="0.25">
      <c r="A940">
        <v>938</v>
      </c>
      <c r="B940">
        <f t="shared" si="230"/>
        <v>32</v>
      </c>
      <c r="C940">
        <f t="shared" si="231"/>
        <v>1</v>
      </c>
      <c r="D940">
        <f t="shared" si="217"/>
        <v>5194</v>
      </c>
      <c r="E940" t="str">
        <f t="shared" si="218"/>
        <v/>
      </c>
      <c r="F940" t="str">
        <f t="shared" si="219"/>
        <v/>
      </c>
      <c r="G940">
        <f t="shared" si="220"/>
        <v>67940</v>
      </c>
      <c r="H940" t="str">
        <f t="shared" si="221"/>
        <v/>
      </c>
      <c r="I940" t="str">
        <f t="shared" si="222"/>
        <v/>
      </c>
      <c r="J940">
        <f>SUM($G$3:I940)</f>
        <v>19138440</v>
      </c>
      <c r="K940">
        <f t="shared" si="223"/>
        <v>51940</v>
      </c>
      <c r="L940">
        <f t="shared" si="224"/>
        <v>1.3089999999999999</v>
      </c>
      <c r="M940">
        <f t="shared" si="225"/>
        <v>1.1545000000000001</v>
      </c>
      <c r="N940">
        <f t="shared" si="226"/>
        <v>3827688</v>
      </c>
      <c r="O940">
        <f t="shared" si="227"/>
        <v>78493.831569999995</v>
      </c>
      <c r="P940">
        <f t="shared" si="228"/>
        <v>32300</v>
      </c>
      <c r="Q940">
        <f t="shared" si="229"/>
        <v>2</v>
      </c>
    </row>
    <row r="941" spans="1:17" x14ac:dyDescent="0.25">
      <c r="A941">
        <v>939</v>
      </c>
      <c r="B941">
        <f t="shared" si="230"/>
        <v>32</v>
      </c>
      <c r="C941">
        <f t="shared" si="231"/>
        <v>1</v>
      </c>
      <c r="D941">
        <f t="shared" si="217"/>
        <v>5226</v>
      </c>
      <c r="E941" t="str">
        <f t="shared" si="218"/>
        <v/>
      </c>
      <c r="F941" t="str">
        <f t="shared" si="219"/>
        <v/>
      </c>
      <c r="G941">
        <f t="shared" si="220"/>
        <v>68160</v>
      </c>
      <c r="H941" t="str">
        <f t="shared" si="221"/>
        <v/>
      </c>
      <c r="I941" t="str">
        <f t="shared" si="222"/>
        <v/>
      </c>
      <c r="J941">
        <f>SUM($G$3:I941)</f>
        <v>19206600</v>
      </c>
      <c r="K941">
        <f t="shared" si="223"/>
        <v>52260</v>
      </c>
      <c r="L941">
        <f t="shared" si="224"/>
        <v>1.3089999999999999</v>
      </c>
      <c r="M941">
        <f t="shared" si="225"/>
        <v>1.1545000000000001</v>
      </c>
      <c r="N941">
        <f t="shared" si="226"/>
        <v>3841320</v>
      </c>
      <c r="O941">
        <f t="shared" si="227"/>
        <v>78977.428530000005</v>
      </c>
      <c r="P941">
        <f t="shared" si="228"/>
        <v>32300</v>
      </c>
      <c r="Q941">
        <f t="shared" si="229"/>
        <v>2</v>
      </c>
    </row>
    <row r="942" spans="1:17" x14ac:dyDescent="0.25">
      <c r="A942">
        <v>940</v>
      </c>
      <c r="B942">
        <f t="shared" si="230"/>
        <v>32</v>
      </c>
      <c r="C942">
        <f t="shared" si="231"/>
        <v>1</v>
      </c>
      <c r="D942">
        <f t="shared" si="217"/>
        <v>5258</v>
      </c>
      <c r="E942" t="str">
        <f t="shared" si="218"/>
        <v/>
      </c>
      <c r="F942" t="str">
        <f t="shared" si="219"/>
        <v/>
      </c>
      <c r="G942">
        <f t="shared" si="220"/>
        <v>68380</v>
      </c>
      <c r="H942" t="str">
        <f t="shared" si="221"/>
        <v/>
      </c>
      <c r="I942" t="str">
        <f t="shared" si="222"/>
        <v/>
      </c>
      <c r="J942">
        <f>SUM($G$3:I942)</f>
        <v>19274980</v>
      </c>
      <c r="K942">
        <f t="shared" si="223"/>
        <v>52579.999999999993</v>
      </c>
      <c r="L942">
        <f t="shared" si="224"/>
        <v>1.3089999999999999</v>
      </c>
      <c r="M942">
        <f t="shared" si="225"/>
        <v>1.1545000000000001</v>
      </c>
      <c r="N942">
        <f t="shared" si="226"/>
        <v>3854996</v>
      </c>
      <c r="O942">
        <f t="shared" si="227"/>
        <v>79461.025489999985</v>
      </c>
      <c r="P942">
        <f t="shared" si="228"/>
        <v>35000</v>
      </c>
      <c r="Q942">
        <f t="shared" si="229"/>
        <v>2</v>
      </c>
    </row>
    <row r="943" spans="1:17" x14ac:dyDescent="0.25">
      <c r="A943">
        <v>941</v>
      </c>
      <c r="B943">
        <f t="shared" si="230"/>
        <v>32</v>
      </c>
      <c r="C943">
        <f t="shared" si="231"/>
        <v>2</v>
      </c>
      <c r="D943" t="str">
        <f t="shared" si="217"/>
        <v/>
      </c>
      <c r="E943">
        <f t="shared" si="218"/>
        <v>3100</v>
      </c>
      <c r="F943" t="str">
        <f t="shared" si="219"/>
        <v/>
      </c>
      <c r="G943" t="str">
        <f t="shared" si="220"/>
        <v/>
      </c>
      <c r="H943">
        <f t="shared" si="221"/>
        <v>44267</v>
      </c>
      <c r="I943" t="str">
        <f t="shared" si="222"/>
        <v/>
      </c>
      <c r="J943">
        <f>SUM($G$3:I943)</f>
        <v>19319247</v>
      </c>
      <c r="K943">
        <f t="shared" si="223"/>
        <v>52579.999999999993</v>
      </c>
      <c r="L943">
        <f t="shared" si="224"/>
        <v>1.31</v>
      </c>
      <c r="M943">
        <f t="shared" si="225"/>
        <v>1.1545000000000001</v>
      </c>
      <c r="N943">
        <f t="shared" si="226"/>
        <v>3863849.4000000004</v>
      </c>
      <c r="O943">
        <f t="shared" si="227"/>
        <v>79521.729099999997</v>
      </c>
      <c r="P943">
        <f t="shared" si="228"/>
        <v>35000</v>
      </c>
      <c r="Q943">
        <f t="shared" si="229"/>
        <v>2</v>
      </c>
    </row>
    <row r="944" spans="1:17" x14ac:dyDescent="0.25">
      <c r="A944">
        <v>942</v>
      </c>
      <c r="B944">
        <f t="shared" si="230"/>
        <v>32</v>
      </c>
      <c r="C944">
        <f t="shared" si="231"/>
        <v>2</v>
      </c>
      <c r="D944" t="str">
        <f t="shared" si="217"/>
        <v/>
      </c>
      <c r="E944">
        <f t="shared" si="218"/>
        <v>3110</v>
      </c>
      <c r="F944" t="str">
        <f t="shared" si="219"/>
        <v/>
      </c>
      <c r="G944" t="str">
        <f t="shared" si="220"/>
        <v/>
      </c>
      <c r="H944">
        <f t="shared" si="221"/>
        <v>44414</v>
      </c>
      <c r="I944" t="str">
        <f t="shared" si="222"/>
        <v/>
      </c>
      <c r="J944">
        <f>SUM($G$3:I944)</f>
        <v>19363661</v>
      </c>
      <c r="K944">
        <f t="shared" si="223"/>
        <v>52579.999999999993</v>
      </c>
      <c r="L944">
        <f t="shared" si="224"/>
        <v>1.3109999999999999</v>
      </c>
      <c r="M944">
        <f t="shared" si="225"/>
        <v>1.1545000000000001</v>
      </c>
      <c r="N944">
        <f t="shared" si="226"/>
        <v>3872732.2</v>
      </c>
      <c r="O944">
        <f t="shared" si="227"/>
        <v>79582.432709999994</v>
      </c>
      <c r="P944">
        <f t="shared" si="228"/>
        <v>35000</v>
      </c>
      <c r="Q944">
        <f t="shared" si="229"/>
        <v>2</v>
      </c>
    </row>
    <row r="945" spans="1:17" x14ac:dyDescent="0.25">
      <c r="A945">
        <v>943</v>
      </c>
      <c r="B945">
        <f t="shared" si="230"/>
        <v>32</v>
      </c>
      <c r="C945">
        <f t="shared" si="231"/>
        <v>2</v>
      </c>
      <c r="D945" t="str">
        <f t="shared" si="217"/>
        <v/>
      </c>
      <c r="E945">
        <f t="shared" si="218"/>
        <v>3120</v>
      </c>
      <c r="F945" t="str">
        <f t="shared" si="219"/>
        <v/>
      </c>
      <c r="G945" t="str">
        <f t="shared" si="220"/>
        <v/>
      </c>
      <c r="H945">
        <f t="shared" si="221"/>
        <v>44561</v>
      </c>
      <c r="I945" t="str">
        <f t="shared" si="222"/>
        <v/>
      </c>
      <c r="J945">
        <f>SUM($G$3:I945)</f>
        <v>19408222</v>
      </c>
      <c r="K945">
        <f t="shared" si="223"/>
        <v>52579.999999999993</v>
      </c>
      <c r="L945">
        <f t="shared" si="224"/>
        <v>1.3120000000000001</v>
      </c>
      <c r="M945">
        <f t="shared" si="225"/>
        <v>1.1545000000000001</v>
      </c>
      <c r="N945">
        <f t="shared" si="226"/>
        <v>3881644.4000000004</v>
      </c>
      <c r="O945">
        <f t="shared" si="227"/>
        <v>79643.136319999991</v>
      </c>
      <c r="P945">
        <f t="shared" si="228"/>
        <v>35000</v>
      </c>
      <c r="Q945">
        <f t="shared" si="229"/>
        <v>2</v>
      </c>
    </row>
    <row r="946" spans="1:17" x14ac:dyDescent="0.25">
      <c r="A946">
        <v>944</v>
      </c>
      <c r="B946">
        <f t="shared" si="230"/>
        <v>32</v>
      </c>
      <c r="C946">
        <f t="shared" si="231"/>
        <v>2</v>
      </c>
      <c r="D946" t="str">
        <f t="shared" si="217"/>
        <v/>
      </c>
      <c r="E946">
        <f t="shared" si="218"/>
        <v>3130</v>
      </c>
      <c r="F946" t="str">
        <f t="shared" si="219"/>
        <v/>
      </c>
      <c r="G946" t="str">
        <f t="shared" si="220"/>
        <v/>
      </c>
      <c r="H946">
        <f t="shared" si="221"/>
        <v>44708</v>
      </c>
      <c r="I946" t="str">
        <f t="shared" si="222"/>
        <v/>
      </c>
      <c r="J946">
        <f>SUM($G$3:I946)</f>
        <v>19452930</v>
      </c>
      <c r="K946">
        <f t="shared" si="223"/>
        <v>52579.999999999993</v>
      </c>
      <c r="L946">
        <f t="shared" si="224"/>
        <v>1.3129999999999999</v>
      </c>
      <c r="M946">
        <f t="shared" si="225"/>
        <v>1.1545000000000001</v>
      </c>
      <c r="N946">
        <f t="shared" si="226"/>
        <v>3890586</v>
      </c>
      <c r="O946">
        <f t="shared" si="227"/>
        <v>79703.839930000002</v>
      </c>
      <c r="P946">
        <f t="shared" si="228"/>
        <v>35000</v>
      </c>
      <c r="Q946">
        <f t="shared" si="229"/>
        <v>2</v>
      </c>
    </row>
    <row r="947" spans="1:17" x14ac:dyDescent="0.25">
      <c r="A947">
        <v>945</v>
      </c>
      <c r="B947">
        <f t="shared" si="230"/>
        <v>32</v>
      </c>
      <c r="C947">
        <f t="shared" si="231"/>
        <v>2</v>
      </c>
      <c r="D947" t="str">
        <f t="shared" si="217"/>
        <v/>
      </c>
      <c r="E947">
        <f t="shared" si="218"/>
        <v>3140</v>
      </c>
      <c r="F947" t="str">
        <f t="shared" si="219"/>
        <v/>
      </c>
      <c r="G947" t="str">
        <f t="shared" si="220"/>
        <v/>
      </c>
      <c r="H947">
        <f t="shared" si="221"/>
        <v>44855</v>
      </c>
      <c r="I947" t="str">
        <f t="shared" si="222"/>
        <v/>
      </c>
      <c r="J947">
        <f>SUM($G$3:I947)</f>
        <v>19497785</v>
      </c>
      <c r="K947">
        <f t="shared" si="223"/>
        <v>52579.999999999993</v>
      </c>
      <c r="L947">
        <f t="shared" si="224"/>
        <v>1.3140000000000001</v>
      </c>
      <c r="M947">
        <f t="shared" si="225"/>
        <v>1.1545000000000001</v>
      </c>
      <c r="N947">
        <f t="shared" si="226"/>
        <v>3899557</v>
      </c>
      <c r="O947">
        <f t="shared" si="227"/>
        <v>79764.543539999999</v>
      </c>
      <c r="P947">
        <f t="shared" si="228"/>
        <v>35000</v>
      </c>
      <c r="Q947">
        <f t="shared" si="229"/>
        <v>2</v>
      </c>
    </row>
    <row r="948" spans="1:17" x14ac:dyDescent="0.25">
      <c r="A948">
        <v>946</v>
      </c>
      <c r="B948">
        <f t="shared" si="230"/>
        <v>32</v>
      </c>
      <c r="C948">
        <f t="shared" si="231"/>
        <v>2</v>
      </c>
      <c r="D948" t="str">
        <f t="shared" si="217"/>
        <v/>
      </c>
      <c r="E948">
        <f t="shared" si="218"/>
        <v>3150</v>
      </c>
      <c r="F948" t="str">
        <f t="shared" si="219"/>
        <v/>
      </c>
      <c r="G948" t="str">
        <f t="shared" si="220"/>
        <v/>
      </c>
      <c r="H948">
        <f t="shared" si="221"/>
        <v>45002</v>
      </c>
      <c r="I948" t="str">
        <f t="shared" si="222"/>
        <v/>
      </c>
      <c r="J948">
        <f>SUM($G$3:I948)</f>
        <v>19542787</v>
      </c>
      <c r="K948">
        <f t="shared" si="223"/>
        <v>52579.999999999993</v>
      </c>
      <c r="L948">
        <f t="shared" si="224"/>
        <v>1.3149999999999999</v>
      </c>
      <c r="M948">
        <f t="shared" si="225"/>
        <v>1.1545000000000001</v>
      </c>
      <c r="N948">
        <f t="shared" si="226"/>
        <v>3908557.4000000004</v>
      </c>
      <c r="O948">
        <f t="shared" si="227"/>
        <v>79825.247149999981</v>
      </c>
      <c r="P948">
        <f t="shared" si="228"/>
        <v>35000</v>
      </c>
      <c r="Q948">
        <f t="shared" si="229"/>
        <v>2</v>
      </c>
    </row>
    <row r="949" spans="1:17" x14ac:dyDescent="0.25">
      <c r="A949">
        <v>947</v>
      </c>
      <c r="B949">
        <f t="shared" si="230"/>
        <v>32</v>
      </c>
      <c r="C949">
        <f t="shared" si="231"/>
        <v>2</v>
      </c>
      <c r="D949" t="str">
        <f t="shared" si="217"/>
        <v/>
      </c>
      <c r="E949">
        <f t="shared" si="218"/>
        <v>3160</v>
      </c>
      <c r="F949" t="str">
        <f t="shared" si="219"/>
        <v/>
      </c>
      <c r="G949" t="str">
        <f t="shared" si="220"/>
        <v/>
      </c>
      <c r="H949">
        <f t="shared" si="221"/>
        <v>45149</v>
      </c>
      <c r="I949" t="str">
        <f t="shared" si="222"/>
        <v/>
      </c>
      <c r="J949">
        <f>SUM($G$3:I949)</f>
        <v>19587936</v>
      </c>
      <c r="K949">
        <f t="shared" si="223"/>
        <v>52579.999999999993</v>
      </c>
      <c r="L949">
        <f t="shared" si="224"/>
        <v>1.3160000000000001</v>
      </c>
      <c r="M949">
        <f t="shared" si="225"/>
        <v>1.1545000000000001</v>
      </c>
      <c r="N949">
        <f t="shared" si="226"/>
        <v>3917587.2</v>
      </c>
      <c r="O949">
        <f t="shared" si="227"/>
        <v>79885.950760000007</v>
      </c>
      <c r="P949">
        <f t="shared" si="228"/>
        <v>35000</v>
      </c>
      <c r="Q949">
        <f t="shared" si="229"/>
        <v>2</v>
      </c>
    </row>
    <row r="950" spans="1:17" x14ac:dyDescent="0.25">
      <c r="A950">
        <v>948</v>
      </c>
      <c r="B950">
        <f t="shared" si="230"/>
        <v>32</v>
      </c>
      <c r="C950">
        <f t="shared" si="231"/>
        <v>2</v>
      </c>
      <c r="D950" t="str">
        <f t="shared" si="217"/>
        <v/>
      </c>
      <c r="E950">
        <f t="shared" si="218"/>
        <v>3170</v>
      </c>
      <c r="F950" t="str">
        <f t="shared" si="219"/>
        <v/>
      </c>
      <c r="G950" t="str">
        <f t="shared" si="220"/>
        <v/>
      </c>
      <c r="H950">
        <f t="shared" si="221"/>
        <v>45296</v>
      </c>
      <c r="I950" t="str">
        <f t="shared" si="222"/>
        <v/>
      </c>
      <c r="J950">
        <f>SUM($G$3:I950)</f>
        <v>19633232</v>
      </c>
      <c r="K950">
        <f t="shared" si="223"/>
        <v>52579.999999999993</v>
      </c>
      <c r="L950">
        <f t="shared" si="224"/>
        <v>1.3169999999999999</v>
      </c>
      <c r="M950">
        <f t="shared" si="225"/>
        <v>1.1545000000000001</v>
      </c>
      <c r="N950">
        <f t="shared" si="226"/>
        <v>3926646.4000000004</v>
      </c>
      <c r="O950">
        <f t="shared" si="227"/>
        <v>79946.654369999989</v>
      </c>
      <c r="P950">
        <f t="shared" si="228"/>
        <v>35000</v>
      </c>
      <c r="Q950">
        <f t="shared" si="229"/>
        <v>2</v>
      </c>
    </row>
    <row r="951" spans="1:17" x14ac:dyDescent="0.25">
      <c r="A951">
        <v>949</v>
      </c>
      <c r="B951">
        <f t="shared" si="230"/>
        <v>32</v>
      </c>
      <c r="C951">
        <f t="shared" si="231"/>
        <v>2</v>
      </c>
      <c r="D951" t="str">
        <f t="shared" si="217"/>
        <v/>
      </c>
      <c r="E951">
        <f t="shared" si="218"/>
        <v>3180</v>
      </c>
      <c r="F951" t="str">
        <f t="shared" si="219"/>
        <v/>
      </c>
      <c r="G951" t="str">
        <f t="shared" si="220"/>
        <v/>
      </c>
      <c r="H951">
        <f t="shared" si="221"/>
        <v>45443</v>
      </c>
      <c r="I951" t="str">
        <f t="shared" si="222"/>
        <v/>
      </c>
      <c r="J951">
        <f>SUM($G$3:I951)</f>
        <v>19678675</v>
      </c>
      <c r="K951">
        <f t="shared" si="223"/>
        <v>52579.999999999993</v>
      </c>
      <c r="L951">
        <f t="shared" si="224"/>
        <v>1.3180000000000001</v>
      </c>
      <c r="M951">
        <f t="shared" si="225"/>
        <v>1.1545000000000001</v>
      </c>
      <c r="N951">
        <f t="shared" si="226"/>
        <v>3935735</v>
      </c>
      <c r="O951">
        <f t="shared" si="227"/>
        <v>80007.357979999986</v>
      </c>
      <c r="P951">
        <f t="shared" si="228"/>
        <v>35000</v>
      </c>
      <c r="Q951">
        <f t="shared" si="229"/>
        <v>2</v>
      </c>
    </row>
    <row r="952" spans="1:17" x14ac:dyDescent="0.25">
      <c r="A952">
        <v>950</v>
      </c>
      <c r="B952">
        <f t="shared" si="230"/>
        <v>32</v>
      </c>
      <c r="C952">
        <f t="shared" si="231"/>
        <v>2</v>
      </c>
      <c r="D952" t="str">
        <f t="shared" si="217"/>
        <v/>
      </c>
      <c r="E952">
        <f t="shared" si="218"/>
        <v>3190</v>
      </c>
      <c r="F952" t="str">
        <f t="shared" si="219"/>
        <v/>
      </c>
      <c r="G952" t="str">
        <f t="shared" si="220"/>
        <v/>
      </c>
      <c r="H952">
        <f t="shared" si="221"/>
        <v>45590</v>
      </c>
      <c r="I952" t="str">
        <f t="shared" si="222"/>
        <v/>
      </c>
      <c r="J952">
        <f>SUM($G$3:I952)</f>
        <v>19724265</v>
      </c>
      <c r="K952">
        <f t="shared" si="223"/>
        <v>52579.999999999993</v>
      </c>
      <c r="L952">
        <f t="shared" si="224"/>
        <v>1.319</v>
      </c>
      <c r="M952">
        <f t="shared" si="225"/>
        <v>1.1545000000000001</v>
      </c>
      <c r="N952">
        <f t="shared" si="226"/>
        <v>3944853</v>
      </c>
      <c r="O952">
        <f t="shared" si="227"/>
        <v>80068.061589999998</v>
      </c>
      <c r="P952">
        <f t="shared" si="228"/>
        <v>35000</v>
      </c>
      <c r="Q952">
        <f t="shared" si="229"/>
        <v>2.1</v>
      </c>
    </row>
    <row r="953" spans="1:17" x14ac:dyDescent="0.25">
      <c r="A953">
        <v>951</v>
      </c>
      <c r="B953">
        <f t="shared" si="230"/>
        <v>32</v>
      </c>
      <c r="C953">
        <f t="shared" si="231"/>
        <v>3</v>
      </c>
      <c r="D953" t="str">
        <f t="shared" si="217"/>
        <v/>
      </c>
      <c r="E953" t="str">
        <f t="shared" si="218"/>
        <v/>
      </c>
      <c r="F953">
        <f t="shared" si="219"/>
        <v>1550</v>
      </c>
      <c r="G953" t="str">
        <f t="shared" si="220"/>
        <v/>
      </c>
      <c r="H953" t="str">
        <f t="shared" si="221"/>
        <v/>
      </c>
      <c r="I953">
        <f t="shared" si="222"/>
        <v>33200</v>
      </c>
      <c r="J953">
        <f>SUM($G$3:I953)</f>
        <v>19757465</v>
      </c>
      <c r="K953">
        <f t="shared" si="223"/>
        <v>52579.999999999993</v>
      </c>
      <c r="L953">
        <f t="shared" si="224"/>
        <v>1.319</v>
      </c>
      <c r="M953">
        <f t="shared" si="225"/>
        <v>1.155</v>
      </c>
      <c r="N953">
        <f t="shared" si="226"/>
        <v>3951493</v>
      </c>
      <c r="O953">
        <f t="shared" si="227"/>
        <v>80102.738099999988</v>
      </c>
      <c r="P953">
        <f t="shared" si="228"/>
        <v>35000</v>
      </c>
      <c r="Q953">
        <f t="shared" si="229"/>
        <v>2.1</v>
      </c>
    </row>
    <row r="954" spans="1:17" x14ac:dyDescent="0.25">
      <c r="A954">
        <v>952</v>
      </c>
      <c r="B954">
        <f t="shared" si="230"/>
        <v>32</v>
      </c>
      <c r="C954">
        <f t="shared" si="231"/>
        <v>3</v>
      </c>
      <c r="D954" t="str">
        <f t="shared" si="217"/>
        <v/>
      </c>
      <c r="E954" t="str">
        <f t="shared" si="218"/>
        <v/>
      </c>
      <c r="F954">
        <f t="shared" si="219"/>
        <v>1555</v>
      </c>
      <c r="G954" t="str">
        <f t="shared" si="220"/>
        <v/>
      </c>
      <c r="H954" t="str">
        <f t="shared" si="221"/>
        <v/>
      </c>
      <c r="I954">
        <f t="shared" si="222"/>
        <v>33310</v>
      </c>
      <c r="J954">
        <f>SUM($G$3:I954)</f>
        <v>19790775</v>
      </c>
      <c r="K954">
        <f t="shared" si="223"/>
        <v>52579.999999999993</v>
      </c>
      <c r="L954">
        <f t="shared" si="224"/>
        <v>1.319</v>
      </c>
      <c r="M954">
        <f t="shared" si="225"/>
        <v>1.1555</v>
      </c>
      <c r="N954">
        <f t="shared" si="226"/>
        <v>3958155</v>
      </c>
      <c r="O954">
        <f t="shared" si="227"/>
        <v>80137.414609999993</v>
      </c>
      <c r="P954">
        <f t="shared" si="228"/>
        <v>35000</v>
      </c>
      <c r="Q954">
        <f t="shared" si="229"/>
        <v>2.1</v>
      </c>
    </row>
    <row r="955" spans="1:17" x14ac:dyDescent="0.25">
      <c r="A955">
        <v>953</v>
      </c>
      <c r="B955">
        <f t="shared" si="230"/>
        <v>32</v>
      </c>
      <c r="C955">
        <f t="shared" si="231"/>
        <v>3</v>
      </c>
      <c r="D955" t="str">
        <f t="shared" si="217"/>
        <v/>
      </c>
      <c r="E955" t="str">
        <f t="shared" si="218"/>
        <v/>
      </c>
      <c r="F955">
        <f t="shared" si="219"/>
        <v>1560</v>
      </c>
      <c r="G955" t="str">
        <f t="shared" si="220"/>
        <v/>
      </c>
      <c r="H955" t="str">
        <f t="shared" si="221"/>
        <v/>
      </c>
      <c r="I955">
        <f t="shared" si="222"/>
        <v>33420</v>
      </c>
      <c r="J955">
        <f>SUM($G$3:I955)</f>
        <v>19824195</v>
      </c>
      <c r="K955">
        <f t="shared" si="223"/>
        <v>52579.999999999993</v>
      </c>
      <c r="L955">
        <f t="shared" si="224"/>
        <v>1.319</v>
      </c>
      <c r="M955">
        <f t="shared" si="225"/>
        <v>1.1559999999999999</v>
      </c>
      <c r="N955">
        <f t="shared" si="226"/>
        <v>3964839</v>
      </c>
      <c r="O955">
        <f t="shared" si="227"/>
        <v>80172.091119999983</v>
      </c>
      <c r="P955">
        <f t="shared" si="228"/>
        <v>35000</v>
      </c>
      <c r="Q955">
        <f t="shared" si="229"/>
        <v>2.1</v>
      </c>
    </row>
    <row r="956" spans="1:17" x14ac:dyDescent="0.25">
      <c r="A956">
        <v>954</v>
      </c>
      <c r="B956">
        <f t="shared" si="230"/>
        <v>32</v>
      </c>
      <c r="C956">
        <f t="shared" si="231"/>
        <v>3</v>
      </c>
      <c r="D956" t="str">
        <f t="shared" si="217"/>
        <v/>
      </c>
      <c r="E956" t="str">
        <f t="shared" si="218"/>
        <v/>
      </c>
      <c r="F956">
        <f t="shared" si="219"/>
        <v>1565</v>
      </c>
      <c r="G956" t="str">
        <f t="shared" si="220"/>
        <v/>
      </c>
      <c r="H956" t="str">
        <f t="shared" si="221"/>
        <v/>
      </c>
      <c r="I956">
        <f t="shared" si="222"/>
        <v>33530</v>
      </c>
      <c r="J956">
        <f>SUM($G$3:I956)</f>
        <v>19857725</v>
      </c>
      <c r="K956">
        <f t="shared" si="223"/>
        <v>52579.999999999993</v>
      </c>
      <c r="L956">
        <f t="shared" si="224"/>
        <v>1.319</v>
      </c>
      <c r="M956">
        <f t="shared" si="225"/>
        <v>1.1565000000000001</v>
      </c>
      <c r="N956">
        <f t="shared" si="226"/>
        <v>3971545</v>
      </c>
      <c r="O956">
        <f t="shared" si="227"/>
        <v>80206.767629999988</v>
      </c>
      <c r="P956">
        <f t="shared" si="228"/>
        <v>35000</v>
      </c>
      <c r="Q956">
        <f t="shared" si="229"/>
        <v>2.1</v>
      </c>
    </row>
    <row r="957" spans="1:17" x14ac:dyDescent="0.25">
      <c r="A957">
        <v>955</v>
      </c>
      <c r="B957">
        <f t="shared" si="230"/>
        <v>32</v>
      </c>
      <c r="C957">
        <f t="shared" si="231"/>
        <v>3</v>
      </c>
      <c r="D957" t="str">
        <f t="shared" si="217"/>
        <v/>
      </c>
      <c r="E957" t="str">
        <f t="shared" si="218"/>
        <v/>
      </c>
      <c r="F957">
        <f t="shared" si="219"/>
        <v>1570</v>
      </c>
      <c r="G957" t="str">
        <f t="shared" si="220"/>
        <v/>
      </c>
      <c r="H957" t="str">
        <f t="shared" si="221"/>
        <v/>
      </c>
      <c r="I957">
        <f t="shared" si="222"/>
        <v>33640</v>
      </c>
      <c r="J957">
        <f>SUM($G$3:I957)</f>
        <v>19891365</v>
      </c>
      <c r="K957">
        <f t="shared" si="223"/>
        <v>52579.999999999993</v>
      </c>
      <c r="L957">
        <f t="shared" si="224"/>
        <v>1.319</v>
      </c>
      <c r="M957">
        <f t="shared" si="225"/>
        <v>1.157</v>
      </c>
      <c r="N957">
        <f t="shared" si="226"/>
        <v>3978273</v>
      </c>
      <c r="O957">
        <f t="shared" si="227"/>
        <v>80241.444139999992</v>
      </c>
      <c r="P957">
        <f t="shared" si="228"/>
        <v>35000</v>
      </c>
      <c r="Q957">
        <f t="shared" si="229"/>
        <v>2.1</v>
      </c>
    </row>
    <row r="958" spans="1:17" x14ac:dyDescent="0.25">
      <c r="A958">
        <v>956</v>
      </c>
      <c r="B958">
        <f t="shared" si="230"/>
        <v>32</v>
      </c>
      <c r="C958">
        <f t="shared" si="231"/>
        <v>3</v>
      </c>
      <c r="D958" t="str">
        <f t="shared" si="217"/>
        <v/>
      </c>
      <c r="E958" t="str">
        <f t="shared" si="218"/>
        <v/>
      </c>
      <c r="F958">
        <f t="shared" si="219"/>
        <v>1575</v>
      </c>
      <c r="G958" t="str">
        <f t="shared" si="220"/>
        <v/>
      </c>
      <c r="H958" t="str">
        <f t="shared" si="221"/>
        <v/>
      </c>
      <c r="I958">
        <f t="shared" si="222"/>
        <v>33750</v>
      </c>
      <c r="J958">
        <f>SUM($G$3:I958)</f>
        <v>19925115</v>
      </c>
      <c r="K958">
        <f t="shared" si="223"/>
        <v>52579.999999999993</v>
      </c>
      <c r="L958">
        <f t="shared" si="224"/>
        <v>1.319</v>
      </c>
      <c r="M958">
        <f t="shared" si="225"/>
        <v>1.1575</v>
      </c>
      <c r="N958">
        <f t="shared" si="226"/>
        <v>3985023</v>
      </c>
      <c r="O958">
        <f t="shared" si="227"/>
        <v>80276.120649999983</v>
      </c>
      <c r="P958">
        <f t="shared" si="228"/>
        <v>35000</v>
      </c>
      <c r="Q958">
        <f t="shared" si="229"/>
        <v>2.1</v>
      </c>
    </row>
    <row r="959" spans="1:17" x14ac:dyDescent="0.25">
      <c r="A959">
        <v>957</v>
      </c>
      <c r="B959">
        <f t="shared" si="230"/>
        <v>32</v>
      </c>
      <c r="C959">
        <f t="shared" si="231"/>
        <v>3</v>
      </c>
      <c r="D959" t="str">
        <f t="shared" si="217"/>
        <v/>
      </c>
      <c r="E959" t="str">
        <f t="shared" si="218"/>
        <v/>
      </c>
      <c r="F959">
        <f t="shared" si="219"/>
        <v>1580</v>
      </c>
      <c r="G959" t="str">
        <f t="shared" si="220"/>
        <v/>
      </c>
      <c r="H959" t="str">
        <f t="shared" si="221"/>
        <v/>
      </c>
      <c r="I959">
        <f t="shared" si="222"/>
        <v>33860</v>
      </c>
      <c r="J959">
        <f>SUM($G$3:I959)</f>
        <v>19958975</v>
      </c>
      <c r="K959">
        <f t="shared" si="223"/>
        <v>52579.999999999993</v>
      </c>
      <c r="L959">
        <f t="shared" si="224"/>
        <v>1.319</v>
      </c>
      <c r="M959">
        <f t="shared" si="225"/>
        <v>1.1579999999999999</v>
      </c>
      <c r="N959">
        <f t="shared" si="226"/>
        <v>3991795</v>
      </c>
      <c r="O959">
        <f t="shared" si="227"/>
        <v>80310.797159999987</v>
      </c>
      <c r="P959">
        <f t="shared" si="228"/>
        <v>35000</v>
      </c>
      <c r="Q959">
        <f t="shared" si="229"/>
        <v>2.1</v>
      </c>
    </row>
    <row r="960" spans="1:17" x14ac:dyDescent="0.25">
      <c r="A960">
        <v>958</v>
      </c>
      <c r="B960">
        <f t="shared" si="230"/>
        <v>32</v>
      </c>
      <c r="C960">
        <f t="shared" si="231"/>
        <v>3</v>
      </c>
      <c r="D960" t="str">
        <f t="shared" si="217"/>
        <v/>
      </c>
      <c r="E960" t="str">
        <f t="shared" si="218"/>
        <v/>
      </c>
      <c r="F960">
        <f t="shared" si="219"/>
        <v>1585</v>
      </c>
      <c r="G960" t="str">
        <f t="shared" si="220"/>
        <v/>
      </c>
      <c r="H960" t="str">
        <f t="shared" si="221"/>
        <v/>
      </c>
      <c r="I960">
        <f t="shared" si="222"/>
        <v>33970</v>
      </c>
      <c r="J960">
        <f>SUM($G$3:I960)</f>
        <v>19992945</v>
      </c>
      <c r="K960">
        <f t="shared" si="223"/>
        <v>52579.999999999993</v>
      </c>
      <c r="L960">
        <f t="shared" si="224"/>
        <v>1.319</v>
      </c>
      <c r="M960">
        <f t="shared" si="225"/>
        <v>1.1585000000000001</v>
      </c>
      <c r="N960">
        <f t="shared" si="226"/>
        <v>3998589</v>
      </c>
      <c r="O960">
        <f t="shared" si="227"/>
        <v>80345.473669999992</v>
      </c>
      <c r="P960">
        <f t="shared" si="228"/>
        <v>35000</v>
      </c>
      <c r="Q960">
        <f t="shared" si="229"/>
        <v>2.1</v>
      </c>
    </row>
    <row r="961" spans="1:17" x14ac:dyDescent="0.25">
      <c r="A961">
        <v>959</v>
      </c>
      <c r="B961">
        <f t="shared" si="230"/>
        <v>32</v>
      </c>
      <c r="C961">
        <f t="shared" si="231"/>
        <v>3</v>
      </c>
      <c r="D961" t="str">
        <f t="shared" si="217"/>
        <v/>
      </c>
      <c r="E961" t="str">
        <f t="shared" si="218"/>
        <v/>
      </c>
      <c r="F961">
        <f t="shared" si="219"/>
        <v>1590</v>
      </c>
      <c r="G961" t="str">
        <f t="shared" si="220"/>
        <v/>
      </c>
      <c r="H961" t="str">
        <f t="shared" si="221"/>
        <v/>
      </c>
      <c r="I961">
        <f t="shared" si="222"/>
        <v>34080</v>
      </c>
      <c r="J961">
        <f>SUM($G$3:I961)</f>
        <v>20027025</v>
      </c>
      <c r="K961">
        <f t="shared" si="223"/>
        <v>52579.999999999993</v>
      </c>
      <c r="L961">
        <f t="shared" si="224"/>
        <v>1.319</v>
      </c>
      <c r="M961">
        <f t="shared" si="225"/>
        <v>1.159</v>
      </c>
      <c r="N961">
        <f t="shared" si="226"/>
        <v>4005405</v>
      </c>
      <c r="O961">
        <f t="shared" si="227"/>
        <v>80380.150179999997</v>
      </c>
      <c r="P961">
        <f t="shared" si="228"/>
        <v>35000</v>
      </c>
      <c r="Q961">
        <f t="shared" si="229"/>
        <v>2.1</v>
      </c>
    </row>
    <row r="962" spans="1:17" x14ac:dyDescent="0.25">
      <c r="A962">
        <v>960</v>
      </c>
      <c r="B962">
        <f t="shared" si="230"/>
        <v>32</v>
      </c>
      <c r="C962">
        <f t="shared" si="231"/>
        <v>3</v>
      </c>
      <c r="D962" t="str">
        <f t="shared" si="217"/>
        <v/>
      </c>
      <c r="E962" t="str">
        <f t="shared" si="218"/>
        <v/>
      </c>
      <c r="F962">
        <f t="shared" si="219"/>
        <v>1595</v>
      </c>
      <c r="G962" t="str">
        <f t="shared" si="220"/>
        <v/>
      </c>
      <c r="H962" t="str">
        <f t="shared" si="221"/>
        <v/>
      </c>
      <c r="I962">
        <f t="shared" si="222"/>
        <v>34190</v>
      </c>
      <c r="J962">
        <f>SUM($G$3:I962)</f>
        <v>20061215</v>
      </c>
      <c r="K962">
        <f t="shared" si="223"/>
        <v>52579.999999999993</v>
      </c>
      <c r="L962">
        <f t="shared" si="224"/>
        <v>1.319</v>
      </c>
      <c r="M962">
        <f t="shared" si="225"/>
        <v>1.1595</v>
      </c>
      <c r="N962">
        <f t="shared" si="226"/>
        <v>4012243</v>
      </c>
      <c r="O962">
        <f t="shared" si="227"/>
        <v>80414.826689999987</v>
      </c>
      <c r="P962">
        <f t="shared" si="228"/>
        <v>35000</v>
      </c>
      <c r="Q962">
        <f t="shared" si="229"/>
        <v>2.1</v>
      </c>
    </row>
    <row r="963" spans="1:17" x14ac:dyDescent="0.25">
      <c r="A963">
        <v>961</v>
      </c>
      <c r="B963">
        <f t="shared" si="230"/>
        <v>33</v>
      </c>
      <c r="C963">
        <f t="shared" si="231"/>
        <v>1</v>
      </c>
      <c r="D963">
        <f t="shared" ref="D963:D1026" si="232">IF($C963=1,INDEX($Z:$Z,MATCH($B963,$Y:$Y,0))+MOD($A963-1,10)*INDEX($AC:$AC,MATCH($B963,$Y:$Y,0)),"")</f>
        <v>5290</v>
      </c>
      <c r="E963" t="str">
        <f t="shared" ref="E963:E1026" si="233">IF($C963=2,INDEX($AA:$AA,MATCH($B963,$Y:$Y,0))+MOD($A963-1,10)*INDEX($AD:$AD,MATCH($B963,$Y:$Y,0)),"")</f>
        <v/>
      </c>
      <c r="F963" t="str">
        <f t="shared" ref="F963:F1026" si="234">IF($C963=3,INDEX($AB:$AB,MATCH($B963,$Y:$Y,0))+MOD($A963-1,10)*INDEX($AE:$AE,MATCH($B963,$Y:$Y,0)),"")</f>
        <v/>
      </c>
      <c r="G963">
        <f t="shared" ref="G963:G1026" si="235">IF($C963=1,INDEX($AF:$AF,MATCH($B963,$Y:$Y,0))+MOD($A963-1,10)*INDEX($AI:$AI,MATCH($B963,$Y:$Y,0)),"")</f>
        <v>68600</v>
      </c>
      <c r="H963" t="str">
        <f t="shared" ref="H963:H1026" si="236">IF($C963=2,INDEX($AG:$AG,MATCH($B963,$Y:$Y,0))+MOD($A963-1,10)*INDEX($AJ:$AJ,MATCH($B963,$Y:$Y,0)),"")</f>
        <v/>
      </c>
      <c r="I963" t="str">
        <f t="shared" ref="I963:I1026" si="237">IF($C963=3,INDEX($AH:$AH,MATCH($B963,$Y:$Y,0))+MOD($A963-1,10)*INDEX($AK:$AK,MATCH($B963,$Y:$Y,0)),"")</f>
        <v/>
      </c>
      <c r="J963">
        <f>SUM($G$3:I963)</f>
        <v>20129815</v>
      </c>
      <c r="K963">
        <f t="shared" si="223"/>
        <v>52900</v>
      </c>
      <c r="L963">
        <f t="shared" si="224"/>
        <v>1.319</v>
      </c>
      <c r="M963">
        <f t="shared" si="225"/>
        <v>1.1595</v>
      </c>
      <c r="N963">
        <f t="shared" si="226"/>
        <v>4025963</v>
      </c>
      <c r="O963">
        <f t="shared" si="227"/>
        <v>80904.228449999995</v>
      </c>
      <c r="P963">
        <f t="shared" si="228"/>
        <v>35000</v>
      </c>
      <c r="Q963">
        <f t="shared" si="229"/>
        <v>2.1</v>
      </c>
    </row>
    <row r="964" spans="1:17" x14ac:dyDescent="0.25">
      <c r="A964">
        <v>962</v>
      </c>
      <c r="B964">
        <f t="shared" si="230"/>
        <v>33</v>
      </c>
      <c r="C964">
        <f t="shared" si="231"/>
        <v>1</v>
      </c>
      <c r="D964">
        <f t="shared" si="232"/>
        <v>5323</v>
      </c>
      <c r="E964" t="str">
        <f t="shared" si="233"/>
        <v/>
      </c>
      <c r="F964" t="str">
        <f t="shared" si="234"/>
        <v/>
      </c>
      <c r="G964">
        <f t="shared" si="235"/>
        <v>68820</v>
      </c>
      <c r="H964" t="str">
        <f t="shared" si="236"/>
        <v/>
      </c>
      <c r="I964" t="str">
        <f t="shared" si="237"/>
        <v/>
      </c>
      <c r="J964">
        <f>SUM($G$3:I964)</f>
        <v>20198635</v>
      </c>
      <c r="K964">
        <f t="shared" ref="K964:K1027" si="238">_xlfn.MAXIFS($D:$D,$A:$A,"&lt;="&amp;A964)/10*100</f>
        <v>53229.999999999993</v>
      </c>
      <c r="L964">
        <f t="shared" ref="L964:L1027" si="239">_xlfn.MAXIFS($E:$E,$A:$A,"&lt;="&amp;A964)/10000+1</f>
        <v>1.319</v>
      </c>
      <c r="M964">
        <f t="shared" ref="M964:M1027" si="240">_xlfn.MAXIFS($F:$F,$A:$A,"&lt;="&amp;A964)/10000+1</f>
        <v>1.1595</v>
      </c>
      <c r="N964">
        <f t="shared" ref="N964:N1027" si="241">J964*0.2</f>
        <v>4039727</v>
      </c>
      <c r="O964">
        <f t="shared" ref="O964:O1027" si="242">K964*L964*M964</f>
        <v>81408.924014999982</v>
      </c>
      <c r="P964">
        <f t="shared" ref="P964:P1027" si="243">SUMIFS($AZ:$AZ,$AW:$AW,$AW$3,$AY:$AY,3,$AV:$AV,"&lt;="&amp;A964)</f>
        <v>35000</v>
      </c>
      <c r="Q964">
        <f t="shared" ref="Q964:Q1027" si="244">SUMIFS($AZ:$AZ,$AY:$AY,98,$AV:$AV,"&lt;="&amp;A964)*10/100</f>
        <v>2.1</v>
      </c>
    </row>
    <row r="965" spans="1:17" x14ac:dyDescent="0.25">
      <c r="A965">
        <v>963</v>
      </c>
      <c r="B965">
        <f t="shared" si="230"/>
        <v>33</v>
      </c>
      <c r="C965">
        <f t="shared" si="231"/>
        <v>1</v>
      </c>
      <c r="D965">
        <f t="shared" si="232"/>
        <v>5356</v>
      </c>
      <c r="E965" t="str">
        <f t="shared" si="233"/>
        <v/>
      </c>
      <c r="F965" t="str">
        <f t="shared" si="234"/>
        <v/>
      </c>
      <c r="G965">
        <f t="shared" si="235"/>
        <v>69040</v>
      </c>
      <c r="H965" t="str">
        <f t="shared" si="236"/>
        <v/>
      </c>
      <c r="I965" t="str">
        <f t="shared" si="237"/>
        <v/>
      </c>
      <c r="J965">
        <f>SUM($G$3:I965)</f>
        <v>20267675</v>
      </c>
      <c r="K965">
        <f t="shared" si="238"/>
        <v>53560</v>
      </c>
      <c r="L965">
        <f t="shared" si="239"/>
        <v>1.319</v>
      </c>
      <c r="M965">
        <f t="shared" si="240"/>
        <v>1.1595</v>
      </c>
      <c r="N965">
        <f t="shared" si="241"/>
        <v>4053535</v>
      </c>
      <c r="O965">
        <f t="shared" si="242"/>
        <v>81913.619579999999</v>
      </c>
      <c r="P965">
        <f t="shared" si="243"/>
        <v>35000</v>
      </c>
      <c r="Q965">
        <f t="shared" si="244"/>
        <v>2.1</v>
      </c>
    </row>
    <row r="966" spans="1:17" x14ac:dyDescent="0.25">
      <c r="A966">
        <v>964</v>
      </c>
      <c r="B966">
        <f t="shared" si="230"/>
        <v>33</v>
      </c>
      <c r="C966">
        <f t="shared" si="231"/>
        <v>1</v>
      </c>
      <c r="D966">
        <f t="shared" si="232"/>
        <v>5389</v>
      </c>
      <c r="E966" t="str">
        <f t="shared" si="233"/>
        <v/>
      </c>
      <c r="F966" t="str">
        <f t="shared" si="234"/>
        <v/>
      </c>
      <c r="G966">
        <f t="shared" si="235"/>
        <v>69260</v>
      </c>
      <c r="H966" t="str">
        <f t="shared" si="236"/>
        <v/>
      </c>
      <c r="I966" t="str">
        <f t="shared" si="237"/>
        <v/>
      </c>
      <c r="J966">
        <f>SUM($G$3:I966)</f>
        <v>20336935</v>
      </c>
      <c r="K966">
        <f t="shared" si="238"/>
        <v>53890</v>
      </c>
      <c r="L966">
        <f t="shared" si="239"/>
        <v>1.319</v>
      </c>
      <c r="M966">
        <f t="shared" si="240"/>
        <v>1.1595</v>
      </c>
      <c r="N966">
        <f t="shared" si="241"/>
        <v>4067387</v>
      </c>
      <c r="O966">
        <f t="shared" si="242"/>
        <v>82418.315145</v>
      </c>
      <c r="P966">
        <f t="shared" si="243"/>
        <v>35000</v>
      </c>
      <c r="Q966">
        <f t="shared" si="244"/>
        <v>2.1</v>
      </c>
    </row>
    <row r="967" spans="1:17" x14ac:dyDescent="0.25">
      <c r="A967">
        <v>965</v>
      </c>
      <c r="B967">
        <f t="shared" si="230"/>
        <v>33</v>
      </c>
      <c r="C967">
        <f t="shared" si="231"/>
        <v>1</v>
      </c>
      <c r="D967">
        <f t="shared" si="232"/>
        <v>5422</v>
      </c>
      <c r="E967" t="str">
        <f t="shared" si="233"/>
        <v/>
      </c>
      <c r="F967" t="str">
        <f t="shared" si="234"/>
        <v/>
      </c>
      <c r="G967">
        <f t="shared" si="235"/>
        <v>69480</v>
      </c>
      <c r="H967" t="str">
        <f t="shared" si="236"/>
        <v/>
      </c>
      <c r="I967" t="str">
        <f t="shared" si="237"/>
        <v/>
      </c>
      <c r="J967">
        <f>SUM($G$3:I967)</f>
        <v>20406415</v>
      </c>
      <c r="K967">
        <f t="shared" si="238"/>
        <v>54220.000000000007</v>
      </c>
      <c r="L967">
        <f t="shared" si="239"/>
        <v>1.319</v>
      </c>
      <c r="M967">
        <f t="shared" si="240"/>
        <v>1.1595</v>
      </c>
      <c r="N967">
        <f t="shared" si="241"/>
        <v>4081283</v>
      </c>
      <c r="O967">
        <f t="shared" si="242"/>
        <v>82923.010710000002</v>
      </c>
      <c r="P967">
        <f t="shared" si="243"/>
        <v>35000</v>
      </c>
      <c r="Q967">
        <f t="shared" si="244"/>
        <v>2.1</v>
      </c>
    </row>
    <row r="968" spans="1:17" x14ac:dyDescent="0.25">
      <c r="A968">
        <v>966</v>
      </c>
      <c r="B968">
        <f t="shared" si="230"/>
        <v>33</v>
      </c>
      <c r="C968">
        <f t="shared" si="231"/>
        <v>1</v>
      </c>
      <c r="D968">
        <f t="shared" si="232"/>
        <v>5455</v>
      </c>
      <c r="E968" t="str">
        <f t="shared" si="233"/>
        <v/>
      </c>
      <c r="F968" t="str">
        <f t="shared" si="234"/>
        <v/>
      </c>
      <c r="G968">
        <f t="shared" si="235"/>
        <v>69700</v>
      </c>
      <c r="H968" t="str">
        <f t="shared" si="236"/>
        <v/>
      </c>
      <c r="I968" t="str">
        <f t="shared" si="237"/>
        <v/>
      </c>
      <c r="J968">
        <f>SUM($G$3:I968)</f>
        <v>20476115</v>
      </c>
      <c r="K968">
        <f t="shared" si="238"/>
        <v>54550</v>
      </c>
      <c r="L968">
        <f t="shared" si="239"/>
        <v>1.319</v>
      </c>
      <c r="M968">
        <f t="shared" si="240"/>
        <v>1.1595</v>
      </c>
      <c r="N968">
        <f t="shared" si="241"/>
        <v>4095223</v>
      </c>
      <c r="O968">
        <f t="shared" si="242"/>
        <v>83427.70627499999</v>
      </c>
      <c r="P968">
        <f t="shared" si="243"/>
        <v>35000</v>
      </c>
      <c r="Q968">
        <f t="shared" si="244"/>
        <v>2.1</v>
      </c>
    </row>
    <row r="969" spans="1:17" x14ac:dyDescent="0.25">
      <c r="A969">
        <v>967</v>
      </c>
      <c r="B969">
        <f t="shared" si="230"/>
        <v>33</v>
      </c>
      <c r="C969">
        <f t="shared" si="231"/>
        <v>1</v>
      </c>
      <c r="D969">
        <f t="shared" si="232"/>
        <v>5488</v>
      </c>
      <c r="E969" t="str">
        <f t="shared" si="233"/>
        <v/>
      </c>
      <c r="F969" t="str">
        <f t="shared" si="234"/>
        <v/>
      </c>
      <c r="G969">
        <f t="shared" si="235"/>
        <v>69920</v>
      </c>
      <c r="H969" t="str">
        <f t="shared" si="236"/>
        <v/>
      </c>
      <c r="I969" t="str">
        <f t="shared" si="237"/>
        <v/>
      </c>
      <c r="J969">
        <f>SUM($G$3:I969)</f>
        <v>20546035</v>
      </c>
      <c r="K969">
        <f t="shared" si="238"/>
        <v>54879.999999999993</v>
      </c>
      <c r="L969">
        <f t="shared" si="239"/>
        <v>1.319</v>
      </c>
      <c r="M969">
        <f t="shared" si="240"/>
        <v>1.1595</v>
      </c>
      <c r="N969">
        <f t="shared" si="241"/>
        <v>4109207</v>
      </c>
      <c r="O969">
        <f t="shared" si="242"/>
        <v>83932.401839999977</v>
      </c>
      <c r="P969">
        <f t="shared" si="243"/>
        <v>35000</v>
      </c>
      <c r="Q969">
        <f t="shared" si="244"/>
        <v>2.1</v>
      </c>
    </row>
    <row r="970" spans="1:17" x14ac:dyDescent="0.25">
      <c r="A970">
        <v>968</v>
      </c>
      <c r="B970">
        <f t="shared" si="230"/>
        <v>33</v>
      </c>
      <c r="C970">
        <f t="shared" si="231"/>
        <v>1</v>
      </c>
      <c r="D970">
        <f t="shared" si="232"/>
        <v>5521</v>
      </c>
      <c r="E970" t="str">
        <f t="shared" si="233"/>
        <v/>
      </c>
      <c r="F970" t="str">
        <f t="shared" si="234"/>
        <v/>
      </c>
      <c r="G970">
        <f t="shared" si="235"/>
        <v>70140</v>
      </c>
      <c r="H970" t="str">
        <f t="shared" si="236"/>
        <v/>
      </c>
      <c r="I970" t="str">
        <f t="shared" si="237"/>
        <v/>
      </c>
      <c r="J970">
        <f>SUM($G$3:I970)</f>
        <v>20616175</v>
      </c>
      <c r="K970">
        <f t="shared" si="238"/>
        <v>55210</v>
      </c>
      <c r="L970">
        <f t="shared" si="239"/>
        <v>1.319</v>
      </c>
      <c r="M970">
        <f t="shared" si="240"/>
        <v>1.1595</v>
      </c>
      <c r="N970">
        <f t="shared" si="241"/>
        <v>4123235</v>
      </c>
      <c r="O970">
        <f t="shared" si="242"/>
        <v>84437.097404999993</v>
      </c>
      <c r="P970">
        <f t="shared" si="243"/>
        <v>35000</v>
      </c>
      <c r="Q970">
        <f t="shared" si="244"/>
        <v>2.1</v>
      </c>
    </row>
    <row r="971" spans="1:17" x14ac:dyDescent="0.25">
      <c r="A971">
        <v>969</v>
      </c>
      <c r="B971">
        <f t="shared" si="230"/>
        <v>33</v>
      </c>
      <c r="C971">
        <f t="shared" si="231"/>
        <v>1</v>
      </c>
      <c r="D971">
        <f t="shared" si="232"/>
        <v>5554</v>
      </c>
      <c r="E971" t="str">
        <f t="shared" si="233"/>
        <v/>
      </c>
      <c r="F971" t="str">
        <f t="shared" si="234"/>
        <v/>
      </c>
      <c r="G971">
        <f t="shared" si="235"/>
        <v>70360</v>
      </c>
      <c r="H971" t="str">
        <f t="shared" si="236"/>
        <v/>
      </c>
      <c r="I971" t="str">
        <f t="shared" si="237"/>
        <v/>
      </c>
      <c r="J971">
        <f>SUM($G$3:I971)</f>
        <v>20686535</v>
      </c>
      <c r="K971">
        <f t="shared" si="238"/>
        <v>55540</v>
      </c>
      <c r="L971">
        <f t="shared" si="239"/>
        <v>1.319</v>
      </c>
      <c r="M971">
        <f t="shared" si="240"/>
        <v>1.1595</v>
      </c>
      <c r="N971">
        <f t="shared" si="241"/>
        <v>4137307</v>
      </c>
      <c r="O971">
        <f t="shared" si="242"/>
        <v>84941.792969999995</v>
      </c>
      <c r="P971">
        <f t="shared" si="243"/>
        <v>35000</v>
      </c>
      <c r="Q971">
        <f t="shared" si="244"/>
        <v>2.1</v>
      </c>
    </row>
    <row r="972" spans="1:17" x14ac:dyDescent="0.25">
      <c r="A972">
        <v>970</v>
      </c>
      <c r="B972">
        <f t="shared" si="230"/>
        <v>33</v>
      </c>
      <c r="C972">
        <f t="shared" si="231"/>
        <v>1</v>
      </c>
      <c r="D972">
        <f t="shared" si="232"/>
        <v>5587</v>
      </c>
      <c r="E972" t="str">
        <f t="shared" si="233"/>
        <v/>
      </c>
      <c r="F972" t="str">
        <f t="shared" si="234"/>
        <v/>
      </c>
      <c r="G972">
        <f t="shared" si="235"/>
        <v>70580</v>
      </c>
      <c r="H972" t="str">
        <f t="shared" si="236"/>
        <v/>
      </c>
      <c r="I972" t="str">
        <f t="shared" si="237"/>
        <v/>
      </c>
      <c r="J972">
        <f>SUM($G$3:I972)</f>
        <v>20757115</v>
      </c>
      <c r="K972">
        <f t="shared" si="238"/>
        <v>55870.000000000007</v>
      </c>
      <c r="L972">
        <f t="shared" si="239"/>
        <v>1.319</v>
      </c>
      <c r="M972">
        <f t="shared" si="240"/>
        <v>1.1595</v>
      </c>
      <c r="N972">
        <f t="shared" si="241"/>
        <v>4151423</v>
      </c>
      <c r="O972">
        <f t="shared" si="242"/>
        <v>85446.488535000011</v>
      </c>
      <c r="P972">
        <f t="shared" si="243"/>
        <v>37800</v>
      </c>
      <c r="Q972">
        <f t="shared" si="244"/>
        <v>2.1</v>
      </c>
    </row>
    <row r="973" spans="1:17" x14ac:dyDescent="0.25">
      <c r="A973">
        <v>971</v>
      </c>
      <c r="B973">
        <f t="shared" si="230"/>
        <v>33</v>
      </c>
      <c r="C973">
        <f t="shared" si="231"/>
        <v>2</v>
      </c>
      <c r="D973" t="str">
        <f t="shared" si="232"/>
        <v/>
      </c>
      <c r="E973">
        <f t="shared" si="233"/>
        <v>3200</v>
      </c>
      <c r="F973" t="str">
        <f t="shared" si="234"/>
        <v/>
      </c>
      <c r="G973" t="str">
        <f t="shared" si="235"/>
        <v/>
      </c>
      <c r="H973">
        <f t="shared" si="236"/>
        <v>45733</v>
      </c>
      <c r="I973" t="str">
        <f t="shared" si="237"/>
        <v/>
      </c>
      <c r="J973">
        <f>SUM($G$3:I973)</f>
        <v>20802848</v>
      </c>
      <c r="K973">
        <f t="shared" si="238"/>
        <v>55870.000000000007</v>
      </c>
      <c r="L973">
        <f t="shared" si="239"/>
        <v>1.32</v>
      </c>
      <c r="M973">
        <f t="shared" si="240"/>
        <v>1.1595</v>
      </c>
      <c r="N973">
        <f t="shared" si="241"/>
        <v>4160569.6</v>
      </c>
      <c r="O973">
        <f t="shared" si="242"/>
        <v>85511.269800000009</v>
      </c>
      <c r="P973">
        <f t="shared" si="243"/>
        <v>37800</v>
      </c>
      <c r="Q973">
        <f t="shared" si="244"/>
        <v>2.1</v>
      </c>
    </row>
    <row r="974" spans="1:17" x14ac:dyDescent="0.25">
      <c r="A974">
        <v>972</v>
      </c>
      <c r="B974">
        <f t="shared" si="230"/>
        <v>33</v>
      </c>
      <c r="C974">
        <f t="shared" si="231"/>
        <v>2</v>
      </c>
      <c r="D974" t="str">
        <f t="shared" si="232"/>
        <v/>
      </c>
      <c r="E974">
        <f t="shared" si="233"/>
        <v>3210</v>
      </c>
      <c r="F974" t="str">
        <f t="shared" si="234"/>
        <v/>
      </c>
      <c r="G974" t="str">
        <f t="shared" si="235"/>
        <v/>
      </c>
      <c r="H974">
        <f t="shared" si="236"/>
        <v>45880</v>
      </c>
      <c r="I974" t="str">
        <f t="shared" si="237"/>
        <v/>
      </c>
      <c r="J974">
        <f>SUM($G$3:I974)</f>
        <v>20848728</v>
      </c>
      <c r="K974">
        <f t="shared" si="238"/>
        <v>55870.000000000007</v>
      </c>
      <c r="L974">
        <f t="shared" si="239"/>
        <v>1.321</v>
      </c>
      <c r="M974">
        <f t="shared" si="240"/>
        <v>1.1595</v>
      </c>
      <c r="N974">
        <f t="shared" si="241"/>
        <v>4169745.6</v>
      </c>
      <c r="O974">
        <f t="shared" si="242"/>
        <v>85576.051065000007</v>
      </c>
      <c r="P974">
        <f t="shared" si="243"/>
        <v>37800</v>
      </c>
      <c r="Q974">
        <f t="shared" si="244"/>
        <v>2.1</v>
      </c>
    </row>
    <row r="975" spans="1:17" x14ac:dyDescent="0.25">
      <c r="A975">
        <v>973</v>
      </c>
      <c r="B975">
        <f t="shared" si="230"/>
        <v>33</v>
      </c>
      <c r="C975">
        <f t="shared" si="231"/>
        <v>2</v>
      </c>
      <c r="D975" t="str">
        <f t="shared" si="232"/>
        <v/>
      </c>
      <c r="E975">
        <f t="shared" si="233"/>
        <v>3220</v>
      </c>
      <c r="F975" t="str">
        <f t="shared" si="234"/>
        <v/>
      </c>
      <c r="G975" t="str">
        <f t="shared" si="235"/>
        <v/>
      </c>
      <c r="H975">
        <f t="shared" si="236"/>
        <v>46027</v>
      </c>
      <c r="I975" t="str">
        <f t="shared" si="237"/>
        <v/>
      </c>
      <c r="J975">
        <f>SUM($G$3:I975)</f>
        <v>20894755</v>
      </c>
      <c r="K975">
        <f t="shared" si="238"/>
        <v>55870.000000000007</v>
      </c>
      <c r="L975">
        <f t="shared" si="239"/>
        <v>1.3220000000000001</v>
      </c>
      <c r="M975">
        <f t="shared" si="240"/>
        <v>1.1595</v>
      </c>
      <c r="N975">
        <f t="shared" si="241"/>
        <v>4178951</v>
      </c>
      <c r="O975">
        <f t="shared" si="242"/>
        <v>85640.832330000019</v>
      </c>
      <c r="P975">
        <f t="shared" si="243"/>
        <v>37800</v>
      </c>
      <c r="Q975">
        <f t="shared" si="244"/>
        <v>2.1</v>
      </c>
    </row>
    <row r="976" spans="1:17" x14ac:dyDescent="0.25">
      <c r="A976">
        <v>974</v>
      </c>
      <c r="B976">
        <f t="shared" si="230"/>
        <v>33</v>
      </c>
      <c r="C976">
        <f t="shared" si="231"/>
        <v>2</v>
      </c>
      <c r="D976" t="str">
        <f t="shared" si="232"/>
        <v/>
      </c>
      <c r="E976">
        <f t="shared" si="233"/>
        <v>3230</v>
      </c>
      <c r="F976" t="str">
        <f t="shared" si="234"/>
        <v/>
      </c>
      <c r="G976" t="str">
        <f t="shared" si="235"/>
        <v/>
      </c>
      <c r="H976">
        <f t="shared" si="236"/>
        <v>46174</v>
      </c>
      <c r="I976" t="str">
        <f t="shared" si="237"/>
        <v/>
      </c>
      <c r="J976">
        <f>SUM($G$3:I976)</f>
        <v>20940929</v>
      </c>
      <c r="K976">
        <f t="shared" si="238"/>
        <v>55870.000000000007</v>
      </c>
      <c r="L976">
        <f t="shared" si="239"/>
        <v>1.323</v>
      </c>
      <c r="M976">
        <f t="shared" si="240"/>
        <v>1.1595</v>
      </c>
      <c r="N976">
        <f t="shared" si="241"/>
        <v>4188185.8000000003</v>
      </c>
      <c r="O976">
        <f t="shared" si="242"/>
        <v>85705.613595000003</v>
      </c>
      <c r="P976">
        <f t="shared" si="243"/>
        <v>37800</v>
      </c>
      <c r="Q976">
        <f t="shared" si="244"/>
        <v>2.1</v>
      </c>
    </row>
    <row r="977" spans="1:17" x14ac:dyDescent="0.25">
      <c r="A977">
        <v>975</v>
      </c>
      <c r="B977">
        <f t="shared" si="230"/>
        <v>33</v>
      </c>
      <c r="C977">
        <f t="shared" si="231"/>
        <v>2</v>
      </c>
      <c r="D977" t="str">
        <f t="shared" si="232"/>
        <v/>
      </c>
      <c r="E977">
        <f t="shared" si="233"/>
        <v>3240</v>
      </c>
      <c r="F977" t="str">
        <f t="shared" si="234"/>
        <v/>
      </c>
      <c r="G977" t="str">
        <f t="shared" si="235"/>
        <v/>
      </c>
      <c r="H977">
        <f t="shared" si="236"/>
        <v>46321</v>
      </c>
      <c r="I977" t="str">
        <f t="shared" si="237"/>
        <v/>
      </c>
      <c r="J977">
        <f>SUM($G$3:I977)</f>
        <v>20987250</v>
      </c>
      <c r="K977">
        <f t="shared" si="238"/>
        <v>55870.000000000007</v>
      </c>
      <c r="L977">
        <f t="shared" si="239"/>
        <v>1.3240000000000001</v>
      </c>
      <c r="M977">
        <f t="shared" si="240"/>
        <v>1.1595</v>
      </c>
      <c r="N977">
        <f t="shared" si="241"/>
        <v>4197450</v>
      </c>
      <c r="O977">
        <f t="shared" si="242"/>
        <v>85770.394860000015</v>
      </c>
      <c r="P977">
        <f t="shared" si="243"/>
        <v>37800</v>
      </c>
      <c r="Q977">
        <f t="shared" si="244"/>
        <v>2.1</v>
      </c>
    </row>
    <row r="978" spans="1:17" x14ac:dyDescent="0.25">
      <c r="A978">
        <v>976</v>
      </c>
      <c r="B978">
        <f t="shared" si="230"/>
        <v>33</v>
      </c>
      <c r="C978">
        <f t="shared" si="231"/>
        <v>2</v>
      </c>
      <c r="D978" t="str">
        <f t="shared" si="232"/>
        <v/>
      </c>
      <c r="E978">
        <f t="shared" si="233"/>
        <v>3250</v>
      </c>
      <c r="F978" t="str">
        <f t="shared" si="234"/>
        <v/>
      </c>
      <c r="G978" t="str">
        <f t="shared" si="235"/>
        <v/>
      </c>
      <c r="H978">
        <f t="shared" si="236"/>
        <v>46468</v>
      </c>
      <c r="I978" t="str">
        <f t="shared" si="237"/>
        <v/>
      </c>
      <c r="J978">
        <f>SUM($G$3:I978)</f>
        <v>21033718</v>
      </c>
      <c r="K978">
        <f t="shared" si="238"/>
        <v>55870.000000000007</v>
      </c>
      <c r="L978">
        <f t="shared" si="239"/>
        <v>1.325</v>
      </c>
      <c r="M978">
        <f t="shared" si="240"/>
        <v>1.1595</v>
      </c>
      <c r="N978">
        <f t="shared" si="241"/>
        <v>4206743.6000000006</v>
      </c>
      <c r="O978">
        <f t="shared" si="242"/>
        <v>85835.176124999998</v>
      </c>
      <c r="P978">
        <f t="shared" si="243"/>
        <v>37800</v>
      </c>
      <c r="Q978">
        <f t="shared" si="244"/>
        <v>2.1</v>
      </c>
    </row>
    <row r="979" spans="1:17" x14ac:dyDescent="0.25">
      <c r="A979">
        <v>977</v>
      </c>
      <c r="B979">
        <f t="shared" si="230"/>
        <v>33</v>
      </c>
      <c r="C979">
        <f t="shared" si="231"/>
        <v>2</v>
      </c>
      <c r="D979" t="str">
        <f t="shared" si="232"/>
        <v/>
      </c>
      <c r="E979">
        <f t="shared" si="233"/>
        <v>3260</v>
      </c>
      <c r="F979" t="str">
        <f t="shared" si="234"/>
        <v/>
      </c>
      <c r="G979" t="str">
        <f t="shared" si="235"/>
        <v/>
      </c>
      <c r="H979">
        <f t="shared" si="236"/>
        <v>46615</v>
      </c>
      <c r="I979" t="str">
        <f t="shared" si="237"/>
        <v/>
      </c>
      <c r="J979">
        <f>SUM($G$3:I979)</f>
        <v>21080333</v>
      </c>
      <c r="K979">
        <f t="shared" si="238"/>
        <v>55870.000000000007</v>
      </c>
      <c r="L979">
        <f t="shared" si="239"/>
        <v>1.3260000000000001</v>
      </c>
      <c r="M979">
        <f t="shared" si="240"/>
        <v>1.1595</v>
      </c>
      <c r="N979">
        <f t="shared" si="241"/>
        <v>4216066.6000000006</v>
      </c>
      <c r="O979">
        <f t="shared" si="242"/>
        <v>85899.95739000001</v>
      </c>
      <c r="P979">
        <f t="shared" si="243"/>
        <v>37800</v>
      </c>
      <c r="Q979">
        <f t="shared" si="244"/>
        <v>2.1</v>
      </c>
    </row>
    <row r="980" spans="1:17" x14ac:dyDescent="0.25">
      <c r="A980">
        <v>978</v>
      </c>
      <c r="B980">
        <f t="shared" si="230"/>
        <v>33</v>
      </c>
      <c r="C980">
        <f t="shared" si="231"/>
        <v>2</v>
      </c>
      <c r="D980" t="str">
        <f t="shared" si="232"/>
        <v/>
      </c>
      <c r="E980">
        <f t="shared" si="233"/>
        <v>3270</v>
      </c>
      <c r="F980" t="str">
        <f t="shared" si="234"/>
        <v/>
      </c>
      <c r="G980" t="str">
        <f t="shared" si="235"/>
        <v/>
      </c>
      <c r="H980">
        <f t="shared" si="236"/>
        <v>46762</v>
      </c>
      <c r="I980" t="str">
        <f t="shared" si="237"/>
        <v/>
      </c>
      <c r="J980">
        <f>SUM($G$3:I980)</f>
        <v>21127095</v>
      </c>
      <c r="K980">
        <f t="shared" si="238"/>
        <v>55870.000000000007</v>
      </c>
      <c r="L980">
        <f t="shared" si="239"/>
        <v>1.327</v>
      </c>
      <c r="M980">
        <f t="shared" si="240"/>
        <v>1.1595</v>
      </c>
      <c r="N980">
        <f t="shared" si="241"/>
        <v>4225419</v>
      </c>
      <c r="O980">
        <f t="shared" si="242"/>
        <v>85964.738655000008</v>
      </c>
      <c r="P980">
        <f t="shared" si="243"/>
        <v>37800</v>
      </c>
      <c r="Q980">
        <f t="shared" si="244"/>
        <v>2.1</v>
      </c>
    </row>
    <row r="981" spans="1:17" x14ac:dyDescent="0.25">
      <c r="A981">
        <v>979</v>
      </c>
      <c r="B981">
        <f t="shared" si="230"/>
        <v>33</v>
      </c>
      <c r="C981">
        <f t="shared" si="231"/>
        <v>2</v>
      </c>
      <c r="D981" t="str">
        <f t="shared" si="232"/>
        <v/>
      </c>
      <c r="E981">
        <f t="shared" si="233"/>
        <v>3280</v>
      </c>
      <c r="F981" t="str">
        <f t="shared" si="234"/>
        <v/>
      </c>
      <c r="G981" t="str">
        <f t="shared" si="235"/>
        <v/>
      </c>
      <c r="H981">
        <f t="shared" si="236"/>
        <v>46909</v>
      </c>
      <c r="I981" t="str">
        <f t="shared" si="237"/>
        <v/>
      </c>
      <c r="J981">
        <f>SUM($G$3:I981)</f>
        <v>21174004</v>
      </c>
      <c r="K981">
        <f t="shared" si="238"/>
        <v>55870.000000000007</v>
      </c>
      <c r="L981">
        <f t="shared" si="239"/>
        <v>1.3280000000000001</v>
      </c>
      <c r="M981">
        <f t="shared" si="240"/>
        <v>1.1595</v>
      </c>
      <c r="N981">
        <f t="shared" si="241"/>
        <v>4234800.8</v>
      </c>
      <c r="O981">
        <f t="shared" si="242"/>
        <v>86029.519920000021</v>
      </c>
      <c r="P981">
        <f t="shared" si="243"/>
        <v>37800</v>
      </c>
      <c r="Q981">
        <f t="shared" si="244"/>
        <v>2.1</v>
      </c>
    </row>
    <row r="982" spans="1:17" x14ac:dyDescent="0.25">
      <c r="A982">
        <v>980</v>
      </c>
      <c r="B982">
        <f t="shared" si="230"/>
        <v>33</v>
      </c>
      <c r="C982">
        <f t="shared" si="231"/>
        <v>2</v>
      </c>
      <c r="D982" t="str">
        <f t="shared" si="232"/>
        <v/>
      </c>
      <c r="E982">
        <f t="shared" si="233"/>
        <v>3290</v>
      </c>
      <c r="F982" t="str">
        <f t="shared" si="234"/>
        <v/>
      </c>
      <c r="G982" t="str">
        <f t="shared" si="235"/>
        <v/>
      </c>
      <c r="H982">
        <f t="shared" si="236"/>
        <v>47056</v>
      </c>
      <c r="I982" t="str">
        <f t="shared" si="237"/>
        <v/>
      </c>
      <c r="J982">
        <f>SUM($G$3:I982)</f>
        <v>21221060</v>
      </c>
      <c r="K982">
        <f t="shared" si="238"/>
        <v>55870.000000000007</v>
      </c>
      <c r="L982">
        <f t="shared" si="239"/>
        <v>1.329</v>
      </c>
      <c r="M982">
        <f t="shared" si="240"/>
        <v>1.1595</v>
      </c>
      <c r="N982">
        <f t="shared" si="241"/>
        <v>4244212</v>
      </c>
      <c r="O982">
        <f t="shared" si="242"/>
        <v>86094.301185000004</v>
      </c>
      <c r="P982">
        <f t="shared" si="243"/>
        <v>37800</v>
      </c>
      <c r="Q982">
        <f t="shared" si="244"/>
        <v>2.2000000000000002</v>
      </c>
    </row>
    <row r="983" spans="1:17" x14ac:dyDescent="0.25">
      <c r="A983">
        <v>981</v>
      </c>
      <c r="B983">
        <f t="shared" si="230"/>
        <v>33</v>
      </c>
      <c r="C983">
        <f t="shared" si="231"/>
        <v>3</v>
      </c>
      <c r="D983" t="str">
        <f t="shared" si="232"/>
        <v/>
      </c>
      <c r="E983" t="str">
        <f t="shared" si="233"/>
        <v/>
      </c>
      <c r="F983">
        <f t="shared" si="234"/>
        <v>1600</v>
      </c>
      <c r="G983" t="str">
        <f t="shared" si="235"/>
        <v/>
      </c>
      <c r="H983" t="str">
        <f t="shared" si="236"/>
        <v/>
      </c>
      <c r="I983">
        <f t="shared" si="237"/>
        <v>34300</v>
      </c>
      <c r="J983">
        <f>SUM($G$3:I983)</f>
        <v>21255360</v>
      </c>
      <c r="K983">
        <f t="shared" si="238"/>
        <v>55870.000000000007</v>
      </c>
      <c r="L983">
        <f t="shared" si="239"/>
        <v>1.329</v>
      </c>
      <c r="M983">
        <f t="shared" si="240"/>
        <v>1.1599999999999999</v>
      </c>
      <c r="N983">
        <f t="shared" si="241"/>
        <v>4251072</v>
      </c>
      <c r="O983">
        <f t="shared" si="242"/>
        <v>86131.426800000001</v>
      </c>
      <c r="P983">
        <f t="shared" si="243"/>
        <v>37800</v>
      </c>
      <c r="Q983">
        <f t="shared" si="244"/>
        <v>2.2000000000000002</v>
      </c>
    </row>
    <row r="984" spans="1:17" x14ac:dyDescent="0.25">
      <c r="A984">
        <v>982</v>
      </c>
      <c r="B984">
        <f t="shared" si="230"/>
        <v>33</v>
      </c>
      <c r="C984">
        <f t="shared" si="231"/>
        <v>3</v>
      </c>
      <c r="D984" t="str">
        <f t="shared" si="232"/>
        <v/>
      </c>
      <c r="E984" t="str">
        <f t="shared" si="233"/>
        <v/>
      </c>
      <c r="F984">
        <f t="shared" si="234"/>
        <v>1605</v>
      </c>
      <c r="G984" t="str">
        <f t="shared" si="235"/>
        <v/>
      </c>
      <c r="H984" t="str">
        <f t="shared" si="236"/>
        <v/>
      </c>
      <c r="I984">
        <f t="shared" si="237"/>
        <v>34410</v>
      </c>
      <c r="J984">
        <f>SUM($G$3:I984)</f>
        <v>21289770</v>
      </c>
      <c r="K984">
        <f t="shared" si="238"/>
        <v>55870.000000000007</v>
      </c>
      <c r="L984">
        <f t="shared" si="239"/>
        <v>1.329</v>
      </c>
      <c r="M984">
        <f t="shared" si="240"/>
        <v>1.1605000000000001</v>
      </c>
      <c r="N984">
        <f t="shared" si="241"/>
        <v>4257954</v>
      </c>
      <c r="O984">
        <f t="shared" si="242"/>
        <v>86168.552415000013</v>
      </c>
      <c r="P984">
        <f t="shared" si="243"/>
        <v>37800</v>
      </c>
      <c r="Q984">
        <f t="shared" si="244"/>
        <v>2.2000000000000002</v>
      </c>
    </row>
    <row r="985" spans="1:17" x14ac:dyDescent="0.25">
      <c r="A985">
        <v>983</v>
      </c>
      <c r="B985">
        <f t="shared" si="230"/>
        <v>33</v>
      </c>
      <c r="C985">
        <f t="shared" si="231"/>
        <v>3</v>
      </c>
      <c r="D985" t="str">
        <f t="shared" si="232"/>
        <v/>
      </c>
      <c r="E985" t="str">
        <f t="shared" si="233"/>
        <v/>
      </c>
      <c r="F985">
        <f t="shared" si="234"/>
        <v>1610</v>
      </c>
      <c r="G985" t="str">
        <f t="shared" si="235"/>
        <v/>
      </c>
      <c r="H985" t="str">
        <f t="shared" si="236"/>
        <v/>
      </c>
      <c r="I985">
        <f t="shared" si="237"/>
        <v>34520</v>
      </c>
      <c r="J985">
        <f>SUM($G$3:I985)</f>
        <v>21324290</v>
      </c>
      <c r="K985">
        <f t="shared" si="238"/>
        <v>55870.000000000007</v>
      </c>
      <c r="L985">
        <f t="shared" si="239"/>
        <v>1.329</v>
      </c>
      <c r="M985">
        <f t="shared" si="240"/>
        <v>1.161</v>
      </c>
      <c r="N985">
        <f t="shared" si="241"/>
        <v>4264858</v>
      </c>
      <c r="O985">
        <f t="shared" si="242"/>
        <v>86205.67803000001</v>
      </c>
      <c r="P985">
        <f t="shared" si="243"/>
        <v>37800</v>
      </c>
      <c r="Q985">
        <f t="shared" si="244"/>
        <v>2.2000000000000002</v>
      </c>
    </row>
    <row r="986" spans="1:17" x14ac:dyDescent="0.25">
      <c r="A986">
        <v>984</v>
      </c>
      <c r="B986">
        <f t="shared" si="230"/>
        <v>33</v>
      </c>
      <c r="C986">
        <f t="shared" si="231"/>
        <v>3</v>
      </c>
      <c r="D986" t="str">
        <f t="shared" si="232"/>
        <v/>
      </c>
      <c r="E986" t="str">
        <f t="shared" si="233"/>
        <v/>
      </c>
      <c r="F986">
        <f t="shared" si="234"/>
        <v>1615</v>
      </c>
      <c r="G986" t="str">
        <f t="shared" si="235"/>
        <v/>
      </c>
      <c r="H986" t="str">
        <f t="shared" si="236"/>
        <v/>
      </c>
      <c r="I986">
        <f t="shared" si="237"/>
        <v>34630</v>
      </c>
      <c r="J986">
        <f>SUM($G$3:I986)</f>
        <v>21358920</v>
      </c>
      <c r="K986">
        <f t="shared" si="238"/>
        <v>55870.000000000007</v>
      </c>
      <c r="L986">
        <f t="shared" si="239"/>
        <v>1.329</v>
      </c>
      <c r="M986">
        <f t="shared" si="240"/>
        <v>1.1615</v>
      </c>
      <c r="N986">
        <f t="shared" si="241"/>
        <v>4271784</v>
      </c>
      <c r="O986">
        <f t="shared" si="242"/>
        <v>86242.803645000007</v>
      </c>
      <c r="P986">
        <f t="shared" si="243"/>
        <v>37800</v>
      </c>
      <c r="Q986">
        <f t="shared" si="244"/>
        <v>2.2000000000000002</v>
      </c>
    </row>
    <row r="987" spans="1:17" x14ac:dyDescent="0.25">
      <c r="A987">
        <v>985</v>
      </c>
      <c r="B987">
        <f t="shared" si="230"/>
        <v>33</v>
      </c>
      <c r="C987">
        <f t="shared" si="231"/>
        <v>3</v>
      </c>
      <c r="D987" t="str">
        <f t="shared" si="232"/>
        <v/>
      </c>
      <c r="E987" t="str">
        <f t="shared" si="233"/>
        <v/>
      </c>
      <c r="F987">
        <f t="shared" si="234"/>
        <v>1620</v>
      </c>
      <c r="G987" t="str">
        <f t="shared" si="235"/>
        <v/>
      </c>
      <c r="H987" t="str">
        <f t="shared" si="236"/>
        <v/>
      </c>
      <c r="I987">
        <f t="shared" si="237"/>
        <v>34740</v>
      </c>
      <c r="J987">
        <f>SUM($G$3:I987)</f>
        <v>21393660</v>
      </c>
      <c r="K987">
        <f t="shared" si="238"/>
        <v>55870.000000000007</v>
      </c>
      <c r="L987">
        <f t="shared" si="239"/>
        <v>1.329</v>
      </c>
      <c r="M987">
        <f t="shared" si="240"/>
        <v>1.1619999999999999</v>
      </c>
      <c r="N987">
        <f t="shared" si="241"/>
        <v>4278732</v>
      </c>
      <c r="O987">
        <f t="shared" si="242"/>
        <v>86279.929260000004</v>
      </c>
      <c r="P987">
        <f t="shared" si="243"/>
        <v>37800</v>
      </c>
      <c r="Q987">
        <f t="shared" si="244"/>
        <v>2.2000000000000002</v>
      </c>
    </row>
    <row r="988" spans="1:17" x14ac:dyDescent="0.25">
      <c r="A988">
        <v>986</v>
      </c>
      <c r="B988">
        <f t="shared" si="230"/>
        <v>33</v>
      </c>
      <c r="C988">
        <f t="shared" si="231"/>
        <v>3</v>
      </c>
      <c r="D988" t="str">
        <f t="shared" si="232"/>
        <v/>
      </c>
      <c r="E988" t="str">
        <f t="shared" si="233"/>
        <v/>
      </c>
      <c r="F988">
        <f t="shared" si="234"/>
        <v>1625</v>
      </c>
      <c r="G988" t="str">
        <f t="shared" si="235"/>
        <v/>
      </c>
      <c r="H988" t="str">
        <f t="shared" si="236"/>
        <v/>
      </c>
      <c r="I988">
        <f t="shared" si="237"/>
        <v>34850</v>
      </c>
      <c r="J988">
        <f>SUM($G$3:I988)</f>
        <v>21428510</v>
      </c>
      <c r="K988">
        <f t="shared" si="238"/>
        <v>55870.000000000007</v>
      </c>
      <c r="L988">
        <f t="shared" si="239"/>
        <v>1.329</v>
      </c>
      <c r="M988">
        <f t="shared" si="240"/>
        <v>1.1625000000000001</v>
      </c>
      <c r="N988">
        <f t="shared" si="241"/>
        <v>4285702</v>
      </c>
      <c r="O988">
        <f t="shared" si="242"/>
        <v>86317.054875000016</v>
      </c>
      <c r="P988">
        <f t="shared" si="243"/>
        <v>37800</v>
      </c>
      <c r="Q988">
        <f t="shared" si="244"/>
        <v>2.2000000000000002</v>
      </c>
    </row>
    <row r="989" spans="1:17" x14ac:dyDescent="0.25">
      <c r="A989">
        <v>987</v>
      </c>
      <c r="B989">
        <f t="shared" si="230"/>
        <v>33</v>
      </c>
      <c r="C989">
        <f t="shared" si="231"/>
        <v>3</v>
      </c>
      <c r="D989" t="str">
        <f t="shared" si="232"/>
        <v/>
      </c>
      <c r="E989" t="str">
        <f t="shared" si="233"/>
        <v/>
      </c>
      <c r="F989">
        <f t="shared" si="234"/>
        <v>1630</v>
      </c>
      <c r="G989" t="str">
        <f t="shared" si="235"/>
        <v/>
      </c>
      <c r="H989" t="str">
        <f t="shared" si="236"/>
        <v/>
      </c>
      <c r="I989">
        <f t="shared" si="237"/>
        <v>34960</v>
      </c>
      <c r="J989">
        <f>SUM($G$3:I989)</f>
        <v>21463470</v>
      </c>
      <c r="K989">
        <f t="shared" si="238"/>
        <v>55870.000000000007</v>
      </c>
      <c r="L989">
        <f t="shared" si="239"/>
        <v>1.329</v>
      </c>
      <c r="M989">
        <f t="shared" si="240"/>
        <v>1.163</v>
      </c>
      <c r="N989">
        <f t="shared" si="241"/>
        <v>4292694</v>
      </c>
      <c r="O989">
        <f t="shared" si="242"/>
        <v>86354.180490000013</v>
      </c>
      <c r="P989">
        <f t="shared" si="243"/>
        <v>37800</v>
      </c>
      <c r="Q989">
        <f t="shared" si="244"/>
        <v>2.2000000000000002</v>
      </c>
    </row>
    <row r="990" spans="1:17" x14ac:dyDescent="0.25">
      <c r="A990">
        <v>988</v>
      </c>
      <c r="B990">
        <f t="shared" si="230"/>
        <v>33</v>
      </c>
      <c r="C990">
        <f t="shared" si="231"/>
        <v>3</v>
      </c>
      <c r="D990" t="str">
        <f t="shared" si="232"/>
        <v/>
      </c>
      <c r="E990" t="str">
        <f t="shared" si="233"/>
        <v/>
      </c>
      <c r="F990">
        <f t="shared" si="234"/>
        <v>1635</v>
      </c>
      <c r="G990" t="str">
        <f t="shared" si="235"/>
        <v/>
      </c>
      <c r="H990" t="str">
        <f t="shared" si="236"/>
        <v/>
      </c>
      <c r="I990">
        <f t="shared" si="237"/>
        <v>35070</v>
      </c>
      <c r="J990">
        <f>SUM($G$3:I990)</f>
        <v>21498540</v>
      </c>
      <c r="K990">
        <f t="shared" si="238"/>
        <v>55870.000000000007</v>
      </c>
      <c r="L990">
        <f t="shared" si="239"/>
        <v>1.329</v>
      </c>
      <c r="M990">
        <f t="shared" si="240"/>
        <v>1.1635</v>
      </c>
      <c r="N990">
        <f t="shared" si="241"/>
        <v>4299708</v>
      </c>
      <c r="O990">
        <f t="shared" si="242"/>
        <v>86391.306105000011</v>
      </c>
      <c r="P990">
        <f t="shared" si="243"/>
        <v>37800</v>
      </c>
      <c r="Q990">
        <f t="shared" si="244"/>
        <v>2.2000000000000002</v>
      </c>
    </row>
    <row r="991" spans="1:17" x14ac:dyDescent="0.25">
      <c r="A991">
        <v>989</v>
      </c>
      <c r="B991">
        <f t="shared" si="230"/>
        <v>33</v>
      </c>
      <c r="C991">
        <f t="shared" si="231"/>
        <v>3</v>
      </c>
      <c r="D991" t="str">
        <f t="shared" si="232"/>
        <v/>
      </c>
      <c r="E991" t="str">
        <f t="shared" si="233"/>
        <v/>
      </c>
      <c r="F991">
        <f t="shared" si="234"/>
        <v>1640</v>
      </c>
      <c r="G991" t="str">
        <f t="shared" si="235"/>
        <v/>
      </c>
      <c r="H991" t="str">
        <f t="shared" si="236"/>
        <v/>
      </c>
      <c r="I991">
        <f t="shared" si="237"/>
        <v>35180</v>
      </c>
      <c r="J991">
        <f>SUM($G$3:I991)</f>
        <v>21533720</v>
      </c>
      <c r="K991">
        <f t="shared" si="238"/>
        <v>55870.000000000007</v>
      </c>
      <c r="L991">
        <f t="shared" si="239"/>
        <v>1.329</v>
      </c>
      <c r="M991">
        <f t="shared" si="240"/>
        <v>1.1639999999999999</v>
      </c>
      <c r="N991">
        <f t="shared" si="241"/>
        <v>4306744</v>
      </c>
      <c r="O991">
        <f t="shared" si="242"/>
        <v>86428.431720000008</v>
      </c>
      <c r="P991">
        <f t="shared" si="243"/>
        <v>37800</v>
      </c>
      <c r="Q991">
        <f t="shared" si="244"/>
        <v>2.2000000000000002</v>
      </c>
    </row>
    <row r="992" spans="1:17" x14ac:dyDescent="0.25">
      <c r="A992">
        <v>990</v>
      </c>
      <c r="B992">
        <f t="shared" si="230"/>
        <v>33</v>
      </c>
      <c r="C992">
        <f t="shared" si="231"/>
        <v>3</v>
      </c>
      <c r="D992" t="str">
        <f t="shared" si="232"/>
        <v/>
      </c>
      <c r="E992" t="str">
        <f t="shared" si="233"/>
        <v/>
      </c>
      <c r="F992">
        <f t="shared" si="234"/>
        <v>1645</v>
      </c>
      <c r="G992" t="str">
        <f t="shared" si="235"/>
        <v/>
      </c>
      <c r="H992" t="str">
        <f t="shared" si="236"/>
        <v/>
      </c>
      <c r="I992">
        <f t="shared" si="237"/>
        <v>35290</v>
      </c>
      <c r="J992">
        <f>SUM($G$3:I992)</f>
        <v>21569010</v>
      </c>
      <c r="K992">
        <f t="shared" si="238"/>
        <v>55870.000000000007</v>
      </c>
      <c r="L992">
        <f t="shared" si="239"/>
        <v>1.329</v>
      </c>
      <c r="M992">
        <f t="shared" si="240"/>
        <v>1.1645000000000001</v>
      </c>
      <c r="N992">
        <f t="shared" si="241"/>
        <v>4313802</v>
      </c>
      <c r="O992">
        <f t="shared" si="242"/>
        <v>86465.55733500002</v>
      </c>
      <c r="P992">
        <f t="shared" si="243"/>
        <v>37800</v>
      </c>
      <c r="Q992">
        <f t="shared" si="244"/>
        <v>2.2000000000000002</v>
      </c>
    </row>
    <row r="993" spans="1:17" x14ac:dyDescent="0.25">
      <c r="A993">
        <v>991</v>
      </c>
      <c r="B993">
        <f t="shared" si="230"/>
        <v>34</v>
      </c>
      <c r="C993">
        <f t="shared" si="231"/>
        <v>1</v>
      </c>
      <c r="D993">
        <f t="shared" si="232"/>
        <v>5620</v>
      </c>
      <c r="E993" t="str">
        <f t="shared" si="233"/>
        <v/>
      </c>
      <c r="F993" t="str">
        <f t="shared" si="234"/>
        <v/>
      </c>
      <c r="G993">
        <f t="shared" si="235"/>
        <v>70800</v>
      </c>
      <c r="H993" t="str">
        <f t="shared" si="236"/>
        <v/>
      </c>
      <c r="I993" t="str">
        <f t="shared" si="237"/>
        <v/>
      </c>
      <c r="J993">
        <f>SUM($G$3:I993)</f>
        <v>21639810</v>
      </c>
      <c r="K993">
        <f t="shared" si="238"/>
        <v>56200</v>
      </c>
      <c r="L993">
        <f t="shared" si="239"/>
        <v>1.329</v>
      </c>
      <c r="M993">
        <f t="shared" si="240"/>
        <v>1.1645000000000001</v>
      </c>
      <c r="N993">
        <f t="shared" si="241"/>
        <v>4327962</v>
      </c>
      <c r="O993">
        <f t="shared" si="242"/>
        <v>86976.272100000017</v>
      </c>
      <c r="P993">
        <f t="shared" si="243"/>
        <v>37800</v>
      </c>
      <c r="Q993">
        <f t="shared" si="244"/>
        <v>2.2000000000000002</v>
      </c>
    </row>
    <row r="994" spans="1:17" x14ac:dyDescent="0.25">
      <c r="A994">
        <v>992</v>
      </c>
      <c r="B994">
        <f t="shared" ref="B994:B1049" si="245">B964+1</f>
        <v>34</v>
      </c>
      <c r="C994">
        <f t="shared" ref="C994:C1049" si="246">C964</f>
        <v>1</v>
      </c>
      <c r="D994">
        <f t="shared" si="232"/>
        <v>5654</v>
      </c>
      <c r="E994" t="str">
        <f t="shared" si="233"/>
        <v/>
      </c>
      <c r="F994" t="str">
        <f t="shared" si="234"/>
        <v/>
      </c>
      <c r="G994">
        <f t="shared" si="235"/>
        <v>71020</v>
      </c>
      <c r="H994" t="str">
        <f t="shared" si="236"/>
        <v/>
      </c>
      <c r="I994" t="str">
        <f t="shared" si="237"/>
        <v/>
      </c>
      <c r="J994">
        <f>SUM($G$3:I994)</f>
        <v>21710830</v>
      </c>
      <c r="K994">
        <f t="shared" si="238"/>
        <v>56540</v>
      </c>
      <c r="L994">
        <f t="shared" si="239"/>
        <v>1.329</v>
      </c>
      <c r="M994">
        <f t="shared" si="240"/>
        <v>1.1645000000000001</v>
      </c>
      <c r="N994">
        <f t="shared" si="241"/>
        <v>4342166</v>
      </c>
      <c r="O994">
        <f t="shared" si="242"/>
        <v>87502.463070000013</v>
      </c>
      <c r="P994">
        <f t="shared" si="243"/>
        <v>37800</v>
      </c>
      <c r="Q994">
        <f t="shared" si="244"/>
        <v>2.2000000000000002</v>
      </c>
    </row>
    <row r="995" spans="1:17" x14ac:dyDescent="0.25">
      <c r="A995">
        <v>993</v>
      </c>
      <c r="B995">
        <f t="shared" si="245"/>
        <v>34</v>
      </c>
      <c r="C995">
        <f t="shared" si="246"/>
        <v>1</v>
      </c>
      <c r="D995">
        <f t="shared" si="232"/>
        <v>5688</v>
      </c>
      <c r="E995" t="str">
        <f t="shared" si="233"/>
        <v/>
      </c>
      <c r="F995" t="str">
        <f t="shared" si="234"/>
        <v/>
      </c>
      <c r="G995">
        <f t="shared" si="235"/>
        <v>71240</v>
      </c>
      <c r="H995" t="str">
        <f t="shared" si="236"/>
        <v/>
      </c>
      <c r="I995" t="str">
        <f t="shared" si="237"/>
        <v/>
      </c>
      <c r="J995">
        <f>SUM($G$3:I995)</f>
        <v>21782070</v>
      </c>
      <c r="K995">
        <f t="shared" si="238"/>
        <v>56879.999999999993</v>
      </c>
      <c r="L995">
        <f t="shared" si="239"/>
        <v>1.329</v>
      </c>
      <c r="M995">
        <f t="shared" si="240"/>
        <v>1.1645000000000001</v>
      </c>
      <c r="N995">
        <f t="shared" si="241"/>
        <v>4356414</v>
      </c>
      <c r="O995">
        <f t="shared" si="242"/>
        <v>88028.654039999994</v>
      </c>
      <c r="P995">
        <f t="shared" si="243"/>
        <v>37800</v>
      </c>
      <c r="Q995">
        <f t="shared" si="244"/>
        <v>2.2000000000000002</v>
      </c>
    </row>
    <row r="996" spans="1:17" x14ac:dyDescent="0.25">
      <c r="A996">
        <v>994</v>
      </c>
      <c r="B996">
        <f t="shared" si="245"/>
        <v>34</v>
      </c>
      <c r="C996">
        <f t="shared" si="246"/>
        <v>1</v>
      </c>
      <c r="D996">
        <f t="shared" si="232"/>
        <v>5722</v>
      </c>
      <c r="E996" t="str">
        <f t="shared" si="233"/>
        <v/>
      </c>
      <c r="F996" t="str">
        <f t="shared" si="234"/>
        <v/>
      </c>
      <c r="G996">
        <f t="shared" si="235"/>
        <v>71460</v>
      </c>
      <c r="H996" t="str">
        <f t="shared" si="236"/>
        <v/>
      </c>
      <c r="I996" t="str">
        <f t="shared" si="237"/>
        <v/>
      </c>
      <c r="J996">
        <f>SUM($G$3:I996)</f>
        <v>21853530</v>
      </c>
      <c r="K996">
        <f t="shared" si="238"/>
        <v>57220.000000000007</v>
      </c>
      <c r="L996">
        <f t="shared" si="239"/>
        <v>1.329</v>
      </c>
      <c r="M996">
        <f t="shared" si="240"/>
        <v>1.1645000000000001</v>
      </c>
      <c r="N996">
        <f t="shared" si="241"/>
        <v>4370706</v>
      </c>
      <c r="O996">
        <f t="shared" si="242"/>
        <v>88554.845010000019</v>
      </c>
      <c r="P996">
        <f t="shared" si="243"/>
        <v>37800</v>
      </c>
      <c r="Q996">
        <f t="shared" si="244"/>
        <v>2.2000000000000002</v>
      </c>
    </row>
    <row r="997" spans="1:17" x14ac:dyDescent="0.25">
      <c r="A997">
        <v>995</v>
      </c>
      <c r="B997">
        <f t="shared" si="245"/>
        <v>34</v>
      </c>
      <c r="C997">
        <f t="shared" si="246"/>
        <v>1</v>
      </c>
      <c r="D997">
        <f t="shared" si="232"/>
        <v>5756</v>
      </c>
      <c r="E997" t="str">
        <f t="shared" si="233"/>
        <v/>
      </c>
      <c r="F997" t="str">
        <f t="shared" si="234"/>
        <v/>
      </c>
      <c r="G997">
        <f t="shared" si="235"/>
        <v>71680</v>
      </c>
      <c r="H997" t="str">
        <f t="shared" si="236"/>
        <v/>
      </c>
      <c r="I997" t="str">
        <f t="shared" si="237"/>
        <v/>
      </c>
      <c r="J997">
        <f>SUM($G$3:I997)</f>
        <v>21925210</v>
      </c>
      <c r="K997">
        <f t="shared" si="238"/>
        <v>57560</v>
      </c>
      <c r="L997">
        <f t="shared" si="239"/>
        <v>1.329</v>
      </c>
      <c r="M997">
        <f t="shared" si="240"/>
        <v>1.1645000000000001</v>
      </c>
      <c r="N997">
        <f t="shared" si="241"/>
        <v>4385042</v>
      </c>
      <c r="O997">
        <f t="shared" si="242"/>
        <v>89081.035980000001</v>
      </c>
      <c r="P997">
        <f t="shared" si="243"/>
        <v>37800</v>
      </c>
      <c r="Q997">
        <f t="shared" si="244"/>
        <v>2.2000000000000002</v>
      </c>
    </row>
    <row r="998" spans="1:17" x14ac:dyDescent="0.25">
      <c r="A998">
        <v>996</v>
      </c>
      <c r="B998">
        <f t="shared" si="245"/>
        <v>34</v>
      </c>
      <c r="C998">
        <f t="shared" si="246"/>
        <v>1</v>
      </c>
      <c r="D998">
        <f t="shared" si="232"/>
        <v>5790</v>
      </c>
      <c r="E998" t="str">
        <f t="shared" si="233"/>
        <v/>
      </c>
      <c r="F998" t="str">
        <f t="shared" si="234"/>
        <v/>
      </c>
      <c r="G998">
        <f t="shared" si="235"/>
        <v>71900</v>
      </c>
      <c r="H998" t="str">
        <f t="shared" si="236"/>
        <v/>
      </c>
      <c r="I998" t="str">
        <f t="shared" si="237"/>
        <v/>
      </c>
      <c r="J998">
        <f>SUM($G$3:I998)</f>
        <v>21997110</v>
      </c>
      <c r="K998">
        <f t="shared" si="238"/>
        <v>57900</v>
      </c>
      <c r="L998">
        <f t="shared" si="239"/>
        <v>1.329</v>
      </c>
      <c r="M998">
        <f t="shared" si="240"/>
        <v>1.1645000000000001</v>
      </c>
      <c r="N998">
        <f t="shared" si="241"/>
        <v>4399422</v>
      </c>
      <c r="O998">
        <f t="shared" si="242"/>
        <v>89607.226949999997</v>
      </c>
      <c r="P998">
        <f t="shared" si="243"/>
        <v>37800</v>
      </c>
      <c r="Q998">
        <f t="shared" si="244"/>
        <v>2.2000000000000002</v>
      </c>
    </row>
    <row r="999" spans="1:17" x14ac:dyDescent="0.25">
      <c r="A999">
        <v>997</v>
      </c>
      <c r="B999">
        <f t="shared" si="245"/>
        <v>34</v>
      </c>
      <c r="C999">
        <f t="shared" si="246"/>
        <v>1</v>
      </c>
      <c r="D999">
        <f t="shared" si="232"/>
        <v>5824</v>
      </c>
      <c r="E999" t="str">
        <f t="shared" si="233"/>
        <v/>
      </c>
      <c r="F999" t="str">
        <f t="shared" si="234"/>
        <v/>
      </c>
      <c r="G999">
        <f t="shared" si="235"/>
        <v>72120</v>
      </c>
      <c r="H999" t="str">
        <f t="shared" si="236"/>
        <v/>
      </c>
      <c r="I999" t="str">
        <f t="shared" si="237"/>
        <v/>
      </c>
      <c r="J999">
        <f>SUM($G$3:I999)</f>
        <v>22069230</v>
      </c>
      <c r="K999">
        <f t="shared" si="238"/>
        <v>58240</v>
      </c>
      <c r="L999">
        <f t="shared" si="239"/>
        <v>1.329</v>
      </c>
      <c r="M999">
        <f t="shared" si="240"/>
        <v>1.1645000000000001</v>
      </c>
      <c r="N999">
        <f t="shared" si="241"/>
        <v>4413846</v>
      </c>
      <c r="O999">
        <f t="shared" si="242"/>
        <v>90133.417919999993</v>
      </c>
      <c r="P999">
        <f t="shared" si="243"/>
        <v>37800</v>
      </c>
      <c r="Q999">
        <f t="shared" si="244"/>
        <v>2.2000000000000002</v>
      </c>
    </row>
    <row r="1000" spans="1:17" x14ac:dyDescent="0.25">
      <c r="A1000">
        <v>998</v>
      </c>
      <c r="B1000">
        <f t="shared" si="245"/>
        <v>34</v>
      </c>
      <c r="C1000">
        <f t="shared" si="246"/>
        <v>1</v>
      </c>
      <c r="D1000">
        <f t="shared" si="232"/>
        <v>5858</v>
      </c>
      <c r="E1000" t="str">
        <f t="shared" si="233"/>
        <v/>
      </c>
      <c r="F1000" t="str">
        <f t="shared" si="234"/>
        <v/>
      </c>
      <c r="G1000">
        <f t="shared" si="235"/>
        <v>72340</v>
      </c>
      <c r="H1000" t="str">
        <f t="shared" si="236"/>
        <v/>
      </c>
      <c r="I1000" t="str">
        <f t="shared" si="237"/>
        <v/>
      </c>
      <c r="J1000">
        <f>SUM($G$3:I1000)</f>
        <v>22141570</v>
      </c>
      <c r="K1000">
        <f t="shared" si="238"/>
        <v>58579.999999999993</v>
      </c>
      <c r="L1000">
        <f t="shared" si="239"/>
        <v>1.329</v>
      </c>
      <c r="M1000">
        <f t="shared" si="240"/>
        <v>1.1645000000000001</v>
      </c>
      <c r="N1000">
        <f t="shared" si="241"/>
        <v>4428314</v>
      </c>
      <c r="O1000">
        <f t="shared" si="242"/>
        <v>90659.608890000003</v>
      </c>
      <c r="P1000">
        <f t="shared" si="243"/>
        <v>37800</v>
      </c>
      <c r="Q1000">
        <f t="shared" si="244"/>
        <v>2.2000000000000002</v>
      </c>
    </row>
    <row r="1001" spans="1:17" x14ac:dyDescent="0.25">
      <c r="A1001">
        <v>999</v>
      </c>
      <c r="B1001">
        <f t="shared" si="245"/>
        <v>34</v>
      </c>
      <c r="C1001">
        <f t="shared" si="246"/>
        <v>1</v>
      </c>
      <c r="D1001">
        <f t="shared" si="232"/>
        <v>5892</v>
      </c>
      <c r="E1001" t="str">
        <f t="shared" si="233"/>
        <v/>
      </c>
      <c r="F1001" t="str">
        <f t="shared" si="234"/>
        <v/>
      </c>
      <c r="G1001">
        <f t="shared" si="235"/>
        <v>72560</v>
      </c>
      <c r="H1001" t="str">
        <f t="shared" si="236"/>
        <v/>
      </c>
      <c r="I1001" t="str">
        <f t="shared" si="237"/>
        <v/>
      </c>
      <c r="J1001">
        <f>SUM($G$3:I1001)</f>
        <v>22214130</v>
      </c>
      <c r="K1001">
        <f t="shared" si="238"/>
        <v>58920.000000000007</v>
      </c>
      <c r="L1001">
        <f t="shared" si="239"/>
        <v>1.329</v>
      </c>
      <c r="M1001">
        <f t="shared" si="240"/>
        <v>1.1645000000000001</v>
      </c>
      <c r="N1001">
        <f t="shared" si="241"/>
        <v>4442826</v>
      </c>
      <c r="O1001">
        <f t="shared" si="242"/>
        <v>91185.799860000014</v>
      </c>
      <c r="P1001">
        <f t="shared" si="243"/>
        <v>37800</v>
      </c>
      <c r="Q1001">
        <f t="shared" si="244"/>
        <v>2.2000000000000002</v>
      </c>
    </row>
    <row r="1002" spans="1:17" x14ac:dyDescent="0.25">
      <c r="A1002">
        <v>1000</v>
      </c>
      <c r="B1002">
        <f t="shared" si="245"/>
        <v>34</v>
      </c>
      <c r="C1002">
        <f t="shared" si="246"/>
        <v>1</v>
      </c>
      <c r="D1002">
        <f t="shared" si="232"/>
        <v>5926</v>
      </c>
      <c r="E1002" t="str">
        <f t="shared" si="233"/>
        <v/>
      </c>
      <c r="F1002" t="str">
        <f t="shared" si="234"/>
        <v/>
      </c>
      <c r="G1002">
        <f t="shared" si="235"/>
        <v>72780</v>
      </c>
      <c r="H1002" t="str">
        <f t="shared" si="236"/>
        <v/>
      </c>
      <c r="I1002" t="str">
        <f t="shared" si="237"/>
        <v/>
      </c>
      <c r="J1002">
        <f>SUM($G$3:I1002)</f>
        <v>22286910</v>
      </c>
      <c r="K1002">
        <f t="shared" si="238"/>
        <v>59260</v>
      </c>
      <c r="L1002">
        <f t="shared" si="239"/>
        <v>1.329</v>
      </c>
      <c r="M1002">
        <f t="shared" si="240"/>
        <v>1.1645000000000001</v>
      </c>
      <c r="N1002">
        <f t="shared" si="241"/>
        <v>4457382</v>
      </c>
      <c r="O1002">
        <f t="shared" si="242"/>
        <v>91711.990829999995</v>
      </c>
      <c r="P1002">
        <f t="shared" si="243"/>
        <v>40800</v>
      </c>
      <c r="Q1002">
        <f t="shared" si="244"/>
        <v>2.2000000000000002</v>
      </c>
    </row>
    <row r="1003" spans="1:17" x14ac:dyDescent="0.25">
      <c r="A1003">
        <v>1001</v>
      </c>
      <c r="B1003">
        <f t="shared" si="245"/>
        <v>34</v>
      </c>
      <c r="C1003">
        <f t="shared" si="246"/>
        <v>2</v>
      </c>
      <c r="D1003" t="str">
        <f t="shared" si="232"/>
        <v/>
      </c>
      <c r="E1003">
        <f t="shared" si="233"/>
        <v>3300</v>
      </c>
      <c r="F1003" t="str">
        <f t="shared" si="234"/>
        <v/>
      </c>
      <c r="G1003" t="str">
        <f t="shared" si="235"/>
        <v/>
      </c>
      <c r="H1003">
        <f t="shared" si="236"/>
        <v>47200</v>
      </c>
      <c r="I1003" t="str">
        <f t="shared" si="237"/>
        <v/>
      </c>
      <c r="J1003">
        <f>SUM($G$3:I1003)</f>
        <v>22334110</v>
      </c>
      <c r="K1003">
        <f t="shared" si="238"/>
        <v>59260</v>
      </c>
      <c r="L1003">
        <f t="shared" si="239"/>
        <v>1.33</v>
      </c>
      <c r="M1003">
        <f t="shared" si="240"/>
        <v>1.1645000000000001</v>
      </c>
      <c r="N1003">
        <f t="shared" si="241"/>
        <v>4466822</v>
      </c>
      <c r="O1003">
        <f t="shared" si="242"/>
        <v>91780.999100000015</v>
      </c>
      <c r="P1003">
        <f t="shared" si="243"/>
        <v>40800</v>
      </c>
      <c r="Q1003">
        <f t="shared" si="244"/>
        <v>2.2000000000000002</v>
      </c>
    </row>
    <row r="1004" spans="1:17" x14ac:dyDescent="0.25">
      <c r="A1004">
        <v>1002</v>
      </c>
      <c r="B1004">
        <f t="shared" si="245"/>
        <v>34</v>
      </c>
      <c r="C1004">
        <f t="shared" si="246"/>
        <v>2</v>
      </c>
      <c r="D1004" t="str">
        <f t="shared" si="232"/>
        <v/>
      </c>
      <c r="E1004">
        <f t="shared" si="233"/>
        <v>3310</v>
      </c>
      <c r="F1004" t="str">
        <f t="shared" si="234"/>
        <v/>
      </c>
      <c r="G1004" t="str">
        <f t="shared" si="235"/>
        <v/>
      </c>
      <c r="H1004">
        <f t="shared" si="236"/>
        <v>47347</v>
      </c>
      <c r="I1004" t="str">
        <f t="shared" si="237"/>
        <v/>
      </c>
      <c r="J1004">
        <f>SUM($G$3:I1004)</f>
        <v>22381457</v>
      </c>
      <c r="K1004">
        <f t="shared" si="238"/>
        <v>59260</v>
      </c>
      <c r="L1004">
        <f t="shared" si="239"/>
        <v>1.331</v>
      </c>
      <c r="M1004">
        <f t="shared" si="240"/>
        <v>1.1645000000000001</v>
      </c>
      <c r="N1004">
        <f t="shared" si="241"/>
        <v>4476291.4000000004</v>
      </c>
      <c r="O1004">
        <f t="shared" si="242"/>
        <v>91850.007370000007</v>
      </c>
      <c r="P1004">
        <f t="shared" si="243"/>
        <v>40800</v>
      </c>
      <c r="Q1004">
        <f t="shared" si="244"/>
        <v>2.2000000000000002</v>
      </c>
    </row>
    <row r="1005" spans="1:17" x14ac:dyDescent="0.25">
      <c r="A1005">
        <v>1003</v>
      </c>
      <c r="B1005">
        <f t="shared" si="245"/>
        <v>34</v>
      </c>
      <c r="C1005">
        <f t="shared" si="246"/>
        <v>2</v>
      </c>
      <c r="D1005" t="str">
        <f t="shared" si="232"/>
        <v/>
      </c>
      <c r="E1005">
        <f t="shared" si="233"/>
        <v>3320</v>
      </c>
      <c r="F1005" t="str">
        <f t="shared" si="234"/>
        <v/>
      </c>
      <c r="G1005" t="str">
        <f t="shared" si="235"/>
        <v/>
      </c>
      <c r="H1005">
        <f t="shared" si="236"/>
        <v>47494</v>
      </c>
      <c r="I1005" t="str">
        <f t="shared" si="237"/>
        <v/>
      </c>
      <c r="J1005">
        <f>SUM($G$3:I1005)</f>
        <v>22428951</v>
      </c>
      <c r="K1005">
        <f t="shared" si="238"/>
        <v>59260</v>
      </c>
      <c r="L1005">
        <f t="shared" si="239"/>
        <v>1.3320000000000001</v>
      </c>
      <c r="M1005">
        <f t="shared" si="240"/>
        <v>1.1645000000000001</v>
      </c>
      <c r="N1005">
        <f t="shared" si="241"/>
        <v>4485790.2</v>
      </c>
      <c r="O1005">
        <f t="shared" si="242"/>
        <v>91919.015640000012</v>
      </c>
      <c r="P1005">
        <f t="shared" si="243"/>
        <v>40800</v>
      </c>
      <c r="Q1005">
        <f t="shared" si="244"/>
        <v>2.2000000000000002</v>
      </c>
    </row>
    <row r="1006" spans="1:17" x14ac:dyDescent="0.25">
      <c r="A1006">
        <v>1004</v>
      </c>
      <c r="B1006">
        <f t="shared" si="245"/>
        <v>34</v>
      </c>
      <c r="C1006">
        <f t="shared" si="246"/>
        <v>2</v>
      </c>
      <c r="D1006" t="str">
        <f t="shared" si="232"/>
        <v/>
      </c>
      <c r="E1006">
        <f t="shared" si="233"/>
        <v>3330</v>
      </c>
      <c r="F1006" t="str">
        <f t="shared" si="234"/>
        <v/>
      </c>
      <c r="G1006" t="str">
        <f t="shared" si="235"/>
        <v/>
      </c>
      <c r="H1006">
        <f t="shared" si="236"/>
        <v>47641</v>
      </c>
      <c r="I1006" t="str">
        <f t="shared" si="237"/>
        <v/>
      </c>
      <c r="J1006">
        <f>SUM($G$3:I1006)</f>
        <v>22476592</v>
      </c>
      <c r="K1006">
        <f t="shared" si="238"/>
        <v>59260</v>
      </c>
      <c r="L1006">
        <f t="shared" si="239"/>
        <v>1.333</v>
      </c>
      <c r="M1006">
        <f t="shared" si="240"/>
        <v>1.1645000000000001</v>
      </c>
      <c r="N1006">
        <f t="shared" si="241"/>
        <v>4495318.4000000004</v>
      </c>
      <c r="O1006">
        <f t="shared" si="242"/>
        <v>91988.023910000004</v>
      </c>
      <c r="P1006">
        <f t="shared" si="243"/>
        <v>40800</v>
      </c>
      <c r="Q1006">
        <f t="shared" si="244"/>
        <v>2.2000000000000002</v>
      </c>
    </row>
    <row r="1007" spans="1:17" x14ac:dyDescent="0.25">
      <c r="A1007">
        <v>1005</v>
      </c>
      <c r="B1007">
        <f t="shared" si="245"/>
        <v>34</v>
      </c>
      <c r="C1007">
        <f t="shared" si="246"/>
        <v>2</v>
      </c>
      <c r="D1007" t="str">
        <f t="shared" si="232"/>
        <v/>
      </c>
      <c r="E1007">
        <f t="shared" si="233"/>
        <v>3340</v>
      </c>
      <c r="F1007" t="str">
        <f t="shared" si="234"/>
        <v/>
      </c>
      <c r="G1007" t="str">
        <f t="shared" si="235"/>
        <v/>
      </c>
      <c r="H1007">
        <f t="shared" si="236"/>
        <v>47788</v>
      </c>
      <c r="I1007" t="str">
        <f t="shared" si="237"/>
        <v/>
      </c>
      <c r="J1007">
        <f>SUM($G$3:I1007)</f>
        <v>22524380</v>
      </c>
      <c r="K1007">
        <f t="shared" si="238"/>
        <v>59260</v>
      </c>
      <c r="L1007">
        <f t="shared" si="239"/>
        <v>1.3340000000000001</v>
      </c>
      <c r="M1007">
        <f t="shared" si="240"/>
        <v>1.1645000000000001</v>
      </c>
      <c r="N1007">
        <f t="shared" si="241"/>
        <v>4504876</v>
      </c>
      <c r="O1007">
        <f t="shared" si="242"/>
        <v>92057.032180000024</v>
      </c>
      <c r="P1007">
        <f t="shared" si="243"/>
        <v>40800</v>
      </c>
      <c r="Q1007">
        <f t="shared" si="244"/>
        <v>2.2000000000000002</v>
      </c>
    </row>
    <row r="1008" spans="1:17" x14ac:dyDescent="0.25">
      <c r="A1008">
        <v>1006</v>
      </c>
      <c r="B1008">
        <f t="shared" si="245"/>
        <v>34</v>
      </c>
      <c r="C1008">
        <f t="shared" si="246"/>
        <v>2</v>
      </c>
      <c r="D1008" t="str">
        <f t="shared" si="232"/>
        <v/>
      </c>
      <c r="E1008">
        <f t="shared" si="233"/>
        <v>3350</v>
      </c>
      <c r="F1008" t="str">
        <f t="shared" si="234"/>
        <v/>
      </c>
      <c r="G1008" t="str">
        <f t="shared" si="235"/>
        <v/>
      </c>
      <c r="H1008">
        <f t="shared" si="236"/>
        <v>47935</v>
      </c>
      <c r="I1008" t="str">
        <f t="shared" si="237"/>
        <v/>
      </c>
      <c r="J1008">
        <f>SUM($G$3:I1008)</f>
        <v>22572315</v>
      </c>
      <c r="K1008">
        <f t="shared" si="238"/>
        <v>59260</v>
      </c>
      <c r="L1008">
        <f t="shared" si="239"/>
        <v>1.335</v>
      </c>
      <c r="M1008">
        <f t="shared" si="240"/>
        <v>1.1645000000000001</v>
      </c>
      <c r="N1008">
        <f t="shared" si="241"/>
        <v>4514463</v>
      </c>
      <c r="O1008">
        <f t="shared" si="242"/>
        <v>92126.04045</v>
      </c>
      <c r="P1008">
        <f t="shared" si="243"/>
        <v>40800</v>
      </c>
      <c r="Q1008">
        <f t="shared" si="244"/>
        <v>2.2000000000000002</v>
      </c>
    </row>
    <row r="1009" spans="1:17" x14ac:dyDescent="0.25">
      <c r="A1009">
        <v>1007</v>
      </c>
      <c r="B1009">
        <f t="shared" si="245"/>
        <v>34</v>
      </c>
      <c r="C1009">
        <f t="shared" si="246"/>
        <v>2</v>
      </c>
      <c r="D1009" t="str">
        <f t="shared" si="232"/>
        <v/>
      </c>
      <c r="E1009">
        <f t="shared" si="233"/>
        <v>3360</v>
      </c>
      <c r="F1009" t="str">
        <f t="shared" si="234"/>
        <v/>
      </c>
      <c r="G1009" t="str">
        <f t="shared" si="235"/>
        <v/>
      </c>
      <c r="H1009">
        <f t="shared" si="236"/>
        <v>48082</v>
      </c>
      <c r="I1009" t="str">
        <f t="shared" si="237"/>
        <v/>
      </c>
      <c r="J1009">
        <f>SUM($G$3:I1009)</f>
        <v>22620397</v>
      </c>
      <c r="K1009">
        <f t="shared" si="238"/>
        <v>59260</v>
      </c>
      <c r="L1009">
        <f t="shared" si="239"/>
        <v>1.3360000000000001</v>
      </c>
      <c r="M1009">
        <f t="shared" si="240"/>
        <v>1.1645000000000001</v>
      </c>
      <c r="N1009">
        <f t="shared" si="241"/>
        <v>4524079.4000000004</v>
      </c>
      <c r="O1009">
        <f t="shared" si="242"/>
        <v>92195.048720000006</v>
      </c>
      <c r="P1009">
        <f t="shared" si="243"/>
        <v>40800</v>
      </c>
      <c r="Q1009">
        <f t="shared" si="244"/>
        <v>2.2000000000000002</v>
      </c>
    </row>
    <row r="1010" spans="1:17" x14ac:dyDescent="0.25">
      <c r="A1010">
        <v>1008</v>
      </c>
      <c r="B1010">
        <f t="shared" si="245"/>
        <v>34</v>
      </c>
      <c r="C1010">
        <f t="shared" si="246"/>
        <v>2</v>
      </c>
      <c r="D1010" t="str">
        <f t="shared" si="232"/>
        <v/>
      </c>
      <c r="E1010">
        <f t="shared" si="233"/>
        <v>3370</v>
      </c>
      <c r="F1010" t="str">
        <f t="shared" si="234"/>
        <v/>
      </c>
      <c r="G1010" t="str">
        <f t="shared" si="235"/>
        <v/>
      </c>
      <c r="H1010">
        <f t="shared" si="236"/>
        <v>48229</v>
      </c>
      <c r="I1010" t="str">
        <f t="shared" si="237"/>
        <v/>
      </c>
      <c r="J1010">
        <f>SUM($G$3:I1010)</f>
        <v>22668626</v>
      </c>
      <c r="K1010">
        <f t="shared" si="238"/>
        <v>59260</v>
      </c>
      <c r="L1010">
        <f t="shared" si="239"/>
        <v>1.337</v>
      </c>
      <c r="M1010">
        <f t="shared" si="240"/>
        <v>1.1645000000000001</v>
      </c>
      <c r="N1010">
        <f t="shared" si="241"/>
        <v>4533725.2</v>
      </c>
      <c r="O1010">
        <f t="shared" si="242"/>
        <v>92264.056989999997</v>
      </c>
      <c r="P1010">
        <f t="shared" si="243"/>
        <v>40800</v>
      </c>
      <c r="Q1010">
        <f t="shared" si="244"/>
        <v>2.2000000000000002</v>
      </c>
    </row>
    <row r="1011" spans="1:17" x14ac:dyDescent="0.25">
      <c r="A1011">
        <v>1009</v>
      </c>
      <c r="B1011">
        <f t="shared" si="245"/>
        <v>34</v>
      </c>
      <c r="C1011">
        <f t="shared" si="246"/>
        <v>2</v>
      </c>
      <c r="D1011" t="str">
        <f t="shared" si="232"/>
        <v/>
      </c>
      <c r="E1011">
        <f t="shared" si="233"/>
        <v>3380</v>
      </c>
      <c r="F1011" t="str">
        <f t="shared" si="234"/>
        <v/>
      </c>
      <c r="G1011" t="str">
        <f t="shared" si="235"/>
        <v/>
      </c>
      <c r="H1011">
        <f t="shared" si="236"/>
        <v>48376</v>
      </c>
      <c r="I1011" t="str">
        <f t="shared" si="237"/>
        <v/>
      </c>
      <c r="J1011">
        <f>SUM($G$3:I1011)</f>
        <v>22717002</v>
      </c>
      <c r="K1011">
        <f t="shared" si="238"/>
        <v>59260</v>
      </c>
      <c r="L1011">
        <f t="shared" si="239"/>
        <v>1.3380000000000001</v>
      </c>
      <c r="M1011">
        <f t="shared" si="240"/>
        <v>1.1645000000000001</v>
      </c>
      <c r="N1011">
        <f t="shared" si="241"/>
        <v>4543400.4000000004</v>
      </c>
      <c r="O1011">
        <f t="shared" si="242"/>
        <v>92333.065260000018</v>
      </c>
      <c r="P1011">
        <f t="shared" si="243"/>
        <v>40800</v>
      </c>
      <c r="Q1011">
        <f t="shared" si="244"/>
        <v>2.2000000000000002</v>
      </c>
    </row>
    <row r="1012" spans="1:17" x14ac:dyDescent="0.25">
      <c r="A1012">
        <v>1010</v>
      </c>
      <c r="B1012">
        <f t="shared" si="245"/>
        <v>34</v>
      </c>
      <c r="C1012">
        <f t="shared" si="246"/>
        <v>2</v>
      </c>
      <c r="D1012" t="str">
        <f t="shared" si="232"/>
        <v/>
      </c>
      <c r="E1012">
        <f t="shared" si="233"/>
        <v>3390</v>
      </c>
      <c r="F1012" t="str">
        <f t="shared" si="234"/>
        <v/>
      </c>
      <c r="G1012" t="str">
        <f t="shared" si="235"/>
        <v/>
      </c>
      <c r="H1012">
        <f t="shared" si="236"/>
        <v>48523</v>
      </c>
      <c r="I1012" t="str">
        <f t="shared" si="237"/>
        <v/>
      </c>
      <c r="J1012">
        <f>SUM($G$3:I1012)</f>
        <v>22765525</v>
      </c>
      <c r="K1012">
        <f t="shared" si="238"/>
        <v>59260</v>
      </c>
      <c r="L1012">
        <f t="shared" si="239"/>
        <v>1.339</v>
      </c>
      <c r="M1012">
        <f t="shared" si="240"/>
        <v>1.1645000000000001</v>
      </c>
      <c r="N1012">
        <f t="shared" si="241"/>
        <v>4553105</v>
      </c>
      <c r="O1012">
        <f t="shared" si="242"/>
        <v>92402.073530000009</v>
      </c>
      <c r="P1012">
        <f t="shared" si="243"/>
        <v>40800</v>
      </c>
      <c r="Q1012">
        <f t="shared" si="244"/>
        <v>2.2000000000000002</v>
      </c>
    </row>
    <row r="1013" spans="1:17" x14ac:dyDescent="0.25">
      <c r="A1013">
        <v>1011</v>
      </c>
      <c r="B1013">
        <f t="shared" si="245"/>
        <v>34</v>
      </c>
      <c r="C1013">
        <f t="shared" si="246"/>
        <v>3</v>
      </c>
      <c r="D1013" t="str">
        <f t="shared" si="232"/>
        <v/>
      </c>
      <c r="E1013" t="str">
        <f t="shared" si="233"/>
        <v/>
      </c>
      <c r="F1013">
        <f t="shared" si="234"/>
        <v>1650</v>
      </c>
      <c r="G1013" t="str">
        <f t="shared" si="235"/>
        <v/>
      </c>
      <c r="H1013" t="str">
        <f t="shared" si="236"/>
        <v/>
      </c>
      <c r="I1013">
        <f t="shared" si="237"/>
        <v>35400</v>
      </c>
      <c r="J1013">
        <f>SUM($G$3:I1013)</f>
        <v>22800925</v>
      </c>
      <c r="K1013">
        <f t="shared" si="238"/>
        <v>59260</v>
      </c>
      <c r="L1013">
        <f t="shared" si="239"/>
        <v>1.339</v>
      </c>
      <c r="M1013">
        <f t="shared" si="240"/>
        <v>1.165</v>
      </c>
      <c r="N1013">
        <f t="shared" si="241"/>
        <v>4560185</v>
      </c>
      <c r="O1013">
        <f t="shared" si="242"/>
        <v>92441.748099999997</v>
      </c>
      <c r="P1013">
        <f t="shared" si="243"/>
        <v>40800</v>
      </c>
      <c r="Q1013">
        <f t="shared" si="244"/>
        <v>2.2000000000000002</v>
      </c>
    </row>
    <row r="1014" spans="1:17" x14ac:dyDescent="0.25">
      <c r="A1014">
        <v>1012</v>
      </c>
      <c r="B1014">
        <f t="shared" si="245"/>
        <v>34</v>
      </c>
      <c r="C1014">
        <f t="shared" si="246"/>
        <v>3</v>
      </c>
      <c r="D1014" t="str">
        <f t="shared" si="232"/>
        <v/>
      </c>
      <c r="E1014" t="str">
        <f t="shared" si="233"/>
        <v/>
      </c>
      <c r="F1014">
        <f t="shared" si="234"/>
        <v>1655</v>
      </c>
      <c r="G1014" t="str">
        <f t="shared" si="235"/>
        <v/>
      </c>
      <c r="H1014" t="str">
        <f t="shared" si="236"/>
        <v/>
      </c>
      <c r="I1014">
        <f t="shared" si="237"/>
        <v>35510</v>
      </c>
      <c r="J1014">
        <f>SUM($G$3:I1014)</f>
        <v>22836435</v>
      </c>
      <c r="K1014">
        <f t="shared" si="238"/>
        <v>59260</v>
      </c>
      <c r="L1014">
        <f t="shared" si="239"/>
        <v>1.339</v>
      </c>
      <c r="M1014">
        <f t="shared" si="240"/>
        <v>1.1655</v>
      </c>
      <c r="N1014">
        <f t="shared" si="241"/>
        <v>4567287</v>
      </c>
      <c r="O1014">
        <f t="shared" si="242"/>
        <v>92481.42267</v>
      </c>
      <c r="P1014">
        <f t="shared" si="243"/>
        <v>40800</v>
      </c>
      <c r="Q1014">
        <f t="shared" si="244"/>
        <v>2.2000000000000002</v>
      </c>
    </row>
    <row r="1015" spans="1:17" x14ac:dyDescent="0.25">
      <c r="A1015">
        <v>1013</v>
      </c>
      <c r="B1015">
        <f t="shared" si="245"/>
        <v>34</v>
      </c>
      <c r="C1015">
        <f t="shared" si="246"/>
        <v>3</v>
      </c>
      <c r="D1015" t="str">
        <f t="shared" si="232"/>
        <v/>
      </c>
      <c r="E1015" t="str">
        <f t="shared" si="233"/>
        <v/>
      </c>
      <c r="F1015">
        <f t="shared" si="234"/>
        <v>1660</v>
      </c>
      <c r="G1015" t="str">
        <f t="shared" si="235"/>
        <v/>
      </c>
      <c r="H1015" t="str">
        <f t="shared" si="236"/>
        <v/>
      </c>
      <c r="I1015">
        <f t="shared" si="237"/>
        <v>35620</v>
      </c>
      <c r="J1015">
        <f>SUM($G$3:I1015)</f>
        <v>22872055</v>
      </c>
      <c r="K1015">
        <f t="shared" si="238"/>
        <v>59260</v>
      </c>
      <c r="L1015">
        <f t="shared" si="239"/>
        <v>1.339</v>
      </c>
      <c r="M1015">
        <f t="shared" si="240"/>
        <v>1.1659999999999999</v>
      </c>
      <c r="N1015">
        <f t="shared" si="241"/>
        <v>4574411</v>
      </c>
      <c r="O1015">
        <f t="shared" si="242"/>
        <v>92521.097239999988</v>
      </c>
      <c r="P1015">
        <f t="shared" si="243"/>
        <v>40800</v>
      </c>
      <c r="Q1015">
        <f t="shared" si="244"/>
        <v>2.2000000000000002</v>
      </c>
    </row>
    <row r="1016" spans="1:17" x14ac:dyDescent="0.25">
      <c r="A1016">
        <v>1014</v>
      </c>
      <c r="B1016">
        <f t="shared" si="245"/>
        <v>34</v>
      </c>
      <c r="C1016">
        <f t="shared" si="246"/>
        <v>3</v>
      </c>
      <c r="D1016" t="str">
        <f t="shared" si="232"/>
        <v/>
      </c>
      <c r="E1016" t="str">
        <f t="shared" si="233"/>
        <v/>
      </c>
      <c r="F1016">
        <f t="shared" si="234"/>
        <v>1665</v>
      </c>
      <c r="G1016" t="str">
        <f t="shared" si="235"/>
        <v/>
      </c>
      <c r="H1016" t="str">
        <f t="shared" si="236"/>
        <v/>
      </c>
      <c r="I1016">
        <f t="shared" si="237"/>
        <v>35730</v>
      </c>
      <c r="J1016">
        <f>SUM($G$3:I1016)</f>
        <v>22907785</v>
      </c>
      <c r="K1016">
        <f t="shared" si="238"/>
        <v>59260</v>
      </c>
      <c r="L1016">
        <f t="shared" si="239"/>
        <v>1.339</v>
      </c>
      <c r="M1016">
        <f t="shared" si="240"/>
        <v>1.1665000000000001</v>
      </c>
      <c r="N1016">
        <f t="shared" si="241"/>
        <v>4581557</v>
      </c>
      <c r="O1016">
        <f t="shared" si="242"/>
        <v>92560.771810000006</v>
      </c>
      <c r="P1016">
        <f t="shared" si="243"/>
        <v>40800</v>
      </c>
      <c r="Q1016">
        <f t="shared" si="244"/>
        <v>2.2000000000000002</v>
      </c>
    </row>
    <row r="1017" spans="1:17" x14ac:dyDescent="0.25">
      <c r="A1017">
        <v>1015</v>
      </c>
      <c r="B1017">
        <f t="shared" si="245"/>
        <v>34</v>
      </c>
      <c r="C1017">
        <f t="shared" si="246"/>
        <v>3</v>
      </c>
      <c r="D1017" t="str">
        <f t="shared" si="232"/>
        <v/>
      </c>
      <c r="E1017" t="str">
        <f t="shared" si="233"/>
        <v/>
      </c>
      <c r="F1017">
        <f t="shared" si="234"/>
        <v>1670</v>
      </c>
      <c r="G1017" t="str">
        <f t="shared" si="235"/>
        <v/>
      </c>
      <c r="H1017" t="str">
        <f t="shared" si="236"/>
        <v/>
      </c>
      <c r="I1017">
        <f t="shared" si="237"/>
        <v>35840</v>
      </c>
      <c r="J1017">
        <f>SUM($G$3:I1017)</f>
        <v>22943625</v>
      </c>
      <c r="K1017">
        <f t="shared" si="238"/>
        <v>59260</v>
      </c>
      <c r="L1017">
        <f t="shared" si="239"/>
        <v>1.339</v>
      </c>
      <c r="M1017">
        <f t="shared" si="240"/>
        <v>1.167</v>
      </c>
      <c r="N1017">
        <f t="shared" si="241"/>
        <v>4588725</v>
      </c>
      <c r="O1017">
        <f t="shared" si="242"/>
        <v>92600.446380000009</v>
      </c>
      <c r="P1017">
        <f t="shared" si="243"/>
        <v>40800</v>
      </c>
      <c r="Q1017">
        <f t="shared" si="244"/>
        <v>2.2000000000000002</v>
      </c>
    </row>
    <row r="1018" spans="1:17" x14ac:dyDescent="0.25">
      <c r="A1018">
        <v>1016</v>
      </c>
      <c r="B1018">
        <f t="shared" si="245"/>
        <v>34</v>
      </c>
      <c r="C1018">
        <f t="shared" si="246"/>
        <v>3</v>
      </c>
      <c r="D1018" t="str">
        <f t="shared" si="232"/>
        <v/>
      </c>
      <c r="E1018" t="str">
        <f t="shared" si="233"/>
        <v/>
      </c>
      <c r="F1018">
        <f t="shared" si="234"/>
        <v>1675</v>
      </c>
      <c r="G1018" t="str">
        <f t="shared" si="235"/>
        <v/>
      </c>
      <c r="H1018" t="str">
        <f t="shared" si="236"/>
        <v/>
      </c>
      <c r="I1018">
        <f t="shared" si="237"/>
        <v>35950</v>
      </c>
      <c r="J1018">
        <f>SUM($G$3:I1018)</f>
        <v>22979575</v>
      </c>
      <c r="K1018">
        <f t="shared" si="238"/>
        <v>59260</v>
      </c>
      <c r="L1018">
        <f t="shared" si="239"/>
        <v>1.339</v>
      </c>
      <c r="M1018">
        <f t="shared" si="240"/>
        <v>1.1675</v>
      </c>
      <c r="N1018">
        <f t="shared" si="241"/>
        <v>4595915</v>
      </c>
      <c r="O1018">
        <f t="shared" si="242"/>
        <v>92640.120949999997</v>
      </c>
      <c r="P1018">
        <f t="shared" si="243"/>
        <v>40800</v>
      </c>
      <c r="Q1018">
        <f t="shared" si="244"/>
        <v>2.2000000000000002</v>
      </c>
    </row>
    <row r="1019" spans="1:17" x14ac:dyDescent="0.25">
      <c r="A1019">
        <v>1017</v>
      </c>
      <c r="B1019">
        <f t="shared" si="245"/>
        <v>34</v>
      </c>
      <c r="C1019">
        <f t="shared" si="246"/>
        <v>3</v>
      </c>
      <c r="D1019" t="str">
        <f t="shared" si="232"/>
        <v/>
      </c>
      <c r="E1019" t="str">
        <f t="shared" si="233"/>
        <v/>
      </c>
      <c r="F1019">
        <f t="shared" si="234"/>
        <v>1680</v>
      </c>
      <c r="G1019" t="str">
        <f t="shared" si="235"/>
        <v/>
      </c>
      <c r="H1019" t="str">
        <f t="shared" si="236"/>
        <v/>
      </c>
      <c r="I1019">
        <f t="shared" si="237"/>
        <v>36060</v>
      </c>
      <c r="J1019">
        <f>SUM($G$3:I1019)</f>
        <v>23015635</v>
      </c>
      <c r="K1019">
        <f t="shared" si="238"/>
        <v>59260</v>
      </c>
      <c r="L1019">
        <f t="shared" si="239"/>
        <v>1.339</v>
      </c>
      <c r="M1019">
        <f t="shared" si="240"/>
        <v>1.1679999999999999</v>
      </c>
      <c r="N1019">
        <f t="shared" si="241"/>
        <v>4603127</v>
      </c>
      <c r="O1019">
        <f t="shared" si="242"/>
        <v>92679.79552</v>
      </c>
      <c r="P1019">
        <f t="shared" si="243"/>
        <v>40800</v>
      </c>
      <c r="Q1019">
        <f t="shared" si="244"/>
        <v>2.2000000000000002</v>
      </c>
    </row>
    <row r="1020" spans="1:17" x14ac:dyDescent="0.25">
      <c r="A1020">
        <v>1018</v>
      </c>
      <c r="B1020">
        <f t="shared" si="245"/>
        <v>34</v>
      </c>
      <c r="C1020">
        <f t="shared" si="246"/>
        <v>3</v>
      </c>
      <c r="D1020" t="str">
        <f t="shared" si="232"/>
        <v/>
      </c>
      <c r="E1020" t="str">
        <f t="shared" si="233"/>
        <v/>
      </c>
      <c r="F1020">
        <f t="shared" si="234"/>
        <v>1685</v>
      </c>
      <c r="G1020" t="str">
        <f t="shared" si="235"/>
        <v/>
      </c>
      <c r="H1020" t="str">
        <f t="shared" si="236"/>
        <v/>
      </c>
      <c r="I1020">
        <f t="shared" si="237"/>
        <v>36170</v>
      </c>
      <c r="J1020">
        <f>SUM($G$3:I1020)</f>
        <v>23051805</v>
      </c>
      <c r="K1020">
        <f t="shared" si="238"/>
        <v>59260</v>
      </c>
      <c r="L1020">
        <f t="shared" si="239"/>
        <v>1.339</v>
      </c>
      <c r="M1020">
        <f t="shared" si="240"/>
        <v>1.1685000000000001</v>
      </c>
      <c r="N1020">
        <f t="shared" si="241"/>
        <v>4610361</v>
      </c>
      <c r="O1020">
        <f t="shared" si="242"/>
        <v>92719.470090000003</v>
      </c>
      <c r="P1020">
        <f t="shared" si="243"/>
        <v>40800</v>
      </c>
      <c r="Q1020">
        <f t="shared" si="244"/>
        <v>2.2000000000000002</v>
      </c>
    </row>
    <row r="1021" spans="1:17" x14ac:dyDescent="0.25">
      <c r="A1021">
        <v>1019</v>
      </c>
      <c r="B1021">
        <f t="shared" si="245"/>
        <v>34</v>
      </c>
      <c r="C1021">
        <f t="shared" si="246"/>
        <v>3</v>
      </c>
      <c r="D1021" t="str">
        <f t="shared" si="232"/>
        <v/>
      </c>
      <c r="E1021" t="str">
        <f t="shared" si="233"/>
        <v/>
      </c>
      <c r="F1021">
        <f t="shared" si="234"/>
        <v>1690</v>
      </c>
      <c r="G1021" t="str">
        <f t="shared" si="235"/>
        <v/>
      </c>
      <c r="H1021" t="str">
        <f t="shared" si="236"/>
        <v/>
      </c>
      <c r="I1021">
        <f t="shared" si="237"/>
        <v>36280</v>
      </c>
      <c r="J1021">
        <f>SUM($G$3:I1021)</f>
        <v>23088085</v>
      </c>
      <c r="K1021">
        <f t="shared" si="238"/>
        <v>59260</v>
      </c>
      <c r="L1021">
        <f t="shared" si="239"/>
        <v>1.339</v>
      </c>
      <c r="M1021">
        <f t="shared" si="240"/>
        <v>1.169</v>
      </c>
      <c r="N1021">
        <f t="shared" si="241"/>
        <v>4617617</v>
      </c>
      <c r="O1021">
        <f t="shared" si="242"/>
        <v>92759.144660000005</v>
      </c>
      <c r="P1021">
        <f t="shared" si="243"/>
        <v>40800</v>
      </c>
      <c r="Q1021">
        <f t="shared" si="244"/>
        <v>2.2000000000000002</v>
      </c>
    </row>
    <row r="1022" spans="1:17" x14ac:dyDescent="0.25">
      <c r="A1022">
        <v>1020</v>
      </c>
      <c r="B1022">
        <f t="shared" si="245"/>
        <v>34</v>
      </c>
      <c r="C1022">
        <f t="shared" si="246"/>
        <v>3</v>
      </c>
      <c r="D1022" t="str">
        <f t="shared" si="232"/>
        <v/>
      </c>
      <c r="E1022" t="str">
        <f t="shared" si="233"/>
        <v/>
      </c>
      <c r="F1022">
        <f t="shared" si="234"/>
        <v>1695</v>
      </c>
      <c r="G1022" t="str">
        <f t="shared" si="235"/>
        <v/>
      </c>
      <c r="H1022" t="str">
        <f t="shared" si="236"/>
        <v/>
      </c>
      <c r="I1022">
        <f t="shared" si="237"/>
        <v>36390</v>
      </c>
      <c r="J1022">
        <f>SUM($G$3:I1022)</f>
        <v>23124475</v>
      </c>
      <c r="K1022">
        <f t="shared" si="238"/>
        <v>59260</v>
      </c>
      <c r="L1022">
        <f t="shared" si="239"/>
        <v>1.339</v>
      </c>
      <c r="M1022">
        <f t="shared" si="240"/>
        <v>1.1695</v>
      </c>
      <c r="N1022">
        <f t="shared" si="241"/>
        <v>4624895</v>
      </c>
      <c r="O1022">
        <f t="shared" si="242"/>
        <v>92798.819229999994</v>
      </c>
      <c r="P1022">
        <f t="shared" si="243"/>
        <v>40800</v>
      </c>
      <c r="Q1022">
        <f t="shared" si="244"/>
        <v>2.2000000000000002</v>
      </c>
    </row>
    <row r="1023" spans="1:17" x14ac:dyDescent="0.25">
      <c r="A1023">
        <v>1021</v>
      </c>
      <c r="B1023">
        <f t="shared" si="245"/>
        <v>35</v>
      </c>
      <c r="C1023">
        <f t="shared" si="246"/>
        <v>1</v>
      </c>
      <c r="D1023">
        <f t="shared" si="232"/>
        <v>5960</v>
      </c>
      <c r="E1023" t="str">
        <f t="shared" si="233"/>
        <v/>
      </c>
      <c r="F1023" t="str">
        <f t="shared" si="234"/>
        <v/>
      </c>
      <c r="G1023">
        <f t="shared" si="235"/>
        <v>73000</v>
      </c>
      <c r="H1023" t="str">
        <f t="shared" si="236"/>
        <v/>
      </c>
      <c r="I1023" t="str">
        <f t="shared" si="237"/>
        <v/>
      </c>
      <c r="J1023">
        <f>SUM($G$3:I1023)</f>
        <v>23197475</v>
      </c>
      <c r="K1023">
        <f t="shared" si="238"/>
        <v>59600</v>
      </c>
      <c r="L1023">
        <f t="shared" si="239"/>
        <v>1.339</v>
      </c>
      <c r="M1023">
        <f t="shared" si="240"/>
        <v>1.1695</v>
      </c>
      <c r="N1023">
        <f t="shared" si="241"/>
        <v>4639495</v>
      </c>
      <c r="O1023">
        <f t="shared" si="242"/>
        <v>93331.24579999999</v>
      </c>
      <c r="P1023">
        <f t="shared" si="243"/>
        <v>40800</v>
      </c>
      <c r="Q1023">
        <f>SUMIFS($AZ:$AZ,$AY:$AY,98,$AV:$AV,"&lt;="&amp;A1023)*10/100</f>
        <v>2.2000000000000002</v>
      </c>
    </row>
    <row r="1024" spans="1:17" x14ac:dyDescent="0.25">
      <c r="A1024">
        <v>1022</v>
      </c>
      <c r="B1024">
        <f t="shared" si="245"/>
        <v>35</v>
      </c>
      <c r="C1024">
        <f t="shared" si="246"/>
        <v>1</v>
      </c>
      <c r="D1024">
        <f t="shared" si="232"/>
        <v>5995</v>
      </c>
      <c r="E1024" t="str">
        <f t="shared" si="233"/>
        <v/>
      </c>
      <c r="F1024" t="str">
        <f t="shared" si="234"/>
        <v/>
      </c>
      <c r="G1024">
        <f t="shared" si="235"/>
        <v>73220</v>
      </c>
      <c r="H1024" t="str">
        <f t="shared" si="236"/>
        <v/>
      </c>
      <c r="I1024" t="str">
        <f t="shared" si="237"/>
        <v/>
      </c>
      <c r="J1024">
        <f>SUM($G$3:I1024)</f>
        <v>23270695</v>
      </c>
      <c r="K1024">
        <f t="shared" si="238"/>
        <v>59950</v>
      </c>
      <c r="L1024">
        <f t="shared" si="239"/>
        <v>1.339</v>
      </c>
      <c r="M1024">
        <f t="shared" si="240"/>
        <v>1.1695</v>
      </c>
      <c r="N1024">
        <f t="shared" si="241"/>
        <v>4654139</v>
      </c>
      <c r="O1024">
        <f t="shared" si="242"/>
        <v>93879.331975000008</v>
      </c>
      <c r="P1024">
        <f t="shared" si="243"/>
        <v>40800</v>
      </c>
      <c r="Q1024">
        <f t="shared" si="244"/>
        <v>2.2000000000000002</v>
      </c>
    </row>
    <row r="1025" spans="1:17" x14ac:dyDescent="0.25">
      <c r="A1025">
        <v>1023</v>
      </c>
      <c r="B1025">
        <f t="shared" si="245"/>
        <v>35</v>
      </c>
      <c r="C1025">
        <f t="shared" si="246"/>
        <v>1</v>
      </c>
      <c r="D1025">
        <f t="shared" si="232"/>
        <v>6030</v>
      </c>
      <c r="E1025" t="str">
        <f t="shared" si="233"/>
        <v/>
      </c>
      <c r="F1025" t="str">
        <f t="shared" si="234"/>
        <v/>
      </c>
      <c r="G1025">
        <f t="shared" si="235"/>
        <v>73440</v>
      </c>
      <c r="H1025" t="str">
        <f t="shared" si="236"/>
        <v/>
      </c>
      <c r="I1025" t="str">
        <f t="shared" si="237"/>
        <v/>
      </c>
      <c r="J1025">
        <f>SUM($G$3:I1025)</f>
        <v>23344135</v>
      </c>
      <c r="K1025">
        <f t="shared" si="238"/>
        <v>60300</v>
      </c>
      <c r="L1025">
        <f t="shared" si="239"/>
        <v>1.339</v>
      </c>
      <c r="M1025">
        <f t="shared" si="240"/>
        <v>1.1695</v>
      </c>
      <c r="N1025">
        <f t="shared" si="241"/>
        <v>4668827</v>
      </c>
      <c r="O1025">
        <f t="shared" si="242"/>
        <v>94427.418149999998</v>
      </c>
      <c r="P1025">
        <f t="shared" si="243"/>
        <v>40800</v>
      </c>
      <c r="Q1025">
        <f t="shared" si="244"/>
        <v>2.2000000000000002</v>
      </c>
    </row>
    <row r="1026" spans="1:17" x14ac:dyDescent="0.25">
      <c r="A1026">
        <v>1024</v>
      </c>
      <c r="B1026">
        <f t="shared" si="245"/>
        <v>35</v>
      </c>
      <c r="C1026">
        <f t="shared" si="246"/>
        <v>1</v>
      </c>
      <c r="D1026">
        <f t="shared" si="232"/>
        <v>6065</v>
      </c>
      <c r="E1026" t="str">
        <f t="shared" si="233"/>
        <v/>
      </c>
      <c r="F1026" t="str">
        <f t="shared" si="234"/>
        <v/>
      </c>
      <c r="G1026">
        <f t="shared" si="235"/>
        <v>73660</v>
      </c>
      <c r="H1026" t="str">
        <f t="shared" si="236"/>
        <v/>
      </c>
      <c r="I1026" t="str">
        <f t="shared" si="237"/>
        <v/>
      </c>
      <c r="J1026">
        <f>SUM($G$3:I1026)</f>
        <v>23417795</v>
      </c>
      <c r="K1026">
        <f t="shared" si="238"/>
        <v>60650</v>
      </c>
      <c r="L1026">
        <f t="shared" si="239"/>
        <v>1.339</v>
      </c>
      <c r="M1026">
        <f t="shared" si="240"/>
        <v>1.1695</v>
      </c>
      <c r="N1026">
        <f t="shared" si="241"/>
        <v>4683559</v>
      </c>
      <c r="O1026">
        <f t="shared" si="242"/>
        <v>94975.504324999987</v>
      </c>
      <c r="P1026">
        <f t="shared" si="243"/>
        <v>40800</v>
      </c>
      <c r="Q1026">
        <f t="shared" si="244"/>
        <v>2.2000000000000002</v>
      </c>
    </row>
    <row r="1027" spans="1:17" x14ac:dyDescent="0.25">
      <c r="A1027">
        <v>1025</v>
      </c>
      <c r="B1027">
        <f t="shared" si="245"/>
        <v>35</v>
      </c>
      <c r="C1027">
        <f t="shared" si="246"/>
        <v>1</v>
      </c>
      <c r="D1027">
        <f t="shared" ref="D1027:D1049" si="247">IF($C1027=1,INDEX($Z:$Z,MATCH($B1027,$Y:$Y,0))+MOD($A1027-1,10)*INDEX($AC:$AC,MATCH($B1027,$Y:$Y,0)),"")</f>
        <v>6100</v>
      </c>
      <c r="E1027" t="str">
        <f t="shared" ref="E1027:E1049" si="248">IF($C1027=2,INDEX($AA:$AA,MATCH($B1027,$Y:$Y,0))+MOD($A1027-1,10)*INDEX($AD:$AD,MATCH($B1027,$Y:$Y,0)),"")</f>
        <v/>
      </c>
      <c r="F1027" t="str">
        <f t="shared" ref="F1027:F1049" si="249">IF($C1027=3,INDEX($AB:$AB,MATCH($B1027,$Y:$Y,0))+MOD($A1027-1,10)*INDEX($AE:$AE,MATCH($B1027,$Y:$Y,0)),"")</f>
        <v/>
      </c>
      <c r="G1027">
        <f t="shared" ref="G1027:G1049" si="250">IF($C1027=1,INDEX($AF:$AF,MATCH($B1027,$Y:$Y,0))+MOD($A1027-1,10)*INDEX($AI:$AI,MATCH($B1027,$Y:$Y,0)),"")</f>
        <v>73880</v>
      </c>
      <c r="H1027" t="str">
        <f t="shared" ref="H1027:H1049" si="251">IF($C1027=2,INDEX($AG:$AG,MATCH($B1027,$Y:$Y,0))+MOD($A1027-1,10)*INDEX($AJ:$AJ,MATCH($B1027,$Y:$Y,0)),"")</f>
        <v/>
      </c>
      <c r="I1027" t="str">
        <f t="shared" ref="I1027:I1049" si="252">IF($C1027=3,INDEX($AH:$AH,MATCH($B1027,$Y:$Y,0))+MOD($A1027-1,10)*INDEX($AK:$AK,MATCH($B1027,$Y:$Y,0)),"")</f>
        <v/>
      </c>
      <c r="J1027">
        <f>SUM($G$3:I1027)</f>
        <v>23491675</v>
      </c>
      <c r="K1027">
        <f t="shared" si="238"/>
        <v>61000</v>
      </c>
      <c r="L1027">
        <f t="shared" si="239"/>
        <v>1.339</v>
      </c>
      <c r="M1027">
        <f t="shared" si="240"/>
        <v>1.1695</v>
      </c>
      <c r="N1027">
        <f t="shared" si="241"/>
        <v>4698335</v>
      </c>
      <c r="O1027">
        <f t="shared" si="242"/>
        <v>95523.590500000006</v>
      </c>
      <c r="P1027">
        <f t="shared" si="243"/>
        <v>40800</v>
      </c>
      <c r="Q1027">
        <f t="shared" si="244"/>
        <v>2.2000000000000002</v>
      </c>
    </row>
    <row r="1028" spans="1:17" x14ac:dyDescent="0.25">
      <c r="A1028">
        <v>1026</v>
      </c>
      <c r="B1028">
        <f t="shared" si="245"/>
        <v>35</v>
      </c>
      <c r="C1028">
        <f t="shared" si="246"/>
        <v>1</v>
      </c>
      <c r="D1028">
        <f t="shared" si="247"/>
        <v>6135</v>
      </c>
      <c r="E1028" t="str">
        <f t="shared" si="248"/>
        <v/>
      </c>
      <c r="F1028" t="str">
        <f t="shared" si="249"/>
        <v/>
      </c>
      <c r="G1028">
        <f t="shared" si="250"/>
        <v>74100</v>
      </c>
      <c r="H1028" t="str">
        <f t="shared" si="251"/>
        <v/>
      </c>
      <c r="I1028" t="str">
        <f t="shared" si="252"/>
        <v/>
      </c>
      <c r="J1028">
        <f>SUM($G$3:I1028)</f>
        <v>23565775</v>
      </c>
      <c r="K1028">
        <f t="shared" ref="K1028:K1049" si="253">_xlfn.MAXIFS($D:$D,$A:$A,"&lt;="&amp;A1028)/10*100</f>
        <v>61350</v>
      </c>
      <c r="L1028">
        <f t="shared" ref="L1028:L1049" si="254">_xlfn.MAXIFS($E:$E,$A:$A,"&lt;="&amp;A1028)/10000+1</f>
        <v>1.339</v>
      </c>
      <c r="M1028">
        <f t="shared" ref="M1028:M1049" si="255">_xlfn.MAXIFS($F:$F,$A:$A,"&lt;="&amp;A1028)/10000+1</f>
        <v>1.1695</v>
      </c>
      <c r="N1028">
        <f t="shared" ref="N1028:N1049" si="256">J1028*0.2</f>
        <v>4713155</v>
      </c>
      <c r="O1028">
        <f t="shared" ref="O1028:O1049" si="257">K1028*L1028*M1028</f>
        <v>96071.676674999995</v>
      </c>
      <c r="P1028">
        <f t="shared" ref="P1028:P1049" si="258">SUMIFS($AZ:$AZ,$AW:$AW,$AW$3,$AY:$AY,3,$AV:$AV,"&lt;="&amp;A1028)</f>
        <v>40800</v>
      </c>
      <c r="Q1028">
        <f t="shared" ref="Q1028:Q1049" si="259">SUMIFS($AZ:$AZ,$AY:$AY,98,$AV:$AV,"&lt;="&amp;A1028)*10/100</f>
        <v>2.2000000000000002</v>
      </c>
    </row>
    <row r="1029" spans="1:17" x14ac:dyDescent="0.25">
      <c r="A1029">
        <v>1027</v>
      </c>
      <c r="B1029">
        <f t="shared" si="245"/>
        <v>35</v>
      </c>
      <c r="C1029">
        <f t="shared" si="246"/>
        <v>1</v>
      </c>
      <c r="D1029">
        <f t="shared" si="247"/>
        <v>6170</v>
      </c>
      <c r="E1029" t="str">
        <f t="shared" si="248"/>
        <v/>
      </c>
      <c r="F1029" t="str">
        <f t="shared" si="249"/>
        <v/>
      </c>
      <c r="G1029">
        <f t="shared" si="250"/>
        <v>74320</v>
      </c>
      <c r="H1029" t="str">
        <f t="shared" si="251"/>
        <v/>
      </c>
      <c r="I1029" t="str">
        <f t="shared" si="252"/>
        <v/>
      </c>
      <c r="J1029">
        <f>SUM($G$3:I1029)</f>
        <v>23640095</v>
      </c>
      <c r="K1029">
        <f t="shared" si="253"/>
        <v>61700</v>
      </c>
      <c r="L1029">
        <f t="shared" si="254"/>
        <v>1.339</v>
      </c>
      <c r="M1029">
        <f t="shared" si="255"/>
        <v>1.1695</v>
      </c>
      <c r="N1029">
        <f t="shared" si="256"/>
        <v>4728019</v>
      </c>
      <c r="O1029">
        <f t="shared" si="257"/>
        <v>96619.762849999999</v>
      </c>
      <c r="P1029">
        <f t="shared" si="258"/>
        <v>40800</v>
      </c>
      <c r="Q1029">
        <f t="shared" si="259"/>
        <v>2.2000000000000002</v>
      </c>
    </row>
    <row r="1030" spans="1:17" x14ac:dyDescent="0.25">
      <c r="A1030">
        <v>1028</v>
      </c>
      <c r="B1030">
        <f t="shared" si="245"/>
        <v>35</v>
      </c>
      <c r="C1030">
        <f t="shared" si="246"/>
        <v>1</v>
      </c>
      <c r="D1030">
        <f t="shared" si="247"/>
        <v>6205</v>
      </c>
      <c r="E1030" t="str">
        <f t="shared" si="248"/>
        <v/>
      </c>
      <c r="F1030" t="str">
        <f t="shared" si="249"/>
        <v/>
      </c>
      <c r="G1030">
        <f t="shared" si="250"/>
        <v>74540</v>
      </c>
      <c r="H1030" t="str">
        <f t="shared" si="251"/>
        <v/>
      </c>
      <c r="I1030" t="str">
        <f t="shared" si="252"/>
        <v/>
      </c>
      <c r="J1030">
        <f>SUM($G$3:I1030)</f>
        <v>23714635</v>
      </c>
      <c r="K1030">
        <f t="shared" si="253"/>
        <v>62050</v>
      </c>
      <c r="L1030">
        <f t="shared" si="254"/>
        <v>1.339</v>
      </c>
      <c r="M1030">
        <f t="shared" si="255"/>
        <v>1.1695</v>
      </c>
      <c r="N1030">
        <f t="shared" si="256"/>
        <v>4742927</v>
      </c>
      <c r="O1030">
        <f t="shared" si="257"/>
        <v>97167.849024999989</v>
      </c>
      <c r="P1030">
        <f t="shared" si="258"/>
        <v>40800</v>
      </c>
      <c r="Q1030">
        <f t="shared" si="259"/>
        <v>2.2000000000000002</v>
      </c>
    </row>
    <row r="1031" spans="1:17" x14ac:dyDescent="0.25">
      <c r="A1031">
        <v>1029</v>
      </c>
      <c r="B1031">
        <f t="shared" si="245"/>
        <v>35</v>
      </c>
      <c r="C1031">
        <f t="shared" si="246"/>
        <v>1</v>
      </c>
      <c r="D1031">
        <f t="shared" si="247"/>
        <v>6240</v>
      </c>
      <c r="E1031" t="str">
        <f t="shared" si="248"/>
        <v/>
      </c>
      <c r="F1031" t="str">
        <f t="shared" si="249"/>
        <v/>
      </c>
      <c r="G1031">
        <f t="shared" si="250"/>
        <v>74760</v>
      </c>
      <c r="H1031" t="str">
        <f t="shared" si="251"/>
        <v/>
      </c>
      <c r="I1031" t="str">
        <f t="shared" si="252"/>
        <v/>
      </c>
      <c r="J1031">
        <f>SUM($G$3:I1031)</f>
        <v>23789395</v>
      </c>
      <c r="K1031">
        <f t="shared" si="253"/>
        <v>62400</v>
      </c>
      <c r="L1031">
        <f t="shared" si="254"/>
        <v>1.339</v>
      </c>
      <c r="M1031">
        <f t="shared" si="255"/>
        <v>1.1695</v>
      </c>
      <c r="N1031">
        <f t="shared" si="256"/>
        <v>4757879</v>
      </c>
      <c r="O1031">
        <f t="shared" si="257"/>
        <v>97715.935199999993</v>
      </c>
      <c r="P1031">
        <f t="shared" si="258"/>
        <v>40800</v>
      </c>
      <c r="Q1031">
        <f t="shared" si="259"/>
        <v>2.2000000000000002</v>
      </c>
    </row>
    <row r="1032" spans="1:17" x14ac:dyDescent="0.25">
      <c r="A1032">
        <v>1030</v>
      </c>
      <c r="B1032">
        <f t="shared" si="245"/>
        <v>35</v>
      </c>
      <c r="C1032">
        <f t="shared" si="246"/>
        <v>1</v>
      </c>
      <c r="D1032">
        <f t="shared" si="247"/>
        <v>6275</v>
      </c>
      <c r="E1032" t="str">
        <f t="shared" si="248"/>
        <v/>
      </c>
      <c r="F1032" t="str">
        <f t="shared" si="249"/>
        <v/>
      </c>
      <c r="G1032">
        <f t="shared" si="250"/>
        <v>74980</v>
      </c>
      <c r="H1032" t="str">
        <f t="shared" si="251"/>
        <v/>
      </c>
      <c r="I1032" t="str">
        <f t="shared" si="252"/>
        <v/>
      </c>
      <c r="J1032">
        <f>SUM($G$3:I1032)</f>
        <v>23864375</v>
      </c>
      <c r="K1032">
        <f t="shared" si="253"/>
        <v>62750</v>
      </c>
      <c r="L1032">
        <f t="shared" si="254"/>
        <v>1.339</v>
      </c>
      <c r="M1032">
        <f t="shared" si="255"/>
        <v>1.1695</v>
      </c>
      <c r="N1032">
        <f t="shared" si="256"/>
        <v>4772875</v>
      </c>
      <c r="O1032">
        <f t="shared" si="257"/>
        <v>98264.021374999997</v>
      </c>
      <c r="P1032">
        <f t="shared" si="258"/>
        <v>40800</v>
      </c>
      <c r="Q1032">
        <f t="shared" si="259"/>
        <v>2.2000000000000002</v>
      </c>
    </row>
    <row r="1033" spans="1:17" x14ac:dyDescent="0.25">
      <c r="A1033">
        <v>1031</v>
      </c>
      <c r="B1033">
        <f t="shared" si="245"/>
        <v>35</v>
      </c>
      <c r="C1033">
        <f t="shared" si="246"/>
        <v>2</v>
      </c>
      <c r="D1033" t="str">
        <f t="shared" si="247"/>
        <v/>
      </c>
      <c r="E1033">
        <f t="shared" si="248"/>
        <v>3400</v>
      </c>
      <c r="F1033" t="str">
        <f t="shared" si="249"/>
        <v/>
      </c>
      <c r="G1033" t="str">
        <f t="shared" si="250"/>
        <v/>
      </c>
      <c r="H1033">
        <f t="shared" si="251"/>
        <v>48667</v>
      </c>
      <c r="I1033" t="str">
        <f t="shared" si="252"/>
        <v/>
      </c>
      <c r="J1033">
        <f>SUM($G$3:I1033)</f>
        <v>23913042</v>
      </c>
      <c r="K1033">
        <f t="shared" si="253"/>
        <v>62750</v>
      </c>
      <c r="L1033">
        <f t="shared" si="254"/>
        <v>1.34</v>
      </c>
      <c r="M1033">
        <f t="shared" si="255"/>
        <v>1.1695</v>
      </c>
      <c r="N1033">
        <f t="shared" si="256"/>
        <v>4782608.4000000004</v>
      </c>
      <c r="O1033">
        <f t="shared" si="257"/>
        <v>98337.407500000001</v>
      </c>
      <c r="P1033">
        <f t="shared" si="258"/>
        <v>40800</v>
      </c>
      <c r="Q1033">
        <f t="shared" si="259"/>
        <v>2.2000000000000002</v>
      </c>
    </row>
    <row r="1034" spans="1:17" x14ac:dyDescent="0.25">
      <c r="A1034">
        <v>1032</v>
      </c>
      <c r="B1034">
        <f t="shared" si="245"/>
        <v>35</v>
      </c>
      <c r="C1034">
        <f t="shared" si="246"/>
        <v>2</v>
      </c>
      <c r="D1034" t="str">
        <f t="shared" si="247"/>
        <v/>
      </c>
      <c r="E1034">
        <f t="shared" si="248"/>
        <v>3410</v>
      </c>
      <c r="F1034" t="str">
        <f t="shared" si="249"/>
        <v/>
      </c>
      <c r="G1034" t="str">
        <f t="shared" si="250"/>
        <v/>
      </c>
      <c r="H1034">
        <f t="shared" si="251"/>
        <v>48814</v>
      </c>
      <c r="I1034" t="str">
        <f t="shared" si="252"/>
        <v/>
      </c>
      <c r="J1034">
        <f>SUM($G$3:I1034)</f>
        <v>23961856</v>
      </c>
      <c r="K1034">
        <f t="shared" si="253"/>
        <v>62750</v>
      </c>
      <c r="L1034">
        <f t="shared" si="254"/>
        <v>1.341</v>
      </c>
      <c r="M1034">
        <f t="shared" si="255"/>
        <v>1.1695</v>
      </c>
      <c r="N1034">
        <f t="shared" si="256"/>
        <v>4792371.2000000002</v>
      </c>
      <c r="O1034">
        <f t="shared" si="257"/>
        <v>98410.793625000006</v>
      </c>
      <c r="P1034">
        <f t="shared" si="258"/>
        <v>40800</v>
      </c>
      <c r="Q1034">
        <f t="shared" si="259"/>
        <v>2.2000000000000002</v>
      </c>
    </row>
    <row r="1035" spans="1:17" x14ac:dyDescent="0.25">
      <c r="A1035">
        <v>1033</v>
      </c>
      <c r="B1035">
        <f t="shared" si="245"/>
        <v>35</v>
      </c>
      <c r="C1035">
        <f t="shared" si="246"/>
        <v>2</v>
      </c>
      <c r="D1035" t="str">
        <f t="shared" si="247"/>
        <v/>
      </c>
      <c r="E1035">
        <f t="shared" si="248"/>
        <v>3420</v>
      </c>
      <c r="F1035" t="str">
        <f t="shared" si="249"/>
        <v/>
      </c>
      <c r="G1035" t="str">
        <f t="shared" si="250"/>
        <v/>
      </c>
      <c r="H1035">
        <f t="shared" si="251"/>
        <v>48961</v>
      </c>
      <c r="I1035" t="str">
        <f t="shared" si="252"/>
        <v/>
      </c>
      <c r="J1035">
        <f>SUM($G$3:I1035)</f>
        <v>24010817</v>
      </c>
      <c r="K1035">
        <f t="shared" si="253"/>
        <v>62750</v>
      </c>
      <c r="L1035">
        <f t="shared" si="254"/>
        <v>1.3420000000000001</v>
      </c>
      <c r="M1035">
        <f t="shared" si="255"/>
        <v>1.1695</v>
      </c>
      <c r="N1035">
        <f t="shared" si="256"/>
        <v>4802163.4000000004</v>
      </c>
      <c r="O1035">
        <f t="shared" si="257"/>
        <v>98484.179749999996</v>
      </c>
      <c r="P1035">
        <f t="shared" si="258"/>
        <v>40800</v>
      </c>
      <c r="Q1035">
        <f t="shared" si="259"/>
        <v>2.2000000000000002</v>
      </c>
    </row>
    <row r="1036" spans="1:17" x14ac:dyDescent="0.25">
      <c r="A1036">
        <v>1034</v>
      </c>
      <c r="B1036">
        <f t="shared" si="245"/>
        <v>35</v>
      </c>
      <c r="C1036">
        <f t="shared" si="246"/>
        <v>2</v>
      </c>
      <c r="D1036" t="str">
        <f t="shared" si="247"/>
        <v/>
      </c>
      <c r="E1036">
        <f t="shared" si="248"/>
        <v>3430</v>
      </c>
      <c r="F1036" t="str">
        <f t="shared" si="249"/>
        <v/>
      </c>
      <c r="G1036" t="str">
        <f t="shared" si="250"/>
        <v/>
      </c>
      <c r="H1036">
        <f t="shared" si="251"/>
        <v>49108</v>
      </c>
      <c r="I1036" t="str">
        <f t="shared" si="252"/>
        <v/>
      </c>
      <c r="J1036">
        <f>SUM($G$3:I1036)</f>
        <v>24059925</v>
      </c>
      <c r="K1036">
        <f t="shared" si="253"/>
        <v>62750</v>
      </c>
      <c r="L1036">
        <f t="shared" si="254"/>
        <v>1.343</v>
      </c>
      <c r="M1036">
        <f t="shared" si="255"/>
        <v>1.1695</v>
      </c>
      <c r="N1036">
        <f t="shared" si="256"/>
        <v>4811985</v>
      </c>
      <c r="O1036">
        <f t="shared" si="257"/>
        <v>98557.565875</v>
      </c>
      <c r="P1036">
        <f t="shared" si="258"/>
        <v>40800</v>
      </c>
      <c r="Q1036">
        <f t="shared" si="259"/>
        <v>2.2000000000000002</v>
      </c>
    </row>
    <row r="1037" spans="1:17" x14ac:dyDescent="0.25">
      <c r="A1037">
        <v>1035</v>
      </c>
      <c r="B1037">
        <f t="shared" si="245"/>
        <v>35</v>
      </c>
      <c r="C1037">
        <f t="shared" si="246"/>
        <v>2</v>
      </c>
      <c r="D1037" t="str">
        <f t="shared" si="247"/>
        <v/>
      </c>
      <c r="E1037">
        <f t="shared" si="248"/>
        <v>3440</v>
      </c>
      <c r="F1037" t="str">
        <f t="shared" si="249"/>
        <v/>
      </c>
      <c r="G1037" t="str">
        <f t="shared" si="250"/>
        <v/>
      </c>
      <c r="H1037">
        <f t="shared" si="251"/>
        <v>49255</v>
      </c>
      <c r="I1037" t="str">
        <f t="shared" si="252"/>
        <v/>
      </c>
      <c r="J1037">
        <f>SUM($G$3:I1037)</f>
        <v>24109180</v>
      </c>
      <c r="K1037">
        <f t="shared" si="253"/>
        <v>62750</v>
      </c>
      <c r="L1037">
        <f t="shared" si="254"/>
        <v>1.3439999999999999</v>
      </c>
      <c r="M1037">
        <f t="shared" si="255"/>
        <v>1.1695</v>
      </c>
      <c r="N1037">
        <f t="shared" si="256"/>
        <v>4821836</v>
      </c>
      <c r="O1037">
        <f t="shared" si="257"/>
        <v>98630.951999999976</v>
      </c>
      <c r="P1037">
        <f t="shared" si="258"/>
        <v>40800</v>
      </c>
      <c r="Q1037">
        <f t="shared" si="259"/>
        <v>2.2000000000000002</v>
      </c>
    </row>
    <row r="1038" spans="1:17" x14ac:dyDescent="0.25">
      <c r="A1038">
        <v>1036</v>
      </c>
      <c r="B1038">
        <f t="shared" si="245"/>
        <v>35</v>
      </c>
      <c r="C1038">
        <f t="shared" si="246"/>
        <v>2</v>
      </c>
      <c r="D1038" t="str">
        <f t="shared" si="247"/>
        <v/>
      </c>
      <c r="E1038">
        <f t="shared" si="248"/>
        <v>3450</v>
      </c>
      <c r="F1038" t="str">
        <f t="shared" si="249"/>
        <v/>
      </c>
      <c r="G1038" t="str">
        <f t="shared" si="250"/>
        <v/>
      </c>
      <c r="H1038">
        <f t="shared" si="251"/>
        <v>49402</v>
      </c>
      <c r="I1038" t="str">
        <f t="shared" si="252"/>
        <v/>
      </c>
      <c r="J1038">
        <f>SUM($G$3:I1038)</f>
        <v>24158582</v>
      </c>
      <c r="K1038">
        <f t="shared" si="253"/>
        <v>62750</v>
      </c>
      <c r="L1038">
        <f t="shared" si="254"/>
        <v>1.345</v>
      </c>
      <c r="M1038">
        <f t="shared" si="255"/>
        <v>1.1695</v>
      </c>
      <c r="N1038">
        <f t="shared" si="256"/>
        <v>4831716.4000000004</v>
      </c>
      <c r="O1038">
        <f t="shared" si="257"/>
        <v>98704.338124999995</v>
      </c>
      <c r="P1038">
        <f t="shared" si="258"/>
        <v>40800</v>
      </c>
      <c r="Q1038">
        <f t="shared" si="259"/>
        <v>2.2000000000000002</v>
      </c>
    </row>
    <row r="1039" spans="1:17" x14ac:dyDescent="0.25">
      <c r="A1039">
        <v>1037</v>
      </c>
      <c r="B1039">
        <f t="shared" si="245"/>
        <v>35</v>
      </c>
      <c r="C1039">
        <f t="shared" si="246"/>
        <v>2</v>
      </c>
      <c r="D1039" t="str">
        <f t="shared" si="247"/>
        <v/>
      </c>
      <c r="E1039">
        <f t="shared" si="248"/>
        <v>3460</v>
      </c>
      <c r="F1039" t="str">
        <f t="shared" si="249"/>
        <v/>
      </c>
      <c r="G1039" t="str">
        <f t="shared" si="250"/>
        <v/>
      </c>
      <c r="H1039">
        <f t="shared" si="251"/>
        <v>49549</v>
      </c>
      <c r="I1039" t="str">
        <f t="shared" si="252"/>
        <v/>
      </c>
      <c r="J1039">
        <f>SUM($G$3:I1039)</f>
        <v>24208131</v>
      </c>
      <c r="K1039">
        <f t="shared" si="253"/>
        <v>62750</v>
      </c>
      <c r="L1039">
        <f t="shared" si="254"/>
        <v>1.3460000000000001</v>
      </c>
      <c r="M1039">
        <f t="shared" si="255"/>
        <v>1.1695</v>
      </c>
      <c r="N1039">
        <f t="shared" si="256"/>
        <v>4841626.2</v>
      </c>
      <c r="O1039">
        <f t="shared" si="257"/>
        <v>98777.724249999999</v>
      </c>
      <c r="P1039">
        <f t="shared" si="258"/>
        <v>40800</v>
      </c>
      <c r="Q1039">
        <f t="shared" si="259"/>
        <v>2.2000000000000002</v>
      </c>
    </row>
    <row r="1040" spans="1:17" x14ac:dyDescent="0.25">
      <c r="A1040">
        <v>1038</v>
      </c>
      <c r="B1040">
        <f t="shared" si="245"/>
        <v>35</v>
      </c>
      <c r="C1040">
        <f t="shared" si="246"/>
        <v>2</v>
      </c>
      <c r="D1040" t="str">
        <f t="shared" si="247"/>
        <v/>
      </c>
      <c r="E1040">
        <f t="shared" si="248"/>
        <v>3470</v>
      </c>
      <c r="F1040" t="str">
        <f t="shared" si="249"/>
        <v/>
      </c>
      <c r="G1040" t="str">
        <f t="shared" si="250"/>
        <v/>
      </c>
      <c r="H1040">
        <f t="shared" si="251"/>
        <v>49696</v>
      </c>
      <c r="I1040" t="str">
        <f t="shared" si="252"/>
        <v/>
      </c>
      <c r="J1040">
        <f>SUM($G$3:I1040)</f>
        <v>24257827</v>
      </c>
      <c r="K1040">
        <f t="shared" si="253"/>
        <v>62750</v>
      </c>
      <c r="L1040">
        <f t="shared" si="254"/>
        <v>1.347</v>
      </c>
      <c r="M1040">
        <f t="shared" si="255"/>
        <v>1.1695</v>
      </c>
      <c r="N1040">
        <f t="shared" si="256"/>
        <v>4851565.4000000004</v>
      </c>
      <c r="O1040">
        <f t="shared" si="257"/>
        <v>98851.110375000004</v>
      </c>
      <c r="P1040">
        <f t="shared" si="258"/>
        <v>40800</v>
      </c>
      <c r="Q1040">
        <f t="shared" si="259"/>
        <v>2.2000000000000002</v>
      </c>
    </row>
    <row r="1041" spans="1:17" x14ac:dyDescent="0.25">
      <c r="A1041">
        <v>1039</v>
      </c>
      <c r="B1041">
        <f t="shared" si="245"/>
        <v>35</v>
      </c>
      <c r="C1041">
        <f t="shared" si="246"/>
        <v>2</v>
      </c>
      <c r="D1041" t="str">
        <f t="shared" si="247"/>
        <v/>
      </c>
      <c r="E1041">
        <f t="shared" si="248"/>
        <v>3480</v>
      </c>
      <c r="F1041" t="str">
        <f t="shared" si="249"/>
        <v/>
      </c>
      <c r="G1041" t="str">
        <f t="shared" si="250"/>
        <v/>
      </c>
      <c r="H1041">
        <f t="shared" si="251"/>
        <v>49843</v>
      </c>
      <c r="I1041" t="str">
        <f t="shared" si="252"/>
        <v/>
      </c>
      <c r="J1041">
        <f>SUM($G$3:I1041)</f>
        <v>24307670</v>
      </c>
      <c r="K1041">
        <f t="shared" si="253"/>
        <v>62750</v>
      </c>
      <c r="L1041">
        <f t="shared" si="254"/>
        <v>1.3479999999999999</v>
      </c>
      <c r="M1041">
        <f t="shared" si="255"/>
        <v>1.1695</v>
      </c>
      <c r="N1041">
        <f t="shared" si="256"/>
        <v>4861534</v>
      </c>
      <c r="O1041">
        <f t="shared" si="257"/>
        <v>98924.496499999979</v>
      </c>
      <c r="P1041">
        <f t="shared" si="258"/>
        <v>40800</v>
      </c>
      <c r="Q1041">
        <f t="shared" si="259"/>
        <v>2.2000000000000002</v>
      </c>
    </row>
    <row r="1042" spans="1:17" x14ac:dyDescent="0.25">
      <c r="A1042">
        <v>1040</v>
      </c>
      <c r="B1042">
        <f t="shared" si="245"/>
        <v>35</v>
      </c>
      <c r="C1042">
        <f t="shared" si="246"/>
        <v>2</v>
      </c>
      <c r="D1042" t="str">
        <f t="shared" si="247"/>
        <v/>
      </c>
      <c r="E1042">
        <f t="shared" si="248"/>
        <v>3490</v>
      </c>
      <c r="F1042" t="str">
        <f t="shared" si="249"/>
        <v/>
      </c>
      <c r="G1042" t="str">
        <f t="shared" si="250"/>
        <v/>
      </c>
      <c r="H1042">
        <f t="shared" si="251"/>
        <v>49990</v>
      </c>
      <c r="I1042" t="str">
        <f t="shared" si="252"/>
        <v/>
      </c>
      <c r="J1042">
        <f>SUM($G$3:I1042)</f>
        <v>24357660</v>
      </c>
      <c r="K1042">
        <f t="shared" si="253"/>
        <v>62750</v>
      </c>
      <c r="L1042">
        <f t="shared" si="254"/>
        <v>1.349</v>
      </c>
      <c r="M1042">
        <f t="shared" si="255"/>
        <v>1.1695</v>
      </c>
      <c r="N1042">
        <f t="shared" si="256"/>
        <v>4871532</v>
      </c>
      <c r="O1042">
        <f t="shared" si="257"/>
        <v>98997.882624999998</v>
      </c>
      <c r="P1042">
        <f t="shared" si="258"/>
        <v>40800</v>
      </c>
      <c r="Q1042">
        <f t="shared" si="259"/>
        <v>2.2000000000000002</v>
      </c>
    </row>
    <row r="1043" spans="1:17" x14ac:dyDescent="0.25">
      <c r="A1043">
        <v>1041</v>
      </c>
      <c r="B1043">
        <f t="shared" si="245"/>
        <v>35</v>
      </c>
      <c r="C1043">
        <f t="shared" si="246"/>
        <v>3</v>
      </c>
      <c r="D1043" t="str">
        <f t="shared" si="247"/>
        <v/>
      </c>
      <c r="E1043" t="str">
        <f t="shared" si="248"/>
        <v/>
      </c>
      <c r="F1043">
        <f t="shared" si="249"/>
        <v>1700</v>
      </c>
      <c r="G1043" t="str">
        <f t="shared" si="250"/>
        <v/>
      </c>
      <c r="H1043" t="str">
        <f t="shared" si="251"/>
        <v/>
      </c>
      <c r="I1043">
        <f t="shared" si="252"/>
        <v>36500</v>
      </c>
      <c r="J1043">
        <f>SUM($G$3:I1043)</f>
        <v>24394160</v>
      </c>
      <c r="K1043">
        <f t="shared" si="253"/>
        <v>62750</v>
      </c>
      <c r="L1043">
        <f t="shared" si="254"/>
        <v>1.349</v>
      </c>
      <c r="M1043">
        <f t="shared" si="255"/>
        <v>1.17</v>
      </c>
      <c r="N1043">
        <f t="shared" si="256"/>
        <v>4878832</v>
      </c>
      <c r="O1043">
        <f t="shared" si="257"/>
        <v>99040.20749999999</v>
      </c>
      <c r="P1043">
        <f t="shared" si="258"/>
        <v>40800</v>
      </c>
      <c r="Q1043">
        <f t="shared" si="259"/>
        <v>2.2000000000000002</v>
      </c>
    </row>
    <row r="1044" spans="1:17" x14ac:dyDescent="0.25">
      <c r="A1044">
        <v>1042</v>
      </c>
      <c r="B1044">
        <f t="shared" si="245"/>
        <v>35</v>
      </c>
      <c r="C1044">
        <f t="shared" si="246"/>
        <v>3</v>
      </c>
      <c r="D1044" t="str">
        <f t="shared" si="247"/>
        <v/>
      </c>
      <c r="E1044" t="str">
        <f t="shared" si="248"/>
        <v/>
      </c>
      <c r="F1044">
        <f t="shared" si="249"/>
        <v>1705</v>
      </c>
      <c r="G1044" t="str">
        <f t="shared" si="250"/>
        <v/>
      </c>
      <c r="H1044" t="str">
        <f t="shared" si="251"/>
        <v/>
      </c>
      <c r="I1044">
        <f t="shared" si="252"/>
        <v>36610</v>
      </c>
      <c r="J1044">
        <f>SUM($G$3:I1044)</f>
        <v>24430770</v>
      </c>
      <c r="K1044">
        <f t="shared" si="253"/>
        <v>62750</v>
      </c>
      <c r="L1044">
        <f t="shared" si="254"/>
        <v>1.349</v>
      </c>
      <c r="M1044">
        <f t="shared" si="255"/>
        <v>1.1705000000000001</v>
      </c>
      <c r="N1044">
        <f t="shared" si="256"/>
        <v>4886154</v>
      </c>
      <c r="O1044">
        <f t="shared" si="257"/>
        <v>99082.53237500001</v>
      </c>
      <c r="P1044">
        <f t="shared" si="258"/>
        <v>40800</v>
      </c>
      <c r="Q1044">
        <f t="shared" si="259"/>
        <v>2.2000000000000002</v>
      </c>
    </row>
    <row r="1045" spans="1:17" x14ac:dyDescent="0.25">
      <c r="A1045">
        <v>1043</v>
      </c>
      <c r="B1045">
        <f t="shared" si="245"/>
        <v>35</v>
      </c>
      <c r="C1045">
        <f t="shared" si="246"/>
        <v>3</v>
      </c>
      <c r="D1045" t="str">
        <f t="shared" si="247"/>
        <v/>
      </c>
      <c r="E1045" t="str">
        <f t="shared" si="248"/>
        <v/>
      </c>
      <c r="F1045">
        <f t="shared" si="249"/>
        <v>1710</v>
      </c>
      <c r="G1045" t="str">
        <f t="shared" si="250"/>
        <v/>
      </c>
      <c r="H1045" t="str">
        <f t="shared" si="251"/>
        <v/>
      </c>
      <c r="I1045">
        <f t="shared" si="252"/>
        <v>36720</v>
      </c>
      <c r="J1045">
        <f>SUM($G$3:I1045)</f>
        <v>24467490</v>
      </c>
      <c r="K1045">
        <f t="shared" si="253"/>
        <v>62750</v>
      </c>
      <c r="L1045">
        <f t="shared" si="254"/>
        <v>1.349</v>
      </c>
      <c r="M1045">
        <f t="shared" si="255"/>
        <v>1.171</v>
      </c>
      <c r="N1045">
        <f t="shared" si="256"/>
        <v>4893498</v>
      </c>
      <c r="O1045">
        <f t="shared" si="257"/>
        <v>99124.857250000001</v>
      </c>
      <c r="P1045">
        <f t="shared" si="258"/>
        <v>40800</v>
      </c>
      <c r="Q1045">
        <f t="shared" si="259"/>
        <v>2.2000000000000002</v>
      </c>
    </row>
    <row r="1046" spans="1:17" x14ac:dyDescent="0.25">
      <c r="A1046">
        <v>1044</v>
      </c>
      <c r="B1046">
        <f t="shared" si="245"/>
        <v>35</v>
      </c>
      <c r="C1046">
        <f t="shared" si="246"/>
        <v>3</v>
      </c>
      <c r="D1046" t="str">
        <f t="shared" si="247"/>
        <v/>
      </c>
      <c r="E1046" t="str">
        <f t="shared" si="248"/>
        <v/>
      </c>
      <c r="F1046">
        <f t="shared" si="249"/>
        <v>1715</v>
      </c>
      <c r="G1046" t="str">
        <f t="shared" si="250"/>
        <v/>
      </c>
      <c r="H1046" t="str">
        <f t="shared" si="251"/>
        <v/>
      </c>
      <c r="I1046">
        <f t="shared" si="252"/>
        <v>36830</v>
      </c>
      <c r="J1046">
        <f>SUM($G$3:I1046)</f>
        <v>24504320</v>
      </c>
      <c r="K1046">
        <f t="shared" si="253"/>
        <v>62750</v>
      </c>
      <c r="L1046">
        <f t="shared" si="254"/>
        <v>1.349</v>
      </c>
      <c r="M1046">
        <f t="shared" si="255"/>
        <v>1.1715</v>
      </c>
      <c r="N1046">
        <f t="shared" si="256"/>
        <v>4900864</v>
      </c>
      <c r="O1046">
        <f t="shared" si="257"/>
        <v>99167.182124999992</v>
      </c>
      <c r="P1046">
        <f t="shared" si="258"/>
        <v>40800</v>
      </c>
      <c r="Q1046">
        <f t="shared" si="259"/>
        <v>2.2000000000000002</v>
      </c>
    </row>
    <row r="1047" spans="1:17" x14ac:dyDescent="0.25">
      <c r="A1047">
        <v>1045</v>
      </c>
      <c r="B1047">
        <f t="shared" si="245"/>
        <v>35</v>
      </c>
      <c r="C1047">
        <f t="shared" si="246"/>
        <v>3</v>
      </c>
      <c r="D1047" t="str">
        <f t="shared" si="247"/>
        <v/>
      </c>
      <c r="E1047" t="str">
        <f t="shared" si="248"/>
        <v/>
      </c>
      <c r="F1047">
        <f t="shared" si="249"/>
        <v>1720</v>
      </c>
      <c r="G1047" t="str">
        <f t="shared" si="250"/>
        <v/>
      </c>
      <c r="H1047" t="str">
        <f t="shared" si="251"/>
        <v/>
      </c>
      <c r="I1047">
        <f t="shared" si="252"/>
        <v>36940</v>
      </c>
      <c r="J1047">
        <f>SUM($G$3:I1047)</f>
        <v>24541260</v>
      </c>
      <c r="K1047">
        <f t="shared" si="253"/>
        <v>62750</v>
      </c>
      <c r="L1047">
        <f t="shared" si="254"/>
        <v>1.349</v>
      </c>
      <c r="M1047">
        <f t="shared" si="255"/>
        <v>1.1719999999999999</v>
      </c>
      <c r="N1047">
        <f t="shared" si="256"/>
        <v>4908252</v>
      </c>
      <c r="O1047">
        <f t="shared" si="257"/>
        <v>99209.506999999998</v>
      </c>
      <c r="P1047">
        <f t="shared" si="258"/>
        <v>40800</v>
      </c>
      <c r="Q1047">
        <f t="shared" si="259"/>
        <v>2.2000000000000002</v>
      </c>
    </row>
    <row r="1048" spans="1:17" x14ac:dyDescent="0.25">
      <c r="A1048">
        <v>1046</v>
      </c>
      <c r="B1048">
        <f t="shared" si="245"/>
        <v>35</v>
      </c>
      <c r="C1048">
        <f t="shared" si="246"/>
        <v>3</v>
      </c>
      <c r="D1048" t="str">
        <f t="shared" si="247"/>
        <v/>
      </c>
      <c r="E1048" t="str">
        <f t="shared" si="248"/>
        <v/>
      </c>
      <c r="F1048">
        <f t="shared" si="249"/>
        <v>1725</v>
      </c>
      <c r="G1048" t="str">
        <f t="shared" si="250"/>
        <v/>
      </c>
      <c r="H1048" t="str">
        <f t="shared" si="251"/>
        <v/>
      </c>
      <c r="I1048">
        <f t="shared" si="252"/>
        <v>37050</v>
      </c>
      <c r="J1048">
        <f>SUM($G$3:I1048)</f>
        <v>24578310</v>
      </c>
      <c r="K1048">
        <f t="shared" si="253"/>
        <v>62750</v>
      </c>
      <c r="L1048">
        <f t="shared" si="254"/>
        <v>1.349</v>
      </c>
      <c r="M1048">
        <f t="shared" si="255"/>
        <v>1.1724999999999999</v>
      </c>
      <c r="N1048">
        <f t="shared" si="256"/>
        <v>4915662</v>
      </c>
      <c r="O1048">
        <f t="shared" si="257"/>
        <v>99251.831874999989</v>
      </c>
      <c r="P1048">
        <f t="shared" si="258"/>
        <v>40800</v>
      </c>
      <c r="Q1048">
        <f t="shared" si="259"/>
        <v>2.2000000000000002</v>
      </c>
    </row>
    <row r="1049" spans="1:17" x14ac:dyDescent="0.25">
      <c r="A1049">
        <v>1047</v>
      </c>
      <c r="B1049">
        <f t="shared" si="245"/>
        <v>35</v>
      </c>
      <c r="C1049">
        <f t="shared" si="246"/>
        <v>3</v>
      </c>
      <c r="D1049" t="str">
        <f t="shared" si="247"/>
        <v/>
      </c>
      <c r="E1049" t="str">
        <f t="shared" si="248"/>
        <v/>
      </c>
      <c r="F1049">
        <f t="shared" si="249"/>
        <v>1730</v>
      </c>
      <c r="G1049" t="str">
        <f t="shared" si="250"/>
        <v/>
      </c>
      <c r="H1049" t="str">
        <f t="shared" si="251"/>
        <v/>
      </c>
      <c r="I1049">
        <f t="shared" si="252"/>
        <v>37160</v>
      </c>
      <c r="J1049">
        <f>SUM($G$3:I1049)</f>
        <v>24615470</v>
      </c>
      <c r="K1049">
        <f t="shared" si="253"/>
        <v>62750</v>
      </c>
      <c r="L1049">
        <f t="shared" si="254"/>
        <v>1.349</v>
      </c>
      <c r="M1049">
        <f t="shared" si="255"/>
        <v>1.173</v>
      </c>
      <c r="N1049">
        <f t="shared" si="256"/>
        <v>4923094</v>
      </c>
      <c r="O1049">
        <f t="shared" si="257"/>
        <v>99294.156750000009</v>
      </c>
      <c r="P1049">
        <f t="shared" si="258"/>
        <v>40800</v>
      </c>
      <c r="Q1049">
        <f t="shared" si="259"/>
        <v>2.2000000000000002</v>
      </c>
    </row>
    <row r="1050" spans="1:17" x14ac:dyDescent="0.25">
      <c r="O1050">
        <f>O1049*1.15</f>
        <v>114188.2802625</v>
      </c>
    </row>
  </sheetData>
  <phoneticPr fontId="1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37CC6-585F-4855-8555-248C66CA8BD0}">
  <sheetPr>
    <tabColor rgb="FF00B050"/>
  </sheetPr>
  <dimension ref="A2:P79"/>
  <sheetViews>
    <sheetView tabSelected="1" workbookViewId="0">
      <selection activeCell="N26" sqref="N26"/>
    </sheetView>
  </sheetViews>
  <sheetFormatPr defaultRowHeight="13.8" x14ac:dyDescent="0.25"/>
  <cols>
    <col min="1" max="1" width="8.44140625" bestFit="1" customWidth="1"/>
    <col min="2" max="2" width="12.44140625" bestFit="1" customWidth="1"/>
    <col min="3" max="3" width="9.5546875" bestFit="1" customWidth="1"/>
    <col min="4" max="4" width="6.109375" bestFit="1" customWidth="1"/>
    <col min="5" max="5" width="20.21875" bestFit="1" customWidth="1"/>
    <col min="6" max="6" width="7.6640625" bestFit="1" customWidth="1"/>
  </cols>
  <sheetData>
    <row r="2" spans="1:14" ht="28.2" x14ac:dyDescent="0.5">
      <c r="A2" s="111" t="s">
        <v>200</v>
      </c>
    </row>
    <row r="3" spans="1:14" ht="15.6" x14ac:dyDescent="0.25">
      <c r="A3" s="91" t="s">
        <v>200</v>
      </c>
      <c r="B3" s="91" t="s">
        <v>436</v>
      </c>
      <c r="C3" s="91" t="s">
        <v>437</v>
      </c>
      <c r="D3" s="91" t="s">
        <v>438</v>
      </c>
      <c r="E3" s="91" t="s">
        <v>437</v>
      </c>
      <c r="F3" s="91" t="s">
        <v>438</v>
      </c>
      <c r="J3" s="91" t="s">
        <v>10</v>
      </c>
      <c r="K3" s="91" t="s">
        <v>454</v>
      </c>
      <c r="L3" s="91" t="s">
        <v>455</v>
      </c>
      <c r="M3" s="91" t="s">
        <v>456</v>
      </c>
      <c r="N3" s="91" t="s">
        <v>319</v>
      </c>
    </row>
    <row r="4" spans="1:14" x14ac:dyDescent="0.25">
      <c r="A4" s="43" t="s">
        <v>435</v>
      </c>
      <c r="B4" s="43" t="s">
        <v>439</v>
      </c>
      <c r="C4" s="43" t="s">
        <v>440</v>
      </c>
      <c r="D4" s="38">
        <v>500</v>
      </c>
      <c r="E4" s="43" t="s">
        <v>441</v>
      </c>
      <c r="F4" s="188">
        <v>2</v>
      </c>
      <c r="J4" s="38">
        <v>1</v>
      </c>
      <c r="K4" s="38">
        <v>15</v>
      </c>
      <c r="L4" s="38">
        <v>15</v>
      </c>
      <c r="M4" s="188">
        <v>0.1</v>
      </c>
      <c r="N4" s="38">
        <f>(M4+1)*1.1</f>
        <v>1.2100000000000002</v>
      </c>
    </row>
    <row r="5" spans="1:14" x14ac:dyDescent="0.25">
      <c r="A5" s="43" t="s">
        <v>366</v>
      </c>
      <c r="B5" s="43" t="s">
        <v>442</v>
      </c>
      <c r="C5" s="43" t="s">
        <v>443</v>
      </c>
      <c r="D5" s="38">
        <v>1000</v>
      </c>
      <c r="E5" s="43" t="s">
        <v>444</v>
      </c>
      <c r="F5" s="188">
        <v>1</v>
      </c>
      <c r="J5" s="38">
        <v>2</v>
      </c>
      <c r="K5" s="38">
        <v>10</v>
      </c>
      <c r="L5" s="38">
        <v>25</v>
      </c>
      <c r="M5" s="188">
        <v>0.2</v>
      </c>
      <c r="N5" s="38">
        <f t="shared" ref="N5:N13" si="0">(M5+1)*1.1</f>
        <v>1.32</v>
      </c>
    </row>
    <row r="6" spans="1:14" x14ac:dyDescent="0.25">
      <c r="A6" s="43" t="s">
        <v>367</v>
      </c>
      <c r="B6" s="43" t="s">
        <v>445</v>
      </c>
      <c r="C6" s="43" t="s">
        <v>446</v>
      </c>
      <c r="D6" s="38">
        <v>1000</v>
      </c>
      <c r="E6" s="43" t="s">
        <v>447</v>
      </c>
      <c r="F6" s="188">
        <v>1</v>
      </c>
      <c r="J6" s="38">
        <v>3</v>
      </c>
      <c r="K6" s="38">
        <v>15</v>
      </c>
      <c r="L6" s="38">
        <v>40</v>
      </c>
      <c r="M6" s="188">
        <v>0.3</v>
      </c>
      <c r="N6" s="38">
        <f t="shared" si="0"/>
        <v>1.4300000000000002</v>
      </c>
    </row>
    <row r="7" spans="1:14" x14ac:dyDescent="0.25">
      <c r="A7" s="43" t="s">
        <v>448</v>
      </c>
      <c r="B7" s="43" t="s">
        <v>449</v>
      </c>
      <c r="C7" s="43" t="s">
        <v>450</v>
      </c>
      <c r="D7" s="38">
        <v>1000</v>
      </c>
      <c r="E7" s="43" t="s">
        <v>451</v>
      </c>
      <c r="F7" s="188">
        <v>1</v>
      </c>
      <c r="J7" s="38">
        <v>4</v>
      </c>
      <c r="K7" s="38">
        <v>20</v>
      </c>
      <c r="L7" s="38">
        <v>60</v>
      </c>
      <c r="M7" s="188">
        <v>0.4</v>
      </c>
      <c r="N7" s="38">
        <f t="shared" si="0"/>
        <v>1.54</v>
      </c>
    </row>
    <row r="8" spans="1:14" x14ac:dyDescent="0.25">
      <c r="C8" s="44" t="s">
        <v>452</v>
      </c>
      <c r="F8" s="44" t="s">
        <v>453</v>
      </c>
      <c r="J8" s="38">
        <v>5</v>
      </c>
      <c r="K8" s="38">
        <v>25</v>
      </c>
      <c r="L8" s="38">
        <v>85</v>
      </c>
      <c r="M8" s="188">
        <v>0.5</v>
      </c>
      <c r="N8" s="38">
        <f t="shared" si="0"/>
        <v>1.6500000000000001</v>
      </c>
    </row>
    <row r="9" spans="1:14" x14ac:dyDescent="0.25">
      <c r="J9" s="38">
        <v>6</v>
      </c>
      <c r="K9" s="38">
        <v>30</v>
      </c>
      <c r="L9" s="38">
        <v>115</v>
      </c>
      <c r="M9" s="188">
        <v>0.6</v>
      </c>
      <c r="N9" s="38">
        <f t="shared" si="0"/>
        <v>1.7600000000000002</v>
      </c>
    </row>
    <row r="10" spans="1:14" x14ac:dyDescent="0.25">
      <c r="J10" s="38">
        <v>7</v>
      </c>
      <c r="K10" s="38">
        <v>40</v>
      </c>
      <c r="L10" s="38">
        <v>155</v>
      </c>
      <c r="M10" s="188">
        <v>0.7</v>
      </c>
      <c r="N10" s="38">
        <f t="shared" si="0"/>
        <v>1.87</v>
      </c>
    </row>
    <row r="11" spans="1:14" x14ac:dyDescent="0.25">
      <c r="J11" s="38">
        <v>8</v>
      </c>
      <c r="K11" s="38">
        <v>60</v>
      </c>
      <c r="L11" s="38">
        <v>215</v>
      </c>
      <c r="M11" s="188">
        <v>0.8</v>
      </c>
      <c r="N11" s="38">
        <f t="shared" si="0"/>
        <v>1.9800000000000002</v>
      </c>
    </row>
    <row r="12" spans="1:14" x14ac:dyDescent="0.25">
      <c r="J12" s="38">
        <v>9</v>
      </c>
      <c r="K12" s="38">
        <v>80</v>
      </c>
      <c r="L12" s="38">
        <v>295</v>
      </c>
      <c r="M12" s="188">
        <v>0.9</v>
      </c>
      <c r="N12" s="38">
        <f t="shared" si="0"/>
        <v>2.09</v>
      </c>
    </row>
    <row r="13" spans="1:14" x14ac:dyDescent="0.25">
      <c r="J13" s="38">
        <v>10</v>
      </c>
      <c r="K13" s="38">
        <v>100</v>
      </c>
      <c r="L13" s="38">
        <v>395</v>
      </c>
      <c r="M13" s="188">
        <v>1</v>
      </c>
      <c r="N13" s="38">
        <f t="shared" si="0"/>
        <v>2.2000000000000002</v>
      </c>
    </row>
    <row r="15" spans="1:14" ht="28.2" x14ac:dyDescent="0.5">
      <c r="A15" s="111" t="s">
        <v>231</v>
      </c>
    </row>
    <row r="16" spans="1:14" x14ac:dyDescent="0.25">
      <c r="C16">
        <v>0.5</v>
      </c>
      <c r="D16">
        <v>1</v>
      </c>
      <c r="E16">
        <v>2</v>
      </c>
      <c r="I16">
        <v>15</v>
      </c>
      <c r="J16">
        <v>3</v>
      </c>
      <c r="K16">
        <v>1</v>
      </c>
      <c r="L16" s="44" t="s">
        <v>459</v>
      </c>
    </row>
    <row r="17" spans="1:14" ht="16.2" x14ac:dyDescent="0.25">
      <c r="A17" s="182" t="s">
        <v>408</v>
      </c>
      <c r="B17" s="182" t="s">
        <v>458</v>
      </c>
      <c r="C17" s="182" t="s">
        <v>233</v>
      </c>
      <c r="D17" s="182" t="s">
        <v>234</v>
      </c>
      <c r="E17" s="182" t="s">
        <v>235</v>
      </c>
      <c r="H17" s="9" t="s">
        <v>10</v>
      </c>
      <c r="I17" s="9" t="s">
        <v>8</v>
      </c>
      <c r="J17" s="9" t="s">
        <v>11</v>
      </c>
      <c r="K17" s="9" t="s">
        <v>12</v>
      </c>
      <c r="L17" s="9" t="s">
        <v>8</v>
      </c>
      <c r="M17" s="9" t="s">
        <v>11</v>
      </c>
      <c r="N17" s="9" t="s">
        <v>12</v>
      </c>
    </row>
    <row r="18" spans="1:14" x14ac:dyDescent="0.25">
      <c r="A18" s="183">
        <v>1</v>
      </c>
      <c r="B18" s="38">
        <v>0.02</v>
      </c>
      <c r="C18" s="38">
        <f>C$16*$B18</f>
        <v>0.01</v>
      </c>
      <c r="D18" s="38">
        <f t="shared" ref="D18:E33" si="1">D$16*$B18</f>
        <v>0.02</v>
      </c>
      <c r="E18" s="38">
        <f t="shared" si="1"/>
        <v>0.04</v>
      </c>
      <c r="H18" s="38">
        <v>1</v>
      </c>
      <c r="I18" s="38">
        <v>15</v>
      </c>
      <c r="J18" s="38">
        <v>4</v>
      </c>
      <c r="K18" s="38">
        <v>2</v>
      </c>
      <c r="L18" s="38">
        <v>15</v>
      </c>
      <c r="M18" s="38">
        <v>4</v>
      </c>
      <c r="N18" s="38">
        <v>2</v>
      </c>
    </row>
    <row r="19" spans="1:14" x14ac:dyDescent="0.25">
      <c r="A19" s="183">
        <v>2</v>
      </c>
      <c r="B19" s="38">
        <v>0.04</v>
      </c>
      <c r="C19" s="38">
        <f t="shared" ref="C19:E50" si="2">C$16*$B19</f>
        <v>0.02</v>
      </c>
      <c r="D19" s="38">
        <f t="shared" si="1"/>
        <v>0.04</v>
      </c>
      <c r="E19" s="38">
        <f t="shared" si="1"/>
        <v>0.08</v>
      </c>
      <c r="H19" s="38">
        <v>2</v>
      </c>
      <c r="I19" s="38">
        <v>30</v>
      </c>
      <c r="J19" s="38">
        <v>8</v>
      </c>
      <c r="K19" s="38">
        <v>4</v>
      </c>
      <c r="L19" s="38">
        <v>45</v>
      </c>
      <c r="M19" s="38">
        <v>12</v>
      </c>
      <c r="N19" s="38">
        <v>6</v>
      </c>
    </row>
    <row r="20" spans="1:14" x14ac:dyDescent="0.25">
      <c r="A20" s="183">
        <v>3</v>
      </c>
      <c r="B20" s="38">
        <v>0.06</v>
      </c>
      <c r="C20" s="38">
        <f t="shared" si="2"/>
        <v>0.03</v>
      </c>
      <c r="D20" s="38">
        <f t="shared" si="1"/>
        <v>0.06</v>
      </c>
      <c r="E20" s="38">
        <f t="shared" si="1"/>
        <v>0.12</v>
      </c>
      <c r="H20" s="38">
        <v>3</v>
      </c>
      <c r="I20" s="38">
        <v>45</v>
      </c>
      <c r="J20" s="38">
        <v>12</v>
      </c>
      <c r="K20" s="38">
        <v>6</v>
      </c>
      <c r="L20" s="38">
        <v>90</v>
      </c>
      <c r="M20" s="38">
        <v>24</v>
      </c>
      <c r="N20" s="38">
        <v>12</v>
      </c>
    </row>
    <row r="21" spans="1:14" x14ac:dyDescent="0.25">
      <c r="A21" s="183">
        <v>4</v>
      </c>
      <c r="B21" s="38">
        <v>0.08</v>
      </c>
      <c r="C21" s="38">
        <f t="shared" si="2"/>
        <v>0.04</v>
      </c>
      <c r="D21" s="38">
        <f t="shared" si="1"/>
        <v>0.08</v>
      </c>
      <c r="E21" s="38">
        <f t="shared" si="1"/>
        <v>0.16</v>
      </c>
      <c r="H21" s="38">
        <v>4</v>
      </c>
      <c r="I21" s="38">
        <v>60</v>
      </c>
      <c r="J21" s="38">
        <v>16</v>
      </c>
      <c r="K21" s="38">
        <v>8</v>
      </c>
      <c r="L21" s="38">
        <v>150</v>
      </c>
      <c r="M21" s="38">
        <v>40</v>
      </c>
      <c r="N21" s="38">
        <v>20</v>
      </c>
    </row>
    <row r="22" spans="1:14" x14ac:dyDescent="0.25">
      <c r="A22" s="183">
        <v>5</v>
      </c>
      <c r="B22" s="38">
        <v>0.1</v>
      </c>
      <c r="C22" s="38">
        <f t="shared" si="2"/>
        <v>0.05</v>
      </c>
      <c r="D22" s="38">
        <f t="shared" si="1"/>
        <v>0.1</v>
      </c>
      <c r="E22" s="38">
        <f t="shared" si="1"/>
        <v>0.2</v>
      </c>
      <c r="H22" s="38">
        <v>5</v>
      </c>
      <c r="I22" s="38">
        <v>75</v>
      </c>
      <c r="J22" s="38">
        <v>20</v>
      </c>
      <c r="K22" s="38">
        <v>10</v>
      </c>
      <c r="L22" s="38">
        <v>225</v>
      </c>
      <c r="M22" s="38">
        <v>60</v>
      </c>
      <c r="N22" s="38">
        <v>30</v>
      </c>
    </row>
    <row r="23" spans="1:14" x14ac:dyDescent="0.25">
      <c r="A23" s="183">
        <v>6</v>
      </c>
      <c r="B23" s="38">
        <v>0.12</v>
      </c>
      <c r="C23" s="38">
        <f t="shared" si="2"/>
        <v>0.06</v>
      </c>
      <c r="D23" s="38">
        <f t="shared" si="1"/>
        <v>0.12</v>
      </c>
      <c r="E23" s="38">
        <f t="shared" si="1"/>
        <v>0.24</v>
      </c>
      <c r="H23" s="38">
        <v>6</v>
      </c>
      <c r="I23" s="38">
        <v>90</v>
      </c>
      <c r="J23" s="38">
        <v>24</v>
      </c>
      <c r="K23" s="38">
        <v>12</v>
      </c>
      <c r="L23" s="38">
        <v>315</v>
      </c>
      <c r="M23" s="38">
        <v>84</v>
      </c>
      <c r="N23" s="38">
        <v>42</v>
      </c>
    </row>
    <row r="24" spans="1:14" x14ac:dyDescent="0.25">
      <c r="A24" s="183">
        <v>7</v>
      </c>
      <c r="B24" s="38">
        <v>0.14000000000000001</v>
      </c>
      <c r="C24" s="38">
        <f t="shared" si="2"/>
        <v>7.0000000000000007E-2</v>
      </c>
      <c r="D24" s="38">
        <f t="shared" si="1"/>
        <v>0.14000000000000001</v>
      </c>
      <c r="E24" s="38">
        <f t="shared" si="1"/>
        <v>0.28000000000000003</v>
      </c>
      <c r="H24" s="38">
        <v>7</v>
      </c>
      <c r="I24" s="38">
        <v>105</v>
      </c>
      <c r="J24" s="38">
        <v>28</v>
      </c>
      <c r="K24" s="38">
        <v>14</v>
      </c>
      <c r="L24" s="38">
        <v>420</v>
      </c>
      <c r="M24" s="38">
        <v>112</v>
      </c>
      <c r="N24" s="38">
        <v>56</v>
      </c>
    </row>
    <row r="25" spans="1:14" x14ac:dyDescent="0.25">
      <c r="A25" s="183">
        <v>8</v>
      </c>
      <c r="B25" s="38">
        <v>0.16</v>
      </c>
      <c r="C25" s="38">
        <f t="shared" si="2"/>
        <v>0.08</v>
      </c>
      <c r="D25" s="38">
        <f t="shared" si="1"/>
        <v>0.16</v>
      </c>
      <c r="E25" s="38">
        <f t="shared" si="1"/>
        <v>0.32</v>
      </c>
      <c r="H25" s="38">
        <v>8</v>
      </c>
      <c r="I25" s="38">
        <v>120</v>
      </c>
      <c r="J25" s="38">
        <v>32</v>
      </c>
      <c r="K25" s="38">
        <v>16</v>
      </c>
      <c r="L25" s="38">
        <v>540</v>
      </c>
      <c r="M25" s="38">
        <v>144</v>
      </c>
      <c r="N25" s="38">
        <v>72</v>
      </c>
    </row>
    <row r="26" spans="1:14" x14ac:dyDescent="0.25">
      <c r="A26" s="183">
        <v>9</v>
      </c>
      <c r="B26" s="38">
        <v>0.18</v>
      </c>
      <c r="C26" s="38">
        <f t="shared" si="2"/>
        <v>0.09</v>
      </c>
      <c r="D26" s="38">
        <f t="shared" si="1"/>
        <v>0.18</v>
      </c>
      <c r="E26" s="38">
        <f t="shared" si="1"/>
        <v>0.36</v>
      </c>
      <c r="H26" s="38">
        <v>9</v>
      </c>
      <c r="I26" s="38">
        <v>135</v>
      </c>
      <c r="J26" s="38">
        <v>36</v>
      </c>
      <c r="K26" s="38">
        <v>18</v>
      </c>
      <c r="L26" s="38">
        <v>675</v>
      </c>
      <c r="M26" s="38">
        <v>180</v>
      </c>
      <c r="N26" s="38">
        <v>90</v>
      </c>
    </row>
    <row r="27" spans="1:14" x14ac:dyDescent="0.25">
      <c r="A27" s="183">
        <v>10</v>
      </c>
      <c r="B27" s="38">
        <v>0.2</v>
      </c>
      <c r="C27" s="38">
        <f t="shared" si="2"/>
        <v>0.1</v>
      </c>
      <c r="D27" s="38">
        <f t="shared" si="1"/>
        <v>0.2</v>
      </c>
      <c r="E27" s="38">
        <f t="shared" si="1"/>
        <v>0.4</v>
      </c>
      <c r="H27" s="38">
        <v>10</v>
      </c>
      <c r="I27" s="38">
        <v>150</v>
      </c>
      <c r="J27" s="38">
        <v>40</v>
      </c>
      <c r="K27" s="38">
        <v>20</v>
      </c>
      <c r="L27" s="38">
        <v>825</v>
      </c>
      <c r="M27" s="38">
        <v>220</v>
      </c>
      <c r="N27" s="38">
        <v>110</v>
      </c>
    </row>
    <row r="28" spans="1:14" x14ac:dyDescent="0.25">
      <c r="A28" s="183">
        <v>11</v>
      </c>
      <c r="B28" s="38">
        <v>0.22</v>
      </c>
      <c r="C28" s="38">
        <f t="shared" si="2"/>
        <v>0.11</v>
      </c>
      <c r="D28" s="38">
        <f t="shared" si="1"/>
        <v>0.22</v>
      </c>
      <c r="E28" s="38">
        <f t="shared" si="1"/>
        <v>0.44</v>
      </c>
      <c r="H28" s="38">
        <v>11</v>
      </c>
      <c r="I28" s="38">
        <v>165</v>
      </c>
      <c r="J28" s="38">
        <v>44</v>
      </c>
      <c r="K28" s="38">
        <v>22</v>
      </c>
      <c r="L28" s="38">
        <v>990</v>
      </c>
      <c r="M28" s="38">
        <v>264</v>
      </c>
      <c r="N28" s="38">
        <v>132</v>
      </c>
    </row>
    <row r="29" spans="1:14" x14ac:dyDescent="0.25">
      <c r="A29" s="183">
        <v>12</v>
      </c>
      <c r="B29" s="38">
        <v>0.24</v>
      </c>
      <c r="C29" s="38">
        <f t="shared" si="2"/>
        <v>0.12</v>
      </c>
      <c r="D29" s="38">
        <f t="shared" si="1"/>
        <v>0.24</v>
      </c>
      <c r="E29" s="38">
        <f t="shared" si="1"/>
        <v>0.48</v>
      </c>
      <c r="H29" s="38">
        <v>12</v>
      </c>
      <c r="I29" s="38">
        <v>180</v>
      </c>
      <c r="J29" s="38">
        <v>48</v>
      </c>
      <c r="K29" s="38">
        <v>24</v>
      </c>
      <c r="L29" s="38">
        <v>1170</v>
      </c>
      <c r="M29" s="38">
        <v>312</v>
      </c>
      <c r="N29" s="38">
        <v>156</v>
      </c>
    </row>
    <row r="30" spans="1:14" x14ac:dyDescent="0.25">
      <c r="A30" s="183">
        <v>13</v>
      </c>
      <c r="B30" s="38">
        <v>0.26</v>
      </c>
      <c r="C30" s="38">
        <f t="shared" si="2"/>
        <v>0.13</v>
      </c>
      <c r="D30" s="38">
        <f t="shared" si="1"/>
        <v>0.26</v>
      </c>
      <c r="E30" s="38">
        <f t="shared" si="1"/>
        <v>0.52</v>
      </c>
      <c r="H30" s="38">
        <v>13</v>
      </c>
      <c r="I30" s="38">
        <v>195</v>
      </c>
      <c r="J30" s="38">
        <v>52</v>
      </c>
      <c r="K30" s="38">
        <v>26</v>
      </c>
      <c r="L30" s="38">
        <v>1365</v>
      </c>
      <c r="M30" s="38">
        <v>364</v>
      </c>
      <c r="N30" s="38">
        <v>182</v>
      </c>
    </row>
    <row r="31" spans="1:14" x14ac:dyDescent="0.25">
      <c r="A31" s="183">
        <v>14</v>
      </c>
      <c r="B31" s="38">
        <v>0.28000000000000003</v>
      </c>
      <c r="C31" s="38">
        <f t="shared" si="2"/>
        <v>0.14000000000000001</v>
      </c>
      <c r="D31" s="38">
        <f t="shared" si="1"/>
        <v>0.28000000000000003</v>
      </c>
      <c r="E31" s="38">
        <f t="shared" si="1"/>
        <v>0.56000000000000005</v>
      </c>
      <c r="H31" s="38">
        <v>14</v>
      </c>
      <c r="I31" s="38">
        <v>210</v>
      </c>
      <c r="J31" s="38">
        <v>56</v>
      </c>
      <c r="K31" s="38">
        <v>28</v>
      </c>
      <c r="L31" s="38">
        <v>1575</v>
      </c>
      <c r="M31" s="38">
        <v>420</v>
      </c>
      <c r="N31" s="38">
        <v>210</v>
      </c>
    </row>
    <row r="32" spans="1:14" x14ac:dyDescent="0.25">
      <c r="A32" s="183">
        <v>15</v>
      </c>
      <c r="B32" s="38">
        <v>0.3</v>
      </c>
      <c r="C32" s="38">
        <f t="shared" si="2"/>
        <v>0.15</v>
      </c>
      <c r="D32" s="38">
        <f t="shared" si="1"/>
        <v>0.3</v>
      </c>
      <c r="E32" s="38">
        <f t="shared" si="1"/>
        <v>0.6</v>
      </c>
      <c r="H32" s="38">
        <v>15</v>
      </c>
      <c r="I32" s="38">
        <v>225</v>
      </c>
      <c r="J32" s="38">
        <v>60</v>
      </c>
      <c r="K32" s="38">
        <v>30</v>
      </c>
      <c r="L32" s="38">
        <v>1800</v>
      </c>
      <c r="M32" s="38">
        <v>480</v>
      </c>
      <c r="N32" s="38">
        <v>240</v>
      </c>
    </row>
    <row r="33" spans="1:14" x14ac:dyDescent="0.25">
      <c r="A33" s="183">
        <v>16</v>
      </c>
      <c r="B33" s="38">
        <v>0.32</v>
      </c>
      <c r="C33" s="38">
        <f t="shared" si="2"/>
        <v>0.16</v>
      </c>
      <c r="D33" s="38">
        <f t="shared" si="1"/>
        <v>0.32</v>
      </c>
      <c r="E33" s="38">
        <f t="shared" si="1"/>
        <v>0.64</v>
      </c>
      <c r="H33" s="38">
        <v>16</v>
      </c>
      <c r="I33" s="38">
        <v>240</v>
      </c>
      <c r="J33" s="38">
        <v>64</v>
      </c>
      <c r="K33" s="38">
        <v>32</v>
      </c>
      <c r="L33" s="38">
        <v>2040</v>
      </c>
      <c r="M33" s="38">
        <v>544</v>
      </c>
      <c r="N33" s="38">
        <v>272</v>
      </c>
    </row>
    <row r="34" spans="1:14" x14ac:dyDescent="0.25">
      <c r="A34" s="183">
        <v>17</v>
      </c>
      <c r="B34" s="38">
        <v>0.34</v>
      </c>
      <c r="C34" s="38">
        <f t="shared" si="2"/>
        <v>0.17</v>
      </c>
      <c r="D34" s="38">
        <f t="shared" si="2"/>
        <v>0.34</v>
      </c>
      <c r="E34" s="38">
        <f t="shared" si="2"/>
        <v>0.68</v>
      </c>
      <c r="H34" s="38">
        <v>17</v>
      </c>
      <c r="I34" s="38">
        <v>255</v>
      </c>
      <c r="J34" s="38">
        <v>68</v>
      </c>
      <c r="K34" s="38">
        <v>34</v>
      </c>
      <c r="L34" s="38">
        <v>2295</v>
      </c>
      <c r="M34" s="38">
        <v>612</v>
      </c>
      <c r="N34" s="38">
        <v>306</v>
      </c>
    </row>
    <row r="35" spans="1:14" x14ac:dyDescent="0.25">
      <c r="A35" s="183">
        <v>18</v>
      </c>
      <c r="B35" s="38">
        <v>0.36</v>
      </c>
      <c r="C35" s="38">
        <f t="shared" si="2"/>
        <v>0.18</v>
      </c>
      <c r="D35" s="38">
        <f t="shared" si="2"/>
        <v>0.36</v>
      </c>
      <c r="E35" s="38">
        <f t="shared" si="2"/>
        <v>0.72</v>
      </c>
      <c r="H35" s="38">
        <v>18</v>
      </c>
      <c r="I35" s="38">
        <v>270</v>
      </c>
      <c r="J35" s="38">
        <v>72</v>
      </c>
      <c r="K35" s="38">
        <v>36</v>
      </c>
      <c r="L35" s="38">
        <v>2565</v>
      </c>
      <c r="M35" s="38">
        <v>684</v>
      </c>
      <c r="N35" s="38">
        <v>342</v>
      </c>
    </row>
    <row r="36" spans="1:14" x14ac:dyDescent="0.25">
      <c r="A36" s="183">
        <v>19</v>
      </c>
      <c r="B36" s="38">
        <v>0.38</v>
      </c>
      <c r="C36" s="38">
        <f t="shared" si="2"/>
        <v>0.19</v>
      </c>
      <c r="D36" s="38">
        <f t="shared" si="2"/>
        <v>0.38</v>
      </c>
      <c r="E36" s="38">
        <f t="shared" si="2"/>
        <v>0.76</v>
      </c>
      <c r="H36" s="38">
        <v>19</v>
      </c>
      <c r="I36" s="38">
        <v>285</v>
      </c>
      <c r="J36" s="38">
        <v>76</v>
      </c>
      <c r="K36" s="38">
        <v>38</v>
      </c>
      <c r="L36" s="38">
        <v>2850</v>
      </c>
      <c r="M36" s="38">
        <v>760</v>
      </c>
      <c r="N36" s="38">
        <v>380</v>
      </c>
    </row>
    <row r="37" spans="1:14" x14ac:dyDescent="0.25">
      <c r="A37" s="183">
        <v>20</v>
      </c>
      <c r="B37" s="38">
        <v>0.4</v>
      </c>
      <c r="C37" s="38">
        <f t="shared" si="2"/>
        <v>0.2</v>
      </c>
      <c r="D37" s="38">
        <f t="shared" si="2"/>
        <v>0.4</v>
      </c>
      <c r="E37" s="38">
        <f t="shared" si="2"/>
        <v>0.8</v>
      </c>
      <c r="H37" s="38">
        <v>20</v>
      </c>
      <c r="I37" s="38">
        <v>300</v>
      </c>
      <c r="J37" s="38">
        <v>80</v>
      </c>
      <c r="K37" s="38">
        <v>40</v>
      </c>
      <c r="L37" s="38">
        <v>3150</v>
      </c>
      <c r="M37" s="38">
        <v>840</v>
      </c>
      <c r="N37" s="38">
        <v>420</v>
      </c>
    </row>
    <row r="38" spans="1:14" x14ac:dyDescent="0.25">
      <c r="A38" s="183">
        <v>21</v>
      </c>
      <c r="B38" s="38">
        <v>0.42</v>
      </c>
      <c r="C38" s="38">
        <f t="shared" si="2"/>
        <v>0.21</v>
      </c>
      <c r="D38" s="38">
        <f t="shared" si="2"/>
        <v>0.42</v>
      </c>
      <c r="E38" s="38">
        <f t="shared" si="2"/>
        <v>0.84</v>
      </c>
      <c r="H38" s="38">
        <v>21</v>
      </c>
      <c r="I38" s="38">
        <v>315</v>
      </c>
      <c r="J38" s="38">
        <v>84</v>
      </c>
      <c r="K38" s="38">
        <v>42</v>
      </c>
      <c r="L38" s="38">
        <v>3465</v>
      </c>
      <c r="M38" s="38">
        <v>924</v>
      </c>
      <c r="N38" s="38">
        <v>462</v>
      </c>
    </row>
    <row r="39" spans="1:14" x14ac:dyDescent="0.25">
      <c r="A39" s="183">
        <v>22</v>
      </c>
      <c r="B39" s="38">
        <v>0.44</v>
      </c>
      <c r="C39" s="38">
        <f t="shared" si="2"/>
        <v>0.22</v>
      </c>
      <c r="D39" s="38">
        <f t="shared" si="2"/>
        <v>0.44</v>
      </c>
      <c r="E39" s="38">
        <f t="shared" si="2"/>
        <v>0.88</v>
      </c>
      <c r="H39" s="38">
        <v>22</v>
      </c>
      <c r="I39" s="38">
        <v>330</v>
      </c>
      <c r="J39" s="38">
        <v>88</v>
      </c>
      <c r="K39" s="38">
        <v>44</v>
      </c>
      <c r="L39" s="38">
        <v>3795</v>
      </c>
      <c r="M39" s="38">
        <v>1012</v>
      </c>
      <c r="N39" s="38">
        <v>506</v>
      </c>
    </row>
    <row r="40" spans="1:14" x14ac:dyDescent="0.25">
      <c r="A40" s="183">
        <v>23</v>
      </c>
      <c r="B40" s="38">
        <v>0.46</v>
      </c>
      <c r="C40" s="38">
        <f t="shared" si="2"/>
        <v>0.23</v>
      </c>
      <c r="D40" s="38">
        <f t="shared" si="2"/>
        <v>0.46</v>
      </c>
      <c r="E40" s="38">
        <f t="shared" si="2"/>
        <v>0.92</v>
      </c>
      <c r="H40" s="38">
        <v>23</v>
      </c>
      <c r="I40" s="38">
        <v>345</v>
      </c>
      <c r="J40" s="38">
        <v>92</v>
      </c>
      <c r="K40" s="38">
        <v>46</v>
      </c>
      <c r="L40" s="38">
        <v>4140</v>
      </c>
      <c r="M40" s="38">
        <v>1104</v>
      </c>
      <c r="N40" s="38">
        <v>552</v>
      </c>
    </row>
    <row r="41" spans="1:14" x14ac:dyDescent="0.25">
      <c r="A41" s="183">
        <v>24</v>
      </c>
      <c r="B41" s="38">
        <v>0.48</v>
      </c>
      <c r="C41" s="38">
        <f t="shared" si="2"/>
        <v>0.24</v>
      </c>
      <c r="D41" s="38">
        <f t="shared" si="2"/>
        <v>0.48</v>
      </c>
      <c r="E41" s="38">
        <f t="shared" si="2"/>
        <v>0.96</v>
      </c>
      <c r="H41" s="38">
        <v>24</v>
      </c>
      <c r="I41" s="38">
        <v>360</v>
      </c>
      <c r="J41" s="38">
        <v>96</v>
      </c>
      <c r="K41" s="38">
        <v>48</v>
      </c>
      <c r="L41" s="38">
        <v>4500</v>
      </c>
      <c r="M41" s="38">
        <v>1200</v>
      </c>
      <c r="N41" s="38">
        <v>600</v>
      </c>
    </row>
    <row r="42" spans="1:14" x14ac:dyDescent="0.25">
      <c r="A42" s="183">
        <v>25</v>
      </c>
      <c r="B42" s="38">
        <v>0.5</v>
      </c>
      <c r="C42" s="38">
        <f t="shared" si="2"/>
        <v>0.25</v>
      </c>
      <c r="D42" s="38">
        <f t="shared" si="2"/>
        <v>0.5</v>
      </c>
      <c r="E42" s="38">
        <f t="shared" si="2"/>
        <v>1</v>
      </c>
      <c r="H42" s="38">
        <v>25</v>
      </c>
      <c r="I42" s="38">
        <v>375</v>
      </c>
      <c r="J42" s="38">
        <v>100</v>
      </c>
      <c r="K42" s="38">
        <v>50</v>
      </c>
      <c r="L42" s="38">
        <v>4875</v>
      </c>
      <c r="M42" s="38">
        <v>1300</v>
      </c>
      <c r="N42" s="38">
        <v>650</v>
      </c>
    </row>
    <row r="43" spans="1:14" x14ac:dyDescent="0.25">
      <c r="A43" s="183">
        <v>26</v>
      </c>
      <c r="B43" s="38">
        <v>0.52</v>
      </c>
      <c r="C43" s="38">
        <f t="shared" si="2"/>
        <v>0.26</v>
      </c>
      <c r="D43" s="38">
        <f t="shared" si="2"/>
        <v>0.52</v>
      </c>
      <c r="E43" s="38">
        <f t="shared" si="2"/>
        <v>1.04</v>
      </c>
      <c r="H43" s="38">
        <v>26</v>
      </c>
      <c r="I43" s="38">
        <v>390</v>
      </c>
      <c r="J43" s="38">
        <v>104</v>
      </c>
      <c r="K43" s="38">
        <v>52</v>
      </c>
      <c r="L43" s="38">
        <v>5265</v>
      </c>
      <c r="M43" s="38">
        <v>1404</v>
      </c>
      <c r="N43" s="38">
        <v>702</v>
      </c>
    </row>
    <row r="44" spans="1:14" x14ac:dyDescent="0.25">
      <c r="A44" s="183">
        <v>27</v>
      </c>
      <c r="B44" s="38">
        <v>0.54</v>
      </c>
      <c r="C44" s="38">
        <f t="shared" si="2"/>
        <v>0.27</v>
      </c>
      <c r="D44" s="38">
        <f t="shared" si="2"/>
        <v>0.54</v>
      </c>
      <c r="E44" s="38">
        <f t="shared" si="2"/>
        <v>1.08</v>
      </c>
      <c r="H44" s="38">
        <v>27</v>
      </c>
      <c r="I44" s="38">
        <v>405</v>
      </c>
      <c r="J44" s="38">
        <v>108</v>
      </c>
      <c r="K44" s="38">
        <v>54</v>
      </c>
      <c r="L44" s="38">
        <v>5670</v>
      </c>
      <c r="M44" s="38">
        <v>1512</v>
      </c>
      <c r="N44" s="38">
        <v>756</v>
      </c>
    </row>
    <row r="45" spans="1:14" x14ac:dyDescent="0.25">
      <c r="A45" s="183">
        <v>28</v>
      </c>
      <c r="B45" s="38">
        <v>0.56000000000000005</v>
      </c>
      <c r="C45" s="38">
        <f t="shared" si="2"/>
        <v>0.28000000000000003</v>
      </c>
      <c r="D45" s="38">
        <f t="shared" si="2"/>
        <v>0.56000000000000005</v>
      </c>
      <c r="E45" s="38">
        <f t="shared" si="2"/>
        <v>1.1200000000000001</v>
      </c>
      <c r="H45" s="38">
        <v>28</v>
      </c>
      <c r="I45" s="38">
        <v>420</v>
      </c>
      <c r="J45" s="38">
        <v>112</v>
      </c>
      <c r="K45" s="38">
        <v>56</v>
      </c>
      <c r="L45" s="38">
        <v>6090</v>
      </c>
      <c r="M45" s="38">
        <v>1624</v>
      </c>
      <c r="N45" s="38">
        <v>812</v>
      </c>
    </row>
    <row r="46" spans="1:14" x14ac:dyDescent="0.25">
      <c r="A46" s="183">
        <v>29</v>
      </c>
      <c r="B46" s="38">
        <v>0.57999999999999996</v>
      </c>
      <c r="C46" s="38">
        <f t="shared" si="2"/>
        <v>0.28999999999999998</v>
      </c>
      <c r="D46" s="38">
        <f t="shared" si="2"/>
        <v>0.57999999999999996</v>
      </c>
      <c r="E46" s="38">
        <f t="shared" si="2"/>
        <v>1.1599999999999999</v>
      </c>
      <c r="H46" s="38">
        <v>29</v>
      </c>
      <c r="I46" s="38">
        <v>435</v>
      </c>
      <c r="J46" s="38">
        <v>116</v>
      </c>
      <c r="K46" s="38">
        <v>58</v>
      </c>
      <c r="L46" s="38">
        <v>6525</v>
      </c>
      <c r="M46" s="38">
        <v>1740</v>
      </c>
      <c r="N46" s="38">
        <v>870</v>
      </c>
    </row>
    <row r="47" spans="1:14" x14ac:dyDescent="0.25">
      <c r="A47" s="183">
        <v>30</v>
      </c>
      <c r="B47" s="38">
        <v>0.6</v>
      </c>
      <c r="C47" s="38">
        <f t="shared" si="2"/>
        <v>0.3</v>
      </c>
      <c r="D47" s="38">
        <f t="shared" si="2"/>
        <v>0.6</v>
      </c>
      <c r="E47" s="38">
        <f t="shared" si="2"/>
        <v>1.2</v>
      </c>
      <c r="H47" s="38">
        <v>30</v>
      </c>
      <c r="I47" s="38">
        <v>450</v>
      </c>
      <c r="J47" s="38">
        <v>120</v>
      </c>
      <c r="K47" s="38">
        <v>60</v>
      </c>
      <c r="L47" s="38">
        <v>6975</v>
      </c>
      <c r="M47" s="38">
        <v>1860</v>
      </c>
      <c r="N47" s="38">
        <v>930</v>
      </c>
    </row>
    <row r="48" spans="1:14" x14ac:dyDescent="0.25">
      <c r="A48" s="183">
        <v>31</v>
      </c>
      <c r="B48" s="38">
        <v>0.62</v>
      </c>
      <c r="C48" s="38">
        <f t="shared" si="2"/>
        <v>0.31</v>
      </c>
      <c r="D48" s="38">
        <f t="shared" si="2"/>
        <v>0.62</v>
      </c>
      <c r="E48" s="38">
        <f t="shared" si="2"/>
        <v>1.24</v>
      </c>
      <c r="H48" s="38">
        <v>31</v>
      </c>
      <c r="I48" s="38">
        <v>465</v>
      </c>
      <c r="J48" s="38">
        <v>124</v>
      </c>
      <c r="K48" s="38">
        <v>62</v>
      </c>
      <c r="L48" s="38">
        <v>7440</v>
      </c>
      <c r="M48" s="38">
        <v>1984</v>
      </c>
      <c r="N48" s="38">
        <v>992</v>
      </c>
    </row>
    <row r="49" spans="1:14" x14ac:dyDescent="0.25">
      <c r="A49" s="183">
        <v>32</v>
      </c>
      <c r="B49" s="38">
        <v>0.64</v>
      </c>
      <c r="C49" s="38">
        <f t="shared" si="2"/>
        <v>0.32</v>
      </c>
      <c r="D49" s="38">
        <f t="shared" si="2"/>
        <v>0.64</v>
      </c>
      <c r="E49" s="38">
        <f t="shared" si="2"/>
        <v>1.28</v>
      </c>
      <c r="H49" s="38">
        <v>32</v>
      </c>
      <c r="I49" s="38">
        <v>480</v>
      </c>
      <c r="J49" s="38">
        <v>128</v>
      </c>
      <c r="K49" s="38">
        <v>64</v>
      </c>
      <c r="L49" s="38">
        <v>7920</v>
      </c>
      <c r="M49" s="38">
        <v>2112</v>
      </c>
      <c r="N49" s="38">
        <v>1056</v>
      </c>
    </row>
    <row r="50" spans="1:14" x14ac:dyDescent="0.25">
      <c r="A50" s="183">
        <v>33</v>
      </c>
      <c r="B50" s="38">
        <v>0.66</v>
      </c>
      <c r="C50" s="38">
        <f t="shared" si="2"/>
        <v>0.33</v>
      </c>
      <c r="D50" s="38">
        <f t="shared" si="2"/>
        <v>0.66</v>
      </c>
      <c r="E50" s="38">
        <f t="shared" si="2"/>
        <v>1.32</v>
      </c>
      <c r="H50" s="38">
        <v>33</v>
      </c>
      <c r="I50" s="38">
        <v>495</v>
      </c>
      <c r="J50" s="38">
        <v>132</v>
      </c>
      <c r="K50" s="38">
        <v>66</v>
      </c>
      <c r="L50" s="38">
        <v>8415</v>
      </c>
      <c r="M50" s="38">
        <v>2244</v>
      </c>
      <c r="N50" s="38">
        <v>1122</v>
      </c>
    </row>
    <row r="51" spans="1:14" x14ac:dyDescent="0.25">
      <c r="A51" s="183">
        <v>34</v>
      </c>
      <c r="B51" s="38">
        <v>0.68</v>
      </c>
      <c r="C51" s="38">
        <f t="shared" ref="C51:E67" si="3">C$16*$B51</f>
        <v>0.34</v>
      </c>
      <c r="D51" s="38">
        <f t="shared" si="3"/>
        <v>0.68</v>
      </c>
      <c r="E51" s="38">
        <f t="shared" si="3"/>
        <v>1.36</v>
      </c>
      <c r="H51" s="38">
        <v>34</v>
      </c>
      <c r="I51" s="38">
        <v>510</v>
      </c>
      <c r="J51" s="38">
        <v>136</v>
      </c>
      <c r="K51" s="38">
        <v>68</v>
      </c>
      <c r="L51" s="38">
        <v>8925</v>
      </c>
      <c r="M51" s="38">
        <v>2380</v>
      </c>
      <c r="N51" s="38">
        <v>1190</v>
      </c>
    </row>
    <row r="52" spans="1:14" x14ac:dyDescent="0.25">
      <c r="A52" s="183">
        <v>35</v>
      </c>
      <c r="B52" s="38">
        <v>0.7</v>
      </c>
      <c r="C52" s="38">
        <f t="shared" si="3"/>
        <v>0.35</v>
      </c>
      <c r="D52" s="38">
        <f t="shared" si="3"/>
        <v>0.7</v>
      </c>
      <c r="E52" s="38">
        <f t="shared" si="3"/>
        <v>1.4</v>
      </c>
      <c r="H52" s="38">
        <v>35</v>
      </c>
      <c r="I52" s="38">
        <v>525</v>
      </c>
      <c r="J52" s="38">
        <v>140</v>
      </c>
      <c r="K52" s="38">
        <v>70</v>
      </c>
      <c r="L52" s="38">
        <v>9450</v>
      </c>
      <c r="M52" s="38">
        <v>2520</v>
      </c>
      <c r="N52" s="38">
        <v>1260</v>
      </c>
    </row>
    <row r="53" spans="1:14" x14ac:dyDescent="0.25">
      <c r="A53" s="183">
        <v>36</v>
      </c>
      <c r="B53" s="38">
        <v>0.72</v>
      </c>
      <c r="C53" s="38">
        <f t="shared" si="3"/>
        <v>0.36</v>
      </c>
      <c r="D53" s="38">
        <f t="shared" si="3"/>
        <v>0.72</v>
      </c>
      <c r="E53" s="38">
        <f t="shared" si="3"/>
        <v>1.44</v>
      </c>
      <c r="H53" s="38">
        <v>36</v>
      </c>
      <c r="I53" s="38">
        <v>540</v>
      </c>
      <c r="J53" s="38">
        <v>144</v>
      </c>
      <c r="K53" s="38">
        <v>72</v>
      </c>
      <c r="L53" s="38">
        <v>9990</v>
      </c>
      <c r="M53" s="38">
        <v>2664</v>
      </c>
      <c r="N53" s="38">
        <v>1332</v>
      </c>
    </row>
    <row r="54" spans="1:14" x14ac:dyDescent="0.25">
      <c r="A54" s="183">
        <v>37</v>
      </c>
      <c r="B54" s="38">
        <v>0.74</v>
      </c>
      <c r="C54" s="38">
        <f t="shared" si="3"/>
        <v>0.37</v>
      </c>
      <c r="D54" s="38">
        <f t="shared" si="3"/>
        <v>0.74</v>
      </c>
      <c r="E54" s="38">
        <f t="shared" si="3"/>
        <v>1.48</v>
      </c>
      <c r="H54" s="38">
        <v>37</v>
      </c>
      <c r="I54" s="38">
        <v>555</v>
      </c>
      <c r="J54" s="38">
        <v>148</v>
      </c>
      <c r="K54" s="38">
        <v>74</v>
      </c>
      <c r="L54" s="38">
        <v>10545</v>
      </c>
      <c r="M54" s="38">
        <v>2812</v>
      </c>
      <c r="N54" s="38">
        <v>1406</v>
      </c>
    </row>
    <row r="55" spans="1:14" x14ac:dyDescent="0.25">
      <c r="A55" s="183">
        <v>38</v>
      </c>
      <c r="B55" s="38">
        <v>0.76</v>
      </c>
      <c r="C55" s="38">
        <f t="shared" si="3"/>
        <v>0.38</v>
      </c>
      <c r="D55" s="38">
        <f t="shared" si="3"/>
        <v>0.76</v>
      </c>
      <c r="E55" s="38">
        <f t="shared" si="3"/>
        <v>1.52</v>
      </c>
      <c r="H55" s="38">
        <v>38</v>
      </c>
      <c r="I55" s="38">
        <v>570</v>
      </c>
      <c r="J55" s="38">
        <v>152</v>
      </c>
      <c r="K55" s="38">
        <v>76</v>
      </c>
      <c r="L55" s="38">
        <v>11115</v>
      </c>
      <c r="M55" s="38">
        <v>2964</v>
      </c>
      <c r="N55" s="38">
        <v>1482</v>
      </c>
    </row>
    <row r="56" spans="1:14" x14ac:dyDescent="0.25">
      <c r="A56" s="183">
        <v>39</v>
      </c>
      <c r="B56" s="38">
        <v>0.78</v>
      </c>
      <c r="C56" s="38">
        <f t="shared" si="3"/>
        <v>0.39</v>
      </c>
      <c r="D56" s="38">
        <f t="shared" si="3"/>
        <v>0.78</v>
      </c>
      <c r="E56" s="38">
        <f t="shared" si="3"/>
        <v>1.56</v>
      </c>
      <c r="H56" s="38">
        <v>39</v>
      </c>
      <c r="I56" s="38">
        <v>585</v>
      </c>
      <c r="J56" s="38">
        <v>156</v>
      </c>
      <c r="K56" s="38">
        <v>78</v>
      </c>
      <c r="L56" s="38">
        <v>11700</v>
      </c>
      <c r="M56" s="38">
        <v>3120</v>
      </c>
      <c r="N56" s="38">
        <v>1560</v>
      </c>
    </row>
    <row r="57" spans="1:14" x14ac:dyDescent="0.25">
      <c r="A57" s="183">
        <v>40</v>
      </c>
      <c r="B57" s="38">
        <v>0.8</v>
      </c>
      <c r="C57" s="38">
        <f t="shared" si="3"/>
        <v>0.4</v>
      </c>
      <c r="D57" s="38">
        <f t="shared" si="3"/>
        <v>0.8</v>
      </c>
      <c r="E57" s="38">
        <f t="shared" si="3"/>
        <v>1.6</v>
      </c>
      <c r="H57" s="38">
        <v>40</v>
      </c>
      <c r="I57" s="38">
        <v>600</v>
      </c>
      <c r="J57" s="38">
        <v>160</v>
      </c>
      <c r="K57" s="38">
        <v>80</v>
      </c>
      <c r="L57" s="38">
        <v>12300</v>
      </c>
      <c r="M57" s="38">
        <v>3280</v>
      </c>
      <c r="N57" s="38">
        <v>1640</v>
      </c>
    </row>
    <row r="58" spans="1:14" x14ac:dyDescent="0.25">
      <c r="A58" s="183">
        <v>41</v>
      </c>
      <c r="B58" s="38">
        <v>0.82</v>
      </c>
      <c r="C58" s="38">
        <f t="shared" si="3"/>
        <v>0.41</v>
      </c>
      <c r="D58" s="38">
        <f t="shared" si="3"/>
        <v>0.82</v>
      </c>
      <c r="E58" s="38">
        <f t="shared" si="3"/>
        <v>1.64</v>
      </c>
      <c r="H58" s="38">
        <v>41</v>
      </c>
      <c r="I58" s="38">
        <v>615</v>
      </c>
      <c r="J58" s="38">
        <v>164</v>
      </c>
      <c r="K58" s="38">
        <v>82</v>
      </c>
      <c r="L58" s="38">
        <v>12915</v>
      </c>
      <c r="M58" s="38">
        <v>3444</v>
      </c>
      <c r="N58" s="38">
        <v>1722</v>
      </c>
    </row>
    <row r="59" spans="1:14" x14ac:dyDescent="0.25">
      <c r="A59" s="183">
        <v>42</v>
      </c>
      <c r="B59" s="38">
        <v>0.84</v>
      </c>
      <c r="C59" s="38">
        <f t="shared" si="3"/>
        <v>0.42</v>
      </c>
      <c r="D59" s="38">
        <f t="shared" si="3"/>
        <v>0.84</v>
      </c>
      <c r="E59" s="38">
        <f t="shared" si="3"/>
        <v>1.68</v>
      </c>
      <c r="H59" s="38">
        <v>42</v>
      </c>
      <c r="I59" s="38">
        <v>630</v>
      </c>
      <c r="J59" s="38">
        <v>168</v>
      </c>
      <c r="K59" s="38">
        <v>84</v>
      </c>
      <c r="L59" s="38">
        <v>13545</v>
      </c>
      <c r="M59" s="38">
        <v>3612</v>
      </c>
      <c r="N59" s="38">
        <v>1806</v>
      </c>
    </row>
    <row r="60" spans="1:14" x14ac:dyDescent="0.25">
      <c r="A60" s="183">
        <v>43</v>
      </c>
      <c r="B60" s="38">
        <v>0.86</v>
      </c>
      <c r="C60" s="38">
        <f t="shared" si="3"/>
        <v>0.43</v>
      </c>
      <c r="D60" s="38">
        <f t="shared" si="3"/>
        <v>0.86</v>
      </c>
      <c r="E60" s="38">
        <f t="shared" si="3"/>
        <v>1.72</v>
      </c>
      <c r="H60" s="38">
        <v>43</v>
      </c>
      <c r="I60" s="38">
        <v>645</v>
      </c>
      <c r="J60" s="38">
        <v>172</v>
      </c>
      <c r="K60" s="38">
        <v>86</v>
      </c>
      <c r="L60" s="38">
        <v>14190</v>
      </c>
      <c r="M60" s="38">
        <v>3784</v>
      </c>
      <c r="N60" s="38">
        <v>1892</v>
      </c>
    </row>
    <row r="61" spans="1:14" x14ac:dyDescent="0.25">
      <c r="A61" s="183">
        <v>44</v>
      </c>
      <c r="B61" s="38">
        <v>0.88</v>
      </c>
      <c r="C61" s="38">
        <f t="shared" si="3"/>
        <v>0.44</v>
      </c>
      <c r="D61" s="38">
        <f t="shared" si="3"/>
        <v>0.88</v>
      </c>
      <c r="E61" s="38">
        <f t="shared" si="3"/>
        <v>1.76</v>
      </c>
      <c r="H61" s="38">
        <v>44</v>
      </c>
      <c r="I61" s="38">
        <v>660</v>
      </c>
      <c r="J61" s="38">
        <v>176</v>
      </c>
      <c r="K61" s="38">
        <v>88</v>
      </c>
      <c r="L61" s="38">
        <v>14850</v>
      </c>
      <c r="M61" s="38">
        <v>3960</v>
      </c>
      <c r="N61" s="38">
        <v>1980</v>
      </c>
    </row>
    <row r="62" spans="1:14" x14ac:dyDescent="0.25">
      <c r="A62" s="183">
        <v>45</v>
      </c>
      <c r="B62" s="38">
        <v>0.9</v>
      </c>
      <c r="C62" s="38">
        <f t="shared" si="3"/>
        <v>0.45</v>
      </c>
      <c r="D62" s="38">
        <f t="shared" si="3"/>
        <v>0.9</v>
      </c>
      <c r="E62" s="38">
        <f t="shared" si="3"/>
        <v>1.8</v>
      </c>
      <c r="H62" s="38">
        <v>45</v>
      </c>
      <c r="I62" s="38">
        <v>675</v>
      </c>
      <c r="J62" s="38">
        <v>180</v>
      </c>
      <c r="K62" s="38">
        <v>90</v>
      </c>
      <c r="L62" s="38">
        <v>15525</v>
      </c>
      <c r="M62" s="38">
        <v>4140</v>
      </c>
      <c r="N62" s="38">
        <v>2070</v>
      </c>
    </row>
    <row r="63" spans="1:14" x14ac:dyDescent="0.25">
      <c r="A63" s="183">
        <v>46</v>
      </c>
      <c r="B63" s="38">
        <v>0.92</v>
      </c>
      <c r="C63" s="38">
        <f t="shared" si="3"/>
        <v>0.46</v>
      </c>
      <c r="D63" s="38">
        <f t="shared" si="3"/>
        <v>0.92</v>
      </c>
      <c r="E63" s="38">
        <f t="shared" si="3"/>
        <v>1.84</v>
      </c>
      <c r="H63" s="38">
        <v>46</v>
      </c>
      <c r="I63" s="38">
        <v>690</v>
      </c>
      <c r="J63" s="38">
        <v>184</v>
      </c>
      <c r="K63" s="38">
        <v>92</v>
      </c>
      <c r="L63" s="38">
        <v>16215</v>
      </c>
      <c r="M63" s="38">
        <v>4324</v>
      </c>
      <c r="N63" s="38">
        <v>2162</v>
      </c>
    </row>
    <row r="64" spans="1:14" x14ac:dyDescent="0.25">
      <c r="A64" s="183">
        <v>47</v>
      </c>
      <c r="B64" s="38">
        <v>0.94</v>
      </c>
      <c r="C64" s="38">
        <f t="shared" si="3"/>
        <v>0.47</v>
      </c>
      <c r="D64" s="38">
        <f t="shared" si="3"/>
        <v>0.94</v>
      </c>
      <c r="E64" s="38">
        <f t="shared" si="3"/>
        <v>1.88</v>
      </c>
      <c r="H64" s="38">
        <v>47</v>
      </c>
      <c r="I64" s="38">
        <v>705</v>
      </c>
      <c r="J64" s="38">
        <v>188</v>
      </c>
      <c r="K64" s="38">
        <v>94</v>
      </c>
      <c r="L64" s="38">
        <v>16920</v>
      </c>
      <c r="M64" s="38">
        <v>4512</v>
      </c>
      <c r="N64" s="38">
        <v>2256</v>
      </c>
    </row>
    <row r="65" spans="1:16" x14ac:dyDescent="0.25">
      <c r="A65" s="183">
        <v>48</v>
      </c>
      <c r="B65" s="38">
        <v>0.96</v>
      </c>
      <c r="C65" s="38">
        <f t="shared" si="3"/>
        <v>0.48</v>
      </c>
      <c r="D65" s="38">
        <f t="shared" si="3"/>
        <v>0.96</v>
      </c>
      <c r="E65" s="38">
        <f t="shared" si="3"/>
        <v>1.92</v>
      </c>
      <c r="H65" s="38">
        <v>48</v>
      </c>
      <c r="I65" s="38">
        <v>720</v>
      </c>
      <c r="J65" s="38">
        <v>192</v>
      </c>
      <c r="K65" s="38">
        <v>96</v>
      </c>
      <c r="L65" s="38">
        <v>17640</v>
      </c>
      <c r="M65" s="38">
        <v>4704</v>
      </c>
      <c r="N65" s="38">
        <v>2352</v>
      </c>
    </row>
    <row r="66" spans="1:16" x14ac:dyDescent="0.25">
      <c r="A66" s="183">
        <v>49</v>
      </c>
      <c r="B66" s="38">
        <v>0.98</v>
      </c>
      <c r="C66" s="38">
        <f t="shared" si="3"/>
        <v>0.49</v>
      </c>
      <c r="D66" s="38">
        <f t="shared" si="3"/>
        <v>0.98</v>
      </c>
      <c r="E66" s="38">
        <f t="shared" si="3"/>
        <v>1.96</v>
      </c>
      <c r="H66" s="38">
        <v>49</v>
      </c>
      <c r="I66" s="38">
        <v>735</v>
      </c>
      <c r="J66" s="38">
        <v>196</v>
      </c>
      <c r="K66" s="38">
        <v>98</v>
      </c>
      <c r="L66" s="38">
        <v>18375</v>
      </c>
      <c r="M66" s="38">
        <v>4900</v>
      </c>
      <c r="N66" s="38">
        <v>2450</v>
      </c>
    </row>
    <row r="67" spans="1:16" x14ac:dyDescent="0.25">
      <c r="A67" s="183">
        <v>50</v>
      </c>
      <c r="B67" s="38">
        <v>1</v>
      </c>
      <c r="C67" s="38">
        <f t="shared" si="3"/>
        <v>0.5</v>
      </c>
      <c r="D67" s="38">
        <f t="shared" si="3"/>
        <v>1</v>
      </c>
      <c r="E67" s="38">
        <f t="shared" si="3"/>
        <v>2</v>
      </c>
      <c r="H67" s="38">
        <v>50</v>
      </c>
      <c r="I67" s="38">
        <v>750</v>
      </c>
      <c r="J67" s="38">
        <v>200</v>
      </c>
      <c r="K67" s="38">
        <v>100</v>
      </c>
      <c r="L67" s="38">
        <v>19125</v>
      </c>
      <c r="M67" s="38">
        <v>5100</v>
      </c>
      <c r="N67" s="38">
        <v>2550</v>
      </c>
    </row>
    <row r="72" spans="1:16" x14ac:dyDescent="0.25">
      <c r="A72" s="44" t="s">
        <v>460</v>
      </c>
      <c r="G72" s="44" t="s">
        <v>461</v>
      </c>
      <c r="H72">
        <v>100</v>
      </c>
    </row>
    <row r="73" spans="1:16" x14ac:dyDescent="0.25">
      <c r="A73" s="44" t="s">
        <v>462</v>
      </c>
      <c r="B73" s="44" t="s">
        <v>463</v>
      </c>
      <c r="C73" s="44"/>
      <c r="D73" s="44"/>
      <c r="G73" s="44" t="s">
        <v>464</v>
      </c>
      <c r="H73" s="44" t="s">
        <v>465</v>
      </c>
    </row>
    <row r="74" spans="1:16" ht="16.2" x14ac:dyDescent="0.25">
      <c r="A74" s="9" t="s">
        <v>457</v>
      </c>
      <c r="B74" s="184" t="s">
        <v>269</v>
      </c>
      <c r="C74" s="184" t="s">
        <v>268</v>
      </c>
      <c r="D74" s="184" t="s">
        <v>187</v>
      </c>
      <c r="E74" s="185" t="s">
        <v>270</v>
      </c>
      <c r="G74" s="9" t="s">
        <v>457</v>
      </c>
      <c r="H74" s="184" t="s">
        <v>269</v>
      </c>
      <c r="I74" s="184" t="s">
        <v>268</v>
      </c>
      <c r="J74" s="184" t="s">
        <v>466</v>
      </c>
      <c r="K74" s="184" t="s">
        <v>187</v>
      </c>
      <c r="L74" s="185" t="s">
        <v>270</v>
      </c>
      <c r="O74" s="9" t="s">
        <v>457</v>
      </c>
      <c r="P74" s="184" t="s">
        <v>187</v>
      </c>
    </row>
    <row r="75" spans="1:16" x14ac:dyDescent="0.25">
      <c r="A75" s="43" t="s">
        <v>405</v>
      </c>
      <c r="B75" s="38">
        <v>3</v>
      </c>
      <c r="C75" s="38">
        <f>B75/SUM($B$75:$B$76)</f>
        <v>0.75</v>
      </c>
      <c r="D75" s="38">
        <v>150</v>
      </c>
      <c r="E75" s="38">
        <f>C75*D75</f>
        <v>112.5</v>
      </c>
      <c r="G75" s="43" t="s">
        <v>404</v>
      </c>
      <c r="H75" s="38">
        <v>900</v>
      </c>
      <c r="I75" s="186">
        <f>H75/SUM($H$27:$H$29)</f>
        <v>27.272727272727273</v>
      </c>
      <c r="J75" s="186">
        <v>0.66020000000000001</v>
      </c>
      <c r="K75" s="38">
        <v>50</v>
      </c>
      <c r="L75" s="38">
        <f>J75*K75</f>
        <v>33.01</v>
      </c>
      <c r="O75" s="43" t="s">
        <v>404</v>
      </c>
      <c r="P75" s="38">
        <v>50</v>
      </c>
    </row>
    <row r="76" spans="1:16" x14ac:dyDescent="0.25">
      <c r="A76" s="43" t="s">
        <v>406</v>
      </c>
      <c r="B76" s="38">
        <v>1</v>
      </c>
      <c r="C76" s="38">
        <f>B76/SUM($B$75:$B$76)</f>
        <v>0.25</v>
      </c>
      <c r="D76" s="38">
        <v>500</v>
      </c>
      <c r="E76" s="38">
        <f>C76*D76</f>
        <v>125</v>
      </c>
      <c r="G76" s="43" t="s">
        <v>405</v>
      </c>
      <c r="H76" s="38">
        <v>300</v>
      </c>
      <c r="I76" s="186">
        <f>H76/SUM($H$27:$H$29)</f>
        <v>9.0909090909090917</v>
      </c>
      <c r="J76" s="186">
        <v>0.22040000000000001</v>
      </c>
      <c r="K76" s="38">
        <v>150</v>
      </c>
      <c r="L76" s="38">
        <f t="shared" ref="L76:L77" si="4">J76*K76</f>
        <v>33.06</v>
      </c>
      <c r="O76" s="43" t="s">
        <v>405</v>
      </c>
      <c r="P76" s="38">
        <v>150</v>
      </c>
    </row>
    <row r="77" spans="1:16" x14ac:dyDescent="0.25">
      <c r="G77" s="43" t="s">
        <v>406</v>
      </c>
      <c r="H77" s="38">
        <v>50</v>
      </c>
      <c r="I77" s="186">
        <f>H77/SUM($H$27:$H$29)</f>
        <v>1.5151515151515151</v>
      </c>
      <c r="J77" s="186">
        <v>0.11940000000000001</v>
      </c>
      <c r="K77" s="38">
        <v>500</v>
      </c>
      <c r="L77" s="38">
        <f t="shared" si="4"/>
        <v>59.7</v>
      </c>
      <c r="M77" s="44"/>
      <c r="O77" s="43" t="s">
        <v>406</v>
      </c>
      <c r="P77" s="38">
        <v>500</v>
      </c>
    </row>
    <row r="78" spans="1:16" x14ac:dyDescent="0.25">
      <c r="G78" s="44"/>
      <c r="H78" s="44"/>
      <c r="I78" s="187"/>
      <c r="J78" s="44"/>
      <c r="K78">
        <f>10*J77</f>
        <v>1.194</v>
      </c>
    </row>
    <row r="79" spans="1:16" x14ac:dyDescent="0.25">
      <c r="C79" s="44" t="s">
        <v>467</v>
      </c>
      <c r="D79">
        <f>SUMPRODUCT(C75:C77,D75:D77)</f>
        <v>237.5</v>
      </c>
      <c r="G79" s="44"/>
      <c r="H79" s="44" t="s">
        <v>467</v>
      </c>
      <c r="I79">
        <f>SUMPRODUCT(J75:J77,K75:K77)</f>
        <v>125.77</v>
      </c>
    </row>
  </sheetData>
  <phoneticPr fontId="1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/>
  <dimension ref="A1:AR348"/>
  <sheetViews>
    <sheetView workbookViewId="0">
      <pane xSplit="12" ySplit="2" topLeftCell="O111" activePane="bottomRight" state="frozen"/>
      <selection pane="topRight" activeCell="M1" sqref="M1"/>
      <selection pane="bottomLeft" activeCell="A3" sqref="A3"/>
      <selection pane="bottomRight" activeCell="P93" sqref="P93:R142"/>
    </sheetView>
  </sheetViews>
  <sheetFormatPr defaultColWidth="9" defaultRowHeight="13.8" x14ac:dyDescent="0.25"/>
  <cols>
    <col min="14" max="19" width="29.88671875" customWidth="1"/>
    <col min="22" max="22" width="25.77734375" customWidth="1"/>
    <col min="28" max="28" width="23.21875" customWidth="1"/>
    <col min="33" max="33" width="26.21875" customWidth="1"/>
    <col min="39" max="44" width="22.88671875" customWidth="1"/>
  </cols>
  <sheetData>
    <row r="1" spans="1:44" x14ac:dyDescent="0.25">
      <c r="B1">
        <v>104</v>
      </c>
      <c r="C1">
        <v>105</v>
      </c>
      <c r="D1">
        <v>106</v>
      </c>
      <c r="E1">
        <v>1</v>
      </c>
      <c r="F1">
        <v>1</v>
      </c>
      <c r="G1">
        <v>1</v>
      </c>
      <c r="H1">
        <v>4</v>
      </c>
      <c r="I1">
        <v>104</v>
      </c>
      <c r="J1">
        <v>105</v>
      </c>
      <c r="K1">
        <v>106</v>
      </c>
      <c r="L1">
        <v>3</v>
      </c>
      <c r="N1" t="s">
        <v>172</v>
      </c>
      <c r="O1" s="6"/>
      <c r="P1" s="7" t="s">
        <v>173</v>
      </c>
      <c r="Q1" s="7" t="s">
        <v>174</v>
      </c>
      <c r="R1" s="7" t="s">
        <v>175</v>
      </c>
      <c r="S1" s="8" t="s">
        <v>176</v>
      </c>
    </row>
    <row r="2" spans="1:44" ht="48.6" x14ac:dyDescent="0.25">
      <c r="A2" s="9" t="s">
        <v>51</v>
      </c>
      <c r="B2" s="10" t="s">
        <v>55</v>
      </c>
      <c r="C2" s="10" t="s">
        <v>56</v>
      </c>
      <c r="D2" s="10" t="s">
        <v>57</v>
      </c>
      <c r="E2" s="10" t="s">
        <v>54</v>
      </c>
      <c r="F2" s="9" t="s">
        <v>54</v>
      </c>
      <c r="G2" s="10" t="s">
        <v>54</v>
      </c>
      <c r="H2" s="10" t="s">
        <v>58</v>
      </c>
      <c r="I2" s="9" t="s">
        <v>55</v>
      </c>
      <c r="J2" s="9" t="s">
        <v>56</v>
      </c>
      <c r="K2" s="9" t="s">
        <v>57</v>
      </c>
      <c r="L2" s="9" t="s">
        <v>53</v>
      </c>
      <c r="M2" s="40" t="s">
        <v>502</v>
      </c>
      <c r="N2" s="11" t="s">
        <v>177</v>
      </c>
      <c r="O2" s="11" t="s">
        <v>178</v>
      </c>
      <c r="P2" s="12" t="s">
        <v>179</v>
      </c>
      <c r="Q2" s="11" t="s">
        <v>180</v>
      </c>
      <c r="R2" s="11" t="s">
        <v>181</v>
      </c>
      <c r="S2" s="13" t="s">
        <v>182</v>
      </c>
      <c r="T2" s="191"/>
      <c r="V2" s="11" t="s">
        <v>177</v>
      </c>
      <c r="AB2" s="11" t="s">
        <v>181</v>
      </c>
      <c r="AG2" s="13" t="s">
        <v>182</v>
      </c>
      <c r="AM2" s="11" t="s">
        <v>177</v>
      </c>
      <c r="AN2" s="11" t="s">
        <v>178</v>
      </c>
      <c r="AO2" s="12" t="s">
        <v>179</v>
      </c>
      <c r="AP2" s="11" t="s">
        <v>180</v>
      </c>
      <c r="AQ2" s="11" t="s">
        <v>181</v>
      </c>
      <c r="AR2" s="13" t="s">
        <v>182</v>
      </c>
    </row>
    <row r="3" spans="1:44" x14ac:dyDescent="0.25">
      <c r="A3" s="14">
        <v>1</v>
      </c>
      <c r="B3" s="15">
        <f>IF(关卡产出!C8="","",关卡产出!C8)</f>
        <v>5</v>
      </c>
      <c r="C3" s="15">
        <f>IF(关卡产出!D8="","",关卡产出!D8)</f>
        <v>2</v>
      </c>
      <c r="D3" s="15" t="str">
        <f>IF(关卡产出!E8="","",关卡产出!E8)</f>
        <v/>
      </c>
      <c r="E3" s="15">
        <f>IF(关卡产出!F8="","",关卡产出!F8)</f>
        <v>100</v>
      </c>
      <c r="F3" s="15">
        <f>IF(关卡产出!H8="","",关卡产出!H8)</f>
        <v>200</v>
      </c>
      <c r="G3" s="15">
        <f>IF(关卡产出!J8="","",关卡产出!J8)</f>
        <v>400</v>
      </c>
      <c r="H3" s="15">
        <f>IF(关卡产出!K8="","",关卡产出!K8)</f>
        <v>6</v>
      </c>
      <c r="I3" s="15">
        <f>IF(关卡产出!M8="","",关卡产出!M8)</f>
        <v>12</v>
      </c>
      <c r="J3" s="15">
        <f>IF(关卡产出!N8="","",关卡产出!N8)</f>
        <v>8</v>
      </c>
      <c r="K3" s="15" t="str">
        <f>IF(关卡产出!O8="","",关卡产出!O8)</f>
        <v/>
      </c>
      <c r="L3" s="15">
        <f>IF(关卡产出!P8="","",关卡产出!P8)</f>
        <v>100</v>
      </c>
      <c r="M3">
        <f>E3*5</f>
        <v>500</v>
      </c>
      <c r="N3" t="str">
        <f>_xlfn.TEXTJOIN("|",TRUE,V3:Y3)</f>
        <v>104,5|105,2|1,100</v>
      </c>
      <c r="P3" t="str">
        <f>$F$1&amp;","&amp;F3</f>
        <v>1,200</v>
      </c>
      <c r="Q3" t="str">
        <f>$G$1&amp;","&amp;G3&amp;"|"&amp;$H$1&amp;","&amp;H3</f>
        <v>1,400|4,6</v>
      </c>
      <c r="R3" t="str">
        <f>_xlfn.TEXTJOIN("|",TRUE,AB3:AE3)</f>
        <v>104,12|105,8|3,100</v>
      </c>
      <c r="S3" t="str">
        <f>_xlfn.TEXTJOIN("|",TRUE,AG3:AJ3)</f>
        <v>104,3|105,1|1,125</v>
      </c>
      <c r="V3" t="str">
        <f>IF(B3="","",B$1&amp;","&amp;B3)</f>
        <v>104,5</v>
      </c>
      <c r="W3" t="str">
        <f t="shared" ref="W3:Y18" si="0">IF(C3="","",C$1&amp;","&amp;C3)</f>
        <v>105,2</v>
      </c>
      <c r="X3" t="str">
        <f t="shared" si="0"/>
        <v/>
      </c>
      <c r="Y3" t="str">
        <f t="shared" si="0"/>
        <v>1,100</v>
      </c>
      <c r="AB3" t="str">
        <f>IF(I3="","",I$1&amp;","&amp;I3)</f>
        <v>104,12</v>
      </c>
      <c r="AC3" t="str">
        <f t="shared" ref="AC3:AE3" si="1">IF(J3="","",J$1&amp;","&amp;J3)</f>
        <v>105,8</v>
      </c>
      <c r="AD3" t="str">
        <f t="shared" si="1"/>
        <v/>
      </c>
      <c r="AE3" t="str">
        <f t="shared" si="1"/>
        <v>3,100</v>
      </c>
      <c r="AG3" t="str">
        <f>IF(B3="","",B$1&amp;","&amp;ROUNDUP(B3/2,0))</f>
        <v>104,3</v>
      </c>
      <c r="AH3" t="str">
        <f t="shared" ref="AH3:AI3" si="2">IF(C3="","",C$1&amp;","&amp;ROUNDUP(C3/2,0))</f>
        <v>105,1</v>
      </c>
      <c r="AI3" t="str">
        <f t="shared" si="2"/>
        <v/>
      </c>
      <c r="AJ3" t="str">
        <f>IF(E3="","",E$1&amp;","&amp;ROUNDUP(E3/2*2.5,0))</f>
        <v>1,125</v>
      </c>
      <c r="AM3" t="str">
        <f>N3&amp;"#"&amp;N146&amp;"#"&amp;N249</f>
        <v>104,5|105,2|1,100#104,8|105,3|106,1|1,150#104,13|105,5|106,1|1,250</v>
      </c>
      <c r="AN3" t="str">
        <f t="shared" ref="AN3:AR3" si="3">O3&amp;"#"&amp;O146&amp;"#"&amp;O249</f>
        <v>##</v>
      </c>
      <c r="AO3" t="str">
        <f t="shared" si="3"/>
        <v>1,200#1,300#11,1|1,500</v>
      </c>
      <c r="AP3" t="str">
        <f t="shared" si="3"/>
        <v>1,400|4,6#162,1|1,600|4,6#163,1|1,1000|4,6</v>
      </c>
      <c r="AQ3" t="str">
        <f t="shared" si="3"/>
        <v>104,12|105,8|3,100#104,18|105,12|106,1|3,150#104,30|105,20|106,1|3,250</v>
      </c>
      <c r="AR3" t="str">
        <f t="shared" si="3"/>
        <v>104,3|105,1|1,125#104,4|105,2|106,1|1,188#104,7|105,3|106,1|1,313</v>
      </c>
    </row>
    <row r="4" spans="1:44" x14ac:dyDescent="0.25">
      <c r="A4" s="14">
        <v>2</v>
      </c>
      <c r="B4" s="15">
        <f>IF(关卡产出!C9="","",关卡产出!C9)</f>
        <v>5</v>
      </c>
      <c r="C4" s="15">
        <f>IF(关卡产出!D9="","",关卡产出!D9)</f>
        <v>2</v>
      </c>
      <c r="D4" s="15" t="str">
        <f>IF(关卡产出!E9="","",关卡产出!E9)</f>
        <v/>
      </c>
      <c r="E4" s="15">
        <f>IF(关卡产出!F9="","",关卡产出!F9)</f>
        <v>100</v>
      </c>
      <c r="F4" s="15">
        <f>IF(关卡产出!H9="","",关卡产出!H9)</f>
        <v>300</v>
      </c>
      <c r="G4" s="15">
        <f>IF(关卡产出!J9="","",关卡产出!J9)</f>
        <v>600</v>
      </c>
      <c r="H4" s="15">
        <f>IF(关卡产出!K9="","",关卡产出!K9)</f>
        <v>6</v>
      </c>
      <c r="I4" s="15">
        <f>IF(关卡产出!M9="","",关卡产出!M9)</f>
        <v>14</v>
      </c>
      <c r="J4" s="15">
        <f>IF(关卡产出!N9="","",关卡产出!N9)</f>
        <v>8</v>
      </c>
      <c r="K4" s="15" t="str">
        <f>IF(关卡产出!O9="","",关卡产出!O9)</f>
        <v/>
      </c>
      <c r="L4" s="15">
        <f>IF(关卡产出!P9="","",关卡产出!P9)</f>
        <v>100</v>
      </c>
      <c r="M4">
        <f t="shared" ref="M4:M67" si="4">E4*5</f>
        <v>500</v>
      </c>
      <c r="N4" t="str">
        <f t="shared" ref="N4:N22" si="5">_xlfn.TEXTJOIN("|",TRUE,V4:Y4)</f>
        <v>104,5|105,2|1,100</v>
      </c>
      <c r="P4" t="str">
        <f t="shared" ref="P4:P22" si="6">$F$1&amp;","&amp;F4</f>
        <v>1,300</v>
      </c>
      <c r="Q4" t="str">
        <f t="shared" ref="Q4:Q22" si="7">$G$1&amp;","&amp;G4&amp;"|"&amp;$H$1&amp;","&amp;H4</f>
        <v>1,600|4,6</v>
      </c>
      <c r="R4" t="str">
        <f t="shared" ref="R4:R22" si="8">_xlfn.TEXTJOIN("|",TRUE,AB4:AE4)</f>
        <v>104,14|105,8|3,100</v>
      </c>
      <c r="S4" t="str">
        <f t="shared" ref="S4:S22" si="9">_xlfn.TEXTJOIN("|",TRUE,AG4:AJ4)</f>
        <v>104,3|105,1|1,125</v>
      </c>
      <c r="V4" t="str">
        <f t="shared" ref="V4:V143" si="10">IF(B4="","",B$1&amp;","&amp;B4)</f>
        <v>104,5</v>
      </c>
      <c r="W4" t="str">
        <f t="shared" ref="W4:W143" si="11">IF(C4="","",C$1&amp;","&amp;C4)</f>
        <v>105,2</v>
      </c>
      <c r="X4" t="str">
        <f t="shared" ref="X4:Y143" si="12">IF(D4="","",D$1&amp;","&amp;D4)</f>
        <v/>
      </c>
      <c r="Y4" t="str">
        <f t="shared" si="0"/>
        <v>1,100</v>
      </c>
      <c r="AB4" t="str">
        <f t="shared" ref="AB4:AB22" si="13">IF(I4="","",I$1&amp;","&amp;I4)</f>
        <v>104,14</v>
      </c>
      <c r="AC4" t="str">
        <f t="shared" ref="AC4:AC22" si="14">IF(J4="","",J$1&amp;","&amp;J4)</f>
        <v>105,8</v>
      </c>
      <c r="AD4" t="str">
        <f t="shared" ref="AD4:AD22" si="15">IF(K4="","",K$1&amp;","&amp;K4)</f>
        <v/>
      </c>
      <c r="AE4" t="str">
        <f t="shared" ref="AE4:AE22" si="16">IF(L4="","",L$1&amp;","&amp;L4)</f>
        <v>3,100</v>
      </c>
      <c r="AG4" t="str">
        <f t="shared" ref="AG4:AG20" si="17">IF(B4="","",B$1&amp;","&amp;ROUNDUP(B4/2,0))</f>
        <v>104,3</v>
      </c>
      <c r="AH4" t="str">
        <f t="shared" ref="AH4:AH20" si="18">IF(C4="","",C$1&amp;","&amp;ROUNDUP(C4/2,0))</f>
        <v>105,1</v>
      </c>
      <c r="AI4" t="str">
        <f t="shared" ref="AI4:AI20" si="19">IF(D4="","",D$1&amp;","&amp;ROUNDUP(D4/2,0))</f>
        <v/>
      </c>
      <c r="AJ4" t="str">
        <f t="shared" ref="AJ4:AJ20" si="20">IF(E4="","",E$1&amp;","&amp;ROUNDUP(E4/2*2.5,0))</f>
        <v>1,125</v>
      </c>
      <c r="AM4" t="str">
        <f>N4&amp;"#"&amp;N147&amp;"#"&amp;N250</f>
        <v>104,5|105,2|1,100#104,8|105,3|106,1|1,150#104,13|105,5|106,1|1,250</v>
      </c>
      <c r="AN4" t="str">
        <f>O4&amp;"#"&amp;O147&amp;"#"&amp;O250</f>
        <v>##</v>
      </c>
      <c r="AO4" t="str">
        <f>P4&amp;"#"&amp;P147&amp;"#"&amp;P250</f>
        <v>1,300#1,450#11,1|1,750</v>
      </c>
      <c r="AP4" t="str">
        <f>Q4&amp;"#"&amp;Q147&amp;"#"&amp;Q250</f>
        <v>1,600|4,6#162,1|1,900|4,6#163,1|1,1500|4,6</v>
      </c>
      <c r="AQ4" t="str">
        <f>R4&amp;"#"&amp;R147&amp;"#"&amp;R250</f>
        <v>104,14|105,8|3,100#104,21|105,12|106,1|3,150#104,35|105,20|106,1|3,250</v>
      </c>
      <c r="AR4" t="str">
        <f>S4&amp;"#"&amp;S147&amp;"#"&amp;S250</f>
        <v>104,3|105,1|1,125#104,4|105,2|106,1|1,188#104,7|105,3|106,1|1,313</v>
      </c>
    </row>
    <row r="5" spans="1:44" x14ac:dyDescent="0.25">
      <c r="A5" s="14">
        <v>3</v>
      </c>
      <c r="B5" s="15">
        <f>IF(关卡产出!C10="","",关卡产出!C10)</f>
        <v>5</v>
      </c>
      <c r="C5" s="15">
        <f>IF(关卡产出!D10="","",关卡产出!D10)</f>
        <v>2</v>
      </c>
      <c r="D5" s="15" t="str">
        <f>IF(关卡产出!E10="","",关卡产出!E10)</f>
        <v/>
      </c>
      <c r="E5" s="15">
        <f>IF(关卡产出!F10="","",关卡产出!F10)</f>
        <v>110</v>
      </c>
      <c r="F5" s="15">
        <f>IF(关卡产出!H10="","",关卡产出!H10)</f>
        <v>400</v>
      </c>
      <c r="G5" s="15">
        <f>IF(关卡产出!J10="","",关卡产出!J10)</f>
        <v>800</v>
      </c>
      <c r="H5" s="15">
        <f>IF(关卡产出!K10="","",关卡产出!K10)</f>
        <v>6</v>
      </c>
      <c r="I5" s="15">
        <f>IF(关卡产出!M10="","",关卡产出!M10)</f>
        <v>16</v>
      </c>
      <c r="J5" s="15">
        <f>IF(关卡产出!N10="","",关卡产出!N10)</f>
        <v>8</v>
      </c>
      <c r="K5" s="15" t="str">
        <f>IF(关卡产出!O10="","",关卡产出!O10)</f>
        <v/>
      </c>
      <c r="L5" s="15">
        <f>IF(关卡产出!P10="","",关卡产出!P10)</f>
        <v>100</v>
      </c>
      <c r="M5">
        <f t="shared" si="4"/>
        <v>550</v>
      </c>
      <c r="N5" t="str">
        <f t="shared" si="5"/>
        <v>104,5|105,2|1,110</v>
      </c>
      <c r="P5" t="str">
        <f t="shared" si="6"/>
        <v>1,400</v>
      </c>
      <c r="Q5" t="str">
        <f t="shared" si="7"/>
        <v>1,800|4,6</v>
      </c>
      <c r="R5" t="str">
        <f t="shared" si="8"/>
        <v>104,16|105,8|3,100</v>
      </c>
      <c r="S5" t="str">
        <f t="shared" si="9"/>
        <v>104,3|105,1|1,138</v>
      </c>
      <c r="V5" t="str">
        <f t="shared" si="10"/>
        <v>104,5</v>
      </c>
      <c r="W5" t="str">
        <f t="shared" si="11"/>
        <v>105,2</v>
      </c>
      <c r="X5" t="str">
        <f t="shared" si="12"/>
        <v/>
      </c>
      <c r="Y5" t="str">
        <f t="shared" si="0"/>
        <v>1,110</v>
      </c>
      <c r="AB5" t="str">
        <f t="shared" si="13"/>
        <v>104,16</v>
      </c>
      <c r="AC5" t="str">
        <f t="shared" si="14"/>
        <v>105,8</v>
      </c>
      <c r="AD5" t="str">
        <f t="shared" si="15"/>
        <v/>
      </c>
      <c r="AE5" t="str">
        <f t="shared" si="16"/>
        <v>3,100</v>
      </c>
      <c r="AG5" t="str">
        <f t="shared" si="17"/>
        <v>104,3</v>
      </c>
      <c r="AH5" t="str">
        <f t="shared" si="18"/>
        <v>105,1</v>
      </c>
      <c r="AI5" t="str">
        <f t="shared" si="19"/>
        <v/>
      </c>
      <c r="AJ5" t="str">
        <f t="shared" si="20"/>
        <v>1,138</v>
      </c>
      <c r="AM5" t="str">
        <f>N5&amp;"#"&amp;N148&amp;"#"&amp;N251</f>
        <v>104,5|105,2|1,110#104,8|105,3|106,1|1,165#104,13|105,5|106,1|1,275</v>
      </c>
      <c r="AN5" t="str">
        <f>O5&amp;"#"&amp;O148&amp;"#"&amp;O251</f>
        <v>##</v>
      </c>
      <c r="AO5" t="str">
        <f>P5&amp;"#"&amp;P148&amp;"#"&amp;P251</f>
        <v>1,400#1,600#11,1|1,1000</v>
      </c>
      <c r="AP5" t="str">
        <f>Q5&amp;"#"&amp;Q148&amp;"#"&amp;Q251</f>
        <v>1,800|4,6#162,1|1,1200|4,6#163,1|1,2000|4,6</v>
      </c>
      <c r="AQ5" t="str">
        <f>R5&amp;"#"&amp;R148&amp;"#"&amp;R251</f>
        <v>104,16|105,8|3,100#104,24|105,12|106,1|3,150#104,40|105,20|106,1|3,250</v>
      </c>
      <c r="AR5" t="str">
        <f>S5&amp;"#"&amp;S148&amp;"#"&amp;S251</f>
        <v>104,3|105,1|1,138#104,4|105,2|106,1|1,207#104,7|105,3|106,1|1,344</v>
      </c>
    </row>
    <row r="6" spans="1:44" x14ac:dyDescent="0.25">
      <c r="A6" s="14">
        <v>4</v>
      </c>
      <c r="B6" s="15">
        <f>IF(关卡产出!C11="","",关卡产出!C11)</f>
        <v>5</v>
      </c>
      <c r="C6" s="15">
        <f>IF(关卡产出!D11="","",关卡产出!D11)</f>
        <v>2</v>
      </c>
      <c r="D6" s="15">
        <f>IF(关卡产出!E11="","",关卡产出!E11)</f>
        <v>1</v>
      </c>
      <c r="E6" s="15">
        <f>IF(关卡产出!F11="","",关卡产出!F11)</f>
        <v>110</v>
      </c>
      <c r="F6" s="15">
        <f>IF(关卡产出!H11="","",关卡产出!H11)</f>
        <v>500</v>
      </c>
      <c r="G6" s="15">
        <f>IF(关卡产出!J11="","",关卡产出!J11)</f>
        <v>1000</v>
      </c>
      <c r="H6" s="15">
        <f>IF(关卡产出!K11="","",关卡产出!K11)</f>
        <v>6</v>
      </c>
      <c r="I6" s="15">
        <f>IF(关卡产出!M11="","",关卡产出!M11)</f>
        <v>18</v>
      </c>
      <c r="J6" s="15">
        <f>IF(关卡产出!N11="","",关卡产出!N11)</f>
        <v>8</v>
      </c>
      <c r="K6" s="15">
        <f>IF(关卡产出!O11="","",关卡产出!O11)</f>
        <v>1</v>
      </c>
      <c r="L6" s="15">
        <f>IF(关卡产出!P11="","",关卡产出!P11)</f>
        <v>100</v>
      </c>
      <c r="M6">
        <f t="shared" si="4"/>
        <v>550</v>
      </c>
      <c r="N6" t="str">
        <f t="shared" si="5"/>
        <v>104,5|105,2|106,1|1,110</v>
      </c>
      <c r="P6" t="str">
        <f>$F$1&amp;","&amp;F6</f>
        <v>1,500</v>
      </c>
      <c r="Q6" t="str">
        <f t="shared" si="7"/>
        <v>1,1000|4,6</v>
      </c>
      <c r="R6" t="str">
        <f t="shared" si="8"/>
        <v>104,18|105,8|106,1|3,100</v>
      </c>
      <c r="S6" t="str">
        <f t="shared" si="9"/>
        <v>104,3|105,1|106,1|1,138</v>
      </c>
      <c r="T6" s="190" t="s">
        <v>501</v>
      </c>
      <c r="V6" t="str">
        <f t="shared" si="10"/>
        <v>104,5</v>
      </c>
      <c r="W6" t="str">
        <f t="shared" si="11"/>
        <v>105,2</v>
      </c>
      <c r="X6" t="str">
        <f t="shared" si="12"/>
        <v>106,1</v>
      </c>
      <c r="Y6" t="str">
        <f t="shared" si="0"/>
        <v>1,110</v>
      </c>
      <c r="AB6" t="str">
        <f t="shared" si="13"/>
        <v>104,18</v>
      </c>
      <c r="AC6" t="str">
        <f t="shared" si="14"/>
        <v>105,8</v>
      </c>
      <c r="AD6" t="str">
        <f t="shared" si="15"/>
        <v>106,1</v>
      </c>
      <c r="AE6" t="str">
        <f t="shared" si="16"/>
        <v>3,100</v>
      </c>
      <c r="AG6" t="str">
        <f t="shared" si="17"/>
        <v>104,3</v>
      </c>
      <c r="AH6" t="str">
        <f t="shared" si="18"/>
        <v>105,1</v>
      </c>
      <c r="AI6" t="str">
        <f t="shared" si="19"/>
        <v>106,1</v>
      </c>
      <c r="AJ6" t="str">
        <f t="shared" si="20"/>
        <v>1,138</v>
      </c>
      <c r="AM6" t="str">
        <f>N6&amp;"#"&amp;N149&amp;"#"&amp;N252</f>
        <v>104,5|105,2|106,1|1,110#104,8|105,3|106,2|1,165#104,13|105,5|106,3|1,275</v>
      </c>
      <c r="AN6" t="str">
        <f>O6&amp;"#"&amp;O149&amp;"#"&amp;O252</f>
        <v>##</v>
      </c>
      <c r="AO6" t="str">
        <f>P6&amp;"#"&amp;P149&amp;"#"&amp;P252</f>
        <v>1,500#1,750#11,1|1,1250</v>
      </c>
      <c r="AP6" t="str">
        <f>Q6&amp;"#"&amp;Q149&amp;"#"&amp;Q252</f>
        <v>1,1000|4,6#162,1|1,1500|4,6#163,1|1,2500|4,6</v>
      </c>
      <c r="AQ6" t="str">
        <f>R6&amp;"#"&amp;R149&amp;"#"&amp;R252</f>
        <v>104,18|105,8|106,1|3,100#104,27|105,12|106,2|3,150#104,45|105,20|106,3|3,250</v>
      </c>
      <c r="AR6" t="str">
        <f>S6&amp;"#"&amp;S149&amp;"#"&amp;S252</f>
        <v>104,3|105,1|106,1|1,138#104,4|105,2|106,1|1,207#104,7|105,3|106,2|1,344</v>
      </c>
    </row>
    <row r="7" spans="1:44" x14ac:dyDescent="0.25">
      <c r="A7" s="14">
        <v>5</v>
      </c>
      <c r="B7" s="15">
        <f>IF(关卡产出!C12="","",关卡产出!C12)</f>
        <v>6</v>
      </c>
      <c r="C7" s="15">
        <f>IF(关卡产出!D12="","",关卡产出!D12)</f>
        <v>3</v>
      </c>
      <c r="D7" s="15">
        <f>IF(关卡产出!E12="","",关卡产出!E12)</f>
        <v>1</v>
      </c>
      <c r="E7" s="15">
        <f>IF(关卡产出!F12="","",关卡产出!F12)</f>
        <v>120</v>
      </c>
      <c r="F7" s="15">
        <f>IF(关卡产出!H12="","",关卡产出!H12)</f>
        <v>600</v>
      </c>
      <c r="G7" s="15">
        <f>IF(关卡产出!J12="","",关卡产出!J12)</f>
        <v>1200</v>
      </c>
      <c r="H7" s="15">
        <f>IF(关卡产出!K12="","",关卡产出!K12)</f>
        <v>6</v>
      </c>
      <c r="I7" s="15">
        <f>IF(关卡产出!M12="","",关卡产出!M12)</f>
        <v>20</v>
      </c>
      <c r="J7" s="15">
        <f>IF(关卡产出!N12="","",关卡产出!N12)</f>
        <v>9</v>
      </c>
      <c r="K7" s="15">
        <f>IF(关卡产出!O12="","",关卡产出!O12)</f>
        <v>1</v>
      </c>
      <c r="L7" s="15">
        <f>IF(关卡产出!P12="","",关卡产出!P12)</f>
        <v>100</v>
      </c>
      <c r="M7">
        <f t="shared" si="4"/>
        <v>600</v>
      </c>
      <c r="N7" t="str">
        <f t="shared" si="5"/>
        <v>104,6|105,3|106,1|1,120</v>
      </c>
      <c r="P7" t="str">
        <f t="shared" si="6"/>
        <v>1,600</v>
      </c>
      <c r="Q7" t="str">
        <f t="shared" si="7"/>
        <v>1,1200|4,6</v>
      </c>
      <c r="R7" t="str">
        <f t="shared" si="8"/>
        <v>104,20|105,9|106,1|3,100</v>
      </c>
      <c r="S7" t="str">
        <f t="shared" si="9"/>
        <v>104,3|105,2|106,1|1,150</v>
      </c>
      <c r="T7">
        <f>138*8</f>
        <v>1104</v>
      </c>
      <c r="V7" t="str">
        <f t="shared" si="10"/>
        <v>104,6</v>
      </c>
      <c r="W7" t="str">
        <f t="shared" si="11"/>
        <v>105,3</v>
      </c>
      <c r="X7" t="str">
        <f t="shared" si="12"/>
        <v>106,1</v>
      </c>
      <c r="Y7" t="str">
        <f t="shared" si="0"/>
        <v>1,120</v>
      </c>
      <c r="AB7" t="str">
        <f t="shared" si="13"/>
        <v>104,20</v>
      </c>
      <c r="AC7" t="str">
        <f t="shared" si="14"/>
        <v>105,9</v>
      </c>
      <c r="AD7" t="str">
        <f t="shared" si="15"/>
        <v>106,1</v>
      </c>
      <c r="AE7" t="str">
        <f t="shared" si="16"/>
        <v>3,100</v>
      </c>
      <c r="AG7" t="str">
        <f t="shared" si="17"/>
        <v>104,3</v>
      </c>
      <c r="AH7" t="str">
        <f t="shared" si="18"/>
        <v>105,2</v>
      </c>
      <c r="AI7" t="str">
        <f t="shared" si="19"/>
        <v>106,1</v>
      </c>
      <c r="AJ7" t="str">
        <f t="shared" si="20"/>
        <v>1,150</v>
      </c>
      <c r="AM7" t="str">
        <f>N7&amp;"#"&amp;N150&amp;"#"&amp;N253</f>
        <v>104,6|105,3|106,1|1,120#104,9|105,5|106,2|1,180#104,15|105,8|106,3|1,300</v>
      </c>
      <c r="AN7" t="str">
        <f>O7&amp;"#"&amp;O150&amp;"#"&amp;O253</f>
        <v>##</v>
      </c>
      <c r="AO7" t="str">
        <f>P7&amp;"#"&amp;P150&amp;"#"&amp;P253</f>
        <v>1,600#1,900#11,1|1,1500</v>
      </c>
      <c r="AP7" t="str">
        <f>Q7&amp;"#"&amp;Q150&amp;"#"&amp;Q253</f>
        <v>1,1200|4,6#162,1|1,1800|4,6#163,1|1,3000|4,6</v>
      </c>
      <c r="AQ7" t="str">
        <f>R7&amp;"#"&amp;R150&amp;"#"&amp;R253</f>
        <v>104,20|105,9|106,1|3,100#104,30|105,14|106,2|3,150#104,50|105,23|106,3|3,250</v>
      </c>
      <c r="AR7" t="str">
        <f>S7&amp;"#"&amp;S150&amp;"#"&amp;S253</f>
        <v>104,3|105,2|106,1|1,150#104,5|105,3|106,1|1,225#104,8|105,4|106,2|1,375</v>
      </c>
    </row>
    <row r="8" spans="1:44" x14ac:dyDescent="0.25">
      <c r="A8" s="14">
        <v>6</v>
      </c>
      <c r="B8" s="15">
        <f>IF(关卡产出!C13="","",关卡产出!C13)</f>
        <v>6</v>
      </c>
      <c r="C8" s="15">
        <f>IF(关卡产出!D13="","",关卡产出!D13)</f>
        <v>3</v>
      </c>
      <c r="D8" s="15">
        <f>IF(关卡产出!E13="","",关卡产出!E13)</f>
        <v>1</v>
      </c>
      <c r="E8" s="15">
        <f>IF(关卡产出!F13="","",关卡产出!F13)</f>
        <v>120</v>
      </c>
      <c r="F8" s="15">
        <f>IF(关卡产出!H13="","",关卡产出!H13)</f>
        <v>700</v>
      </c>
      <c r="G8" s="15">
        <f>IF(关卡产出!J13="","",关卡产出!J13)</f>
        <v>1400</v>
      </c>
      <c r="H8" s="15">
        <f>IF(关卡产出!K13="","",关卡产出!K13)</f>
        <v>6</v>
      </c>
      <c r="I8" s="15">
        <f>IF(关卡产出!M13="","",关卡产出!M13)</f>
        <v>20</v>
      </c>
      <c r="J8" s="15">
        <f>IF(关卡产出!N13="","",关卡产出!N13)</f>
        <v>10</v>
      </c>
      <c r="K8" s="15">
        <f>IF(关卡产出!O13="","",关卡产出!O13)</f>
        <v>2</v>
      </c>
      <c r="L8" s="15">
        <f>IF(关卡产出!P13="","",关卡产出!P13)</f>
        <v>100</v>
      </c>
      <c r="M8">
        <f t="shared" si="4"/>
        <v>600</v>
      </c>
      <c r="N8" t="str">
        <f t="shared" si="5"/>
        <v>104,6|105,3|106,1|1,120</v>
      </c>
      <c r="P8" t="str">
        <f t="shared" si="6"/>
        <v>1,700</v>
      </c>
      <c r="Q8" t="str">
        <f>$G$1&amp;","&amp;G8&amp;"|"&amp;$H$1&amp;","&amp;H8</f>
        <v>1,1400|4,6</v>
      </c>
      <c r="R8" t="str">
        <f t="shared" si="8"/>
        <v>104,20|105,10|106,2|3,100</v>
      </c>
      <c r="S8" t="str">
        <f t="shared" si="9"/>
        <v>104,3|105,2|106,1|1,150</v>
      </c>
      <c r="V8" t="str">
        <f t="shared" si="10"/>
        <v>104,6</v>
      </c>
      <c r="W8" t="str">
        <f t="shared" si="11"/>
        <v>105,3</v>
      </c>
      <c r="X8" t="str">
        <f t="shared" si="12"/>
        <v>106,1</v>
      </c>
      <c r="Y8" t="str">
        <f t="shared" si="0"/>
        <v>1,120</v>
      </c>
      <c r="AB8" t="str">
        <f t="shared" si="13"/>
        <v>104,20</v>
      </c>
      <c r="AC8" t="str">
        <f t="shared" si="14"/>
        <v>105,10</v>
      </c>
      <c r="AD8" t="str">
        <f t="shared" si="15"/>
        <v>106,2</v>
      </c>
      <c r="AE8" t="str">
        <f t="shared" si="16"/>
        <v>3,100</v>
      </c>
      <c r="AG8" t="str">
        <f t="shared" si="17"/>
        <v>104,3</v>
      </c>
      <c r="AH8" t="str">
        <f t="shared" si="18"/>
        <v>105,2</v>
      </c>
      <c r="AI8" t="str">
        <f t="shared" si="19"/>
        <v>106,1</v>
      </c>
      <c r="AJ8" t="str">
        <f t="shared" si="20"/>
        <v>1,150</v>
      </c>
      <c r="AM8" t="str">
        <f>N8&amp;"#"&amp;N151&amp;"#"&amp;N254</f>
        <v>104,6|105,3|106,1|1,120#104,9|105,5|106,2|1,180#104,15|105,8|106,3|1,300</v>
      </c>
      <c r="AN8" t="str">
        <f>O8&amp;"#"&amp;O151&amp;"#"&amp;O254</f>
        <v>##</v>
      </c>
      <c r="AO8" t="str">
        <f>P8&amp;"#"&amp;P151&amp;"#"&amp;P254</f>
        <v>1,700#1,1050#11,1|1,1750</v>
      </c>
      <c r="AP8" t="str">
        <f>Q8&amp;"#"&amp;Q151&amp;"#"&amp;Q254</f>
        <v>1,1400|4,6#162,1|1,2100|4,6#163,1|1,3500|4,6</v>
      </c>
      <c r="AQ8" t="str">
        <f>R8&amp;"#"&amp;R151&amp;"#"&amp;R254</f>
        <v>104,20|105,10|106,2|3,100#104,30|105,15|106,3|3,150#104,50|105,25|106,5|3,250</v>
      </c>
      <c r="AR8" t="str">
        <f>S8&amp;"#"&amp;S151&amp;"#"&amp;S254</f>
        <v>104,3|105,2|106,1|1,150#104,5|105,3|106,1|1,225#104,8|105,4|106,2|1,375</v>
      </c>
    </row>
    <row r="9" spans="1:44" x14ac:dyDescent="0.25">
      <c r="A9" s="14">
        <v>7</v>
      </c>
      <c r="B9" s="15">
        <f>IF(关卡产出!C14="","",关卡产出!C14)</f>
        <v>7</v>
      </c>
      <c r="C9" s="15">
        <f>IF(关卡产出!D14="","",关卡产出!D14)</f>
        <v>3</v>
      </c>
      <c r="D9" s="15">
        <f>IF(关卡产出!E14="","",关卡产出!E14)</f>
        <v>1</v>
      </c>
      <c r="E9" s="15">
        <f>IF(关卡产出!F14="","",关卡产出!F14)</f>
        <v>130</v>
      </c>
      <c r="F9" s="15">
        <f>IF(关卡产出!H14="","",关卡产出!H14)</f>
        <v>800</v>
      </c>
      <c r="G9" s="15">
        <f>IF(关卡产出!J14="","",关卡产出!J14)</f>
        <v>1600</v>
      </c>
      <c r="H9" s="15">
        <f>IF(关卡产出!K14="","",关卡产出!K14)</f>
        <v>6</v>
      </c>
      <c r="I9" s="15">
        <f>IF(关卡产出!M14="","",关卡产出!M14)</f>
        <v>22</v>
      </c>
      <c r="J9" s="15">
        <f>IF(关卡产出!N14="","",关卡产出!N14)</f>
        <v>11</v>
      </c>
      <c r="K9" s="15">
        <f>IF(关卡产出!O14="","",关卡产出!O14)</f>
        <v>2</v>
      </c>
      <c r="L9" s="15">
        <f>IF(关卡产出!P14="","",关卡产出!P14)</f>
        <v>100</v>
      </c>
      <c r="M9">
        <f t="shared" si="4"/>
        <v>650</v>
      </c>
      <c r="N9" t="str">
        <f t="shared" si="5"/>
        <v>104,7|105,3|106,1|1,130</v>
      </c>
      <c r="P9" t="str">
        <f t="shared" si="6"/>
        <v>1,800</v>
      </c>
      <c r="Q9" t="str">
        <f t="shared" si="7"/>
        <v>1,1600|4,6</v>
      </c>
      <c r="R9" t="str">
        <f t="shared" si="8"/>
        <v>104,22|105,11|106,2|3,100</v>
      </c>
      <c r="S9" t="str">
        <f t="shared" si="9"/>
        <v>104,4|105,2|106,1|1,163</v>
      </c>
      <c r="V9" t="str">
        <f t="shared" si="10"/>
        <v>104,7</v>
      </c>
      <c r="W9" t="str">
        <f t="shared" si="11"/>
        <v>105,3</v>
      </c>
      <c r="X9" t="str">
        <f t="shared" si="12"/>
        <v>106,1</v>
      </c>
      <c r="Y9" t="str">
        <f t="shared" si="0"/>
        <v>1,130</v>
      </c>
      <c r="AB9" t="str">
        <f t="shared" si="13"/>
        <v>104,22</v>
      </c>
      <c r="AC9" t="str">
        <f t="shared" si="14"/>
        <v>105,11</v>
      </c>
      <c r="AD9" t="str">
        <f t="shared" si="15"/>
        <v>106,2</v>
      </c>
      <c r="AE9" t="str">
        <f t="shared" si="16"/>
        <v>3,100</v>
      </c>
      <c r="AG9" t="str">
        <f t="shared" si="17"/>
        <v>104,4</v>
      </c>
      <c r="AH9" t="str">
        <f t="shared" si="18"/>
        <v>105,2</v>
      </c>
      <c r="AI9" t="str">
        <f t="shared" si="19"/>
        <v>106,1</v>
      </c>
      <c r="AJ9" t="str">
        <f t="shared" si="20"/>
        <v>1,163</v>
      </c>
      <c r="AM9" t="str">
        <f>N9&amp;"#"&amp;N152&amp;"#"&amp;N255</f>
        <v>104,7|105,3|106,1|1,130#104,11|105,5|106,2|1,195#104,18|105,8|106,3|1,325</v>
      </c>
      <c r="AN9" t="str">
        <f>O9&amp;"#"&amp;O152&amp;"#"&amp;O255</f>
        <v>##</v>
      </c>
      <c r="AO9" t="str">
        <f>P9&amp;"#"&amp;P152&amp;"#"&amp;P255</f>
        <v>1,800#1,1200#11,1|1,2000</v>
      </c>
      <c r="AP9" t="str">
        <f>Q9&amp;"#"&amp;Q152&amp;"#"&amp;Q255</f>
        <v>1,1600|4,6#162,1|1,2400|4,6#163,1|1,4000|4,6</v>
      </c>
      <c r="AQ9" t="str">
        <f>R9&amp;"#"&amp;R152&amp;"#"&amp;R255</f>
        <v>104,22|105,11|106,2|3,100#104,33|105,17|106,3|3,150#104,55|105,28|106,5|3,250</v>
      </c>
      <c r="AR9" t="str">
        <f>S9&amp;"#"&amp;S152&amp;"#"&amp;S255</f>
        <v>104,4|105,2|106,1|1,163#104,6|105,3|106,1|1,244#104,9|105,4|106,2|1,407</v>
      </c>
    </row>
    <row r="10" spans="1:44" x14ac:dyDescent="0.25">
      <c r="A10" s="14">
        <v>8</v>
      </c>
      <c r="B10" s="15">
        <f>IF(关卡产出!C15="","",关卡产出!C15)</f>
        <v>7</v>
      </c>
      <c r="C10" s="15">
        <f>IF(关卡产出!D15="","",关卡产出!D15)</f>
        <v>3</v>
      </c>
      <c r="D10" s="15">
        <f>IF(关卡产出!E15="","",关卡产出!E15)</f>
        <v>1</v>
      </c>
      <c r="E10" s="15">
        <f>IF(关卡产出!F15="","",关卡产出!F15)</f>
        <v>130</v>
      </c>
      <c r="F10" s="15">
        <f>IF(关卡产出!H15="","",关卡产出!H15)</f>
        <v>900</v>
      </c>
      <c r="G10" s="15">
        <f>IF(关卡产出!J15="","",关卡产出!J15)</f>
        <v>1800</v>
      </c>
      <c r="H10" s="15">
        <f>IF(关卡产出!K15="","",关卡产出!K15)</f>
        <v>6</v>
      </c>
      <c r="I10" s="15">
        <f>IF(关卡产出!M15="","",关卡产出!M15)</f>
        <v>24</v>
      </c>
      <c r="J10" s="15">
        <f>IF(关卡产出!N15="","",关卡产出!N15)</f>
        <v>12</v>
      </c>
      <c r="K10" s="15">
        <f>IF(关卡产出!O15="","",关卡产出!O15)</f>
        <v>3</v>
      </c>
      <c r="L10" s="15">
        <f>IF(关卡产出!P15="","",关卡产出!P15)</f>
        <v>100</v>
      </c>
      <c r="M10">
        <f t="shared" si="4"/>
        <v>650</v>
      </c>
      <c r="N10" t="str">
        <f t="shared" si="5"/>
        <v>104,7|105,3|106,1|1,130</v>
      </c>
      <c r="P10" t="str">
        <f t="shared" si="6"/>
        <v>1,900</v>
      </c>
      <c r="Q10" t="str">
        <f t="shared" si="7"/>
        <v>1,1800|4,6</v>
      </c>
      <c r="R10" t="str">
        <f t="shared" si="8"/>
        <v>104,24|105,12|106,3|3,100</v>
      </c>
      <c r="S10" t="str">
        <f t="shared" si="9"/>
        <v>104,4|105,2|106,1|1,163</v>
      </c>
      <c r="V10" t="str">
        <f t="shared" si="10"/>
        <v>104,7</v>
      </c>
      <c r="W10" t="str">
        <f t="shared" si="11"/>
        <v>105,3</v>
      </c>
      <c r="X10" t="str">
        <f t="shared" si="12"/>
        <v>106,1</v>
      </c>
      <c r="Y10" t="str">
        <f t="shared" si="0"/>
        <v>1,130</v>
      </c>
      <c r="AB10" t="str">
        <f t="shared" si="13"/>
        <v>104,24</v>
      </c>
      <c r="AC10" t="str">
        <f t="shared" si="14"/>
        <v>105,12</v>
      </c>
      <c r="AD10" t="str">
        <f t="shared" si="15"/>
        <v>106,3</v>
      </c>
      <c r="AE10" t="str">
        <f t="shared" si="16"/>
        <v>3,100</v>
      </c>
      <c r="AG10" t="str">
        <f t="shared" si="17"/>
        <v>104,4</v>
      </c>
      <c r="AH10" t="str">
        <f t="shared" si="18"/>
        <v>105,2</v>
      </c>
      <c r="AI10" t="str">
        <f t="shared" si="19"/>
        <v>106,1</v>
      </c>
      <c r="AJ10" t="str">
        <f t="shared" si="20"/>
        <v>1,163</v>
      </c>
      <c r="AM10" t="str">
        <f>N10&amp;"#"&amp;N153&amp;"#"&amp;N256</f>
        <v>104,7|105,3|106,1|1,130#104,11|105,5|106,2|1,195#104,18|105,8|106,3|1,325</v>
      </c>
      <c r="AN10" t="str">
        <f>O10&amp;"#"&amp;O153&amp;"#"&amp;O256</f>
        <v>##</v>
      </c>
      <c r="AO10" t="str">
        <f>P10&amp;"#"&amp;P153&amp;"#"&amp;P256</f>
        <v>1,900#1,1350#11,1|1,2250</v>
      </c>
      <c r="AP10" t="str">
        <f>Q10&amp;"#"&amp;Q153&amp;"#"&amp;Q256</f>
        <v>1,1800|4,6#162,1|1,2700|4,6#163,1|1,4500|4,6</v>
      </c>
      <c r="AQ10" t="str">
        <f>R10&amp;"#"&amp;R153&amp;"#"&amp;R256</f>
        <v>104,24|105,12|106,3|3,100#104,36|105,18|106,5|3,150#104,60|105,30|106,8|3,250</v>
      </c>
      <c r="AR10" t="str">
        <f>S10&amp;"#"&amp;S153&amp;"#"&amp;S256</f>
        <v>104,4|105,2|106,1|1,163#104,6|105,3|106,1|1,244#104,9|105,4|106,2|1,407</v>
      </c>
    </row>
    <row r="11" spans="1:44" x14ac:dyDescent="0.25">
      <c r="A11" s="14">
        <v>9</v>
      </c>
      <c r="B11" s="15">
        <f>IF(关卡产出!C16="","",关卡产出!C16)</f>
        <v>8</v>
      </c>
      <c r="C11" s="15">
        <f>IF(关卡产出!D16="","",关卡产出!D16)</f>
        <v>4</v>
      </c>
      <c r="D11" s="15">
        <f>IF(关卡产出!E16="","",关卡产出!E16)</f>
        <v>1</v>
      </c>
      <c r="E11" s="15">
        <f>IF(关卡产出!F16="","",关卡产出!F16)</f>
        <v>150</v>
      </c>
      <c r="F11" s="15">
        <f>IF(关卡产出!H16="","",关卡产出!H16)</f>
        <v>1100</v>
      </c>
      <c r="G11" s="15">
        <f>IF(关卡产出!J16="","",关卡产出!J16)</f>
        <v>2000</v>
      </c>
      <c r="H11" s="15">
        <f>IF(关卡产出!K16="","",关卡产出!K16)</f>
        <v>6</v>
      </c>
      <c r="I11" s="15">
        <f>IF(关卡产出!M16="","",关卡产出!M16)</f>
        <v>28</v>
      </c>
      <c r="J11" s="15">
        <f>IF(关卡产出!N16="","",关卡产出!N16)</f>
        <v>14</v>
      </c>
      <c r="K11" s="15">
        <f>IF(关卡产出!O16="","",关卡产出!O16)</f>
        <v>4</v>
      </c>
      <c r="L11" s="15">
        <f>IF(关卡产出!P16="","",关卡产出!P16)</f>
        <v>100</v>
      </c>
      <c r="M11">
        <f t="shared" si="4"/>
        <v>750</v>
      </c>
      <c r="N11" t="str">
        <f t="shared" si="5"/>
        <v>104,8|105,4|106,1|1,150</v>
      </c>
      <c r="P11" t="str">
        <f t="shared" si="6"/>
        <v>1,1100</v>
      </c>
      <c r="Q11" t="str">
        <f t="shared" si="7"/>
        <v>1,2000|4,6</v>
      </c>
      <c r="R11" t="str">
        <f t="shared" si="8"/>
        <v>104,28|105,14|106,4|3,100</v>
      </c>
      <c r="S11" t="str">
        <f t="shared" si="9"/>
        <v>104,4|105,2|106,1|1,188</v>
      </c>
      <c r="V11" t="str">
        <f t="shared" si="10"/>
        <v>104,8</v>
      </c>
      <c r="W11" t="str">
        <f t="shared" si="11"/>
        <v>105,4</v>
      </c>
      <c r="X11" t="str">
        <f t="shared" si="12"/>
        <v>106,1</v>
      </c>
      <c r="Y11" t="str">
        <f t="shared" si="0"/>
        <v>1,150</v>
      </c>
      <c r="AB11" t="str">
        <f t="shared" si="13"/>
        <v>104,28</v>
      </c>
      <c r="AC11" t="str">
        <f t="shared" si="14"/>
        <v>105,14</v>
      </c>
      <c r="AD11" t="str">
        <f t="shared" si="15"/>
        <v>106,4</v>
      </c>
      <c r="AE11" t="str">
        <f t="shared" si="16"/>
        <v>3,100</v>
      </c>
      <c r="AG11" t="str">
        <f t="shared" si="17"/>
        <v>104,4</v>
      </c>
      <c r="AH11" t="str">
        <f t="shared" si="18"/>
        <v>105,2</v>
      </c>
      <c r="AI11" t="str">
        <f t="shared" si="19"/>
        <v>106,1</v>
      </c>
      <c r="AJ11" t="str">
        <f t="shared" si="20"/>
        <v>1,188</v>
      </c>
      <c r="AM11" t="str">
        <f>N11&amp;"#"&amp;N154&amp;"#"&amp;N257</f>
        <v>104,8|105,4|106,1|1,150#104,12|105,6|106,2|1,225#104,20|105,10|106,3|1,375</v>
      </c>
      <c r="AN11" t="str">
        <f>O11&amp;"#"&amp;O154&amp;"#"&amp;O257</f>
        <v>##</v>
      </c>
      <c r="AO11" t="str">
        <f>P11&amp;"#"&amp;P154&amp;"#"&amp;P257</f>
        <v>1,1100#1,1650#11,1|1,2750</v>
      </c>
      <c r="AP11" t="str">
        <f>Q11&amp;"#"&amp;Q154&amp;"#"&amp;Q257</f>
        <v>1,2000|4,6#162,1|1,3000|4,6#163,1|1,5000|4,6</v>
      </c>
      <c r="AQ11" t="str">
        <f>R11&amp;"#"&amp;R154&amp;"#"&amp;R257</f>
        <v>104,28|105,14|106,4|3,100#104,42|105,21|106,6|3,150#104,70|105,35|106,10|3,250</v>
      </c>
      <c r="AR11" t="str">
        <f>S11&amp;"#"&amp;S154&amp;"#"&amp;S257</f>
        <v>104,4|105,2|106,1|1,188#104,6|105,3|106,1|1,282#104,10|105,5|106,2|1,469</v>
      </c>
    </row>
    <row r="12" spans="1:44" x14ac:dyDescent="0.25">
      <c r="A12" s="14">
        <v>10</v>
      </c>
      <c r="B12" s="15">
        <f>IF(关卡产出!C17="","",关卡产出!C17)</f>
        <v>8</v>
      </c>
      <c r="C12" s="15">
        <f>IF(关卡产出!D17="","",关卡产出!D17)</f>
        <v>4</v>
      </c>
      <c r="D12" s="15">
        <f>IF(关卡产出!E17="","",关卡产出!E17)</f>
        <v>1</v>
      </c>
      <c r="E12" s="15">
        <f>IF(关卡产出!F17="","",关卡产出!F17)</f>
        <v>150</v>
      </c>
      <c r="F12" s="15">
        <f>IF(关卡产出!H17="","",关卡产出!H17)</f>
        <v>1300</v>
      </c>
      <c r="G12" s="15">
        <f>IF(关卡产出!J17="","",关卡产出!J17)</f>
        <v>2400</v>
      </c>
      <c r="H12" s="15">
        <f>IF(关卡产出!K17="","",关卡产出!K17)</f>
        <v>6</v>
      </c>
      <c r="I12" s="15">
        <f>IF(关卡产出!M17="","",关卡产出!M17)</f>
        <v>32</v>
      </c>
      <c r="J12" s="15">
        <f>IF(关卡产出!N17="","",关卡产出!N17)</f>
        <v>16</v>
      </c>
      <c r="K12" s="15">
        <f>IF(关卡产出!O17="","",关卡产出!O17)</f>
        <v>5</v>
      </c>
      <c r="L12" s="15">
        <f>IF(关卡产出!P17="","",关卡产出!P17)</f>
        <v>100</v>
      </c>
      <c r="M12">
        <f t="shared" si="4"/>
        <v>750</v>
      </c>
      <c r="N12" t="str">
        <f t="shared" si="5"/>
        <v>104,8|105,4|106,1|1,150</v>
      </c>
      <c r="P12" t="str">
        <f t="shared" si="6"/>
        <v>1,1300</v>
      </c>
      <c r="Q12" t="str">
        <f t="shared" si="7"/>
        <v>1,2400|4,6</v>
      </c>
      <c r="R12" t="str">
        <f t="shared" si="8"/>
        <v>104,32|105,16|106,5|3,100</v>
      </c>
      <c r="S12" t="str">
        <f t="shared" si="9"/>
        <v>104,4|105,2|106,1|1,188</v>
      </c>
      <c r="V12" t="str">
        <f t="shared" si="10"/>
        <v>104,8</v>
      </c>
      <c r="W12" t="str">
        <f t="shared" si="11"/>
        <v>105,4</v>
      </c>
      <c r="X12" t="str">
        <f t="shared" si="12"/>
        <v>106,1</v>
      </c>
      <c r="Y12" t="str">
        <f t="shared" si="0"/>
        <v>1,150</v>
      </c>
      <c r="AB12" t="str">
        <f t="shared" si="13"/>
        <v>104,32</v>
      </c>
      <c r="AC12" t="str">
        <f t="shared" si="14"/>
        <v>105,16</v>
      </c>
      <c r="AD12" t="str">
        <f t="shared" si="15"/>
        <v>106,5</v>
      </c>
      <c r="AE12" t="str">
        <f t="shared" si="16"/>
        <v>3,100</v>
      </c>
      <c r="AG12" t="str">
        <f t="shared" si="17"/>
        <v>104,4</v>
      </c>
      <c r="AH12" t="str">
        <f t="shared" si="18"/>
        <v>105,2</v>
      </c>
      <c r="AI12" t="str">
        <f t="shared" si="19"/>
        <v>106,1</v>
      </c>
      <c r="AJ12" t="str">
        <f t="shared" si="20"/>
        <v>1,188</v>
      </c>
      <c r="AM12" t="str">
        <f>N12&amp;"#"&amp;N155&amp;"#"&amp;N258</f>
        <v>104,8|105,4|106,1|1,150#104,12|105,6|106,2|1,225#104,20|105,10|106,3|1,375</v>
      </c>
      <c r="AN12" t="str">
        <f>O12&amp;"#"&amp;O155&amp;"#"&amp;O258</f>
        <v>##</v>
      </c>
      <c r="AO12" t="str">
        <f>P12&amp;"#"&amp;P155&amp;"#"&amp;P258</f>
        <v>1,1300#1,1950#11,1|1,3250</v>
      </c>
      <c r="AP12" t="str">
        <f>Q12&amp;"#"&amp;Q155&amp;"#"&amp;Q258</f>
        <v>1,2400|4,6#162,1|1,3600|4,6#163,1|1,6000|4,6</v>
      </c>
      <c r="AQ12" t="str">
        <f>R12&amp;"#"&amp;R155&amp;"#"&amp;R258</f>
        <v>104,32|105,16|106,5|3,100#104,48|105,24|106,8|3,150#104,80|105,40|106,13|3,250</v>
      </c>
      <c r="AR12" t="str">
        <f>S12&amp;"#"&amp;S155&amp;"#"&amp;S258</f>
        <v>104,4|105,2|106,1|1,188#104,6|105,3|106,1|1,282#104,10|105,5|106,2|1,469</v>
      </c>
    </row>
    <row r="13" spans="1:44" x14ac:dyDescent="0.25">
      <c r="A13" s="14">
        <v>11</v>
      </c>
      <c r="B13" s="15">
        <f>IF(关卡产出!C18="","",关卡产出!C18)</f>
        <v>9</v>
      </c>
      <c r="C13" s="15">
        <f>IF(关卡产出!D18="","",关卡产出!D18)</f>
        <v>4</v>
      </c>
      <c r="D13" s="15">
        <f>IF(关卡产出!E18="","",关卡产出!E18)</f>
        <v>1</v>
      </c>
      <c r="E13" s="15">
        <f>IF(关卡产出!F18="","",关卡产出!F18)</f>
        <v>170</v>
      </c>
      <c r="F13" s="15">
        <f>IF(关卡产出!H18="","",关卡产出!H18)</f>
        <v>1500</v>
      </c>
      <c r="G13" s="15">
        <f>IF(关卡产出!J18="","",关卡产出!J18)</f>
        <v>2800</v>
      </c>
      <c r="H13" s="15">
        <f>IF(关卡产出!K18="","",关卡产出!K18)</f>
        <v>6</v>
      </c>
      <c r="I13" s="15">
        <f>IF(关卡产出!M18="","",关卡产出!M18)</f>
        <v>36</v>
      </c>
      <c r="J13" s="15">
        <f>IF(关卡产出!N18="","",关卡产出!N18)</f>
        <v>18</v>
      </c>
      <c r="K13" s="15">
        <f>IF(关卡产出!O18="","",关卡产出!O18)</f>
        <v>6</v>
      </c>
      <c r="L13" s="15">
        <f>IF(关卡产出!P18="","",关卡产出!P18)</f>
        <v>150</v>
      </c>
      <c r="M13">
        <f t="shared" si="4"/>
        <v>850</v>
      </c>
      <c r="N13" t="str">
        <f t="shared" si="5"/>
        <v>104,9|105,4|106,1|1,170</v>
      </c>
      <c r="P13" t="str">
        <f t="shared" si="6"/>
        <v>1,1500</v>
      </c>
      <c r="Q13" t="str">
        <f t="shared" si="7"/>
        <v>1,2800|4,6</v>
      </c>
      <c r="R13" t="str">
        <f t="shared" si="8"/>
        <v>104,36|105,18|106,6|3,150</v>
      </c>
      <c r="S13" t="str">
        <f t="shared" si="9"/>
        <v>104,5|105,2|106,1|1,213</v>
      </c>
      <c r="T13">
        <f>125*8</f>
        <v>1000</v>
      </c>
      <c r="V13" t="str">
        <f t="shared" si="10"/>
        <v>104,9</v>
      </c>
      <c r="W13" t="str">
        <f t="shared" si="11"/>
        <v>105,4</v>
      </c>
      <c r="X13" t="str">
        <f t="shared" si="12"/>
        <v>106,1</v>
      </c>
      <c r="Y13" t="str">
        <f t="shared" si="0"/>
        <v>1,170</v>
      </c>
      <c r="AB13" t="str">
        <f t="shared" si="13"/>
        <v>104,36</v>
      </c>
      <c r="AC13" t="str">
        <f t="shared" si="14"/>
        <v>105,18</v>
      </c>
      <c r="AD13" t="str">
        <f t="shared" si="15"/>
        <v>106,6</v>
      </c>
      <c r="AE13" t="str">
        <f t="shared" si="16"/>
        <v>3,150</v>
      </c>
      <c r="AG13" t="str">
        <f t="shared" si="17"/>
        <v>104,5</v>
      </c>
      <c r="AH13" t="str">
        <f t="shared" si="18"/>
        <v>105,2</v>
      </c>
      <c r="AI13" t="str">
        <f t="shared" si="19"/>
        <v>106,1</v>
      </c>
      <c r="AJ13" t="str">
        <f t="shared" si="20"/>
        <v>1,213</v>
      </c>
      <c r="AM13" t="str">
        <f>N13&amp;"#"&amp;N156&amp;"#"&amp;N259</f>
        <v>104,9|105,4|106,1|1,170#104,14|105,6|106,2|1,255#104,23|105,10|106,3|1,425</v>
      </c>
      <c r="AN13" t="str">
        <f>O13&amp;"#"&amp;O156&amp;"#"&amp;O259</f>
        <v>##</v>
      </c>
      <c r="AO13" t="str">
        <f>P13&amp;"#"&amp;P156&amp;"#"&amp;P259</f>
        <v>1,1500#1,2250#11,1|1,3750</v>
      </c>
      <c r="AP13" t="str">
        <f>Q13&amp;"#"&amp;Q156&amp;"#"&amp;Q259</f>
        <v>1,2800|4,6#162,1|1,4200|4,6#163,1|1,7000|4,6</v>
      </c>
      <c r="AQ13" t="str">
        <f>R13&amp;"#"&amp;R156&amp;"#"&amp;R259</f>
        <v>104,36|105,18|106,6|3,150#104,54|105,27|106,9|3,225#104,90|105,45|106,15|3,375</v>
      </c>
      <c r="AR13" t="str">
        <f>S13&amp;"#"&amp;S156&amp;"#"&amp;S259</f>
        <v>104,5|105,2|106,1|1,213#104,7|105,3|106,1|1,319#104,12|105,5|106,2|1,532</v>
      </c>
    </row>
    <row r="14" spans="1:44" x14ac:dyDescent="0.25">
      <c r="A14" s="14">
        <v>12</v>
      </c>
      <c r="B14" s="15">
        <f>IF(关卡产出!C19="","",关卡产出!C19)</f>
        <v>9</v>
      </c>
      <c r="C14" s="15">
        <f>IF(关卡产出!D19="","",关卡产出!D19)</f>
        <v>4</v>
      </c>
      <c r="D14" s="15">
        <f>IF(关卡产出!E19="","",关卡产出!E19)</f>
        <v>1</v>
      </c>
      <c r="E14" s="15">
        <f>IF(关卡产出!F19="","",关卡产出!F19)</f>
        <v>170</v>
      </c>
      <c r="F14" s="15">
        <f>IF(关卡产出!H19="","",关卡产出!H19)</f>
        <v>1700</v>
      </c>
      <c r="G14" s="15">
        <f>IF(关卡产出!J19="","",关卡产出!J19)</f>
        <v>3200</v>
      </c>
      <c r="H14" s="15">
        <f>IF(关卡产出!K19="","",关卡产出!K19)</f>
        <v>6</v>
      </c>
      <c r="I14" s="15">
        <f>IF(关卡产出!M19="","",关卡产出!M19)</f>
        <v>40</v>
      </c>
      <c r="J14" s="15">
        <f>IF(关卡产出!N19="","",关卡产出!N19)</f>
        <v>20</v>
      </c>
      <c r="K14" s="15">
        <f>IF(关卡产出!O19="","",关卡产出!O19)</f>
        <v>7</v>
      </c>
      <c r="L14" s="15">
        <f>IF(关卡产出!P19="","",关卡产出!P19)</f>
        <v>150</v>
      </c>
      <c r="M14">
        <f t="shared" si="4"/>
        <v>850</v>
      </c>
      <c r="N14" t="str">
        <f t="shared" si="5"/>
        <v>104,9|105,4|106,1|1,170</v>
      </c>
      <c r="P14" t="str">
        <f t="shared" si="6"/>
        <v>1,1700</v>
      </c>
      <c r="Q14" t="str">
        <f t="shared" si="7"/>
        <v>1,3200|4,6</v>
      </c>
      <c r="R14" t="str">
        <f t="shared" si="8"/>
        <v>104,40|105,20|106,7|3,150</v>
      </c>
      <c r="S14" t="str">
        <f t="shared" si="9"/>
        <v>104,5|105,2|106,1|1,213</v>
      </c>
      <c r="V14" t="str">
        <f t="shared" si="10"/>
        <v>104,9</v>
      </c>
      <c r="W14" t="str">
        <f t="shared" si="11"/>
        <v>105,4</v>
      </c>
      <c r="X14" t="str">
        <f t="shared" si="12"/>
        <v>106,1</v>
      </c>
      <c r="Y14" t="str">
        <f t="shared" si="0"/>
        <v>1,170</v>
      </c>
      <c r="AB14" t="str">
        <f t="shared" si="13"/>
        <v>104,40</v>
      </c>
      <c r="AC14" t="str">
        <f t="shared" si="14"/>
        <v>105,20</v>
      </c>
      <c r="AD14" t="str">
        <f t="shared" si="15"/>
        <v>106,7</v>
      </c>
      <c r="AE14" t="str">
        <f t="shared" si="16"/>
        <v>3,150</v>
      </c>
      <c r="AG14" t="str">
        <f t="shared" si="17"/>
        <v>104,5</v>
      </c>
      <c r="AH14" t="str">
        <f t="shared" si="18"/>
        <v>105,2</v>
      </c>
      <c r="AI14" t="str">
        <f t="shared" si="19"/>
        <v>106,1</v>
      </c>
      <c r="AJ14" t="str">
        <f t="shared" si="20"/>
        <v>1,213</v>
      </c>
      <c r="AM14" t="str">
        <f>N14&amp;"#"&amp;N157&amp;"#"&amp;N260</f>
        <v>104,9|105,4|106,1|1,170#104,14|105,6|106,2|1,255#104,23|105,10|106,3|1,425</v>
      </c>
      <c r="AN14" t="str">
        <f>O14&amp;"#"&amp;O157&amp;"#"&amp;O260</f>
        <v>##</v>
      </c>
      <c r="AO14" t="str">
        <f>P14&amp;"#"&amp;P157&amp;"#"&amp;P260</f>
        <v>1,1700#1,2550#11,1|1,4250</v>
      </c>
      <c r="AP14" t="str">
        <f>Q14&amp;"#"&amp;Q157&amp;"#"&amp;Q260</f>
        <v>1,3200|4,6#162,1|1,4800|4,6#163,1|1,8000|4,6</v>
      </c>
      <c r="AQ14" t="str">
        <f>R14&amp;"#"&amp;R157&amp;"#"&amp;R260</f>
        <v>104,40|105,20|106,7|3,150#104,60|105,30|106,11|3,225#104,100|105,50|106,18|3,375</v>
      </c>
      <c r="AR14" t="str">
        <f>S14&amp;"#"&amp;S157&amp;"#"&amp;S260</f>
        <v>104,5|105,2|106,1|1,213#104,7|105,3|106,1|1,319#104,12|105,5|106,2|1,532</v>
      </c>
    </row>
    <row r="15" spans="1:44" x14ac:dyDescent="0.25">
      <c r="A15" s="14">
        <v>13</v>
      </c>
      <c r="B15" s="15">
        <f>IF(关卡产出!C20="","",关卡产出!C20)</f>
        <v>10</v>
      </c>
      <c r="C15" s="15">
        <f>IF(关卡产出!D20="","",关卡产出!D20)</f>
        <v>5</v>
      </c>
      <c r="D15" s="15">
        <f>IF(关卡产出!E20="","",关卡产出!E20)</f>
        <v>1</v>
      </c>
      <c r="E15" s="15">
        <f>IF(关卡产出!F20="","",关卡产出!F20)</f>
        <v>190</v>
      </c>
      <c r="F15" s="15">
        <f>IF(关卡产出!H20="","",关卡产出!H20)</f>
        <v>1900</v>
      </c>
      <c r="G15" s="15">
        <f>IF(关卡产出!J20="","",关卡产出!J20)</f>
        <v>3600</v>
      </c>
      <c r="H15" s="15">
        <f>IF(关卡产出!K20="","",关卡产出!K20)</f>
        <v>6</v>
      </c>
      <c r="I15" s="15">
        <f>IF(关卡产出!M20="","",关卡产出!M20)</f>
        <v>44</v>
      </c>
      <c r="J15" s="15">
        <f>IF(关卡产出!N20="","",关卡产出!N20)</f>
        <v>22</v>
      </c>
      <c r="K15" s="15">
        <f>IF(关卡产出!O20="","",关卡产出!O20)</f>
        <v>8</v>
      </c>
      <c r="L15" s="15">
        <f>IF(关卡产出!P20="","",关卡产出!P20)</f>
        <v>150</v>
      </c>
      <c r="M15">
        <f t="shared" si="4"/>
        <v>950</v>
      </c>
      <c r="N15" t="str">
        <f t="shared" si="5"/>
        <v>104,10|105,5|106,1|1,190</v>
      </c>
      <c r="P15" t="str">
        <f t="shared" si="6"/>
        <v>1,1900</v>
      </c>
      <c r="Q15" t="str">
        <f t="shared" si="7"/>
        <v>1,3600|4,6</v>
      </c>
      <c r="R15" t="str">
        <f t="shared" si="8"/>
        <v>104,44|105,22|106,8|3,150</v>
      </c>
      <c r="S15" t="str">
        <f t="shared" si="9"/>
        <v>104,5|105,3|106,1|1,238</v>
      </c>
      <c r="V15" t="str">
        <f t="shared" si="10"/>
        <v>104,10</v>
      </c>
      <c r="W15" t="str">
        <f t="shared" si="11"/>
        <v>105,5</v>
      </c>
      <c r="X15" t="str">
        <f t="shared" si="12"/>
        <v>106,1</v>
      </c>
      <c r="Y15" t="str">
        <f t="shared" si="0"/>
        <v>1,190</v>
      </c>
      <c r="AB15" t="str">
        <f t="shared" si="13"/>
        <v>104,44</v>
      </c>
      <c r="AC15" t="str">
        <f t="shared" si="14"/>
        <v>105,22</v>
      </c>
      <c r="AD15" t="str">
        <f t="shared" si="15"/>
        <v>106,8</v>
      </c>
      <c r="AE15" t="str">
        <f t="shared" si="16"/>
        <v>3,150</v>
      </c>
      <c r="AG15" t="str">
        <f t="shared" si="17"/>
        <v>104,5</v>
      </c>
      <c r="AH15" t="str">
        <f t="shared" si="18"/>
        <v>105,3</v>
      </c>
      <c r="AI15" t="str">
        <f t="shared" si="19"/>
        <v>106,1</v>
      </c>
      <c r="AJ15" t="str">
        <f t="shared" si="20"/>
        <v>1,238</v>
      </c>
      <c r="AM15" t="str">
        <f>N15&amp;"#"&amp;N158&amp;"#"&amp;N261</f>
        <v>104,10|105,5|106,1|1,190#104,15|105,8|106,2|1,285#104,25|105,13|106,3|1,475</v>
      </c>
      <c r="AN15" t="str">
        <f>O15&amp;"#"&amp;O158&amp;"#"&amp;O261</f>
        <v>##</v>
      </c>
      <c r="AO15" t="str">
        <f>P15&amp;"#"&amp;P158&amp;"#"&amp;P261</f>
        <v>1,1900#1,2850#11,1|1,4750</v>
      </c>
      <c r="AP15" t="str">
        <f>Q15&amp;"#"&amp;Q158&amp;"#"&amp;Q261</f>
        <v>1,3600|4,6#162,1|1,5400|4,6#163,1|1,9000|4,6</v>
      </c>
      <c r="AQ15" t="str">
        <f>R15&amp;"#"&amp;R158&amp;"#"&amp;R261</f>
        <v>104,44|105,22|106,8|3,150#104,66|105,33|106,12|3,225#104,110|105,55|106,20|3,375</v>
      </c>
      <c r="AR15" t="str">
        <f>S15&amp;"#"&amp;S158&amp;"#"&amp;S261</f>
        <v>104,5|105,3|106,1|1,238#104,8|105,4|106,1|1,357#104,13|105,7|106,2|1,594</v>
      </c>
    </row>
    <row r="16" spans="1:44" x14ac:dyDescent="0.25">
      <c r="A16" s="14">
        <v>14</v>
      </c>
      <c r="B16" s="15">
        <f>IF(关卡产出!C21="","",关卡产出!C21)</f>
        <v>10</v>
      </c>
      <c r="C16" s="15">
        <f>IF(关卡产出!D21="","",关卡产出!D21)</f>
        <v>5</v>
      </c>
      <c r="D16" s="15">
        <f>IF(关卡产出!E21="","",关卡产出!E21)</f>
        <v>1</v>
      </c>
      <c r="E16" s="15">
        <f>IF(关卡产出!F21="","",关卡产出!F21)</f>
        <v>190</v>
      </c>
      <c r="F16" s="15">
        <f>IF(关卡产出!H21="","",关卡产出!H21)</f>
        <v>2100</v>
      </c>
      <c r="G16" s="15">
        <f>IF(关卡产出!J21="","",关卡产出!J21)</f>
        <v>4000</v>
      </c>
      <c r="H16" s="15">
        <f>IF(关卡产出!K21="","",关卡产出!K21)</f>
        <v>6</v>
      </c>
      <c r="I16" s="15">
        <f>IF(关卡产出!M21="","",关卡产出!M21)</f>
        <v>48</v>
      </c>
      <c r="J16" s="15">
        <f>IF(关卡产出!N21="","",关卡产出!N21)</f>
        <v>24</v>
      </c>
      <c r="K16" s="15">
        <f>IF(关卡产出!O21="","",关卡产出!O21)</f>
        <v>9</v>
      </c>
      <c r="L16" s="15">
        <f>IF(关卡产出!P21="","",关卡产出!P21)</f>
        <v>150</v>
      </c>
      <c r="M16">
        <f t="shared" si="4"/>
        <v>950</v>
      </c>
      <c r="N16" t="str">
        <f t="shared" si="5"/>
        <v>104,10|105,5|106,1|1,190</v>
      </c>
      <c r="P16" t="str">
        <f t="shared" si="6"/>
        <v>1,2100</v>
      </c>
      <c r="Q16" t="str">
        <f t="shared" si="7"/>
        <v>1,4000|4,6</v>
      </c>
      <c r="R16" t="str">
        <f t="shared" si="8"/>
        <v>104,48|105,24|106,9|3,150</v>
      </c>
      <c r="S16" t="str">
        <f t="shared" si="9"/>
        <v>104,5|105,3|106,1|1,238</v>
      </c>
      <c r="V16" t="str">
        <f t="shared" si="10"/>
        <v>104,10</v>
      </c>
      <c r="W16" t="str">
        <f t="shared" si="11"/>
        <v>105,5</v>
      </c>
      <c r="X16" t="str">
        <f t="shared" si="12"/>
        <v>106,1</v>
      </c>
      <c r="Y16" t="str">
        <f t="shared" si="0"/>
        <v>1,190</v>
      </c>
      <c r="AB16" t="str">
        <f t="shared" si="13"/>
        <v>104,48</v>
      </c>
      <c r="AC16" t="str">
        <f t="shared" si="14"/>
        <v>105,24</v>
      </c>
      <c r="AD16" t="str">
        <f t="shared" si="15"/>
        <v>106,9</v>
      </c>
      <c r="AE16" t="str">
        <f t="shared" si="16"/>
        <v>3,150</v>
      </c>
      <c r="AG16" t="str">
        <f t="shared" si="17"/>
        <v>104,5</v>
      </c>
      <c r="AH16" t="str">
        <f t="shared" si="18"/>
        <v>105,3</v>
      </c>
      <c r="AI16" t="str">
        <f t="shared" si="19"/>
        <v>106,1</v>
      </c>
      <c r="AJ16" t="str">
        <f t="shared" si="20"/>
        <v>1,238</v>
      </c>
      <c r="AM16" t="str">
        <f>N16&amp;"#"&amp;N159&amp;"#"&amp;N262</f>
        <v>104,10|105,5|106,1|1,190#104,15|105,8|106,2|1,285#104,25|105,13|106,3|1,475</v>
      </c>
      <c r="AN16" t="str">
        <f>O16&amp;"#"&amp;O159&amp;"#"&amp;O262</f>
        <v>##</v>
      </c>
      <c r="AO16" t="str">
        <f>P16&amp;"#"&amp;P159&amp;"#"&amp;P262</f>
        <v>1,2100#1,3150#11,1|1,5250</v>
      </c>
      <c r="AP16" t="str">
        <f>Q16&amp;"#"&amp;Q159&amp;"#"&amp;Q262</f>
        <v>1,4000|4,6#162,1|1,6000|4,6#163,1|1,10000|4,6</v>
      </c>
      <c r="AQ16" t="str">
        <f>R16&amp;"#"&amp;R159&amp;"#"&amp;R262</f>
        <v>104,48|105,24|106,9|3,150#104,72|105,36|106,14|3,225#104,120|105,60|106,23|3,375</v>
      </c>
      <c r="AR16" t="str">
        <f>S16&amp;"#"&amp;S159&amp;"#"&amp;S262</f>
        <v>104,5|105,3|106,1|1,238#104,8|105,4|106,1|1,357#104,13|105,7|106,2|1,594</v>
      </c>
    </row>
    <row r="17" spans="1:44" x14ac:dyDescent="0.25">
      <c r="A17" s="14">
        <v>15</v>
      </c>
      <c r="B17" s="15">
        <f>IF(关卡产出!C22="","",关卡产出!C22)</f>
        <v>11</v>
      </c>
      <c r="C17" s="15">
        <f>IF(关卡产出!D22="","",关卡产出!D22)</f>
        <v>5</v>
      </c>
      <c r="D17" s="15">
        <f>IF(关卡产出!E22="","",关卡产出!E22)</f>
        <v>1</v>
      </c>
      <c r="E17" s="15">
        <f>IF(关卡产出!F22="","",关卡产出!F22)</f>
        <v>210</v>
      </c>
      <c r="F17" s="15">
        <f>IF(关卡产出!H22="","",关卡产出!H22)</f>
        <v>2300</v>
      </c>
      <c r="G17" s="15">
        <f>IF(关卡产出!J22="","",关卡产出!J22)</f>
        <v>4400</v>
      </c>
      <c r="H17" s="15">
        <f>IF(关卡产出!K22="","",关卡产出!K22)</f>
        <v>6</v>
      </c>
      <c r="I17" s="15">
        <f>IF(关卡产出!M22="","",关卡产出!M22)</f>
        <v>52</v>
      </c>
      <c r="J17" s="15">
        <f>IF(关卡产出!N22="","",关卡产出!N22)</f>
        <v>26</v>
      </c>
      <c r="K17" s="15">
        <f>IF(关卡产出!O22="","",关卡产出!O22)</f>
        <v>10</v>
      </c>
      <c r="L17" s="15">
        <f>IF(关卡产出!P22="","",关卡产出!P22)</f>
        <v>150</v>
      </c>
      <c r="M17">
        <f t="shared" si="4"/>
        <v>1050</v>
      </c>
      <c r="N17" t="str">
        <f t="shared" si="5"/>
        <v>104,11|105,5|106,1|1,210</v>
      </c>
      <c r="P17" t="str">
        <f t="shared" si="6"/>
        <v>1,2300</v>
      </c>
      <c r="Q17" t="str">
        <f t="shared" si="7"/>
        <v>1,4400|4,6</v>
      </c>
      <c r="R17" t="str">
        <f t="shared" si="8"/>
        <v>104,52|105,26|106,10|3,150</v>
      </c>
      <c r="S17" t="str">
        <f t="shared" si="9"/>
        <v>104,6|105,3|106,1|1,263</v>
      </c>
      <c r="V17" t="str">
        <f t="shared" si="10"/>
        <v>104,11</v>
      </c>
      <c r="W17" t="str">
        <f t="shared" si="11"/>
        <v>105,5</v>
      </c>
      <c r="X17" t="str">
        <f t="shared" si="12"/>
        <v>106,1</v>
      </c>
      <c r="Y17" t="str">
        <f t="shared" si="0"/>
        <v>1,210</v>
      </c>
      <c r="AB17" t="str">
        <f t="shared" si="13"/>
        <v>104,52</v>
      </c>
      <c r="AC17" t="str">
        <f t="shared" si="14"/>
        <v>105,26</v>
      </c>
      <c r="AD17" t="str">
        <f t="shared" si="15"/>
        <v>106,10</v>
      </c>
      <c r="AE17" t="str">
        <f t="shared" si="16"/>
        <v>3,150</v>
      </c>
      <c r="AG17" t="str">
        <f t="shared" si="17"/>
        <v>104,6</v>
      </c>
      <c r="AH17" t="str">
        <f t="shared" si="18"/>
        <v>105,3</v>
      </c>
      <c r="AI17" t="str">
        <f t="shared" si="19"/>
        <v>106,1</v>
      </c>
      <c r="AJ17" t="str">
        <f t="shared" si="20"/>
        <v>1,263</v>
      </c>
      <c r="AM17" t="str">
        <f>N17&amp;"#"&amp;N160&amp;"#"&amp;N263</f>
        <v>104,11|105,5|106,1|1,210#104,17|105,8|106,2|1,315#104,28|105,13|106,3|1,525</v>
      </c>
      <c r="AN17" t="str">
        <f>O17&amp;"#"&amp;O160&amp;"#"&amp;O263</f>
        <v>##</v>
      </c>
      <c r="AO17" t="str">
        <f>P17&amp;"#"&amp;P160&amp;"#"&amp;P263</f>
        <v>1,2300#1,3450#11,1|1,5750</v>
      </c>
      <c r="AP17" t="str">
        <f>Q17&amp;"#"&amp;Q160&amp;"#"&amp;Q263</f>
        <v>1,4400|4,6#162,1|1,6600|4,6#163,1|1,11000|4,6</v>
      </c>
      <c r="AQ17" t="str">
        <f>R17&amp;"#"&amp;R160&amp;"#"&amp;R263</f>
        <v>104,52|105,26|106,10|3,150#104,78|105,39|106,15|3,225#104,130|105,65|106,25|3,375</v>
      </c>
      <c r="AR17" t="str">
        <f>S17&amp;"#"&amp;S160&amp;"#"&amp;S263</f>
        <v>104,6|105,3|106,1|1,263#104,9|105,4|106,1|1,394#104,14|105,7|106,2|1,657</v>
      </c>
    </row>
    <row r="18" spans="1:44" x14ac:dyDescent="0.25">
      <c r="A18" s="14">
        <v>16</v>
      </c>
      <c r="B18" s="15">
        <f>IF(关卡产出!C23="","",关卡产出!C23)</f>
        <v>11</v>
      </c>
      <c r="C18" s="15">
        <f>IF(关卡产出!D23="","",关卡产出!D23)</f>
        <v>5</v>
      </c>
      <c r="D18" s="15">
        <f>IF(关卡产出!E23="","",关卡产出!E23)</f>
        <v>1</v>
      </c>
      <c r="E18" s="15">
        <f>IF(关卡产出!F23="","",关卡产出!F23)</f>
        <v>210</v>
      </c>
      <c r="F18" s="15">
        <f>IF(关卡产出!H23="","",关卡产出!H23)</f>
        <v>2500</v>
      </c>
      <c r="G18" s="15">
        <f>IF(关卡产出!J23="","",关卡产出!J23)</f>
        <v>4800</v>
      </c>
      <c r="H18" s="15">
        <f>IF(关卡产出!K23="","",关卡产出!K23)</f>
        <v>6</v>
      </c>
      <c r="I18" s="15">
        <f>IF(关卡产出!M23="","",关卡产出!M23)</f>
        <v>56</v>
      </c>
      <c r="J18" s="15">
        <f>IF(关卡产出!N23="","",关卡产出!N23)</f>
        <v>28</v>
      </c>
      <c r="K18" s="15">
        <f>IF(关卡产出!O23="","",关卡产出!O23)</f>
        <v>11</v>
      </c>
      <c r="L18" s="15">
        <f>IF(关卡产出!P23="","",关卡产出!P23)</f>
        <v>150</v>
      </c>
      <c r="M18">
        <f t="shared" si="4"/>
        <v>1050</v>
      </c>
      <c r="N18" t="str">
        <f t="shared" si="5"/>
        <v>104,11|105,5|106,1|1,210</v>
      </c>
      <c r="P18" t="str">
        <f t="shared" si="6"/>
        <v>1,2500</v>
      </c>
      <c r="Q18" t="str">
        <f t="shared" si="7"/>
        <v>1,4800|4,6</v>
      </c>
      <c r="R18" t="str">
        <f t="shared" si="8"/>
        <v>104,56|105,28|106,11|3,150</v>
      </c>
      <c r="S18" t="str">
        <f t="shared" si="9"/>
        <v>104,6|105,3|106,1|1,263</v>
      </c>
      <c r="V18" t="str">
        <f t="shared" si="10"/>
        <v>104,11</v>
      </c>
      <c r="W18" t="str">
        <f t="shared" si="11"/>
        <v>105,5</v>
      </c>
      <c r="X18" t="str">
        <f t="shared" si="12"/>
        <v>106,1</v>
      </c>
      <c r="Y18" t="str">
        <f t="shared" si="0"/>
        <v>1,210</v>
      </c>
      <c r="AB18" t="str">
        <f t="shared" si="13"/>
        <v>104,56</v>
      </c>
      <c r="AC18" t="str">
        <f t="shared" si="14"/>
        <v>105,28</v>
      </c>
      <c r="AD18" t="str">
        <f t="shared" si="15"/>
        <v>106,11</v>
      </c>
      <c r="AE18" t="str">
        <f t="shared" si="16"/>
        <v>3,150</v>
      </c>
      <c r="AG18" t="str">
        <f t="shared" si="17"/>
        <v>104,6</v>
      </c>
      <c r="AH18" t="str">
        <f t="shared" si="18"/>
        <v>105,3</v>
      </c>
      <c r="AI18" t="str">
        <f t="shared" si="19"/>
        <v>106,1</v>
      </c>
      <c r="AJ18" t="str">
        <f t="shared" si="20"/>
        <v>1,263</v>
      </c>
      <c r="AM18" t="str">
        <f>N18&amp;"#"&amp;N161&amp;"#"&amp;N264</f>
        <v>104,11|105,5|106,1|1,210#104,17|105,8|106,2|1,315#104,28|105,13|106,3|1,525</v>
      </c>
      <c r="AN18" t="str">
        <f>O18&amp;"#"&amp;O161&amp;"#"&amp;O264</f>
        <v>##</v>
      </c>
      <c r="AO18" t="str">
        <f>P18&amp;"#"&amp;P161&amp;"#"&amp;P264</f>
        <v>1,2500#1,3750#11,1|1,6250</v>
      </c>
      <c r="AP18" t="str">
        <f>Q18&amp;"#"&amp;Q161&amp;"#"&amp;Q264</f>
        <v>1,4800|4,6#162,1|1,7200|4,6#163,1|1,12000|4,6</v>
      </c>
      <c r="AQ18" t="str">
        <f>R18&amp;"#"&amp;R161&amp;"#"&amp;R264</f>
        <v>104,56|105,28|106,11|3,150#104,84|105,42|106,17|3,225#104,140|105,70|106,28|3,375</v>
      </c>
      <c r="AR18" t="str">
        <f>S18&amp;"#"&amp;S161&amp;"#"&amp;S264</f>
        <v>104,6|105,3|106,1|1,263#104,9|105,4|106,1|1,394#104,14|105,7|106,2|1,657</v>
      </c>
    </row>
    <row r="19" spans="1:44" x14ac:dyDescent="0.25">
      <c r="A19" s="14">
        <v>17</v>
      </c>
      <c r="B19" s="15">
        <f>IF(关卡产出!C24="","",关卡产出!C24)</f>
        <v>12</v>
      </c>
      <c r="C19" s="15">
        <f>IF(关卡产出!D24="","",关卡产出!D24)</f>
        <v>6</v>
      </c>
      <c r="D19" s="15">
        <f>IF(关卡产出!E24="","",关卡产出!E24)</f>
        <v>2</v>
      </c>
      <c r="E19" s="15">
        <f>IF(关卡产出!F24="","",关卡产出!F24)</f>
        <v>230</v>
      </c>
      <c r="F19" s="15">
        <f>IF(关卡产出!H24="","",关卡产出!H24)</f>
        <v>2700</v>
      </c>
      <c r="G19" s="15">
        <f>IF(关卡产出!J24="","",关卡产出!J24)</f>
        <v>5200</v>
      </c>
      <c r="H19" s="15">
        <f>IF(关卡产出!K24="","",关卡产出!K24)</f>
        <v>6</v>
      </c>
      <c r="I19" s="15">
        <f>IF(关卡产出!M24="","",关卡产出!M24)</f>
        <v>60</v>
      </c>
      <c r="J19" s="15">
        <f>IF(关卡产出!N24="","",关卡产出!N24)</f>
        <v>30</v>
      </c>
      <c r="K19" s="15">
        <f>IF(关卡产出!O24="","",关卡产出!O24)</f>
        <v>12</v>
      </c>
      <c r="L19" s="15">
        <f>IF(关卡产出!P24="","",关卡产出!P24)</f>
        <v>150</v>
      </c>
      <c r="M19">
        <f t="shared" si="4"/>
        <v>1150</v>
      </c>
      <c r="N19" t="str">
        <f t="shared" si="5"/>
        <v>104,12|105,6|106,2|1,230</v>
      </c>
      <c r="P19" t="str">
        <f t="shared" si="6"/>
        <v>1,2700</v>
      </c>
      <c r="Q19" t="str">
        <f t="shared" si="7"/>
        <v>1,5200|4,6</v>
      </c>
      <c r="R19" t="str">
        <f t="shared" si="8"/>
        <v>104,60|105,30|106,12|3,150</v>
      </c>
      <c r="S19" t="str">
        <f t="shared" si="9"/>
        <v>104,6|105,3|106,1|1,288</v>
      </c>
      <c r="V19" t="str">
        <f t="shared" si="10"/>
        <v>104,12</v>
      </c>
      <c r="W19" t="str">
        <f t="shared" si="11"/>
        <v>105,6</v>
      </c>
      <c r="X19" t="str">
        <f t="shared" si="12"/>
        <v>106,2</v>
      </c>
      <c r="Y19" t="str">
        <f t="shared" si="12"/>
        <v>1,230</v>
      </c>
      <c r="AB19" t="str">
        <f t="shared" si="13"/>
        <v>104,60</v>
      </c>
      <c r="AC19" t="str">
        <f t="shared" si="14"/>
        <v>105,30</v>
      </c>
      <c r="AD19" t="str">
        <f t="shared" si="15"/>
        <v>106,12</v>
      </c>
      <c r="AE19" t="str">
        <f t="shared" si="16"/>
        <v>3,150</v>
      </c>
      <c r="AG19" t="str">
        <f t="shared" si="17"/>
        <v>104,6</v>
      </c>
      <c r="AH19" t="str">
        <f t="shared" si="18"/>
        <v>105,3</v>
      </c>
      <c r="AI19" t="str">
        <f t="shared" si="19"/>
        <v>106,1</v>
      </c>
      <c r="AJ19" t="str">
        <f t="shared" si="20"/>
        <v>1,288</v>
      </c>
      <c r="AM19" t="str">
        <f>N19&amp;"#"&amp;N162&amp;"#"&amp;N265</f>
        <v>104,12|105,6|106,2|1,230#104,18|105,9|106,3|1,345#104,30|105,15|106,5|1,575</v>
      </c>
      <c r="AN19" t="str">
        <f>O19&amp;"#"&amp;O162&amp;"#"&amp;O265</f>
        <v>##</v>
      </c>
      <c r="AO19" t="str">
        <f>P19&amp;"#"&amp;P162&amp;"#"&amp;P265</f>
        <v>1,2700#1,4050#11,1|1,6750</v>
      </c>
      <c r="AP19" t="str">
        <f>Q19&amp;"#"&amp;Q162&amp;"#"&amp;Q265</f>
        <v>1,5200|4,6#162,1|1,7800|4,6#163,1|1,13000|4,6</v>
      </c>
      <c r="AQ19" t="str">
        <f>R19&amp;"#"&amp;R162&amp;"#"&amp;R265</f>
        <v>104,60|105,30|106,12|3,150#104,90|105,45|106,18|3,225#104,150|105,75|106,30|3,375</v>
      </c>
      <c r="AR19" t="str">
        <f>S19&amp;"#"&amp;S162&amp;"#"&amp;S265</f>
        <v>104,6|105,3|106,1|1,288#104,9|105,5|106,2|1,432#104,15|105,8|106,3|1,719</v>
      </c>
    </row>
    <row r="20" spans="1:44" x14ac:dyDescent="0.25">
      <c r="A20" s="14">
        <v>18</v>
      </c>
      <c r="B20" s="15">
        <f>IF(关卡产出!C25="","",关卡产出!C25)</f>
        <v>12</v>
      </c>
      <c r="C20" s="15">
        <f>IF(关卡产出!D25="","",关卡产出!D25)</f>
        <v>6</v>
      </c>
      <c r="D20" s="15">
        <f>IF(关卡产出!E25="","",关卡产出!E25)</f>
        <v>3</v>
      </c>
      <c r="E20" s="15">
        <f>IF(关卡产出!F25="","",关卡产出!F25)</f>
        <v>230</v>
      </c>
      <c r="F20" s="15">
        <f>IF(关卡产出!H25="","",关卡产出!H25)</f>
        <v>2900</v>
      </c>
      <c r="G20" s="15">
        <f>IF(关卡产出!J25="","",关卡产出!J25)</f>
        <v>5600</v>
      </c>
      <c r="H20" s="15">
        <f>IF(关卡产出!K25="","",关卡产出!K25)</f>
        <v>6</v>
      </c>
      <c r="I20" s="15">
        <f>IF(关卡产出!M25="","",关卡产出!M25)</f>
        <v>64</v>
      </c>
      <c r="J20" s="15">
        <f>IF(关卡产出!N25="","",关卡产出!N25)</f>
        <v>32</v>
      </c>
      <c r="K20" s="15">
        <f>IF(关卡产出!O25="","",关卡产出!O25)</f>
        <v>13</v>
      </c>
      <c r="L20" s="15">
        <f>IF(关卡产出!P25="","",关卡产出!P25)</f>
        <v>150</v>
      </c>
      <c r="M20">
        <f t="shared" si="4"/>
        <v>1150</v>
      </c>
      <c r="N20" t="str">
        <f t="shared" si="5"/>
        <v>104,12|105,6|106,3|1,230</v>
      </c>
      <c r="P20" t="str">
        <f t="shared" si="6"/>
        <v>1,2900</v>
      </c>
      <c r="Q20" t="str">
        <f t="shared" si="7"/>
        <v>1,5600|4,6</v>
      </c>
      <c r="R20" t="str">
        <f t="shared" si="8"/>
        <v>104,64|105,32|106,13|3,150</v>
      </c>
      <c r="S20" t="str">
        <f t="shared" si="9"/>
        <v>104,6|105,3|106,2|1,288</v>
      </c>
      <c r="V20" t="str">
        <f t="shared" si="10"/>
        <v>104,12</v>
      </c>
      <c r="W20" t="str">
        <f t="shared" si="11"/>
        <v>105,6</v>
      </c>
      <c r="X20" t="str">
        <f t="shared" si="12"/>
        <v>106,3</v>
      </c>
      <c r="Y20" t="str">
        <f t="shared" si="12"/>
        <v>1,230</v>
      </c>
      <c r="AB20" t="str">
        <f t="shared" si="13"/>
        <v>104,64</v>
      </c>
      <c r="AC20" t="str">
        <f t="shared" si="14"/>
        <v>105,32</v>
      </c>
      <c r="AD20" t="str">
        <f t="shared" si="15"/>
        <v>106,13</v>
      </c>
      <c r="AE20" t="str">
        <f t="shared" si="16"/>
        <v>3,150</v>
      </c>
      <c r="AG20" t="str">
        <f t="shared" si="17"/>
        <v>104,6</v>
      </c>
      <c r="AH20" t="str">
        <f t="shared" si="18"/>
        <v>105,3</v>
      </c>
      <c r="AI20" t="str">
        <f t="shared" si="19"/>
        <v>106,2</v>
      </c>
      <c r="AJ20" t="str">
        <f t="shared" si="20"/>
        <v>1,288</v>
      </c>
      <c r="AM20" t="str">
        <f>N20&amp;"#"&amp;N163&amp;"#"&amp;N266</f>
        <v>104,12|105,6|106,3|1,230#104,18|105,9|106,5|1,345#104,30|105,15|106,8|1,575</v>
      </c>
      <c r="AN20" t="str">
        <f>O20&amp;"#"&amp;O163&amp;"#"&amp;O266</f>
        <v>##</v>
      </c>
      <c r="AO20" t="str">
        <f>P20&amp;"#"&amp;P163&amp;"#"&amp;P266</f>
        <v>1,2900#1,4350#11,1|1,7250</v>
      </c>
      <c r="AP20" t="str">
        <f>Q20&amp;"#"&amp;Q163&amp;"#"&amp;Q266</f>
        <v>1,5600|4,6#162,1|1,8400|4,6#163,1|1,14000|4,6</v>
      </c>
      <c r="AQ20" t="str">
        <f>R20&amp;"#"&amp;R163&amp;"#"&amp;R266</f>
        <v>104,64|105,32|106,13|3,150#104,96|105,48|106,20|3,225#104,160|105,80|106,33|3,375</v>
      </c>
      <c r="AR20" t="str">
        <f>S20&amp;"#"&amp;S163&amp;"#"&amp;S266</f>
        <v>104,6|105,3|106,2|1,288#104,9|105,5|106,3|1,432#104,15|105,8|106,4|1,719</v>
      </c>
    </row>
    <row r="21" spans="1:44" x14ac:dyDescent="0.25">
      <c r="A21" s="14">
        <v>19</v>
      </c>
      <c r="B21" s="15">
        <f>IF(关卡产出!C26="","",关卡产出!C26)</f>
        <v>13</v>
      </c>
      <c r="C21" s="15">
        <f>IF(关卡产出!D26="","",关卡产出!D26)</f>
        <v>6</v>
      </c>
      <c r="D21" s="15">
        <f>IF(关卡产出!E26="","",关卡产出!E26)</f>
        <v>3</v>
      </c>
      <c r="E21" s="15">
        <f>IF(关卡产出!F26="","",关卡产出!F26)</f>
        <v>250</v>
      </c>
      <c r="F21" s="15">
        <f>IF(关卡产出!H26="","",关卡产出!H26)</f>
        <v>3100</v>
      </c>
      <c r="G21" s="15">
        <f>IF(关卡产出!J26="","",关卡产出!J26)</f>
        <v>6000</v>
      </c>
      <c r="H21" s="15">
        <f>IF(关卡产出!K26="","",关卡产出!K26)</f>
        <v>6</v>
      </c>
      <c r="I21" s="15">
        <f>IF(关卡产出!M26="","",关卡产出!M26)</f>
        <v>68</v>
      </c>
      <c r="J21" s="15">
        <f>IF(关卡产出!N26="","",关卡产出!N26)</f>
        <v>34</v>
      </c>
      <c r="K21" s="15">
        <f>IF(关卡产出!O26="","",关卡产出!O26)</f>
        <v>14</v>
      </c>
      <c r="L21" s="15">
        <f>IF(关卡产出!P26="","",关卡产出!P26)</f>
        <v>150</v>
      </c>
      <c r="M21">
        <f t="shared" si="4"/>
        <v>1250</v>
      </c>
      <c r="N21" t="str">
        <f t="shared" si="5"/>
        <v>104,13|105,6|106,3|1,250</v>
      </c>
      <c r="P21" t="str">
        <f t="shared" si="6"/>
        <v>1,3100</v>
      </c>
      <c r="Q21" t="str">
        <f t="shared" si="7"/>
        <v>1,6000|4,6</v>
      </c>
      <c r="R21" t="str">
        <f t="shared" si="8"/>
        <v>104,68|105,34|106,14|3,150</v>
      </c>
      <c r="S21" t="str">
        <f t="shared" si="9"/>
        <v>104,7|105,3|106,2|1,313</v>
      </c>
      <c r="T21">
        <f>313*8</f>
        <v>2504</v>
      </c>
      <c r="V21" t="str">
        <f t="shared" si="10"/>
        <v>104,13</v>
      </c>
      <c r="W21" t="str">
        <f t="shared" si="11"/>
        <v>105,6</v>
      </c>
      <c r="X21" t="str">
        <f t="shared" si="12"/>
        <v>106,3</v>
      </c>
      <c r="Y21" t="str">
        <f t="shared" si="12"/>
        <v>1,250</v>
      </c>
      <c r="AB21" t="str">
        <f t="shared" si="13"/>
        <v>104,68</v>
      </c>
      <c r="AC21" t="str">
        <f t="shared" si="14"/>
        <v>105,34</v>
      </c>
      <c r="AD21" t="str">
        <f t="shared" si="15"/>
        <v>106,14</v>
      </c>
      <c r="AE21" t="str">
        <f t="shared" si="16"/>
        <v>3,150</v>
      </c>
      <c r="AG21" t="str">
        <f t="shared" ref="AG21:AG22" si="21">IF(B21="","",B$1&amp;","&amp;ROUNDUP(B21/2,0))</f>
        <v>104,7</v>
      </c>
      <c r="AH21" t="str">
        <f t="shared" ref="AH21:AH39" si="22">IF(C21="","",C$1&amp;","&amp;ROUNDUP(C21/2,0))</f>
        <v>105,3</v>
      </c>
      <c r="AI21" t="str">
        <f t="shared" ref="AI21:AI39" si="23">IF(D21="","",D$1&amp;","&amp;ROUNDUP(D21/2,0))</f>
        <v>106,2</v>
      </c>
      <c r="AJ21" t="str">
        <f t="shared" ref="AJ21:AJ22" si="24">IF(E21="","",E$1&amp;","&amp;ROUNDUP(E21/2*2.5,0))</f>
        <v>1,313</v>
      </c>
      <c r="AM21" t="str">
        <f>N21&amp;"#"&amp;N164&amp;"#"&amp;N267</f>
        <v>104,13|105,6|106,3|1,250#104,20|105,9|106,5|1,375#104,33|105,15|106,8|1,625</v>
      </c>
      <c r="AN21" t="str">
        <f>O21&amp;"#"&amp;O164&amp;"#"&amp;O267</f>
        <v>##</v>
      </c>
      <c r="AO21" t="str">
        <f>P21&amp;"#"&amp;P164&amp;"#"&amp;P267</f>
        <v>1,3100#1,4650#11,1|1,7750</v>
      </c>
      <c r="AP21" t="str">
        <f>Q21&amp;"#"&amp;Q164&amp;"#"&amp;Q267</f>
        <v>1,6000|4,6#162,1|1,9000|4,6#163,1|1,15000|4,6</v>
      </c>
      <c r="AQ21" t="str">
        <f>R21&amp;"#"&amp;R164&amp;"#"&amp;R267</f>
        <v>104,68|105,34|106,14|3,150#104,102|105,51|106,21|3,225#104,170|105,85|106,35|3,375</v>
      </c>
      <c r="AR21" t="str">
        <f>S21&amp;"#"&amp;S164&amp;"#"&amp;S267</f>
        <v>104,7|105,3|106,2|1,313#104,10|105,5|106,3|1,469#104,17|105,8|106,4|1,782</v>
      </c>
    </row>
    <row r="22" spans="1:44" x14ac:dyDescent="0.25">
      <c r="A22" s="14">
        <v>20</v>
      </c>
      <c r="B22" s="15">
        <f>IF(关卡产出!C27="","",关卡产出!C27)</f>
        <v>14</v>
      </c>
      <c r="C22" s="15">
        <f>IF(关卡产出!D27="","",关卡产出!D27)</f>
        <v>7</v>
      </c>
      <c r="D22" s="15">
        <f>IF(关卡产出!E27="","",关卡产出!E27)</f>
        <v>3</v>
      </c>
      <c r="E22" s="15">
        <f>IF(关卡产出!F27="","",关卡产出!F27)</f>
        <v>250</v>
      </c>
      <c r="F22" s="15">
        <f>IF(关卡产出!H27="","",关卡产出!H27)</f>
        <v>3300</v>
      </c>
      <c r="G22" s="15">
        <f>IF(关卡产出!J27="","",关卡产出!J27)</f>
        <v>6400</v>
      </c>
      <c r="H22" s="15">
        <f>IF(关卡产出!K27="","",关卡产出!K27)</f>
        <v>6</v>
      </c>
      <c r="I22" s="15">
        <f>IF(关卡产出!M27="","",关卡产出!M27)</f>
        <v>72</v>
      </c>
      <c r="J22" s="15">
        <f>IF(关卡产出!N27="","",关卡产出!N27)</f>
        <v>36</v>
      </c>
      <c r="K22" s="15">
        <f>IF(关卡产出!O27="","",关卡产出!O27)</f>
        <v>15</v>
      </c>
      <c r="L22" s="15">
        <f>IF(关卡产出!P27="","",关卡产出!P27)</f>
        <v>150</v>
      </c>
      <c r="M22">
        <f t="shared" si="4"/>
        <v>1250</v>
      </c>
      <c r="N22" t="str">
        <f t="shared" si="5"/>
        <v>104,14|105,7|106,3|1,250</v>
      </c>
      <c r="P22" t="str">
        <f t="shared" si="6"/>
        <v>1,3300</v>
      </c>
      <c r="Q22" t="str">
        <f t="shared" si="7"/>
        <v>1,6400|4,6</v>
      </c>
      <c r="R22" t="str">
        <f t="shared" si="8"/>
        <v>104,72|105,36|106,15|3,150</v>
      </c>
      <c r="S22" t="str">
        <f t="shared" si="9"/>
        <v>104,7|105,4|106,2|1,313</v>
      </c>
      <c r="V22" t="str">
        <f t="shared" si="10"/>
        <v>104,14</v>
      </c>
      <c r="W22" t="str">
        <f t="shared" si="11"/>
        <v>105,7</v>
      </c>
      <c r="X22" t="str">
        <f t="shared" si="12"/>
        <v>106,3</v>
      </c>
      <c r="Y22" t="str">
        <f t="shared" si="12"/>
        <v>1,250</v>
      </c>
      <c r="AB22" t="str">
        <f t="shared" si="13"/>
        <v>104,72</v>
      </c>
      <c r="AC22" t="str">
        <f t="shared" si="14"/>
        <v>105,36</v>
      </c>
      <c r="AD22" t="str">
        <f t="shared" si="15"/>
        <v>106,15</v>
      </c>
      <c r="AE22" t="str">
        <f t="shared" si="16"/>
        <v>3,150</v>
      </c>
      <c r="AG22" t="str">
        <f t="shared" si="21"/>
        <v>104,7</v>
      </c>
      <c r="AH22" t="str">
        <f t="shared" si="22"/>
        <v>105,4</v>
      </c>
      <c r="AI22" t="str">
        <f t="shared" si="23"/>
        <v>106,2</v>
      </c>
      <c r="AJ22" t="str">
        <f t="shared" si="24"/>
        <v>1,313</v>
      </c>
      <c r="AM22" t="str">
        <f>N22&amp;"#"&amp;N165&amp;"#"&amp;N268</f>
        <v>104,14|105,7|106,3|1,250#104,21|105,11|106,5|1,375#104,35|105,18|106,8|1,625</v>
      </c>
      <c r="AN22" t="str">
        <f>O22&amp;"#"&amp;O165&amp;"#"&amp;O268</f>
        <v>##</v>
      </c>
      <c r="AO22" t="str">
        <f>P22&amp;"#"&amp;P165&amp;"#"&amp;P268</f>
        <v>1,3300#1,4950#11,1|1,8250</v>
      </c>
      <c r="AP22" t="str">
        <f>Q22&amp;"#"&amp;Q165&amp;"#"&amp;Q268</f>
        <v>1,6400|4,6#162,1|1,9600|4,6#163,1|1,16000|4,6</v>
      </c>
      <c r="AQ22" t="str">
        <f>R22&amp;"#"&amp;R165&amp;"#"&amp;R268</f>
        <v>104,72|105,36|106,15|3,150#104,108|105,54|106,23|3,225#104,180|105,90|106,38|3,375</v>
      </c>
      <c r="AR22" t="str">
        <f>S22&amp;"#"&amp;S165&amp;"#"&amp;S268</f>
        <v>104,7|105,4|106,2|1,313#104,11|105,6|106,3|1,469#104,18|105,9|106,4|1,782</v>
      </c>
    </row>
    <row r="23" spans="1:44" x14ac:dyDescent="0.25">
      <c r="A23" s="14">
        <v>21</v>
      </c>
      <c r="B23" s="15">
        <f>IF(关卡产出!C28="","",关卡产出!C28)</f>
        <v>15</v>
      </c>
      <c r="C23" s="15">
        <f>IF(关卡产出!D28="","",关卡产出!D28)</f>
        <v>7</v>
      </c>
      <c r="D23" s="15">
        <f>IF(关卡产出!E28="","",关卡产出!E28)</f>
        <v>3</v>
      </c>
      <c r="E23" s="15">
        <f>IF(关卡产出!F28="","",关卡产出!F28)</f>
        <v>270</v>
      </c>
      <c r="F23" s="15">
        <f>IF(关卡产出!H28="","",关卡产出!H28)</f>
        <v>3500</v>
      </c>
      <c r="G23" s="15">
        <f>IF(关卡产出!J28="","",关卡产出!J28)</f>
        <v>6800</v>
      </c>
      <c r="H23" s="15">
        <f>IF(关卡产出!K28="","",关卡产出!K28)</f>
        <v>6</v>
      </c>
      <c r="I23" s="15">
        <f>IF(关卡产出!M28="","",关卡产出!M28)</f>
        <v>76</v>
      </c>
      <c r="J23" s="15">
        <f>IF(关卡产出!N28="","",关卡产出!N28)</f>
        <v>38</v>
      </c>
      <c r="K23" s="15">
        <f>IF(关卡产出!O28="","",关卡产出!O28)</f>
        <v>16</v>
      </c>
      <c r="L23" s="15">
        <f>IF(关卡产出!P28="","",关卡产出!P28)</f>
        <v>200</v>
      </c>
      <c r="M23">
        <f t="shared" si="4"/>
        <v>1350</v>
      </c>
      <c r="N23" t="str">
        <f t="shared" ref="N23:N40" si="25">_xlfn.TEXTJOIN("|",TRUE,V23:Y23)</f>
        <v>104,15|105,7|106,3|1,270</v>
      </c>
      <c r="P23" t="str">
        <f t="shared" ref="P23:P40" si="26">$F$1&amp;","&amp;F23</f>
        <v>1,3500</v>
      </c>
      <c r="Q23" t="str">
        <f t="shared" ref="Q23:Q40" si="27">$G$1&amp;","&amp;G23&amp;"|"&amp;$H$1&amp;","&amp;H23</f>
        <v>1,6800|4,6</v>
      </c>
      <c r="R23" t="str">
        <f t="shared" ref="R23:R40" si="28">_xlfn.TEXTJOIN("|",TRUE,AB23:AE23)</f>
        <v>104,76|105,38|106,16|3,200</v>
      </c>
      <c r="S23" t="str">
        <f t="shared" ref="S23:S40" si="29">_xlfn.TEXTJOIN("|",TRUE,AG23:AJ23)</f>
        <v>104,8|105,4|106,2|1,338</v>
      </c>
      <c r="V23" t="str">
        <f>IF(B23="","",B$1&amp;","&amp;B23)</f>
        <v>104,15</v>
      </c>
      <c r="W23" t="str">
        <f t="shared" ref="W23:W40" si="30">IF(C23="","",C$1&amp;","&amp;C23)</f>
        <v>105,7</v>
      </c>
      <c r="X23" t="str">
        <f t="shared" ref="X23:X40" si="31">IF(D23="","",D$1&amp;","&amp;D23)</f>
        <v>106,3</v>
      </c>
      <c r="Y23" t="str">
        <f t="shared" si="12"/>
        <v>1,270</v>
      </c>
      <c r="AB23" t="str">
        <f t="shared" ref="AB23:AB40" si="32">IF(I23="","",I$1&amp;","&amp;I23)</f>
        <v>104,76</v>
      </c>
      <c r="AC23" t="str">
        <f t="shared" ref="AC23:AC40" si="33">IF(J23="","",J$1&amp;","&amp;J23)</f>
        <v>105,38</v>
      </c>
      <c r="AD23" t="str">
        <f t="shared" ref="AD23:AD40" si="34">IF(K23="","",K$1&amp;","&amp;K23)</f>
        <v>106,16</v>
      </c>
      <c r="AE23" t="str">
        <f t="shared" ref="AE23:AE40" si="35">IF(L23="","",L$1&amp;","&amp;L23)</f>
        <v>3,200</v>
      </c>
      <c r="AG23" t="str">
        <f t="shared" ref="AG23:AG40" si="36">IF(B23="","",B$1&amp;","&amp;ROUNDUP(B23/2,0))</f>
        <v>104,8</v>
      </c>
      <c r="AH23" t="str">
        <f t="shared" si="22"/>
        <v>105,4</v>
      </c>
      <c r="AI23" t="str">
        <f t="shared" si="23"/>
        <v>106,2</v>
      </c>
      <c r="AJ23" t="str">
        <f t="shared" ref="AJ23:AJ40" si="37">IF(E23="","",E$1&amp;","&amp;ROUNDUP(E23/2*2.5,0))</f>
        <v>1,338</v>
      </c>
      <c r="AM23" t="str">
        <f>N23&amp;"#"&amp;N166&amp;"#"&amp;N269</f>
        <v>104,15|105,7|106,3|1,270#104,23|105,11|106,5|1,405#104,38|105,18|106,8|1,675</v>
      </c>
      <c r="AN23" t="str">
        <f>O23&amp;"#"&amp;O166&amp;"#"&amp;O269</f>
        <v>##</v>
      </c>
      <c r="AO23" t="str">
        <f>P23&amp;"#"&amp;P166&amp;"#"&amp;P269</f>
        <v>1,3500#1,5250#11,1|1,8750</v>
      </c>
      <c r="AP23" t="str">
        <f>Q23&amp;"#"&amp;Q166&amp;"#"&amp;Q269</f>
        <v>1,6800|4,6#162,1|1,10200|4,6#163,1|1,17000|4,6</v>
      </c>
      <c r="AQ23" t="str">
        <f>R23&amp;"#"&amp;R166&amp;"#"&amp;R269</f>
        <v>104,76|105,38|106,16|3,200#104,114|105,57|106,24|3,300#104,190|105,95|106,40|3,500</v>
      </c>
      <c r="AR23" t="str">
        <f>S23&amp;"#"&amp;S166&amp;"#"&amp;S269</f>
        <v>104,8|105,4|106,2|1,338#104,12|105,6|106,3|1,507#104,19|105,9|106,4|1,844</v>
      </c>
    </row>
    <row r="24" spans="1:44" x14ac:dyDescent="0.25">
      <c r="A24" s="14">
        <v>22</v>
      </c>
      <c r="B24" s="15">
        <f>IF(关卡产出!C29="","",关卡产出!C29)</f>
        <v>16</v>
      </c>
      <c r="C24" s="15">
        <f>IF(关卡产出!D29="","",关卡产出!D29)</f>
        <v>8</v>
      </c>
      <c r="D24" s="15">
        <f>IF(关卡产出!E29="","",关卡产出!E29)</f>
        <v>3</v>
      </c>
      <c r="E24" s="15">
        <f>IF(关卡产出!F29="","",关卡产出!F29)</f>
        <v>270</v>
      </c>
      <c r="F24" s="15">
        <f>IF(关卡产出!H29="","",关卡产出!H29)</f>
        <v>3700</v>
      </c>
      <c r="G24" s="15">
        <f>IF(关卡产出!J29="","",关卡产出!J29)</f>
        <v>7200</v>
      </c>
      <c r="H24" s="15">
        <f>IF(关卡产出!K29="","",关卡产出!K29)</f>
        <v>6</v>
      </c>
      <c r="I24" s="15">
        <f>IF(关卡产出!M29="","",关卡产出!M29)</f>
        <v>80</v>
      </c>
      <c r="J24" s="15">
        <f>IF(关卡产出!N29="","",关卡产出!N29)</f>
        <v>40</v>
      </c>
      <c r="K24" s="15">
        <f>IF(关卡产出!O29="","",关卡产出!O29)</f>
        <v>17</v>
      </c>
      <c r="L24" s="15">
        <f>IF(关卡产出!P29="","",关卡产出!P29)</f>
        <v>200</v>
      </c>
      <c r="M24">
        <f t="shared" si="4"/>
        <v>1350</v>
      </c>
      <c r="N24" t="str">
        <f t="shared" si="25"/>
        <v>104,16|105,8|106,3|1,270</v>
      </c>
      <c r="P24" t="str">
        <f t="shared" si="26"/>
        <v>1,3700</v>
      </c>
      <c r="Q24" t="str">
        <f t="shared" si="27"/>
        <v>1,7200|4,6</v>
      </c>
      <c r="R24" t="str">
        <f t="shared" si="28"/>
        <v>104,80|105,40|106,17|3,200</v>
      </c>
      <c r="S24" t="str">
        <f t="shared" si="29"/>
        <v>104,8|105,4|106,2|1,338</v>
      </c>
      <c r="V24" t="str">
        <f t="shared" ref="V24:V40" si="38">IF(B24="","",B$1&amp;","&amp;B24)</f>
        <v>104,16</v>
      </c>
      <c r="W24" t="str">
        <f t="shared" si="30"/>
        <v>105,8</v>
      </c>
      <c r="X24" t="str">
        <f t="shared" si="31"/>
        <v>106,3</v>
      </c>
      <c r="Y24" t="str">
        <f t="shared" si="12"/>
        <v>1,270</v>
      </c>
      <c r="AB24" t="str">
        <f t="shared" si="32"/>
        <v>104,80</v>
      </c>
      <c r="AC24" t="str">
        <f t="shared" si="33"/>
        <v>105,40</v>
      </c>
      <c r="AD24" t="str">
        <f t="shared" si="34"/>
        <v>106,17</v>
      </c>
      <c r="AE24" t="str">
        <f t="shared" si="35"/>
        <v>3,200</v>
      </c>
      <c r="AG24" t="str">
        <f t="shared" si="36"/>
        <v>104,8</v>
      </c>
      <c r="AH24" t="str">
        <f t="shared" si="22"/>
        <v>105,4</v>
      </c>
      <c r="AI24" t="str">
        <f t="shared" si="23"/>
        <v>106,2</v>
      </c>
      <c r="AJ24" t="str">
        <f t="shared" si="37"/>
        <v>1,338</v>
      </c>
      <c r="AM24" t="str">
        <f>N24&amp;"#"&amp;N167&amp;"#"&amp;N270</f>
        <v>104,16|105,8|106,3|1,270#104,24|105,12|106,5|1,405#104,40|105,20|106,8|1,675</v>
      </c>
      <c r="AN24" t="str">
        <f>O24&amp;"#"&amp;O167&amp;"#"&amp;O270</f>
        <v>##</v>
      </c>
      <c r="AO24" t="str">
        <f>P24&amp;"#"&amp;P167&amp;"#"&amp;P270</f>
        <v>1,3700#1,5550#11,1|1,9250</v>
      </c>
      <c r="AP24" t="str">
        <f>Q24&amp;"#"&amp;Q167&amp;"#"&amp;Q270</f>
        <v>1,7200|4,6#162,1|1,10800|4,6#163,1|1,18000|4,6</v>
      </c>
      <c r="AQ24" t="str">
        <f>R24&amp;"#"&amp;R167&amp;"#"&amp;R270</f>
        <v>104,80|105,40|106,17|3,200#104,120|105,60|106,26|3,300#104,200|105,100|106,43|3,500</v>
      </c>
      <c r="AR24" t="str">
        <f>S24&amp;"#"&amp;S167&amp;"#"&amp;S270</f>
        <v>104,8|105,4|106,2|1,338#104,12|105,6|106,3|1,507#104,20|105,10|106,4|1,844</v>
      </c>
    </row>
    <row r="25" spans="1:44" x14ac:dyDescent="0.25">
      <c r="A25" s="14">
        <v>23</v>
      </c>
      <c r="B25" s="15">
        <f>IF(关卡产出!C30="","",关卡产出!C30)</f>
        <v>17</v>
      </c>
      <c r="C25" s="15">
        <f>IF(关卡产出!D30="","",关卡产出!D30)</f>
        <v>8</v>
      </c>
      <c r="D25" s="15">
        <f>IF(关卡产出!E30="","",关卡产出!E30)</f>
        <v>4</v>
      </c>
      <c r="E25" s="15">
        <f>IF(关卡产出!F30="","",关卡产出!F30)</f>
        <v>290</v>
      </c>
      <c r="F25" s="15">
        <f>IF(关卡产出!H30="","",关卡产出!H30)</f>
        <v>3900</v>
      </c>
      <c r="G25" s="15">
        <f>IF(关卡产出!J30="","",关卡产出!J30)</f>
        <v>7600</v>
      </c>
      <c r="H25" s="15">
        <f>IF(关卡产出!K30="","",关卡产出!K30)</f>
        <v>6</v>
      </c>
      <c r="I25" s="15">
        <f>IF(关卡产出!M30="","",关卡产出!M30)</f>
        <v>84</v>
      </c>
      <c r="J25" s="15">
        <f>IF(关卡产出!N30="","",关卡产出!N30)</f>
        <v>42</v>
      </c>
      <c r="K25" s="15">
        <f>IF(关卡产出!O30="","",关卡产出!O30)</f>
        <v>18</v>
      </c>
      <c r="L25" s="15">
        <f>IF(关卡产出!P30="","",关卡产出!P30)</f>
        <v>200</v>
      </c>
      <c r="M25">
        <f t="shared" si="4"/>
        <v>1450</v>
      </c>
      <c r="N25" t="str">
        <f t="shared" si="25"/>
        <v>104,17|105,8|106,4|1,290</v>
      </c>
      <c r="P25" t="str">
        <f t="shared" si="26"/>
        <v>1,3900</v>
      </c>
      <c r="Q25" t="str">
        <f t="shared" si="27"/>
        <v>1,7600|4,6</v>
      </c>
      <c r="R25" t="str">
        <f t="shared" si="28"/>
        <v>104,84|105,42|106,18|3,200</v>
      </c>
      <c r="S25" t="str">
        <f t="shared" si="29"/>
        <v>104,9|105,4|106,2|1,363</v>
      </c>
      <c r="V25" t="str">
        <f t="shared" si="38"/>
        <v>104,17</v>
      </c>
      <c r="W25" t="str">
        <f t="shared" si="30"/>
        <v>105,8</v>
      </c>
      <c r="X25" t="str">
        <f t="shared" si="31"/>
        <v>106,4</v>
      </c>
      <c r="Y25" t="str">
        <f t="shared" si="12"/>
        <v>1,290</v>
      </c>
      <c r="AB25" t="str">
        <f t="shared" si="32"/>
        <v>104,84</v>
      </c>
      <c r="AC25" t="str">
        <f t="shared" si="33"/>
        <v>105,42</v>
      </c>
      <c r="AD25" t="str">
        <f t="shared" si="34"/>
        <v>106,18</v>
      </c>
      <c r="AE25" t="str">
        <f t="shared" si="35"/>
        <v>3,200</v>
      </c>
      <c r="AG25" t="str">
        <f t="shared" si="36"/>
        <v>104,9</v>
      </c>
      <c r="AH25" t="str">
        <f t="shared" si="22"/>
        <v>105,4</v>
      </c>
      <c r="AI25" t="str">
        <f t="shared" si="23"/>
        <v>106,2</v>
      </c>
      <c r="AJ25" t="str">
        <f t="shared" si="37"/>
        <v>1,363</v>
      </c>
      <c r="AM25" t="str">
        <f>N25&amp;"#"&amp;N168&amp;"#"&amp;N271</f>
        <v>104,17|105,8|106,4|1,290#104,26|105,12|106,6|1,435#104,43|105,20|106,10|1,725</v>
      </c>
      <c r="AN25" t="str">
        <f>O25&amp;"#"&amp;O168&amp;"#"&amp;O271</f>
        <v>##</v>
      </c>
      <c r="AO25" t="str">
        <f>P25&amp;"#"&amp;P168&amp;"#"&amp;P271</f>
        <v>1,3900#1,5850#11,1|1,9750</v>
      </c>
      <c r="AP25" t="str">
        <f>Q25&amp;"#"&amp;Q168&amp;"#"&amp;Q271</f>
        <v>1,7600|4,6#162,1|1,11400|4,6#163,1|1,19000|4,6</v>
      </c>
      <c r="AQ25" t="str">
        <f>R25&amp;"#"&amp;R168&amp;"#"&amp;R271</f>
        <v>104,84|105,42|106,18|3,200#104,126|105,63|106,27|3,300#104,210|105,105|106,45|3,500</v>
      </c>
      <c r="AR25" t="str">
        <f>S25&amp;"#"&amp;S168&amp;"#"&amp;S271</f>
        <v>104,9|105,4|106,2|1,363#104,13|105,6|106,3|1,544#104,22|105,10|106,5|1,907</v>
      </c>
    </row>
    <row r="26" spans="1:44" x14ac:dyDescent="0.25">
      <c r="A26" s="14">
        <v>24</v>
      </c>
      <c r="B26" s="15">
        <f>IF(关卡产出!C31="","",关卡产出!C31)</f>
        <v>18</v>
      </c>
      <c r="C26" s="15">
        <f>IF(关卡产出!D31="","",关卡产出!D31)</f>
        <v>9</v>
      </c>
      <c r="D26" s="15">
        <f>IF(关卡产出!E31="","",关卡产出!E31)</f>
        <v>4</v>
      </c>
      <c r="E26" s="15">
        <f>IF(关卡产出!F31="","",关卡产出!F31)</f>
        <v>290</v>
      </c>
      <c r="F26" s="15">
        <f>IF(关卡产出!H31="","",关卡产出!H31)</f>
        <v>4100</v>
      </c>
      <c r="G26" s="15">
        <f>IF(关卡产出!J31="","",关卡产出!J31)</f>
        <v>8000</v>
      </c>
      <c r="H26" s="15">
        <f>IF(关卡产出!K31="","",关卡产出!K31)</f>
        <v>6</v>
      </c>
      <c r="I26" s="15">
        <f>IF(关卡产出!M31="","",关卡产出!M31)</f>
        <v>88</v>
      </c>
      <c r="J26" s="15">
        <f>IF(关卡产出!N31="","",关卡产出!N31)</f>
        <v>44</v>
      </c>
      <c r="K26" s="15">
        <f>IF(关卡产出!O31="","",关卡产出!O31)</f>
        <v>19</v>
      </c>
      <c r="L26" s="15">
        <f>IF(关卡产出!P31="","",关卡产出!P31)</f>
        <v>200</v>
      </c>
      <c r="M26">
        <f t="shared" si="4"/>
        <v>1450</v>
      </c>
      <c r="N26" t="str">
        <f t="shared" si="25"/>
        <v>104,18|105,9|106,4|1,290</v>
      </c>
      <c r="P26" t="str">
        <f t="shared" si="26"/>
        <v>1,4100</v>
      </c>
      <c r="Q26" t="str">
        <f t="shared" si="27"/>
        <v>1,8000|4,6</v>
      </c>
      <c r="R26" t="str">
        <f t="shared" si="28"/>
        <v>104,88|105,44|106,19|3,200</v>
      </c>
      <c r="S26" t="str">
        <f t="shared" si="29"/>
        <v>104,9|105,5|106,2|1,363</v>
      </c>
      <c r="V26" t="str">
        <f t="shared" si="38"/>
        <v>104,18</v>
      </c>
      <c r="W26" t="str">
        <f t="shared" si="30"/>
        <v>105,9</v>
      </c>
      <c r="X26" t="str">
        <f t="shared" si="31"/>
        <v>106,4</v>
      </c>
      <c r="Y26" t="str">
        <f t="shared" si="12"/>
        <v>1,290</v>
      </c>
      <c r="AB26" t="str">
        <f t="shared" si="32"/>
        <v>104,88</v>
      </c>
      <c r="AC26" t="str">
        <f t="shared" si="33"/>
        <v>105,44</v>
      </c>
      <c r="AD26" t="str">
        <f t="shared" si="34"/>
        <v>106,19</v>
      </c>
      <c r="AE26" t="str">
        <f t="shared" si="35"/>
        <v>3,200</v>
      </c>
      <c r="AG26" t="str">
        <f t="shared" si="36"/>
        <v>104,9</v>
      </c>
      <c r="AH26" t="str">
        <f t="shared" si="22"/>
        <v>105,5</v>
      </c>
      <c r="AI26" t="str">
        <f t="shared" si="23"/>
        <v>106,2</v>
      </c>
      <c r="AJ26" t="str">
        <f t="shared" si="37"/>
        <v>1,363</v>
      </c>
      <c r="AM26" t="str">
        <f>N26&amp;"#"&amp;N169&amp;"#"&amp;N272</f>
        <v>104,18|105,9|106,4|1,290#104,27|105,14|106,6|1,435#104,45|105,23|106,10|1,725</v>
      </c>
      <c r="AN26" t="str">
        <f>O26&amp;"#"&amp;O169&amp;"#"&amp;O272</f>
        <v>##</v>
      </c>
      <c r="AO26" t="str">
        <f>P26&amp;"#"&amp;P169&amp;"#"&amp;P272</f>
        <v>1,4100#1,6150#11,1|1,10250</v>
      </c>
      <c r="AP26" t="str">
        <f>Q26&amp;"#"&amp;Q169&amp;"#"&amp;Q272</f>
        <v>1,8000|4,6#162,1|1,12000|4,6#163,1|1,20000|4,6</v>
      </c>
      <c r="AQ26" t="str">
        <f>R26&amp;"#"&amp;R169&amp;"#"&amp;R272</f>
        <v>104,88|105,44|106,19|3,200#104,132|105,66|106,29|3,300#104,220|105,110|106,48|3,500</v>
      </c>
      <c r="AR26" t="str">
        <f>S26&amp;"#"&amp;S169&amp;"#"&amp;S272</f>
        <v>104,9|105,5|106,2|1,363#104,14|105,7|106,3|1,544#104,23|105,12|106,5|1,907</v>
      </c>
    </row>
    <row r="27" spans="1:44" x14ac:dyDescent="0.25">
      <c r="A27" s="14">
        <v>25</v>
      </c>
      <c r="B27" s="15">
        <f>IF(关卡产出!C32="","",关卡产出!C32)</f>
        <v>18</v>
      </c>
      <c r="C27" s="15">
        <f>IF(关卡产出!D32="","",关卡产出!D32)</f>
        <v>9</v>
      </c>
      <c r="D27" s="15">
        <f>IF(关卡产出!E32="","",关卡产出!E32)</f>
        <v>4</v>
      </c>
      <c r="E27" s="15">
        <f>IF(关卡产出!F32="","",关卡产出!F32)</f>
        <v>310</v>
      </c>
      <c r="F27" s="15">
        <f>IF(关卡产出!H32="","",关卡产出!H32)</f>
        <v>4300</v>
      </c>
      <c r="G27" s="15">
        <f>IF(关卡产出!J32="","",关卡产出!J32)</f>
        <v>8400</v>
      </c>
      <c r="H27" s="15">
        <f>IF(关卡产出!K32="","",关卡产出!K32)</f>
        <v>6</v>
      </c>
      <c r="I27" s="15">
        <f>IF(关卡产出!M32="","",关卡产出!M32)</f>
        <v>92</v>
      </c>
      <c r="J27" s="15">
        <f>IF(关卡产出!N32="","",关卡产出!N32)</f>
        <v>46</v>
      </c>
      <c r="K27" s="15">
        <f>IF(关卡产出!O32="","",关卡产出!O32)</f>
        <v>20</v>
      </c>
      <c r="L27" s="15">
        <f>IF(关卡产出!P32="","",关卡产出!P32)</f>
        <v>200</v>
      </c>
      <c r="M27">
        <f t="shared" si="4"/>
        <v>1550</v>
      </c>
      <c r="N27" t="str">
        <f t="shared" si="25"/>
        <v>104,18|105,9|106,4|1,310</v>
      </c>
      <c r="P27" t="str">
        <f t="shared" si="26"/>
        <v>1,4300</v>
      </c>
      <c r="Q27" t="str">
        <f t="shared" si="27"/>
        <v>1,8400|4,6</v>
      </c>
      <c r="R27" t="str">
        <f t="shared" si="28"/>
        <v>104,92|105,46|106,20|3,200</v>
      </c>
      <c r="S27" t="str">
        <f t="shared" si="29"/>
        <v>104,9|105,5|106,2|1,388</v>
      </c>
      <c r="V27" t="str">
        <f t="shared" si="38"/>
        <v>104,18</v>
      </c>
      <c r="W27" t="str">
        <f t="shared" si="30"/>
        <v>105,9</v>
      </c>
      <c r="X27" t="str">
        <f t="shared" si="31"/>
        <v>106,4</v>
      </c>
      <c r="Y27" t="str">
        <f t="shared" si="12"/>
        <v>1,310</v>
      </c>
      <c r="AB27" t="str">
        <f t="shared" si="32"/>
        <v>104,92</v>
      </c>
      <c r="AC27" t="str">
        <f t="shared" si="33"/>
        <v>105,46</v>
      </c>
      <c r="AD27" t="str">
        <f t="shared" si="34"/>
        <v>106,20</v>
      </c>
      <c r="AE27" t="str">
        <f t="shared" si="35"/>
        <v>3,200</v>
      </c>
      <c r="AG27" t="str">
        <f t="shared" si="36"/>
        <v>104,9</v>
      </c>
      <c r="AH27" t="str">
        <f t="shared" si="22"/>
        <v>105,5</v>
      </c>
      <c r="AI27" t="str">
        <f t="shared" si="23"/>
        <v>106,2</v>
      </c>
      <c r="AJ27" t="str">
        <f t="shared" si="37"/>
        <v>1,388</v>
      </c>
      <c r="AM27" t="str">
        <f>N27&amp;"#"&amp;N170&amp;"#"&amp;N273</f>
        <v>104,18|105,9|106,4|1,310#104,27|105,14|106,6|1,465#104,45|105,23|106,10|1,775</v>
      </c>
      <c r="AN27" t="str">
        <f>O27&amp;"#"&amp;O170&amp;"#"&amp;O273</f>
        <v>##</v>
      </c>
      <c r="AO27" t="str">
        <f>P27&amp;"#"&amp;P170&amp;"#"&amp;P273</f>
        <v>1,4300#1,6450#11,1|1,10750</v>
      </c>
      <c r="AP27" t="str">
        <f>Q27&amp;"#"&amp;Q170&amp;"#"&amp;Q273</f>
        <v>1,8400|4,6#162,1|1,12600|4,6#163,1|1,21000|4,6</v>
      </c>
      <c r="AQ27" t="str">
        <f>R27&amp;"#"&amp;R170&amp;"#"&amp;R273</f>
        <v>104,92|105,46|106,20|3,200#104,138|105,69|106,30|3,300#104,230|105,115|106,50|3,500</v>
      </c>
      <c r="AR27" t="str">
        <f>S27&amp;"#"&amp;S170&amp;"#"&amp;S273</f>
        <v>104,9|105,5|106,2|1,388#104,14|105,7|106,3|1,582#104,23|105,12|106,5|1,969</v>
      </c>
    </row>
    <row r="28" spans="1:44" x14ac:dyDescent="0.25">
      <c r="A28" s="14">
        <v>26</v>
      </c>
      <c r="B28" s="15">
        <f>IF(关卡产出!C33="","",关卡产出!C33)</f>
        <v>19</v>
      </c>
      <c r="C28" s="15">
        <f>IF(关卡产出!D33="","",关卡产出!D33)</f>
        <v>9</v>
      </c>
      <c r="D28" s="15">
        <f>IF(关卡产出!E33="","",关卡产出!E33)</f>
        <v>4</v>
      </c>
      <c r="E28" s="15">
        <f>IF(关卡产出!F33="","",关卡产出!F33)</f>
        <v>310</v>
      </c>
      <c r="F28" s="15">
        <f>IF(关卡产出!H33="","",关卡产出!H33)</f>
        <v>4500</v>
      </c>
      <c r="G28" s="15">
        <f>IF(关卡产出!J33="","",关卡产出!J33)</f>
        <v>8800</v>
      </c>
      <c r="H28" s="15">
        <f>IF(关卡产出!K33="","",关卡产出!K33)</f>
        <v>6</v>
      </c>
      <c r="I28" s="15">
        <f>IF(关卡产出!M33="","",关卡产出!M33)</f>
        <v>96</v>
      </c>
      <c r="J28" s="15">
        <f>IF(关卡产出!N33="","",关卡产出!N33)</f>
        <v>48</v>
      </c>
      <c r="K28" s="15">
        <f>IF(关卡产出!O33="","",关卡产出!O33)</f>
        <v>21</v>
      </c>
      <c r="L28" s="15">
        <f>IF(关卡产出!P33="","",关卡产出!P33)</f>
        <v>200</v>
      </c>
      <c r="M28">
        <f t="shared" si="4"/>
        <v>1550</v>
      </c>
      <c r="N28" t="str">
        <f t="shared" si="25"/>
        <v>104,19|105,9|106,4|1,310</v>
      </c>
      <c r="P28" t="str">
        <f t="shared" si="26"/>
        <v>1,4500</v>
      </c>
      <c r="Q28" t="str">
        <f t="shared" si="27"/>
        <v>1,8800|4,6</v>
      </c>
      <c r="R28" t="str">
        <f t="shared" si="28"/>
        <v>104,96|105,48|106,21|3,200</v>
      </c>
      <c r="S28" t="str">
        <f t="shared" si="29"/>
        <v>104,10|105,5|106,2|1,388</v>
      </c>
      <c r="V28" t="str">
        <f t="shared" si="38"/>
        <v>104,19</v>
      </c>
      <c r="W28" t="str">
        <f t="shared" si="30"/>
        <v>105,9</v>
      </c>
      <c r="X28" t="str">
        <f t="shared" si="31"/>
        <v>106,4</v>
      </c>
      <c r="Y28" t="str">
        <f t="shared" si="12"/>
        <v>1,310</v>
      </c>
      <c r="AB28" t="str">
        <f t="shared" si="32"/>
        <v>104,96</v>
      </c>
      <c r="AC28" t="str">
        <f t="shared" si="33"/>
        <v>105,48</v>
      </c>
      <c r="AD28" t="str">
        <f t="shared" si="34"/>
        <v>106,21</v>
      </c>
      <c r="AE28" t="str">
        <f t="shared" si="35"/>
        <v>3,200</v>
      </c>
      <c r="AG28" t="str">
        <f t="shared" si="36"/>
        <v>104,10</v>
      </c>
      <c r="AH28" t="str">
        <f t="shared" si="22"/>
        <v>105,5</v>
      </c>
      <c r="AI28" t="str">
        <f t="shared" si="23"/>
        <v>106,2</v>
      </c>
      <c r="AJ28" t="str">
        <f t="shared" si="37"/>
        <v>1,388</v>
      </c>
      <c r="AM28" t="str">
        <f>N28&amp;"#"&amp;N171&amp;"#"&amp;N274</f>
        <v>104,19|105,9|106,4|1,310#104,29|105,14|106,6|1,465#104,48|105,23|106,10|1,775</v>
      </c>
      <c r="AN28" t="str">
        <f>O28&amp;"#"&amp;O171&amp;"#"&amp;O274</f>
        <v>##</v>
      </c>
      <c r="AO28" t="str">
        <f>P28&amp;"#"&amp;P171&amp;"#"&amp;P274</f>
        <v>1,4500#1,6750#11,1|1,11250</v>
      </c>
      <c r="AP28" t="str">
        <f>Q28&amp;"#"&amp;Q171&amp;"#"&amp;Q274</f>
        <v>1,8800|4,6#162,1|1,13200|4,6#163,1|1,22000|4,6</v>
      </c>
      <c r="AQ28" t="str">
        <f>R28&amp;"#"&amp;R171&amp;"#"&amp;R274</f>
        <v>104,96|105,48|106,21|3,200#104,144|105,72|106,32|3,300#104,240|105,120|106,53|3,500</v>
      </c>
      <c r="AR28" t="str">
        <f>S28&amp;"#"&amp;S171&amp;"#"&amp;S274</f>
        <v>104,10|105,5|106,2|1,388#104,15|105,7|106,3|1,582#104,24|105,12|106,5|1,969</v>
      </c>
    </row>
    <row r="29" spans="1:44" x14ac:dyDescent="0.25">
      <c r="A29" s="14">
        <v>27</v>
      </c>
      <c r="B29" s="15">
        <f>IF(关卡产出!C34="","",关卡产出!C34)</f>
        <v>20</v>
      </c>
      <c r="C29" s="15">
        <f>IF(关卡产出!D34="","",关卡产出!D34)</f>
        <v>10</v>
      </c>
      <c r="D29" s="15">
        <f>IF(关卡产出!E34="","",关卡产出!E34)</f>
        <v>4</v>
      </c>
      <c r="E29" s="15">
        <f>IF(关卡产出!F34="","",关卡产出!F34)</f>
        <v>330</v>
      </c>
      <c r="F29" s="15">
        <f>IF(关卡产出!H34="","",关卡产出!H34)</f>
        <v>4700</v>
      </c>
      <c r="G29" s="15">
        <f>IF(关卡产出!J34="","",关卡产出!J34)</f>
        <v>9200</v>
      </c>
      <c r="H29" s="15">
        <f>IF(关卡产出!K34="","",关卡产出!K34)</f>
        <v>6</v>
      </c>
      <c r="I29" s="15">
        <f>IF(关卡产出!M34="","",关卡产出!M34)</f>
        <v>100</v>
      </c>
      <c r="J29" s="15">
        <f>IF(关卡产出!N34="","",关卡产出!N34)</f>
        <v>50</v>
      </c>
      <c r="K29" s="15">
        <f>IF(关卡产出!O34="","",关卡产出!O34)</f>
        <v>22</v>
      </c>
      <c r="L29" s="15">
        <f>IF(关卡产出!P34="","",关卡产出!P34)</f>
        <v>200</v>
      </c>
      <c r="M29">
        <f t="shared" si="4"/>
        <v>1650</v>
      </c>
      <c r="N29" t="str">
        <f t="shared" si="25"/>
        <v>104,20|105,10|106,4|1,330</v>
      </c>
      <c r="P29" t="str">
        <f t="shared" si="26"/>
        <v>1,4700</v>
      </c>
      <c r="Q29" t="str">
        <f t="shared" si="27"/>
        <v>1,9200|4,6</v>
      </c>
      <c r="R29" t="str">
        <f t="shared" si="28"/>
        <v>104,100|105,50|106,22|3,200</v>
      </c>
      <c r="S29" t="str">
        <f t="shared" si="29"/>
        <v>104,10|105,5|106,2|1,413</v>
      </c>
      <c r="V29" t="str">
        <f t="shared" si="38"/>
        <v>104,20</v>
      </c>
      <c r="W29" t="str">
        <f t="shared" si="30"/>
        <v>105,10</v>
      </c>
      <c r="X29" t="str">
        <f t="shared" si="31"/>
        <v>106,4</v>
      </c>
      <c r="Y29" t="str">
        <f t="shared" si="12"/>
        <v>1,330</v>
      </c>
      <c r="AB29" t="str">
        <f t="shared" si="32"/>
        <v>104,100</v>
      </c>
      <c r="AC29" t="str">
        <f t="shared" si="33"/>
        <v>105,50</v>
      </c>
      <c r="AD29" t="str">
        <f t="shared" si="34"/>
        <v>106,22</v>
      </c>
      <c r="AE29" t="str">
        <f t="shared" si="35"/>
        <v>3,200</v>
      </c>
      <c r="AG29" t="str">
        <f t="shared" si="36"/>
        <v>104,10</v>
      </c>
      <c r="AH29" t="str">
        <f t="shared" si="22"/>
        <v>105,5</v>
      </c>
      <c r="AI29" t="str">
        <f t="shared" si="23"/>
        <v>106,2</v>
      </c>
      <c r="AJ29" t="str">
        <f t="shared" si="37"/>
        <v>1,413</v>
      </c>
      <c r="AM29" t="str">
        <f>N29&amp;"#"&amp;N172&amp;"#"&amp;N275</f>
        <v>104,20|105,10|106,4|1,330#104,30|105,15|106,6|1,495#104,50|105,25|106,10|1,825</v>
      </c>
      <c r="AN29" t="str">
        <f>O29&amp;"#"&amp;O172&amp;"#"&amp;O275</f>
        <v>##</v>
      </c>
      <c r="AO29" t="str">
        <f>P29&amp;"#"&amp;P172&amp;"#"&amp;P275</f>
        <v>1,4700#1,7050#11,1|1,11750</v>
      </c>
      <c r="AP29" t="str">
        <f>Q29&amp;"#"&amp;Q172&amp;"#"&amp;Q275</f>
        <v>1,9200|4,6#162,1|1,13800|4,6#163,1|1,23000|4,6</v>
      </c>
      <c r="AQ29" t="str">
        <f>R29&amp;"#"&amp;R172&amp;"#"&amp;R275</f>
        <v>104,100|105,50|106,22|3,200#104,150|105,75|106,33|3,300#104,250|105,125|106,55|3,500</v>
      </c>
      <c r="AR29" t="str">
        <f>S29&amp;"#"&amp;S172&amp;"#"&amp;S275</f>
        <v>104,10|105,5|106,2|1,413#104,15|105,8|106,3|1,619#104,25|105,13|106,5|1,1032</v>
      </c>
    </row>
    <row r="30" spans="1:44" x14ac:dyDescent="0.25">
      <c r="A30" s="14">
        <v>28</v>
      </c>
      <c r="B30" s="15">
        <f>IF(关卡产出!C35="","",关卡产出!C35)</f>
        <v>21</v>
      </c>
      <c r="C30" s="15">
        <f>IF(关卡产出!D35="","",关卡产出!D35)</f>
        <v>10</v>
      </c>
      <c r="D30" s="15">
        <f>IF(关卡产出!E35="","",关卡产出!E35)</f>
        <v>5</v>
      </c>
      <c r="E30" s="15">
        <f>IF(关卡产出!F35="","",关卡产出!F35)</f>
        <v>330</v>
      </c>
      <c r="F30" s="15">
        <f>IF(关卡产出!H35="","",关卡产出!H35)</f>
        <v>4900</v>
      </c>
      <c r="G30" s="15">
        <f>IF(关卡产出!J35="","",关卡产出!J35)</f>
        <v>9600</v>
      </c>
      <c r="H30" s="15">
        <f>IF(关卡产出!K35="","",关卡产出!K35)</f>
        <v>6</v>
      </c>
      <c r="I30" s="15">
        <f>IF(关卡产出!M35="","",关卡产出!M35)</f>
        <v>104</v>
      </c>
      <c r="J30" s="15">
        <f>IF(关卡产出!N35="","",关卡产出!N35)</f>
        <v>52</v>
      </c>
      <c r="K30" s="15">
        <f>IF(关卡产出!O35="","",关卡产出!O35)</f>
        <v>23</v>
      </c>
      <c r="L30" s="15">
        <f>IF(关卡产出!P35="","",关卡产出!P35)</f>
        <v>200</v>
      </c>
      <c r="M30">
        <f t="shared" si="4"/>
        <v>1650</v>
      </c>
      <c r="N30" t="str">
        <f t="shared" si="25"/>
        <v>104,21|105,10|106,5|1,330</v>
      </c>
      <c r="P30" t="str">
        <f t="shared" si="26"/>
        <v>1,4900</v>
      </c>
      <c r="Q30" t="str">
        <f t="shared" si="27"/>
        <v>1,9600|4,6</v>
      </c>
      <c r="R30" t="str">
        <f t="shared" si="28"/>
        <v>104,104|105,52|106,23|3,200</v>
      </c>
      <c r="S30" t="str">
        <f t="shared" si="29"/>
        <v>104,11|105,5|106,3|1,413</v>
      </c>
      <c r="V30" t="str">
        <f t="shared" si="38"/>
        <v>104,21</v>
      </c>
      <c r="W30" t="str">
        <f t="shared" si="30"/>
        <v>105,10</v>
      </c>
      <c r="X30" t="str">
        <f t="shared" si="31"/>
        <v>106,5</v>
      </c>
      <c r="Y30" t="str">
        <f t="shared" si="12"/>
        <v>1,330</v>
      </c>
      <c r="AB30" t="str">
        <f t="shared" si="32"/>
        <v>104,104</v>
      </c>
      <c r="AC30" t="str">
        <f t="shared" si="33"/>
        <v>105,52</v>
      </c>
      <c r="AD30" t="str">
        <f t="shared" si="34"/>
        <v>106,23</v>
      </c>
      <c r="AE30" t="str">
        <f t="shared" si="35"/>
        <v>3,200</v>
      </c>
      <c r="AG30" t="str">
        <f t="shared" si="36"/>
        <v>104,11</v>
      </c>
      <c r="AH30" t="str">
        <f t="shared" si="22"/>
        <v>105,5</v>
      </c>
      <c r="AI30" t="str">
        <f t="shared" si="23"/>
        <v>106,3</v>
      </c>
      <c r="AJ30" t="str">
        <f t="shared" si="37"/>
        <v>1,413</v>
      </c>
      <c r="AM30" t="str">
        <f>N30&amp;"#"&amp;N173&amp;"#"&amp;N276</f>
        <v>104,21|105,10|106,5|1,330#104,32|105,15|106,8|1,495#104,53|105,25|106,13|1,825</v>
      </c>
      <c r="AN30" t="str">
        <f>O30&amp;"#"&amp;O173&amp;"#"&amp;O276</f>
        <v>##</v>
      </c>
      <c r="AO30" t="str">
        <f>P30&amp;"#"&amp;P173&amp;"#"&amp;P276</f>
        <v>1,4900#1,7350#11,1|1,12250</v>
      </c>
      <c r="AP30" t="str">
        <f>Q30&amp;"#"&amp;Q173&amp;"#"&amp;Q276</f>
        <v>1,9600|4,6#162,1|1,14400|4,6#163,1|1,24000|4,6</v>
      </c>
      <c r="AQ30" t="str">
        <f>R30&amp;"#"&amp;R173&amp;"#"&amp;R276</f>
        <v>104,104|105,52|106,23|3,200#104,156|105,78|106,35|3,300#104,260|105,130|106,58|3,500</v>
      </c>
      <c r="AR30" t="str">
        <f>S30&amp;"#"&amp;S173&amp;"#"&amp;S276</f>
        <v>104,11|105,5|106,3|1,413#104,16|105,8|106,4|1,619#104,27|105,13|106,7|1,1032</v>
      </c>
    </row>
    <row r="31" spans="1:44" s="1" customFormat="1" x14ac:dyDescent="0.25">
      <c r="A31" s="14">
        <v>29</v>
      </c>
      <c r="B31" s="16">
        <f>IF(关卡产出!C36="","",关卡产出!C36)</f>
        <v>22</v>
      </c>
      <c r="C31" s="16">
        <f>IF(关卡产出!D36="","",关卡产出!D36)</f>
        <v>11</v>
      </c>
      <c r="D31" s="16">
        <f>IF(关卡产出!E36="","",关卡产出!E36)</f>
        <v>5</v>
      </c>
      <c r="E31" s="16">
        <f>IF(关卡产出!F36="","",关卡产出!F36)</f>
        <v>350</v>
      </c>
      <c r="F31" s="15">
        <f>IF(关卡产出!H36="","",关卡产出!H36)</f>
        <v>5100</v>
      </c>
      <c r="G31" s="16">
        <f>IF(关卡产出!J36="","",关卡产出!J36)</f>
        <v>10000</v>
      </c>
      <c r="H31" s="16">
        <f>IF(关卡产出!K36="","",关卡产出!K36)</f>
        <v>6</v>
      </c>
      <c r="I31" s="16">
        <f>IF(关卡产出!M36="","",关卡产出!M36)</f>
        <v>108</v>
      </c>
      <c r="J31" s="16">
        <f>IF(关卡产出!N36="","",关卡产出!N36)</f>
        <v>54</v>
      </c>
      <c r="K31" s="16">
        <f>IF(关卡产出!O36="","",关卡产出!O36)</f>
        <v>24</v>
      </c>
      <c r="L31" s="16">
        <f>IF(关卡产出!P36="","",关卡产出!P36)</f>
        <v>200</v>
      </c>
      <c r="M31">
        <f t="shared" si="4"/>
        <v>1750</v>
      </c>
      <c r="N31" s="1" t="str">
        <f t="shared" si="25"/>
        <v>104,22|105,11|106,5|1,350</v>
      </c>
      <c r="P31" s="1" t="str">
        <f t="shared" si="26"/>
        <v>1,5100</v>
      </c>
      <c r="Q31" s="1" t="str">
        <f t="shared" si="27"/>
        <v>1,10000|4,6</v>
      </c>
      <c r="R31" s="1" t="str">
        <f t="shared" si="28"/>
        <v>104,108|105,54|106,24|3,200</v>
      </c>
      <c r="S31" s="1" t="str">
        <f t="shared" si="29"/>
        <v>104,11|105,6|106,3|1,438</v>
      </c>
      <c r="V31" s="1" t="str">
        <f t="shared" si="38"/>
        <v>104,22</v>
      </c>
      <c r="W31" s="1" t="str">
        <f t="shared" si="30"/>
        <v>105,11</v>
      </c>
      <c r="X31" s="1" t="str">
        <f t="shared" si="31"/>
        <v>106,5</v>
      </c>
      <c r="Y31" s="1" t="str">
        <f t="shared" si="12"/>
        <v>1,350</v>
      </c>
      <c r="AB31" s="1" t="str">
        <f t="shared" si="32"/>
        <v>104,108</v>
      </c>
      <c r="AC31" s="1" t="str">
        <f t="shared" si="33"/>
        <v>105,54</v>
      </c>
      <c r="AD31" s="1" t="str">
        <f t="shared" si="34"/>
        <v>106,24</v>
      </c>
      <c r="AE31" s="1" t="str">
        <f t="shared" si="35"/>
        <v>3,200</v>
      </c>
      <c r="AG31" s="1" t="str">
        <f t="shared" si="36"/>
        <v>104,11</v>
      </c>
      <c r="AH31" s="1" t="str">
        <f t="shared" si="22"/>
        <v>105,6</v>
      </c>
      <c r="AI31" s="1" t="str">
        <f t="shared" si="23"/>
        <v>106,3</v>
      </c>
      <c r="AJ31" s="1" t="str">
        <f t="shared" si="37"/>
        <v>1,438</v>
      </c>
      <c r="AM31" t="str">
        <f>N31&amp;"#"&amp;N174&amp;"#"&amp;N277</f>
        <v>104,22|105,11|106,5|1,350#104,33|105,17|106,8|1,525#104,55|105,28|106,13|1,875</v>
      </c>
      <c r="AN31" t="str">
        <f>O31&amp;"#"&amp;O174&amp;"#"&amp;O277</f>
        <v>##</v>
      </c>
      <c r="AO31" t="str">
        <f>P31&amp;"#"&amp;P174&amp;"#"&amp;P277</f>
        <v>1,5100#1,7650#11,1|1,12750</v>
      </c>
      <c r="AP31" t="str">
        <f>Q31&amp;"#"&amp;Q174&amp;"#"&amp;Q277</f>
        <v>1,10000|4,6#162,1|1,15000|4,6#163,1|1,25000|4,6</v>
      </c>
      <c r="AQ31" t="str">
        <f>R31&amp;"#"&amp;R174&amp;"#"&amp;R277</f>
        <v>104,108|105,54|106,24|3,200#104,162|105,81|106,36|3,300#104,270|105,135|106,60|3,500</v>
      </c>
      <c r="AR31" t="str">
        <f>S31&amp;"#"&amp;S174&amp;"#"&amp;S277</f>
        <v>104,11|105,6|106,3|1,438#104,17|105,9|106,4|1,657#104,28|105,14|106,7|1,1094</v>
      </c>
    </row>
    <row r="32" spans="1:44" x14ac:dyDescent="0.25">
      <c r="A32" s="14">
        <v>30</v>
      </c>
      <c r="B32" s="15">
        <f>IF(关卡产出!C37="","",关卡产出!C37)</f>
        <v>22</v>
      </c>
      <c r="C32" s="15">
        <f>IF(关卡产出!D37="","",关卡产出!D37)</f>
        <v>11</v>
      </c>
      <c r="D32" s="15">
        <f>IF(关卡产出!E37="","",关卡产出!E37)</f>
        <v>5</v>
      </c>
      <c r="E32" s="15">
        <f>IF(关卡产出!F37="","",关卡产出!F37)</f>
        <v>350</v>
      </c>
      <c r="F32" s="15">
        <f>IF(关卡产出!H37="","",关卡产出!H37)</f>
        <v>5300</v>
      </c>
      <c r="G32" s="15">
        <f>IF(关卡产出!J37="","",关卡产出!J37)</f>
        <v>10400</v>
      </c>
      <c r="H32" s="15">
        <f>IF(关卡产出!K37="","",关卡产出!K37)</f>
        <v>6</v>
      </c>
      <c r="I32" s="15">
        <f>IF(关卡产出!M37="","",关卡产出!M37)</f>
        <v>112</v>
      </c>
      <c r="J32" s="15">
        <f>IF(关卡产出!N37="","",关卡产出!N37)</f>
        <v>56</v>
      </c>
      <c r="K32" s="15">
        <f>IF(关卡产出!O37="","",关卡产出!O37)</f>
        <v>25</v>
      </c>
      <c r="L32" s="15">
        <f>IF(关卡产出!P37="","",关卡产出!P37)</f>
        <v>200</v>
      </c>
      <c r="M32">
        <f t="shared" si="4"/>
        <v>1750</v>
      </c>
      <c r="N32" t="str">
        <f t="shared" si="25"/>
        <v>104,22|105,11|106,5|1,350</v>
      </c>
      <c r="P32" t="str">
        <f t="shared" si="26"/>
        <v>1,5300</v>
      </c>
      <c r="Q32" t="str">
        <f t="shared" si="27"/>
        <v>1,10400|4,6</v>
      </c>
      <c r="R32" t="str">
        <f t="shared" si="28"/>
        <v>104,112|105,56|106,25|3,200</v>
      </c>
      <c r="S32" t="str">
        <f t="shared" si="29"/>
        <v>104,11|105,6|106,3|1,438</v>
      </c>
      <c r="V32" t="str">
        <f t="shared" si="38"/>
        <v>104,22</v>
      </c>
      <c r="W32" t="str">
        <f t="shared" si="30"/>
        <v>105,11</v>
      </c>
      <c r="X32" t="str">
        <f t="shared" si="31"/>
        <v>106,5</v>
      </c>
      <c r="Y32" t="str">
        <f t="shared" si="12"/>
        <v>1,350</v>
      </c>
      <c r="AB32" t="str">
        <f t="shared" si="32"/>
        <v>104,112</v>
      </c>
      <c r="AC32" t="str">
        <f t="shared" si="33"/>
        <v>105,56</v>
      </c>
      <c r="AD32" t="str">
        <f t="shared" si="34"/>
        <v>106,25</v>
      </c>
      <c r="AE32" t="str">
        <f t="shared" si="35"/>
        <v>3,200</v>
      </c>
      <c r="AG32" t="str">
        <f t="shared" si="36"/>
        <v>104,11</v>
      </c>
      <c r="AH32" t="str">
        <f t="shared" si="22"/>
        <v>105,6</v>
      </c>
      <c r="AI32" t="str">
        <f t="shared" si="23"/>
        <v>106,3</v>
      </c>
      <c r="AJ32" t="str">
        <f t="shared" si="37"/>
        <v>1,438</v>
      </c>
      <c r="AM32" t="str">
        <f>N32&amp;"#"&amp;N175&amp;"#"&amp;N278</f>
        <v>104,22|105,11|106,5|1,350#104,33|105,17|106,8|1,525#104,55|105,28|106,13|1,875</v>
      </c>
      <c r="AN32" t="str">
        <f>O32&amp;"#"&amp;O175&amp;"#"&amp;O278</f>
        <v>##</v>
      </c>
      <c r="AO32" t="str">
        <f>P32&amp;"#"&amp;P175&amp;"#"&amp;P278</f>
        <v>1,5300#1,7950#11,1|1,13250</v>
      </c>
      <c r="AP32" t="str">
        <f>Q32&amp;"#"&amp;Q175&amp;"#"&amp;Q278</f>
        <v>1,10400|4,6#162,1|1,15600|4,6#163,1|1,26000|4,6</v>
      </c>
      <c r="AQ32" t="str">
        <f>R32&amp;"#"&amp;R175&amp;"#"&amp;R278</f>
        <v>104,112|105,56|106,25|3,200#104,168|105,84|106,38|3,300#104,280|105,140|106,63|3,500</v>
      </c>
      <c r="AR32" t="str">
        <f>S32&amp;"#"&amp;S175&amp;"#"&amp;S278</f>
        <v>104,11|105,6|106,3|1,438#104,17|105,9|106,4|1,657#104,28|105,14|106,7|1,1094</v>
      </c>
    </row>
    <row r="33" spans="1:44" x14ac:dyDescent="0.25">
      <c r="A33" s="14">
        <v>31</v>
      </c>
      <c r="B33" s="15">
        <f>IF(关卡产出!C38="","",关卡产出!C38)</f>
        <v>23</v>
      </c>
      <c r="C33" s="15">
        <f>IF(关卡产出!D38="","",关卡产出!D38)</f>
        <v>11</v>
      </c>
      <c r="D33" s="15">
        <f>IF(关卡产出!E38="","",关卡产出!E38)</f>
        <v>5</v>
      </c>
      <c r="E33" s="15">
        <f>IF(关卡产出!F38="","",关卡产出!F38)</f>
        <v>370</v>
      </c>
      <c r="F33" s="15">
        <f>IF(关卡产出!H38="","",关卡产出!H38)</f>
        <v>5500</v>
      </c>
      <c r="G33" s="15">
        <f>IF(关卡产出!J38="","",关卡产出!J38)</f>
        <v>10800</v>
      </c>
      <c r="H33" s="15">
        <f>IF(关卡产出!K38="","",关卡产出!K38)</f>
        <v>6</v>
      </c>
      <c r="I33" s="15">
        <f>IF(关卡产出!M38="","",关卡产出!M38)</f>
        <v>116</v>
      </c>
      <c r="J33" s="15">
        <f>IF(关卡产出!N38="","",关卡产出!N38)</f>
        <v>58</v>
      </c>
      <c r="K33" s="15">
        <f>IF(关卡产出!O38="","",关卡产出!O38)</f>
        <v>26</v>
      </c>
      <c r="L33" s="15">
        <f>IF(关卡产出!P38="","",关卡产出!P38)</f>
        <v>200</v>
      </c>
      <c r="M33">
        <f t="shared" si="4"/>
        <v>1850</v>
      </c>
      <c r="N33" t="str">
        <f t="shared" si="25"/>
        <v>104,23|105,11|106,5|1,370</v>
      </c>
      <c r="P33" t="str">
        <f t="shared" si="26"/>
        <v>1,5500</v>
      </c>
      <c r="Q33" t="str">
        <f t="shared" si="27"/>
        <v>1,10800|4,6</v>
      </c>
      <c r="R33" t="str">
        <f t="shared" si="28"/>
        <v>104,116|105,58|106,26|3,200</v>
      </c>
      <c r="S33" t="str">
        <f t="shared" si="29"/>
        <v>104,12|105,6|106,3|1,463</v>
      </c>
      <c r="V33" t="str">
        <f t="shared" si="38"/>
        <v>104,23</v>
      </c>
      <c r="W33" t="str">
        <f t="shared" si="30"/>
        <v>105,11</v>
      </c>
      <c r="X33" t="str">
        <f t="shared" si="31"/>
        <v>106,5</v>
      </c>
      <c r="Y33" t="str">
        <f t="shared" si="12"/>
        <v>1,370</v>
      </c>
      <c r="AB33" t="str">
        <f t="shared" si="32"/>
        <v>104,116</v>
      </c>
      <c r="AC33" t="str">
        <f t="shared" si="33"/>
        <v>105,58</v>
      </c>
      <c r="AD33" t="str">
        <f t="shared" si="34"/>
        <v>106,26</v>
      </c>
      <c r="AE33" t="str">
        <f t="shared" si="35"/>
        <v>3,200</v>
      </c>
      <c r="AG33" t="str">
        <f t="shared" si="36"/>
        <v>104,12</v>
      </c>
      <c r="AH33" t="str">
        <f t="shared" si="22"/>
        <v>105,6</v>
      </c>
      <c r="AI33" t="str">
        <f t="shared" si="23"/>
        <v>106,3</v>
      </c>
      <c r="AJ33" t="str">
        <f t="shared" si="37"/>
        <v>1,463</v>
      </c>
      <c r="AM33" t="str">
        <f>N33&amp;"#"&amp;N176&amp;"#"&amp;N279</f>
        <v>104,23|105,11|106,5|1,370#104,35|105,17|106,8|1,555#104,58|105,28|106,13|1,925</v>
      </c>
      <c r="AN33" t="str">
        <f>O33&amp;"#"&amp;O176&amp;"#"&amp;O279</f>
        <v>##</v>
      </c>
      <c r="AO33" t="str">
        <f>P33&amp;"#"&amp;P176&amp;"#"&amp;P279</f>
        <v>1,5500#1,8250#11,1|1,13750</v>
      </c>
      <c r="AP33" t="str">
        <f>Q33&amp;"#"&amp;Q176&amp;"#"&amp;Q279</f>
        <v>1,10800|4,6#162,1|1,16200|4,6#163,1|1,27000|4,6</v>
      </c>
      <c r="AQ33" t="str">
        <f>R33&amp;"#"&amp;R176&amp;"#"&amp;R279</f>
        <v>104,116|105,58|106,26|3,200#104,174|105,87|106,39|3,300#104,290|105,145|106,65|3,500</v>
      </c>
      <c r="AR33" t="str">
        <f>S33&amp;"#"&amp;S176&amp;"#"&amp;S279</f>
        <v>104,12|105,6|106,3|1,463#104,18|105,9|106,4|1,694#104,29|105,14|106,7|1,1157</v>
      </c>
    </row>
    <row r="34" spans="1:44" x14ac:dyDescent="0.25">
      <c r="A34" s="14">
        <v>32</v>
      </c>
      <c r="B34" s="15">
        <f>IF(关卡产出!C39="","",关卡产出!C39)</f>
        <v>24</v>
      </c>
      <c r="C34" s="15">
        <f>IF(关卡产出!D39="","",关卡产出!D39)</f>
        <v>12</v>
      </c>
      <c r="D34" s="15">
        <f>IF(关卡产出!E39="","",关卡产出!E39)</f>
        <v>5</v>
      </c>
      <c r="E34" s="15">
        <f>IF(关卡产出!F39="","",关卡产出!F39)</f>
        <v>370</v>
      </c>
      <c r="F34" s="15">
        <f>IF(关卡产出!H39="","",关卡产出!H39)</f>
        <v>5700</v>
      </c>
      <c r="G34" s="15">
        <f>IF(关卡产出!J39="","",关卡产出!J39)</f>
        <v>11200</v>
      </c>
      <c r="H34" s="15">
        <f>IF(关卡产出!K39="","",关卡产出!K39)</f>
        <v>6</v>
      </c>
      <c r="I34" s="15">
        <f>IF(关卡产出!M39="","",关卡产出!M39)</f>
        <v>120</v>
      </c>
      <c r="J34" s="15">
        <f>IF(关卡产出!N39="","",关卡产出!N39)</f>
        <v>60</v>
      </c>
      <c r="K34" s="15">
        <f>IF(关卡产出!O39="","",关卡产出!O39)</f>
        <v>27</v>
      </c>
      <c r="L34" s="15">
        <f>IF(关卡产出!P39="","",关卡产出!P39)</f>
        <v>200</v>
      </c>
      <c r="M34">
        <f t="shared" si="4"/>
        <v>1850</v>
      </c>
      <c r="N34" t="str">
        <f t="shared" si="25"/>
        <v>104,24|105,12|106,5|1,370</v>
      </c>
      <c r="P34" t="str">
        <f t="shared" si="26"/>
        <v>1,5700</v>
      </c>
      <c r="Q34" t="str">
        <f t="shared" si="27"/>
        <v>1,11200|4,6</v>
      </c>
      <c r="R34" t="str">
        <f t="shared" si="28"/>
        <v>104,120|105,60|106,27|3,200</v>
      </c>
      <c r="S34" t="str">
        <f t="shared" si="29"/>
        <v>104,12|105,6|106,3|1,463</v>
      </c>
      <c r="V34" t="str">
        <f t="shared" si="38"/>
        <v>104,24</v>
      </c>
      <c r="W34" t="str">
        <f t="shared" si="30"/>
        <v>105,12</v>
      </c>
      <c r="X34" t="str">
        <f t="shared" si="31"/>
        <v>106,5</v>
      </c>
      <c r="Y34" t="str">
        <f t="shared" si="12"/>
        <v>1,370</v>
      </c>
      <c r="AB34" t="str">
        <f t="shared" si="32"/>
        <v>104,120</v>
      </c>
      <c r="AC34" t="str">
        <f t="shared" si="33"/>
        <v>105,60</v>
      </c>
      <c r="AD34" t="str">
        <f t="shared" si="34"/>
        <v>106,27</v>
      </c>
      <c r="AE34" t="str">
        <f t="shared" si="35"/>
        <v>3,200</v>
      </c>
      <c r="AG34" t="str">
        <f t="shared" si="36"/>
        <v>104,12</v>
      </c>
      <c r="AH34" t="str">
        <f t="shared" si="22"/>
        <v>105,6</v>
      </c>
      <c r="AI34" t="str">
        <f t="shared" si="23"/>
        <v>106,3</v>
      </c>
      <c r="AJ34" t="str">
        <f t="shared" si="37"/>
        <v>1,463</v>
      </c>
      <c r="AM34" t="str">
        <f>N34&amp;"#"&amp;N177&amp;"#"&amp;N280</f>
        <v>104,24|105,12|106,5|1,370#104,36|105,18|106,8|1,555#104,60|105,30|106,13|1,925</v>
      </c>
      <c r="AN34" t="str">
        <f>O34&amp;"#"&amp;O177&amp;"#"&amp;O280</f>
        <v>##</v>
      </c>
      <c r="AO34" t="str">
        <f>P34&amp;"#"&amp;P177&amp;"#"&amp;P280</f>
        <v>1,5700#1,8550#11,1|1,14250</v>
      </c>
      <c r="AP34" t="str">
        <f>Q34&amp;"#"&amp;Q177&amp;"#"&amp;Q280</f>
        <v>1,11200|4,6#162,1|1,16800|4,6#163,1|1,28000|4,6</v>
      </c>
      <c r="AQ34" t="str">
        <f>R34&amp;"#"&amp;R177&amp;"#"&amp;R280</f>
        <v>104,120|105,60|106,27|3,200#104,180|105,90|106,41|3,300#104,300|105,150|106,68|3,500</v>
      </c>
      <c r="AR34" t="str">
        <f>S34&amp;"#"&amp;S177&amp;"#"&amp;S280</f>
        <v>104,12|105,6|106,3|1,463#104,18|105,9|106,4|1,694#104,30|105,15|106,7|1,1157</v>
      </c>
    </row>
    <row r="35" spans="1:44" x14ac:dyDescent="0.25">
      <c r="A35" s="14">
        <v>33</v>
      </c>
      <c r="B35" s="15">
        <f>IF(关卡产出!C40="","",关卡产出!C40)</f>
        <v>25</v>
      </c>
      <c r="C35" s="15">
        <f>IF(关卡产出!D40="","",关卡产出!D40)</f>
        <v>12</v>
      </c>
      <c r="D35" s="15">
        <f>IF(关卡产出!E40="","",关卡产出!E40)</f>
        <v>6</v>
      </c>
      <c r="E35" s="15">
        <f>IF(关卡产出!F40="","",关卡产出!F40)</f>
        <v>390</v>
      </c>
      <c r="F35" s="15">
        <f>IF(关卡产出!H40="","",关卡产出!H40)</f>
        <v>5900</v>
      </c>
      <c r="G35" s="15">
        <f>IF(关卡产出!J40="","",关卡产出!J40)</f>
        <v>11600</v>
      </c>
      <c r="H35" s="15">
        <f>IF(关卡产出!K40="","",关卡产出!K40)</f>
        <v>6</v>
      </c>
      <c r="I35" s="15">
        <f>IF(关卡产出!M40="","",关卡产出!M40)</f>
        <v>124</v>
      </c>
      <c r="J35" s="15">
        <f>IF(关卡产出!N40="","",关卡产出!N40)</f>
        <v>62</v>
      </c>
      <c r="K35" s="15">
        <f>IF(关卡产出!O40="","",关卡产出!O40)</f>
        <v>28</v>
      </c>
      <c r="L35" s="15">
        <f>IF(关卡产出!P40="","",关卡产出!P40)</f>
        <v>200</v>
      </c>
      <c r="M35">
        <f t="shared" si="4"/>
        <v>1950</v>
      </c>
      <c r="N35" t="str">
        <f t="shared" si="25"/>
        <v>104,25|105,12|106,6|1,390</v>
      </c>
      <c r="P35" t="str">
        <f t="shared" si="26"/>
        <v>1,5900</v>
      </c>
      <c r="Q35" t="str">
        <f t="shared" si="27"/>
        <v>1,11600|4,6</v>
      </c>
      <c r="R35" t="str">
        <f t="shared" si="28"/>
        <v>104,124|105,62|106,28|3,200</v>
      </c>
      <c r="S35" t="str">
        <f t="shared" si="29"/>
        <v>104,13|105,6|106,3|1,488</v>
      </c>
      <c r="V35" t="str">
        <f t="shared" si="38"/>
        <v>104,25</v>
      </c>
      <c r="W35" t="str">
        <f t="shared" si="30"/>
        <v>105,12</v>
      </c>
      <c r="X35" t="str">
        <f t="shared" si="31"/>
        <v>106,6</v>
      </c>
      <c r="Y35" t="str">
        <f t="shared" si="12"/>
        <v>1,390</v>
      </c>
      <c r="AB35" t="str">
        <f t="shared" si="32"/>
        <v>104,124</v>
      </c>
      <c r="AC35" t="str">
        <f t="shared" si="33"/>
        <v>105,62</v>
      </c>
      <c r="AD35" t="str">
        <f t="shared" si="34"/>
        <v>106,28</v>
      </c>
      <c r="AE35" t="str">
        <f t="shared" si="35"/>
        <v>3,200</v>
      </c>
      <c r="AG35" t="str">
        <f t="shared" si="36"/>
        <v>104,13</v>
      </c>
      <c r="AH35" t="str">
        <f t="shared" si="22"/>
        <v>105,6</v>
      </c>
      <c r="AI35" t="str">
        <f t="shared" si="23"/>
        <v>106,3</v>
      </c>
      <c r="AJ35" t="str">
        <f t="shared" si="37"/>
        <v>1,488</v>
      </c>
      <c r="AM35" t="str">
        <f>N35&amp;"#"&amp;N178&amp;"#"&amp;N281</f>
        <v>104,25|105,12|106,6|1,390#104,38|105,18|106,9|1,585#104,63|105,30|106,15|1,975</v>
      </c>
      <c r="AN35" t="str">
        <f>O35&amp;"#"&amp;O178&amp;"#"&amp;O281</f>
        <v>##</v>
      </c>
      <c r="AO35" t="str">
        <f>P35&amp;"#"&amp;P178&amp;"#"&amp;P281</f>
        <v>1,5900#1,8850#11,1|1,14750</v>
      </c>
      <c r="AP35" t="str">
        <f>Q35&amp;"#"&amp;Q178&amp;"#"&amp;Q281</f>
        <v>1,11600|4,6#162,1|1,17400|4,6#163,1|1,29000|4,6</v>
      </c>
      <c r="AQ35" t="str">
        <f>R35&amp;"#"&amp;R178&amp;"#"&amp;R281</f>
        <v>104,124|105,62|106,28|3,200#104,186|105,93|106,42|3,300#104,310|105,155|106,70|3,500</v>
      </c>
      <c r="AR35" t="str">
        <f>S35&amp;"#"&amp;S178&amp;"#"&amp;S281</f>
        <v>104,13|105,6|106,3|1,488#104,19|105,9|106,5|1,732#104,32|105,15|106,8|1,1219</v>
      </c>
    </row>
    <row r="36" spans="1:44" x14ac:dyDescent="0.25">
      <c r="A36" s="14">
        <v>34</v>
      </c>
      <c r="B36" s="15">
        <f>IF(关卡产出!C41="","",关卡产出!C41)</f>
        <v>26</v>
      </c>
      <c r="C36" s="15">
        <f>IF(关卡产出!D41="","",关卡产出!D41)</f>
        <v>13</v>
      </c>
      <c r="D36" s="15">
        <f>IF(关卡产出!E41="","",关卡产出!E41)</f>
        <v>6</v>
      </c>
      <c r="E36" s="15">
        <f>IF(关卡产出!F41="","",关卡产出!F41)</f>
        <v>390</v>
      </c>
      <c r="F36" s="15">
        <f>IF(关卡产出!H41="","",关卡产出!H41)</f>
        <v>6100</v>
      </c>
      <c r="G36" s="15">
        <f>IF(关卡产出!J41="","",关卡产出!J41)</f>
        <v>12000</v>
      </c>
      <c r="H36" s="15">
        <f>IF(关卡产出!K41="","",关卡产出!K41)</f>
        <v>6</v>
      </c>
      <c r="I36" s="15">
        <f>IF(关卡产出!M41="","",关卡产出!M41)</f>
        <v>128</v>
      </c>
      <c r="J36" s="15">
        <f>IF(关卡产出!N41="","",关卡产出!N41)</f>
        <v>64</v>
      </c>
      <c r="K36" s="15">
        <f>IF(关卡产出!O41="","",关卡产出!O41)</f>
        <v>29</v>
      </c>
      <c r="L36" s="15">
        <f>IF(关卡产出!P41="","",关卡产出!P41)</f>
        <v>200</v>
      </c>
      <c r="M36">
        <f t="shared" si="4"/>
        <v>1950</v>
      </c>
      <c r="N36" t="str">
        <f t="shared" si="25"/>
        <v>104,26|105,13|106,6|1,390</v>
      </c>
      <c r="P36" t="str">
        <f t="shared" si="26"/>
        <v>1,6100</v>
      </c>
      <c r="Q36" t="str">
        <f t="shared" si="27"/>
        <v>1,12000|4,6</v>
      </c>
      <c r="R36" t="str">
        <f t="shared" si="28"/>
        <v>104,128|105,64|106,29|3,200</v>
      </c>
      <c r="S36" t="str">
        <f t="shared" si="29"/>
        <v>104,13|105,7|106,3|1,488</v>
      </c>
      <c r="V36" t="str">
        <f t="shared" si="38"/>
        <v>104,26</v>
      </c>
      <c r="W36" t="str">
        <f t="shared" si="30"/>
        <v>105,13</v>
      </c>
      <c r="X36" t="str">
        <f t="shared" si="31"/>
        <v>106,6</v>
      </c>
      <c r="Y36" t="str">
        <f t="shared" si="12"/>
        <v>1,390</v>
      </c>
      <c r="AB36" t="str">
        <f t="shared" si="32"/>
        <v>104,128</v>
      </c>
      <c r="AC36" t="str">
        <f t="shared" si="33"/>
        <v>105,64</v>
      </c>
      <c r="AD36" t="str">
        <f t="shared" si="34"/>
        <v>106,29</v>
      </c>
      <c r="AE36" t="str">
        <f t="shared" si="35"/>
        <v>3,200</v>
      </c>
      <c r="AG36" t="str">
        <f t="shared" si="36"/>
        <v>104,13</v>
      </c>
      <c r="AH36" t="str">
        <f t="shared" si="22"/>
        <v>105,7</v>
      </c>
      <c r="AI36" t="str">
        <f t="shared" si="23"/>
        <v>106,3</v>
      </c>
      <c r="AJ36" t="str">
        <f t="shared" si="37"/>
        <v>1,488</v>
      </c>
      <c r="AM36" t="str">
        <f>N36&amp;"#"&amp;N179&amp;"#"&amp;N282</f>
        <v>104,26|105,13|106,6|1,390#104,39|105,20|106,9|1,585#104,65|105,33|106,15|1,975</v>
      </c>
      <c r="AN36" t="str">
        <f>O36&amp;"#"&amp;O179&amp;"#"&amp;O282</f>
        <v>##</v>
      </c>
      <c r="AO36" t="str">
        <f>P36&amp;"#"&amp;P179&amp;"#"&amp;P282</f>
        <v>1,6100#1,9150#11,1|1,15250</v>
      </c>
      <c r="AP36" t="str">
        <f>Q36&amp;"#"&amp;Q179&amp;"#"&amp;Q282</f>
        <v>1,12000|4,6#162,1|1,18000|4,6#163,1|1,30000|4,6</v>
      </c>
      <c r="AQ36" t="str">
        <f>R36&amp;"#"&amp;R179&amp;"#"&amp;R282</f>
        <v>104,128|105,64|106,29|3,200#104,192|105,96|106,44|3,300#104,320|105,160|106,73|3,500</v>
      </c>
      <c r="AR36" t="str">
        <f>S36&amp;"#"&amp;S179&amp;"#"&amp;S282</f>
        <v>104,13|105,7|106,3|1,488#104,20|105,10|106,5|1,732#104,33|105,17|106,8|1,1219</v>
      </c>
    </row>
    <row r="37" spans="1:44" x14ac:dyDescent="0.25">
      <c r="A37" s="14">
        <v>35</v>
      </c>
      <c r="B37" s="15">
        <f>IF(关卡产出!C42="","",关卡产出!C42)</f>
        <v>26</v>
      </c>
      <c r="C37" s="15">
        <f>IF(关卡产出!D42="","",关卡产出!D42)</f>
        <v>13</v>
      </c>
      <c r="D37" s="15">
        <f>IF(关卡产出!E42="","",关卡产出!E42)</f>
        <v>6</v>
      </c>
      <c r="E37" s="15">
        <f>IF(关卡产出!F42="","",关卡产出!F42)</f>
        <v>410</v>
      </c>
      <c r="F37" s="15">
        <f>IF(关卡产出!H42="","",关卡产出!H42)</f>
        <v>6300</v>
      </c>
      <c r="G37" s="15">
        <f>IF(关卡产出!J42="","",关卡产出!J42)</f>
        <v>12400</v>
      </c>
      <c r="H37" s="15">
        <f>IF(关卡产出!K42="","",关卡产出!K42)</f>
        <v>6</v>
      </c>
      <c r="I37" s="15">
        <f>IF(关卡产出!M42="","",关卡产出!M42)</f>
        <v>132</v>
      </c>
      <c r="J37" s="15">
        <f>IF(关卡产出!N42="","",关卡产出!N42)</f>
        <v>66</v>
      </c>
      <c r="K37" s="15">
        <f>IF(关卡产出!O42="","",关卡产出!O42)</f>
        <v>30</v>
      </c>
      <c r="L37" s="15">
        <f>IF(关卡产出!P42="","",关卡产出!P42)</f>
        <v>200</v>
      </c>
      <c r="M37">
        <f t="shared" si="4"/>
        <v>2050</v>
      </c>
      <c r="N37" t="str">
        <f t="shared" si="25"/>
        <v>104,26|105,13|106,6|1,410</v>
      </c>
      <c r="P37" t="str">
        <f t="shared" si="26"/>
        <v>1,6300</v>
      </c>
      <c r="Q37" t="str">
        <f t="shared" si="27"/>
        <v>1,12400|4,6</v>
      </c>
      <c r="R37" t="str">
        <f t="shared" si="28"/>
        <v>104,132|105,66|106,30|3,200</v>
      </c>
      <c r="S37" t="str">
        <f t="shared" si="29"/>
        <v>104,13|105,7|106,3|1,513</v>
      </c>
      <c r="V37" t="str">
        <f t="shared" si="38"/>
        <v>104,26</v>
      </c>
      <c r="W37" t="str">
        <f t="shared" si="30"/>
        <v>105,13</v>
      </c>
      <c r="X37" t="str">
        <f t="shared" si="31"/>
        <v>106,6</v>
      </c>
      <c r="Y37" t="str">
        <f t="shared" si="12"/>
        <v>1,410</v>
      </c>
      <c r="AB37" t="str">
        <f t="shared" si="32"/>
        <v>104,132</v>
      </c>
      <c r="AC37" t="str">
        <f t="shared" si="33"/>
        <v>105,66</v>
      </c>
      <c r="AD37" t="str">
        <f t="shared" si="34"/>
        <v>106,30</v>
      </c>
      <c r="AE37" t="str">
        <f t="shared" si="35"/>
        <v>3,200</v>
      </c>
      <c r="AG37" t="str">
        <f t="shared" si="36"/>
        <v>104,13</v>
      </c>
      <c r="AH37" t="str">
        <f t="shared" si="22"/>
        <v>105,7</v>
      </c>
      <c r="AI37" t="str">
        <f t="shared" si="23"/>
        <v>106,3</v>
      </c>
      <c r="AJ37" t="str">
        <f t="shared" si="37"/>
        <v>1,513</v>
      </c>
      <c r="AM37" t="str">
        <f>N37&amp;"#"&amp;N180&amp;"#"&amp;N283</f>
        <v>104,26|105,13|106,6|1,410#104,39|105,20|106,9|1,615#104,65|105,33|106,15|1,1025</v>
      </c>
      <c r="AN37" t="str">
        <f>O37&amp;"#"&amp;O180&amp;"#"&amp;O283</f>
        <v>##</v>
      </c>
      <c r="AO37" t="str">
        <f>P37&amp;"#"&amp;P180&amp;"#"&amp;P283</f>
        <v>1,6300#1,9450#11,1|1,15750</v>
      </c>
      <c r="AP37" t="str">
        <f>Q37&amp;"#"&amp;Q180&amp;"#"&amp;Q283</f>
        <v>1,12400|4,6#162,1|1,18600|4,6#163,1|1,31000|4,6</v>
      </c>
      <c r="AQ37" t="str">
        <f>R37&amp;"#"&amp;R180&amp;"#"&amp;R283</f>
        <v>104,132|105,66|106,30|3,200#104,198|105,99|106,45|3,300#104,330|105,165|106,75|3,500</v>
      </c>
      <c r="AR37" t="str">
        <f>S37&amp;"#"&amp;S180&amp;"#"&amp;S283</f>
        <v>104,13|105,7|106,3|1,513#104,20|105,10|106,5|1,769#104,33|105,17|106,8|1,1282</v>
      </c>
    </row>
    <row r="38" spans="1:44" x14ac:dyDescent="0.25">
      <c r="A38" s="14">
        <v>36</v>
      </c>
      <c r="B38" s="15">
        <f>IF(关卡产出!C43="","",关卡产出!C43)</f>
        <v>27</v>
      </c>
      <c r="C38" s="15">
        <f>IF(关卡产出!D43="","",关卡产出!D43)</f>
        <v>13</v>
      </c>
      <c r="D38" s="15">
        <f>IF(关卡产出!E43="","",关卡产出!E43)</f>
        <v>6</v>
      </c>
      <c r="E38" s="15">
        <f>IF(关卡产出!F43="","",关卡产出!F43)</f>
        <v>410</v>
      </c>
      <c r="F38" s="15">
        <f>IF(关卡产出!H43="","",关卡产出!H43)</f>
        <v>6500</v>
      </c>
      <c r="G38" s="15">
        <f>IF(关卡产出!J43="","",关卡产出!J43)</f>
        <v>12800</v>
      </c>
      <c r="H38" s="15">
        <f>IF(关卡产出!K43="","",关卡产出!K43)</f>
        <v>6</v>
      </c>
      <c r="I38" s="15">
        <f>IF(关卡产出!M43="","",关卡产出!M43)</f>
        <v>136</v>
      </c>
      <c r="J38" s="15">
        <f>IF(关卡产出!N43="","",关卡产出!N43)</f>
        <v>68</v>
      </c>
      <c r="K38" s="15">
        <f>IF(关卡产出!O43="","",关卡产出!O43)</f>
        <v>31</v>
      </c>
      <c r="L38" s="15">
        <f>IF(关卡产出!P43="","",关卡产出!P43)</f>
        <v>200</v>
      </c>
      <c r="M38">
        <f t="shared" si="4"/>
        <v>2050</v>
      </c>
      <c r="N38" t="str">
        <f t="shared" si="25"/>
        <v>104,27|105,13|106,6|1,410</v>
      </c>
      <c r="P38" t="str">
        <f t="shared" si="26"/>
        <v>1,6500</v>
      </c>
      <c r="Q38" t="str">
        <f t="shared" si="27"/>
        <v>1,12800|4,6</v>
      </c>
      <c r="R38" t="str">
        <f t="shared" si="28"/>
        <v>104,136|105,68|106,31|3,200</v>
      </c>
      <c r="S38" t="str">
        <f t="shared" si="29"/>
        <v>104,14|105,7|106,3|1,513</v>
      </c>
      <c r="V38" t="str">
        <f t="shared" si="38"/>
        <v>104,27</v>
      </c>
      <c r="W38" t="str">
        <f t="shared" si="30"/>
        <v>105,13</v>
      </c>
      <c r="X38" t="str">
        <f t="shared" si="31"/>
        <v>106,6</v>
      </c>
      <c r="Y38" t="str">
        <f t="shared" ref="Y38:Y40" si="39">IF(E38="","",E$1&amp;","&amp;E38)</f>
        <v>1,410</v>
      </c>
      <c r="AB38" t="str">
        <f t="shared" si="32"/>
        <v>104,136</v>
      </c>
      <c r="AC38" t="str">
        <f t="shared" si="33"/>
        <v>105,68</v>
      </c>
      <c r="AD38" t="str">
        <f t="shared" si="34"/>
        <v>106,31</v>
      </c>
      <c r="AE38" t="str">
        <f t="shared" si="35"/>
        <v>3,200</v>
      </c>
      <c r="AG38" t="str">
        <f t="shared" si="36"/>
        <v>104,14</v>
      </c>
      <c r="AH38" t="str">
        <f t="shared" si="22"/>
        <v>105,7</v>
      </c>
      <c r="AI38" t="str">
        <f t="shared" si="23"/>
        <v>106,3</v>
      </c>
      <c r="AJ38" t="str">
        <f t="shared" si="37"/>
        <v>1,513</v>
      </c>
      <c r="AM38" t="str">
        <f>N38&amp;"#"&amp;N181&amp;"#"&amp;N284</f>
        <v>104,27|105,13|106,6|1,410#104,41|105,20|106,9|1,615#104,68|105,33|106,15|1,1025</v>
      </c>
      <c r="AN38" t="str">
        <f>O38&amp;"#"&amp;O181&amp;"#"&amp;O284</f>
        <v>##</v>
      </c>
      <c r="AO38" t="str">
        <f>P38&amp;"#"&amp;P181&amp;"#"&amp;P284</f>
        <v>1,6500#1,9750#11,1|1,16250</v>
      </c>
      <c r="AP38" t="str">
        <f>Q38&amp;"#"&amp;Q181&amp;"#"&amp;Q284</f>
        <v>1,12800|4,6#162,1|1,19200|4,6#163,1|1,32000|4,6</v>
      </c>
      <c r="AQ38" t="str">
        <f>R38&amp;"#"&amp;R181&amp;"#"&amp;R284</f>
        <v>104,136|105,68|106,31|3,200#104,204|105,102|106,47|3,300#104,340|105,170|106,78|3,500</v>
      </c>
      <c r="AR38" t="str">
        <f>S38&amp;"#"&amp;S181&amp;"#"&amp;S284</f>
        <v>104,14|105,7|106,3|1,513#104,21|105,10|106,5|1,769#104,34|105,17|106,8|1,1282</v>
      </c>
    </row>
    <row r="39" spans="1:44" x14ac:dyDescent="0.25">
      <c r="A39" s="14">
        <v>37</v>
      </c>
      <c r="B39" s="15">
        <f>IF(关卡产出!C44="","",关卡产出!C44)</f>
        <v>28</v>
      </c>
      <c r="C39" s="15">
        <f>IF(关卡产出!D44="","",关卡产出!D44)</f>
        <v>14</v>
      </c>
      <c r="D39" s="15">
        <f>IF(关卡产出!E44="","",关卡产出!E44)</f>
        <v>6</v>
      </c>
      <c r="E39" s="15">
        <f>IF(关卡产出!F44="","",关卡产出!F44)</f>
        <v>430</v>
      </c>
      <c r="F39" s="15">
        <f>IF(关卡产出!H44="","",关卡产出!H44)</f>
        <v>6700</v>
      </c>
      <c r="G39" s="15">
        <f>IF(关卡产出!J44="","",关卡产出!J44)</f>
        <v>13200</v>
      </c>
      <c r="H39" s="15">
        <f>IF(关卡产出!K44="","",关卡产出!K44)</f>
        <v>6</v>
      </c>
      <c r="I39" s="15">
        <f>IF(关卡产出!M44="","",关卡产出!M44)</f>
        <v>140</v>
      </c>
      <c r="J39" s="15">
        <f>IF(关卡产出!N44="","",关卡产出!N44)</f>
        <v>70</v>
      </c>
      <c r="K39" s="15">
        <f>IF(关卡产出!O44="","",关卡产出!O44)</f>
        <v>32</v>
      </c>
      <c r="L39" s="15">
        <f>IF(关卡产出!P44="","",关卡产出!P44)</f>
        <v>200</v>
      </c>
      <c r="M39">
        <f t="shared" si="4"/>
        <v>2150</v>
      </c>
      <c r="N39" t="str">
        <f t="shared" si="25"/>
        <v>104,28|105,14|106,6|1,430</v>
      </c>
      <c r="P39" t="str">
        <f t="shared" si="26"/>
        <v>1,6700</v>
      </c>
      <c r="Q39" t="str">
        <f t="shared" si="27"/>
        <v>1,13200|4,6</v>
      </c>
      <c r="R39" t="str">
        <f t="shared" si="28"/>
        <v>104,140|105,70|106,32|3,200</v>
      </c>
      <c r="S39" t="str">
        <f t="shared" si="29"/>
        <v>104,14|105,7|106,3|1,538</v>
      </c>
      <c r="V39" t="str">
        <f t="shared" si="38"/>
        <v>104,28</v>
      </c>
      <c r="W39" t="str">
        <f t="shared" si="30"/>
        <v>105,14</v>
      </c>
      <c r="X39" t="str">
        <f t="shared" si="31"/>
        <v>106,6</v>
      </c>
      <c r="Y39" t="str">
        <f t="shared" si="39"/>
        <v>1,430</v>
      </c>
      <c r="AB39" t="str">
        <f t="shared" si="32"/>
        <v>104,140</v>
      </c>
      <c r="AC39" t="str">
        <f t="shared" si="33"/>
        <v>105,70</v>
      </c>
      <c r="AD39" t="str">
        <f t="shared" si="34"/>
        <v>106,32</v>
      </c>
      <c r="AE39" t="str">
        <f t="shared" si="35"/>
        <v>3,200</v>
      </c>
      <c r="AG39" t="str">
        <f t="shared" si="36"/>
        <v>104,14</v>
      </c>
      <c r="AH39" t="str">
        <f t="shared" si="22"/>
        <v>105,7</v>
      </c>
      <c r="AI39" t="str">
        <f t="shared" si="23"/>
        <v>106,3</v>
      </c>
      <c r="AJ39" t="str">
        <f t="shared" si="37"/>
        <v>1,538</v>
      </c>
      <c r="AM39" t="str">
        <f>N39&amp;"#"&amp;N182&amp;"#"&amp;N285</f>
        <v>104,28|105,14|106,6|1,430#104,42|105,21|106,9|1,645#104,70|105,35|106,15|1,1075</v>
      </c>
      <c r="AN39" t="str">
        <f>O39&amp;"#"&amp;O182&amp;"#"&amp;O285</f>
        <v>##</v>
      </c>
      <c r="AO39" t="str">
        <f>P39&amp;"#"&amp;P182&amp;"#"&amp;P285</f>
        <v>1,6700#1,10050#11,1|1,16750</v>
      </c>
      <c r="AP39" t="str">
        <f>Q39&amp;"#"&amp;Q182&amp;"#"&amp;Q285</f>
        <v>1,13200|4,6#162,1|1,19800|4,6#163,1|1,33000|4,6</v>
      </c>
      <c r="AQ39" t="str">
        <f>R39&amp;"#"&amp;R182&amp;"#"&amp;R285</f>
        <v>104,140|105,70|106,32|3,200#104,210|105,105|106,48|3,300#104,350|105,175|106,80|3,500</v>
      </c>
      <c r="AR39" t="str">
        <f>S39&amp;"#"&amp;S182&amp;"#"&amp;S285</f>
        <v>104,14|105,7|106,3|1,538#104,21|105,11|106,5|1,807#104,35|105,18|106,8|1,1344</v>
      </c>
    </row>
    <row r="40" spans="1:44" x14ac:dyDescent="0.25">
      <c r="A40" s="14">
        <v>38</v>
      </c>
      <c r="B40" s="15">
        <f>IF(关卡产出!C45="","",关卡产出!C45)</f>
        <v>29</v>
      </c>
      <c r="C40" s="15">
        <f>IF(关卡产出!D45="","",关卡产出!D45)</f>
        <v>14</v>
      </c>
      <c r="D40" s="15">
        <f>IF(关卡产出!E45="","",关卡产出!E45)</f>
        <v>7</v>
      </c>
      <c r="E40" s="15">
        <f>IF(关卡产出!F45="","",关卡产出!F45)</f>
        <v>430</v>
      </c>
      <c r="F40" s="15">
        <f>IF(关卡产出!H45="","",关卡产出!H45)</f>
        <v>6900</v>
      </c>
      <c r="G40" s="15">
        <f>IF(关卡产出!J45="","",关卡产出!J45)</f>
        <v>13600</v>
      </c>
      <c r="H40" s="15">
        <f>IF(关卡产出!K45="","",关卡产出!K45)</f>
        <v>6</v>
      </c>
      <c r="I40" s="15">
        <f>IF(关卡产出!M45="","",关卡产出!M45)</f>
        <v>144</v>
      </c>
      <c r="J40" s="15">
        <f>IF(关卡产出!N45="","",关卡产出!N45)</f>
        <v>72</v>
      </c>
      <c r="K40" s="15">
        <f>IF(关卡产出!O45="","",关卡产出!O45)</f>
        <v>33</v>
      </c>
      <c r="L40" s="15">
        <f>IF(关卡产出!P45="","",关卡产出!P45)</f>
        <v>200</v>
      </c>
      <c r="M40">
        <f t="shared" si="4"/>
        <v>2150</v>
      </c>
      <c r="N40" t="str">
        <f t="shared" si="25"/>
        <v>104,29|105,14|106,7|1,430</v>
      </c>
      <c r="P40" t="str">
        <f t="shared" si="26"/>
        <v>1,6900</v>
      </c>
      <c r="Q40" t="str">
        <f t="shared" si="27"/>
        <v>1,13600|4,6</v>
      </c>
      <c r="R40" t="str">
        <f t="shared" si="28"/>
        <v>104,144|105,72|106,33|3,200</v>
      </c>
      <c r="S40" t="str">
        <f t="shared" si="29"/>
        <v>104,15|105,7|106,4|1,538</v>
      </c>
      <c r="V40" t="str">
        <f t="shared" si="38"/>
        <v>104,29</v>
      </c>
      <c r="W40" t="str">
        <f t="shared" si="30"/>
        <v>105,14</v>
      </c>
      <c r="X40" t="str">
        <f t="shared" si="31"/>
        <v>106,7</v>
      </c>
      <c r="Y40" t="str">
        <f t="shared" si="39"/>
        <v>1,430</v>
      </c>
      <c r="AB40" t="str">
        <f t="shared" si="32"/>
        <v>104,144</v>
      </c>
      <c r="AC40" t="str">
        <f t="shared" si="33"/>
        <v>105,72</v>
      </c>
      <c r="AD40" t="str">
        <f t="shared" si="34"/>
        <v>106,33</v>
      </c>
      <c r="AE40" t="str">
        <f t="shared" si="35"/>
        <v>3,200</v>
      </c>
      <c r="AG40" t="str">
        <f t="shared" si="36"/>
        <v>104,15</v>
      </c>
      <c r="AH40" t="str">
        <f t="shared" ref="AH40" si="40">IF(C40="","",C$1&amp;","&amp;ROUNDUP(C40/2,0))</f>
        <v>105,7</v>
      </c>
      <c r="AI40" t="str">
        <f t="shared" ref="AI40" si="41">IF(D40="","",D$1&amp;","&amp;ROUNDUP(D40/2,0))</f>
        <v>106,4</v>
      </c>
      <c r="AJ40" t="str">
        <f t="shared" si="37"/>
        <v>1,538</v>
      </c>
      <c r="AM40" t="str">
        <f>N40&amp;"#"&amp;N183&amp;"#"&amp;N286</f>
        <v>104,29|105,14|106,7|1,430#104,44|105,21|106,11|1,645#104,73|105,35|106,18|1,1075</v>
      </c>
      <c r="AN40" t="str">
        <f>O40&amp;"#"&amp;O183&amp;"#"&amp;O286</f>
        <v>##</v>
      </c>
      <c r="AO40" t="str">
        <f>P40&amp;"#"&amp;P183&amp;"#"&amp;P286</f>
        <v>1,6900#1,10350#11,1|1,17250</v>
      </c>
      <c r="AP40" t="str">
        <f>Q40&amp;"#"&amp;Q183&amp;"#"&amp;Q286</f>
        <v>1,13600|4,6#162,1|1,20400|4,6#163,1|1,34000|4,6</v>
      </c>
      <c r="AQ40" t="str">
        <f>R40&amp;"#"&amp;R183&amp;"#"&amp;R286</f>
        <v>104,144|105,72|106,33|3,200#104,216|105,108|106,50|3,300#104,360|105,180|106,83|3,500</v>
      </c>
      <c r="AR40" t="str">
        <f>S40&amp;"#"&amp;S183&amp;"#"&amp;S286</f>
        <v>104,15|105,7|106,4|1,538#104,22|105,11|106,6|1,807#104,37|105,18|106,9|1,1344</v>
      </c>
    </row>
    <row r="41" spans="1:44" x14ac:dyDescent="0.25">
      <c r="A41" s="14">
        <v>39</v>
      </c>
      <c r="B41" s="15">
        <f>IF(关卡产出!C46="","",关卡产出!C46)</f>
        <v>30</v>
      </c>
      <c r="C41" s="15">
        <f>IF(关卡产出!D46="","",关卡产出!D46)</f>
        <v>15</v>
      </c>
      <c r="D41" s="15">
        <f>IF(关卡产出!E46="","",关卡产出!E46)</f>
        <v>7</v>
      </c>
      <c r="E41" s="15">
        <f>IF(关卡产出!F46="","",关卡产出!F46)</f>
        <v>450</v>
      </c>
      <c r="F41" s="15">
        <f>IF(关卡产出!H46="","",关卡产出!H46)</f>
        <v>7100</v>
      </c>
      <c r="G41" s="15">
        <f>IF(关卡产出!J46="","",关卡产出!J46)</f>
        <v>14000</v>
      </c>
      <c r="H41" s="15">
        <f>IF(关卡产出!K46="","",关卡产出!K46)</f>
        <v>6</v>
      </c>
      <c r="I41" s="15">
        <f>IF(关卡产出!M46="","",关卡产出!M46)</f>
        <v>148</v>
      </c>
      <c r="J41" s="15">
        <f>IF(关卡产出!N46="","",关卡产出!N46)</f>
        <v>74</v>
      </c>
      <c r="K41" s="15">
        <f>IF(关卡产出!O46="","",关卡产出!O46)</f>
        <v>34</v>
      </c>
      <c r="L41" s="15">
        <f>IF(关卡产出!P46="","",关卡产出!P46)</f>
        <v>200</v>
      </c>
      <c r="M41">
        <f t="shared" si="4"/>
        <v>2250</v>
      </c>
      <c r="N41" t="str">
        <f t="shared" ref="N41:N51" si="42">_xlfn.TEXTJOIN("|",TRUE,V41:Y41)</f>
        <v>104,30|105,15|106,7|1,450</v>
      </c>
      <c r="P41" t="str">
        <f t="shared" ref="P41:P51" si="43">$F$1&amp;","&amp;F41</f>
        <v>1,7100</v>
      </c>
      <c r="Q41" t="str">
        <f t="shared" ref="Q41:Q51" si="44">$G$1&amp;","&amp;G41&amp;"|"&amp;$H$1&amp;","&amp;H41</f>
        <v>1,14000|4,6</v>
      </c>
      <c r="R41" t="str">
        <f t="shared" ref="R41:R51" si="45">_xlfn.TEXTJOIN("|",TRUE,AB41:AE41)</f>
        <v>104,148|105,74|106,34|3,200</v>
      </c>
      <c r="S41" t="str">
        <f t="shared" ref="S41:S51" si="46">_xlfn.TEXTJOIN("|",TRUE,AG41:AJ41)</f>
        <v>104,15|105,8|106,4|1,563</v>
      </c>
      <c r="V41" t="str">
        <f t="shared" ref="V41:V51" si="47">IF(B41="","",B$1&amp;","&amp;B41)</f>
        <v>104,30</v>
      </c>
      <c r="W41" t="str">
        <f t="shared" ref="W41:W51" si="48">IF(C41="","",C$1&amp;","&amp;C41)</f>
        <v>105,15</v>
      </c>
      <c r="X41" t="str">
        <f t="shared" ref="X41:X51" si="49">IF(D41="","",D$1&amp;","&amp;D41)</f>
        <v>106,7</v>
      </c>
      <c r="Y41" t="str">
        <f t="shared" ref="Y41:Y51" si="50">IF(E41="","",E$1&amp;","&amp;E41)</f>
        <v>1,450</v>
      </c>
      <c r="AB41" t="str">
        <f t="shared" ref="AB41:AB51" si="51">IF(I41="","",I$1&amp;","&amp;I41)</f>
        <v>104,148</v>
      </c>
      <c r="AC41" t="str">
        <f t="shared" ref="AC41:AC51" si="52">IF(J41="","",J$1&amp;","&amp;J41)</f>
        <v>105,74</v>
      </c>
      <c r="AD41" t="str">
        <f t="shared" ref="AD41:AD51" si="53">IF(K41="","",K$1&amp;","&amp;K41)</f>
        <v>106,34</v>
      </c>
      <c r="AE41" t="str">
        <f t="shared" ref="AE41:AE51" si="54">IF(L41="","",L$1&amp;","&amp;L41)</f>
        <v>3,200</v>
      </c>
      <c r="AG41" t="str">
        <f t="shared" ref="AG41:AG51" si="55">IF(B41="","",B$1&amp;","&amp;ROUNDUP(B41/2,0))</f>
        <v>104,15</v>
      </c>
      <c r="AH41" t="str">
        <f t="shared" ref="AH41:AH51" si="56">IF(C41="","",C$1&amp;","&amp;ROUNDUP(C41/2,0))</f>
        <v>105,8</v>
      </c>
      <c r="AI41" t="str">
        <f t="shared" ref="AI41:AI51" si="57">IF(D41="","",D$1&amp;","&amp;ROUNDUP(D41/2,0))</f>
        <v>106,4</v>
      </c>
      <c r="AJ41" t="str">
        <f t="shared" ref="AJ41:AJ51" si="58">IF(E41="","",E$1&amp;","&amp;ROUNDUP(E41/2*2.5,0))</f>
        <v>1,563</v>
      </c>
      <c r="AM41" t="str">
        <f>N41&amp;"#"&amp;N184&amp;"#"&amp;N287</f>
        <v>104,30|105,15|106,7|1,450#104,45|105,23|106,11|1,675#104,75|105,38|106,18|1,1125</v>
      </c>
      <c r="AN41" t="str">
        <f>O41&amp;"#"&amp;O184&amp;"#"&amp;O287</f>
        <v>##</v>
      </c>
      <c r="AO41" t="str">
        <f>P41&amp;"#"&amp;P184&amp;"#"&amp;P287</f>
        <v>1,7100#1,10650#11,1|1,17750</v>
      </c>
      <c r="AP41" t="str">
        <f>Q41&amp;"#"&amp;Q184&amp;"#"&amp;Q287</f>
        <v>1,14000|4,6#162,1|1,21000|4,6#163,1|1,35000|4,6</v>
      </c>
      <c r="AQ41" t="str">
        <f>R41&amp;"#"&amp;R184&amp;"#"&amp;R287</f>
        <v>104,148|105,74|106,34|3,200#104,222|105,111|106,51|3,300#104,370|105,185|106,85|3,500</v>
      </c>
      <c r="AR41" t="str">
        <f>S41&amp;"#"&amp;S184&amp;"#"&amp;S287</f>
        <v>104,15|105,8|106,4|1,563#104,23|105,12|106,6|1,844#104,38|105,19|106,9|1,1407</v>
      </c>
    </row>
    <row r="42" spans="1:44" s="1" customFormat="1" x14ac:dyDescent="0.25">
      <c r="A42" s="14">
        <v>40</v>
      </c>
      <c r="B42" s="16">
        <f>IF(关卡产出!C47="","",关卡产出!C47)</f>
        <v>30</v>
      </c>
      <c r="C42" s="16">
        <f>IF(关卡产出!D47="","",关卡产出!D47)</f>
        <v>15</v>
      </c>
      <c r="D42" s="16">
        <f>IF(关卡产出!E47="","",关卡产出!E47)</f>
        <v>7</v>
      </c>
      <c r="E42" s="16">
        <f>IF(关卡产出!F47="","",关卡产出!F47)</f>
        <v>450</v>
      </c>
      <c r="F42" s="15">
        <f>IF(关卡产出!H47="","",关卡产出!H47)</f>
        <v>7300</v>
      </c>
      <c r="G42" s="16">
        <f>IF(关卡产出!J47="","",关卡产出!J47)</f>
        <v>14400</v>
      </c>
      <c r="H42" s="16">
        <f>IF(关卡产出!K47="","",关卡产出!K47)</f>
        <v>6</v>
      </c>
      <c r="I42" s="16">
        <f>IF(关卡产出!M47="","",关卡产出!M47)</f>
        <v>152</v>
      </c>
      <c r="J42" s="16">
        <f>IF(关卡产出!N47="","",关卡产出!N47)</f>
        <v>76</v>
      </c>
      <c r="K42" s="16">
        <f>IF(关卡产出!O47="","",关卡产出!O47)</f>
        <v>35</v>
      </c>
      <c r="L42" s="16">
        <f>IF(关卡产出!P47="","",关卡产出!P47)</f>
        <v>200</v>
      </c>
      <c r="M42">
        <f t="shared" si="4"/>
        <v>2250</v>
      </c>
      <c r="N42" s="1" t="str">
        <f t="shared" si="42"/>
        <v>104,30|105,15|106,7|1,450</v>
      </c>
      <c r="P42" s="1" t="str">
        <f t="shared" si="43"/>
        <v>1,7300</v>
      </c>
      <c r="Q42" s="1" t="str">
        <f t="shared" si="44"/>
        <v>1,14400|4,6</v>
      </c>
      <c r="R42" s="1" t="str">
        <f t="shared" si="45"/>
        <v>104,152|105,76|106,35|3,200</v>
      </c>
      <c r="S42" s="1" t="str">
        <f t="shared" si="46"/>
        <v>104,15|105,8|106,4|1,563</v>
      </c>
      <c r="V42" s="1" t="str">
        <f t="shared" si="47"/>
        <v>104,30</v>
      </c>
      <c r="W42" s="1" t="str">
        <f t="shared" si="48"/>
        <v>105,15</v>
      </c>
      <c r="X42" s="1" t="str">
        <f t="shared" si="49"/>
        <v>106,7</v>
      </c>
      <c r="Y42" s="1" t="str">
        <f t="shared" si="50"/>
        <v>1,450</v>
      </c>
      <c r="AB42" s="1" t="str">
        <f t="shared" si="51"/>
        <v>104,152</v>
      </c>
      <c r="AC42" s="1" t="str">
        <f t="shared" si="52"/>
        <v>105,76</v>
      </c>
      <c r="AD42" s="1" t="str">
        <f t="shared" si="53"/>
        <v>106,35</v>
      </c>
      <c r="AE42" s="1" t="str">
        <f t="shared" si="54"/>
        <v>3,200</v>
      </c>
      <c r="AG42" s="1" t="str">
        <f t="shared" si="55"/>
        <v>104,15</v>
      </c>
      <c r="AH42" s="1" t="str">
        <f t="shared" si="56"/>
        <v>105,8</v>
      </c>
      <c r="AI42" s="1" t="str">
        <f t="shared" si="57"/>
        <v>106,4</v>
      </c>
      <c r="AJ42" s="1" t="str">
        <f t="shared" si="58"/>
        <v>1,563</v>
      </c>
      <c r="AM42" t="str">
        <f>N42&amp;"#"&amp;N185&amp;"#"&amp;N288</f>
        <v>104,30|105,15|106,7|1,450#104,45|105,23|106,11|1,675#104,75|105,38|106,18|1,1125</v>
      </c>
      <c r="AN42" t="str">
        <f>O42&amp;"#"&amp;O185&amp;"#"&amp;O288</f>
        <v>##</v>
      </c>
      <c r="AO42" t="str">
        <f>P42&amp;"#"&amp;P185&amp;"#"&amp;P288</f>
        <v>1,7300#1,10950#11,1|1,18250</v>
      </c>
      <c r="AP42" t="str">
        <f>Q42&amp;"#"&amp;Q185&amp;"#"&amp;Q288</f>
        <v>1,14400|4,6#162,1|1,21600|4,6#163,1|1,36000|4,6</v>
      </c>
      <c r="AQ42" t="str">
        <f>R42&amp;"#"&amp;R185&amp;"#"&amp;R288</f>
        <v>104,152|105,76|106,35|3,200#104,228|105,114|106,53|3,300#104,380|105,190|106,88|3,500</v>
      </c>
      <c r="AR42" t="str">
        <f>S42&amp;"#"&amp;S185&amp;"#"&amp;S288</f>
        <v>104,15|105,8|106,4|1,563#104,23|105,12|106,6|1,844#104,38|105,19|106,9|1,1407</v>
      </c>
    </row>
    <row r="43" spans="1:44" x14ac:dyDescent="0.25">
      <c r="A43" s="14">
        <v>41</v>
      </c>
      <c r="B43" s="15">
        <f>IF(关卡产出!C48="","",关卡产出!C48)</f>
        <v>31</v>
      </c>
      <c r="C43" s="15">
        <f>IF(关卡产出!D48="","",关卡产出!D48)</f>
        <v>15</v>
      </c>
      <c r="D43" s="15">
        <f>IF(关卡产出!E48="","",关卡产出!E48)</f>
        <v>7</v>
      </c>
      <c r="E43" s="15">
        <f>IF(关卡产出!F48="","",关卡产出!F48)</f>
        <v>470</v>
      </c>
      <c r="F43" s="15">
        <f>IF(关卡产出!H48="","",关卡产出!H48)</f>
        <v>7500</v>
      </c>
      <c r="G43" s="15">
        <f>IF(关卡产出!J48="","",关卡产出!J48)</f>
        <v>14800</v>
      </c>
      <c r="H43" s="15">
        <f>IF(关卡产出!K48="","",关卡产出!K48)</f>
        <v>6</v>
      </c>
      <c r="I43" s="15">
        <f>IF(关卡产出!M48="","",关卡产出!M48)</f>
        <v>156</v>
      </c>
      <c r="J43" s="15">
        <f>IF(关卡产出!N48="","",关卡产出!N48)</f>
        <v>78</v>
      </c>
      <c r="K43" s="15">
        <f>IF(关卡产出!O48="","",关卡产出!O48)</f>
        <v>36</v>
      </c>
      <c r="L43" s="15">
        <f>IF(关卡产出!P48="","",关卡产出!P48)</f>
        <v>200</v>
      </c>
      <c r="M43">
        <f t="shared" si="4"/>
        <v>2350</v>
      </c>
      <c r="N43" t="str">
        <f t="shared" si="42"/>
        <v>104,31|105,15|106,7|1,470</v>
      </c>
      <c r="P43" t="str">
        <f t="shared" si="43"/>
        <v>1,7500</v>
      </c>
      <c r="Q43" t="str">
        <f t="shared" si="44"/>
        <v>1,14800|4,6</v>
      </c>
      <c r="R43" t="str">
        <f t="shared" si="45"/>
        <v>104,156|105,78|106,36|3,200</v>
      </c>
      <c r="S43" t="str">
        <f t="shared" si="46"/>
        <v>104,16|105,8|106,4|1,588</v>
      </c>
      <c r="V43" t="str">
        <f t="shared" si="47"/>
        <v>104,31</v>
      </c>
      <c r="W43" t="str">
        <f t="shared" si="48"/>
        <v>105,15</v>
      </c>
      <c r="X43" t="str">
        <f t="shared" si="49"/>
        <v>106,7</v>
      </c>
      <c r="Y43" t="str">
        <f t="shared" si="50"/>
        <v>1,470</v>
      </c>
      <c r="AB43" t="str">
        <f t="shared" si="51"/>
        <v>104,156</v>
      </c>
      <c r="AC43" t="str">
        <f t="shared" si="52"/>
        <v>105,78</v>
      </c>
      <c r="AD43" t="str">
        <f t="shared" si="53"/>
        <v>106,36</v>
      </c>
      <c r="AE43" t="str">
        <f t="shared" si="54"/>
        <v>3,200</v>
      </c>
      <c r="AG43" t="str">
        <f t="shared" si="55"/>
        <v>104,16</v>
      </c>
      <c r="AH43" t="str">
        <f t="shared" si="56"/>
        <v>105,8</v>
      </c>
      <c r="AI43" t="str">
        <f t="shared" si="57"/>
        <v>106,4</v>
      </c>
      <c r="AJ43" t="str">
        <f t="shared" si="58"/>
        <v>1,588</v>
      </c>
      <c r="AM43" t="str">
        <f>N43&amp;"#"&amp;N186&amp;"#"&amp;N289</f>
        <v>104,31|105,15|106,7|1,470#104,47|105,23|106,11|1,705#104,78|105,38|106,18|1,1175</v>
      </c>
      <c r="AN43" t="str">
        <f>O43&amp;"#"&amp;O186&amp;"#"&amp;O289</f>
        <v>##</v>
      </c>
      <c r="AO43" t="str">
        <f>P43&amp;"#"&amp;P186&amp;"#"&amp;P289</f>
        <v>1,7500#1,11250#11,1|1,18750</v>
      </c>
      <c r="AP43" t="str">
        <f>Q43&amp;"#"&amp;Q186&amp;"#"&amp;Q289</f>
        <v>1,14800|4,6#162,1|1,22200|4,6#163,1|1,37000|4,6</v>
      </c>
      <c r="AQ43" t="str">
        <f>R43&amp;"#"&amp;R186&amp;"#"&amp;R289</f>
        <v>104,156|105,78|106,36|3,200#104,234|105,117|106,54|3,300#104,390|105,195|106,90|3,500</v>
      </c>
      <c r="AR43" t="str">
        <f>S43&amp;"#"&amp;S186&amp;"#"&amp;S289</f>
        <v>104,16|105,8|106,4|1,588#104,24|105,12|106,6|1,882#104,39|105,19|106,9|1,1469</v>
      </c>
    </row>
    <row r="44" spans="1:44" x14ac:dyDescent="0.25">
      <c r="A44" s="14">
        <v>42</v>
      </c>
      <c r="B44" s="15">
        <f>IF(关卡产出!C49="","",关卡产出!C49)</f>
        <v>32</v>
      </c>
      <c r="C44" s="15">
        <f>IF(关卡产出!D49="","",关卡产出!D49)</f>
        <v>16</v>
      </c>
      <c r="D44" s="15">
        <f>IF(关卡产出!E49="","",关卡产出!E49)</f>
        <v>7</v>
      </c>
      <c r="E44" s="15">
        <f>IF(关卡产出!F49="","",关卡产出!F49)</f>
        <v>470</v>
      </c>
      <c r="F44" s="15">
        <f>IF(关卡产出!H49="","",关卡产出!H49)</f>
        <v>7700</v>
      </c>
      <c r="G44" s="15">
        <f>IF(关卡产出!J49="","",关卡产出!J49)</f>
        <v>15200</v>
      </c>
      <c r="H44" s="15">
        <f>IF(关卡产出!K49="","",关卡产出!K49)</f>
        <v>6</v>
      </c>
      <c r="I44" s="15">
        <f>IF(关卡产出!M49="","",关卡产出!M49)</f>
        <v>160</v>
      </c>
      <c r="J44" s="15">
        <f>IF(关卡产出!N49="","",关卡产出!N49)</f>
        <v>80</v>
      </c>
      <c r="K44" s="15">
        <f>IF(关卡产出!O49="","",关卡产出!O49)</f>
        <v>37</v>
      </c>
      <c r="L44" s="15">
        <f>IF(关卡产出!P49="","",关卡产出!P49)</f>
        <v>200</v>
      </c>
      <c r="M44">
        <f t="shared" si="4"/>
        <v>2350</v>
      </c>
      <c r="N44" t="str">
        <f t="shared" si="42"/>
        <v>104,32|105,16|106,7|1,470</v>
      </c>
      <c r="P44" t="str">
        <f t="shared" si="43"/>
        <v>1,7700</v>
      </c>
      <c r="Q44" t="str">
        <f t="shared" si="44"/>
        <v>1,15200|4,6</v>
      </c>
      <c r="R44" t="str">
        <f t="shared" si="45"/>
        <v>104,160|105,80|106,37|3,200</v>
      </c>
      <c r="S44" t="str">
        <f t="shared" si="46"/>
        <v>104,16|105,8|106,4|1,588</v>
      </c>
      <c r="V44" t="str">
        <f t="shared" si="47"/>
        <v>104,32</v>
      </c>
      <c r="W44" t="str">
        <f t="shared" si="48"/>
        <v>105,16</v>
      </c>
      <c r="X44" t="str">
        <f t="shared" si="49"/>
        <v>106,7</v>
      </c>
      <c r="Y44" t="str">
        <f t="shared" si="50"/>
        <v>1,470</v>
      </c>
      <c r="AB44" t="str">
        <f t="shared" si="51"/>
        <v>104,160</v>
      </c>
      <c r="AC44" t="str">
        <f t="shared" si="52"/>
        <v>105,80</v>
      </c>
      <c r="AD44" t="str">
        <f t="shared" si="53"/>
        <v>106,37</v>
      </c>
      <c r="AE44" t="str">
        <f t="shared" si="54"/>
        <v>3,200</v>
      </c>
      <c r="AG44" t="str">
        <f t="shared" si="55"/>
        <v>104,16</v>
      </c>
      <c r="AH44" t="str">
        <f t="shared" si="56"/>
        <v>105,8</v>
      </c>
      <c r="AI44" t="str">
        <f t="shared" si="57"/>
        <v>106,4</v>
      </c>
      <c r="AJ44" t="str">
        <f t="shared" si="58"/>
        <v>1,588</v>
      </c>
      <c r="AM44" t="str">
        <f>N44&amp;"#"&amp;N187&amp;"#"&amp;N290</f>
        <v>104,32|105,16|106,7|1,470#104,48|105,24|106,11|1,705#104,80|105,40|106,18|1,1175</v>
      </c>
      <c r="AN44" t="str">
        <f>O44&amp;"#"&amp;O187&amp;"#"&amp;O290</f>
        <v>##</v>
      </c>
      <c r="AO44" t="str">
        <f>P44&amp;"#"&amp;P187&amp;"#"&amp;P290</f>
        <v>1,7700#1,11550#11,1|1,19250</v>
      </c>
      <c r="AP44" t="str">
        <f>Q44&amp;"#"&amp;Q187&amp;"#"&amp;Q290</f>
        <v>1,15200|4,6#162,1|1,22800|4,6#163,1|1,38000|4,6</v>
      </c>
      <c r="AQ44" t="str">
        <f>R44&amp;"#"&amp;R187&amp;"#"&amp;R290</f>
        <v>104,160|105,80|106,37|3,200#104,240|105,120|106,56|3,300#104,400|105,200|106,93|3,500</v>
      </c>
      <c r="AR44" t="str">
        <f>S44&amp;"#"&amp;S187&amp;"#"&amp;S290</f>
        <v>104,16|105,8|106,4|1,588#104,24|105,12|106,6|1,882#104,40|105,20|106,9|1,1469</v>
      </c>
    </row>
    <row r="45" spans="1:44" x14ac:dyDescent="0.25">
      <c r="A45" s="14">
        <v>43</v>
      </c>
      <c r="B45" s="15">
        <f>IF(关卡产出!C50="","",关卡产出!C50)</f>
        <v>33</v>
      </c>
      <c r="C45" s="15">
        <f>IF(关卡产出!D50="","",关卡产出!D50)</f>
        <v>16</v>
      </c>
      <c r="D45" s="15">
        <f>IF(关卡产出!E50="","",关卡产出!E50)</f>
        <v>8</v>
      </c>
      <c r="E45" s="15">
        <f>IF(关卡产出!F50="","",关卡产出!F50)</f>
        <v>490</v>
      </c>
      <c r="F45" s="15">
        <f>IF(关卡产出!H50="","",关卡产出!H50)</f>
        <v>7900</v>
      </c>
      <c r="G45" s="15">
        <f>IF(关卡产出!J50="","",关卡产出!J50)</f>
        <v>15600</v>
      </c>
      <c r="H45" s="15">
        <f>IF(关卡产出!K50="","",关卡产出!K50)</f>
        <v>6</v>
      </c>
      <c r="I45" s="15">
        <f>IF(关卡产出!M50="","",关卡产出!M50)</f>
        <v>164</v>
      </c>
      <c r="J45" s="15">
        <f>IF(关卡产出!N50="","",关卡产出!N50)</f>
        <v>82</v>
      </c>
      <c r="K45" s="15">
        <f>IF(关卡产出!O50="","",关卡产出!O50)</f>
        <v>38</v>
      </c>
      <c r="L45" s="15">
        <f>IF(关卡产出!P50="","",关卡产出!P50)</f>
        <v>200</v>
      </c>
      <c r="M45">
        <f t="shared" si="4"/>
        <v>2450</v>
      </c>
      <c r="N45" t="str">
        <f t="shared" si="42"/>
        <v>104,33|105,16|106,8|1,490</v>
      </c>
      <c r="P45" t="str">
        <f t="shared" si="43"/>
        <v>1,7900</v>
      </c>
      <c r="Q45" t="str">
        <f t="shared" si="44"/>
        <v>1,15600|4,6</v>
      </c>
      <c r="R45" t="str">
        <f t="shared" si="45"/>
        <v>104,164|105,82|106,38|3,200</v>
      </c>
      <c r="S45" t="str">
        <f t="shared" si="46"/>
        <v>104,17|105,8|106,4|1,613</v>
      </c>
      <c r="V45" t="str">
        <f t="shared" si="47"/>
        <v>104,33</v>
      </c>
      <c r="W45" t="str">
        <f t="shared" si="48"/>
        <v>105,16</v>
      </c>
      <c r="X45" t="str">
        <f t="shared" si="49"/>
        <v>106,8</v>
      </c>
      <c r="Y45" t="str">
        <f t="shared" si="50"/>
        <v>1,490</v>
      </c>
      <c r="AB45" t="str">
        <f t="shared" si="51"/>
        <v>104,164</v>
      </c>
      <c r="AC45" t="str">
        <f t="shared" si="52"/>
        <v>105,82</v>
      </c>
      <c r="AD45" t="str">
        <f t="shared" si="53"/>
        <v>106,38</v>
      </c>
      <c r="AE45" t="str">
        <f t="shared" si="54"/>
        <v>3,200</v>
      </c>
      <c r="AG45" t="str">
        <f t="shared" si="55"/>
        <v>104,17</v>
      </c>
      <c r="AH45" t="str">
        <f t="shared" si="56"/>
        <v>105,8</v>
      </c>
      <c r="AI45" t="str">
        <f t="shared" si="57"/>
        <v>106,4</v>
      </c>
      <c r="AJ45" t="str">
        <f t="shared" si="58"/>
        <v>1,613</v>
      </c>
      <c r="AM45" t="str">
        <f>N45&amp;"#"&amp;N188&amp;"#"&amp;N291</f>
        <v>104,33|105,16|106,8|1,490#104,50|105,24|106,12|1,735#104,83|105,40|106,20|1,1225</v>
      </c>
      <c r="AN45" t="str">
        <f>O45&amp;"#"&amp;O188&amp;"#"&amp;O291</f>
        <v>##</v>
      </c>
      <c r="AO45" t="str">
        <f>P45&amp;"#"&amp;P188&amp;"#"&amp;P291</f>
        <v>1,7900#1,11850#11,1|1,19750</v>
      </c>
      <c r="AP45" t="str">
        <f>Q45&amp;"#"&amp;Q188&amp;"#"&amp;Q291</f>
        <v>1,15600|4,6#162,1|1,23400|4,6#163,1|1,39000|4,6</v>
      </c>
      <c r="AQ45" t="str">
        <f>R45&amp;"#"&amp;R188&amp;"#"&amp;R291</f>
        <v>104,164|105,82|106,38|3,200#104,246|105,123|106,57|3,300#104,410|105,205|106,95|3,500</v>
      </c>
      <c r="AR45" t="str">
        <f>S45&amp;"#"&amp;S188&amp;"#"&amp;S291</f>
        <v>104,17|105,8|106,4|1,613#104,25|105,12|106,6|1,919#104,42|105,20|106,10|1,1532</v>
      </c>
    </row>
    <row r="46" spans="1:44" x14ac:dyDescent="0.25">
      <c r="A46" s="14">
        <v>44</v>
      </c>
      <c r="B46" s="15">
        <f>IF(关卡产出!C51="","",关卡产出!C51)</f>
        <v>34</v>
      </c>
      <c r="C46" s="15">
        <f>IF(关卡产出!D51="","",关卡产出!D51)</f>
        <v>17</v>
      </c>
      <c r="D46" s="15">
        <f>IF(关卡产出!E51="","",关卡产出!E51)</f>
        <v>8</v>
      </c>
      <c r="E46" s="15">
        <f>IF(关卡产出!F51="","",关卡产出!F51)</f>
        <v>490</v>
      </c>
      <c r="F46" s="15">
        <f>IF(关卡产出!H51="","",关卡产出!H51)</f>
        <v>8100</v>
      </c>
      <c r="G46" s="15">
        <f>IF(关卡产出!J51="","",关卡产出!J51)</f>
        <v>16000</v>
      </c>
      <c r="H46" s="15">
        <f>IF(关卡产出!K51="","",关卡产出!K51)</f>
        <v>6</v>
      </c>
      <c r="I46" s="15">
        <f>IF(关卡产出!M51="","",关卡产出!M51)</f>
        <v>168</v>
      </c>
      <c r="J46" s="15">
        <f>IF(关卡产出!N51="","",关卡产出!N51)</f>
        <v>84</v>
      </c>
      <c r="K46" s="15">
        <f>IF(关卡产出!O51="","",关卡产出!O51)</f>
        <v>39</v>
      </c>
      <c r="L46" s="15">
        <f>IF(关卡产出!P51="","",关卡产出!P51)</f>
        <v>200</v>
      </c>
      <c r="M46">
        <f t="shared" si="4"/>
        <v>2450</v>
      </c>
      <c r="N46" t="str">
        <f t="shared" si="42"/>
        <v>104,34|105,17|106,8|1,490</v>
      </c>
      <c r="P46" t="str">
        <f t="shared" si="43"/>
        <v>1,8100</v>
      </c>
      <c r="Q46" t="str">
        <f t="shared" si="44"/>
        <v>1,16000|4,6</v>
      </c>
      <c r="R46" t="str">
        <f t="shared" si="45"/>
        <v>104,168|105,84|106,39|3,200</v>
      </c>
      <c r="S46" t="str">
        <f t="shared" si="46"/>
        <v>104,17|105,9|106,4|1,613</v>
      </c>
      <c r="V46" t="str">
        <f t="shared" si="47"/>
        <v>104,34</v>
      </c>
      <c r="W46" t="str">
        <f t="shared" si="48"/>
        <v>105,17</v>
      </c>
      <c r="X46" t="str">
        <f t="shared" si="49"/>
        <v>106,8</v>
      </c>
      <c r="Y46" t="str">
        <f t="shared" si="50"/>
        <v>1,490</v>
      </c>
      <c r="AB46" t="str">
        <f t="shared" si="51"/>
        <v>104,168</v>
      </c>
      <c r="AC46" t="str">
        <f t="shared" si="52"/>
        <v>105,84</v>
      </c>
      <c r="AD46" t="str">
        <f t="shared" si="53"/>
        <v>106,39</v>
      </c>
      <c r="AE46" t="str">
        <f t="shared" si="54"/>
        <v>3,200</v>
      </c>
      <c r="AG46" t="str">
        <f t="shared" si="55"/>
        <v>104,17</v>
      </c>
      <c r="AH46" t="str">
        <f t="shared" si="56"/>
        <v>105,9</v>
      </c>
      <c r="AI46" t="str">
        <f t="shared" si="57"/>
        <v>106,4</v>
      </c>
      <c r="AJ46" t="str">
        <f t="shared" si="58"/>
        <v>1,613</v>
      </c>
      <c r="AM46" t="str">
        <f>N46&amp;"#"&amp;N189&amp;"#"&amp;N292</f>
        <v>104,34|105,17|106,8|1,490#104,51|105,26|106,12|1,735#104,85|105,43|106,20|1,1225</v>
      </c>
      <c r="AN46" t="str">
        <f>O46&amp;"#"&amp;O189&amp;"#"&amp;O292</f>
        <v>##</v>
      </c>
      <c r="AO46" t="str">
        <f>P46&amp;"#"&amp;P189&amp;"#"&amp;P292</f>
        <v>1,8100#1,12150#11,1|1,20250</v>
      </c>
      <c r="AP46" t="str">
        <f>Q46&amp;"#"&amp;Q189&amp;"#"&amp;Q292</f>
        <v>1,16000|4,6#162,1|1,24000|4,6#163,1|1,40000|4,6</v>
      </c>
      <c r="AQ46" t="str">
        <f>R46&amp;"#"&amp;R189&amp;"#"&amp;R292</f>
        <v>104,168|105,84|106,39|3,200#104,252|105,126|106,59|3,300#104,420|105,210|106,98|3,500</v>
      </c>
      <c r="AR46" t="str">
        <f>S46&amp;"#"&amp;S189&amp;"#"&amp;S292</f>
        <v>104,17|105,9|106,4|1,613#104,26|105,13|106,6|1,919#104,43|105,22|106,10|1,1532</v>
      </c>
    </row>
    <row r="47" spans="1:44" x14ac:dyDescent="0.25">
      <c r="A47" s="14">
        <v>45</v>
      </c>
      <c r="B47" s="15">
        <f>IF(关卡产出!C52="","",关卡产出!C52)</f>
        <v>34</v>
      </c>
      <c r="C47" s="15">
        <f>IF(关卡产出!D52="","",关卡产出!D52)</f>
        <v>17</v>
      </c>
      <c r="D47" s="15">
        <f>IF(关卡产出!E52="","",关卡产出!E52)</f>
        <v>8</v>
      </c>
      <c r="E47" s="15">
        <f>IF(关卡产出!F52="","",关卡产出!F52)</f>
        <v>510</v>
      </c>
      <c r="F47" s="15">
        <f>IF(关卡产出!H52="","",关卡产出!H52)</f>
        <v>8300</v>
      </c>
      <c r="G47" s="15">
        <f>IF(关卡产出!J52="","",关卡产出!J52)</f>
        <v>16400</v>
      </c>
      <c r="H47" s="15">
        <f>IF(关卡产出!K52="","",关卡产出!K52)</f>
        <v>6</v>
      </c>
      <c r="I47" s="15">
        <f>IF(关卡产出!M52="","",关卡产出!M52)</f>
        <v>172</v>
      </c>
      <c r="J47" s="15">
        <f>IF(关卡产出!N52="","",关卡产出!N52)</f>
        <v>86</v>
      </c>
      <c r="K47" s="15">
        <f>IF(关卡产出!O52="","",关卡产出!O52)</f>
        <v>40</v>
      </c>
      <c r="L47" s="15">
        <f>IF(关卡产出!P52="","",关卡产出!P52)</f>
        <v>200</v>
      </c>
      <c r="M47">
        <f t="shared" si="4"/>
        <v>2550</v>
      </c>
      <c r="N47" t="str">
        <f t="shared" si="42"/>
        <v>104,34|105,17|106,8|1,510</v>
      </c>
      <c r="P47" t="str">
        <f t="shared" si="43"/>
        <v>1,8300</v>
      </c>
      <c r="Q47" t="str">
        <f t="shared" si="44"/>
        <v>1,16400|4,6</v>
      </c>
      <c r="R47" t="str">
        <f t="shared" si="45"/>
        <v>104,172|105,86|106,40|3,200</v>
      </c>
      <c r="S47" t="str">
        <f t="shared" si="46"/>
        <v>104,17|105,9|106,4|1,638</v>
      </c>
      <c r="V47" t="str">
        <f t="shared" si="47"/>
        <v>104,34</v>
      </c>
      <c r="W47" t="str">
        <f t="shared" si="48"/>
        <v>105,17</v>
      </c>
      <c r="X47" t="str">
        <f t="shared" si="49"/>
        <v>106,8</v>
      </c>
      <c r="Y47" t="str">
        <f t="shared" si="50"/>
        <v>1,510</v>
      </c>
      <c r="AB47" t="str">
        <f t="shared" si="51"/>
        <v>104,172</v>
      </c>
      <c r="AC47" t="str">
        <f t="shared" si="52"/>
        <v>105,86</v>
      </c>
      <c r="AD47" t="str">
        <f t="shared" si="53"/>
        <v>106,40</v>
      </c>
      <c r="AE47" t="str">
        <f t="shared" si="54"/>
        <v>3,200</v>
      </c>
      <c r="AG47" t="str">
        <f t="shared" si="55"/>
        <v>104,17</v>
      </c>
      <c r="AH47" t="str">
        <f t="shared" si="56"/>
        <v>105,9</v>
      </c>
      <c r="AI47" t="str">
        <f t="shared" si="57"/>
        <v>106,4</v>
      </c>
      <c r="AJ47" t="str">
        <f t="shared" si="58"/>
        <v>1,638</v>
      </c>
      <c r="AM47" t="str">
        <f>N47&amp;"#"&amp;N190&amp;"#"&amp;N293</f>
        <v>104,34|105,17|106,8|1,510#104,51|105,26|106,12|1,765#104,85|105,43|106,20|1,1275</v>
      </c>
      <c r="AN47" t="str">
        <f>O47&amp;"#"&amp;O190&amp;"#"&amp;O293</f>
        <v>##</v>
      </c>
      <c r="AO47" t="str">
        <f>P47&amp;"#"&amp;P190&amp;"#"&amp;P293</f>
        <v>1,8300#1,12450#11,1|1,20750</v>
      </c>
      <c r="AP47" t="str">
        <f>Q47&amp;"#"&amp;Q190&amp;"#"&amp;Q293</f>
        <v>1,16400|4,6#162,1|1,24600|4,6#163,1|1,41000|4,6</v>
      </c>
      <c r="AQ47" t="str">
        <f>R47&amp;"#"&amp;R190&amp;"#"&amp;R293</f>
        <v>104,172|105,86|106,40|3,200#104,258|105,129|106,60|3,300#104,430|105,215|106,100|3,500</v>
      </c>
      <c r="AR47" t="str">
        <f>S47&amp;"#"&amp;S190&amp;"#"&amp;S293</f>
        <v>104,17|105,9|106,4|1,638#104,26|105,13|106,6|1,957#104,43|105,22|106,10|1,1594</v>
      </c>
    </row>
    <row r="48" spans="1:44" x14ac:dyDescent="0.25">
      <c r="A48" s="14">
        <v>46</v>
      </c>
      <c r="B48" s="15">
        <f>IF(关卡产出!C53="","",关卡产出!C53)</f>
        <v>35</v>
      </c>
      <c r="C48" s="15">
        <f>IF(关卡产出!D53="","",关卡产出!D53)</f>
        <v>17</v>
      </c>
      <c r="D48" s="15">
        <f>IF(关卡产出!E53="","",关卡产出!E53)</f>
        <v>8</v>
      </c>
      <c r="E48" s="15">
        <f>IF(关卡产出!F53="","",关卡产出!F53)</f>
        <v>510</v>
      </c>
      <c r="F48" s="15">
        <f>IF(关卡产出!H53="","",关卡产出!H53)</f>
        <v>8500</v>
      </c>
      <c r="G48" s="15">
        <f>IF(关卡产出!J53="","",关卡产出!J53)</f>
        <v>16800</v>
      </c>
      <c r="H48" s="15">
        <f>IF(关卡产出!K53="","",关卡产出!K53)</f>
        <v>6</v>
      </c>
      <c r="I48" s="15">
        <f>IF(关卡产出!M53="","",关卡产出!M53)</f>
        <v>176</v>
      </c>
      <c r="J48" s="15">
        <f>IF(关卡产出!N53="","",关卡产出!N53)</f>
        <v>88</v>
      </c>
      <c r="K48" s="15">
        <f>IF(关卡产出!O53="","",关卡产出!O53)</f>
        <v>41</v>
      </c>
      <c r="L48" s="15">
        <f>IF(关卡产出!P53="","",关卡产出!P53)</f>
        <v>200</v>
      </c>
      <c r="M48">
        <f t="shared" si="4"/>
        <v>2550</v>
      </c>
      <c r="N48" t="str">
        <f t="shared" si="42"/>
        <v>104,35|105,17|106,8|1,510</v>
      </c>
      <c r="P48" t="str">
        <f t="shared" si="43"/>
        <v>1,8500</v>
      </c>
      <c r="Q48" t="str">
        <f t="shared" si="44"/>
        <v>1,16800|4,6</v>
      </c>
      <c r="R48" t="str">
        <f t="shared" si="45"/>
        <v>104,176|105,88|106,41|3,200</v>
      </c>
      <c r="S48" t="str">
        <f t="shared" si="46"/>
        <v>104,18|105,9|106,4|1,638</v>
      </c>
      <c r="V48" t="str">
        <f t="shared" si="47"/>
        <v>104,35</v>
      </c>
      <c r="W48" t="str">
        <f t="shared" si="48"/>
        <v>105,17</v>
      </c>
      <c r="X48" t="str">
        <f t="shared" si="49"/>
        <v>106,8</v>
      </c>
      <c r="Y48" t="str">
        <f t="shared" si="50"/>
        <v>1,510</v>
      </c>
      <c r="AB48" t="str">
        <f t="shared" si="51"/>
        <v>104,176</v>
      </c>
      <c r="AC48" t="str">
        <f t="shared" si="52"/>
        <v>105,88</v>
      </c>
      <c r="AD48" t="str">
        <f t="shared" si="53"/>
        <v>106,41</v>
      </c>
      <c r="AE48" t="str">
        <f t="shared" si="54"/>
        <v>3,200</v>
      </c>
      <c r="AG48" t="str">
        <f t="shared" si="55"/>
        <v>104,18</v>
      </c>
      <c r="AH48" t="str">
        <f t="shared" si="56"/>
        <v>105,9</v>
      </c>
      <c r="AI48" t="str">
        <f t="shared" si="57"/>
        <v>106,4</v>
      </c>
      <c r="AJ48" t="str">
        <f t="shared" si="58"/>
        <v>1,638</v>
      </c>
      <c r="AM48" t="str">
        <f>N48&amp;"#"&amp;N191&amp;"#"&amp;N294</f>
        <v>104,35|105,17|106,8|1,510#104,53|105,26|106,12|1,765#104,88|105,43|106,20|1,1275</v>
      </c>
      <c r="AN48" t="str">
        <f>O48&amp;"#"&amp;O191&amp;"#"&amp;O294</f>
        <v>##</v>
      </c>
      <c r="AO48" t="str">
        <f>P48&amp;"#"&amp;P191&amp;"#"&amp;P294</f>
        <v>1,8500#1,12750#11,1|1,21250</v>
      </c>
      <c r="AP48" t="str">
        <f>Q48&amp;"#"&amp;Q191&amp;"#"&amp;Q294</f>
        <v>1,16800|4,6#162,1|1,25200|4,6#163,1|1,42000|4,6</v>
      </c>
      <c r="AQ48" t="str">
        <f>R48&amp;"#"&amp;R191&amp;"#"&amp;R294</f>
        <v>104,176|105,88|106,41|3,200#104,264|105,132|106,62|3,300#104,440|105,220|106,103|3,500</v>
      </c>
      <c r="AR48" t="str">
        <f>S48&amp;"#"&amp;S191&amp;"#"&amp;S294</f>
        <v>104,18|105,9|106,4|1,638#104,27|105,13|106,6|1,957#104,44|105,22|106,10|1,1594</v>
      </c>
    </row>
    <row r="49" spans="1:44" x14ac:dyDescent="0.25">
      <c r="A49" s="14">
        <v>47</v>
      </c>
      <c r="B49" s="15">
        <f>IF(关卡产出!C54="","",关卡产出!C54)</f>
        <v>36</v>
      </c>
      <c r="C49" s="15">
        <f>IF(关卡产出!D54="","",关卡产出!D54)</f>
        <v>18</v>
      </c>
      <c r="D49" s="15">
        <f>IF(关卡产出!E54="","",关卡产出!E54)</f>
        <v>8</v>
      </c>
      <c r="E49" s="15">
        <f>IF(关卡产出!F54="","",关卡产出!F54)</f>
        <v>530</v>
      </c>
      <c r="F49" s="15">
        <f>IF(关卡产出!H54="","",关卡产出!H54)</f>
        <v>8700</v>
      </c>
      <c r="G49" s="15">
        <f>IF(关卡产出!J54="","",关卡产出!J54)</f>
        <v>17200</v>
      </c>
      <c r="H49" s="15">
        <f>IF(关卡产出!K54="","",关卡产出!K54)</f>
        <v>6</v>
      </c>
      <c r="I49" s="15">
        <f>IF(关卡产出!M54="","",关卡产出!M54)</f>
        <v>180</v>
      </c>
      <c r="J49" s="15">
        <f>IF(关卡产出!N54="","",关卡产出!N54)</f>
        <v>90</v>
      </c>
      <c r="K49" s="15">
        <f>IF(关卡产出!O54="","",关卡产出!O54)</f>
        <v>42</v>
      </c>
      <c r="L49" s="15">
        <f>IF(关卡产出!P54="","",关卡产出!P54)</f>
        <v>200</v>
      </c>
      <c r="M49">
        <f t="shared" si="4"/>
        <v>2650</v>
      </c>
      <c r="N49" t="str">
        <f t="shared" si="42"/>
        <v>104,36|105,18|106,8|1,530</v>
      </c>
      <c r="P49" t="str">
        <f t="shared" si="43"/>
        <v>1,8700</v>
      </c>
      <c r="Q49" t="str">
        <f t="shared" si="44"/>
        <v>1,17200|4,6</v>
      </c>
      <c r="R49" t="str">
        <f t="shared" si="45"/>
        <v>104,180|105,90|106,42|3,200</v>
      </c>
      <c r="S49" t="str">
        <f t="shared" si="46"/>
        <v>104,18|105,9|106,4|1,663</v>
      </c>
      <c r="V49" t="str">
        <f t="shared" si="47"/>
        <v>104,36</v>
      </c>
      <c r="W49" t="str">
        <f t="shared" si="48"/>
        <v>105,18</v>
      </c>
      <c r="X49" t="str">
        <f t="shared" si="49"/>
        <v>106,8</v>
      </c>
      <c r="Y49" t="str">
        <f t="shared" si="50"/>
        <v>1,530</v>
      </c>
      <c r="AB49" t="str">
        <f t="shared" si="51"/>
        <v>104,180</v>
      </c>
      <c r="AC49" t="str">
        <f t="shared" si="52"/>
        <v>105,90</v>
      </c>
      <c r="AD49" t="str">
        <f t="shared" si="53"/>
        <v>106,42</v>
      </c>
      <c r="AE49" t="str">
        <f t="shared" si="54"/>
        <v>3,200</v>
      </c>
      <c r="AG49" t="str">
        <f t="shared" si="55"/>
        <v>104,18</v>
      </c>
      <c r="AH49" t="str">
        <f t="shared" si="56"/>
        <v>105,9</v>
      </c>
      <c r="AI49" t="str">
        <f t="shared" si="57"/>
        <v>106,4</v>
      </c>
      <c r="AJ49" t="str">
        <f t="shared" si="58"/>
        <v>1,663</v>
      </c>
      <c r="AM49" t="str">
        <f>N49&amp;"#"&amp;N192&amp;"#"&amp;N295</f>
        <v>104,36|105,18|106,8|1,530#104,54|105,27|106,12|1,795#104,90|105,45|106,20|1,1325</v>
      </c>
      <c r="AN49" t="str">
        <f>O49&amp;"#"&amp;O192&amp;"#"&amp;O295</f>
        <v>##</v>
      </c>
      <c r="AO49" t="str">
        <f>P49&amp;"#"&amp;P192&amp;"#"&amp;P295</f>
        <v>1,8700#1,13050#11,1|1,21750</v>
      </c>
      <c r="AP49" t="str">
        <f>Q49&amp;"#"&amp;Q192&amp;"#"&amp;Q295</f>
        <v>1,17200|4,6#162,1|1,25800|4,6#163,1|1,43000|4,6</v>
      </c>
      <c r="AQ49" t="str">
        <f>R49&amp;"#"&amp;R192&amp;"#"&amp;R295</f>
        <v>104,180|105,90|106,42|3,200#104,270|105,135|106,63|3,300#104,450|105,225|106,105|3,500</v>
      </c>
      <c r="AR49" t="str">
        <f>S49&amp;"#"&amp;S192&amp;"#"&amp;S295</f>
        <v>104,18|105,9|106,4|1,663#104,27|105,14|106,6|1,994#104,45|105,23|106,10|1,1657</v>
      </c>
    </row>
    <row r="50" spans="1:44" x14ac:dyDescent="0.25">
      <c r="A50" s="14">
        <v>48</v>
      </c>
      <c r="B50" s="15">
        <f>IF(关卡产出!C55="","",关卡产出!C55)</f>
        <v>37</v>
      </c>
      <c r="C50" s="15">
        <f>IF(关卡产出!D55="","",关卡产出!D55)</f>
        <v>18</v>
      </c>
      <c r="D50" s="15">
        <f>IF(关卡产出!E55="","",关卡产出!E55)</f>
        <v>9</v>
      </c>
      <c r="E50" s="15">
        <f>IF(关卡产出!F55="","",关卡产出!F55)</f>
        <v>530</v>
      </c>
      <c r="F50" s="15">
        <f>IF(关卡产出!H55="","",关卡产出!H55)</f>
        <v>8900</v>
      </c>
      <c r="G50" s="15">
        <f>IF(关卡产出!J55="","",关卡产出!J55)</f>
        <v>17600</v>
      </c>
      <c r="H50" s="15">
        <f>IF(关卡产出!K55="","",关卡产出!K55)</f>
        <v>6</v>
      </c>
      <c r="I50" s="15">
        <f>IF(关卡产出!M55="","",关卡产出!M55)</f>
        <v>184</v>
      </c>
      <c r="J50" s="15">
        <f>IF(关卡产出!N55="","",关卡产出!N55)</f>
        <v>92</v>
      </c>
      <c r="K50" s="15">
        <f>IF(关卡产出!O55="","",关卡产出!O55)</f>
        <v>43</v>
      </c>
      <c r="L50" s="15">
        <f>IF(关卡产出!P55="","",关卡产出!P55)</f>
        <v>200</v>
      </c>
      <c r="M50">
        <f t="shared" si="4"/>
        <v>2650</v>
      </c>
      <c r="N50" t="str">
        <f t="shared" si="42"/>
        <v>104,37|105,18|106,9|1,530</v>
      </c>
      <c r="P50" t="str">
        <f t="shared" si="43"/>
        <v>1,8900</v>
      </c>
      <c r="Q50" t="str">
        <f t="shared" si="44"/>
        <v>1,17600|4,6</v>
      </c>
      <c r="R50" t="str">
        <f t="shared" si="45"/>
        <v>104,184|105,92|106,43|3,200</v>
      </c>
      <c r="S50" t="str">
        <f t="shared" si="46"/>
        <v>104,19|105,9|106,5|1,663</v>
      </c>
      <c r="V50" t="str">
        <f t="shared" si="47"/>
        <v>104,37</v>
      </c>
      <c r="W50" t="str">
        <f t="shared" si="48"/>
        <v>105,18</v>
      </c>
      <c r="X50" t="str">
        <f t="shared" si="49"/>
        <v>106,9</v>
      </c>
      <c r="Y50" t="str">
        <f t="shared" si="50"/>
        <v>1,530</v>
      </c>
      <c r="AB50" t="str">
        <f t="shared" si="51"/>
        <v>104,184</v>
      </c>
      <c r="AC50" t="str">
        <f t="shared" si="52"/>
        <v>105,92</v>
      </c>
      <c r="AD50" t="str">
        <f t="shared" si="53"/>
        <v>106,43</v>
      </c>
      <c r="AE50" t="str">
        <f t="shared" si="54"/>
        <v>3,200</v>
      </c>
      <c r="AG50" t="str">
        <f t="shared" si="55"/>
        <v>104,19</v>
      </c>
      <c r="AH50" t="str">
        <f t="shared" si="56"/>
        <v>105,9</v>
      </c>
      <c r="AI50" t="str">
        <f t="shared" si="57"/>
        <v>106,5</v>
      </c>
      <c r="AJ50" t="str">
        <f t="shared" si="58"/>
        <v>1,663</v>
      </c>
      <c r="AM50" t="str">
        <f>N50&amp;"#"&amp;N193&amp;"#"&amp;N296</f>
        <v>104,37|105,18|106,9|1,530#104,56|105,27|106,14|1,795#104,93|105,45|106,23|1,1325</v>
      </c>
      <c r="AN50" t="str">
        <f>O50&amp;"#"&amp;O193&amp;"#"&amp;O296</f>
        <v>##</v>
      </c>
      <c r="AO50" t="str">
        <f>P50&amp;"#"&amp;P193&amp;"#"&amp;P296</f>
        <v>1,8900#1,13350#11,1|1,22250</v>
      </c>
      <c r="AP50" t="str">
        <f>Q50&amp;"#"&amp;Q193&amp;"#"&amp;Q296</f>
        <v>1,17600|4,6#162,1|1,26400|4,6#163,1|1,44000|4,6</v>
      </c>
      <c r="AQ50" t="str">
        <f>R50&amp;"#"&amp;R193&amp;"#"&amp;R296</f>
        <v>104,184|105,92|106,43|3,200#104,276|105,138|106,65|3,300#104,460|105,230|106,108|3,500</v>
      </c>
      <c r="AR50" t="str">
        <f>S50&amp;"#"&amp;S193&amp;"#"&amp;S296</f>
        <v>104,19|105,9|106,5|1,663#104,28|105,14|106,7|1,994#104,47|105,23|106,12|1,1657</v>
      </c>
    </row>
    <row r="51" spans="1:44" x14ac:dyDescent="0.25">
      <c r="A51" s="14">
        <v>49</v>
      </c>
      <c r="B51" s="15">
        <f>IF(关卡产出!C56="","",关卡产出!C56)</f>
        <v>38</v>
      </c>
      <c r="C51" s="15">
        <f>IF(关卡产出!D56="","",关卡产出!D56)</f>
        <v>19</v>
      </c>
      <c r="D51" s="15">
        <f>IF(关卡产出!E56="","",关卡产出!E56)</f>
        <v>9</v>
      </c>
      <c r="E51" s="15">
        <f>IF(关卡产出!F56="","",关卡产出!F56)</f>
        <v>550</v>
      </c>
      <c r="F51" s="15">
        <f>IF(关卡产出!H56="","",关卡产出!H56)</f>
        <v>9100</v>
      </c>
      <c r="G51" s="15">
        <f>IF(关卡产出!J56="","",关卡产出!J56)</f>
        <v>18000</v>
      </c>
      <c r="H51" s="15">
        <f>IF(关卡产出!K56="","",关卡产出!K56)</f>
        <v>6</v>
      </c>
      <c r="I51" s="15">
        <f>IF(关卡产出!M56="","",关卡产出!M56)</f>
        <v>188</v>
      </c>
      <c r="J51" s="15">
        <f>IF(关卡产出!N56="","",关卡产出!N56)</f>
        <v>94</v>
      </c>
      <c r="K51" s="15">
        <f>IF(关卡产出!O56="","",关卡产出!O56)</f>
        <v>44</v>
      </c>
      <c r="L51" s="15">
        <f>IF(关卡产出!P56="","",关卡产出!P56)</f>
        <v>200</v>
      </c>
      <c r="M51">
        <f t="shared" si="4"/>
        <v>2750</v>
      </c>
      <c r="N51" t="str">
        <f t="shared" si="42"/>
        <v>104,38|105,19|106,9|1,550</v>
      </c>
      <c r="P51" t="str">
        <f t="shared" si="43"/>
        <v>1,9100</v>
      </c>
      <c r="Q51" t="str">
        <f t="shared" si="44"/>
        <v>1,18000|4,6</v>
      </c>
      <c r="R51" t="str">
        <f t="shared" si="45"/>
        <v>104,188|105,94|106,44|3,200</v>
      </c>
      <c r="S51" t="str">
        <f t="shared" si="46"/>
        <v>104,19|105,10|106,5|1,688</v>
      </c>
      <c r="V51" t="str">
        <f t="shared" si="47"/>
        <v>104,38</v>
      </c>
      <c r="W51" t="str">
        <f t="shared" si="48"/>
        <v>105,19</v>
      </c>
      <c r="X51" t="str">
        <f t="shared" si="49"/>
        <v>106,9</v>
      </c>
      <c r="Y51" t="str">
        <f t="shared" si="50"/>
        <v>1,550</v>
      </c>
      <c r="AB51" t="str">
        <f t="shared" si="51"/>
        <v>104,188</v>
      </c>
      <c r="AC51" t="str">
        <f t="shared" si="52"/>
        <v>105,94</v>
      </c>
      <c r="AD51" t="str">
        <f t="shared" si="53"/>
        <v>106,44</v>
      </c>
      <c r="AE51" t="str">
        <f t="shared" si="54"/>
        <v>3,200</v>
      </c>
      <c r="AG51" t="str">
        <f t="shared" si="55"/>
        <v>104,19</v>
      </c>
      <c r="AH51" t="str">
        <f t="shared" si="56"/>
        <v>105,10</v>
      </c>
      <c r="AI51" t="str">
        <f t="shared" si="57"/>
        <v>106,5</v>
      </c>
      <c r="AJ51" t="str">
        <f t="shared" si="58"/>
        <v>1,688</v>
      </c>
      <c r="AM51" t="str">
        <f>N51&amp;"#"&amp;N194&amp;"#"&amp;N297</f>
        <v>104,38|105,19|106,9|1,550#104,57|105,29|106,14|1,825#104,95|105,48|106,23|1,1375</v>
      </c>
      <c r="AN51" t="str">
        <f>O51&amp;"#"&amp;O194&amp;"#"&amp;O297</f>
        <v>##</v>
      </c>
      <c r="AO51" t="str">
        <f>P51&amp;"#"&amp;P194&amp;"#"&amp;P297</f>
        <v>1,9100#1,13650#11,1|1,22750</v>
      </c>
      <c r="AP51" t="str">
        <f>Q51&amp;"#"&amp;Q194&amp;"#"&amp;Q297</f>
        <v>1,18000|4,6#162,1|1,27000|4,6#163,1|1,45000|4,6</v>
      </c>
      <c r="AQ51" t="str">
        <f>R51&amp;"#"&amp;R194&amp;"#"&amp;R297</f>
        <v>104,188|105,94|106,44|3,200#104,282|105,141|106,66|3,300#104,470|105,235|106,110|3,500</v>
      </c>
      <c r="AR51" t="str">
        <f>S51&amp;"#"&amp;S194&amp;"#"&amp;S297</f>
        <v>104,19|105,10|106,5|1,688#104,29|105,15|106,7|1,1032#104,48|105,24|106,12|1,1719</v>
      </c>
    </row>
    <row r="52" spans="1:44" x14ac:dyDescent="0.25">
      <c r="A52" s="14">
        <v>50</v>
      </c>
      <c r="B52" s="15">
        <f>IF(关卡产出!C57="","",关卡产出!C57)</f>
        <v>38</v>
      </c>
      <c r="C52" s="15">
        <f>IF(关卡产出!D57="","",关卡产出!D57)</f>
        <v>19</v>
      </c>
      <c r="D52" s="15">
        <f>IF(关卡产出!E57="","",关卡产出!E57)</f>
        <v>9</v>
      </c>
      <c r="E52" s="15">
        <f>IF(关卡产出!F57="","",关卡产出!F57)</f>
        <v>550</v>
      </c>
      <c r="F52" s="15">
        <f>IF(关卡产出!H57="","",关卡产出!H57)</f>
        <v>9300</v>
      </c>
      <c r="G52" s="15">
        <f>IF(关卡产出!J57="","",关卡产出!J57)</f>
        <v>18400</v>
      </c>
      <c r="H52" s="15">
        <f>IF(关卡产出!K57="","",关卡产出!K57)</f>
        <v>6</v>
      </c>
      <c r="I52" s="15">
        <f>IF(关卡产出!M57="","",关卡产出!M57)</f>
        <v>192</v>
      </c>
      <c r="J52" s="15">
        <f>IF(关卡产出!N57="","",关卡产出!N57)</f>
        <v>96</v>
      </c>
      <c r="K52" s="15">
        <f>IF(关卡产出!O57="","",关卡产出!O57)</f>
        <v>45</v>
      </c>
      <c r="L52" s="15">
        <f>IF(关卡产出!P57="","",关卡产出!P57)</f>
        <v>200</v>
      </c>
      <c r="M52">
        <f t="shared" si="4"/>
        <v>2750</v>
      </c>
      <c r="N52" t="str">
        <f t="shared" ref="N52:N53" si="59">_xlfn.TEXTJOIN("|",TRUE,V52:Y52)</f>
        <v>104,38|105,19|106,9|1,550</v>
      </c>
      <c r="P52" t="str">
        <f t="shared" ref="P52:P53" si="60">$F$1&amp;","&amp;F52</f>
        <v>1,9300</v>
      </c>
      <c r="Q52" t="str">
        <f t="shared" ref="Q52:Q53" si="61">$G$1&amp;","&amp;G52&amp;"|"&amp;$H$1&amp;","&amp;H52</f>
        <v>1,18400|4,6</v>
      </c>
      <c r="R52" t="str">
        <f t="shared" ref="R52:R53" si="62">_xlfn.TEXTJOIN("|",TRUE,AB52:AE52)</f>
        <v>104,192|105,96|106,45|3,200</v>
      </c>
      <c r="S52" t="str">
        <f t="shared" ref="S52:S53" si="63">_xlfn.TEXTJOIN("|",TRUE,AG52:AJ52)</f>
        <v>104,19|105,10|106,5|1,688</v>
      </c>
      <c r="V52" t="str">
        <f t="shared" ref="V52:V53" si="64">IF(B52="","",B$1&amp;","&amp;B52)</f>
        <v>104,38</v>
      </c>
      <c r="W52" t="str">
        <f t="shared" ref="W52:W101" si="65">IF(C52="","",C$1&amp;","&amp;C52)</f>
        <v>105,19</v>
      </c>
      <c r="X52" t="str">
        <f t="shared" ref="X52:X101" si="66">IF(D52="","",D$1&amp;","&amp;D52)</f>
        <v>106,9</v>
      </c>
      <c r="Y52" t="str">
        <f t="shared" ref="Y52:Y101" si="67">IF(E52="","",E$1&amp;","&amp;E52)</f>
        <v>1,550</v>
      </c>
      <c r="AB52" t="str">
        <f t="shared" ref="AB52:AB53" si="68">IF(I52="","",I$1&amp;","&amp;I52)</f>
        <v>104,192</v>
      </c>
      <c r="AC52" t="str">
        <f t="shared" ref="AC52:AC101" si="69">IF(J52="","",J$1&amp;","&amp;J52)</f>
        <v>105,96</v>
      </c>
      <c r="AD52" t="str">
        <f t="shared" ref="AD52:AD101" si="70">IF(K52="","",K$1&amp;","&amp;K52)</f>
        <v>106,45</v>
      </c>
      <c r="AE52" t="str">
        <f t="shared" ref="AE52:AE101" si="71">IF(L52="","",L$1&amp;","&amp;L52)</f>
        <v>3,200</v>
      </c>
      <c r="AG52" t="str">
        <f t="shared" ref="AG52:AG53" si="72">IF(B52="","",B$1&amp;","&amp;ROUNDUP(B52/2,0))</f>
        <v>104,19</v>
      </c>
      <c r="AH52" t="str">
        <f t="shared" ref="AH52:AH101" si="73">IF(C52="","",C$1&amp;","&amp;ROUNDUP(C52/2,0))</f>
        <v>105,10</v>
      </c>
      <c r="AI52" t="str">
        <f t="shared" ref="AI52:AI101" si="74">IF(D52="","",D$1&amp;","&amp;ROUNDUP(D52/2,0))</f>
        <v>106,5</v>
      </c>
      <c r="AJ52" t="str">
        <f t="shared" ref="AJ52:AJ53" si="75">IF(E52="","",E$1&amp;","&amp;ROUNDUP(E52/2*2.5,0))</f>
        <v>1,688</v>
      </c>
      <c r="AM52" t="str">
        <f>N52&amp;"#"&amp;N195&amp;"#"&amp;N298</f>
        <v>104,38|105,19|106,9|1,550#104,57|105,29|106,14|1,825#104,95|105,48|106,23|1,1375</v>
      </c>
      <c r="AN52" t="str">
        <f>O52&amp;"#"&amp;O195&amp;"#"&amp;O298</f>
        <v>##</v>
      </c>
      <c r="AO52" t="str">
        <f>P52&amp;"#"&amp;P195&amp;"#"&amp;P298</f>
        <v>1,9300#1,13950#11,1|1,23250</v>
      </c>
      <c r="AP52" t="str">
        <f>Q52&amp;"#"&amp;Q195&amp;"#"&amp;Q298</f>
        <v>1,18400|4,6#162,1|1,27600|4,6#163,1|1,46000|4,6</v>
      </c>
      <c r="AQ52" t="str">
        <f>R52&amp;"#"&amp;R195&amp;"#"&amp;R298</f>
        <v>104,192|105,96|106,45|3,200#104,288|105,144|106,68|3,300#104,480|105,240|106,113|3,500</v>
      </c>
      <c r="AR52" t="str">
        <f>S52&amp;"#"&amp;S195&amp;"#"&amp;S298</f>
        <v>104,19|105,10|106,5|1,688#104,29|105,15|106,7|1,1032#104,48|105,24|106,12|1,1719</v>
      </c>
    </row>
    <row r="53" spans="1:44" x14ac:dyDescent="0.25">
      <c r="A53" s="14">
        <v>51</v>
      </c>
      <c r="B53" s="15">
        <f>IF(关卡产出!C58="","",关卡产出!C58)</f>
        <v>39</v>
      </c>
      <c r="C53" s="15">
        <f>IF(关卡产出!D58="","",关卡产出!D58)</f>
        <v>19</v>
      </c>
      <c r="D53" s="15">
        <f>IF(关卡产出!E58="","",关卡产出!E58)</f>
        <v>9</v>
      </c>
      <c r="E53" s="15">
        <f>IF(关卡产出!F58="","",关卡产出!F58)</f>
        <v>570</v>
      </c>
      <c r="F53" s="15">
        <f>IF(关卡产出!H58="","",关卡产出!H58)</f>
        <v>9500</v>
      </c>
      <c r="G53" s="15">
        <f>IF(关卡产出!J58="","",关卡产出!J58)</f>
        <v>18800</v>
      </c>
      <c r="H53" s="15">
        <f>IF(关卡产出!K58="","",关卡产出!K58)</f>
        <v>6</v>
      </c>
      <c r="I53" s="15">
        <f>IF(关卡产出!M58="","",关卡产出!M58)</f>
        <v>196</v>
      </c>
      <c r="J53" s="15">
        <f>IF(关卡产出!N58="","",关卡产出!N58)</f>
        <v>98</v>
      </c>
      <c r="K53" s="15">
        <f>IF(关卡产出!O58="","",关卡产出!O58)</f>
        <v>46</v>
      </c>
      <c r="L53" s="15">
        <f>IF(关卡产出!P58="","",关卡产出!P58)</f>
        <v>200</v>
      </c>
      <c r="M53">
        <f t="shared" si="4"/>
        <v>2850</v>
      </c>
      <c r="N53" t="str">
        <f t="shared" si="59"/>
        <v>104,39|105,19|106,9|1,570</v>
      </c>
      <c r="P53" t="str">
        <f t="shared" si="60"/>
        <v>1,9500</v>
      </c>
      <c r="Q53" t="str">
        <f t="shared" si="61"/>
        <v>1,18800|4,6</v>
      </c>
      <c r="R53" t="str">
        <f t="shared" si="62"/>
        <v>104,196|105,98|106,46|3,200</v>
      </c>
      <c r="S53" t="str">
        <f t="shared" si="63"/>
        <v>104,20|105,10|106,5|1,713</v>
      </c>
      <c r="V53" t="str">
        <f t="shared" si="64"/>
        <v>104,39</v>
      </c>
      <c r="W53" t="str">
        <f t="shared" si="65"/>
        <v>105,19</v>
      </c>
      <c r="X53" t="str">
        <f t="shared" si="66"/>
        <v>106,9</v>
      </c>
      <c r="Y53" t="str">
        <f t="shared" si="67"/>
        <v>1,570</v>
      </c>
      <c r="AB53" t="str">
        <f t="shared" si="68"/>
        <v>104,196</v>
      </c>
      <c r="AC53" t="str">
        <f t="shared" si="69"/>
        <v>105,98</v>
      </c>
      <c r="AD53" t="str">
        <f t="shared" si="70"/>
        <v>106,46</v>
      </c>
      <c r="AE53" t="str">
        <f t="shared" si="71"/>
        <v>3,200</v>
      </c>
      <c r="AG53" t="str">
        <f t="shared" si="72"/>
        <v>104,20</v>
      </c>
      <c r="AH53" t="str">
        <f t="shared" si="73"/>
        <v>105,10</v>
      </c>
      <c r="AI53" t="str">
        <f t="shared" si="74"/>
        <v>106,5</v>
      </c>
      <c r="AJ53" t="str">
        <f t="shared" si="75"/>
        <v>1,713</v>
      </c>
      <c r="AM53" t="str">
        <f>N53&amp;"#"&amp;N196&amp;"#"&amp;N299</f>
        <v>104,39|105,19|106,9|1,570#104,59|105,29|106,14|1,855#104,98|105,48|106,23|1,1425</v>
      </c>
      <c r="AN53" t="str">
        <f>O53&amp;"#"&amp;O196&amp;"#"&amp;O299</f>
        <v>##</v>
      </c>
      <c r="AO53" t="str">
        <f>P53&amp;"#"&amp;P196&amp;"#"&amp;P299</f>
        <v>1,9500#1,14250#11,1|1,23750</v>
      </c>
      <c r="AP53" t="str">
        <f>Q53&amp;"#"&amp;Q196&amp;"#"&amp;Q299</f>
        <v>1,18800|4,6#162,1|1,28200|4,6#163,1|1,47000|4,6</v>
      </c>
      <c r="AQ53" t="str">
        <f>R53&amp;"#"&amp;R196&amp;"#"&amp;R299</f>
        <v>104,196|105,98|106,46|3,200#104,294|105,147|106,69|3,300#104,490|105,245|106,115|3,500</v>
      </c>
      <c r="AR53" t="str">
        <f>S53&amp;"#"&amp;S196&amp;"#"&amp;S299</f>
        <v>104,20|105,10|106,5|1,713#104,30|105,15|106,7|1,1069#104,49|105,24|106,12|1,1782</v>
      </c>
    </row>
    <row r="54" spans="1:44" x14ac:dyDescent="0.25">
      <c r="A54" s="14">
        <v>52</v>
      </c>
      <c r="B54" s="15">
        <f>IF(关卡产出!C59="","",关卡产出!C59)</f>
        <v>40</v>
      </c>
      <c r="C54" s="15">
        <f>IF(关卡产出!D59="","",关卡产出!D59)</f>
        <v>20</v>
      </c>
      <c r="D54" s="15">
        <f>IF(关卡产出!E59="","",关卡产出!E59)</f>
        <v>9</v>
      </c>
      <c r="E54" s="15">
        <f>IF(关卡产出!F59="","",关卡产出!F59)</f>
        <v>570</v>
      </c>
      <c r="F54" s="15">
        <f>IF(关卡产出!H59="","",关卡产出!H59)</f>
        <v>9700</v>
      </c>
      <c r="G54" s="15">
        <f>IF(关卡产出!J59="","",关卡产出!J59)</f>
        <v>19200</v>
      </c>
      <c r="H54" s="15">
        <f>IF(关卡产出!K59="","",关卡产出!K59)</f>
        <v>6</v>
      </c>
      <c r="I54" s="15">
        <f>IF(关卡产出!M59="","",关卡产出!M59)</f>
        <v>200</v>
      </c>
      <c r="J54" s="15">
        <f>IF(关卡产出!N59="","",关卡产出!N59)</f>
        <v>100</v>
      </c>
      <c r="K54" s="15">
        <f>IF(关卡产出!O59="","",关卡产出!O59)</f>
        <v>47</v>
      </c>
      <c r="L54" s="15">
        <f>IF(关卡产出!P59="","",关卡产出!P59)</f>
        <v>200</v>
      </c>
      <c r="M54">
        <f t="shared" si="4"/>
        <v>2850</v>
      </c>
      <c r="N54" t="str">
        <f t="shared" ref="N54:N72" si="76">_xlfn.TEXTJOIN("|",TRUE,V54:Y54)</f>
        <v>104,40|105,20|106,9|1,570</v>
      </c>
      <c r="P54" t="str">
        <f t="shared" ref="P54:P72" si="77">$F$1&amp;","&amp;F54</f>
        <v>1,9700</v>
      </c>
      <c r="Q54" t="str">
        <f t="shared" ref="Q54:Q72" si="78">$G$1&amp;","&amp;G54&amp;"|"&amp;$H$1&amp;","&amp;H54</f>
        <v>1,19200|4,6</v>
      </c>
      <c r="R54" t="str">
        <f t="shared" ref="R54:R72" si="79">_xlfn.TEXTJOIN("|",TRUE,AB54:AE54)</f>
        <v>104,200|105,100|106,47|3,200</v>
      </c>
      <c r="S54" t="str">
        <f t="shared" ref="S54:S72" si="80">_xlfn.TEXTJOIN("|",TRUE,AG54:AJ54)</f>
        <v>104,20|105,10|106,5|1,713</v>
      </c>
      <c r="V54" t="str">
        <f t="shared" ref="V54:V72" si="81">IF(B54="","",B$1&amp;","&amp;B54)</f>
        <v>104,40</v>
      </c>
      <c r="W54" t="str">
        <f t="shared" si="65"/>
        <v>105,20</v>
      </c>
      <c r="X54" t="str">
        <f t="shared" si="66"/>
        <v>106,9</v>
      </c>
      <c r="Y54" t="str">
        <f t="shared" si="67"/>
        <v>1,570</v>
      </c>
      <c r="AB54" t="str">
        <f t="shared" ref="AB54:AB72" si="82">IF(I54="","",I$1&amp;","&amp;I54)</f>
        <v>104,200</v>
      </c>
      <c r="AC54" t="str">
        <f t="shared" si="69"/>
        <v>105,100</v>
      </c>
      <c r="AD54" t="str">
        <f t="shared" si="70"/>
        <v>106,47</v>
      </c>
      <c r="AE54" t="str">
        <f t="shared" si="71"/>
        <v>3,200</v>
      </c>
      <c r="AG54" t="str">
        <f t="shared" ref="AG54:AG72" si="83">IF(B54="","",B$1&amp;","&amp;ROUNDUP(B54/2,0))</f>
        <v>104,20</v>
      </c>
      <c r="AH54" t="str">
        <f t="shared" si="73"/>
        <v>105,10</v>
      </c>
      <c r="AI54" t="str">
        <f t="shared" si="74"/>
        <v>106,5</v>
      </c>
      <c r="AJ54" t="str">
        <f t="shared" ref="AJ54:AJ72" si="84">IF(E54="","",E$1&amp;","&amp;ROUNDUP(E54/2*2.5,0))</f>
        <v>1,713</v>
      </c>
      <c r="AM54" t="str">
        <f>N54&amp;"#"&amp;N197&amp;"#"&amp;N300</f>
        <v>104,40|105,20|106,9|1,570#104,60|105,30|106,14|1,855#104,100|105,50|106,23|1,1425</v>
      </c>
      <c r="AN54" t="str">
        <f>O54&amp;"#"&amp;O197&amp;"#"&amp;O300</f>
        <v>##</v>
      </c>
      <c r="AO54" t="str">
        <f>P54&amp;"#"&amp;P197&amp;"#"&amp;P300</f>
        <v>1,9700#1,14550#11,1|1,24250</v>
      </c>
      <c r="AP54" t="str">
        <f>Q54&amp;"#"&amp;Q197&amp;"#"&amp;Q300</f>
        <v>1,19200|4,6#162,1|1,28800|4,6#163,1|1,48000|4,6</v>
      </c>
      <c r="AQ54" t="str">
        <f>R54&amp;"#"&amp;R197&amp;"#"&amp;R300</f>
        <v>104,200|105,100|106,47|3,200#104,300|105,150|106,71|3,300#104,500|105,250|106,118|3,500</v>
      </c>
      <c r="AR54" t="str">
        <f>S54&amp;"#"&amp;S197&amp;"#"&amp;S300</f>
        <v>104,20|105,10|106,5|1,713#104,30|105,15|106,7|1,1069#104,50|105,25|106,12|1,1782</v>
      </c>
    </row>
    <row r="55" spans="1:44" x14ac:dyDescent="0.25">
      <c r="A55" s="14">
        <v>53</v>
      </c>
      <c r="B55" s="15">
        <f>IF(关卡产出!C60="","",关卡产出!C60)</f>
        <v>41</v>
      </c>
      <c r="C55" s="15">
        <f>IF(关卡产出!D60="","",关卡产出!D60)</f>
        <v>20</v>
      </c>
      <c r="D55" s="15">
        <f>IF(关卡产出!E60="","",关卡产出!E60)</f>
        <v>10</v>
      </c>
      <c r="E55" s="15">
        <f>IF(关卡产出!F60="","",关卡产出!F60)</f>
        <v>590</v>
      </c>
      <c r="F55" s="15">
        <f>IF(关卡产出!H60="","",关卡产出!H60)</f>
        <v>9900</v>
      </c>
      <c r="G55" s="15">
        <f>IF(关卡产出!J60="","",关卡产出!J60)</f>
        <v>19600</v>
      </c>
      <c r="H55" s="15">
        <f>IF(关卡产出!K60="","",关卡产出!K60)</f>
        <v>6</v>
      </c>
      <c r="I55" s="15">
        <f>IF(关卡产出!M60="","",关卡产出!M60)</f>
        <v>204</v>
      </c>
      <c r="J55" s="15">
        <f>IF(关卡产出!N60="","",关卡产出!N60)</f>
        <v>102</v>
      </c>
      <c r="K55" s="15">
        <f>IF(关卡产出!O60="","",关卡产出!O60)</f>
        <v>48</v>
      </c>
      <c r="L55" s="15">
        <f>IF(关卡产出!P60="","",关卡产出!P60)</f>
        <v>200</v>
      </c>
      <c r="M55">
        <f t="shared" si="4"/>
        <v>2950</v>
      </c>
      <c r="N55" t="str">
        <f t="shared" si="76"/>
        <v>104,41|105,20|106,10|1,590</v>
      </c>
      <c r="P55" t="str">
        <f t="shared" si="77"/>
        <v>1,9900</v>
      </c>
      <c r="Q55" t="str">
        <f t="shared" si="78"/>
        <v>1,19600|4,6</v>
      </c>
      <c r="R55" t="str">
        <f t="shared" si="79"/>
        <v>104,204|105,102|106,48|3,200</v>
      </c>
      <c r="S55" t="str">
        <f t="shared" si="80"/>
        <v>104,21|105,10|106,5|1,738</v>
      </c>
      <c r="V55" t="str">
        <f t="shared" si="81"/>
        <v>104,41</v>
      </c>
      <c r="W55" t="str">
        <f t="shared" si="65"/>
        <v>105,20</v>
      </c>
      <c r="X55" t="str">
        <f t="shared" si="66"/>
        <v>106,10</v>
      </c>
      <c r="Y55" t="str">
        <f t="shared" si="67"/>
        <v>1,590</v>
      </c>
      <c r="AB55" t="str">
        <f t="shared" si="82"/>
        <v>104,204</v>
      </c>
      <c r="AC55" t="str">
        <f t="shared" si="69"/>
        <v>105,102</v>
      </c>
      <c r="AD55" t="str">
        <f t="shared" si="70"/>
        <v>106,48</v>
      </c>
      <c r="AE55" t="str">
        <f t="shared" si="71"/>
        <v>3,200</v>
      </c>
      <c r="AG55" t="str">
        <f t="shared" si="83"/>
        <v>104,21</v>
      </c>
      <c r="AH55" t="str">
        <f t="shared" si="73"/>
        <v>105,10</v>
      </c>
      <c r="AI55" t="str">
        <f t="shared" si="74"/>
        <v>106,5</v>
      </c>
      <c r="AJ55" t="str">
        <f t="shared" si="84"/>
        <v>1,738</v>
      </c>
      <c r="AM55" t="str">
        <f>N55&amp;"#"&amp;N198&amp;"#"&amp;N301</f>
        <v>104,41|105,20|106,10|1,590#104,62|105,30|106,15|1,885#104,103|105,50|106,25|1,1475</v>
      </c>
      <c r="AN55" t="str">
        <f>O55&amp;"#"&amp;O198&amp;"#"&amp;O301</f>
        <v>##</v>
      </c>
      <c r="AO55" t="str">
        <f>P55&amp;"#"&amp;P198&amp;"#"&amp;P301</f>
        <v>1,9900#1,14850#11,1|1,24750</v>
      </c>
      <c r="AP55" t="str">
        <f>Q55&amp;"#"&amp;Q198&amp;"#"&amp;Q301</f>
        <v>1,19600|4,6#162,1|1,29400|4,6#163,1|1,49000|4,6</v>
      </c>
      <c r="AQ55" t="str">
        <f>R55&amp;"#"&amp;R198&amp;"#"&amp;R301</f>
        <v>104,204|105,102|106,48|3,200#104,306|105,153|106,72|3,300#104,510|105,255|106,120|3,500</v>
      </c>
      <c r="AR55" t="str">
        <f>S55&amp;"#"&amp;S198&amp;"#"&amp;S301</f>
        <v>104,21|105,10|106,5|1,738#104,31|105,15|106,8|1,1107#104,52|105,25|106,13|1,1844</v>
      </c>
    </row>
    <row r="56" spans="1:44" x14ac:dyDescent="0.25">
      <c r="A56" s="14">
        <v>54</v>
      </c>
      <c r="B56" s="15">
        <f>IF(关卡产出!C61="","",关卡产出!C61)</f>
        <v>42</v>
      </c>
      <c r="C56" s="15">
        <f>IF(关卡产出!D61="","",关卡产出!D61)</f>
        <v>21</v>
      </c>
      <c r="D56" s="15">
        <f>IF(关卡产出!E61="","",关卡产出!E61)</f>
        <v>10</v>
      </c>
      <c r="E56" s="15">
        <f>IF(关卡产出!F61="","",关卡产出!F61)</f>
        <v>590</v>
      </c>
      <c r="F56" s="15">
        <f>IF(关卡产出!H61="","",关卡产出!H61)</f>
        <v>10100</v>
      </c>
      <c r="G56" s="15">
        <f>IF(关卡产出!J61="","",关卡产出!J61)</f>
        <v>20000</v>
      </c>
      <c r="H56" s="15">
        <f>IF(关卡产出!K61="","",关卡产出!K61)</f>
        <v>6</v>
      </c>
      <c r="I56" s="15">
        <f>IF(关卡产出!M61="","",关卡产出!M61)</f>
        <v>208</v>
      </c>
      <c r="J56" s="15">
        <f>IF(关卡产出!N61="","",关卡产出!N61)</f>
        <v>104</v>
      </c>
      <c r="K56" s="15">
        <f>IF(关卡产出!O61="","",关卡产出!O61)</f>
        <v>49</v>
      </c>
      <c r="L56" s="15">
        <f>IF(关卡产出!P61="","",关卡产出!P61)</f>
        <v>200</v>
      </c>
      <c r="M56">
        <f t="shared" si="4"/>
        <v>2950</v>
      </c>
      <c r="N56" t="str">
        <f t="shared" si="76"/>
        <v>104,42|105,21|106,10|1,590</v>
      </c>
      <c r="P56" t="str">
        <f t="shared" si="77"/>
        <v>1,10100</v>
      </c>
      <c r="Q56" t="str">
        <f t="shared" si="78"/>
        <v>1,20000|4,6</v>
      </c>
      <c r="R56" t="str">
        <f t="shared" si="79"/>
        <v>104,208|105,104|106,49|3,200</v>
      </c>
      <c r="S56" t="str">
        <f t="shared" si="80"/>
        <v>104,21|105,11|106,5|1,738</v>
      </c>
      <c r="V56" t="str">
        <f t="shared" si="81"/>
        <v>104,42</v>
      </c>
      <c r="W56" t="str">
        <f t="shared" si="65"/>
        <v>105,21</v>
      </c>
      <c r="X56" t="str">
        <f t="shared" si="66"/>
        <v>106,10</v>
      </c>
      <c r="Y56" t="str">
        <f t="shared" si="67"/>
        <v>1,590</v>
      </c>
      <c r="AB56" t="str">
        <f t="shared" si="82"/>
        <v>104,208</v>
      </c>
      <c r="AC56" t="str">
        <f t="shared" si="69"/>
        <v>105,104</v>
      </c>
      <c r="AD56" t="str">
        <f t="shared" si="70"/>
        <v>106,49</v>
      </c>
      <c r="AE56" t="str">
        <f t="shared" si="71"/>
        <v>3,200</v>
      </c>
      <c r="AG56" t="str">
        <f t="shared" si="83"/>
        <v>104,21</v>
      </c>
      <c r="AH56" t="str">
        <f t="shared" si="73"/>
        <v>105,11</v>
      </c>
      <c r="AI56" t="str">
        <f t="shared" si="74"/>
        <v>106,5</v>
      </c>
      <c r="AJ56" t="str">
        <f t="shared" si="84"/>
        <v>1,738</v>
      </c>
      <c r="AM56" t="str">
        <f>N56&amp;"#"&amp;N199&amp;"#"&amp;N302</f>
        <v>104,42|105,21|106,10|1,590#104,63|105,32|106,15|1,885#104,105|105,53|106,25|1,1475</v>
      </c>
      <c r="AN56" t="str">
        <f>O56&amp;"#"&amp;O199&amp;"#"&amp;O302</f>
        <v>##</v>
      </c>
      <c r="AO56" t="str">
        <f>P56&amp;"#"&amp;P199&amp;"#"&amp;P302</f>
        <v>1,10100#1,15150#11,1|1,25250</v>
      </c>
      <c r="AP56" t="str">
        <f>Q56&amp;"#"&amp;Q199&amp;"#"&amp;Q302</f>
        <v>1,20000|4,6#162,1|1,30000|4,6#163,1|1,50000|4,6</v>
      </c>
      <c r="AQ56" t="str">
        <f>R56&amp;"#"&amp;R199&amp;"#"&amp;R302</f>
        <v>104,208|105,104|106,49|3,200#104,312|105,156|106,74|3,300#104,520|105,260|106,123|3,500</v>
      </c>
      <c r="AR56" t="str">
        <f>S56&amp;"#"&amp;S199&amp;"#"&amp;S302</f>
        <v>104,21|105,11|106,5|1,738#104,32|105,16|106,8|1,1107#104,53|105,27|106,13|1,1844</v>
      </c>
    </row>
    <row r="57" spans="1:44" x14ac:dyDescent="0.25">
      <c r="A57" s="14">
        <v>55</v>
      </c>
      <c r="B57" s="15">
        <f>IF(关卡产出!C62="","",关卡产出!C62)</f>
        <v>42</v>
      </c>
      <c r="C57" s="15">
        <f>IF(关卡产出!D62="","",关卡产出!D62)</f>
        <v>21</v>
      </c>
      <c r="D57" s="15">
        <f>IF(关卡产出!E62="","",关卡产出!E62)</f>
        <v>10</v>
      </c>
      <c r="E57" s="15">
        <f>IF(关卡产出!F62="","",关卡产出!F62)</f>
        <v>610</v>
      </c>
      <c r="F57" s="15">
        <f>IF(关卡产出!H62="","",关卡产出!H62)</f>
        <v>10300</v>
      </c>
      <c r="G57" s="15">
        <f>IF(关卡产出!J62="","",关卡产出!J62)</f>
        <v>20400</v>
      </c>
      <c r="H57" s="15">
        <f>IF(关卡产出!K62="","",关卡产出!K62)</f>
        <v>6</v>
      </c>
      <c r="I57" s="15">
        <f>IF(关卡产出!M62="","",关卡产出!M62)</f>
        <v>212</v>
      </c>
      <c r="J57" s="15">
        <f>IF(关卡产出!N62="","",关卡产出!N62)</f>
        <v>106</v>
      </c>
      <c r="K57" s="15">
        <f>IF(关卡产出!O62="","",关卡产出!O62)</f>
        <v>50</v>
      </c>
      <c r="L57" s="15">
        <f>IF(关卡产出!P62="","",关卡产出!P62)</f>
        <v>200</v>
      </c>
      <c r="M57">
        <f t="shared" si="4"/>
        <v>3050</v>
      </c>
      <c r="N57" t="str">
        <f t="shared" si="76"/>
        <v>104,42|105,21|106,10|1,610</v>
      </c>
      <c r="P57" t="str">
        <f t="shared" si="77"/>
        <v>1,10300</v>
      </c>
      <c r="Q57" t="str">
        <f t="shared" si="78"/>
        <v>1,20400|4,6</v>
      </c>
      <c r="R57" t="str">
        <f t="shared" si="79"/>
        <v>104,212|105,106|106,50|3,200</v>
      </c>
      <c r="S57" t="str">
        <f t="shared" si="80"/>
        <v>104,21|105,11|106,5|1,763</v>
      </c>
      <c r="V57" t="str">
        <f t="shared" si="81"/>
        <v>104,42</v>
      </c>
      <c r="W57" t="str">
        <f t="shared" si="65"/>
        <v>105,21</v>
      </c>
      <c r="X57" t="str">
        <f t="shared" si="66"/>
        <v>106,10</v>
      </c>
      <c r="Y57" t="str">
        <f t="shared" si="67"/>
        <v>1,610</v>
      </c>
      <c r="AB57" t="str">
        <f t="shared" si="82"/>
        <v>104,212</v>
      </c>
      <c r="AC57" t="str">
        <f t="shared" si="69"/>
        <v>105,106</v>
      </c>
      <c r="AD57" t="str">
        <f t="shared" si="70"/>
        <v>106,50</v>
      </c>
      <c r="AE57" t="str">
        <f t="shared" si="71"/>
        <v>3,200</v>
      </c>
      <c r="AG57" t="str">
        <f t="shared" si="83"/>
        <v>104,21</v>
      </c>
      <c r="AH57" t="str">
        <f t="shared" si="73"/>
        <v>105,11</v>
      </c>
      <c r="AI57" t="str">
        <f t="shared" si="74"/>
        <v>106,5</v>
      </c>
      <c r="AJ57" t="str">
        <f t="shared" si="84"/>
        <v>1,763</v>
      </c>
      <c r="AM57" t="str">
        <f>N57&amp;"#"&amp;N200&amp;"#"&amp;N303</f>
        <v>104,42|105,21|106,10|1,610#104,63|105,32|106,15|1,915#104,105|105,53|106,25|1,1525</v>
      </c>
      <c r="AN57" t="str">
        <f>O57&amp;"#"&amp;O200&amp;"#"&amp;O303</f>
        <v>##</v>
      </c>
      <c r="AO57" t="str">
        <f>P57&amp;"#"&amp;P200&amp;"#"&amp;P303</f>
        <v>1,10300#1,15450#11,1|1,25750</v>
      </c>
      <c r="AP57" t="str">
        <f>Q57&amp;"#"&amp;Q200&amp;"#"&amp;Q303</f>
        <v>1,20400|4,6#162,1|1,30600|4,6#163,1|1,51000|4,6</v>
      </c>
      <c r="AQ57" t="str">
        <f>R57&amp;"#"&amp;R200&amp;"#"&amp;R303</f>
        <v>104,212|105,106|106,50|3,200#104,318|105,159|106,75|3,300#104,530|105,265|106,125|3,500</v>
      </c>
      <c r="AR57" t="str">
        <f>S57&amp;"#"&amp;S200&amp;"#"&amp;S303</f>
        <v>104,21|105,11|106,5|1,763#104,32|105,16|106,8|1,1144#104,53|105,27|106,13|1,1907</v>
      </c>
    </row>
    <row r="58" spans="1:44" x14ac:dyDescent="0.25">
      <c r="A58" s="14">
        <v>56</v>
      </c>
      <c r="B58" s="15">
        <f>IF(关卡产出!C63="","",关卡产出!C63)</f>
        <v>43</v>
      </c>
      <c r="C58" s="15">
        <f>IF(关卡产出!D63="","",关卡产出!D63)</f>
        <v>21</v>
      </c>
      <c r="D58" s="15">
        <f>IF(关卡产出!E63="","",关卡产出!E63)</f>
        <v>10</v>
      </c>
      <c r="E58" s="15">
        <f>IF(关卡产出!F63="","",关卡产出!F63)</f>
        <v>610</v>
      </c>
      <c r="F58" s="15">
        <f>IF(关卡产出!H63="","",关卡产出!H63)</f>
        <v>10500</v>
      </c>
      <c r="G58" s="15">
        <f>IF(关卡产出!J63="","",关卡产出!J63)</f>
        <v>20800</v>
      </c>
      <c r="H58" s="15">
        <f>IF(关卡产出!K63="","",关卡产出!K63)</f>
        <v>6</v>
      </c>
      <c r="I58" s="15">
        <f>IF(关卡产出!M63="","",关卡产出!M63)</f>
        <v>216</v>
      </c>
      <c r="J58" s="15">
        <f>IF(关卡产出!N63="","",关卡产出!N63)</f>
        <v>108</v>
      </c>
      <c r="K58" s="15">
        <f>IF(关卡产出!O63="","",关卡产出!O63)</f>
        <v>51</v>
      </c>
      <c r="L58" s="15">
        <f>IF(关卡产出!P63="","",关卡产出!P63)</f>
        <v>200</v>
      </c>
      <c r="M58">
        <f t="shared" si="4"/>
        <v>3050</v>
      </c>
      <c r="N58" t="str">
        <f t="shared" si="76"/>
        <v>104,43|105,21|106,10|1,610</v>
      </c>
      <c r="P58" t="str">
        <f t="shared" si="77"/>
        <v>1,10500</v>
      </c>
      <c r="Q58" t="str">
        <f t="shared" si="78"/>
        <v>1,20800|4,6</v>
      </c>
      <c r="R58" t="str">
        <f t="shared" si="79"/>
        <v>104,216|105,108|106,51|3,200</v>
      </c>
      <c r="S58" t="str">
        <f t="shared" si="80"/>
        <v>104,22|105,11|106,5|1,763</v>
      </c>
      <c r="V58" t="str">
        <f t="shared" si="81"/>
        <v>104,43</v>
      </c>
      <c r="W58" t="str">
        <f t="shared" si="65"/>
        <v>105,21</v>
      </c>
      <c r="X58" t="str">
        <f t="shared" si="66"/>
        <v>106,10</v>
      </c>
      <c r="Y58" t="str">
        <f t="shared" si="67"/>
        <v>1,610</v>
      </c>
      <c r="AB58" t="str">
        <f t="shared" si="82"/>
        <v>104,216</v>
      </c>
      <c r="AC58" t="str">
        <f t="shared" si="69"/>
        <v>105,108</v>
      </c>
      <c r="AD58" t="str">
        <f t="shared" si="70"/>
        <v>106,51</v>
      </c>
      <c r="AE58" t="str">
        <f t="shared" si="71"/>
        <v>3,200</v>
      </c>
      <c r="AG58" t="str">
        <f t="shared" si="83"/>
        <v>104,22</v>
      </c>
      <c r="AH58" t="str">
        <f t="shared" si="73"/>
        <v>105,11</v>
      </c>
      <c r="AI58" t="str">
        <f t="shared" si="74"/>
        <v>106,5</v>
      </c>
      <c r="AJ58" t="str">
        <f t="shared" si="84"/>
        <v>1,763</v>
      </c>
      <c r="AM58" t="str">
        <f>N58&amp;"#"&amp;N201&amp;"#"&amp;N304</f>
        <v>104,43|105,21|106,10|1,610#104,65|105,32|106,15|1,915#104,108|105,53|106,25|1,1525</v>
      </c>
      <c r="AN58" t="str">
        <f>O58&amp;"#"&amp;O201&amp;"#"&amp;O304</f>
        <v>##</v>
      </c>
      <c r="AO58" t="str">
        <f>P58&amp;"#"&amp;P201&amp;"#"&amp;P304</f>
        <v>1,10500#1,15750#11,1|1,26250</v>
      </c>
      <c r="AP58" t="str">
        <f>Q58&amp;"#"&amp;Q201&amp;"#"&amp;Q304</f>
        <v>1,20800|4,6#162,1|1,31200|4,6#163,1|1,52000|4,6</v>
      </c>
      <c r="AQ58" t="str">
        <f>R58&amp;"#"&amp;R201&amp;"#"&amp;R304</f>
        <v>104,216|105,108|106,51|3,200#104,324|105,162|106,77|3,300#104,540|105,270|106,128|3,500</v>
      </c>
      <c r="AR58" t="str">
        <f>S58&amp;"#"&amp;S201&amp;"#"&amp;S304</f>
        <v>104,22|105,11|106,5|1,763#104,33|105,16|106,8|1,1144#104,54|105,27|106,13|1,1907</v>
      </c>
    </row>
    <row r="59" spans="1:44" x14ac:dyDescent="0.25">
      <c r="A59" s="14">
        <v>57</v>
      </c>
      <c r="B59" s="15">
        <f>IF(关卡产出!C64="","",关卡产出!C64)</f>
        <v>44</v>
      </c>
      <c r="C59" s="15">
        <f>IF(关卡产出!D64="","",关卡产出!D64)</f>
        <v>22</v>
      </c>
      <c r="D59" s="15">
        <f>IF(关卡产出!E64="","",关卡产出!E64)</f>
        <v>10</v>
      </c>
      <c r="E59" s="15">
        <f>IF(关卡产出!F64="","",关卡产出!F64)</f>
        <v>630</v>
      </c>
      <c r="F59" s="15">
        <f>IF(关卡产出!H64="","",关卡产出!H64)</f>
        <v>10700</v>
      </c>
      <c r="G59" s="15">
        <f>IF(关卡产出!J64="","",关卡产出!J64)</f>
        <v>21200</v>
      </c>
      <c r="H59" s="15">
        <f>IF(关卡产出!K64="","",关卡产出!K64)</f>
        <v>6</v>
      </c>
      <c r="I59" s="15">
        <f>IF(关卡产出!M64="","",关卡产出!M64)</f>
        <v>220</v>
      </c>
      <c r="J59" s="15">
        <f>IF(关卡产出!N64="","",关卡产出!N64)</f>
        <v>110</v>
      </c>
      <c r="K59" s="15">
        <f>IF(关卡产出!O64="","",关卡产出!O64)</f>
        <v>52</v>
      </c>
      <c r="L59" s="15">
        <f>IF(关卡产出!P64="","",关卡产出!P64)</f>
        <v>200</v>
      </c>
      <c r="M59">
        <f t="shared" si="4"/>
        <v>3150</v>
      </c>
      <c r="N59" t="str">
        <f t="shared" si="76"/>
        <v>104,44|105,22|106,10|1,630</v>
      </c>
      <c r="P59" t="str">
        <f t="shared" si="77"/>
        <v>1,10700</v>
      </c>
      <c r="Q59" t="str">
        <f t="shared" si="78"/>
        <v>1,21200|4,6</v>
      </c>
      <c r="R59" t="str">
        <f t="shared" si="79"/>
        <v>104,220|105,110|106,52|3,200</v>
      </c>
      <c r="S59" t="str">
        <f t="shared" si="80"/>
        <v>104,22|105,11|106,5|1,788</v>
      </c>
      <c r="V59" t="str">
        <f t="shared" si="81"/>
        <v>104,44</v>
      </c>
      <c r="W59" t="str">
        <f t="shared" si="65"/>
        <v>105,22</v>
      </c>
      <c r="X59" t="str">
        <f t="shared" si="66"/>
        <v>106,10</v>
      </c>
      <c r="Y59" t="str">
        <f t="shared" si="67"/>
        <v>1,630</v>
      </c>
      <c r="AB59" t="str">
        <f t="shared" si="82"/>
        <v>104,220</v>
      </c>
      <c r="AC59" t="str">
        <f t="shared" si="69"/>
        <v>105,110</v>
      </c>
      <c r="AD59" t="str">
        <f t="shared" si="70"/>
        <v>106,52</v>
      </c>
      <c r="AE59" t="str">
        <f t="shared" si="71"/>
        <v>3,200</v>
      </c>
      <c r="AG59" t="str">
        <f t="shared" si="83"/>
        <v>104,22</v>
      </c>
      <c r="AH59" t="str">
        <f t="shared" si="73"/>
        <v>105,11</v>
      </c>
      <c r="AI59" t="str">
        <f t="shared" si="74"/>
        <v>106,5</v>
      </c>
      <c r="AJ59" t="str">
        <f t="shared" si="84"/>
        <v>1,788</v>
      </c>
      <c r="AM59" t="str">
        <f>N59&amp;"#"&amp;N202&amp;"#"&amp;N305</f>
        <v>104,44|105,22|106,10|1,630#104,66|105,33|106,15|1,945#104,110|105,55|106,25|1,1575</v>
      </c>
      <c r="AN59" t="str">
        <f>O59&amp;"#"&amp;O202&amp;"#"&amp;O305</f>
        <v>##</v>
      </c>
      <c r="AO59" t="str">
        <f>P59&amp;"#"&amp;P202&amp;"#"&amp;P305</f>
        <v>1,10700#1,16050#11,1|1,26750</v>
      </c>
      <c r="AP59" t="str">
        <f>Q59&amp;"#"&amp;Q202&amp;"#"&amp;Q305</f>
        <v>1,21200|4,6#162,1|1,31800|4,6#163,1|1,53000|4,6</v>
      </c>
      <c r="AQ59" t="str">
        <f>R59&amp;"#"&amp;R202&amp;"#"&amp;R305</f>
        <v>104,220|105,110|106,52|3,200#104,330|105,165|106,78|3,300#104,550|105,275|106,130|3,500</v>
      </c>
      <c r="AR59" t="str">
        <f>S59&amp;"#"&amp;S202&amp;"#"&amp;S305</f>
        <v>104,22|105,11|106,5|1,788#104,33|105,17|106,8|1,1182#104,55|105,28|106,13|1,1969</v>
      </c>
    </row>
    <row r="60" spans="1:44" x14ac:dyDescent="0.25">
      <c r="A60" s="14">
        <v>58</v>
      </c>
      <c r="B60" s="15">
        <f>IF(关卡产出!C65="","",关卡产出!C65)</f>
        <v>45</v>
      </c>
      <c r="C60" s="15">
        <f>IF(关卡产出!D65="","",关卡产出!D65)</f>
        <v>22</v>
      </c>
      <c r="D60" s="15">
        <f>IF(关卡产出!E65="","",关卡产出!E65)</f>
        <v>11</v>
      </c>
      <c r="E60" s="15">
        <f>IF(关卡产出!F65="","",关卡产出!F65)</f>
        <v>630</v>
      </c>
      <c r="F60" s="15">
        <f>IF(关卡产出!H65="","",关卡产出!H65)</f>
        <v>10900</v>
      </c>
      <c r="G60" s="15">
        <f>IF(关卡产出!J65="","",关卡产出!J65)</f>
        <v>21600</v>
      </c>
      <c r="H60" s="15">
        <f>IF(关卡产出!K65="","",关卡产出!K65)</f>
        <v>6</v>
      </c>
      <c r="I60" s="15">
        <f>IF(关卡产出!M65="","",关卡产出!M65)</f>
        <v>224</v>
      </c>
      <c r="J60" s="15">
        <f>IF(关卡产出!N65="","",关卡产出!N65)</f>
        <v>112</v>
      </c>
      <c r="K60" s="15">
        <f>IF(关卡产出!O65="","",关卡产出!O65)</f>
        <v>53</v>
      </c>
      <c r="L60" s="15">
        <f>IF(关卡产出!P65="","",关卡产出!P65)</f>
        <v>200</v>
      </c>
      <c r="M60">
        <f t="shared" si="4"/>
        <v>3150</v>
      </c>
      <c r="N60" t="str">
        <f t="shared" si="76"/>
        <v>104,45|105,22|106,11|1,630</v>
      </c>
      <c r="P60" t="str">
        <f t="shared" si="77"/>
        <v>1,10900</v>
      </c>
      <c r="Q60" t="str">
        <f t="shared" si="78"/>
        <v>1,21600|4,6</v>
      </c>
      <c r="R60" t="str">
        <f t="shared" si="79"/>
        <v>104,224|105,112|106,53|3,200</v>
      </c>
      <c r="S60" t="str">
        <f t="shared" si="80"/>
        <v>104,23|105,11|106,6|1,788</v>
      </c>
      <c r="V60" t="str">
        <f t="shared" si="81"/>
        <v>104,45</v>
      </c>
      <c r="W60" t="str">
        <f t="shared" si="65"/>
        <v>105,22</v>
      </c>
      <c r="X60" t="str">
        <f t="shared" si="66"/>
        <v>106,11</v>
      </c>
      <c r="Y60" t="str">
        <f t="shared" si="67"/>
        <v>1,630</v>
      </c>
      <c r="AB60" t="str">
        <f t="shared" si="82"/>
        <v>104,224</v>
      </c>
      <c r="AC60" t="str">
        <f t="shared" si="69"/>
        <v>105,112</v>
      </c>
      <c r="AD60" t="str">
        <f t="shared" si="70"/>
        <v>106,53</v>
      </c>
      <c r="AE60" t="str">
        <f t="shared" si="71"/>
        <v>3,200</v>
      </c>
      <c r="AG60" t="str">
        <f t="shared" si="83"/>
        <v>104,23</v>
      </c>
      <c r="AH60" t="str">
        <f t="shared" si="73"/>
        <v>105,11</v>
      </c>
      <c r="AI60" t="str">
        <f t="shared" si="74"/>
        <v>106,6</v>
      </c>
      <c r="AJ60" t="str">
        <f t="shared" si="84"/>
        <v>1,788</v>
      </c>
      <c r="AM60" t="str">
        <f>N60&amp;"#"&amp;N203&amp;"#"&amp;N306</f>
        <v>104,45|105,22|106,11|1,630#104,68|105,33|106,17|1,945#104,113|105,55|106,28|1,1575</v>
      </c>
      <c r="AN60" t="str">
        <f>O60&amp;"#"&amp;O203&amp;"#"&amp;O306</f>
        <v>##</v>
      </c>
      <c r="AO60" t="str">
        <f>P60&amp;"#"&amp;P203&amp;"#"&amp;P306</f>
        <v>1,10900#1,16350#11,1|1,27250</v>
      </c>
      <c r="AP60" t="str">
        <f>Q60&amp;"#"&amp;Q203&amp;"#"&amp;Q306</f>
        <v>1,21600|4,6#162,1|1,32400|4,6#163,1|1,54000|4,6</v>
      </c>
      <c r="AQ60" t="str">
        <f>R60&amp;"#"&amp;R203&amp;"#"&amp;R306</f>
        <v>104,224|105,112|106,53|3,200#104,336|105,168|106,80|3,300#104,560|105,280|106,133|3,500</v>
      </c>
      <c r="AR60" t="str">
        <f>S60&amp;"#"&amp;S203&amp;"#"&amp;S306</f>
        <v>104,23|105,11|106,6|1,788#104,34|105,17|106,9|1,1182#104,57|105,28|106,14|1,1969</v>
      </c>
    </row>
    <row r="61" spans="1:44" x14ac:dyDescent="0.25">
      <c r="A61" s="14">
        <v>59</v>
      </c>
      <c r="B61" s="15">
        <f>IF(关卡产出!C66="","",关卡产出!C66)</f>
        <v>46</v>
      </c>
      <c r="C61" s="15">
        <f>IF(关卡产出!D66="","",关卡产出!D66)</f>
        <v>23</v>
      </c>
      <c r="D61" s="15">
        <f>IF(关卡产出!E66="","",关卡产出!E66)</f>
        <v>11</v>
      </c>
      <c r="E61" s="15">
        <f>IF(关卡产出!F66="","",关卡产出!F66)</f>
        <v>650</v>
      </c>
      <c r="F61" s="15">
        <f>IF(关卡产出!H66="","",关卡产出!H66)</f>
        <v>11100</v>
      </c>
      <c r="G61" s="15">
        <f>IF(关卡产出!J66="","",关卡产出!J66)</f>
        <v>22000</v>
      </c>
      <c r="H61" s="15">
        <f>IF(关卡产出!K66="","",关卡产出!K66)</f>
        <v>6</v>
      </c>
      <c r="I61" s="15">
        <f>IF(关卡产出!M66="","",关卡产出!M66)</f>
        <v>228</v>
      </c>
      <c r="J61" s="15">
        <f>IF(关卡产出!N66="","",关卡产出!N66)</f>
        <v>114</v>
      </c>
      <c r="K61" s="15">
        <f>IF(关卡产出!O66="","",关卡产出!O66)</f>
        <v>54</v>
      </c>
      <c r="L61" s="15">
        <f>IF(关卡产出!P66="","",关卡产出!P66)</f>
        <v>200</v>
      </c>
      <c r="M61">
        <f t="shared" si="4"/>
        <v>3250</v>
      </c>
      <c r="N61" t="str">
        <f t="shared" si="76"/>
        <v>104,46|105,23|106,11|1,650</v>
      </c>
      <c r="P61" t="str">
        <f t="shared" si="77"/>
        <v>1,11100</v>
      </c>
      <c r="Q61" t="str">
        <f t="shared" si="78"/>
        <v>1,22000|4,6</v>
      </c>
      <c r="R61" t="str">
        <f t="shared" si="79"/>
        <v>104,228|105,114|106,54|3,200</v>
      </c>
      <c r="S61" t="str">
        <f t="shared" si="80"/>
        <v>104,23|105,12|106,6|1,813</v>
      </c>
      <c r="V61" t="str">
        <f t="shared" si="81"/>
        <v>104,46</v>
      </c>
      <c r="W61" t="str">
        <f t="shared" si="65"/>
        <v>105,23</v>
      </c>
      <c r="X61" t="str">
        <f t="shared" si="66"/>
        <v>106,11</v>
      </c>
      <c r="Y61" t="str">
        <f t="shared" si="67"/>
        <v>1,650</v>
      </c>
      <c r="AB61" t="str">
        <f t="shared" si="82"/>
        <v>104,228</v>
      </c>
      <c r="AC61" t="str">
        <f t="shared" si="69"/>
        <v>105,114</v>
      </c>
      <c r="AD61" t="str">
        <f t="shared" si="70"/>
        <v>106,54</v>
      </c>
      <c r="AE61" t="str">
        <f t="shared" si="71"/>
        <v>3,200</v>
      </c>
      <c r="AG61" t="str">
        <f t="shared" si="83"/>
        <v>104,23</v>
      </c>
      <c r="AH61" t="str">
        <f t="shared" si="73"/>
        <v>105,12</v>
      </c>
      <c r="AI61" t="str">
        <f t="shared" si="74"/>
        <v>106,6</v>
      </c>
      <c r="AJ61" t="str">
        <f t="shared" si="84"/>
        <v>1,813</v>
      </c>
      <c r="AM61" t="str">
        <f>N61&amp;"#"&amp;N204&amp;"#"&amp;N307</f>
        <v>104,46|105,23|106,11|1,650#104,69|105,35|106,17|1,975#104,115|105,58|106,28|1,1625</v>
      </c>
      <c r="AN61" t="str">
        <f>O61&amp;"#"&amp;O204&amp;"#"&amp;O307</f>
        <v>##</v>
      </c>
      <c r="AO61" t="str">
        <f>P61&amp;"#"&amp;P204&amp;"#"&amp;P307</f>
        <v>1,11100#1,16650#11,1|1,27750</v>
      </c>
      <c r="AP61" t="str">
        <f>Q61&amp;"#"&amp;Q204&amp;"#"&amp;Q307</f>
        <v>1,22000|4,6#162,1|1,33000|4,6#163,1|1,55000|4,6</v>
      </c>
      <c r="AQ61" t="str">
        <f>R61&amp;"#"&amp;R204&amp;"#"&amp;R307</f>
        <v>104,228|105,114|106,54|3,200#104,342|105,171|106,81|3,300#104,570|105,285|106,135|3,500</v>
      </c>
      <c r="AR61" t="str">
        <f>S61&amp;"#"&amp;S204&amp;"#"&amp;S307</f>
        <v>104,23|105,12|106,6|1,813#104,35|105,18|106,9|1,1219#104,58|105,29|106,14|1,2032</v>
      </c>
    </row>
    <row r="62" spans="1:44" x14ac:dyDescent="0.25">
      <c r="A62" s="14">
        <v>60</v>
      </c>
      <c r="B62" s="15">
        <f>IF(关卡产出!C67="","",关卡产出!C67)</f>
        <v>46</v>
      </c>
      <c r="C62" s="15">
        <f>IF(关卡产出!D67="","",关卡产出!D67)</f>
        <v>23</v>
      </c>
      <c r="D62" s="15">
        <f>IF(关卡产出!E67="","",关卡产出!E67)</f>
        <v>11</v>
      </c>
      <c r="E62" s="15">
        <f>IF(关卡产出!F67="","",关卡产出!F67)</f>
        <v>650</v>
      </c>
      <c r="F62" s="15">
        <f>IF(关卡产出!H67="","",关卡产出!H67)</f>
        <v>11300</v>
      </c>
      <c r="G62" s="15">
        <f>IF(关卡产出!J67="","",关卡产出!J67)</f>
        <v>22400</v>
      </c>
      <c r="H62" s="15">
        <f>IF(关卡产出!K67="","",关卡产出!K67)</f>
        <v>6</v>
      </c>
      <c r="I62" s="15">
        <f>IF(关卡产出!M67="","",关卡产出!M67)</f>
        <v>232</v>
      </c>
      <c r="J62" s="15">
        <f>IF(关卡产出!N67="","",关卡产出!N67)</f>
        <v>116</v>
      </c>
      <c r="K62" s="15">
        <f>IF(关卡产出!O67="","",关卡产出!O67)</f>
        <v>55</v>
      </c>
      <c r="L62" s="15">
        <f>IF(关卡产出!P67="","",关卡产出!P67)</f>
        <v>200</v>
      </c>
      <c r="M62">
        <f t="shared" si="4"/>
        <v>3250</v>
      </c>
      <c r="N62" t="str">
        <f t="shared" si="76"/>
        <v>104,46|105,23|106,11|1,650</v>
      </c>
      <c r="P62" t="str">
        <f t="shared" si="77"/>
        <v>1,11300</v>
      </c>
      <c r="Q62" t="str">
        <f t="shared" si="78"/>
        <v>1,22400|4,6</v>
      </c>
      <c r="R62" t="str">
        <f t="shared" si="79"/>
        <v>104,232|105,116|106,55|3,200</v>
      </c>
      <c r="S62" t="str">
        <f t="shared" si="80"/>
        <v>104,23|105,12|106,6|1,813</v>
      </c>
      <c r="V62" t="str">
        <f t="shared" si="81"/>
        <v>104,46</v>
      </c>
      <c r="W62" t="str">
        <f t="shared" si="65"/>
        <v>105,23</v>
      </c>
      <c r="X62" t="str">
        <f t="shared" si="66"/>
        <v>106,11</v>
      </c>
      <c r="Y62" t="str">
        <f t="shared" si="67"/>
        <v>1,650</v>
      </c>
      <c r="AB62" t="str">
        <f t="shared" si="82"/>
        <v>104,232</v>
      </c>
      <c r="AC62" t="str">
        <f t="shared" si="69"/>
        <v>105,116</v>
      </c>
      <c r="AD62" t="str">
        <f t="shared" si="70"/>
        <v>106,55</v>
      </c>
      <c r="AE62" t="str">
        <f t="shared" si="71"/>
        <v>3,200</v>
      </c>
      <c r="AG62" t="str">
        <f t="shared" si="83"/>
        <v>104,23</v>
      </c>
      <c r="AH62" t="str">
        <f t="shared" si="73"/>
        <v>105,12</v>
      </c>
      <c r="AI62" t="str">
        <f t="shared" si="74"/>
        <v>106,6</v>
      </c>
      <c r="AJ62" t="str">
        <f t="shared" si="84"/>
        <v>1,813</v>
      </c>
      <c r="AM62" t="str">
        <f>N62&amp;"#"&amp;N205&amp;"#"&amp;N308</f>
        <v>104,46|105,23|106,11|1,650#104,69|105,35|106,17|1,975#104,115|105,58|106,28|1,1625</v>
      </c>
      <c r="AN62" t="str">
        <f>O62&amp;"#"&amp;O205&amp;"#"&amp;O308</f>
        <v>##</v>
      </c>
      <c r="AO62" t="str">
        <f>P62&amp;"#"&amp;P205&amp;"#"&amp;P308</f>
        <v>1,11300#1,16950#11,1|1,28250</v>
      </c>
      <c r="AP62" t="str">
        <f>Q62&amp;"#"&amp;Q205&amp;"#"&amp;Q308</f>
        <v>1,22400|4,6#162,1|1,33600|4,6#163,1|1,56000|4,6</v>
      </c>
      <c r="AQ62" t="str">
        <f>R62&amp;"#"&amp;R205&amp;"#"&amp;R308</f>
        <v>104,232|105,116|106,55|3,200#104,348|105,174|106,83|3,300#104,580|105,290|106,138|3,500</v>
      </c>
      <c r="AR62" t="str">
        <f>S62&amp;"#"&amp;S205&amp;"#"&amp;S308</f>
        <v>104,23|105,12|106,6|1,813#104,35|105,18|106,9|1,1219#104,58|105,29|106,14|1,2032</v>
      </c>
    </row>
    <row r="63" spans="1:44" s="2" customFormat="1" x14ac:dyDescent="0.25">
      <c r="A63" s="17">
        <v>61</v>
      </c>
      <c r="B63" s="18">
        <f>IF(关卡产出!C68="","",关卡产出!C68)</f>
        <v>47</v>
      </c>
      <c r="C63" s="18">
        <f>IF(关卡产出!D68="","",关卡产出!D68)</f>
        <v>23</v>
      </c>
      <c r="D63" s="18">
        <f>IF(关卡产出!E68="","",关卡产出!E68)</f>
        <v>11</v>
      </c>
      <c r="E63" s="18">
        <f>IF(关卡产出!F68="","",关卡产出!F68)</f>
        <v>670</v>
      </c>
      <c r="F63" s="15">
        <f>IF(关卡产出!H68="","",关卡产出!H68)</f>
        <v>11500</v>
      </c>
      <c r="G63" s="18">
        <f>IF(关卡产出!J68="","",关卡产出!J68)</f>
        <v>22800</v>
      </c>
      <c r="H63" s="18">
        <f>IF(关卡产出!K68="","",关卡产出!K68)</f>
        <v>6</v>
      </c>
      <c r="I63" s="18">
        <f>IF(关卡产出!M68="","",关卡产出!M68)</f>
        <v>236</v>
      </c>
      <c r="J63" s="18">
        <f>IF(关卡产出!N68="","",关卡产出!N68)</f>
        <v>118</v>
      </c>
      <c r="K63" s="18">
        <f>IF(关卡产出!O68="","",关卡产出!O68)</f>
        <v>56</v>
      </c>
      <c r="L63" s="18">
        <f>IF(关卡产出!P68="","",关卡产出!P68)</f>
        <v>200</v>
      </c>
      <c r="M63">
        <f t="shared" si="4"/>
        <v>3350</v>
      </c>
      <c r="N63" s="2" t="str">
        <f t="shared" si="76"/>
        <v>104,47|105,23|106,11|1,670</v>
      </c>
      <c r="P63" s="2" t="str">
        <f t="shared" si="77"/>
        <v>1,11500</v>
      </c>
      <c r="Q63" s="2" t="str">
        <f t="shared" si="78"/>
        <v>1,22800|4,6</v>
      </c>
      <c r="R63" s="2" t="str">
        <f t="shared" si="79"/>
        <v>104,236|105,118|106,56|3,200</v>
      </c>
      <c r="S63" s="2" t="str">
        <f t="shared" si="80"/>
        <v>104,24|105,12|106,6|1,838</v>
      </c>
      <c r="V63" s="2" t="str">
        <f t="shared" si="81"/>
        <v>104,47</v>
      </c>
      <c r="W63" s="2" t="str">
        <f t="shared" si="65"/>
        <v>105,23</v>
      </c>
      <c r="X63" s="2" t="str">
        <f t="shared" si="66"/>
        <v>106,11</v>
      </c>
      <c r="Y63" s="2" t="str">
        <f t="shared" si="67"/>
        <v>1,670</v>
      </c>
      <c r="AB63" s="2" t="str">
        <f t="shared" si="82"/>
        <v>104,236</v>
      </c>
      <c r="AC63" s="2" t="str">
        <f t="shared" si="69"/>
        <v>105,118</v>
      </c>
      <c r="AD63" s="2" t="str">
        <f t="shared" si="70"/>
        <v>106,56</v>
      </c>
      <c r="AE63" s="2" t="str">
        <f t="shared" si="71"/>
        <v>3,200</v>
      </c>
      <c r="AG63" s="2" t="str">
        <f t="shared" si="83"/>
        <v>104,24</v>
      </c>
      <c r="AH63" s="2" t="str">
        <f t="shared" si="73"/>
        <v>105,12</v>
      </c>
      <c r="AI63" s="2" t="str">
        <f t="shared" si="74"/>
        <v>106,6</v>
      </c>
      <c r="AJ63" s="2" t="str">
        <f t="shared" si="84"/>
        <v>1,838</v>
      </c>
      <c r="AM63" t="str">
        <f>N63&amp;"#"&amp;N206&amp;"#"&amp;N309</f>
        <v>104,47|105,23|106,11|1,670#104,71|105,35|106,17|1,1005#104,118|105,58|106,28|1,1675</v>
      </c>
      <c r="AN63" t="str">
        <f>O63&amp;"#"&amp;O206&amp;"#"&amp;O309</f>
        <v>##</v>
      </c>
      <c r="AO63" t="str">
        <f>P63&amp;"#"&amp;P206&amp;"#"&amp;P309</f>
        <v>1,11500#1,17250#11,1|1,28750</v>
      </c>
      <c r="AP63" t="str">
        <f>Q63&amp;"#"&amp;Q206&amp;"#"&amp;Q309</f>
        <v>1,22800|4,6#162,1|1,34200|4,6#163,1|1,57000|4,6</v>
      </c>
      <c r="AQ63" t="str">
        <f>R63&amp;"#"&amp;R206&amp;"#"&amp;R309</f>
        <v>104,236|105,118|106,56|3,200#104,354|105,177|106,84|3,300#104,590|105,295|106,140|3,500</v>
      </c>
      <c r="AR63" t="str">
        <f>S63&amp;"#"&amp;S206&amp;"#"&amp;S309</f>
        <v>104,24|105,12|106,6|1,838#104,36|105,18|106,9|1,1257#104,59|105,29|106,14|1,2094</v>
      </c>
    </row>
    <row r="64" spans="1:44" s="2" customFormat="1" x14ac:dyDescent="0.25">
      <c r="A64" s="17">
        <v>62</v>
      </c>
      <c r="B64" s="18">
        <f>IF(关卡产出!C69="","",关卡产出!C69)</f>
        <v>48</v>
      </c>
      <c r="C64" s="18">
        <f>IF(关卡产出!D69="","",关卡产出!D69)</f>
        <v>24</v>
      </c>
      <c r="D64" s="18">
        <f>IF(关卡产出!E69="","",关卡产出!E69)</f>
        <v>11</v>
      </c>
      <c r="E64" s="18">
        <f>IF(关卡产出!F69="","",关卡产出!F69)</f>
        <v>670</v>
      </c>
      <c r="F64" s="15">
        <f>IF(关卡产出!H69="","",关卡产出!H69)</f>
        <v>11700</v>
      </c>
      <c r="G64" s="18">
        <f>IF(关卡产出!J69="","",关卡产出!J69)</f>
        <v>23200</v>
      </c>
      <c r="H64" s="18">
        <f>IF(关卡产出!K69="","",关卡产出!K69)</f>
        <v>6</v>
      </c>
      <c r="I64" s="18">
        <f>IF(关卡产出!M69="","",关卡产出!M69)</f>
        <v>240</v>
      </c>
      <c r="J64" s="18">
        <f>IF(关卡产出!N69="","",关卡产出!N69)</f>
        <v>120</v>
      </c>
      <c r="K64" s="18">
        <f>IF(关卡产出!O69="","",关卡产出!O69)</f>
        <v>57</v>
      </c>
      <c r="L64" s="18">
        <f>IF(关卡产出!P69="","",关卡产出!P69)</f>
        <v>200</v>
      </c>
      <c r="M64">
        <f t="shared" si="4"/>
        <v>3350</v>
      </c>
      <c r="N64" s="2" t="str">
        <f t="shared" si="76"/>
        <v>104,48|105,24|106,11|1,670</v>
      </c>
      <c r="P64" s="2" t="str">
        <f t="shared" si="77"/>
        <v>1,11700</v>
      </c>
      <c r="Q64" s="2" t="str">
        <f t="shared" si="78"/>
        <v>1,23200|4,6</v>
      </c>
      <c r="R64" s="2" t="str">
        <f t="shared" si="79"/>
        <v>104,240|105,120|106,57|3,200</v>
      </c>
      <c r="S64" s="2" t="str">
        <f t="shared" si="80"/>
        <v>104,24|105,12|106,6|1,838</v>
      </c>
      <c r="V64" s="2" t="str">
        <f t="shared" si="81"/>
        <v>104,48</v>
      </c>
      <c r="W64" s="2" t="str">
        <f t="shared" si="65"/>
        <v>105,24</v>
      </c>
      <c r="X64" s="2" t="str">
        <f t="shared" si="66"/>
        <v>106,11</v>
      </c>
      <c r="Y64" s="2" t="str">
        <f t="shared" si="67"/>
        <v>1,670</v>
      </c>
      <c r="AB64" s="2" t="str">
        <f t="shared" si="82"/>
        <v>104,240</v>
      </c>
      <c r="AC64" s="2" t="str">
        <f t="shared" si="69"/>
        <v>105,120</v>
      </c>
      <c r="AD64" s="2" t="str">
        <f t="shared" si="70"/>
        <v>106,57</v>
      </c>
      <c r="AE64" s="2" t="str">
        <f t="shared" si="71"/>
        <v>3,200</v>
      </c>
      <c r="AG64" s="2" t="str">
        <f t="shared" si="83"/>
        <v>104,24</v>
      </c>
      <c r="AH64" s="2" t="str">
        <f t="shared" si="73"/>
        <v>105,12</v>
      </c>
      <c r="AI64" s="2" t="str">
        <f t="shared" si="74"/>
        <v>106,6</v>
      </c>
      <c r="AJ64" s="2" t="str">
        <f t="shared" si="84"/>
        <v>1,838</v>
      </c>
      <c r="AM64" t="str">
        <f>N64&amp;"#"&amp;N207&amp;"#"&amp;N310</f>
        <v>104,48|105,24|106,11|1,670#104,72|105,36|106,17|1,1005#104,120|105,60|106,28|1,1675</v>
      </c>
      <c r="AN64" t="str">
        <f>O64&amp;"#"&amp;O207&amp;"#"&amp;O310</f>
        <v>##</v>
      </c>
      <c r="AO64" t="str">
        <f>P64&amp;"#"&amp;P207&amp;"#"&amp;P310</f>
        <v>1,11700#1,17550#11,1|1,29250</v>
      </c>
      <c r="AP64" t="str">
        <f>Q64&amp;"#"&amp;Q207&amp;"#"&amp;Q310</f>
        <v>1,23200|4,6#162,1|1,34800|4,6#163,1|1,58000|4,6</v>
      </c>
      <c r="AQ64" t="str">
        <f>R64&amp;"#"&amp;R207&amp;"#"&amp;R310</f>
        <v>104,240|105,120|106,57|3,200#104,360|105,180|106,86|3,300#104,600|105,300|106,143|3,500</v>
      </c>
      <c r="AR64" t="str">
        <f>S64&amp;"#"&amp;S207&amp;"#"&amp;S310</f>
        <v>104,24|105,12|106,6|1,838#104,36|105,18|106,9|1,1257#104,60|105,30|106,14|1,2094</v>
      </c>
    </row>
    <row r="65" spans="1:44" s="2" customFormat="1" x14ac:dyDescent="0.25">
      <c r="A65" s="17">
        <v>63</v>
      </c>
      <c r="B65" s="18">
        <f>IF(关卡产出!C70="","",关卡产出!C70)</f>
        <v>49</v>
      </c>
      <c r="C65" s="18">
        <f>IF(关卡产出!D70="","",关卡产出!D70)</f>
        <v>24</v>
      </c>
      <c r="D65" s="18">
        <f>IF(关卡产出!E70="","",关卡产出!E70)</f>
        <v>12</v>
      </c>
      <c r="E65" s="18">
        <f>IF(关卡产出!F70="","",关卡产出!F70)</f>
        <v>690</v>
      </c>
      <c r="F65" s="15">
        <f>IF(关卡产出!H70="","",关卡产出!H70)</f>
        <v>11900</v>
      </c>
      <c r="G65" s="18">
        <f>IF(关卡产出!J70="","",关卡产出!J70)</f>
        <v>23600</v>
      </c>
      <c r="H65" s="18">
        <f>IF(关卡产出!K70="","",关卡产出!K70)</f>
        <v>6</v>
      </c>
      <c r="I65" s="18">
        <f>IF(关卡产出!M70="","",关卡产出!M70)</f>
        <v>244</v>
      </c>
      <c r="J65" s="18">
        <f>IF(关卡产出!N70="","",关卡产出!N70)</f>
        <v>122</v>
      </c>
      <c r="K65" s="18">
        <f>IF(关卡产出!O70="","",关卡产出!O70)</f>
        <v>58</v>
      </c>
      <c r="L65" s="18">
        <f>IF(关卡产出!P70="","",关卡产出!P70)</f>
        <v>200</v>
      </c>
      <c r="M65">
        <f t="shared" si="4"/>
        <v>3450</v>
      </c>
      <c r="N65" s="2" t="str">
        <f t="shared" si="76"/>
        <v>104,49|105,24|106,12|1,690</v>
      </c>
      <c r="P65" s="2" t="str">
        <f t="shared" si="77"/>
        <v>1,11900</v>
      </c>
      <c r="Q65" s="2" t="str">
        <f t="shared" si="78"/>
        <v>1,23600|4,6</v>
      </c>
      <c r="R65" s="2" t="str">
        <f t="shared" si="79"/>
        <v>104,244|105,122|106,58|3,200</v>
      </c>
      <c r="S65" s="2" t="str">
        <f t="shared" si="80"/>
        <v>104,25|105,12|106,6|1,863</v>
      </c>
      <c r="V65" s="2" t="str">
        <f t="shared" si="81"/>
        <v>104,49</v>
      </c>
      <c r="W65" s="2" t="str">
        <f t="shared" si="65"/>
        <v>105,24</v>
      </c>
      <c r="X65" s="2" t="str">
        <f t="shared" si="66"/>
        <v>106,12</v>
      </c>
      <c r="Y65" s="2" t="str">
        <f t="shared" si="67"/>
        <v>1,690</v>
      </c>
      <c r="AB65" s="2" t="str">
        <f t="shared" si="82"/>
        <v>104,244</v>
      </c>
      <c r="AC65" s="2" t="str">
        <f t="shared" si="69"/>
        <v>105,122</v>
      </c>
      <c r="AD65" s="2" t="str">
        <f t="shared" si="70"/>
        <v>106,58</v>
      </c>
      <c r="AE65" s="2" t="str">
        <f t="shared" si="71"/>
        <v>3,200</v>
      </c>
      <c r="AG65" s="2" t="str">
        <f t="shared" si="83"/>
        <v>104,25</v>
      </c>
      <c r="AH65" s="2" t="str">
        <f t="shared" si="73"/>
        <v>105,12</v>
      </c>
      <c r="AI65" s="2" t="str">
        <f t="shared" si="74"/>
        <v>106,6</v>
      </c>
      <c r="AJ65" s="2" t="str">
        <f t="shared" si="84"/>
        <v>1,863</v>
      </c>
      <c r="AM65" t="str">
        <f>N65&amp;"#"&amp;N208&amp;"#"&amp;N311</f>
        <v>104,49|105,24|106,12|1,690#104,74|105,36|106,18|1,1035#104,123|105,60|106,30|1,1725</v>
      </c>
      <c r="AN65" t="str">
        <f>O65&amp;"#"&amp;O208&amp;"#"&amp;O311</f>
        <v>##</v>
      </c>
      <c r="AO65" t="str">
        <f>P65&amp;"#"&amp;P208&amp;"#"&amp;P311</f>
        <v>1,11900#1,17850#11,1|1,29750</v>
      </c>
      <c r="AP65" t="str">
        <f>Q65&amp;"#"&amp;Q208&amp;"#"&amp;Q311</f>
        <v>1,23600|4,6#162,1|1,35400|4,6#163,1|1,59000|4,6</v>
      </c>
      <c r="AQ65" t="str">
        <f>R65&amp;"#"&amp;R208&amp;"#"&amp;R311</f>
        <v>104,244|105,122|106,58|3,200#104,366|105,183|106,87|3,300#104,610|105,305|106,145|3,500</v>
      </c>
      <c r="AR65" t="str">
        <f>S65&amp;"#"&amp;S208&amp;"#"&amp;S311</f>
        <v>104,25|105,12|106,6|1,863#104,37|105,18|106,9|1,1294#104,62|105,30|106,15|1,2157</v>
      </c>
    </row>
    <row r="66" spans="1:44" s="2" customFormat="1" x14ac:dyDescent="0.25">
      <c r="A66" s="17">
        <v>64</v>
      </c>
      <c r="B66" s="18">
        <f>IF(关卡产出!C71="","",关卡产出!C71)</f>
        <v>50</v>
      </c>
      <c r="C66" s="18">
        <f>IF(关卡产出!D71="","",关卡产出!D71)</f>
        <v>25</v>
      </c>
      <c r="D66" s="18">
        <f>IF(关卡产出!E71="","",关卡产出!E71)</f>
        <v>12</v>
      </c>
      <c r="E66" s="18">
        <f>IF(关卡产出!F71="","",关卡产出!F71)</f>
        <v>690</v>
      </c>
      <c r="F66" s="15">
        <f>IF(关卡产出!H71="","",关卡产出!H71)</f>
        <v>12100</v>
      </c>
      <c r="G66" s="18">
        <f>IF(关卡产出!J71="","",关卡产出!J71)</f>
        <v>24000</v>
      </c>
      <c r="H66" s="18">
        <f>IF(关卡产出!K71="","",关卡产出!K71)</f>
        <v>6</v>
      </c>
      <c r="I66" s="18">
        <f>IF(关卡产出!M71="","",关卡产出!M71)</f>
        <v>248</v>
      </c>
      <c r="J66" s="18">
        <f>IF(关卡产出!N71="","",关卡产出!N71)</f>
        <v>124</v>
      </c>
      <c r="K66" s="18">
        <f>IF(关卡产出!O71="","",关卡产出!O71)</f>
        <v>59</v>
      </c>
      <c r="L66" s="18">
        <f>IF(关卡产出!P71="","",关卡产出!P71)</f>
        <v>200</v>
      </c>
      <c r="M66">
        <f t="shared" si="4"/>
        <v>3450</v>
      </c>
      <c r="N66" s="2" t="str">
        <f t="shared" si="76"/>
        <v>104,50|105,25|106,12|1,690</v>
      </c>
      <c r="P66" s="2" t="str">
        <f t="shared" si="77"/>
        <v>1,12100</v>
      </c>
      <c r="Q66" s="2" t="str">
        <f t="shared" si="78"/>
        <v>1,24000|4,6</v>
      </c>
      <c r="R66" s="2" t="str">
        <f t="shared" si="79"/>
        <v>104,248|105,124|106,59|3,200</v>
      </c>
      <c r="S66" s="2" t="str">
        <f t="shared" si="80"/>
        <v>104,25|105,13|106,6|1,863</v>
      </c>
      <c r="V66" s="2" t="str">
        <f t="shared" si="81"/>
        <v>104,50</v>
      </c>
      <c r="W66" s="2" t="str">
        <f t="shared" si="65"/>
        <v>105,25</v>
      </c>
      <c r="X66" s="2" t="str">
        <f t="shared" si="66"/>
        <v>106,12</v>
      </c>
      <c r="Y66" s="2" t="str">
        <f t="shared" si="67"/>
        <v>1,690</v>
      </c>
      <c r="AB66" s="2" t="str">
        <f t="shared" si="82"/>
        <v>104,248</v>
      </c>
      <c r="AC66" s="2" t="str">
        <f t="shared" si="69"/>
        <v>105,124</v>
      </c>
      <c r="AD66" s="2" t="str">
        <f t="shared" si="70"/>
        <v>106,59</v>
      </c>
      <c r="AE66" s="2" t="str">
        <f t="shared" si="71"/>
        <v>3,200</v>
      </c>
      <c r="AG66" s="2" t="str">
        <f t="shared" si="83"/>
        <v>104,25</v>
      </c>
      <c r="AH66" s="2" t="str">
        <f t="shared" si="73"/>
        <v>105,13</v>
      </c>
      <c r="AI66" s="2" t="str">
        <f t="shared" si="74"/>
        <v>106,6</v>
      </c>
      <c r="AJ66" s="2" t="str">
        <f t="shared" si="84"/>
        <v>1,863</v>
      </c>
      <c r="AM66" t="str">
        <f>N66&amp;"#"&amp;N209&amp;"#"&amp;N312</f>
        <v>104,50|105,25|106,12|1,690#104,75|105,38|106,18|1,1035#104,125|105,63|106,30|1,1725</v>
      </c>
      <c r="AN66" t="str">
        <f>O66&amp;"#"&amp;O209&amp;"#"&amp;O312</f>
        <v>##</v>
      </c>
      <c r="AO66" t="str">
        <f>P66&amp;"#"&amp;P209&amp;"#"&amp;P312</f>
        <v>1,12100#1,18150#11,1|1,30250</v>
      </c>
      <c r="AP66" t="str">
        <f>Q66&amp;"#"&amp;Q209&amp;"#"&amp;Q312</f>
        <v>1,24000|4,6#162,1|1,36000|4,6#163,1|1,60000|4,6</v>
      </c>
      <c r="AQ66" t="str">
        <f>R66&amp;"#"&amp;R209&amp;"#"&amp;R312</f>
        <v>104,248|105,124|106,59|3,200#104,372|105,186|106,89|3,300#104,620|105,310|106,148|3,500</v>
      </c>
      <c r="AR66" t="str">
        <f>S66&amp;"#"&amp;S209&amp;"#"&amp;S312</f>
        <v>104,25|105,13|106,6|1,863#104,38|105,19|106,9|1,1294#104,63|105,32|106,15|1,2157</v>
      </c>
    </row>
    <row r="67" spans="1:44" s="2" customFormat="1" x14ac:dyDescent="0.25">
      <c r="A67" s="17">
        <v>65</v>
      </c>
      <c r="B67" s="18">
        <f>IF(关卡产出!C72="","",关卡产出!C72)</f>
        <v>50</v>
      </c>
      <c r="C67" s="18">
        <f>IF(关卡产出!D72="","",关卡产出!D72)</f>
        <v>25</v>
      </c>
      <c r="D67" s="18">
        <f>IF(关卡产出!E72="","",关卡产出!E72)</f>
        <v>12</v>
      </c>
      <c r="E67" s="18">
        <f>IF(关卡产出!F72="","",关卡产出!F72)</f>
        <v>710</v>
      </c>
      <c r="F67" s="15">
        <f>IF(关卡产出!H72="","",关卡产出!H72)</f>
        <v>12300</v>
      </c>
      <c r="G67" s="18">
        <f>IF(关卡产出!J72="","",关卡产出!J72)</f>
        <v>24400</v>
      </c>
      <c r="H67" s="18">
        <f>IF(关卡产出!K72="","",关卡产出!K72)</f>
        <v>6</v>
      </c>
      <c r="I67" s="18">
        <f>IF(关卡产出!M72="","",关卡产出!M72)</f>
        <v>252</v>
      </c>
      <c r="J67" s="18">
        <f>IF(关卡产出!N72="","",关卡产出!N72)</f>
        <v>126</v>
      </c>
      <c r="K67" s="18">
        <f>IF(关卡产出!O72="","",关卡产出!O72)</f>
        <v>60</v>
      </c>
      <c r="L67" s="18">
        <f>IF(关卡产出!P72="","",关卡产出!P72)</f>
        <v>200</v>
      </c>
      <c r="M67">
        <f t="shared" si="4"/>
        <v>3550</v>
      </c>
      <c r="N67" s="2" t="str">
        <f t="shared" si="76"/>
        <v>104,50|105,25|106,12|1,710</v>
      </c>
      <c r="P67" s="2" t="str">
        <f t="shared" si="77"/>
        <v>1,12300</v>
      </c>
      <c r="Q67" s="2" t="str">
        <f t="shared" si="78"/>
        <v>1,24400|4,6</v>
      </c>
      <c r="R67" s="2" t="str">
        <f t="shared" si="79"/>
        <v>104,252|105,126|106,60|3,200</v>
      </c>
      <c r="S67" s="2" t="str">
        <f t="shared" si="80"/>
        <v>104,25|105,13|106,6|1,888</v>
      </c>
      <c r="V67" s="2" t="str">
        <f t="shared" si="81"/>
        <v>104,50</v>
      </c>
      <c r="W67" s="2" t="str">
        <f t="shared" si="65"/>
        <v>105,25</v>
      </c>
      <c r="X67" s="2" t="str">
        <f t="shared" si="66"/>
        <v>106,12</v>
      </c>
      <c r="Y67" s="2" t="str">
        <f t="shared" si="67"/>
        <v>1,710</v>
      </c>
      <c r="AB67" s="2" t="str">
        <f t="shared" si="82"/>
        <v>104,252</v>
      </c>
      <c r="AC67" s="2" t="str">
        <f t="shared" si="69"/>
        <v>105,126</v>
      </c>
      <c r="AD67" s="2" t="str">
        <f t="shared" si="70"/>
        <v>106,60</v>
      </c>
      <c r="AE67" s="2" t="str">
        <f t="shared" si="71"/>
        <v>3,200</v>
      </c>
      <c r="AG67" s="2" t="str">
        <f t="shared" si="83"/>
        <v>104,25</v>
      </c>
      <c r="AH67" s="2" t="str">
        <f t="shared" si="73"/>
        <v>105,13</v>
      </c>
      <c r="AI67" s="2" t="str">
        <f t="shared" si="74"/>
        <v>106,6</v>
      </c>
      <c r="AJ67" s="2" t="str">
        <f t="shared" si="84"/>
        <v>1,888</v>
      </c>
      <c r="AM67" t="str">
        <f>N67&amp;"#"&amp;N210&amp;"#"&amp;N313</f>
        <v>104,50|105,25|106,12|1,710#104,75|105,38|106,18|1,1065#104,125|105,63|106,30|1,1775</v>
      </c>
      <c r="AN67" t="str">
        <f>O67&amp;"#"&amp;O210&amp;"#"&amp;O313</f>
        <v>##</v>
      </c>
      <c r="AO67" t="str">
        <f>P67&amp;"#"&amp;P210&amp;"#"&amp;P313</f>
        <v>1,12300#1,18450#11,1|1,30750</v>
      </c>
      <c r="AP67" t="str">
        <f>Q67&amp;"#"&amp;Q210&amp;"#"&amp;Q313</f>
        <v>1,24400|4,6#162,1|1,36600|4,6#163,1|1,61000|4,6</v>
      </c>
      <c r="AQ67" t="str">
        <f>R67&amp;"#"&amp;R210&amp;"#"&amp;R313</f>
        <v>104,252|105,126|106,60|3,200#104,378|105,189|106,90|3,300#104,630|105,315|106,150|3,500</v>
      </c>
      <c r="AR67" t="str">
        <f>S67&amp;"#"&amp;S210&amp;"#"&amp;S313</f>
        <v>104,25|105,13|106,6|1,888#104,38|105,19|106,9|1,1332#104,63|105,32|106,15|1,2219</v>
      </c>
    </row>
    <row r="68" spans="1:44" s="2" customFormat="1" x14ac:dyDescent="0.25">
      <c r="A68" s="17">
        <v>66</v>
      </c>
      <c r="B68" s="18">
        <f>IF(关卡产出!C73="","",关卡产出!C73)</f>
        <v>51</v>
      </c>
      <c r="C68" s="18">
        <f>IF(关卡产出!D73="","",关卡产出!D73)</f>
        <v>25</v>
      </c>
      <c r="D68" s="18">
        <f>IF(关卡产出!E73="","",关卡产出!E73)</f>
        <v>12</v>
      </c>
      <c r="E68" s="18">
        <f>IF(关卡产出!F73="","",关卡产出!F73)</f>
        <v>710</v>
      </c>
      <c r="F68" s="15">
        <f>IF(关卡产出!H73="","",关卡产出!H73)</f>
        <v>12500</v>
      </c>
      <c r="G68" s="18">
        <f>IF(关卡产出!J73="","",关卡产出!J73)</f>
        <v>24800</v>
      </c>
      <c r="H68" s="18">
        <f>IF(关卡产出!K73="","",关卡产出!K73)</f>
        <v>6</v>
      </c>
      <c r="I68" s="18">
        <f>IF(关卡产出!M73="","",关卡产出!M73)</f>
        <v>256</v>
      </c>
      <c r="J68" s="18">
        <f>IF(关卡产出!N73="","",关卡产出!N73)</f>
        <v>128</v>
      </c>
      <c r="K68" s="18">
        <f>IF(关卡产出!O73="","",关卡产出!O73)</f>
        <v>61</v>
      </c>
      <c r="L68" s="18">
        <f>IF(关卡产出!P73="","",关卡产出!P73)</f>
        <v>200</v>
      </c>
      <c r="M68">
        <f t="shared" ref="M68:M131" si="85">E68*5</f>
        <v>3550</v>
      </c>
      <c r="N68" s="2" t="str">
        <f t="shared" si="76"/>
        <v>104,51|105,25|106,12|1,710</v>
      </c>
      <c r="P68" s="2" t="str">
        <f t="shared" si="77"/>
        <v>1,12500</v>
      </c>
      <c r="Q68" s="2" t="str">
        <f t="shared" si="78"/>
        <v>1,24800|4,6</v>
      </c>
      <c r="R68" s="2" t="str">
        <f t="shared" si="79"/>
        <v>104,256|105,128|106,61|3,200</v>
      </c>
      <c r="S68" s="2" t="str">
        <f t="shared" si="80"/>
        <v>104,26|105,13|106,6|1,888</v>
      </c>
      <c r="V68" s="2" t="str">
        <f t="shared" si="81"/>
        <v>104,51</v>
      </c>
      <c r="W68" s="2" t="str">
        <f t="shared" si="65"/>
        <v>105,25</v>
      </c>
      <c r="X68" s="2" t="str">
        <f t="shared" si="66"/>
        <v>106,12</v>
      </c>
      <c r="Y68" s="2" t="str">
        <f t="shared" si="67"/>
        <v>1,710</v>
      </c>
      <c r="AB68" s="2" t="str">
        <f t="shared" si="82"/>
        <v>104,256</v>
      </c>
      <c r="AC68" s="2" t="str">
        <f t="shared" si="69"/>
        <v>105,128</v>
      </c>
      <c r="AD68" s="2" t="str">
        <f t="shared" si="70"/>
        <v>106,61</v>
      </c>
      <c r="AE68" s="2" t="str">
        <f t="shared" si="71"/>
        <v>3,200</v>
      </c>
      <c r="AG68" s="2" t="str">
        <f t="shared" si="83"/>
        <v>104,26</v>
      </c>
      <c r="AH68" s="2" t="str">
        <f t="shared" si="73"/>
        <v>105,13</v>
      </c>
      <c r="AI68" s="2" t="str">
        <f t="shared" si="74"/>
        <v>106,6</v>
      </c>
      <c r="AJ68" s="2" t="str">
        <f t="shared" si="84"/>
        <v>1,888</v>
      </c>
      <c r="AM68" t="str">
        <f>N68&amp;"#"&amp;N211&amp;"#"&amp;N314</f>
        <v>104,51|105,25|106,12|1,710#104,77|105,38|106,18|1,1065#104,128|105,63|106,30|1,1775</v>
      </c>
      <c r="AN68" t="str">
        <f>O68&amp;"#"&amp;O211&amp;"#"&amp;O314</f>
        <v>##</v>
      </c>
      <c r="AO68" t="str">
        <f>P68&amp;"#"&amp;P211&amp;"#"&amp;P314</f>
        <v>1,12500#1,18750#11,1|1,31250</v>
      </c>
      <c r="AP68" t="str">
        <f>Q68&amp;"#"&amp;Q211&amp;"#"&amp;Q314</f>
        <v>1,24800|4,6#162,1|1,37200|4,6#163,1|1,62000|4,6</v>
      </c>
      <c r="AQ68" t="str">
        <f>R68&amp;"#"&amp;R211&amp;"#"&amp;R314</f>
        <v>104,256|105,128|106,61|3,200#104,384|105,192|106,92|3,300#104,640|105,320|106,153|3,500</v>
      </c>
      <c r="AR68" t="str">
        <f>S68&amp;"#"&amp;S211&amp;"#"&amp;S314</f>
        <v>104,26|105,13|106,6|1,888#104,39|105,19|106,9|1,1332#104,64|105,32|106,15|1,2219</v>
      </c>
    </row>
    <row r="69" spans="1:44" s="2" customFormat="1" x14ac:dyDescent="0.25">
      <c r="A69" s="17">
        <v>67</v>
      </c>
      <c r="B69" s="18">
        <f>IF(关卡产出!C74="","",关卡产出!C74)</f>
        <v>52</v>
      </c>
      <c r="C69" s="18">
        <f>IF(关卡产出!D74="","",关卡产出!D74)</f>
        <v>26</v>
      </c>
      <c r="D69" s="18">
        <f>IF(关卡产出!E74="","",关卡产出!E74)</f>
        <v>12</v>
      </c>
      <c r="E69" s="18">
        <f>IF(关卡产出!F74="","",关卡产出!F74)</f>
        <v>730</v>
      </c>
      <c r="F69" s="15">
        <f>IF(关卡产出!H74="","",关卡产出!H74)</f>
        <v>12700</v>
      </c>
      <c r="G69" s="18">
        <f>IF(关卡产出!J74="","",关卡产出!J74)</f>
        <v>25200</v>
      </c>
      <c r="H69" s="18">
        <f>IF(关卡产出!K74="","",关卡产出!K74)</f>
        <v>6</v>
      </c>
      <c r="I69" s="18">
        <f>IF(关卡产出!M74="","",关卡产出!M74)</f>
        <v>260</v>
      </c>
      <c r="J69" s="18">
        <f>IF(关卡产出!N74="","",关卡产出!N74)</f>
        <v>130</v>
      </c>
      <c r="K69" s="18">
        <f>IF(关卡产出!O74="","",关卡产出!O74)</f>
        <v>62</v>
      </c>
      <c r="L69" s="18">
        <f>IF(关卡产出!P74="","",关卡产出!P74)</f>
        <v>200</v>
      </c>
      <c r="M69">
        <f t="shared" si="85"/>
        <v>3650</v>
      </c>
      <c r="N69" s="2" t="str">
        <f t="shared" si="76"/>
        <v>104,52|105,26|106,12|1,730</v>
      </c>
      <c r="P69" s="2" t="str">
        <f t="shared" si="77"/>
        <v>1,12700</v>
      </c>
      <c r="Q69" s="2" t="str">
        <f t="shared" si="78"/>
        <v>1,25200|4,6</v>
      </c>
      <c r="R69" s="2" t="str">
        <f t="shared" si="79"/>
        <v>104,260|105,130|106,62|3,200</v>
      </c>
      <c r="S69" s="2" t="str">
        <f t="shared" si="80"/>
        <v>104,26|105,13|106,6|1,913</v>
      </c>
      <c r="V69" s="2" t="str">
        <f t="shared" si="81"/>
        <v>104,52</v>
      </c>
      <c r="W69" s="2" t="str">
        <f t="shared" si="65"/>
        <v>105,26</v>
      </c>
      <c r="X69" s="2" t="str">
        <f t="shared" si="66"/>
        <v>106,12</v>
      </c>
      <c r="Y69" s="2" t="str">
        <f t="shared" si="67"/>
        <v>1,730</v>
      </c>
      <c r="AB69" s="2" t="str">
        <f t="shared" si="82"/>
        <v>104,260</v>
      </c>
      <c r="AC69" s="2" t="str">
        <f t="shared" si="69"/>
        <v>105,130</v>
      </c>
      <c r="AD69" s="2" t="str">
        <f t="shared" si="70"/>
        <v>106,62</v>
      </c>
      <c r="AE69" s="2" t="str">
        <f t="shared" si="71"/>
        <v>3,200</v>
      </c>
      <c r="AG69" s="2" t="str">
        <f t="shared" si="83"/>
        <v>104,26</v>
      </c>
      <c r="AH69" s="2" t="str">
        <f t="shared" si="73"/>
        <v>105,13</v>
      </c>
      <c r="AI69" s="2" t="str">
        <f t="shared" si="74"/>
        <v>106,6</v>
      </c>
      <c r="AJ69" s="2" t="str">
        <f t="shared" si="84"/>
        <v>1,913</v>
      </c>
      <c r="AM69" t="str">
        <f>N69&amp;"#"&amp;N212&amp;"#"&amp;N315</f>
        <v>104,52|105,26|106,12|1,730#104,78|105,39|106,18|1,1095#104,130|105,65|106,30|1,1825</v>
      </c>
      <c r="AN69" t="str">
        <f>O69&amp;"#"&amp;O212&amp;"#"&amp;O315</f>
        <v>##</v>
      </c>
      <c r="AO69" t="str">
        <f>P69&amp;"#"&amp;P212&amp;"#"&amp;P315</f>
        <v>1,12700#1,19050#11,1|1,31750</v>
      </c>
      <c r="AP69" t="str">
        <f>Q69&amp;"#"&amp;Q212&amp;"#"&amp;Q315</f>
        <v>1,25200|4,6#162,1|1,37800|4,6#163,1|1,63000|4,6</v>
      </c>
      <c r="AQ69" t="str">
        <f>R69&amp;"#"&amp;R212&amp;"#"&amp;R315</f>
        <v>104,260|105,130|106,62|3,200#104,390|105,195|106,93|3,300#104,650|105,325|106,155|3,500</v>
      </c>
      <c r="AR69" t="str">
        <f>S69&amp;"#"&amp;S212&amp;"#"&amp;S315</f>
        <v>104,26|105,13|106,6|1,913#104,39|105,20|106,9|1,1369#104,65|105,33|106,15|1,2282</v>
      </c>
    </row>
    <row r="70" spans="1:44" s="2" customFormat="1" x14ac:dyDescent="0.25">
      <c r="A70" s="17">
        <v>68</v>
      </c>
      <c r="B70" s="18">
        <f>IF(关卡产出!C75="","",关卡产出!C75)</f>
        <v>53</v>
      </c>
      <c r="C70" s="18">
        <f>IF(关卡产出!D75="","",关卡产出!D75)</f>
        <v>26</v>
      </c>
      <c r="D70" s="18">
        <f>IF(关卡产出!E75="","",关卡产出!E75)</f>
        <v>13</v>
      </c>
      <c r="E70" s="18">
        <f>IF(关卡产出!F75="","",关卡产出!F75)</f>
        <v>730</v>
      </c>
      <c r="F70" s="15">
        <f>IF(关卡产出!H75="","",关卡产出!H75)</f>
        <v>12900</v>
      </c>
      <c r="G70" s="18">
        <f>IF(关卡产出!J75="","",关卡产出!J75)</f>
        <v>25600</v>
      </c>
      <c r="H70" s="18">
        <f>IF(关卡产出!K75="","",关卡产出!K75)</f>
        <v>6</v>
      </c>
      <c r="I70" s="18">
        <f>IF(关卡产出!M75="","",关卡产出!M75)</f>
        <v>264</v>
      </c>
      <c r="J70" s="18">
        <f>IF(关卡产出!N75="","",关卡产出!N75)</f>
        <v>132</v>
      </c>
      <c r="K70" s="18">
        <f>IF(关卡产出!O75="","",关卡产出!O75)</f>
        <v>63</v>
      </c>
      <c r="L70" s="18">
        <f>IF(关卡产出!P75="","",关卡产出!P75)</f>
        <v>200</v>
      </c>
      <c r="M70">
        <f t="shared" si="85"/>
        <v>3650</v>
      </c>
      <c r="N70" s="2" t="str">
        <f t="shared" si="76"/>
        <v>104,53|105,26|106,13|1,730</v>
      </c>
      <c r="P70" s="2" t="str">
        <f t="shared" si="77"/>
        <v>1,12900</v>
      </c>
      <c r="Q70" s="2" t="str">
        <f t="shared" si="78"/>
        <v>1,25600|4,6</v>
      </c>
      <c r="R70" s="2" t="str">
        <f t="shared" si="79"/>
        <v>104,264|105,132|106,63|3,200</v>
      </c>
      <c r="S70" s="2" t="str">
        <f t="shared" si="80"/>
        <v>104,27|105,13|106,7|1,913</v>
      </c>
      <c r="V70" s="2" t="str">
        <f t="shared" si="81"/>
        <v>104,53</v>
      </c>
      <c r="W70" s="2" t="str">
        <f t="shared" si="65"/>
        <v>105,26</v>
      </c>
      <c r="X70" s="2" t="str">
        <f t="shared" si="66"/>
        <v>106,13</v>
      </c>
      <c r="Y70" s="2" t="str">
        <f t="shared" si="67"/>
        <v>1,730</v>
      </c>
      <c r="AB70" s="2" t="str">
        <f t="shared" si="82"/>
        <v>104,264</v>
      </c>
      <c r="AC70" s="2" t="str">
        <f t="shared" si="69"/>
        <v>105,132</v>
      </c>
      <c r="AD70" s="2" t="str">
        <f t="shared" si="70"/>
        <v>106,63</v>
      </c>
      <c r="AE70" s="2" t="str">
        <f t="shared" si="71"/>
        <v>3,200</v>
      </c>
      <c r="AG70" s="2" t="str">
        <f t="shared" si="83"/>
        <v>104,27</v>
      </c>
      <c r="AH70" s="2" t="str">
        <f t="shared" si="73"/>
        <v>105,13</v>
      </c>
      <c r="AI70" s="2" t="str">
        <f t="shared" si="74"/>
        <v>106,7</v>
      </c>
      <c r="AJ70" s="2" t="str">
        <f t="shared" si="84"/>
        <v>1,913</v>
      </c>
      <c r="AM70" t="str">
        <f>N70&amp;"#"&amp;N213&amp;"#"&amp;N316</f>
        <v>104,53|105,26|106,13|1,730#104,80|105,39|106,20|1,1095#104,133|105,65|106,33|1,1825</v>
      </c>
      <c r="AN70" t="str">
        <f>O70&amp;"#"&amp;O213&amp;"#"&amp;O316</f>
        <v>##</v>
      </c>
      <c r="AO70" t="str">
        <f>P70&amp;"#"&amp;P213&amp;"#"&amp;P316</f>
        <v>1,12900#1,19350#11,1|1,32250</v>
      </c>
      <c r="AP70" t="str">
        <f>Q70&amp;"#"&amp;Q213&amp;"#"&amp;Q316</f>
        <v>1,25600|4,6#162,1|1,38400|4,6#163,1|1,64000|4,6</v>
      </c>
      <c r="AQ70" t="str">
        <f>R70&amp;"#"&amp;R213&amp;"#"&amp;R316</f>
        <v>104,264|105,132|106,63|3,200#104,396|105,198|106,95|3,300#104,660|105,330|106,158|3,500</v>
      </c>
      <c r="AR70" t="str">
        <f>S70&amp;"#"&amp;S213&amp;"#"&amp;S316</f>
        <v>104,27|105,13|106,7|1,913#104,40|105,20|106,10|1,1369#104,67|105,33|106,17|1,2282</v>
      </c>
    </row>
    <row r="71" spans="1:44" s="2" customFormat="1" x14ac:dyDescent="0.25">
      <c r="A71" s="17">
        <v>69</v>
      </c>
      <c r="B71" s="18">
        <f>IF(关卡产出!C76="","",关卡产出!C76)</f>
        <v>54</v>
      </c>
      <c r="C71" s="18">
        <f>IF(关卡产出!D76="","",关卡产出!D76)</f>
        <v>27</v>
      </c>
      <c r="D71" s="18">
        <f>IF(关卡产出!E76="","",关卡产出!E76)</f>
        <v>13</v>
      </c>
      <c r="E71" s="18">
        <f>IF(关卡产出!F76="","",关卡产出!F76)</f>
        <v>750</v>
      </c>
      <c r="F71" s="15">
        <f>IF(关卡产出!H76="","",关卡产出!H76)</f>
        <v>13100</v>
      </c>
      <c r="G71" s="18">
        <f>IF(关卡产出!J76="","",关卡产出!J76)</f>
        <v>26000</v>
      </c>
      <c r="H71" s="18">
        <f>IF(关卡产出!K76="","",关卡产出!K76)</f>
        <v>6</v>
      </c>
      <c r="I71" s="18">
        <f>IF(关卡产出!M76="","",关卡产出!M76)</f>
        <v>268</v>
      </c>
      <c r="J71" s="18">
        <f>IF(关卡产出!N76="","",关卡产出!N76)</f>
        <v>134</v>
      </c>
      <c r="K71" s="18">
        <f>IF(关卡产出!O76="","",关卡产出!O76)</f>
        <v>64</v>
      </c>
      <c r="L71" s="18">
        <f>IF(关卡产出!P76="","",关卡产出!P76)</f>
        <v>200</v>
      </c>
      <c r="M71">
        <f t="shared" si="85"/>
        <v>3750</v>
      </c>
      <c r="N71" s="2" t="str">
        <f t="shared" si="76"/>
        <v>104,54|105,27|106,13|1,750</v>
      </c>
      <c r="P71" s="2" t="str">
        <f t="shared" si="77"/>
        <v>1,13100</v>
      </c>
      <c r="Q71" s="2" t="str">
        <f t="shared" si="78"/>
        <v>1,26000|4,6</v>
      </c>
      <c r="R71" s="2" t="str">
        <f t="shared" si="79"/>
        <v>104,268|105,134|106,64|3,200</v>
      </c>
      <c r="S71" s="2" t="str">
        <f t="shared" si="80"/>
        <v>104,27|105,14|106,7|1,938</v>
      </c>
      <c r="V71" s="2" t="str">
        <f t="shared" si="81"/>
        <v>104,54</v>
      </c>
      <c r="W71" s="2" t="str">
        <f t="shared" si="65"/>
        <v>105,27</v>
      </c>
      <c r="X71" s="2" t="str">
        <f t="shared" si="66"/>
        <v>106,13</v>
      </c>
      <c r="Y71" s="2" t="str">
        <f t="shared" si="67"/>
        <v>1,750</v>
      </c>
      <c r="AB71" s="2" t="str">
        <f t="shared" si="82"/>
        <v>104,268</v>
      </c>
      <c r="AC71" s="2" t="str">
        <f t="shared" si="69"/>
        <v>105,134</v>
      </c>
      <c r="AD71" s="2" t="str">
        <f t="shared" si="70"/>
        <v>106,64</v>
      </c>
      <c r="AE71" s="2" t="str">
        <f t="shared" si="71"/>
        <v>3,200</v>
      </c>
      <c r="AG71" s="2" t="str">
        <f t="shared" si="83"/>
        <v>104,27</v>
      </c>
      <c r="AH71" s="2" t="str">
        <f t="shared" si="73"/>
        <v>105,14</v>
      </c>
      <c r="AI71" s="2" t="str">
        <f t="shared" si="74"/>
        <v>106,7</v>
      </c>
      <c r="AJ71" s="2" t="str">
        <f t="shared" si="84"/>
        <v>1,938</v>
      </c>
      <c r="AM71" t="str">
        <f>N71&amp;"#"&amp;N214&amp;"#"&amp;N317</f>
        <v>104,54|105,27|106,13|1,750#104,81|105,41|106,20|1,1125#104,135|105,68|106,33|1,1875</v>
      </c>
      <c r="AN71" t="str">
        <f>O71&amp;"#"&amp;O214&amp;"#"&amp;O317</f>
        <v>##</v>
      </c>
      <c r="AO71" t="str">
        <f>P71&amp;"#"&amp;P214&amp;"#"&amp;P317</f>
        <v>1,13100#1,19650#11,1|1,32750</v>
      </c>
      <c r="AP71" t="str">
        <f>Q71&amp;"#"&amp;Q214&amp;"#"&amp;Q317</f>
        <v>1,26000|4,6#162,1|1,39000|4,6#163,1|1,65000|4,6</v>
      </c>
      <c r="AQ71" t="str">
        <f>R71&amp;"#"&amp;R214&amp;"#"&amp;R317</f>
        <v>104,268|105,134|106,64|3,200#104,402|105,201|106,96|3,300#104,670|105,335|106,160|3,500</v>
      </c>
      <c r="AR71" t="str">
        <f>S71&amp;"#"&amp;S214&amp;"#"&amp;S317</f>
        <v>104,27|105,14|106,7|1,938#104,41|105,21|106,10|1,1407#104,68|105,34|106,17|1,2344</v>
      </c>
    </row>
    <row r="72" spans="1:44" s="2" customFormat="1" x14ac:dyDescent="0.25">
      <c r="A72" s="17">
        <v>70</v>
      </c>
      <c r="B72" s="18">
        <f>IF(关卡产出!C77="","",关卡产出!C77)</f>
        <v>54</v>
      </c>
      <c r="C72" s="18">
        <f>IF(关卡产出!D77="","",关卡产出!D77)</f>
        <v>27</v>
      </c>
      <c r="D72" s="18">
        <f>IF(关卡产出!E77="","",关卡产出!E77)</f>
        <v>13</v>
      </c>
      <c r="E72" s="18">
        <f>IF(关卡产出!F77="","",关卡产出!F77)</f>
        <v>750</v>
      </c>
      <c r="F72" s="15">
        <f>IF(关卡产出!H77="","",关卡产出!H77)</f>
        <v>13300</v>
      </c>
      <c r="G72" s="18">
        <f>IF(关卡产出!J77="","",关卡产出!J77)</f>
        <v>26400</v>
      </c>
      <c r="H72" s="18">
        <f>IF(关卡产出!K77="","",关卡产出!K77)</f>
        <v>6</v>
      </c>
      <c r="I72" s="18">
        <f>IF(关卡产出!M77="","",关卡产出!M77)</f>
        <v>272</v>
      </c>
      <c r="J72" s="18">
        <f>IF(关卡产出!N77="","",关卡产出!N77)</f>
        <v>136</v>
      </c>
      <c r="K72" s="18">
        <f>IF(关卡产出!O77="","",关卡产出!O77)</f>
        <v>65</v>
      </c>
      <c r="L72" s="18">
        <f>IF(关卡产出!P77="","",关卡产出!P77)</f>
        <v>200</v>
      </c>
      <c r="M72">
        <f t="shared" si="85"/>
        <v>3750</v>
      </c>
      <c r="N72" s="2" t="str">
        <f t="shared" si="76"/>
        <v>104,54|105,27|106,13|1,750</v>
      </c>
      <c r="P72" s="2" t="str">
        <f t="shared" si="77"/>
        <v>1,13300</v>
      </c>
      <c r="Q72" s="2" t="str">
        <f t="shared" si="78"/>
        <v>1,26400|4,6</v>
      </c>
      <c r="R72" s="2" t="str">
        <f t="shared" si="79"/>
        <v>104,272|105,136|106,65|3,200</v>
      </c>
      <c r="S72" s="2" t="str">
        <f t="shared" si="80"/>
        <v>104,27|105,14|106,7|1,938</v>
      </c>
      <c r="V72" s="2" t="str">
        <f t="shared" si="81"/>
        <v>104,54</v>
      </c>
      <c r="W72" s="2" t="str">
        <f t="shared" si="65"/>
        <v>105,27</v>
      </c>
      <c r="X72" s="2" t="str">
        <f t="shared" si="66"/>
        <v>106,13</v>
      </c>
      <c r="Y72" s="2" t="str">
        <f t="shared" si="67"/>
        <v>1,750</v>
      </c>
      <c r="AB72" s="2" t="str">
        <f t="shared" si="82"/>
        <v>104,272</v>
      </c>
      <c r="AC72" s="2" t="str">
        <f t="shared" si="69"/>
        <v>105,136</v>
      </c>
      <c r="AD72" s="2" t="str">
        <f t="shared" si="70"/>
        <v>106,65</v>
      </c>
      <c r="AE72" s="2" t="str">
        <f t="shared" si="71"/>
        <v>3,200</v>
      </c>
      <c r="AG72" s="2" t="str">
        <f t="shared" si="83"/>
        <v>104,27</v>
      </c>
      <c r="AH72" s="2" t="str">
        <f t="shared" si="73"/>
        <v>105,14</v>
      </c>
      <c r="AI72" s="2" t="str">
        <f t="shared" si="74"/>
        <v>106,7</v>
      </c>
      <c r="AJ72" s="2" t="str">
        <f t="shared" si="84"/>
        <v>1,938</v>
      </c>
      <c r="AM72" t="str">
        <f>N72&amp;"#"&amp;N215&amp;"#"&amp;N318</f>
        <v>104,54|105,27|106,13|1,750#104,81|105,41|106,20|1,1125#104,135|105,68|106,33|1,1875</v>
      </c>
      <c r="AN72" t="str">
        <f>O72&amp;"#"&amp;O215&amp;"#"&amp;O318</f>
        <v>##</v>
      </c>
      <c r="AO72" t="str">
        <f>P72&amp;"#"&amp;P215&amp;"#"&amp;P318</f>
        <v>1,13300#1,19950#11,1|1,33250</v>
      </c>
      <c r="AP72" t="str">
        <f>Q72&amp;"#"&amp;Q215&amp;"#"&amp;Q318</f>
        <v>1,26400|4,6#162,1|1,39600|4,6#163,1|1,66000|4,6</v>
      </c>
      <c r="AQ72" t="str">
        <f>R72&amp;"#"&amp;R215&amp;"#"&amp;R318</f>
        <v>104,272|105,136|106,65|3,200#104,408|105,204|106,98|3,300#104,680|105,340|106,163|3,500</v>
      </c>
      <c r="AR72" t="str">
        <f>S72&amp;"#"&amp;S215&amp;"#"&amp;S318</f>
        <v>104,27|105,14|106,7|1,938#104,41|105,21|106,10|1,1407#104,68|105,34|106,17|1,2344</v>
      </c>
    </row>
    <row r="73" spans="1:44" s="2" customFormat="1" x14ac:dyDescent="0.25">
      <c r="A73" s="17">
        <v>71</v>
      </c>
      <c r="B73" s="18">
        <f>IF(关卡产出!C78="","",关卡产出!C78)</f>
        <v>55</v>
      </c>
      <c r="C73" s="18">
        <f>IF(关卡产出!D78="","",关卡产出!D78)</f>
        <v>27</v>
      </c>
      <c r="D73" s="18">
        <f>IF(关卡产出!E78="","",关卡产出!E78)</f>
        <v>13</v>
      </c>
      <c r="E73" s="18">
        <f>IF(关卡产出!F78="","",关卡产出!F78)</f>
        <v>770</v>
      </c>
      <c r="F73" s="15">
        <f>IF(关卡产出!H78="","",关卡产出!H78)</f>
        <v>13500</v>
      </c>
      <c r="G73" s="18">
        <f>IF(关卡产出!J78="","",关卡产出!J78)</f>
        <v>26800</v>
      </c>
      <c r="H73" s="18">
        <f>IF(关卡产出!K78="","",关卡产出!K78)</f>
        <v>6</v>
      </c>
      <c r="I73" s="18">
        <f>IF(关卡产出!M78="","",关卡产出!M78)</f>
        <v>276</v>
      </c>
      <c r="J73" s="18">
        <f>IF(关卡产出!N78="","",关卡产出!N78)</f>
        <v>138</v>
      </c>
      <c r="K73" s="18">
        <f>IF(关卡产出!O78="","",关卡产出!O78)</f>
        <v>66</v>
      </c>
      <c r="L73" s="18">
        <f>IF(关卡产出!P78="","",关卡产出!P78)</f>
        <v>200</v>
      </c>
      <c r="M73">
        <f t="shared" si="85"/>
        <v>3850</v>
      </c>
      <c r="N73" s="2" t="str">
        <f t="shared" ref="N73:N136" si="86">_xlfn.TEXTJOIN("|",TRUE,V73:Y73)</f>
        <v>104,55|105,27|106,13|1,770</v>
      </c>
      <c r="P73" s="2" t="str">
        <f t="shared" ref="P73:P102" si="87">$F$1&amp;","&amp;F73</f>
        <v>1,13500</v>
      </c>
      <c r="Q73" s="2" t="str">
        <f t="shared" ref="Q73:Q102" si="88">$G$1&amp;","&amp;G73&amp;"|"&amp;$H$1&amp;","&amp;H73</f>
        <v>1,26800|4,6</v>
      </c>
      <c r="R73" s="2" t="str">
        <f t="shared" ref="R73:R102" si="89">_xlfn.TEXTJOIN("|",TRUE,AB73:AE73)</f>
        <v>104,276|105,138|106,66|3,200</v>
      </c>
      <c r="S73" s="2" t="str">
        <f t="shared" ref="S73:S102" si="90">_xlfn.TEXTJOIN("|",TRUE,AG73:AJ73)</f>
        <v>104,28|105,14|106,7|1,963</v>
      </c>
      <c r="V73" s="2" t="str">
        <f t="shared" ref="V73:V102" si="91">IF(B73="","",B$1&amp;","&amp;B73)</f>
        <v>104,55</v>
      </c>
      <c r="W73" s="2" t="str">
        <f t="shared" si="65"/>
        <v>105,27</v>
      </c>
      <c r="X73" s="2" t="str">
        <f t="shared" si="66"/>
        <v>106,13</v>
      </c>
      <c r="Y73" s="2" t="str">
        <f t="shared" si="67"/>
        <v>1,770</v>
      </c>
      <c r="AB73" s="2" t="str">
        <f t="shared" ref="AB73:AB102" si="92">IF(I73="","",I$1&amp;","&amp;I73)</f>
        <v>104,276</v>
      </c>
      <c r="AC73" s="2" t="str">
        <f t="shared" si="69"/>
        <v>105,138</v>
      </c>
      <c r="AD73" s="2" t="str">
        <f t="shared" si="70"/>
        <v>106,66</v>
      </c>
      <c r="AE73" s="2" t="str">
        <f t="shared" si="71"/>
        <v>3,200</v>
      </c>
      <c r="AG73" s="2" t="str">
        <f t="shared" ref="AG73:AG102" si="93">IF(B73="","",B$1&amp;","&amp;ROUNDUP(B73/2,0))</f>
        <v>104,28</v>
      </c>
      <c r="AH73" s="2" t="str">
        <f t="shared" si="73"/>
        <v>105,14</v>
      </c>
      <c r="AI73" s="2" t="str">
        <f t="shared" si="74"/>
        <v>106,7</v>
      </c>
      <c r="AJ73" s="2" t="str">
        <f t="shared" ref="AJ73:AJ102" si="94">IF(E73="","",E$1&amp;","&amp;ROUNDUP(E73/2*2.5,0))</f>
        <v>1,963</v>
      </c>
      <c r="AM73" t="str">
        <f>N73&amp;"#"&amp;N216&amp;"#"&amp;N319</f>
        <v>104,55|105,27|106,13|1,770#104,83|105,41|106,20|1,1155#104,138|105,68|106,33|1,1925</v>
      </c>
      <c r="AN73" t="str">
        <f>O73&amp;"#"&amp;O216&amp;"#"&amp;O319</f>
        <v>##</v>
      </c>
      <c r="AO73" t="str">
        <f>P73&amp;"#"&amp;P216&amp;"#"&amp;P319</f>
        <v>1,13500#1,20250#11,1|1,33750</v>
      </c>
      <c r="AP73" t="str">
        <f>Q73&amp;"#"&amp;Q216&amp;"#"&amp;Q319</f>
        <v>1,26800|4,6#162,1|1,40200|4,6#163,1|1,67000|4,6</v>
      </c>
      <c r="AQ73" t="str">
        <f>R73&amp;"#"&amp;R216&amp;"#"&amp;R319</f>
        <v>104,276|105,138|106,66|3,200#104,414|105,207|106,99|3,300#104,690|105,345|106,165|3,500</v>
      </c>
      <c r="AR73" t="str">
        <f>S73&amp;"#"&amp;S216&amp;"#"&amp;S319</f>
        <v>104,28|105,14|106,7|1,963#104,42|105,21|106,10|1,1444#104,69|105,34|106,17|1,2407</v>
      </c>
    </row>
    <row r="74" spans="1:44" s="2" customFormat="1" x14ac:dyDescent="0.25">
      <c r="A74" s="17">
        <v>72</v>
      </c>
      <c r="B74" s="18">
        <f>IF(关卡产出!C79="","",关卡产出!C79)</f>
        <v>56</v>
      </c>
      <c r="C74" s="18">
        <f>IF(关卡产出!D79="","",关卡产出!D79)</f>
        <v>28</v>
      </c>
      <c r="D74" s="18">
        <f>IF(关卡产出!E79="","",关卡产出!E79)</f>
        <v>13</v>
      </c>
      <c r="E74" s="18">
        <f>IF(关卡产出!F79="","",关卡产出!F79)</f>
        <v>770</v>
      </c>
      <c r="F74" s="15">
        <f>IF(关卡产出!H79="","",关卡产出!H79)</f>
        <v>13700</v>
      </c>
      <c r="G74" s="18">
        <f>IF(关卡产出!J79="","",关卡产出!J79)</f>
        <v>27200</v>
      </c>
      <c r="H74" s="18">
        <f>IF(关卡产出!K79="","",关卡产出!K79)</f>
        <v>6</v>
      </c>
      <c r="I74" s="18">
        <f>IF(关卡产出!M79="","",关卡产出!M79)</f>
        <v>280</v>
      </c>
      <c r="J74" s="18">
        <f>IF(关卡产出!N79="","",关卡产出!N79)</f>
        <v>140</v>
      </c>
      <c r="K74" s="18">
        <f>IF(关卡产出!O79="","",关卡产出!O79)</f>
        <v>67</v>
      </c>
      <c r="L74" s="18">
        <f>IF(关卡产出!P79="","",关卡产出!P79)</f>
        <v>200</v>
      </c>
      <c r="M74">
        <f t="shared" si="85"/>
        <v>3850</v>
      </c>
      <c r="N74" s="2" t="str">
        <f t="shared" si="86"/>
        <v>104,56|105,28|106,13|1,770</v>
      </c>
      <c r="P74" s="2" t="str">
        <f t="shared" si="87"/>
        <v>1,13700</v>
      </c>
      <c r="Q74" s="2" t="str">
        <f t="shared" si="88"/>
        <v>1,27200|4,6</v>
      </c>
      <c r="R74" s="2" t="str">
        <f t="shared" si="89"/>
        <v>104,280|105,140|106,67|3,200</v>
      </c>
      <c r="S74" s="2" t="str">
        <f t="shared" si="90"/>
        <v>104,28|105,14|106,7|1,963</v>
      </c>
      <c r="V74" s="2" t="str">
        <f t="shared" si="91"/>
        <v>104,56</v>
      </c>
      <c r="W74" s="2" t="str">
        <f t="shared" si="65"/>
        <v>105,28</v>
      </c>
      <c r="X74" s="2" t="str">
        <f t="shared" si="66"/>
        <v>106,13</v>
      </c>
      <c r="Y74" s="2" t="str">
        <f t="shared" si="67"/>
        <v>1,770</v>
      </c>
      <c r="AB74" s="2" t="str">
        <f t="shared" si="92"/>
        <v>104,280</v>
      </c>
      <c r="AC74" s="2" t="str">
        <f t="shared" si="69"/>
        <v>105,140</v>
      </c>
      <c r="AD74" s="2" t="str">
        <f t="shared" si="70"/>
        <v>106,67</v>
      </c>
      <c r="AE74" s="2" t="str">
        <f t="shared" si="71"/>
        <v>3,200</v>
      </c>
      <c r="AG74" s="2" t="str">
        <f t="shared" si="93"/>
        <v>104,28</v>
      </c>
      <c r="AH74" s="2" t="str">
        <f t="shared" si="73"/>
        <v>105,14</v>
      </c>
      <c r="AI74" s="2" t="str">
        <f t="shared" si="74"/>
        <v>106,7</v>
      </c>
      <c r="AJ74" s="2" t="str">
        <f t="shared" si="94"/>
        <v>1,963</v>
      </c>
      <c r="AM74" t="str">
        <f>N74&amp;"#"&amp;N217&amp;"#"&amp;N320</f>
        <v>104,56|105,28|106,13|1,770#104,84|105,42|106,20|1,1155#104,140|105,70|106,33|1,1925</v>
      </c>
      <c r="AN74" t="str">
        <f>O74&amp;"#"&amp;O217&amp;"#"&amp;O320</f>
        <v>##</v>
      </c>
      <c r="AO74" t="str">
        <f>P74&amp;"#"&amp;P217&amp;"#"&amp;P320</f>
        <v>1,13700#1,20550#11,1|1,34250</v>
      </c>
      <c r="AP74" t="str">
        <f>Q74&amp;"#"&amp;Q217&amp;"#"&amp;Q320</f>
        <v>1,27200|4,6#162,1|1,40800|4,6#163,1|1,68000|4,6</v>
      </c>
      <c r="AQ74" t="str">
        <f>R74&amp;"#"&amp;R217&amp;"#"&amp;R320</f>
        <v>104,280|105,140|106,67|3,200#104,420|105,210|106,101|3,300#104,700|105,350|106,168|3,500</v>
      </c>
      <c r="AR74" t="str">
        <f>S74&amp;"#"&amp;S217&amp;"#"&amp;S320</f>
        <v>104,28|105,14|106,7|1,963#104,42|105,21|106,10|1,1444#104,70|105,35|106,17|1,2407</v>
      </c>
    </row>
    <row r="75" spans="1:44" s="2" customFormat="1" x14ac:dyDescent="0.25">
      <c r="A75" s="17">
        <v>73</v>
      </c>
      <c r="B75" s="18">
        <f>IF(关卡产出!C80="","",关卡产出!C80)</f>
        <v>57</v>
      </c>
      <c r="C75" s="18">
        <f>IF(关卡产出!D80="","",关卡产出!D80)</f>
        <v>28</v>
      </c>
      <c r="D75" s="18">
        <f>IF(关卡产出!E80="","",关卡产出!E80)</f>
        <v>14</v>
      </c>
      <c r="E75" s="18">
        <f>IF(关卡产出!F80="","",关卡产出!F80)</f>
        <v>790</v>
      </c>
      <c r="F75" s="15">
        <f>IF(关卡产出!H80="","",关卡产出!H80)</f>
        <v>13900</v>
      </c>
      <c r="G75" s="18">
        <f>IF(关卡产出!J80="","",关卡产出!J80)</f>
        <v>27600</v>
      </c>
      <c r="H75" s="18">
        <f>IF(关卡产出!K80="","",关卡产出!K80)</f>
        <v>6</v>
      </c>
      <c r="I75" s="18">
        <f>IF(关卡产出!M80="","",关卡产出!M80)</f>
        <v>284</v>
      </c>
      <c r="J75" s="18">
        <f>IF(关卡产出!N80="","",关卡产出!N80)</f>
        <v>142</v>
      </c>
      <c r="K75" s="18">
        <f>IF(关卡产出!O80="","",关卡产出!O80)</f>
        <v>68</v>
      </c>
      <c r="L75" s="18">
        <f>IF(关卡产出!P80="","",关卡产出!P80)</f>
        <v>200</v>
      </c>
      <c r="M75">
        <f t="shared" si="85"/>
        <v>3950</v>
      </c>
      <c r="N75" s="2" t="str">
        <f t="shared" si="86"/>
        <v>104,57|105,28|106,14|1,790</v>
      </c>
      <c r="P75" s="2" t="str">
        <f t="shared" si="87"/>
        <v>1,13900</v>
      </c>
      <c r="Q75" s="2" t="str">
        <f t="shared" si="88"/>
        <v>1,27600|4,6</v>
      </c>
      <c r="R75" s="2" t="str">
        <f t="shared" si="89"/>
        <v>104,284|105,142|106,68|3,200</v>
      </c>
      <c r="S75" s="2" t="str">
        <f t="shared" si="90"/>
        <v>104,29|105,14|106,7|1,988</v>
      </c>
      <c r="V75" s="2" t="str">
        <f t="shared" si="91"/>
        <v>104,57</v>
      </c>
      <c r="W75" s="2" t="str">
        <f t="shared" si="65"/>
        <v>105,28</v>
      </c>
      <c r="X75" s="2" t="str">
        <f t="shared" si="66"/>
        <v>106,14</v>
      </c>
      <c r="Y75" s="2" t="str">
        <f t="shared" si="67"/>
        <v>1,790</v>
      </c>
      <c r="AB75" s="2" t="str">
        <f t="shared" si="92"/>
        <v>104,284</v>
      </c>
      <c r="AC75" s="2" t="str">
        <f t="shared" si="69"/>
        <v>105,142</v>
      </c>
      <c r="AD75" s="2" t="str">
        <f t="shared" si="70"/>
        <v>106,68</v>
      </c>
      <c r="AE75" s="2" t="str">
        <f t="shared" si="71"/>
        <v>3,200</v>
      </c>
      <c r="AG75" s="2" t="str">
        <f t="shared" si="93"/>
        <v>104,29</v>
      </c>
      <c r="AH75" s="2" t="str">
        <f t="shared" si="73"/>
        <v>105,14</v>
      </c>
      <c r="AI75" s="2" t="str">
        <f t="shared" si="74"/>
        <v>106,7</v>
      </c>
      <c r="AJ75" s="2" t="str">
        <f t="shared" si="94"/>
        <v>1,988</v>
      </c>
      <c r="AM75" t="str">
        <f>N75&amp;"#"&amp;N218&amp;"#"&amp;N321</f>
        <v>104,57|105,28|106,14|1,790#104,86|105,42|106,21|1,1185#104,143|105,70|106,35|1,1975</v>
      </c>
      <c r="AN75" t="str">
        <f>O75&amp;"#"&amp;O218&amp;"#"&amp;O321</f>
        <v>##</v>
      </c>
      <c r="AO75" t="str">
        <f>P75&amp;"#"&amp;P218&amp;"#"&amp;P321</f>
        <v>1,13900#1,20850#11,1|1,34750</v>
      </c>
      <c r="AP75" t="str">
        <f>Q75&amp;"#"&amp;Q218&amp;"#"&amp;Q321</f>
        <v>1,27600|4,6#162,1|1,41400|4,6#163,1|1,69000|4,6</v>
      </c>
      <c r="AQ75" t="str">
        <f>R75&amp;"#"&amp;R218&amp;"#"&amp;R321</f>
        <v>104,284|105,142|106,68|3,200#104,426|105,213|106,102|3,300#104,710|105,355|106,170|3,500</v>
      </c>
      <c r="AR75" t="str">
        <f>S75&amp;"#"&amp;S218&amp;"#"&amp;S321</f>
        <v>104,29|105,14|106,7|1,988#104,43|105,21|106,11|1,1482#104,72|105,35|106,18|1,2469</v>
      </c>
    </row>
    <row r="76" spans="1:44" s="2" customFormat="1" x14ac:dyDescent="0.25">
      <c r="A76" s="17">
        <v>74</v>
      </c>
      <c r="B76" s="18">
        <f>IF(关卡产出!C81="","",关卡产出!C81)</f>
        <v>58</v>
      </c>
      <c r="C76" s="18">
        <f>IF(关卡产出!D81="","",关卡产出!D81)</f>
        <v>29</v>
      </c>
      <c r="D76" s="18">
        <f>IF(关卡产出!E81="","",关卡产出!E81)</f>
        <v>14</v>
      </c>
      <c r="E76" s="18">
        <f>IF(关卡产出!F81="","",关卡产出!F81)</f>
        <v>790</v>
      </c>
      <c r="F76" s="15">
        <f>IF(关卡产出!H81="","",关卡产出!H81)</f>
        <v>14100</v>
      </c>
      <c r="G76" s="18">
        <f>IF(关卡产出!J81="","",关卡产出!J81)</f>
        <v>28000</v>
      </c>
      <c r="H76" s="18">
        <f>IF(关卡产出!K81="","",关卡产出!K81)</f>
        <v>6</v>
      </c>
      <c r="I76" s="18">
        <f>IF(关卡产出!M81="","",关卡产出!M81)</f>
        <v>288</v>
      </c>
      <c r="J76" s="18">
        <f>IF(关卡产出!N81="","",关卡产出!N81)</f>
        <v>144</v>
      </c>
      <c r="K76" s="18">
        <f>IF(关卡产出!O81="","",关卡产出!O81)</f>
        <v>69</v>
      </c>
      <c r="L76" s="18">
        <f>IF(关卡产出!P81="","",关卡产出!P81)</f>
        <v>200</v>
      </c>
      <c r="M76">
        <f t="shared" si="85"/>
        <v>3950</v>
      </c>
      <c r="N76" s="2" t="str">
        <f t="shared" si="86"/>
        <v>104,58|105,29|106,14|1,790</v>
      </c>
      <c r="P76" s="2" t="str">
        <f t="shared" si="87"/>
        <v>1,14100</v>
      </c>
      <c r="Q76" s="2" t="str">
        <f t="shared" si="88"/>
        <v>1,28000|4,6</v>
      </c>
      <c r="R76" s="2" t="str">
        <f t="shared" si="89"/>
        <v>104,288|105,144|106,69|3,200</v>
      </c>
      <c r="S76" s="2" t="str">
        <f t="shared" si="90"/>
        <v>104,29|105,15|106,7|1,988</v>
      </c>
      <c r="V76" s="2" t="str">
        <f t="shared" si="91"/>
        <v>104,58</v>
      </c>
      <c r="W76" s="2" t="str">
        <f t="shared" si="65"/>
        <v>105,29</v>
      </c>
      <c r="X76" s="2" t="str">
        <f t="shared" si="66"/>
        <v>106,14</v>
      </c>
      <c r="Y76" s="2" t="str">
        <f t="shared" si="67"/>
        <v>1,790</v>
      </c>
      <c r="AB76" s="2" t="str">
        <f t="shared" si="92"/>
        <v>104,288</v>
      </c>
      <c r="AC76" s="2" t="str">
        <f t="shared" si="69"/>
        <v>105,144</v>
      </c>
      <c r="AD76" s="2" t="str">
        <f t="shared" si="70"/>
        <v>106,69</v>
      </c>
      <c r="AE76" s="2" t="str">
        <f t="shared" si="71"/>
        <v>3,200</v>
      </c>
      <c r="AG76" s="2" t="str">
        <f t="shared" si="93"/>
        <v>104,29</v>
      </c>
      <c r="AH76" s="2" t="str">
        <f t="shared" si="73"/>
        <v>105,15</v>
      </c>
      <c r="AI76" s="2" t="str">
        <f t="shared" si="74"/>
        <v>106,7</v>
      </c>
      <c r="AJ76" s="2" t="str">
        <f t="shared" si="94"/>
        <v>1,988</v>
      </c>
      <c r="AM76" t="str">
        <f>N76&amp;"#"&amp;N219&amp;"#"&amp;N322</f>
        <v>104,58|105,29|106,14|1,790#104,87|105,44|106,21|1,1185#104,145|105,73|106,35|1,1975</v>
      </c>
      <c r="AN76" t="str">
        <f>O76&amp;"#"&amp;O219&amp;"#"&amp;O322</f>
        <v>##</v>
      </c>
      <c r="AO76" t="str">
        <f>P76&amp;"#"&amp;P219&amp;"#"&amp;P322</f>
        <v>1,14100#1,21150#11,1|1,35250</v>
      </c>
      <c r="AP76" t="str">
        <f>Q76&amp;"#"&amp;Q219&amp;"#"&amp;Q322</f>
        <v>1,28000|4,6#162,1|1,42000|4,6#163,1|1,70000|4,6</v>
      </c>
      <c r="AQ76" t="str">
        <f>R76&amp;"#"&amp;R219&amp;"#"&amp;R322</f>
        <v>104,288|105,144|106,69|3,200#104,432|105,216|106,104|3,300#104,720|105,360|106,173|3,500</v>
      </c>
      <c r="AR76" t="str">
        <f>S76&amp;"#"&amp;S219&amp;"#"&amp;S322</f>
        <v>104,29|105,15|106,7|1,988#104,44|105,22|106,11|1,1482#104,73|105,37|106,18|1,2469</v>
      </c>
    </row>
    <row r="77" spans="1:44" s="2" customFormat="1" x14ac:dyDescent="0.25">
      <c r="A77" s="17">
        <v>75</v>
      </c>
      <c r="B77" s="18">
        <f>IF(关卡产出!C82="","",关卡产出!C82)</f>
        <v>58</v>
      </c>
      <c r="C77" s="18">
        <f>IF(关卡产出!D82="","",关卡产出!D82)</f>
        <v>29</v>
      </c>
      <c r="D77" s="18">
        <f>IF(关卡产出!E82="","",关卡产出!E82)</f>
        <v>14</v>
      </c>
      <c r="E77" s="18">
        <f>IF(关卡产出!F82="","",关卡产出!F82)</f>
        <v>810</v>
      </c>
      <c r="F77" s="15">
        <f>IF(关卡产出!H82="","",关卡产出!H82)</f>
        <v>14300</v>
      </c>
      <c r="G77" s="18">
        <f>IF(关卡产出!J82="","",关卡产出!J82)</f>
        <v>28400</v>
      </c>
      <c r="H77" s="18">
        <f>IF(关卡产出!K82="","",关卡产出!K82)</f>
        <v>6</v>
      </c>
      <c r="I77" s="18">
        <f>IF(关卡产出!M82="","",关卡产出!M82)</f>
        <v>292</v>
      </c>
      <c r="J77" s="18">
        <f>IF(关卡产出!N82="","",关卡产出!N82)</f>
        <v>146</v>
      </c>
      <c r="K77" s="18">
        <f>IF(关卡产出!O82="","",关卡产出!O82)</f>
        <v>70</v>
      </c>
      <c r="L77" s="18">
        <f>IF(关卡产出!P82="","",关卡产出!P82)</f>
        <v>200</v>
      </c>
      <c r="M77">
        <f t="shared" si="85"/>
        <v>4050</v>
      </c>
      <c r="N77" s="2" t="str">
        <f t="shared" si="86"/>
        <v>104,58|105,29|106,14|1,810</v>
      </c>
      <c r="P77" s="2" t="str">
        <f t="shared" si="87"/>
        <v>1,14300</v>
      </c>
      <c r="Q77" s="2" t="str">
        <f t="shared" si="88"/>
        <v>1,28400|4,6</v>
      </c>
      <c r="R77" s="2" t="str">
        <f t="shared" si="89"/>
        <v>104,292|105,146|106,70|3,200</v>
      </c>
      <c r="S77" s="2" t="str">
        <f t="shared" si="90"/>
        <v>104,29|105,15|106,7|1,1013</v>
      </c>
      <c r="V77" s="2" t="str">
        <f t="shared" si="91"/>
        <v>104,58</v>
      </c>
      <c r="W77" s="2" t="str">
        <f t="shared" si="65"/>
        <v>105,29</v>
      </c>
      <c r="X77" s="2" t="str">
        <f t="shared" si="66"/>
        <v>106,14</v>
      </c>
      <c r="Y77" s="2" t="str">
        <f t="shared" si="67"/>
        <v>1,810</v>
      </c>
      <c r="AB77" s="2" t="str">
        <f t="shared" si="92"/>
        <v>104,292</v>
      </c>
      <c r="AC77" s="2" t="str">
        <f t="shared" si="69"/>
        <v>105,146</v>
      </c>
      <c r="AD77" s="2" t="str">
        <f t="shared" si="70"/>
        <v>106,70</v>
      </c>
      <c r="AE77" s="2" t="str">
        <f t="shared" si="71"/>
        <v>3,200</v>
      </c>
      <c r="AG77" s="2" t="str">
        <f t="shared" si="93"/>
        <v>104,29</v>
      </c>
      <c r="AH77" s="2" t="str">
        <f t="shared" si="73"/>
        <v>105,15</v>
      </c>
      <c r="AI77" s="2" t="str">
        <f t="shared" si="74"/>
        <v>106,7</v>
      </c>
      <c r="AJ77" s="2" t="str">
        <f t="shared" si="94"/>
        <v>1,1013</v>
      </c>
      <c r="AM77" t="str">
        <f>N77&amp;"#"&amp;N220&amp;"#"&amp;N323</f>
        <v>104,58|105,29|106,14|1,810#104,87|105,44|106,21|1,1215#104,145|105,73|106,35|1,2025</v>
      </c>
      <c r="AN77" t="str">
        <f>O77&amp;"#"&amp;O220&amp;"#"&amp;O323</f>
        <v>##</v>
      </c>
      <c r="AO77" t="str">
        <f>P77&amp;"#"&amp;P220&amp;"#"&amp;P323</f>
        <v>1,14300#1,21450#11,1|1,35750</v>
      </c>
      <c r="AP77" t="str">
        <f>Q77&amp;"#"&amp;Q220&amp;"#"&amp;Q323</f>
        <v>1,28400|4,6#162,1|1,42600|4,6#163,1|1,71000|4,6</v>
      </c>
      <c r="AQ77" t="str">
        <f>R77&amp;"#"&amp;R220&amp;"#"&amp;R323</f>
        <v>104,292|105,146|106,70|3,200#104,438|105,219|106,105|3,300#104,730|105,365|106,175|3,500</v>
      </c>
      <c r="AR77" t="str">
        <f>S77&amp;"#"&amp;S220&amp;"#"&amp;S323</f>
        <v>104,29|105,15|106,7|1,1013#104,44|105,22|106,11|1,1519#104,73|105,37|106,18|1,2532</v>
      </c>
    </row>
    <row r="78" spans="1:44" s="2" customFormat="1" x14ac:dyDescent="0.25">
      <c r="A78" s="17">
        <v>76</v>
      </c>
      <c r="B78" s="18">
        <f>IF(关卡产出!C83="","",关卡产出!C83)</f>
        <v>59</v>
      </c>
      <c r="C78" s="18">
        <f>IF(关卡产出!D83="","",关卡产出!D83)</f>
        <v>29</v>
      </c>
      <c r="D78" s="18">
        <f>IF(关卡产出!E83="","",关卡产出!E83)</f>
        <v>14</v>
      </c>
      <c r="E78" s="18">
        <f>IF(关卡产出!F83="","",关卡产出!F83)</f>
        <v>810</v>
      </c>
      <c r="F78" s="15">
        <f>IF(关卡产出!H83="","",关卡产出!H83)</f>
        <v>14500</v>
      </c>
      <c r="G78" s="18">
        <f>IF(关卡产出!J83="","",关卡产出!J83)</f>
        <v>28800</v>
      </c>
      <c r="H78" s="18">
        <f>IF(关卡产出!K83="","",关卡产出!K83)</f>
        <v>6</v>
      </c>
      <c r="I78" s="18">
        <f>IF(关卡产出!M83="","",关卡产出!M83)</f>
        <v>296</v>
      </c>
      <c r="J78" s="18">
        <f>IF(关卡产出!N83="","",关卡产出!N83)</f>
        <v>148</v>
      </c>
      <c r="K78" s="18">
        <f>IF(关卡产出!O83="","",关卡产出!O83)</f>
        <v>71</v>
      </c>
      <c r="L78" s="18">
        <f>IF(关卡产出!P83="","",关卡产出!P83)</f>
        <v>200</v>
      </c>
      <c r="M78">
        <f t="shared" si="85"/>
        <v>4050</v>
      </c>
      <c r="N78" s="2" t="str">
        <f t="shared" si="86"/>
        <v>104,59|105,29|106,14|1,810</v>
      </c>
      <c r="P78" s="2" t="str">
        <f t="shared" si="87"/>
        <v>1,14500</v>
      </c>
      <c r="Q78" s="2" t="str">
        <f t="shared" si="88"/>
        <v>1,28800|4,6</v>
      </c>
      <c r="R78" s="2" t="str">
        <f t="shared" si="89"/>
        <v>104,296|105,148|106,71|3,200</v>
      </c>
      <c r="S78" s="2" t="str">
        <f t="shared" si="90"/>
        <v>104,30|105,15|106,7|1,1013</v>
      </c>
      <c r="V78" s="2" t="str">
        <f t="shared" si="91"/>
        <v>104,59</v>
      </c>
      <c r="W78" s="2" t="str">
        <f t="shared" si="65"/>
        <v>105,29</v>
      </c>
      <c r="X78" s="2" t="str">
        <f t="shared" si="66"/>
        <v>106,14</v>
      </c>
      <c r="Y78" s="2" t="str">
        <f t="shared" si="67"/>
        <v>1,810</v>
      </c>
      <c r="AB78" s="2" t="str">
        <f t="shared" si="92"/>
        <v>104,296</v>
      </c>
      <c r="AC78" s="2" t="str">
        <f t="shared" si="69"/>
        <v>105,148</v>
      </c>
      <c r="AD78" s="2" t="str">
        <f t="shared" si="70"/>
        <v>106,71</v>
      </c>
      <c r="AE78" s="2" t="str">
        <f t="shared" si="71"/>
        <v>3,200</v>
      </c>
      <c r="AG78" s="2" t="str">
        <f t="shared" si="93"/>
        <v>104,30</v>
      </c>
      <c r="AH78" s="2" t="str">
        <f t="shared" si="73"/>
        <v>105,15</v>
      </c>
      <c r="AI78" s="2" t="str">
        <f t="shared" si="74"/>
        <v>106,7</v>
      </c>
      <c r="AJ78" s="2" t="str">
        <f t="shared" si="94"/>
        <v>1,1013</v>
      </c>
      <c r="AM78" t="str">
        <f>N78&amp;"#"&amp;N221&amp;"#"&amp;N324</f>
        <v>104,59|105,29|106,14|1,810#104,89|105,44|106,21|1,1215#104,148|105,73|106,35|1,2025</v>
      </c>
      <c r="AN78" t="str">
        <f>O78&amp;"#"&amp;O221&amp;"#"&amp;O324</f>
        <v>##</v>
      </c>
      <c r="AO78" t="str">
        <f>P78&amp;"#"&amp;P221&amp;"#"&amp;P324</f>
        <v>1,14500#1,21750#11,1|1,36250</v>
      </c>
      <c r="AP78" t="str">
        <f>Q78&amp;"#"&amp;Q221&amp;"#"&amp;Q324</f>
        <v>1,28800|4,6#162,1|1,43200|4,6#163,1|1,72000|4,6</v>
      </c>
      <c r="AQ78" t="str">
        <f>R78&amp;"#"&amp;R221&amp;"#"&amp;R324</f>
        <v>104,296|105,148|106,71|3,200#104,444|105,222|106,107|3,300#104,740|105,370|106,178|3,500</v>
      </c>
      <c r="AR78" t="str">
        <f>S78&amp;"#"&amp;S221&amp;"#"&amp;S324</f>
        <v>104,30|105,15|106,7|1,1013#104,45|105,22|106,11|1,1519#104,74|105,37|106,18|1,2532</v>
      </c>
    </row>
    <row r="79" spans="1:44" s="2" customFormat="1" x14ac:dyDescent="0.25">
      <c r="A79" s="17">
        <v>77</v>
      </c>
      <c r="B79" s="18">
        <f>IF(关卡产出!C84="","",关卡产出!C84)</f>
        <v>60</v>
      </c>
      <c r="C79" s="18">
        <f>IF(关卡产出!D84="","",关卡产出!D84)</f>
        <v>30</v>
      </c>
      <c r="D79" s="18">
        <f>IF(关卡产出!E84="","",关卡产出!E84)</f>
        <v>14</v>
      </c>
      <c r="E79" s="18">
        <f>IF(关卡产出!F84="","",关卡产出!F84)</f>
        <v>830</v>
      </c>
      <c r="F79" s="15">
        <f>IF(关卡产出!H84="","",关卡产出!H84)</f>
        <v>14700</v>
      </c>
      <c r="G79" s="18">
        <f>IF(关卡产出!J84="","",关卡产出!J84)</f>
        <v>29200</v>
      </c>
      <c r="H79" s="18">
        <f>IF(关卡产出!K84="","",关卡产出!K84)</f>
        <v>6</v>
      </c>
      <c r="I79" s="18">
        <f>IF(关卡产出!M84="","",关卡产出!M84)</f>
        <v>300</v>
      </c>
      <c r="J79" s="18">
        <f>IF(关卡产出!N84="","",关卡产出!N84)</f>
        <v>150</v>
      </c>
      <c r="K79" s="18">
        <f>IF(关卡产出!O84="","",关卡产出!O84)</f>
        <v>72</v>
      </c>
      <c r="L79" s="18">
        <f>IF(关卡产出!P84="","",关卡产出!P84)</f>
        <v>200</v>
      </c>
      <c r="M79">
        <f t="shared" si="85"/>
        <v>4150</v>
      </c>
      <c r="N79" s="2" t="str">
        <f t="shared" si="86"/>
        <v>104,60|105,30|106,14|1,830</v>
      </c>
      <c r="P79" s="2" t="str">
        <f t="shared" si="87"/>
        <v>1,14700</v>
      </c>
      <c r="Q79" s="2" t="str">
        <f t="shared" si="88"/>
        <v>1,29200|4,6</v>
      </c>
      <c r="R79" s="2" t="str">
        <f t="shared" si="89"/>
        <v>104,300|105,150|106,72|3,200</v>
      </c>
      <c r="S79" s="2" t="str">
        <f t="shared" si="90"/>
        <v>104,30|105,15|106,7|1,1038</v>
      </c>
      <c r="V79" s="2" t="str">
        <f t="shared" si="91"/>
        <v>104,60</v>
      </c>
      <c r="W79" s="2" t="str">
        <f t="shared" si="65"/>
        <v>105,30</v>
      </c>
      <c r="X79" s="2" t="str">
        <f t="shared" si="66"/>
        <v>106,14</v>
      </c>
      <c r="Y79" s="2" t="str">
        <f t="shared" si="67"/>
        <v>1,830</v>
      </c>
      <c r="AB79" s="2" t="str">
        <f t="shared" si="92"/>
        <v>104,300</v>
      </c>
      <c r="AC79" s="2" t="str">
        <f t="shared" si="69"/>
        <v>105,150</v>
      </c>
      <c r="AD79" s="2" t="str">
        <f t="shared" si="70"/>
        <v>106,72</v>
      </c>
      <c r="AE79" s="2" t="str">
        <f t="shared" si="71"/>
        <v>3,200</v>
      </c>
      <c r="AG79" s="2" t="str">
        <f t="shared" si="93"/>
        <v>104,30</v>
      </c>
      <c r="AH79" s="2" t="str">
        <f t="shared" si="73"/>
        <v>105,15</v>
      </c>
      <c r="AI79" s="2" t="str">
        <f t="shared" si="74"/>
        <v>106,7</v>
      </c>
      <c r="AJ79" s="2" t="str">
        <f t="shared" si="94"/>
        <v>1,1038</v>
      </c>
      <c r="AM79" t="str">
        <f>N79&amp;"#"&amp;N222&amp;"#"&amp;N325</f>
        <v>104,60|105,30|106,14|1,830#104,90|105,45|106,21|1,1245#104,150|105,75|106,35|1,2075</v>
      </c>
      <c r="AN79" t="str">
        <f>O79&amp;"#"&amp;O222&amp;"#"&amp;O325</f>
        <v>##</v>
      </c>
      <c r="AO79" t="str">
        <f>P79&amp;"#"&amp;P222&amp;"#"&amp;P325</f>
        <v>1,14700#1,22050#11,1|1,36750</v>
      </c>
      <c r="AP79" t="str">
        <f>Q79&amp;"#"&amp;Q222&amp;"#"&amp;Q325</f>
        <v>1,29200|4,6#162,1|1,43800|4,6#163,1|1,73000|4,6</v>
      </c>
      <c r="AQ79" t="str">
        <f>R79&amp;"#"&amp;R222&amp;"#"&amp;R325</f>
        <v>104,300|105,150|106,72|3,200#104,450|105,225|106,108|3,300#104,750|105,375|106,180|3,500</v>
      </c>
      <c r="AR79" t="str">
        <f>S79&amp;"#"&amp;S222&amp;"#"&amp;S325</f>
        <v>104,30|105,15|106,7|1,1038#104,45|105,23|106,11|1,1557#104,75|105,38|106,18|1,2594</v>
      </c>
    </row>
    <row r="80" spans="1:44" s="2" customFormat="1" x14ac:dyDescent="0.25">
      <c r="A80" s="17">
        <v>78</v>
      </c>
      <c r="B80" s="18">
        <f>IF(关卡产出!C85="","",关卡产出!C85)</f>
        <v>61</v>
      </c>
      <c r="C80" s="18">
        <f>IF(关卡产出!D85="","",关卡产出!D85)</f>
        <v>30</v>
      </c>
      <c r="D80" s="18">
        <f>IF(关卡产出!E85="","",关卡产出!E85)</f>
        <v>15</v>
      </c>
      <c r="E80" s="18">
        <f>IF(关卡产出!F85="","",关卡产出!F85)</f>
        <v>830</v>
      </c>
      <c r="F80" s="15">
        <f>IF(关卡产出!H85="","",关卡产出!H85)</f>
        <v>14900</v>
      </c>
      <c r="G80" s="18">
        <f>IF(关卡产出!J85="","",关卡产出!J85)</f>
        <v>29600</v>
      </c>
      <c r="H80" s="18">
        <f>IF(关卡产出!K85="","",关卡产出!K85)</f>
        <v>6</v>
      </c>
      <c r="I80" s="18">
        <f>IF(关卡产出!M85="","",关卡产出!M85)</f>
        <v>304</v>
      </c>
      <c r="J80" s="18">
        <f>IF(关卡产出!N85="","",关卡产出!N85)</f>
        <v>152</v>
      </c>
      <c r="K80" s="18">
        <f>IF(关卡产出!O85="","",关卡产出!O85)</f>
        <v>73</v>
      </c>
      <c r="L80" s="18">
        <f>IF(关卡产出!P85="","",关卡产出!P85)</f>
        <v>200</v>
      </c>
      <c r="M80">
        <f t="shared" si="85"/>
        <v>4150</v>
      </c>
      <c r="N80" s="2" t="str">
        <f t="shared" si="86"/>
        <v>104,61|105,30|106,15|1,830</v>
      </c>
      <c r="P80" s="2" t="str">
        <f t="shared" si="87"/>
        <v>1,14900</v>
      </c>
      <c r="Q80" s="2" t="str">
        <f t="shared" si="88"/>
        <v>1,29600|4,6</v>
      </c>
      <c r="R80" s="2" t="str">
        <f t="shared" si="89"/>
        <v>104,304|105,152|106,73|3,200</v>
      </c>
      <c r="S80" s="2" t="str">
        <f t="shared" si="90"/>
        <v>104,31|105,15|106,8|1,1038</v>
      </c>
      <c r="V80" s="2" t="str">
        <f t="shared" si="91"/>
        <v>104,61</v>
      </c>
      <c r="W80" s="2" t="str">
        <f t="shared" si="65"/>
        <v>105,30</v>
      </c>
      <c r="X80" s="2" t="str">
        <f t="shared" si="66"/>
        <v>106,15</v>
      </c>
      <c r="Y80" s="2" t="str">
        <f t="shared" si="67"/>
        <v>1,830</v>
      </c>
      <c r="AB80" s="2" t="str">
        <f t="shared" si="92"/>
        <v>104,304</v>
      </c>
      <c r="AC80" s="2" t="str">
        <f t="shared" si="69"/>
        <v>105,152</v>
      </c>
      <c r="AD80" s="2" t="str">
        <f t="shared" si="70"/>
        <v>106,73</v>
      </c>
      <c r="AE80" s="2" t="str">
        <f t="shared" si="71"/>
        <v>3,200</v>
      </c>
      <c r="AG80" s="2" t="str">
        <f t="shared" si="93"/>
        <v>104,31</v>
      </c>
      <c r="AH80" s="2" t="str">
        <f t="shared" si="73"/>
        <v>105,15</v>
      </c>
      <c r="AI80" s="2" t="str">
        <f t="shared" si="74"/>
        <v>106,8</v>
      </c>
      <c r="AJ80" s="2" t="str">
        <f t="shared" si="94"/>
        <v>1,1038</v>
      </c>
      <c r="AM80" t="str">
        <f>N80&amp;"#"&amp;N223&amp;"#"&amp;N326</f>
        <v>104,61|105,30|106,15|1,830#104,92|105,45|106,23|1,1245#104,153|105,75|106,38|1,2075</v>
      </c>
      <c r="AN80" t="str">
        <f>O80&amp;"#"&amp;O223&amp;"#"&amp;O326</f>
        <v>##</v>
      </c>
      <c r="AO80" t="str">
        <f>P80&amp;"#"&amp;P223&amp;"#"&amp;P326</f>
        <v>1,14900#1,22350#11,1|1,37250</v>
      </c>
      <c r="AP80" t="str">
        <f>Q80&amp;"#"&amp;Q223&amp;"#"&amp;Q326</f>
        <v>1,29600|4,6#162,1|1,44400|4,6#163,1|1,74000|4,6</v>
      </c>
      <c r="AQ80" t="str">
        <f>R80&amp;"#"&amp;R223&amp;"#"&amp;R326</f>
        <v>104,304|105,152|106,73|3,200#104,456|105,228|106,110|3,300#104,760|105,380|106,183|3,500</v>
      </c>
      <c r="AR80" t="str">
        <f>S80&amp;"#"&amp;S223&amp;"#"&amp;S326</f>
        <v>104,31|105,15|106,8|1,1038#104,46|105,23|106,12|1,1557#104,77|105,38|106,19|1,2594</v>
      </c>
    </row>
    <row r="81" spans="1:44" s="3" customFormat="1" x14ac:dyDescent="0.25">
      <c r="A81" s="17">
        <v>79</v>
      </c>
      <c r="B81" s="19">
        <f>IF(关卡产出!C86="","",关卡产出!C86)</f>
        <v>62</v>
      </c>
      <c r="C81" s="19">
        <f>IF(关卡产出!D86="","",关卡产出!D86)</f>
        <v>31</v>
      </c>
      <c r="D81" s="19">
        <f>IF(关卡产出!E86="","",关卡产出!E86)</f>
        <v>15</v>
      </c>
      <c r="E81" s="19">
        <f>IF(关卡产出!F86="","",关卡产出!F86)</f>
        <v>850</v>
      </c>
      <c r="F81" s="15">
        <f>IF(关卡产出!H86="","",关卡产出!H86)</f>
        <v>15100</v>
      </c>
      <c r="G81" s="19">
        <f>IF(关卡产出!J86="","",关卡产出!J86)</f>
        <v>30000</v>
      </c>
      <c r="H81" s="19">
        <f>IF(关卡产出!K86="","",关卡产出!K86)</f>
        <v>6</v>
      </c>
      <c r="I81" s="19">
        <f>IF(关卡产出!M86="","",关卡产出!M86)</f>
        <v>308</v>
      </c>
      <c r="J81" s="19">
        <f>IF(关卡产出!N86="","",关卡产出!N86)</f>
        <v>154</v>
      </c>
      <c r="K81" s="19">
        <f>IF(关卡产出!O86="","",关卡产出!O86)</f>
        <v>74</v>
      </c>
      <c r="L81" s="19">
        <f>IF(关卡产出!P86="","",关卡产出!P86)</f>
        <v>200</v>
      </c>
      <c r="M81">
        <f t="shared" si="85"/>
        <v>4250</v>
      </c>
      <c r="N81" s="3" t="str">
        <f t="shared" si="86"/>
        <v>104,62|105,31|106,15|1,850</v>
      </c>
      <c r="P81" s="3" t="str">
        <f t="shared" si="87"/>
        <v>1,15100</v>
      </c>
      <c r="Q81" s="3" t="str">
        <f t="shared" si="88"/>
        <v>1,30000|4,6</v>
      </c>
      <c r="R81" s="3" t="str">
        <f t="shared" si="89"/>
        <v>104,308|105,154|106,74|3,200</v>
      </c>
      <c r="S81" s="3" t="str">
        <f t="shared" si="90"/>
        <v>104,31|105,16|106,8|1,1063</v>
      </c>
      <c r="V81" s="3" t="str">
        <f t="shared" si="91"/>
        <v>104,62</v>
      </c>
      <c r="W81" s="3" t="str">
        <f t="shared" si="65"/>
        <v>105,31</v>
      </c>
      <c r="X81" s="3" t="str">
        <f t="shared" si="66"/>
        <v>106,15</v>
      </c>
      <c r="Y81" s="3" t="str">
        <f t="shared" si="67"/>
        <v>1,850</v>
      </c>
      <c r="AB81" s="3" t="str">
        <f t="shared" si="92"/>
        <v>104,308</v>
      </c>
      <c r="AC81" s="3" t="str">
        <f t="shared" si="69"/>
        <v>105,154</v>
      </c>
      <c r="AD81" s="3" t="str">
        <f t="shared" si="70"/>
        <v>106,74</v>
      </c>
      <c r="AE81" s="3" t="str">
        <f t="shared" si="71"/>
        <v>3,200</v>
      </c>
      <c r="AG81" s="3" t="str">
        <f t="shared" si="93"/>
        <v>104,31</v>
      </c>
      <c r="AH81" s="3" t="str">
        <f t="shared" si="73"/>
        <v>105,16</v>
      </c>
      <c r="AI81" s="3" t="str">
        <f t="shared" si="74"/>
        <v>106,8</v>
      </c>
      <c r="AJ81" s="3" t="str">
        <f t="shared" si="94"/>
        <v>1,1063</v>
      </c>
      <c r="AM81" t="str">
        <f>N81&amp;"#"&amp;N224&amp;"#"&amp;N327</f>
        <v>104,62|105,31|106,15|1,850#104,93|105,47|106,23|1,1275#104,155|105,78|106,38|1,2125</v>
      </c>
      <c r="AN81" t="str">
        <f>O81&amp;"#"&amp;O224&amp;"#"&amp;O327</f>
        <v>##</v>
      </c>
      <c r="AO81" t="str">
        <f>P81&amp;"#"&amp;P224&amp;"#"&amp;P327</f>
        <v>1,15100#1,22650#11,1|1,37750</v>
      </c>
      <c r="AP81" t="str">
        <f>Q81&amp;"#"&amp;Q224&amp;"#"&amp;Q327</f>
        <v>1,30000|4,6#162,1|1,45000|4,6#163,1|1,75000|4,6</v>
      </c>
      <c r="AQ81" t="str">
        <f>R81&amp;"#"&amp;R224&amp;"#"&amp;R327</f>
        <v>104,308|105,154|106,74|3,200#104,462|105,231|106,111|3,300#104,770|105,385|106,185|3,500</v>
      </c>
      <c r="AR81" t="str">
        <f>S81&amp;"#"&amp;S224&amp;"#"&amp;S327</f>
        <v>104,31|105,16|106,8|1,1063#104,47|105,24|106,12|1,1594#104,78|105,39|106,19|1,2657</v>
      </c>
    </row>
    <row r="82" spans="1:44" s="2" customFormat="1" x14ac:dyDescent="0.25">
      <c r="A82" s="17">
        <v>80</v>
      </c>
      <c r="B82" s="18">
        <f>IF(关卡产出!C87="","",关卡产出!C87)</f>
        <v>62</v>
      </c>
      <c r="C82" s="18">
        <f>IF(关卡产出!D87="","",关卡产出!D87)</f>
        <v>31</v>
      </c>
      <c r="D82" s="18">
        <f>IF(关卡产出!E87="","",关卡产出!E87)</f>
        <v>15</v>
      </c>
      <c r="E82" s="18">
        <f>IF(关卡产出!F87="","",关卡产出!F87)</f>
        <v>850</v>
      </c>
      <c r="F82" s="15">
        <f>IF(关卡产出!H87="","",关卡产出!H87)</f>
        <v>15300</v>
      </c>
      <c r="G82" s="18">
        <f>IF(关卡产出!J87="","",关卡产出!J87)</f>
        <v>30400</v>
      </c>
      <c r="H82" s="18">
        <f>IF(关卡产出!K87="","",关卡产出!K87)</f>
        <v>6</v>
      </c>
      <c r="I82" s="18">
        <f>IF(关卡产出!M87="","",关卡产出!M87)</f>
        <v>312</v>
      </c>
      <c r="J82" s="18">
        <f>IF(关卡产出!N87="","",关卡产出!N87)</f>
        <v>156</v>
      </c>
      <c r="K82" s="18">
        <f>IF(关卡产出!O87="","",关卡产出!O87)</f>
        <v>75</v>
      </c>
      <c r="L82" s="18">
        <f>IF(关卡产出!P87="","",关卡产出!P87)</f>
        <v>200</v>
      </c>
      <c r="M82">
        <f t="shared" si="85"/>
        <v>4250</v>
      </c>
      <c r="N82" s="2" t="str">
        <f t="shared" si="86"/>
        <v>104,62|105,31|106,15|1,850</v>
      </c>
      <c r="P82" s="2" t="str">
        <f t="shared" si="87"/>
        <v>1,15300</v>
      </c>
      <c r="Q82" s="2" t="str">
        <f t="shared" si="88"/>
        <v>1,30400|4,6</v>
      </c>
      <c r="R82" s="2" t="str">
        <f t="shared" si="89"/>
        <v>104,312|105,156|106,75|3,200</v>
      </c>
      <c r="S82" s="2" t="str">
        <f t="shared" si="90"/>
        <v>104,31|105,16|106,8|1,1063</v>
      </c>
      <c r="V82" s="2" t="str">
        <f t="shared" si="91"/>
        <v>104,62</v>
      </c>
      <c r="W82" s="2" t="str">
        <f t="shared" si="65"/>
        <v>105,31</v>
      </c>
      <c r="X82" s="2" t="str">
        <f t="shared" si="66"/>
        <v>106,15</v>
      </c>
      <c r="Y82" s="2" t="str">
        <f t="shared" si="67"/>
        <v>1,850</v>
      </c>
      <c r="AB82" s="2" t="str">
        <f t="shared" si="92"/>
        <v>104,312</v>
      </c>
      <c r="AC82" s="2" t="str">
        <f t="shared" si="69"/>
        <v>105,156</v>
      </c>
      <c r="AD82" s="2" t="str">
        <f t="shared" si="70"/>
        <v>106,75</v>
      </c>
      <c r="AE82" s="2" t="str">
        <f t="shared" si="71"/>
        <v>3,200</v>
      </c>
      <c r="AG82" s="2" t="str">
        <f t="shared" si="93"/>
        <v>104,31</v>
      </c>
      <c r="AH82" s="2" t="str">
        <f t="shared" si="73"/>
        <v>105,16</v>
      </c>
      <c r="AI82" s="2" t="str">
        <f t="shared" si="74"/>
        <v>106,8</v>
      </c>
      <c r="AJ82" s="2" t="str">
        <f t="shared" si="94"/>
        <v>1,1063</v>
      </c>
      <c r="AM82" t="str">
        <f>N82&amp;"#"&amp;N225&amp;"#"&amp;N328</f>
        <v>104,62|105,31|106,15|1,850#104,93|105,47|106,23|1,1275#104,155|105,78|106,38|1,2125</v>
      </c>
      <c r="AN82" t="str">
        <f>O82&amp;"#"&amp;O225&amp;"#"&amp;O328</f>
        <v>##</v>
      </c>
      <c r="AO82" t="str">
        <f>P82&amp;"#"&amp;P225&amp;"#"&amp;P328</f>
        <v>1,15300#1,22950#11,1|1,38250</v>
      </c>
      <c r="AP82" t="str">
        <f>Q82&amp;"#"&amp;Q225&amp;"#"&amp;Q328</f>
        <v>1,30400|4,6#162,1|1,45600|4,6#163,1|1,76000|4,6</v>
      </c>
      <c r="AQ82" t="str">
        <f>R82&amp;"#"&amp;R225&amp;"#"&amp;R328</f>
        <v>104,312|105,156|106,75|3,200#104,468|105,234|106,113|3,300#104,780|105,390|106,188|3,500</v>
      </c>
      <c r="AR82" t="str">
        <f>S82&amp;"#"&amp;S225&amp;"#"&amp;S328</f>
        <v>104,31|105,16|106,8|1,1063#104,47|105,24|106,12|1,1594#104,78|105,39|106,19|1,2657</v>
      </c>
    </row>
    <row r="83" spans="1:44" x14ac:dyDescent="0.25">
      <c r="A83" s="14">
        <v>81</v>
      </c>
      <c r="B83" s="15">
        <f>IF(关卡产出!C88="","",关卡产出!C88)</f>
        <v>63</v>
      </c>
      <c r="C83" s="15">
        <f>IF(关卡产出!D88="","",关卡产出!D88)</f>
        <v>31</v>
      </c>
      <c r="D83" s="15">
        <f>IF(关卡产出!E88="","",关卡产出!E88)</f>
        <v>15</v>
      </c>
      <c r="E83" s="15">
        <f>IF(关卡产出!F88="","",关卡产出!F88)</f>
        <v>870</v>
      </c>
      <c r="F83" s="15">
        <f>IF(关卡产出!H88="","",关卡产出!H88)</f>
        <v>15500</v>
      </c>
      <c r="G83" s="15">
        <f>IF(关卡产出!J88="","",关卡产出!J88)</f>
        <v>30800</v>
      </c>
      <c r="H83" s="15">
        <f>IF(关卡产出!K88="","",关卡产出!K88)</f>
        <v>6</v>
      </c>
      <c r="I83" s="15">
        <f>IF(关卡产出!M88="","",关卡产出!M88)</f>
        <v>316</v>
      </c>
      <c r="J83" s="15">
        <f>IF(关卡产出!N88="","",关卡产出!N88)</f>
        <v>158</v>
      </c>
      <c r="K83" s="15">
        <f>IF(关卡产出!O88="","",关卡产出!O88)</f>
        <v>76</v>
      </c>
      <c r="L83" s="15">
        <f>IF(关卡产出!P88="","",关卡产出!P88)</f>
        <v>200</v>
      </c>
      <c r="M83">
        <f t="shared" si="85"/>
        <v>4350</v>
      </c>
      <c r="N83" t="str">
        <f t="shared" si="86"/>
        <v>104,63|105,31|106,15|1,870</v>
      </c>
      <c r="P83" t="str">
        <f t="shared" si="87"/>
        <v>1,15500</v>
      </c>
      <c r="Q83" t="str">
        <f t="shared" si="88"/>
        <v>1,30800|4,6</v>
      </c>
      <c r="R83" t="str">
        <f t="shared" si="89"/>
        <v>104,316|105,158|106,76|3,200</v>
      </c>
      <c r="S83" t="str">
        <f t="shared" si="90"/>
        <v>104,32|105,16|106,8|1,1088</v>
      </c>
      <c r="V83" t="str">
        <f t="shared" si="91"/>
        <v>104,63</v>
      </c>
      <c r="W83" t="str">
        <f t="shared" si="65"/>
        <v>105,31</v>
      </c>
      <c r="X83" t="str">
        <f t="shared" si="66"/>
        <v>106,15</v>
      </c>
      <c r="Y83" t="str">
        <f t="shared" si="67"/>
        <v>1,870</v>
      </c>
      <c r="AB83" t="str">
        <f t="shared" si="92"/>
        <v>104,316</v>
      </c>
      <c r="AC83" t="str">
        <f t="shared" si="69"/>
        <v>105,158</v>
      </c>
      <c r="AD83" t="str">
        <f t="shared" si="70"/>
        <v>106,76</v>
      </c>
      <c r="AE83" t="str">
        <f t="shared" si="71"/>
        <v>3,200</v>
      </c>
      <c r="AG83" t="str">
        <f t="shared" si="93"/>
        <v>104,32</v>
      </c>
      <c r="AH83" t="str">
        <f t="shared" si="73"/>
        <v>105,16</v>
      </c>
      <c r="AI83" t="str">
        <f t="shared" si="74"/>
        <v>106,8</v>
      </c>
      <c r="AJ83" t="str">
        <f t="shared" si="94"/>
        <v>1,1088</v>
      </c>
      <c r="AM83" t="str">
        <f>N83&amp;"#"&amp;N226&amp;"#"&amp;N329</f>
        <v>104,63|105,31|106,15|1,870#104,95|105,47|106,23|1,1305#104,158|105,78|106,38|1,2175</v>
      </c>
      <c r="AN83" t="str">
        <f>O83&amp;"#"&amp;O226&amp;"#"&amp;O329</f>
        <v>##</v>
      </c>
      <c r="AO83" t="str">
        <f>P83&amp;"#"&amp;P226&amp;"#"&amp;P329</f>
        <v>1,15500#1,23250#11,1|1,38750</v>
      </c>
      <c r="AP83" t="str">
        <f>Q83&amp;"#"&amp;Q226&amp;"#"&amp;Q329</f>
        <v>1,30800|4,6#162,1|1,46200|4,6#163,1|1,77000|4,6</v>
      </c>
      <c r="AQ83" t="str">
        <f>R83&amp;"#"&amp;R226&amp;"#"&amp;R329</f>
        <v>104,316|105,158|106,76|3,200#104,474|105,237|106,114|3,300#104,790|105,395|106,190|3,500</v>
      </c>
      <c r="AR83" t="str">
        <f>S83&amp;"#"&amp;S226&amp;"#"&amp;S329</f>
        <v>104,32|105,16|106,8|1,1088#104,48|105,24|106,12|1,1632#104,79|105,39|106,19|1,2719</v>
      </c>
    </row>
    <row r="84" spans="1:44" x14ac:dyDescent="0.25">
      <c r="A84" s="14">
        <v>82</v>
      </c>
      <c r="B84" s="15">
        <f>IF(关卡产出!C89="","",关卡产出!C89)</f>
        <v>64</v>
      </c>
      <c r="C84" s="15">
        <f>IF(关卡产出!D89="","",关卡产出!D89)</f>
        <v>32</v>
      </c>
      <c r="D84" s="15">
        <f>IF(关卡产出!E89="","",关卡产出!E89)</f>
        <v>15</v>
      </c>
      <c r="E84" s="15">
        <f>IF(关卡产出!F89="","",关卡产出!F89)</f>
        <v>870</v>
      </c>
      <c r="F84" s="15">
        <f>IF(关卡产出!H89="","",关卡产出!H89)</f>
        <v>15700</v>
      </c>
      <c r="G84" s="15">
        <f>IF(关卡产出!J89="","",关卡产出!J89)</f>
        <v>31200</v>
      </c>
      <c r="H84" s="15">
        <f>IF(关卡产出!K89="","",关卡产出!K89)</f>
        <v>6</v>
      </c>
      <c r="I84" s="15">
        <f>IF(关卡产出!M89="","",关卡产出!M89)</f>
        <v>320</v>
      </c>
      <c r="J84" s="15">
        <f>IF(关卡产出!N89="","",关卡产出!N89)</f>
        <v>160</v>
      </c>
      <c r="K84" s="15">
        <f>IF(关卡产出!O89="","",关卡产出!O89)</f>
        <v>77</v>
      </c>
      <c r="L84" s="15">
        <f>IF(关卡产出!P89="","",关卡产出!P89)</f>
        <v>200</v>
      </c>
      <c r="M84">
        <f t="shared" si="85"/>
        <v>4350</v>
      </c>
      <c r="N84" t="str">
        <f t="shared" si="86"/>
        <v>104,64|105,32|106,15|1,870</v>
      </c>
      <c r="P84" t="str">
        <f t="shared" si="87"/>
        <v>1,15700</v>
      </c>
      <c r="Q84" t="str">
        <f t="shared" si="88"/>
        <v>1,31200|4,6</v>
      </c>
      <c r="R84" t="str">
        <f t="shared" si="89"/>
        <v>104,320|105,160|106,77|3,200</v>
      </c>
      <c r="S84" t="str">
        <f t="shared" si="90"/>
        <v>104,32|105,16|106,8|1,1088</v>
      </c>
      <c r="V84" t="str">
        <f t="shared" si="91"/>
        <v>104,64</v>
      </c>
      <c r="W84" t="str">
        <f t="shared" si="65"/>
        <v>105,32</v>
      </c>
      <c r="X84" t="str">
        <f t="shared" si="66"/>
        <v>106,15</v>
      </c>
      <c r="Y84" t="str">
        <f t="shared" si="67"/>
        <v>1,870</v>
      </c>
      <c r="AB84" t="str">
        <f t="shared" si="92"/>
        <v>104,320</v>
      </c>
      <c r="AC84" t="str">
        <f t="shared" si="69"/>
        <v>105,160</v>
      </c>
      <c r="AD84" t="str">
        <f t="shared" si="70"/>
        <v>106,77</v>
      </c>
      <c r="AE84" t="str">
        <f t="shared" si="71"/>
        <v>3,200</v>
      </c>
      <c r="AG84" t="str">
        <f t="shared" si="93"/>
        <v>104,32</v>
      </c>
      <c r="AH84" t="str">
        <f t="shared" si="73"/>
        <v>105,16</v>
      </c>
      <c r="AI84" t="str">
        <f t="shared" si="74"/>
        <v>106,8</v>
      </c>
      <c r="AJ84" t="str">
        <f t="shared" si="94"/>
        <v>1,1088</v>
      </c>
      <c r="AM84" t="str">
        <f>N84&amp;"#"&amp;N227&amp;"#"&amp;N330</f>
        <v>104,64|105,32|106,15|1,870#104,96|105,48|106,23|1,1305#104,160|105,80|106,38|1,2175</v>
      </c>
      <c r="AN84" t="str">
        <f>O84&amp;"#"&amp;O227&amp;"#"&amp;O330</f>
        <v>##</v>
      </c>
      <c r="AO84" t="str">
        <f>P84&amp;"#"&amp;P227&amp;"#"&amp;P330</f>
        <v>1,15700#1,23550#11,1|1,39250</v>
      </c>
      <c r="AP84" t="str">
        <f>Q84&amp;"#"&amp;Q227&amp;"#"&amp;Q330</f>
        <v>1,31200|4,6#162,1|1,46800|4,6#163,1|1,78000|4,6</v>
      </c>
      <c r="AQ84" t="str">
        <f>R84&amp;"#"&amp;R227&amp;"#"&amp;R330</f>
        <v>104,320|105,160|106,77|3,200#104,480|105,240|106,116|3,300#104,800|105,400|106,193|3,500</v>
      </c>
      <c r="AR84" t="str">
        <f>S84&amp;"#"&amp;S227&amp;"#"&amp;S330</f>
        <v>104,32|105,16|106,8|1,1088#104,48|105,24|106,12|1,1632#104,80|105,40|106,19|1,2719</v>
      </c>
    </row>
    <row r="85" spans="1:44" x14ac:dyDescent="0.25">
      <c r="A85" s="14">
        <v>83</v>
      </c>
      <c r="B85" s="15">
        <f>IF(关卡产出!C90="","",关卡产出!C90)</f>
        <v>65</v>
      </c>
      <c r="C85" s="15">
        <f>IF(关卡产出!D90="","",关卡产出!D90)</f>
        <v>32</v>
      </c>
      <c r="D85" s="15">
        <f>IF(关卡产出!E90="","",关卡产出!E90)</f>
        <v>16</v>
      </c>
      <c r="E85" s="15">
        <f>IF(关卡产出!F90="","",关卡产出!F90)</f>
        <v>890</v>
      </c>
      <c r="F85" s="15">
        <f>IF(关卡产出!H90="","",关卡产出!H90)</f>
        <v>15900</v>
      </c>
      <c r="G85" s="15">
        <f>IF(关卡产出!J90="","",关卡产出!J90)</f>
        <v>31600</v>
      </c>
      <c r="H85" s="15">
        <f>IF(关卡产出!K90="","",关卡产出!K90)</f>
        <v>6</v>
      </c>
      <c r="I85" s="15">
        <f>IF(关卡产出!M90="","",关卡产出!M90)</f>
        <v>324</v>
      </c>
      <c r="J85" s="15">
        <f>IF(关卡产出!N90="","",关卡产出!N90)</f>
        <v>162</v>
      </c>
      <c r="K85" s="15">
        <f>IF(关卡产出!O90="","",关卡产出!O90)</f>
        <v>78</v>
      </c>
      <c r="L85" s="15">
        <f>IF(关卡产出!P90="","",关卡产出!P90)</f>
        <v>200</v>
      </c>
      <c r="M85">
        <f t="shared" si="85"/>
        <v>4450</v>
      </c>
      <c r="N85" t="str">
        <f t="shared" si="86"/>
        <v>104,65|105,32|106,16|1,890</v>
      </c>
      <c r="P85" t="str">
        <f t="shared" si="87"/>
        <v>1,15900</v>
      </c>
      <c r="Q85" t="str">
        <f t="shared" si="88"/>
        <v>1,31600|4,6</v>
      </c>
      <c r="R85" t="str">
        <f t="shared" si="89"/>
        <v>104,324|105,162|106,78|3,200</v>
      </c>
      <c r="S85" t="str">
        <f t="shared" si="90"/>
        <v>104,33|105,16|106,8|1,1113</v>
      </c>
      <c r="V85" t="str">
        <f t="shared" si="91"/>
        <v>104,65</v>
      </c>
      <c r="W85" t="str">
        <f t="shared" si="65"/>
        <v>105,32</v>
      </c>
      <c r="X85" t="str">
        <f t="shared" si="66"/>
        <v>106,16</v>
      </c>
      <c r="Y85" t="str">
        <f t="shared" si="67"/>
        <v>1,890</v>
      </c>
      <c r="AB85" t="str">
        <f t="shared" si="92"/>
        <v>104,324</v>
      </c>
      <c r="AC85" t="str">
        <f t="shared" si="69"/>
        <v>105,162</v>
      </c>
      <c r="AD85" t="str">
        <f t="shared" si="70"/>
        <v>106,78</v>
      </c>
      <c r="AE85" t="str">
        <f t="shared" si="71"/>
        <v>3,200</v>
      </c>
      <c r="AG85" t="str">
        <f t="shared" si="93"/>
        <v>104,33</v>
      </c>
      <c r="AH85" t="str">
        <f t="shared" si="73"/>
        <v>105,16</v>
      </c>
      <c r="AI85" t="str">
        <f t="shared" si="74"/>
        <v>106,8</v>
      </c>
      <c r="AJ85" t="str">
        <f t="shared" si="94"/>
        <v>1,1113</v>
      </c>
      <c r="AM85" t="str">
        <f>N85&amp;"#"&amp;N228&amp;"#"&amp;N331</f>
        <v>104,65|105,32|106,16|1,890#104,98|105,48|106,24|1,1335#104,163|105,80|106,40|1,2225</v>
      </c>
      <c r="AN85" t="str">
        <f>O85&amp;"#"&amp;O228&amp;"#"&amp;O331</f>
        <v>##</v>
      </c>
      <c r="AO85" t="str">
        <f>P85&amp;"#"&amp;P228&amp;"#"&amp;P331</f>
        <v>1,15900#1,23850#11,1|1,39750</v>
      </c>
      <c r="AP85" t="str">
        <f>Q85&amp;"#"&amp;Q228&amp;"#"&amp;Q331</f>
        <v>1,31600|4,6#162,1|1,47400|4,6#163,1|1,79000|4,6</v>
      </c>
      <c r="AQ85" t="str">
        <f>R85&amp;"#"&amp;R228&amp;"#"&amp;R331</f>
        <v>104,324|105,162|106,78|3,200#104,486|105,243|106,117|3,300#104,810|105,405|106,195|3,500</v>
      </c>
      <c r="AR85" t="str">
        <f>S85&amp;"#"&amp;S228&amp;"#"&amp;S331</f>
        <v>104,33|105,16|106,8|1,1113#104,49|105,24|106,12|1,1669#104,82|105,40|106,20|1,2782</v>
      </c>
    </row>
    <row r="86" spans="1:44" x14ac:dyDescent="0.25">
      <c r="A86" s="14">
        <v>84</v>
      </c>
      <c r="B86" s="15">
        <f>IF(关卡产出!C91="","",关卡产出!C91)</f>
        <v>66</v>
      </c>
      <c r="C86" s="15">
        <f>IF(关卡产出!D91="","",关卡产出!D91)</f>
        <v>33</v>
      </c>
      <c r="D86" s="15">
        <f>IF(关卡产出!E91="","",关卡产出!E91)</f>
        <v>16</v>
      </c>
      <c r="E86" s="15">
        <f>IF(关卡产出!F91="","",关卡产出!F91)</f>
        <v>890</v>
      </c>
      <c r="F86" s="15">
        <f>IF(关卡产出!H91="","",关卡产出!H91)</f>
        <v>16100</v>
      </c>
      <c r="G86" s="15">
        <f>IF(关卡产出!J91="","",关卡产出!J91)</f>
        <v>32000</v>
      </c>
      <c r="H86" s="15">
        <f>IF(关卡产出!K91="","",关卡产出!K91)</f>
        <v>6</v>
      </c>
      <c r="I86" s="15">
        <f>IF(关卡产出!M91="","",关卡产出!M91)</f>
        <v>328</v>
      </c>
      <c r="J86" s="15">
        <f>IF(关卡产出!N91="","",关卡产出!N91)</f>
        <v>164</v>
      </c>
      <c r="K86" s="15">
        <f>IF(关卡产出!O91="","",关卡产出!O91)</f>
        <v>79</v>
      </c>
      <c r="L86" s="15">
        <f>IF(关卡产出!P91="","",关卡产出!P91)</f>
        <v>200</v>
      </c>
      <c r="M86">
        <f t="shared" si="85"/>
        <v>4450</v>
      </c>
      <c r="N86" t="str">
        <f t="shared" si="86"/>
        <v>104,66|105,33|106,16|1,890</v>
      </c>
      <c r="P86" t="str">
        <f t="shared" si="87"/>
        <v>1,16100</v>
      </c>
      <c r="Q86" t="str">
        <f t="shared" si="88"/>
        <v>1,32000|4,6</v>
      </c>
      <c r="R86" t="str">
        <f t="shared" si="89"/>
        <v>104,328|105,164|106,79|3,200</v>
      </c>
      <c r="S86" t="str">
        <f t="shared" si="90"/>
        <v>104,33|105,17|106,8|1,1113</v>
      </c>
      <c r="V86" t="str">
        <f t="shared" si="91"/>
        <v>104,66</v>
      </c>
      <c r="W86" t="str">
        <f t="shared" si="65"/>
        <v>105,33</v>
      </c>
      <c r="X86" t="str">
        <f t="shared" si="66"/>
        <v>106,16</v>
      </c>
      <c r="Y86" t="str">
        <f t="shared" si="67"/>
        <v>1,890</v>
      </c>
      <c r="AB86" t="str">
        <f t="shared" si="92"/>
        <v>104,328</v>
      </c>
      <c r="AC86" t="str">
        <f t="shared" si="69"/>
        <v>105,164</v>
      </c>
      <c r="AD86" t="str">
        <f t="shared" si="70"/>
        <v>106,79</v>
      </c>
      <c r="AE86" t="str">
        <f t="shared" si="71"/>
        <v>3,200</v>
      </c>
      <c r="AG86" t="str">
        <f t="shared" si="93"/>
        <v>104,33</v>
      </c>
      <c r="AH86" t="str">
        <f t="shared" si="73"/>
        <v>105,17</v>
      </c>
      <c r="AI86" t="str">
        <f t="shared" si="74"/>
        <v>106,8</v>
      </c>
      <c r="AJ86" t="str">
        <f t="shared" si="94"/>
        <v>1,1113</v>
      </c>
      <c r="AM86" t="str">
        <f>N86&amp;"#"&amp;N229&amp;"#"&amp;N332</f>
        <v>104,66|105,33|106,16|1,890#104,99|105,50|106,24|1,1335#104,165|105,83|106,40|1,2225</v>
      </c>
      <c r="AN86" t="str">
        <f>O86&amp;"#"&amp;O229&amp;"#"&amp;O332</f>
        <v>##</v>
      </c>
      <c r="AO86" t="str">
        <f>P86&amp;"#"&amp;P229&amp;"#"&amp;P332</f>
        <v>1,16100#1,24150#11,1|1,40250</v>
      </c>
      <c r="AP86" t="str">
        <f>Q86&amp;"#"&amp;Q229&amp;"#"&amp;Q332</f>
        <v>1,32000|4,6#162,1|1,48000|4,6#163,1|1,80000|4,6</v>
      </c>
      <c r="AQ86" t="str">
        <f>R86&amp;"#"&amp;R229&amp;"#"&amp;R332</f>
        <v>104,328|105,164|106,79|3,200#104,492|105,246|106,119|3,300#104,820|105,410|106,198|3,500</v>
      </c>
      <c r="AR86" t="str">
        <f>S86&amp;"#"&amp;S229&amp;"#"&amp;S332</f>
        <v>104,33|105,17|106,8|1,1113#104,50|105,25|106,12|1,1669#104,83|105,42|106,20|1,2782</v>
      </c>
    </row>
    <row r="87" spans="1:44" x14ac:dyDescent="0.25">
      <c r="A87" s="14">
        <v>85</v>
      </c>
      <c r="B87" s="15">
        <f>IF(关卡产出!C92="","",关卡产出!C92)</f>
        <v>66</v>
      </c>
      <c r="C87" s="15">
        <f>IF(关卡产出!D92="","",关卡产出!D92)</f>
        <v>33</v>
      </c>
      <c r="D87" s="15">
        <f>IF(关卡产出!E92="","",关卡产出!E92)</f>
        <v>16</v>
      </c>
      <c r="E87" s="15">
        <f>IF(关卡产出!F92="","",关卡产出!F92)</f>
        <v>910</v>
      </c>
      <c r="F87" s="15">
        <f>IF(关卡产出!H92="","",关卡产出!H92)</f>
        <v>16300</v>
      </c>
      <c r="G87" s="15">
        <f>IF(关卡产出!J92="","",关卡产出!J92)</f>
        <v>32400</v>
      </c>
      <c r="H87" s="15">
        <f>IF(关卡产出!K92="","",关卡产出!K92)</f>
        <v>6</v>
      </c>
      <c r="I87" s="15">
        <f>IF(关卡产出!M92="","",关卡产出!M92)</f>
        <v>332</v>
      </c>
      <c r="J87" s="15">
        <f>IF(关卡产出!N92="","",关卡产出!N92)</f>
        <v>166</v>
      </c>
      <c r="K87" s="15">
        <f>IF(关卡产出!O92="","",关卡产出!O92)</f>
        <v>80</v>
      </c>
      <c r="L87" s="15">
        <f>IF(关卡产出!P92="","",关卡产出!P92)</f>
        <v>200</v>
      </c>
      <c r="M87">
        <f t="shared" si="85"/>
        <v>4550</v>
      </c>
      <c r="N87" t="str">
        <f t="shared" si="86"/>
        <v>104,66|105,33|106,16|1,910</v>
      </c>
      <c r="P87" t="str">
        <f t="shared" si="87"/>
        <v>1,16300</v>
      </c>
      <c r="Q87" t="str">
        <f t="shared" si="88"/>
        <v>1,32400|4,6</v>
      </c>
      <c r="R87" t="str">
        <f t="shared" si="89"/>
        <v>104,332|105,166|106,80|3,200</v>
      </c>
      <c r="S87" t="str">
        <f t="shared" si="90"/>
        <v>104,33|105,17|106,8|1,1138</v>
      </c>
      <c r="V87" t="str">
        <f t="shared" si="91"/>
        <v>104,66</v>
      </c>
      <c r="W87" t="str">
        <f t="shared" si="65"/>
        <v>105,33</v>
      </c>
      <c r="X87" t="str">
        <f t="shared" si="66"/>
        <v>106,16</v>
      </c>
      <c r="Y87" t="str">
        <f t="shared" si="67"/>
        <v>1,910</v>
      </c>
      <c r="AB87" t="str">
        <f t="shared" si="92"/>
        <v>104,332</v>
      </c>
      <c r="AC87" t="str">
        <f t="shared" si="69"/>
        <v>105,166</v>
      </c>
      <c r="AD87" t="str">
        <f t="shared" si="70"/>
        <v>106,80</v>
      </c>
      <c r="AE87" t="str">
        <f t="shared" si="71"/>
        <v>3,200</v>
      </c>
      <c r="AG87" t="str">
        <f t="shared" si="93"/>
        <v>104,33</v>
      </c>
      <c r="AH87" t="str">
        <f t="shared" si="73"/>
        <v>105,17</v>
      </c>
      <c r="AI87" t="str">
        <f t="shared" si="74"/>
        <v>106,8</v>
      </c>
      <c r="AJ87" t="str">
        <f t="shared" si="94"/>
        <v>1,1138</v>
      </c>
      <c r="AM87" t="str">
        <f>N87&amp;"#"&amp;N230&amp;"#"&amp;N333</f>
        <v>104,66|105,33|106,16|1,910#104,99|105,50|106,24|1,1365#104,165|105,83|106,40|1,2275</v>
      </c>
      <c r="AN87" t="str">
        <f>O87&amp;"#"&amp;O230&amp;"#"&amp;O333</f>
        <v>##</v>
      </c>
      <c r="AO87" t="str">
        <f>P87&amp;"#"&amp;P230&amp;"#"&amp;P333</f>
        <v>1,16300#1,24450#11,1|1,40750</v>
      </c>
      <c r="AP87" t="str">
        <f>Q87&amp;"#"&amp;Q230&amp;"#"&amp;Q333</f>
        <v>1,32400|4,6#162,1|1,48600|4,6#163,1|1,81000|4,6</v>
      </c>
      <c r="AQ87" t="str">
        <f>R87&amp;"#"&amp;R230&amp;"#"&amp;R333</f>
        <v>104,332|105,166|106,80|3,200#104,498|105,249|106,120|3,300#104,830|105,415|106,200|3,500</v>
      </c>
      <c r="AR87" t="str">
        <f>S87&amp;"#"&amp;S230&amp;"#"&amp;S333</f>
        <v>104,33|105,17|106,8|1,1138#104,50|105,25|106,12|1,1707#104,83|105,42|106,20|1,2844</v>
      </c>
    </row>
    <row r="88" spans="1:44" x14ac:dyDescent="0.25">
      <c r="A88" s="14">
        <v>86</v>
      </c>
      <c r="B88" s="15">
        <f>IF(关卡产出!C93="","",关卡产出!C93)</f>
        <v>67</v>
      </c>
      <c r="C88" s="15">
        <f>IF(关卡产出!D93="","",关卡产出!D93)</f>
        <v>33</v>
      </c>
      <c r="D88" s="15">
        <f>IF(关卡产出!E93="","",关卡产出!E93)</f>
        <v>16</v>
      </c>
      <c r="E88" s="15">
        <f>IF(关卡产出!F93="","",关卡产出!F93)</f>
        <v>910</v>
      </c>
      <c r="F88" s="15">
        <f>IF(关卡产出!H93="","",关卡产出!H93)</f>
        <v>16500</v>
      </c>
      <c r="G88" s="15">
        <f>IF(关卡产出!J93="","",关卡产出!J93)</f>
        <v>32800</v>
      </c>
      <c r="H88" s="15">
        <f>IF(关卡产出!K93="","",关卡产出!K93)</f>
        <v>6</v>
      </c>
      <c r="I88" s="15">
        <f>IF(关卡产出!M93="","",关卡产出!M93)</f>
        <v>336</v>
      </c>
      <c r="J88" s="15">
        <f>IF(关卡产出!N93="","",关卡产出!N93)</f>
        <v>168</v>
      </c>
      <c r="K88" s="15">
        <f>IF(关卡产出!O93="","",关卡产出!O93)</f>
        <v>81</v>
      </c>
      <c r="L88" s="15">
        <f>IF(关卡产出!P93="","",关卡产出!P93)</f>
        <v>200</v>
      </c>
      <c r="M88">
        <f t="shared" si="85"/>
        <v>4550</v>
      </c>
      <c r="N88" t="str">
        <f t="shared" si="86"/>
        <v>104,67|105,33|106,16|1,910</v>
      </c>
      <c r="P88" t="str">
        <f t="shared" si="87"/>
        <v>1,16500</v>
      </c>
      <c r="Q88" t="str">
        <f t="shared" si="88"/>
        <v>1,32800|4,6</v>
      </c>
      <c r="R88" t="str">
        <f t="shared" si="89"/>
        <v>104,336|105,168|106,81|3,200</v>
      </c>
      <c r="S88" t="str">
        <f t="shared" si="90"/>
        <v>104,34|105,17|106,8|1,1138</v>
      </c>
      <c r="V88" t="str">
        <f t="shared" si="91"/>
        <v>104,67</v>
      </c>
      <c r="W88" t="str">
        <f t="shared" si="65"/>
        <v>105,33</v>
      </c>
      <c r="X88" t="str">
        <f t="shared" si="66"/>
        <v>106,16</v>
      </c>
      <c r="Y88" t="str">
        <f t="shared" si="67"/>
        <v>1,910</v>
      </c>
      <c r="AB88" t="str">
        <f t="shared" si="92"/>
        <v>104,336</v>
      </c>
      <c r="AC88" t="str">
        <f t="shared" si="69"/>
        <v>105,168</v>
      </c>
      <c r="AD88" t="str">
        <f t="shared" si="70"/>
        <v>106,81</v>
      </c>
      <c r="AE88" t="str">
        <f t="shared" si="71"/>
        <v>3,200</v>
      </c>
      <c r="AG88" t="str">
        <f t="shared" si="93"/>
        <v>104,34</v>
      </c>
      <c r="AH88" t="str">
        <f t="shared" si="73"/>
        <v>105,17</v>
      </c>
      <c r="AI88" t="str">
        <f t="shared" si="74"/>
        <v>106,8</v>
      </c>
      <c r="AJ88" t="str">
        <f t="shared" si="94"/>
        <v>1,1138</v>
      </c>
      <c r="AM88" t="str">
        <f>N88&amp;"#"&amp;N231&amp;"#"&amp;N334</f>
        <v>104,67|105,33|106,16|1,910#104,101|105,50|106,24|1,1365#104,168|105,83|106,40|1,2275</v>
      </c>
      <c r="AN88" t="str">
        <f>O88&amp;"#"&amp;O231&amp;"#"&amp;O334</f>
        <v>##</v>
      </c>
      <c r="AO88" t="str">
        <f>P88&amp;"#"&amp;P231&amp;"#"&amp;P334</f>
        <v>1,16500#1,24750#11,1|1,41250</v>
      </c>
      <c r="AP88" t="str">
        <f>Q88&amp;"#"&amp;Q231&amp;"#"&amp;Q334</f>
        <v>1,32800|4,6#162,1|1,49200|4,6#163,1|1,82000|4,6</v>
      </c>
      <c r="AQ88" t="str">
        <f>R88&amp;"#"&amp;R231&amp;"#"&amp;R334</f>
        <v>104,336|105,168|106,81|3,200#104,504|105,252|106,122|3,300#104,840|105,420|106,203|3,500</v>
      </c>
      <c r="AR88" t="str">
        <f>S88&amp;"#"&amp;S231&amp;"#"&amp;S334</f>
        <v>104,34|105,17|106,8|1,1138#104,51|105,25|106,12|1,1707#104,84|105,42|106,20|1,2844</v>
      </c>
    </row>
    <row r="89" spans="1:44" x14ac:dyDescent="0.25">
      <c r="A89" s="14">
        <v>87</v>
      </c>
      <c r="B89" s="15">
        <f>IF(关卡产出!C94="","",关卡产出!C94)</f>
        <v>68</v>
      </c>
      <c r="C89" s="15">
        <f>IF(关卡产出!D94="","",关卡产出!D94)</f>
        <v>34</v>
      </c>
      <c r="D89" s="15">
        <f>IF(关卡产出!E94="","",关卡产出!E94)</f>
        <v>16</v>
      </c>
      <c r="E89" s="15">
        <f>IF(关卡产出!F94="","",关卡产出!F94)</f>
        <v>930</v>
      </c>
      <c r="F89" s="15">
        <f>IF(关卡产出!H94="","",关卡产出!H94)</f>
        <v>16700</v>
      </c>
      <c r="G89" s="15">
        <f>IF(关卡产出!J94="","",关卡产出!J94)</f>
        <v>33200</v>
      </c>
      <c r="H89" s="15">
        <f>IF(关卡产出!K94="","",关卡产出!K94)</f>
        <v>6</v>
      </c>
      <c r="I89" s="15">
        <f>IF(关卡产出!M94="","",关卡产出!M94)</f>
        <v>340</v>
      </c>
      <c r="J89" s="15">
        <f>IF(关卡产出!N94="","",关卡产出!N94)</f>
        <v>170</v>
      </c>
      <c r="K89" s="15">
        <f>IF(关卡产出!O94="","",关卡产出!O94)</f>
        <v>82</v>
      </c>
      <c r="L89" s="15">
        <f>IF(关卡产出!P94="","",关卡产出!P94)</f>
        <v>200</v>
      </c>
      <c r="M89">
        <f t="shared" si="85"/>
        <v>4650</v>
      </c>
      <c r="N89" t="str">
        <f t="shared" si="86"/>
        <v>104,68|105,34|106,16|1,930</v>
      </c>
      <c r="P89" t="str">
        <f t="shared" si="87"/>
        <v>1,16700</v>
      </c>
      <c r="Q89" t="str">
        <f t="shared" si="88"/>
        <v>1,33200|4,6</v>
      </c>
      <c r="R89" t="str">
        <f t="shared" si="89"/>
        <v>104,340|105,170|106,82|3,200</v>
      </c>
      <c r="S89" t="str">
        <f t="shared" si="90"/>
        <v>104,34|105,17|106,8|1,1163</v>
      </c>
      <c r="V89" t="str">
        <f t="shared" si="91"/>
        <v>104,68</v>
      </c>
      <c r="W89" t="str">
        <f t="shared" si="65"/>
        <v>105,34</v>
      </c>
      <c r="X89" t="str">
        <f t="shared" si="66"/>
        <v>106,16</v>
      </c>
      <c r="Y89" t="str">
        <f t="shared" si="67"/>
        <v>1,930</v>
      </c>
      <c r="AB89" t="str">
        <f t="shared" si="92"/>
        <v>104,340</v>
      </c>
      <c r="AC89" t="str">
        <f t="shared" si="69"/>
        <v>105,170</v>
      </c>
      <c r="AD89" t="str">
        <f t="shared" si="70"/>
        <v>106,82</v>
      </c>
      <c r="AE89" t="str">
        <f t="shared" si="71"/>
        <v>3,200</v>
      </c>
      <c r="AG89" t="str">
        <f t="shared" si="93"/>
        <v>104,34</v>
      </c>
      <c r="AH89" t="str">
        <f t="shared" si="73"/>
        <v>105,17</v>
      </c>
      <c r="AI89" t="str">
        <f t="shared" si="74"/>
        <v>106,8</v>
      </c>
      <c r="AJ89" t="str">
        <f t="shared" si="94"/>
        <v>1,1163</v>
      </c>
      <c r="AM89" t="str">
        <f>N89&amp;"#"&amp;N232&amp;"#"&amp;N335</f>
        <v>104,68|105,34|106,16|1,930#104,102|105,51|106,24|1,1395#104,170|105,85|106,40|1,2325</v>
      </c>
      <c r="AN89" t="str">
        <f>O89&amp;"#"&amp;O232&amp;"#"&amp;O335</f>
        <v>##</v>
      </c>
      <c r="AO89" t="str">
        <f>P89&amp;"#"&amp;P232&amp;"#"&amp;P335</f>
        <v>1,16700#1,25050#11,1|1,41750</v>
      </c>
      <c r="AP89" t="str">
        <f>Q89&amp;"#"&amp;Q232&amp;"#"&amp;Q335</f>
        <v>1,33200|4,6#162,1|1,49800|4,6#163,1|1,83000|4,6</v>
      </c>
      <c r="AQ89" t="str">
        <f>R89&amp;"#"&amp;R232&amp;"#"&amp;R335</f>
        <v>104,340|105,170|106,82|3,200#104,510|105,255|106,123|3,300#104,850|105,425|106,205|3,500</v>
      </c>
      <c r="AR89" t="str">
        <f>S89&amp;"#"&amp;S232&amp;"#"&amp;S335</f>
        <v>104,34|105,17|106,8|1,1163#104,51|105,26|106,12|1,1744#104,85|105,43|106,20|1,2907</v>
      </c>
    </row>
    <row r="90" spans="1:44" x14ac:dyDescent="0.25">
      <c r="A90" s="14">
        <v>88</v>
      </c>
      <c r="B90" s="15">
        <f>IF(关卡产出!C95="","",关卡产出!C95)</f>
        <v>69</v>
      </c>
      <c r="C90" s="15">
        <f>IF(关卡产出!D95="","",关卡产出!D95)</f>
        <v>34</v>
      </c>
      <c r="D90" s="15">
        <f>IF(关卡产出!E95="","",关卡产出!E95)</f>
        <v>17</v>
      </c>
      <c r="E90" s="15">
        <f>IF(关卡产出!F95="","",关卡产出!F95)</f>
        <v>930</v>
      </c>
      <c r="F90" s="15">
        <f>IF(关卡产出!H95="","",关卡产出!H95)</f>
        <v>16900</v>
      </c>
      <c r="G90" s="15">
        <f>IF(关卡产出!J95="","",关卡产出!J95)</f>
        <v>33600</v>
      </c>
      <c r="H90" s="15">
        <f>IF(关卡产出!K95="","",关卡产出!K95)</f>
        <v>6</v>
      </c>
      <c r="I90" s="15">
        <f>IF(关卡产出!M95="","",关卡产出!M95)</f>
        <v>344</v>
      </c>
      <c r="J90" s="15">
        <f>IF(关卡产出!N95="","",关卡产出!N95)</f>
        <v>172</v>
      </c>
      <c r="K90" s="15">
        <f>IF(关卡产出!O95="","",关卡产出!O95)</f>
        <v>83</v>
      </c>
      <c r="L90" s="15">
        <f>IF(关卡产出!P95="","",关卡产出!P95)</f>
        <v>200</v>
      </c>
      <c r="M90">
        <f t="shared" si="85"/>
        <v>4650</v>
      </c>
      <c r="N90" t="str">
        <f t="shared" si="86"/>
        <v>104,69|105,34|106,17|1,930</v>
      </c>
      <c r="P90" t="str">
        <f t="shared" si="87"/>
        <v>1,16900</v>
      </c>
      <c r="Q90" t="str">
        <f t="shared" si="88"/>
        <v>1,33600|4,6</v>
      </c>
      <c r="R90" t="str">
        <f t="shared" si="89"/>
        <v>104,344|105,172|106,83|3,200</v>
      </c>
      <c r="S90" t="str">
        <f t="shared" si="90"/>
        <v>104,35|105,17|106,9|1,1163</v>
      </c>
      <c r="V90" t="str">
        <f t="shared" si="91"/>
        <v>104,69</v>
      </c>
      <c r="W90" t="str">
        <f t="shared" si="65"/>
        <v>105,34</v>
      </c>
      <c r="X90" t="str">
        <f t="shared" si="66"/>
        <v>106,17</v>
      </c>
      <c r="Y90" t="str">
        <f t="shared" si="67"/>
        <v>1,930</v>
      </c>
      <c r="AB90" t="str">
        <f t="shared" si="92"/>
        <v>104,344</v>
      </c>
      <c r="AC90" t="str">
        <f t="shared" si="69"/>
        <v>105,172</v>
      </c>
      <c r="AD90" t="str">
        <f t="shared" si="70"/>
        <v>106,83</v>
      </c>
      <c r="AE90" t="str">
        <f t="shared" si="71"/>
        <v>3,200</v>
      </c>
      <c r="AG90" t="str">
        <f t="shared" si="93"/>
        <v>104,35</v>
      </c>
      <c r="AH90" t="str">
        <f t="shared" si="73"/>
        <v>105,17</v>
      </c>
      <c r="AI90" t="str">
        <f t="shared" si="74"/>
        <v>106,9</v>
      </c>
      <c r="AJ90" t="str">
        <f t="shared" si="94"/>
        <v>1,1163</v>
      </c>
      <c r="AM90" t="str">
        <f>N90&amp;"#"&amp;N233&amp;"#"&amp;N336</f>
        <v>104,69|105,34|106,17|1,930#104,104|105,51|106,26|1,1395#104,173|105,85|106,43|1,2325</v>
      </c>
      <c r="AN90" t="str">
        <f>O90&amp;"#"&amp;O233&amp;"#"&amp;O336</f>
        <v>##</v>
      </c>
      <c r="AO90" t="str">
        <f>P90&amp;"#"&amp;P233&amp;"#"&amp;P336</f>
        <v>1,16900#1,25350#11,1|1,42250</v>
      </c>
      <c r="AP90" t="str">
        <f>Q90&amp;"#"&amp;Q233&amp;"#"&amp;Q336</f>
        <v>1,33600|4,6#162,1|1,50400|4,6#163,1|1,84000|4,6</v>
      </c>
      <c r="AQ90" t="str">
        <f>R90&amp;"#"&amp;R233&amp;"#"&amp;R336</f>
        <v>104,344|105,172|106,83|3,200#104,516|105,258|106,125|3,300#104,860|105,430|106,208|3,500</v>
      </c>
      <c r="AR90" t="str">
        <f>S90&amp;"#"&amp;S233&amp;"#"&amp;S336</f>
        <v>104,35|105,17|106,9|1,1163#104,52|105,26|106,13|1,1744#104,87|105,43|106,22|1,2907</v>
      </c>
    </row>
    <row r="91" spans="1:44" x14ac:dyDescent="0.25">
      <c r="A91" s="14">
        <v>89</v>
      </c>
      <c r="B91" s="15">
        <f>IF(关卡产出!C96="","",关卡产出!C96)</f>
        <v>70</v>
      </c>
      <c r="C91" s="15">
        <f>IF(关卡产出!D96="","",关卡产出!D96)</f>
        <v>35</v>
      </c>
      <c r="D91" s="15">
        <f>IF(关卡产出!E96="","",关卡产出!E96)</f>
        <v>17</v>
      </c>
      <c r="E91" s="15">
        <f>IF(关卡产出!F96="","",关卡产出!F96)</f>
        <v>950</v>
      </c>
      <c r="F91" s="15">
        <f>IF(关卡产出!H96="","",关卡产出!H96)</f>
        <v>17100</v>
      </c>
      <c r="G91" s="15">
        <f>IF(关卡产出!J96="","",关卡产出!J96)</f>
        <v>34000</v>
      </c>
      <c r="H91" s="15">
        <f>IF(关卡产出!K96="","",关卡产出!K96)</f>
        <v>6</v>
      </c>
      <c r="I91" s="15">
        <f>IF(关卡产出!M96="","",关卡产出!M96)</f>
        <v>348</v>
      </c>
      <c r="J91" s="15">
        <f>IF(关卡产出!N96="","",关卡产出!N96)</f>
        <v>174</v>
      </c>
      <c r="K91" s="15">
        <f>IF(关卡产出!O96="","",关卡产出!O96)</f>
        <v>84</v>
      </c>
      <c r="L91" s="15">
        <f>IF(关卡产出!P96="","",关卡产出!P96)</f>
        <v>200</v>
      </c>
      <c r="M91">
        <f t="shared" si="85"/>
        <v>4750</v>
      </c>
      <c r="N91" t="str">
        <f t="shared" si="86"/>
        <v>104,70|105,35|106,17|1,950</v>
      </c>
      <c r="P91" t="str">
        <f t="shared" si="87"/>
        <v>1,17100</v>
      </c>
      <c r="Q91" t="str">
        <f t="shared" si="88"/>
        <v>1,34000|4,6</v>
      </c>
      <c r="R91" t="str">
        <f t="shared" si="89"/>
        <v>104,348|105,174|106,84|3,200</v>
      </c>
      <c r="S91" t="str">
        <f t="shared" si="90"/>
        <v>104,35|105,18|106,9|1,1188</v>
      </c>
      <c r="V91" t="str">
        <f t="shared" si="91"/>
        <v>104,70</v>
      </c>
      <c r="W91" t="str">
        <f t="shared" si="65"/>
        <v>105,35</v>
      </c>
      <c r="X91" t="str">
        <f t="shared" si="66"/>
        <v>106,17</v>
      </c>
      <c r="Y91" t="str">
        <f t="shared" si="67"/>
        <v>1,950</v>
      </c>
      <c r="AB91" t="str">
        <f t="shared" si="92"/>
        <v>104,348</v>
      </c>
      <c r="AC91" t="str">
        <f t="shared" si="69"/>
        <v>105,174</v>
      </c>
      <c r="AD91" t="str">
        <f t="shared" si="70"/>
        <v>106,84</v>
      </c>
      <c r="AE91" t="str">
        <f t="shared" si="71"/>
        <v>3,200</v>
      </c>
      <c r="AG91" t="str">
        <f t="shared" si="93"/>
        <v>104,35</v>
      </c>
      <c r="AH91" t="str">
        <f t="shared" si="73"/>
        <v>105,18</v>
      </c>
      <c r="AI91" t="str">
        <f t="shared" si="74"/>
        <v>106,9</v>
      </c>
      <c r="AJ91" t="str">
        <f t="shared" si="94"/>
        <v>1,1188</v>
      </c>
      <c r="AM91" t="str">
        <f>N91&amp;"#"&amp;N234&amp;"#"&amp;N337</f>
        <v>104,70|105,35|106,17|1,950#104,105|105,53|106,26|1,1425#104,175|105,88|106,43|1,2375</v>
      </c>
      <c r="AN91" t="str">
        <f>O91&amp;"#"&amp;O234&amp;"#"&amp;O337</f>
        <v>##</v>
      </c>
      <c r="AO91" t="str">
        <f>P91&amp;"#"&amp;P234&amp;"#"&amp;P337</f>
        <v>1,17100#1,25650#11,1|1,42750</v>
      </c>
      <c r="AP91" t="str">
        <f>Q91&amp;"#"&amp;Q234&amp;"#"&amp;Q337</f>
        <v>1,34000|4,6#162,1|1,51000|4,6#163,1|1,85000|4,6</v>
      </c>
      <c r="AQ91" t="str">
        <f>R91&amp;"#"&amp;R234&amp;"#"&amp;R337</f>
        <v>104,348|105,174|106,84|3,200#104,522|105,261|106,126|3,300#104,870|105,435|106,210|3,500</v>
      </c>
      <c r="AR91" t="str">
        <f>S91&amp;"#"&amp;S234&amp;"#"&amp;S337</f>
        <v>104,35|105,18|106,9|1,1188#104,53|105,27|106,13|1,1782#104,88|105,44|106,22|1,2969</v>
      </c>
    </row>
    <row r="92" spans="1:44" s="1" customFormat="1" x14ac:dyDescent="0.25">
      <c r="A92" s="14">
        <v>90</v>
      </c>
      <c r="B92" s="16">
        <f>IF(关卡产出!C97="","",关卡产出!C97)</f>
        <v>70</v>
      </c>
      <c r="C92" s="16">
        <f>IF(关卡产出!D97="","",关卡产出!D97)</f>
        <v>35</v>
      </c>
      <c r="D92" s="16">
        <f>IF(关卡产出!E97="","",关卡产出!E97)</f>
        <v>17</v>
      </c>
      <c r="E92" s="16">
        <f>IF(关卡产出!F97="","",关卡产出!F97)</f>
        <v>950</v>
      </c>
      <c r="F92" s="15">
        <f>IF(关卡产出!H97="","",关卡产出!H97)</f>
        <v>17300</v>
      </c>
      <c r="G92" s="16">
        <f>IF(关卡产出!J97="","",关卡产出!J97)</f>
        <v>34400</v>
      </c>
      <c r="H92" s="16">
        <f>IF(关卡产出!K97="","",关卡产出!K97)</f>
        <v>6</v>
      </c>
      <c r="I92" s="16">
        <f>IF(关卡产出!M97="","",关卡产出!M97)</f>
        <v>352</v>
      </c>
      <c r="J92" s="16">
        <f>IF(关卡产出!N97="","",关卡产出!N97)</f>
        <v>176</v>
      </c>
      <c r="K92" s="16">
        <f>IF(关卡产出!O97="","",关卡产出!O97)</f>
        <v>85</v>
      </c>
      <c r="L92" s="16">
        <f>IF(关卡产出!P97="","",关卡产出!P97)</f>
        <v>200</v>
      </c>
      <c r="M92">
        <f t="shared" si="85"/>
        <v>4750</v>
      </c>
      <c r="N92" s="1" t="str">
        <f t="shared" si="86"/>
        <v>104,70|105,35|106,17|1,950</v>
      </c>
      <c r="P92" s="1" t="str">
        <f t="shared" si="87"/>
        <v>1,17300</v>
      </c>
      <c r="Q92" s="1" t="str">
        <f t="shared" si="88"/>
        <v>1,34400|4,6</v>
      </c>
      <c r="R92" s="1" t="str">
        <f t="shared" si="89"/>
        <v>104,352|105,176|106,85|3,200</v>
      </c>
      <c r="S92" s="1" t="str">
        <f t="shared" si="90"/>
        <v>104,35|105,18|106,9|1,1188</v>
      </c>
      <c r="V92" s="1" t="str">
        <f t="shared" si="91"/>
        <v>104,70</v>
      </c>
      <c r="W92" s="1" t="str">
        <f t="shared" si="65"/>
        <v>105,35</v>
      </c>
      <c r="X92" s="1" t="str">
        <f t="shared" si="66"/>
        <v>106,17</v>
      </c>
      <c r="Y92" s="1" t="str">
        <f t="shared" si="67"/>
        <v>1,950</v>
      </c>
      <c r="AB92" s="1" t="str">
        <f t="shared" si="92"/>
        <v>104,352</v>
      </c>
      <c r="AC92" s="1" t="str">
        <f t="shared" si="69"/>
        <v>105,176</v>
      </c>
      <c r="AD92" s="1" t="str">
        <f t="shared" si="70"/>
        <v>106,85</v>
      </c>
      <c r="AE92" s="1" t="str">
        <f t="shared" si="71"/>
        <v>3,200</v>
      </c>
      <c r="AG92" s="1" t="str">
        <f t="shared" si="93"/>
        <v>104,35</v>
      </c>
      <c r="AH92" s="1" t="str">
        <f t="shared" si="73"/>
        <v>105,18</v>
      </c>
      <c r="AI92" s="1" t="str">
        <f t="shared" si="74"/>
        <v>106,9</v>
      </c>
      <c r="AJ92" s="1" t="str">
        <f t="shared" si="94"/>
        <v>1,1188</v>
      </c>
      <c r="AM92" t="str">
        <f>N92&amp;"#"&amp;N235&amp;"#"&amp;N338</f>
        <v>104,70|105,35|106,17|1,950#104,105|105,53|106,26|1,1425#104,175|105,88|106,43|1,2375</v>
      </c>
      <c r="AN92" t="str">
        <f>O92&amp;"#"&amp;O235&amp;"#"&amp;O338</f>
        <v>##</v>
      </c>
      <c r="AO92" t="str">
        <f>P92&amp;"#"&amp;P235&amp;"#"&amp;P338</f>
        <v>1,17300#1,25950#11,1|1,43250</v>
      </c>
      <c r="AP92" t="str">
        <f>Q92&amp;"#"&amp;Q235&amp;"#"&amp;Q338</f>
        <v>1,34400|4,6#162,1|1,51600|4,6#163,1|1,86000|4,6</v>
      </c>
      <c r="AQ92" t="str">
        <f>R92&amp;"#"&amp;R235&amp;"#"&amp;R338</f>
        <v>104,352|105,176|106,85|3,200#104,528|105,264|106,128|3,300#104,880|105,440|106,213|3,500</v>
      </c>
      <c r="AR92" t="str">
        <f>S92&amp;"#"&amp;S235&amp;"#"&amp;S338</f>
        <v>104,35|105,18|106,9|1,1188#104,53|105,27|106,13|1,1782#104,88|105,44|106,22|1,2969</v>
      </c>
    </row>
    <row r="93" spans="1:44" x14ac:dyDescent="0.25">
      <c r="A93" s="14">
        <v>91</v>
      </c>
      <c r="B93" s="15">
        <f>IF(关卡产出!C98="","",关卡产出!C98)</f>
        <v>71</v>
      </c>
      <c r="C93" s="15">
        <f>IF(关卡产出!D98="","",关卡产出!D98)</f>
        <v>35</v>
      </c>
      <c r="D93" s="15">
        <f>IF(关卡产出!E98="","",关卡产出!E98)</f>
        <v>17</v>
      </c>
      <c r="E93" s="15">
        <f>IF(关卡产出!F98="","",关卡产出!F98)</f>
        <v>970</v>
      </c>
      <c r="F93" s="15">
        <f>IF(关卡产出!H98="","",关卡产出!H98)</f>
        <v>17500</v>
      </c>
      <c r="G93" s="15">
        <f>IF(关卡产出!J98="","",关卡产出!J98)</f>
        <v>34800</v>
      </c>
      <c r="H93" s="15">
        <f>IF(关卡产出!K98="","",关卡产出!K98)</f>
        <v>6</v>
      </c>
      <c r="I93" s="15">
        <f>IF(关卡产出!M98="","",关卡产出!M98)</f>
        <v>356</v>
      </c>
      <c r="J93" s="15">
        <f>IF(关卡产出!N98="","",关卡产出!N98)</f>
        <v>178</v>
      </c>
      <c r="K93" s="15">
        <f>IF(关卡产出!O98="","",关卡产出!O98)</f>
        <v>86</v>
      </c>
      <c r="L93" s="15">
        <f>IF(关卡产出!P98="","",关卡产出!P98)</f>
        <v>200</v>
      </c>
      <c r="M93">
        <f t="shared" si="85"/>
        <v>4850</v>
      </c>
      <c r="N93" t="str">
        <f t="shared" si="86"/>
        <v>104,71|105,35|106,17|1,970</v>
      </c>
      <c r="P93" t="str">
        <f t="shared" si="87"/>
        <v>1,17500</v>
      </c>
      <c r="Q93" t="str">
        <f t="shared" si="88"/>
        <v>1,34800|4,6</v>
      </c>
      <c r="R93" t="str">
        <f t="shared" si="89"/>
        <v>104,356|105,178|106,86|3,200</v>
      </c>
      <c r="S93" t="str">
        <f t="shared" si="90"/>
        <v>104,36|105,18|106,9|1,1213</v>
      </c>
      <c r="V93" t="str">
        <f t="shared" si="91"/>
        <v>104,71</v>
      </c>
      <c r="W93" t="str">
        <f t="shared" si="65"/>
        <v>105,35</v>
      </c>
      <c r="X93" t="str">
        <f t="shared" si="66"/>
        <v>106,17</v>
      </c>
      <c r="Y93" t="str">
        <f t="shared" si="67"/>
        <v>1,970</v>
      </c>
      <c r="AB93" t="str">
        <f t="shared" si="92"/>
        <v>104,356</v>
      </c>
      <c r="AC93" t="str">
        <f t="shared" si="69"/>
        <v>105,178</v>
      </c>
      <c r="AD93" t="str">
        <f t="shared" si="70"/>
        <v>106,86</v>
      </c>
      <c r="AE93" t="str">
        <f t="shared" si="71"/>
        <v>3,200</v>
      </c>
      <c r="AG93" t="str">
        <f t="shared" si="93"/>
        <v>104,36</v>
      </c>
      <c r="AH93" t="str">
        <f t="shared" si="73"/>
        <v>105,18</v>
      </c>
      <c r="AI93" t="str">
        <f t="shared" si="74"/>
        <v>106,9</v>
      </c>
      <c r="AJ93" t="str">
        <f t="shared" si="94"/>
        <v>1,1213</v>
      </c>
      <c r="AM93" t="str">
        <f>N93&amp;"#"&amp;N236&amp;"#"&amp;N339</f>
        <v>104,71|105,35|106,17|1,970#104,107|105,53|106,26|1,1455#104,178|105,88|106,43|1,2425</v>
      </c>
      <c r="AN93" t="str">
        <f>O93&amp;"#"&amp;O236&amp;"#"&amp;O339</f>
        <v>##</v>
      </c>
      <c r="AO93" t="str">
        <f>P93&amp;"#"&amp;P236&amp;"#"&amp;P339</f>
        <v>1,17500#1,26250#11,1|1,43750</v>
      </c>
      <c r="AP93" t="str">
        <f>Q93&amp;"#"&amp;Q236&amp;"#"&amp;Q339</f>
        <v>1,34800|4,6#162,1|1,52200|4,6#163,1|1,87000|4,6</v>
      </c>
      <c r="AQ93" t="str">
        <f>R93&amp;"#"&amp;R236&amp;"#"&amp;R339</f>
        <v>104,356|105,178|106,86|3,200#104,534|105,267|106,129|3,300#104,890|105,445|106,215|3,500</v>
      </c>
      <c r="AR93" t="str">
        <f>S93&amp;"#"&amp;S236&amp;"#"&amp;S339</f>
        <v>104,36|105,18|106,9|1,1213#104,54|105,27|106,13|1,1819#104,89|105,44|106,22|1,3032</v>
      </c>
    </row>
    <row r="94" spans="1:44" x14ac:dyDescent="0.25">
      <c r="A94" s="14">
        <v>92</v>
      </c>
      <c r="B94" s="15">
        <f>IF(关卡产出!C99="","",关卡产出!C99)</f>
        <v>72</v>
      </c>
      <c r="C94" s="15">
        <f>IF(关卡产出!D99="","",关卡产出!D99)</f>
        <v>36</v>
      </c>
      <c r="D94" s="15">
        <f>IF(关卡产出!E99="","",关卡产出!E99)</f>
        <v>17</v>
      </c>
      <c r="E94" s="15">
        <f>IF(关卡产出!F99="","",关卡产出!F99)</f>
        <v>970</v>
      </c>
      <c r="F94" s="15">
        <f>IF(关卡产出!H99="","",关卡产出!H99)</f>
        <v>17700</v>
      </c>
      <c r="G94" s="15">
        <f>IF(关卡产出!J99="","",关卡产出!J99)</f>
        <v>35200</v>
      </c>
      <c r="H94" s="15">
        <f>IF(关卡产出!K99="","",关卡产出!K99)</f>
        <v>6</v>
      </c>
      <c r="I94" s="15">
        <f>IF(关卡产出!M99="","",关卡产出!M99)</f>
        <v>360</v>
      </c>
      <c r="J94" s="15">
        <f>IF(关卡产出!N99="","",关卡产出!N99)</f>
        <v>180</v>
      </c>
      <c r="K94" s="15">
        <f>IF(关卡产出!O99="","",关卡产出!O99)</f>
        <v>87</v>
      </c>
      <c r="L94" s="15">
        <f>IF(关卡产出!P99="","",关卡产出!P99)</f>
        <v>200</v>
      </c>
      <c r="M94">
        <f t="shared" si="85"/>
        <v>4850</v>
      </c>
      <c r="N94" t="str">
        <f t="shared" si="86"/>
        <v>104,72|105,36|106,17|1,970</v>
      </c>
      <c r="P94" t="str">
        <f t="shared" si="87"/>
        <v>1,17700</v>
      </c>
      <c r="Q94" t="str">
        <f t="shared" si="88"/>
        <v>1,35200|4,6</v>
      </c>
      <c r="R94" t="str">
        <f t="shared" si="89"/>
        <v>104,360|105,180|106,87|3,200</v>
      </c>
      <c r="S94" t="str">
        <f t="shared" si="90"/>
        <v>104,36|105,18|106,9|1,1213</v>
      </c>
      <c r="V94" t="str">
        <f t="shared" si="91"/>
        <v>104,72</v>
      </c>
      <c r="W94" t="str">
        <f t="shared" si="65"/>
        <v>105,36</v>
      </c>
      <c r="X94" t="str">
        <f t="shared" si="66"/>
        <v>106,17</v>
      </c>
      <c r="Y94" t="str">
        <f t="shared" si="67"/>
        <v>1,970</v>
      </c>
      <c r="AB94" t="str">
        <f t="shared" si="92"/>
        <v>104,360</v>
      </c>
      <c r="AC94" t="str">
        <f t="shared" si="69"/>
        <v>105,180</v>
      </c>
      <c r="AD94" t="str">
        <f t="shared" si="70"/>
        <v>106,87</v>
      </c>
      <c r="AE94" t="str">
        <f t="shared" si="71"/>
        <v>3,200</v>
      </c>
      <c r="AG94" t="str">
        <f t="shared" si="93"/>
        <v>104,36</v>
      </c>
      <c r="AH94" t="str">
        <f t="shared" si="73"/>
        <v>105,18</v>
      </c>
      <c r="AI94" t="str">
        <f t="shared" si="74"/>
        <v>106,9</v>
      </c>
      <c r="AJ94" t="str">
        <f t="shared" si="94"/>
        <v>1,1213</v>
      </c>
      <c r="AM94" t="str">
        <f>N94&amp;"#"&amp;N237&amp;"#"&amp;N340</f>
        <v>104,72|105,36|106,17|1,970#104,108|105,54|106,26|1,1455#104,180|105,90|106,43|1,2425</v>
      </c>
      <c r="AN94" t="str">
        <f>O94&amp;"#"&amp;O237&amp;"#"&amp;O340</f>
        <v>##</v>
      </c>
      <c r="AO94" t="str">
        <f>P94&amp;"#"&amp;P237&amp;"#"&amp;P340</f>
        <v>1,17700#1,26550#11,1|1,44250</v>
      </c>
      <c r="AP94" t="str">
        <f>Q94&amp;"#"&amp;Q237&amp;"#"&amp;Q340</f>
        <v>1,35200|4,6#162,1|1,52800|4,6#163,1|1,88000|4,6</v>
      </c>
      <c r="AQ94" t="str">
        <f>R94&amp;"#"&amp;R237&amp;"#"&amp;R340</f>
        <v>104,360|105,180|106,87|3,200#104,540|105,270|106,131|3,300#104,900|105,450|106,218|3,500</v>
      </c>
      <c r="AR94" t="str">
        <f>S94&amp;"#"&amp;S237&amp;"#"&amp;S340</f>
        <v>104,36|105,18|106,9|1,1213#104,54|105,27|106,13|1,1819#104,90|105,45|106,22|1,3032</v>
      </c>
    </row>
    <row r="95" spans="1:44" x14ac:dyDescent="0.25">
      <c r="A95" s="14">
        <v>93</v>
      </c>
      <c r="B95" s="15">
        <f>IF(关卡产出!C100="","",关卡产出!C100)</f>
        <v>73</v>
      </c>
      <c r="C95" s="15">
        <f>IF(关卡产出!D100="","",关卡产出!D100)</f>
        <v>36</v>
      </c>
      <c r="D95" s="15">
        <f>IF(关卡产出!E100="","",关卡产出!E100)</f>
        <v>18</v>
      </c>
      <c r="E95" s="15">
        <f>IF(关卡产出!F100="","",关卡产出!F100)</f>
        <v>990</v>
      </c>
      <c r="F95" s="15">
        <f>IF(关卡产出!H100="","",关卡产出!H100)</f>
        <v>17900</v>
      </c>
      <c r="G95" s="15">
        <f>IF(关卡产出!J100="","",关卡产出!J100)</f>
        <v>35600</v>
      </c>
      <c r="H95" s="15">
        <f>IF(关卡产出!K100="","",关卡产出!K100)</f>
        <v>6</v>
      </c>
      <c r="I95" s="15">
        <f>IF(关卡产出!M100="","",关卡产出!M100)</f>
        <v>364</v>
      </c>
      <c r="J95" s="15">
        <f>IF(关卡产出!N100="","",关卡产出!N100)</f>
        <v>182</v>
      </c>
      <c r="K95" s="15">
        <f>IF(关卡产出!O100="","",关卡产出!O100)</f>
        <v>88</v>
      </c>
      <c r="L95" s="15">
        <f>IF(关卡产出!P100="","",关卡产出!P100)</f>
        <v>200</v>
      </c>
      <c r="M95">
        <f t="shared" si="85"/>
        <v>4950</v>
      </c>
      <c r="N95" t="str">
        <f t="shared" si="86"/>
        <v>104,73|105,36|106,18|1,990</v>
      </c>
      <c r="P95" t="str">
        <f t="shared" si="87"/>
        <v>1,17900</v>
      </c>
      <c r="Q95" t="str">
        <f t="shared" si="88"/>
        <v>1,35600|4,6</v>
      </c>
      <c r="R95" t="str">
        <f t="shared" si="89"/>
        <v>104,364|105,182|106,88|3,200</v>
      </c>
      <c r="S95" t="str">
        <f t="shared" si="90"/>
        <v>104,37|105,18|106,9|1,1238</v>
      </c>
      <c r="V95" t="str">
        <f t="shared" si="91"/>
        <v>104,73</v>
      </c>
      <c r="W95" t="str">
        <f t="shared" si="65"/>
        <v>105,36</v>
      </c>
      <c r="X95" t="str">
        <f t="shared" si="66"/>
        <v>106,18</v>
      </c>
      <c r="Y95" t="str">
        <f t="shared" si="67"/>
        <v>1,990</v>
      </c>
      <c r="AB95" t="str">
        <f t="shared" si="92"/>
        <v>104,364</v>
      </c>
      <c r="AC95" t="str">
        <f t="shared" si="69"/>
        <v>105,182</v>
      </c>
      <c r="AD95" t="str">
        <f t="shared" si="70"/>
        <v>106,88</v>
      </c>
      <c r="AE95" t="str">
        <f t="shared" si="71"/>
        <v>3,200</v>
      </c>
      <c r="AG95" t="str">
        <f t="shared" si="93"/>
        <v>104,37</v>
      </c>
      <c r="AH95" t="str">
        <f t="shared" si="73"/>
        <v>105,18</v>
      </c>
      <c r="AI95" t="str">
        <f t="shared" si="74"/>
        <v>106,9</v>
      </c>
      <c r="AJ95" t="str">
        <f t="shared" si="94"/>
        <v>1,1238</v>
      </c>
      <c r="AM95" t="str">
        <f>N95&amp;"#"&amp;N238&amp;"#"&amp;N341</f>
        <v>104,73|105,36|106,18|1,990#104,110|105,54|106,27|1,1485#104,183|105,90|106,45|1,2475</v>
      </c>
      <c r="AN95" t="str">
        <f>O95&amp;"#"&amp;O238&amp;"#"&amp;O341</f>
        <v>##</v>
      </c>
      <c r="AO95" t="str">
        <f>P95&amp;"#"&amp;P238&amp;"#"&amp;P341</f>
        <v>1,17900#1,26850#11,1|1,44750</v>
      </c>
      <c r="AP95" t="str">
        <f>Q95&amp;"#"&amp;Q238&amp;"#"&amp;Q341</f>
        <v>1,35600|4,6#162,1|1,53400|4,6#163,1|1,89000|4,6</v>
      </c>
      <c r="AQ95" t="str">
        <f>R95&amp;"#"&amp;R238&amp;"#"&amp;R341</f>
        <v>104,364|105,182|106,88|3,200#104,546|105,273|106,132|3,300#104,910|105,455|106,220|3,500</v>
      </c>
      <c r="AR95" t="str">
        <f>S95&amp;"#"&amp;S238&amp;"#"&amp;S341</f>
        <v>104,37|105,18|106,9|1,1238#104,55|105,27|106,14|1,1857#104,92|105,45|106,23|1,3094</v>
      </c>
    </row>
    <row r="96" spans="1:44" x14ac:dyDescent="0.25">
      <c r="A96" s="14">
        <v>94</v>
      </c>
      <c r="B96" s="15">
        <f>IF(关卡产出!C101="","",关卡产出!C101)</f>
        <v>74</v>
      </c>
      <c r="C96" s="15">
        <f>IF(关卡产出!D101="","",关卡产出!D101)</f>
        <v>37</v>
      </c>
      <c r="D96" s="15">
        <f>IF(关卡产出!E101="","",关卡产出!E101)</f>
        <v>18</v>
      </c>
      <c r="E96" s="15">
        <f>IF(关卡产出!F101="","",关卡产出!F101)</f>
        <v>990</v>
      </c>
      <c r="F96" s="15">
        <f>IF(关卡产出!H101="","",关卡产出!H101)</f>
        <v>18100</v>
      </c>
      <c r="G96" s="15">
        <f>IF(关卡产出!J101="","",关卡产出!J101)</f>
        <v>36000</v>
      </c>
      <c r="H96" s="15">
        <f>IF(关卡产出!K101="","",关卡产出!K101)</f>
        <v>6</v>
      </c>
      <c r="I96" s="15">
        <f>IF(关卡产出!M101="","",关卡产出!M101)</f>
        <v>368</v>
      </c>
      <c r="J96" s="15">
        <f>IF(关卡产出!N101="","",关卡产出!N101)</f>
        <v>184</v>
      </c>
      <c r="K96" s="15">
        <f>IF(关卡产出!O101="","",关卡产出!O101)</f>
        <v>89</v>
      </c>
      <c r="L96" s="15">
        <f>IF(关卡产出!P101="","",关卡产出!P101)</f>
        <v>200</v>
      </c>
      <c r="M96">
        <f t="shared" si="85"/>
        <v>4950</v>
      </c>
      <c r="N96" t="str">
        <f t="shared" si="86"/>
        <v>104,74|105,37|106,18|1,990</v>
      </c>
      <c r="P96" t="str">
        <f t="shared" si="87"/>
        <v>1,18100</v>
      </c>
      <c r="Q96" t="str">
        <f t="shared" si="88"/>
        <v>1,36000|4,6</v>
      </c>
      <c r="R96" t="str">
        <f t="shared" si="89"/>
        <v>104,368|105,184|106,89|3,200</v>
      </c>
      <c r="S96" t="str">
        <f t="shared" si="90"/>
        <v>104,37|105,19|106,9|1,1238</v>
      </c>
      <c r="V96" t="str">
        <f t="shared" si="91"/>
        <v>104,74</v>
      </c>
      <c r="W96" t="str">
        <f t="shared" si="65"/>
        <v>105,37</v>
      </c>
      <c r="X96" t="str">
        <f t="shared" si="66"/>
        <v>106,18</v>
      </c>
      <c r="Y96" t="str">
        <f t="shared" si="67"/>
        <v>1,990</v>
      </c>
      <c r="AB96" t="str">
        <f t="shared" si="92"/>
        <v>104,368</v>
      </c>
      <c r="AC96" t="str">
        <f t="shared" si="69"/>
        <v>105,184</v>
      </c>
      <c r="AD96" t="str">
        <f t="shared" si="70"/>
        <v>106,89</v>
      </c>
      <c r="AE96" t="str">
        <f t="shared" si="71"/>
        <v>3,200</v>
      </c>
      <c r="AG96" t="str">
        <f t="shared" si="93"/>
        <v>104,37</v>
      </c>
      <c r="AH96" t="str">
        <f t="shared" si="73"/>
        <v>105,19</v>
      </c>
      <c r="AI96" t="str">
        <f t="shared" si="74"/>
        <v>106,9</v>
      </c>
      <c r="AJ96" t="str">
        <f t="shared" si="94"/>
        <v>1,1238</v>
      </c>
      <c r="AM96" t="str">
        <f>N96&amp;"#"&amp;N239&amp;"#"&amp;N342</f>
        <v>104,74|105,37|106,18|1,990#104,111|105,56|106,27|1,1485#104,185|105,93|106,45|1,2475</v>
      </c>
      <c r="AN96" t="str">
        <f>O96&amp;"#"&amp;O239&amp;"#"&amp;O342</f>
        <v>##</v>
      </c>
      <c r="AO96" t="str">
        <f>P96&amp;"#"&amp;P239&amp;"#"&amp;P342</f>
        <v>1,18100#1,27150#11,1|1,45250</v>
      </c>
      <c r="AP96" t="str">
        <f>Q96&amp;"#"&amp;Q239&amp;"#"&amp;Q342</f>
        <v>1,36000|4,6#162,1|1,54000|4,6#163,1|1,90000|4,6</v>
      </c>
      <c r="AQ96" t="str">
        <f>R96&amp;"#"&amp;R239&amp;"#"&amp;R342</f>
        <v>104,368|105,184|106,89|3,200#104,552|105,276|106,134|3,300#104,920|105,460|106,223|3,500</v>
      </c>
      <c r="AR96" t="str">
        <f>S96&amp;"#"&amp;S239&amp;"#"&amp;S342</f>
        <v>104,37|105,19|106,9|1,1238#104,56|105,28|106,14|1,1857#104,93|105,47|106,23|1,3094</v>
      </c>
    </row>
    <row r="97" spans="1:44" x14ac:dyDescent="0.25">
      <c r="A97" s="14">
        <v>95</v>
      </c>
      <c r="B97" s="15">
        <f>IF(关卡产出!C102="","",关卡产出!C102)</f>
        <v>74</v>
      </c>
      <c r="C97" s="15">
        <f>IF(关卡产出!D102="","",关卡产出!D102)</f>
        <v>37</v>
      </c>
      <c r="D97" s="15">
        <f>IF(关卡产出!E102="","",关卡产出!E102)</f>
        <v>18</v>
      </c>
      <c r="E97" s="15">
        <f>IF(关卡产出!F102="","",关卡产出!F102)</f>
        <v>1010</v>
      </c>
      <c r="F97" s="15">
        <f>IF(关卡产出!H102="","",关卡产出!H102)</f>
        <v>18300</v>
      </c>
      <c r="G97" s="15">
        <f>IF(关卡产出!J102="","",关卡产出!J102)</f>
        <v>36400</v>
      </c>
      <c r="H97" s="15">
        <f>IF(关卡产出!K102="","",关卡产出!K102)</f>
        <v>6</v>
      </c>
      <c r="I97" s="15">
        <f>IF(关卡产出!M102="","",关卡产出!M102)</f>
        <v>372</v>
      </c>
      <c r="J97" s="15">
        <f>IF(关卡产出!N102="","",关卡产出!N102)</f>
        <v>186</v>
      </c>
      <c r="K97" s="15">
        <f>IF(关卡产出!O102="","",关卡产出!O102)</f>
        <v>90</v>
      </c>
      <c r="L97" s="15">
        <f>IF(关卡产出!P102="","",关卡产出!P102)</f>
        <v>200</v>
      </c>
      <c r="M97">
        <f t="shared" si="85"/>
        <v>5050</v>
      </c>
      <c r="N97" t="str">
        <f t="shared" si="86"/>
        <v>104,74|105,37|106,18|1,1010</v>
      </c>
      <c r="P97" t="str">
        <f t="shared" si="87"/>
        <v>1,18300</v>
      </c>
      <c r="Q97" t="str">
        <f t="shared" si="88"/>
        <v>1,36400|4,6</v>
      </c>
      <c r="R97" t="str">
        <f t="shared" si="89"/>
        <v>104,372|105,186|106,90|3,200</v>
      </c>
      <c r="S97" t="str">
        <f t="shared" si="90"/>
        <v>104,37|105,19|106,9|1,1263</v>
      </c>
      <c r="V97" t="str">
        <f t="shared" si="91"/>
        <v>104,74</v>
      </c>
      <c r="W97" t="str">
        <f t="shared" si="65"/>
        <v>105,37</v>
      </c>
      <c r="X97" t="str">
        <f t="shared" si="66"/>
        <v>106,18</v>
      </c>
      <c r="Y97" t="str">
        <f t="shared" si="67"/>
        <v>1,1010</v>
      </c>
      <c r="AB97" t="str">
        <f t="shared" si="92"/>
        <v>104,372</v>
      </c>
      <c r="AC97" t="str">
        <f t="shared" si="69"/>
        <v>105,186</v>
      </c>
      <c r="AD97" t="str">
        <f t="shared" si="70"/>
        <v>106,90</v>
      </c>
      <c r="AE97" t="str">
        <f t="shared" si="71"/>
        <v>3,200</v>
      </c>
      <c r="AG97" t="str">
        <f t="shared" si="93"/>
        <v>104,37</v>
      </c>
      <c r="AH97" t="str">
        <f t="shared" si="73"/>
        <v>105,19</v>
      </c>
      <c r="AI97" t="str">
        <f t="shared" si="74"/>
        <v>106,9</v>
      </c>
      <c r="AJ97" t="str">
        <f t="shared" si="94"/>
        <v>1,1263</v>
      </c>
      <c r="AM97" t="str">
        <f>N97&amp;"#"&amp;N240&amp;"#"&amp;N343</f>
        <v>104,74|105,37|106,18|1,1010#104,111|105,56|106,27|1,1515#104,185|105,93|106,45|1,2525</v>
      </c>
      <c r="AN97" t="str">
        <f>O97&amp;"#"&amp;O240&amp;"#"&amp;O343</f>
        <v>##</v>
      </c>
      <c r="AO97" t="str">
        <f>P97&amp;"#"&amp;P240&amp;"#"&amp;P343</f>
        <v>1,18300#1,27450#11,1|1,45750</v>
      </c>
      <c r="AP97" t="str">
        <f>Q97&amp;"#"&amp;Q240&amp;"#"&amp;Q343</f>
        <v>1,36400|4,6#162,1|1,54600|4,6#163,1|1,91000|4,6</v>
      </c>
      <c r="AQ97" t="str">
        <f>R97&amp;"#"&amp;R240&amp;"#"&amp;R343</f>
        <v>104,372|105,186|106,90|3,200#104,558|105,279|106,135|3,300#104,930|105,465|106,225|3,500</v>
      </c>
      <c r="AR97" t="str">
        <f>S97&amp;"#"&amp;S240&amp;"#"&amp;S343</f>
        <v>104,37|105,19|106,9|1,1263#104,56|105,28|106,14|1,1894#104,93|105,47|106,23|1,3157</v>
      </c>
    </row>
    <row r="98" spans="1:44" x14ac:dyDescent="0.25">
      <c r="A98" s="14">
        <v>96</v>
      </c>
      <c r="B98" s="15">
        <f>IF(关卡产出!C103="","",关卡产出!C103)</f>
        <v>75</v>
      </c>
      <c r="C98" s="15">
        <f>IF(关卡产出!D103="","",关卡产出!D103)</f>
        <v>37</v>
      </c>
      <c r="D98" s="15">
        <f>IF(关卡产出!E103="","",关卡产出!E103)</f>
        <v>18</v>
      </c>
      <c r="E98" s="15">
        <f>IF(关卡产出!F103="","",关卡产出!F103)</f>
        <v>1010</v>
      </c>
      <c r="F98" s="15">
        <f>IF(关卡产出!H103="","",关卡产出!H103)</f>
        <v>18500</v>
      </c>
      <c r="G98" s="15">
        <f>IF(关卡产出!J103="","",关卡产出!J103)</f>
        <v>36800</v>
      </c>
      <c r="H98" s="15">
        <f>IF(关卡产出!K103="","",关卡产出!K103)</f>
        <v>6</v>
      </c>
      <c r="I98" s="15">
        <f>IF(关卡产出!M103="","",关卡产出!M103)</f>
        <v>376</v>
      </c>
      <c r="J98" s="15">
        <f>IF(关卡产出!N103="","",关卡产出!N103)</f>
        <v>188</v>
      </c>
      <c r="K98" s="15">
        <f>IF(关卡产出!O103="","",关卡产出!O103)</f>
        <v>91</v>
      </c>
      <c r="L98" s="15">
        <f>IF(关卡产出!P103="","",关卡产出!P103)</f>
        <v>200</v>
      </c>
      <c r="M98">
        <f t="shared" si="85"/>
        <v>5050</v>
      </c>
      <c r="N98" t="str">
        <f t="shared" si="86"/>
        <v>104,75|105,37|106,18|1,1010</v>
      </c>
      <c r="P98" t="str">
        <f t="shared" si="87"/>
        <v>1,18500</v>
      </c>
      <c r="Q98" t="str">
        <f t="shared" si="88"/>
        <v>1,36800|4,6</v>
      </c>
      <c r="R98" t="str">
        <f t="shared" si="89"/>
        <v>104,376|105,188|106,91|3,200</v>
      </c>
      <c r="S98" t="str">
        <f t="shared" si="90"/>
        <v>104,38|105,19|106,9|1,1263</v>
      </c>
      <c r="V98" t="str">
        <f t="shared" si="91"/>
        <v>104,75</v>
      </c>
      <c r="W98" t="str">
        <f t="shared" si="65"/>
        <v>105,37</v>
      </c>
      <c r="X98" t="str">
        <f t="shared" si="66"/>
        <v>106,18</v>
      </c>
      <c r="Y98" t="str">
        <f t="shared" si="67"/>
        <v>1,1010</v>
      </c>
      <c r="AB98" t="str">
        <f t="shared" si="92"/>
        <v>104,376</v>
      </c>
      <c r="AC98" t="str">
        <f t="shared" si="69"/>
        <v>105,188</v>
      </c>
      <c r="AD98" t="str">
        <f t="shared" si="70"/>
        <v>106,91</v>
      </c>
      <c r="AE98" t="str">
        <f t="shared" si="71"/>
        <v>3,200</v>
      </c>
      <c r="AG98" t="str">
        <f t="shared" si="93"/>
        <v>104,38</v>
      </c>
      <c r="AH98" t="str">
        <f t="shared" si="73"/>
        <v>105,19</v>
      </c>
      <c r="AI98" t="str">
        <f t="shared" si="74"/>
        <v>106,9</v>
      </c>
      <c r="AJ98" t="str">
        <f t="shared" si="94"/>
        <v>1,1263</v>
      </c>
      <c r="AM98" t="str">
        <f>N98&amp;"#"&amp;N241&amp;"#"&amp;N344</f>
        <v>104,75|105,37|106,18|1,1010#104,113|105,56|106,27|1,1515#104,188|105,93|106,45|1,2525</v>
      </c>
      <c r="AN98" t="str">
        <f>O98&amp;"#"&amp;O241&amp;"#"&amp;O344</f>
        <v>##</v>
      </c>
      <c r="AO98" t="str">
        <f>P98&amp;"#"&amp;P241&amp;"#"&amp;P344</f>
        <v>1,18500#1,27750#11,1|1,46250</v>
      </c>
      <c r="AP98" t="str">
        <f>Q98&amp;"#"&amp;Q241&amp;"#"&amp;Q344</f>
        <v>1,36800|4,6#162,1|1,55200|4,6#163,1|1,92000|4,6</v>
      </c>
      <c r="AQ98" t="str">
        <f>R98&amp;"#"&amp;R241&amp;"#"&amp;R344</f>
        <v>104,376|105,188|106,91|3,200#104,564|105,282|106,137|3,300#104,940|105,470|106,228|3,500</v>
      </c>
      <c r="AR98" t="str">
        <f>S98&amp;"#"&amp;S241&amp;"#"&amp;S344</f>
        <v>104,38|105,19|106,9|1,1263#104,57|105,28|106,14|1,1894#104,94|105,47|106,23|1,3157</v>
      </c>
    </row>
    <row r="99" spans="1:44" x14ac:dyDescent="0.25">
      <c r="A99" s="14">
        <v>97</v>
      </c>
      <c r="B99" s="15">
        <f>IF(关卡产出!C104="","",关卡产出!C104)</f>
        <v>76</v>
      </c>
      <c r="C99" s="15">
        <f>IF(关卡产出!D104="","",关卡产出!D104)</f>
        <v>38</v>
      </c>
      <c r="D99" s="15">
        <f>IF(关卡产出!E104="","",关卡产出!E104)</f>
        <v>18</v>
      </c>
      <c r="E99" s="15">
        <f>IF(关卡产出!F104="","",关卡产出!F104)</f>
        <v>1030</v>
      </c>
      <c r="F99" s="15">
        <f>IF(关卡产出!H104="","",关卡产出!H104)</f>
        <v>18700</v>
      </c>
      <c r="G99" s="15">
        <f>IF(关卡产出!J104="","",关卡产出!J104)</f>
        <v>37200</v>
      </c>
      <c r="H99" s="15">
        <f>IF(关卡产出!K104="","",关卡产出!K104)</f>
        <v>6</v>
      </c>
      <c r="I99" s="15">
        <f>IF(关卡产出!M104="","",关卡产出!M104)</f>
        <v>380</v>
      </c>
      <c r="J99" s="15">
        <f>IF(关卡产出!N104="","",关卡产出!N104)</f>
        <v>190</v>
      </c>
      <c r="K99" s="15">
        <f>IF(关卡产出!O104="","",关卡产出!O104)</f>
        <v>92</v>
      </c>
      <c r="L99" s="15">
        <f>IF(关卡产出!P104="","",关卡产出!P104)</f>
        <v>200</v>
      </c>
      <c r="M99">
        <f t="shared" si="85"/>
        <v>5150</v>
      </c>
      <c r="N99" t="str">
        <f t="shared" si="86"/>
        <v>104,76|105,38|106,18|1,1030</v>
      </c>
      <c r="P99" t="str">
        <f t="shared" si="87"/>
        <v>1,18700</v>
      </c>
      <c r="Q99" t="str">
        <f t="shared" si="88"/>
        <v>1,37200|4,6</v>
      </c>
      <c r="R99" t="str">
        <f t="shared" si="89"/>
        <v>104,380|105,190|106,92|3,200</v>
      </c>
      <c r="S99" t="str">
        <f t="shared" si="90"/>
        <v>104,38|105,19|106,9|1,1288</v>
      </c>
      <c r="V99" t="str">
        <f t="shared" si="91"/>
        <v>104,76</v>
      </c>
      <c r="W99" t="str">
        <f t="shared" si="65"/>
        <v>105,38</v>
      </c>
      <c r="X99" t="str">
        <f t="shared" si="66"/>
        <v>106,18</v>
      </c>
      <c r="Y99" t="str">
        <f t="shared" si="67"/>
        <v>1,1030</v>
      </c>
      <c r="AB99" t="str">
        <f t="shared" si="92"/>
        <v>104,380</v>
      </c>
      <c r="AC99" t="str">
        <f t="shared" si="69"/>
        <v>105,190</v>
      </c>
      <c r="AD99" t="str">
        <f t="shared" si="70"/>
        <v>106,92</v>
      </c>
      <c r="AE99" t="str">
        <f t="shared" si="71"/>
        <v>3,200</v>
      </c>
      <c r="AG99" t="str">
        <f t="shared" si="93"/>
        <v>104,38</v>
      </c>
      <c r="AH99" t="str">
        <f t="shared" si="73"/>
        <v>105,19</v>
      </c>
      <c r="AI99" t="str">
        <f t="shared" si="74"/>
        <v>106,9</v>
      </c>
      <c r="AJ99" t="str">
        <f t="shared" si="94"/>
        <v>1,1288</v>
      </c>
      <c r="AM99" t="str">
        <f>N99&amp;"#"&amp;N242&amp;"#"&amp;N345</f>
        <v>104,76|105,38|106,18|1,1030#104,114|105,57|106,27|1,1545#104,190|105,95|106,45|1,2575</v>
      </c>
      <c r="AN99" t="str">
        <f>O99&amp;"#"&amp;O242&amp;"#"&amp;O345</f>
        <v>##</v>
      </c>
      <c r="AO99" t="str">
        <f>P99&amp;"#"&amp;P242&amp;"#"&amp;P345</f>
        <v>1,18700#1,28050#11,1|1,46750</v>
      </c>
      <c r="AP99" t="str">
        <f>Q99&amp;"#"&amp;Q242&amp;"#"&amp;Q345</f>
        <v>1,37200|4,6#162,1|1,55800|4,6#163,1|1,93000|4,6</v>
      </c>
      <c r="AQ99" t="str">
        <f>R99&amp;"#"&amp;R242&amp;"#"&amp;R345</f>
        <v>104,380|105,190|106,92|3,200#104,570|105,285|106,138|3,300#104,950|105,475|106,230|3,500</v>
      </c>
      <c r="AR99" t="str">
        <f>S99&amp;"#"&amp;S242&amp;"#"&amp;S345</f>
        <v>104,38|105,19|106,9|1,1288#104,57|105,29|106,14|1,1932#104,95|105,48|106,23|1,3219</v>
      </c>
    </row>
    <row r="100" spans="1:44" x14ac:dyDescent="0.25">
      <c r="A100" s="14">
        <v>98</v>
      </c>
      <c r="B100" s="15">
        <f>IF(关卡产出!C105="","",关卡产出!C105)</f>
        <v>77</v>
      </c>
      <c r="C100" s="15">
        <f>IF(关卡产出!D105="","",关卡产出!D105)</f>
        <v>38</v>
      </c>
      <c r="D100" s="15">
        <f>IF(关卡产出!E105="","",关卡产出!E105)</f>
        <v>19</v>
      </c>
      <c r="E100" s="15">
        <f>IF(关卡产出!F105="","",关卡产出!F105)</f>
        <v>1030</v>
      </c>
      <c r="F100" s="15">
        <f>IF(关卡产出!H105="","",关卡产出!H105)</f>
        <v>18900</v>
      </c>
      <c r="G100" s="15">
        <f>IF(关卡产出!J105="","",关卡产出!J105)</f>
        <v>37600</v>
      </c>
      <c r="H100" s="15">
        <f>IF(关卡产出!K105="","",关卡产出!K105)</f>
        <v>6</v>
      </c>
      <c r="I100" s="15">
        <f>IF(关卡产出!M105="","",关卡产出!M105)</f>
        <v>384</v>
      </c>
      <c r="J100" s="15">
        <f>IF(关卡产出!N105="","",关卡产出!N105)</f>
        <v>192</v>
      </c>
      <c r="K100" s="15">
        <f>IF(关卡产出!O105="","",关卡产出!O105)</f>
        <v>93</v>
      </c>
      <c r="L100" s="15">
        <f>IF(关卡产出!P105="","",关卡产出!P105)</f>
        <v>200</v>
      </c>
      <c r="M100">
        <f t="shared" si="85"/>
        <v>5150</v>
      </c>
      <c r="N100" t="str">
        <f t="shared" si="86"/>
        <v>104,77|105,38|106,19|1,1030</v>
      </c>
      <c r="P100" t="str">
        <f t="shared" si="87"/>
        <v>1,18900</v>
      </c>
      <c r="Q100" t="str">
        <f t="shared" si="88"/>
        <v>1,37600|4,6</v>
      </c>
      <c r="R100" t="str">
        <f t="shared" si="89"/>
        <v>104,384|105,192|106,93|3,200</v>
      </c>
      <c r="S100" t="str">
        <f t="shared" si="90"/>
        <v>104,39|105,19|106,10|1,1288</v>
      </c>
      <c r="V100" t="str">
        <f t="shared" si="91"/>
        <v>104,77</v>
      </c>
      <c r="W100" t="str">
        <f t="shared" si="65"/>
        <v>105,38</v>
      </c>
      <c r="X100" t="str">
        <f t="shared" si="66"/>
        <v>106,19</v>
      </c>
      <c r="Y100" t="str">
        <f t="shared" si="67"/>
        <v>1,1030</v>
      </c>
      <c r="AB100" t="str">
        <f t="shared" si="92"/>
        <v>104,384</v>
      </c>
      <c r="AC100" t="str">
        <f t="shared" si="69"/>
        <v>105,192</v>
      </c>
      <c r="AD100" t="str">
        <f t="shared" si="70"/>
        <v>106,93</v>
      </c>
      <c r="AE100" t="str">
        <f t="shared" si="71"/>
        <v>3,200</v>
      </c>
      <c r="AG100" t="str">
        <f t="shared" si="93"/>
        <v>104,39</v>
      </c>
      <c r="AH100" t="str">
        <f t="shared" si="73"/>
        <v>105,19</v>
      </c>
      <c r="AI100" t="str">
        <f t="shared" si="74"/>
        <v>106,10</v>
      </c>
      <c r="AJ100" t="str">
        <f t="shared" si="94"/>
        <v>1,1288</v>
      </c>
      <c r="AM100" t="str">
        <f>N100&amp;"#"&amp;N243&amp;"#"&amp;N346</f>
        <v>104,77|105,38|106,19|1,1030#104,116|105,57|106,29|1,1545#104,193|105,95|106,48|1,2575</v>
      </c>
      <c r="AN100" t="str">
        <f>O100&amp;"#"&amp;O243&amp;"#"&amp;O346</f>
        <v>##</v>
      </c>
      <c r="AO100" t="str">
        <f>P100&amp;"#"&amp;P243&amp;"#"&amp;P346</f>
        <v>1,18900#1,28350#11,1|1,47250</v>
      </c>
      <c r="AP100" t="str">
        <f>Q100&amp;"#"&amp;Q243&amp;"#"&amp;Q346</f>
        <v>1,37600|4,6#162,1|1,56400|4,6#163,1|1,94000|4,6</v>
      </c>
      <c r="AQ100" t="str">
        <f>R100&amp;"#"&amp;R243&amp;"#"&amp;R346</f>
        <v>104,384|105,192|106,93|3,200#104,576|105,288|106,140|3,300#104,960|105,480|106,233|3,500</v>
      </c>
      <c r="AR100" t="str">
        <f>S100&amp;"#"&amp;S243&amp;"#"&amp;S346</f>
        <v>104,39|105,19|106,10|1,1288#104,58|105,29|106,15|1,1932#104,97|105,48|106,24|1,3219</v>
      </c>
    </row>
    <row r="101" spans="1:44" x14ac:dyDescent="0.25">
      <c r="A101" s="14">
        <v>99</v>
      </c>
      <c r="B101" s="15">
        <f>IF(关卡产出!C106="","",关卡产出!C106)</f>
        <v>78</v>
      </c>
      <c r="C101" s="15">
        <f>IF(关卡产出!D106="","",关卡产出!D106)</f>
        <v>39</v>
      </c>
      <c r="D101" s="15">
        <f>IF(关卡产出!E106="","",关卡产出!E106)</f>
        <v>19</v>
      </c>
      <c r="E101" s="15">
        <f>IF(关卡产出!F106="","",关卡产出!F106)</f>
        <v>1050</v>
      </c>
      <c r="F101" s="15">
        <f>IF(关卡产出!H106="","",关卡产出!H106)</f>
        <v>19100</v>
      </c>
      <c r="G101" s="15">
        <f>IF(关卡产出!J106="","",关卡产出!J106)</f>
        <v>38000</v>
      </c>
      <c r="H101" s="15">
        <f>IF(关卡产出!K106="","",关卡产出!K106)</f>
        <v>6</v>
      </c>
      <c r="I101" s="15">
        <f>IF(关卡产出!M106="","",关卡产出!M106)</f>
        <v>388</v>
      </c>
      <c r="J101" s="15">
        <f>IF(关卡产出!N106="","",关卡产出!N106)</f>
        <v>194</v>
      </c>
      <c r="K101" s="15">
        <f>IF(关卡产出!O106="","",关卡产出!O106)</f>
        <v>94</v>
      </c>
      <c r="L101" s="15">
        <f>IF(关卡产出!P106="","",关卡产出!P106)</f>
        <v>200</v>
      </c>
      <c r="M101">
        <f t="shared" si="85"/>
        <v>5250</v>
      </c>
      <c r="N101" t="str">
        <f t="shared" si="86"/>
        <v>104,78|105,39|106,19|1,1050</v>
      </c>
      <c r="P101" t="str">
        <f t="shared" si="87"/>
        <v>1,19100</v>
      </c>
      <c r="Q101" t="str">
        <f t="shared" si="88"/>
        <v>1,38000|4,6</v>
      </c>
      <c r="R101" t="str">
        <f t="shared" si="89"/>
        <v>104,388|105,194|106,94|3,200</v>
      </c>
      <c r="S101" t="str">
        <f t="shared" si="90"/>
        <v>104,39|105,20|106,10|1,1313</v>
      </c>
      <c r="V101" t="str">
        <f t="shared" si="91"/>
        <v>104,78</v>
      </c>
      <c r="W101" t="str">
        <f t="shared" si="65"/>
        <v>105,39</v>
      </c>
      <c r="X101" t="str">
        <f t="shared" si="66"/>
        <v>106,19</v>
      </c>
      <c r="Y101" t="str">
        <f t="shared" si="67"/>
        <v>1,1050</v>
      </c>
      <c r="AB101" t="str">
        <f t="shared" si="92"/>
        <v>104,388</v>
      </c>
      <c r="AC101" t="str">
        <f t="shared" si="69"/>
        <v>105,194</v>
      </c>
      <c r="AD101" t="str">
        <f t="shared" si="70"/>
        <v>106,94</v>
      </c>
      <c r="AE101" t="str">
        <f t="shared" si="71"/>
        <v>3,200</v>
      </c>
      <c r="AG101" t="str">
        <f t="shared" si="93"/>
        <v>104,39</v>
      </c>
      <c r="AH101" t="str">
        <f t="shared" si="73"/>
        <v>105,20</v>
      </c>
      <c r="AI101" t="str">
        <f t="shared" si="74"/>
        <v>106,10</v>
      </c>
      <c r="AJ101" t="str">
        <f t="shared" si="94"/>
        <v>1,1313</v>
      </c>
      <c r="AM101" t="str">
        <f>N101&amp;"#"&amp;N244&amp;"#"&amp;N347</f>
        <v>104,78|105,39|106,19|1,1050#104,117|105,59|106,29|1,1575#104,195|105,98|106,48|1,2625</v>
      </c>
      <c r="AN101" t="str">
        <f>O101&amp;"#"&amp;O244&amp;"#"&amp;O347</f>
        <v>##</v>
      </c>
      <c r="AO101" t="str">
        <f>P101&amp;"#"&amp;P244&amp;"#"&amp;P347</f>
        <v>1,19100#1,28650#11,1|1,47750</v>
      </c>
      <c r="AP101" t="str">
        <f>Q101&amp;"#"&amp;Q244&amp;"#"&amp;Q347</f>
        <v>1,38000|4,6#162,1|1,57000|4,6#163,1|1,95000|4,6</v>
      </c>
      <c r="AQ101" t="str">
        <f>R101&amp;"#"&amp;R244&amp;"#"&amp;R347</f>
        <v>104,388|105,194|106,94|3,200#104,582|105,291|106,141|3,300#104,970|105,485|106,235|3,500</v>
      </c>
      <c r="AR101" t="str">
        <f>S101&amp;"#"&amp;S244&amp;"#"&amp;S347</f>
        <v>104,39|105,20|106,10|1,1313#104,59|105,30|106,15|1,1969#104,98|105,49|106,24|1,3282</v>
      </c>
    </row>
    <row r="102" spans="1:44" x14ac:dyDescent="0.25">
      <c r="A102" s="14">
        <v>100</v>
      </c>
      <c r="B102" s="15">
        <f>IF(关卡产出!C107="","",关卡产出!C107)</f>
        <v>78</v>
      </c>
      <c r="C102" s="15">
        <f>IF(关卡产出!D107="","",关卡产出!D107)</f>
        <v>39</v>
      </c>
      <c r="D102" s="15">
        <f>IF(关卡产出!E107="","",关卡产出!E107)</f>
        <v>19</v>
      </c>
      <c r="E102" s="15">
        <f>IF(关卡产出!F107="","",关卡产出!F107)</f>
        <v>1050</v>
      </c>
      <c r="F102" s="15">
        <f>IF(关卡产出!H107="","",关卡产出!H107)</f>
        <v>19300</v>
      </c>
      <c r="G102" s="15">
        <f>IF(关卡产出!J107="","",关卡产出!J107)</f>
        <v>38400</v>
      </c>
      <c r="H102" s="15">
        <f>IF(关卡产出!K107="","",关卡产出!K107)</f>
        <v>6</v>
      </c>
      <c r="I102" s="15">
        <f>IF(关卡产出!M107="","",关卡产出!M107)</f>
        <v>392</v>
      </c>
      <c r="J102" s="15">
        <f>IF(关卡产出!N107="","",关卡产出!N107)</f>
        <v>196</v>
      </c>
      <c r="K102" s="15">
        <f>IF(关卡产出!O107="","",关卡产出!O107)</f>
        <v>95</v>
      </c>
      <c r="L102" s="15">
        <f>IF(关卡产出!P107="","",关卡产出!P107)</f>
        <v>200</v>
      </c>
      <c r="M102">
        <f t="shared" si="85"/>
        <v>5250</v>
      </c>
      <c r="N102" t="str">
        <f t="shared" si="86"/>
        <v>104,78|105,39|106,19|1,1050</v>
      </c>
      <c r="P102" t="str">
        <f t="shared" si="87"/>
        <v>1,19300</v>
      </c>
      <c r="Q102" t="str">
        <f t="shared" si="88"/>
        <v>1,38400|4,6</v>
      </c>
      <c r="R102" t="str">
        <f t="shared" si="89"/>
        <v>104,392|105,196|106,95|3,200</v>
      </c>
      <c r="S102" t="str">
        <f t="shared" si="90"/>
        <v>104,39|105,20|106,10|1,1313</v>
      </c>
      <c r="V102" t="str">
        <f t="shared" si="91"/>
        <v>104,78</v>
      </c>
      <c r="W102" t="str">
        <f t="shared" ref="W102" si="95">IF(C102="","",C$1&amp;","&amp;C102)</f>
        <v>105,39</v>
      </c>
      <c r="X102" t="str">
        <f t="shared" ref="X102" si="96">IF(D102="","",D$1&amp;","&amp;D102)</f>
        <v>106,19</v>
      </c>
      <c r="Y102" t="str">
        <f t="shared" ref="Y102" si="97">IF(E102="","",E$1&amp;","&amp;E102)</f>
        <v>1,1050</v>
      </c>
      <c r="AB102" t="str">
        <f t="shared" si="92"/>
        <v>104,392</v>
      </c>
      <c r="AC102" t="str">
        <f t="shared" ref="AC102" si="98">IF(J102="","",J$1&amp;","&amp;J102)</f>
        <v>105,196</v>
      </c>
      <c r="AD102" t="str">
        <f t="shared" ref="AD102" si="99">IF(K102="","",K$1&amp;","&amp;K102)</f>
        <v>106,95</v>
      </c>
      <c r="AE102" t="str">
        <f t="shared" ref="AE102" si="100">IF(L102="","",L$1&amp;","&amp;L102)</f>
        <v>3,200</v>
      </c>
      <c r="AG102" t="str">
        <f t="shared" si="93"/>
        <v>104,39</v>
      </c>
      <c r="AH102" t="str">
        <f t="shared" ref="AH102" si="101">IF(C102="","",C$1&amp;","&amp;ROUNDUP(C102/2,0))</f>
        <v>105,20</v>
      </c>
      <c r="AI102" t="str">
        <f t="shared" ref="AI102" si="102">IF(D102="","",D$1&amp;","&amp;ROUNDUP(D102/2,0))</f>
        <v>106,10</v>
      </c>
      <c r="AJ102" t="str">
        <f t="shared" si="94"/>
        <v>1,1313</v>
      </c>
      <c r="AM102" t="str">
        <f>N102&amp;"#"&amp;N245&amp;"#"&amp;N348</f>
        <v>104,78|105,39|106,19|1,1050#104,117|105,59|106,29|1,1575#104,195|105,98|106,48|1,2625</v>
      </c>
      <c r="AN102" t="str">
        <f>O102&amp;"#"&amp;O245&amp;"#"&amp;O348</f>
        <v>##</v>
      </c>
      <c r="AO102" t="str">
        <f>P102&amp;"#"&amp;P245&amp;"#"&amp;P348</f>
        <v>1,19300#1,28950#11,1|1,48250</v>
      </c>
      <c r="AP102" t="str">
        <f>Q102&amp;"#"&amp;Q245&amp;"#"&amp;Q348</f>
        <v>1,38400|4,6#162,1|1,57600|4,6#163,1|1,96000|4,6</v>
      </c>
      <c r="AQ102" t="str">
        <f>R102&amp;"#"&amp;R245&amp;"#"&amp;R348</f>
        <v>104,392|105,196|106,95|3,200#104,588|105,294|106,143|3,300#104,980|105,490|106,238|3,500</v>
      </c>
      <c r="AR102" t="str">
        <f>S102&amp;"#"&amp;S245&amp;"#"&amp;S348</f>
        <v>104,39|105,20|106,10|1,1313#104,59|105,30|106,15|1,1969#104,98|105,49|106,24|1,3282</v>
      </c>
    </row>
    <row r="103" spans="1:44" x14ac:dyDescent="0.25">
      <c r="A103" s="14">
        <v>101</v>
      </c>
      <c r="B103" s="15">
        <f>IF(关卡产出!C108="","",关卡产出!C108)</f>
        <v>79</v>
      </c>
      <c r="C103" s="15">
        <f>IF(关卡产出!D108="","",关卡产出!D108)</f>
        <v>39</v>
      </c>
      <c r="D103" s="15">
        <f>IF(关卡产出!E108="","",关卡产出!E108)</f>
        <v>19</v>
      </c>
      <c r="E103" s="15">
        <f>IF(关卡产出!F108="","",关卡产出!F108)</f>
        <v>1070</v>
      </c>
      <c r="F103" s="15">
        <f>IF(关卡产出!H108="","",关卡产出!H108)</f>
        <v>19500</v>
      </c>
      <c r="G103" s="15">
        <f>IF(关卡产出!J108="","",关卡产出!J108)</f>
        <v>38800</v>
      </c>
      <c r="H103" s="15">
        <f>IF(关卡产出!K108="","",关卡产出!K108)</f>
        <v>6</v>
      </c>
      <c r="I103" s="15">
        <f>IF(关卡产出!M108="","",关卡产出!M108)</f>
        <v>396</v>
      </c>
      <c r="J103" s="15">
        <f>IF(关卡产出!N108="","",关卡产出!N108)</f>
        <v>198</v>
      </c>
      <c r="K103" s="15">
        <f>IF(关卡产出!O108="","",关卡产出!O108)</f>
        <v>96</v>
      </c>
      <c r="L103" s="15">
        <f>IF(关卡产出!P108="","",关卡产出!P108)</f>
        <v>200</v>
      </c>
      <c r="M103">
        <f t="shared" si="85"/>
        <v>5350</v>
      </c>
      <c r="N103" t="str">
        <f t="shared" si="86"/>
        <v>104,79|105,39|106,19|1,1070</v>
      </c>
      <c r="P103" t="str">
        <f t="shared" ref="P103:P142" si="103">$F$1&amp;","&amp;F103</f>
        <v>1,19500</v>
      </c>
      <c r="Q103" t="str">
        <f t="shared" ref="Q103:Q142" si="104">$G$1&amp;","&amp;G103&amp;"|"&amp;$H$1&amp;","&amp;H103</f>
        <v>1,38800|4,6</v>
      </c>
      <c r="R103" t="str">
        <f t="shared" ref="R103:R142" si="105">_xlfn.TEXTJOIN("|",TRUE,AB103:AE103)</f>
        <v>104,396|105,198|106,96|3,200</v>
      </c>
      <c r="S103" t="str">
        <f t="shared" ref="S103:S142" si="106">_xlfn.TEXTJOIN("|",TRUE,AG103:AJ103)</f>
        <v>104,40|105,20|106,10|1,1338</v>
      </c>
      <c r="V103" t="str">
        <f t="shared" ref="V103:V142" si="107">IF(B103="","",B$1&amp;","&amp;B103)</f>
        <v>104,79</v>
      </c>
      <c r="W103" t="str">
        <f t="shared" ref="W103:W142" si="108">IF(C103="","",C$1&amp;","&amp;C103)</f>
        <v>105,39</v>
      </c>
      <c r="X103" t="str">
        <f t="shared" ref="X103:X142" si="109">IF(D103="","",D$1&amp;","&amp;D103)</f>
        <v>106,19</v>
      </c>
      <c r="Y103" t="str">
        <f t="shared" ref="Y103:Y142" si="110">IF(E103="","",E$1&amp;","&amp;E103)</f>
        <v>1,1070</v>
      </c>
      <c r="AB103" t="str">
        <f t="shared" ref="AB103:AB142" si="111">IF(I103="","",I$1&amp;","&amp;I103)</f>
        <v>104,396</v>
      </c>
      <c r="AC103" t="str">
        <f t="shared" ref="AC103:AC142" si="112">IF(J103="","",J$1&amp;","&amp;J103)</f>
        <v>105,198</v>
      </c>
      <c r="AD103" t="str">
        <f t="shared" ref="AD103:AD142" si="113">IF(K103="","",K$1&amp;","&amp;K103)</f>
        <v>106,96</v>
      </c>
      <c r="AE103" t="str">
        <f t="shared" ref="AE103:AE142" si="114">IF(L103="","",L$1&amp;","&amp;L103)</f>
        <v>3,200</v>
      </c>
      <c r="AG103" t="str">
        <f t="shared" ref="AG103:AG142" si="115">IF(B103="","",B$1&amp;","&amp;ROUNDUP(B103/2,0))</f>
        <v>104,40</v>
      </c>
      <c r="AH103" t="str">
        <f t="shared" ref="AH103:AH142" si="116">IF(C103="","",C$1&amp;","&amp;ROUNDUP(C103/2,0))</f>
        <v>105,20</v>
      </c>
      <c r="AI103" t="str">
        <f t="shared" ref="AI103:AI142" si="117">IF(D103="","",D$1&amp;","&amp;ROUNDUP(D103/2,0))</f>
        <v>106,10</v>
      </c>
      <c r="AJ103" t="str">
        <f t="shared" ref="AJ103:AJ142" si="118">IF(E103="","",E$1&amp;","&amp;ROUNDUP(E103/2*2.5,0))</f>
        <v>1,1338</v>
      </c>
      <c r="AM103" t="str">
        <f t="shared" ref="AM103:AR103" si="119">N103&amp;"#"&amp;N246&amp;"#"&amp;N349</f>
        <v>104,79|105,39|106,19|1,1070##</v>
      </c>
      <c r="AN103" t="str">
        <f t="shared" si="119"/>
        <v>##</v>
      </c>
      <c r="AO103" t="str">
        <f t="shared" si="119"/>
        <v>1,19500##</v>
      </c>
      <c r="AP103" t="str">
        <f t="shared" si="119"/>
        <v>1,38800|4,6##</v>
      </c>
      <c r="AQ103" t="str">
        <f t="shared" si="119"/>
        <v>104,396|105,198|106,96|3,200##</v>
      </c>
      <c r="AR103" t="str">
        <f t="shared" si="119"/>
        <v>104,40|105,20|106,10|1,1338##</v>
      </c>
    </row>
    <row r="104" spans="1:44" x14ac:dyDescent="0.25">
      <c r="A104" s="14">
        <v>102</v>
      </c>
      <c r="B104" s="15">
        <f>IF(关卡产出!C109="","",关卡产出!C109)</f>
        <v>80</v>
      </c>
      <c r="C104" s="15">
        <f>IF(关卡产出!D109="","",关卡产出!D109)</f>
        <v>40</v>
      </c>
      <c r="D104" s="15">
        <f>IF(关卡产出!E109="","",关卡产出!E109)</f>
        <v>19</v>
      </c>
      <c r="E104" s="15">
        <f>IF(关卡产出!F109="","",关卡产出!F109)</f>
        <v>1070</v>
      </c>
      <c r="F104" s="15">
        <f>IF(关卡产出!H109="","",关卡产出!H109)</f>
        <v>19700</v>
      </c>
      <c r="G104" s="15">
        <f>IF(关卡产出!J109="","",关卡产出!J109)</f>
        <v>39200</v>
      </c>
      <c r="H104" s="15">
        <f>IF(关卡产出!K109="","",关卡产出!K109)</f>
        <v>6</v>
      </c>
      <c r="I104" s="15">
        <f>IF(关卡产出!M109="","",关卡产出!M109)</f>
        <v>400</v>
      </c>
      <c r="J104" s="15">
        <f>IF(关卡产出!N109="","",关卡产出!N109)</f>
        <v>200</v>
      </c>
      <c r="K104" s="15">
        <f>IF(关卡产出!O109="","",关卡产出!O109)</f>
        <v>97</v>
      </c>
      <c r="L104" s="15">
        <f>IF(关卡产出!P109="","",关卡产出!P109)</f>
        <v>200</v>
      </c>
      <c r="M104">
        <f t="shared" si="85"/>
        <v>5350</v>
      </c>
      <c r="N104" t="str">
        <f t="shared" si="86"/>
        <v>104,80|105,40|106,19|1,1070</v>
      </c>
      <c r="P104" t="str">
        <f t="shared" si="103"/>
        <v>1,19700</v>
      </c>
      <c r="Q104" t="str">
        <f t="shared" si="104"/>
        <v>1,39200|4,6</v>
      </c>
      <c r="R104" t="str">
        <f t="shared" si="105"/>
        <v>104,400|105,200|106,97|3,200</v>
      </c>
      <c r="S104" t="str">
        <f t="shared" si="106"/>
        <v>104,40|105,20|106,10|1,1338</v>
      </c>
      <c r="V104" t="str">
        <f t="shared" si="107"/>
        <v>104,80</v>
      </c>
      <c r="W104" t="str">
        <f t="shared" si="108"/>
        <v>105,40</v>
      </c>
      <c r="X104" t="str">
        <f t="shared" si="109"/>
        <v>106,19</v>
      </c>
      <c r="Y104" t="str">
        <f t="shared" si="110"/>
        <v>1,1070</v>
      </c>
      <c r="AB104" t="str">
        <f t="shared" si="111"/>
        <v>104,400</v>
      </c>
      <c r="AC104" t="str">
        <f t="shared" si="112"/>
        <v>105,200</v>
      </c>
      <c r="AD104" t="str">
        <f t="shared" si="113"/>
        <v>106,97</v>
      </c>
      <c r="AE104" t="str">
        <f t="shared" si="114"/>
        <v>3,200</v>
      </c>
      <c r="AG104" t="str">
        <f t="shared" si="115"/>
        <v>104,40</v>
      </c>
      <c r="AH104" t="str">
        <f t="shared" si="116"/>
        <v>105,20</v>
      </c>
      <c r="AI104" t="str">
        <f t="shared" si="117"/>
        <v>106,10</v>
      </c>
      <c r="AJ104" t="str">
        <f t="shared" si="118"/>
        <v>1,1338</v>
      </c>
      <c r="AM104" t="str">
        <f t="shared" ref="AM104:AR104" si="120">N104&amp;"#"&amp;N247&amp;"#"&amp;N350</f>
        <v>104,80|105,40|106,19|1,1070##</v>
      </c>
      <c r="AN104" t="str">
        <f t="shared" si="120"/>
        <v>##</v>
      </c>
      <c r="AO104" t="str">
        <f t="shared" si="120"/>
        <v>1,19700##</v>
      </c>
      <c r="AP104" t="str">
        <f t="shared" si="120"/>
        <v>1,39200|4,6##</v>
      </c>
      <c r="AQ104" t="str">
        <f t="shared" si="120"/>
        <v>104,400|105,200|106,97|3,200##</v>
      </c>
      <c r="AR104" t="str">
        <f t="shared" si="120"/>
        <v>104,40|105,20|106,10|1,1338##</v>
      </c>
    </row>
    <row r="105" spans="1:44" x14ac:dyDescent="0.25">
      <c r="A105" s="14">
        <v>103</v>
      </c>
      <c r="B105" s="15">
        <f>IF(关卡产出!C110="","",关卡产出!C110)</f>
        <v>81</v>
      </c>
      <c r="C105" s="15">
        <f>IF(关卡产出!D110="","",关卡产出!D110)</f>
        <v>40</v>
      </c>
      <c r="D105" s="15">
        <f>IF(关卡产出!E110="","",关卡产出!E110)</f>
        <v>20</v>
      </c>
      <c r="E105" s="15">
        <f>IF(关卡产出!F110="","",关卡产出!F110)</f>
        <v>1090</v>
      </c>
      <c r="F105" s="15">
        <f>IF(关卡产出!H110="","",关卡产出!H110)</f>
        <v>19900</v>
      </c>
      <c r="G105" s="15">
        <f>IF(关卡产出!J110="","",关卡产出!J110)</f>
        <v>39600</v>
      </c>
      <c r="H105" s="15">
        <f>IF(关卡产出!K110="","",关卡产出!K110)</f>
        <v>6</v>
      </c>
      <c r="I105" s="15">
        <f>IF(关卡产出!M110="","",关卡产出!M110)</f>
        <v>404</v>
      </c>
      <c r="J105" s="15">
        <f>IF(关卡产出!N110="","",关卡产出!N110)</f>
        <v>202</v>
      </c>
      <c r="K105" s="15">
        <f>IF(关卡产出!O110="","",关卡产出!O110)</f>
        <v>98</v>
      </c>
      <c r="L105" s="15">
        <f>IF(关卡产出!P110="","",关卡产出!P110)</f>
        <v>200</v>
      </c>
      <c r="M105">
        <f t="shared" si="85"/>
        <v>5450</v>
      </c>
      <c r="N105" t="str">
        <f t="shared" si="86"/>
        <v>104,81|105,40|106,20|1,1090</v>
      </c>
      <c r="P105" t="str">
        <f t="shared" si="103"/>
        <v>1,19900</v>
      </c>
      <c r="Q105" t="str">
        <f t="shared" si="104"/>
        <v>1,39600|4,6</v>
      </c>
      <c r="R105" t="str">
        <f t="shared" si="105"/>
        <v>104,404|105,202|106,98|3,200</v>
      </c>
      <c r="S105" t="str">
        <f t="shared" si="106"/>
        <v>104,41|105,20|106,10|1,1363</v>
      </c>
      <c r="V105" t="str">
        <f t="shared" si="107"/>
        <v>104,81</v>
      </c>
      <c r="W105" t="str">
        <f t="shared" si="108"/>
        <v>105,40</v>
      </c>
      <c r="X105" t="str">
        <f t="shared" si="109"/>
        <v>106,20</v>
      </c>
      <c r="Y105" t="str">
        <f t="shared" si="110"/>
        <v>1,1090</v>
      </c>
      <c r="AB105" t="str">
        <f t="shared" si="111"/>
        <v>104,404</v>
      </c>
      <c r="AC105" t="str">
        <f t="shared" si="112"/>
        <v>105,202</v>
      </c>
      <c r="AD105" t="str">
        <f t="shared" si="113"/>
        <v>106,98</v>
      </c>
      <c r="AE105" t="str">
        <f t="shared" si="114"/>
        <v>3,200</v>
      </c>
      <c r="AG105" t="str">
        <f t="shared" si="115"/>
        <v>104,41</v>
      </c>
      <c r="AH105" t="str">
        <f t="shared" si="116"/>
        <v>105,20</v>
      </c>
      <c r="AI105" t="str">
        <f t="shared" si="117"/>
        <v>106,10</v>
      </c>
      <c r="AJ105" t="str">
        <f t="shared" si="118"/>
        <v>1,1363</v>
      </c>
      <c r="AM105" t="str">
        <f t="shared" ref="AM105:AR105" si="121">N105&amp;"#"&amp;N248&amp;"#"&amp;N351</f>
        <v>104,81|105,40|106,20|1,1090#通关奖励
道具id,数量|道具id,数量#</v>
      </c>
      <c r="AN105" t="str">
        <f t="shared" si="121"/>
        <v>#通关解锁武器类型id#</v>
      </c>
      <c r="AO105" t="str">
        <f t="shared" si="121"/>
        <v>1,19900#宝箱奖励1
道具id,数量#</v>
      </c>
      <c r="AP105" t="str">
        <f t="shared" si="121"/>
        <v>1,39600|4,6#宝箱奖励2
道具id,数量#</v>
      </c>
      <c r="AQ105" t="str">
        <f t="shared" si="121"/>
        <v>104,404|105,202|106,98|3,200#宝箱奖励3
道具id,数量#</v>
      </c>
      <c r="AR105" t="str">
        <f t="shared" si="121"/>
        <v>104,41|105,20|106,10|1,1363#挂机奖励
道具id,数量|道具id2,数量2#</v>
      </c>
    </row>
    <row r="106" spans="1:44" x14ac:dyDescent="0.25">
      <c r="A106" s="14">
        <v>104</v>
      </c>
      <c r="B106" s="15">
        <f>IF(关卡产出!C111="","",关卡产出!C111)</f>
        <v>82</v>
      </c>
      <c r="C106" s="15">
        <f>IF(关卡产出!D111="","",关卡产出!D111)</f>
        <v>41</v>
      </c>
      <c r="D106" s="15">
        <f>IF(关卡产出!E111="","",关卡产出!E111)</f>
        <v>20</v>
      </c>
      <c r="E106" s="15">
        <f>IF(关卡产出!F111="","",关卡产出!F111)</f>
        <v>1090</v>
      </c>
      <c r="F106" s="15">
        <f>IF(关卡产出!H111="","",关卡产出!H111)</f>
        <v>20100</v>
      </c>
      <c r="G106" s="15">
        <f>IF(关卡产出!J111="","",关卡产出!J111)</f>
        <v>40000</v>
      </c>
      <c r="H106" s="15">
        <f>IF(关卡产出!K111="","",关卡产出!K111)</f>
        <v>6</v>
      </c>
      <c r="I106" s="15">
        <f>IF(关卡产出!M111="","",关卡产出!M111)</f>
        <v>408</v>
      </c>
      <c r="J106" s="15">
        <f>IF(关卡产出!N111="","",关卡产出!N111)</f>
        <v>204</v>
      </c>
      <c r="K106" s="15">
        <f>IF(关卡产出!O111="","",关卡产出!O111)</f>
        <v>99</v>
      </c>
      <c r="L106" s="15">
        <f>IF(关卡产出!P111="","",关卡产出!P111)</f>
        <v>200</v>
      </c>
      <c r="M106">
        <f t="shared" si="85"/>
        <v>5450</v>
      </c>
      <c r="N106" t="str">
        <f t="shared" si="86"/>
        <v>104,82|105,41|106,20|1,1090</v>
      </c>
      <c r="P106" t="str">
        <f t="shared" si="103"/>
        <v>1,20100</v>
      </c>
      <c r="Q106" t="str">
        <f t="shared" si="104"/>
        <v>1,40000|4,6</v>
      </c>
      <c r="R106" t="str">
        <f t="shared" si="105"/>
        <v>104,408|105,204|106,99|3,200</v>
      </c>
      <c r="S106" t="str">
        <f t="shared" si="106"/>
        <v>104,41|105,21|106,10|1,1363</v>
      </c>
      <c r="V106" t="str">
        <f t="shared" si="107"/>
        <v>104,82</v>
      </c>
      <c r="W106" t="str">
        <f t="shared" si="108"/>
        <v>105,41</v>
      </c>
      <c r="X106" t="str">
        <f t="shared" si="109"/>
        <v>106,20</v>
      </c>
      <c r="Y106" t="str">
        <f t="shared" si="110"/>
        <v>1,1090</v>
      </c>
      <c r="AB106" t="str">
        <f t="shared" si="111"/>
        <v>104,408</v>
      </c>
      <c r="AC106" t="str">
        <f t="shared" si="112"/>
        <v>105,204</v>
      </c>
      <c r="AD106" t="str">
        <f t="shared" si="113"/>
        <v>106,99</v>
      </c>
      <c r="AE106" t="str">
        <f t="shared" si="114"/>
        <v>3,200</v>
      </c>
      <c r="AG106" t="str">
        <f t="shared" si="115"/>
        <v>104,41</v>
      </c>
      <c r="AH106" t="str">
        <f t="shared" si="116"/>
        <v>105,21</v>
      </c>
      <c r="AI106" t="str">
        <f t="shared" si="117"/>
        <v>106,10</v>
      </c>
      <c r="AJ106" t="str">
        <f t="shared" si="118"/>
        <v>1,1363</v>
      </c>
      <c r="AM106" t="str">
        <f t="shared" ref="AM106:AR106" si="122">N106&amp;"#"&amp;N249&amp;"#"&amp;N352</f>
        <v>104,82|105,41|106,20|1,1090#104,13|105,5|106,1|1,250#</v>
      </c>
      <c r="AN106" t="str">
        <f t="shared" si="122"/>
        <v>##</v>
      </c>
      <c r="AO106" t="str">
        <f t="shared" si="122"/>
        <v>1,20100#11,1|1,500#</v>
      </c>
      <c r="AP106" t="str">
        <f t="shared" si="122"/>
        <v>1,40000|4,6#163,1|1,1000|4,6#</v>
      </c>
      <c r="AQ106" t="str">
        <f t="shared" si="122"/>
        <v>104,408|105,204|106,99|3,200#104,30|105,20|106,1|3,250#</v>
      </c>
      <c r="AR106" t="str">
        <f t="shared" si="122"/>
        <v>104,41|105,21|106,10|1,1363#104,7|105,3|106,1|1,313#</v>
      </c>
    </row>
    <row r="107" spans="1:44" x14ac:dyDescent="0.25">
      <c r="A107" s="14">
        <v>105</v>
      </c>
      <c r="B107" s="15">
        <f>IF(关卡产出!C112="","",关卡产出!C112)</f>
        <v>82</v>
      </c>
      <c r="C107" s="15">
        <f>IF(关卡产出!D112="","",关卡产出!D112)</f>
        <v>41</v>
      </c>
      <c r="D107" s="15">
        <f>IF(关卡产出!E112="","",关卡产出!E112)</f>
        <v>20</v>
      </c>
      <c r="E107" s="15">
        <f>IF(关卡产出!F112="","",关卡产出!F112)</f>
        <v>1110</v>
      </c>
      <c r="F107" s="15">
        <f>IF(关卡产出!H112="","",关卡产出!H112)</f>
        <v>20300</v>
      </c>
      <c r="G107" s="15">
        <f>IF(关卡产出!J112="","",关卡产出!J112)</f>
        <v>40400</v>
      </c>
      <c r="H107" s="15">
        <f>IF(关卡产出!K112="","",关卡产出!K112)</f>
        <v>6</v>
      </c>
      <c r="I107" s="15">
        <f>IF(关卡产出!M112="","",关卡产出!M112)</f>
        <v>412</v>
      </c>
      <c r="J107" s="15">
        <f>IF(关卡产出!N112="","",关卡产出!N112)</f>
        <v>206</v>
      </c>
      <c r="K107" s="15">
        <f>IF(关卡产出!O112="","",关卡产出!O112)</f>
        <v>100</v>
      </c>
      <c r="L107" s="15">
        <f>IF(关卡产出!P112="","",关卡产出!P112)</f>
        <v>200</v>
      </c>
      <c r="M107">
        <f t="shared" si="85"/>
        <v>5550</v>
      </c>
      <c r="N107" t="str">
        <f t="shared" si="86"/>
        <v>104,82|105,41|106,20|1,1110</v>
      </c>
      <c r="P107" t="str">
        <f t="shared" si="103"/>
        <v>1,20300</v>
      </c>
      <c r="Q107" t="str">
        <f t="shared" si="104"/>
        <v>1,40400|4,6</v>
      </c>
      <c r="R107" t="str">
        <f t="shared" si="105"/>
        <v>104,412|105,206|106,100|3,200</v>
      </c>
      <c r="S107" t="str">
        <f t="shared" si="106"/>
        <v>104,41|105,21|106,10|1,1388</v>
      </c>
      <c r="V107" t="str">
        <f t="shared" si="107"/>
        <v>104,82</v>
      </c>
      <c r="W107" t="str">
        <f t="shared" si="108"/>
        <v>105,41</v>
      </c>
      <c r="X107" t="str">
        <f t="shared" si="109"/>
        <v>106,20</v>
      </c>
      <c r="Y107" t="str">
        <f t="shared" si="110"/>
        <v>1,1110</v>
      </c>
      <c r="AB107" t="str">
        <f t="shared" si="111"/>
        <v>104,412</v>
      </c>
      <c r="AC107" t="str">
        <f t="shared" si="112"/>
        <v>105,206</v>
      </c>
      <c r="AD107" t="str">
        <f t="shared" si="113"/>
        <v>106,100</v>
      </c>
      <c r="AE107" t="str">
        <f t="shared" si="114"/>
        <v>3,200</v>
      </c>
      <c r="AG107" t="str">
        <f t="shared" si="115"/>
        <v>104,41</v>
      </c>
      <c r="AH107" t="str">
        <f t="shared" si="116"/>
        <v>105,21</v>
      </c>
      <c r="AI107" t="str">
        <f t="shared" si="117"/>
        <v>106,10</v>
      </c>
      <c r="AJ107" t="str">
        <f t="shared" si="118"/>
        <v>1,1388</v>
      </c>
      <c r="AM107" t="str">
        <f t="shared" ref="AM107:AR107" si="123">N107&amp;"#"&amp;N250&amp;"#"&amp;N353</f>
        <v>104,82|105,41|106,20|1,1110#104,13|105,5|106,1|1,250#</v>
      </c>
      <c r="AN107" t="str">
        <f t="shared" si="123"/>
        <v>##</v>
      </c>
      <c r="AO107" t="str">
        <f t="shared" si="123"/>
        <v>1,20300#11,1|1,750#</v>
      </c>
      <c r="AP107" t="str">
        <f t="shared" si="123"/>
        <v>1,40400|4,6#163,1|1,1500|4,6#</v>
      </c>
      <c r="AQ107" t="str">
        <f t="shared" si="123"/>
        <v>104,412|105,206|106,100|3,200#104,35|105,20|106,1|3,250#</v>
      </c>
      <c r="AR107" t="str">
        <f t="shared" si="123"/>
        <v>104,41|105,21|106,10|1,1388#104,7|105,3|106,1|1,313#</v>
      </c>
    </row>
    <row r="108" spans="1:44" x14ac:dyDescent="0.25">
      <c r="A108" s="14">
        <v>106</v>
      </c>
      <c r="B108" s="15">
        <f>IF(关卡产出!C113="","",关卡产出!C113)</f>
        <v>83</v>
      </c>
      <c r="C108" s="15">
        <f>IF(关卡产出!D113="","",关卡产出!D113)</f>
        <v>41</v>
      </c>
      <c r="D108" s="15">
        <f>IF(关卡产出!E113="","",关卡产出!E113)</f>
        <v>20</v>
      </c>
      <c r="E108" s="15">
        <f>IF(关卡产出!F113="","",关卡产出!F113)</f>
        <v>1110</v>
      </c>
      <c r="F108" s="15">
        <f>IF(关卡产出!H113="","",关卡产出!H113)</f>
        <v>20500</v>
      </c>
      <c r="G108" s="15">
        <f>IF(关卡产出!J113="","",关卡产出!J113)</f>
        <v>40800</v>
      </c>
      <c r="H108" s="15">
        <f>IF(关卡产出!K113="","",关卡产出!K113)</f>
        <v>6</v>
      </c>
      <c r="I108" s="15">
        <f>IF(关卡产出!M113="","",关卡产出!M113)</f>
        <v>416</v>
      </c>
      <c r="J108" s="15">
        <f>IF(关卡产出!N113="","",关卡产出!N113)</f>
        <v>208</v>
      </c>
      <c r="K108" s="15">
        <f>IF(关卡产出!O113="","",关卡产出!O113)</f>
        <v>101</v>
      </c>
      <c r="L108" s="15">
        <f>IF(关卡产出!P113="","",关卡产出!P113)</f>
        <v>200</v>
      </c>
      <c r="M108">
        <f t="shared" si="85"/>
        <v>5550</v>
      </c>
      <c r="N108" t="str">
        <f t="shared" si="86"/>
        <v>104,83|105,41|106,20|1,1110</v>
      </c>
      <c r="P108" t="str">
        <f t="shared" si="103"/>
        <v>1,20500</v>
      </c>
      <c r="Q108" t="str">
        <f t="shared" si="104"/>
        <v>1,40800|4,6</v>
      </c>
      <c r="R108" t="str">
        <f t="shared" si="105"/>
        <v>104,416|105,208|106,101|3,200</v>
      </c>
      <c r="S108" t="str">
        <f t="shared" si="106"/>
        <v>104,42|105,21|106,10|1,1388</v>
      </c>
      <c r="V108" t="str">
        <f t="shared" si="107"/>
        <v>104,83</v>
      </c>
      <c r="W108" t="str">
        <f t="shared" si="108"/>
        <v>105,41</v>
      </c>
      <c r="X108" t="str">
        <f t="shared" si="109"/>
        <v>106,20</v>
      </c>
      <c r="Y108" t="str">
        <f t="shared" si="110"/>
        <v>1,1110</v>
      </c>
      <c r="AB108" t="str">
        <f t="shared" si="111"/>
        <v>104,416</v>
      </c>
      <c r="AC108" t="str">
        <f t="shared" si="112"/>
        <v>105,208</v>
      </c>
      <c r="AD108" t="str">
        <f t="shared" si="113"/>
        <v>106,101</v>
      </c>
      <c r="AE108" t="str">
        <f t="shared" si="114"/>
        <v>3,200</v>
      </c>
      <c r="AG108" t="str">
        <f t="shared" si="115"/>
        <v>104,42</v>
      </c>
      <c r="AH108" t="str">
        <f t="shared" si="116"/>
        <v>105,21</v>
      </c>
      <c r="AI108" t="str">
        <f t="shared" si="117"/>
        <v>106,10</v>
      </c>
      <c r="AJ108" t="str">
        <f t="shared" si="118"/>
        <v>1,1388</v>
      </c>
      <c r="AM108" t="str">
        <f t="shared" ref="AM108:AR108" si="124">N108&amp;"#"&amp;N251&amp;"#"&amp;N354</f>
        <v>104,83|105,41|106,20|1,1110#104,13|105,5|106,1|1,275#</v>
      </c>
      <c r="AN108" t="str">
        <f t="shared" si="124"/>
        <v>##</v>
      </c>
      <c r="AO108" t="str">
        <f t="shared" si="124"/>
        <v>1,20500#11,1|1,1000#</v>
      </c>
      <c r="AP108" t="str">
        <f t="shared" si="124"/>
        <v>1,40800|4,6#163,1|1,2000|4,6#</v>
      </c>
      <c r="AQ108" t="str">
        <f t="shared" si="124"/>
        <v>104,416|105,208|106,101|3,200#104,40|105,20|106,1|3,250#</v>
      </c>
      <c r="AR108" t="str">
        <f t="shared" si="124"/>
        <v>104,42|105,21|106,10|1,1388#104,7|105,3|106,1|1,344#</v>
      </c>
    </row>
    <row r="109" spans="1:44" x14ac:dyDescent="0.25">
      <c r="A109" s="14">
        <v>107</v>
      </c>
      <c r="B109" s="15">
        <f>IF(关卡产出!C114="","",关卡产出!C114)</f>
        <v>84</v>
      </c>
      <c r="C109" s="15">
        <f>IF(关卡产出!D114="","",关卡产出!D114)</f>
        <v>42</v>
      </c>
      <c r="D109" s="15">
        <f>IF(关卡产出!E114="","",关卡产出!E114)</f>
        <v>20</v>
      </c>
      <c r="E109" s="15">
        <f>IF(关卡产出!F114="","",关卡产出!F114)</f>
        <v>1130</v>
      </c>
      <c r="F109" s="15">
        <f>IF(关卡产出!H114="","",关卡产出!H114)</f>
        <v>20700</v>
      </c>
      <c r="G109" s="15">
        <f>IF(关卡产出!J114="","",关卡产出!J114)</f>
        <v>41200</v>
      </c>
      <c r="H109" s="15">
        <f>IF(关卡产出!K114="","",关卡产出!K114)</f>
        <v>6</v>
      </c>
      <c r="I109" s="15">
        <f>IF(关卡产出!M114="","",关卡产出!M114)</f>
        <v>420</v>
      </c>
      <c r="J109" s="15">
        <f>IF(关卡产出!N114="","",关卡产出!N114)</f>
        <v>210</v>
      </c>
      <c r="K109" s="15">
        <f>IF(关卡产出!O114="","",关卡产出!O114)</f>
        <v>102</v>
      </c>
      <c r="L109" s="15">
        <f>IF(关卡产出!P114="","",关卡产出!P114)</f>
        <v>200</v>
      </c>
      <c r="M109">
        <f t="shared" si="85"/>
        <v>5650</v>
      </c>
      <c r="N109" t="str">
        <f t="shared" si="86"/>
        <v>104,84|105,42|106,20|1,1130</v>
      </c>
      <c r="P109" t="str">
        <f t="shared" si="103"/>
        <v>1,20700</v>
      </c>
      <c r="Q109" t="str">
        <f t="shared" si="104"/>
        <v>1,41200|4,6</v>
      </c>
      <c r="R109" t="str">
        <f t="shared" si="105"/>
        <v>104,420|105,210|106,102|3,200</v>
      </c>
      <c r="S109" t="str">
        <f t="shared" si="106"/>
        <v>104,42|105,21|106,10|1,1413</v>
      </c>
      <c r="V109" t="str">
        <f t="shared" si="107"/>
        <v>104,84</v>
      </c>
      <c r="W109" t="str">
        <f t="shared" si="108"/>
        <v>105,42</v>
      </c>
      <c r="X109" t="str">
        <f t="shared" si="109"/>
        <v>106,20</v>
      </c>
      <c r="Y109" t="str">
        <f t="shared" si="110"/>
        <v>1,1130</v>
      </c>
      <c r="AB109" t="str">
        <f t="shared" si="111"/>
        <v>104,420</v>
      </c>
      <c r="AC109" t="str">
        <f t="shared" si="112"/>
        <v>105,210</v>
      </c>
      <c r="AD109" t="str">
        <f t="shared" si="113"/>
        <v>106,102</v>
      </c>
      <c r="AE109" t="str">
        <f t="shared" si="114"/>
        <v>3,200</v>
      </c>
      <c r="AG109" t="str">
        <f t="shared" si="115"/>
        <v>104,42</v>
      </c>
      <c r="AH109" t="str">
        <f t="shared" si="116"/>
        <v>105,21</v>
      </c>
      <c r="AI109" t="str">
        <f t="shared" si="117"/>
        <v>106,10</v>
      </c>
      <c r="AJ109" t="str">
        <f t="shared" si="118"/>
        <v>1,1413</v>
      </c>
      <c r="AM109" t="str">
        <f t="shared" ref="AM109:AR109" si="125">N109&amp;"#"&amp;N252&amp;"#"&amp;N355</f>
        <v>104,84|105,42|106,20|1,1130#104,13|105,5|106,3|1,275#</v>
      </c>
      <c r="AN109" t="str">
        <f t="shared" si="125"/>
        <v>##</v>
      </c>
      <c r="AO109" t="str">
        <f t="shared" si="125"/>
        <v>1,20700#11,1|1,1250#</v>
      </c>
      <c r="AP109" t="str">
        <f t="shared" si="125"/>
        <v>1,41200|4,6#163,1|1,2500|4,6#</v>
      </c>
      <c r="AQ109" t="str">
        <f t="shared" si="125"/>
        <v>104,420|105,210|106,102|3,200#104,45|105,20|106,3|3,250#</v>
      </c>
      <c r="AR109" t="str">
        <f t="shared" si="125"/>
        <v>104,42|105,21|106,10|1,1413#104,7|105,3|106,2|1,344#</v>
      </c>
    </row>
    <row r="110" spans="1:44" x14ac:dyDescent="0.25">
      <c r="A110" s="14">
        <v>108</v>
      </c>
      <c r="B110" s="15">
        <f>IF(关卡产出!C115="","",关卡产出!C115)</f>
        <v>85</v>
      </c>
      <c r="C110" s="15">
        <f>IF(关卡产出!D115="","",关卡产出!D115)</f>
        <v>42</v>
      </c>
      <c r="D110" s="15">
        <f>IF(关卡产出!E115="","",关卡产出!E115)</f>
        <v>21</v>
      </c>
      <c r="E110" s="15">
        <f>IF(关卡产出!F115="","",关卡产出!F115)</f>
        <v>1130</v>
      </c>
      <c r="F110" s="15">
        <f>IF(关卡产出!H115="","",关卡产出!H115)</f>
        <v>20900</v>
      </c>
      <c r="G110" s="15">
        <f>IF(关卡产出!J115="","",关卡产出!J115)</f>
        <v>41600</v>
      </c>
      <c r="H110" s="15">
        <f>IF(关卡产出!K115="","",关卡产出!K115)</f>
        <v>6</v>
      </c>
      <c r="I110" s="15">
        <f>IF(关卡产出!M115="","",关卡产出!M115)</f>
        <v>424</v>
      </c>
      <c r="J110" s="15">
        <f>IF(关卡产出!N115="","",关卡产出!N115)</f>
        <v>212</v>
      </c>
      <c r="K110" s="15">
        <f>IF(关卡产出!O115="","",关卡产出!O115)</f>
        <v>103</v>
      </c>
      <c r="L110" s="15">
        <f>IF(关卡产出!P115="","",关卡产出!P115)</f>
        <v>200</v>
      </c>
      <c r="M110">
        <f t="shared" si="85"/>
        <v>5650</v>
      </c>
      <c r="N110" t="str">
        <f t="shared" si="86"/>
        <v>104,85|105,42|106,21|1,1130</v>
      </c>
      <c r="P110" t="str">
        <f t="shared" si="103"/>
        <v>1,20900</v>
      </c>
      <c r="Q110" t="str">
        <f t="shared" si="104"/>
        <v>1,41600|4,6</v>
      </c>
      <c r="R110" t="str">
        <f t="shared" si="105"/>
        <v>104,424|105,212|106,103|3,200</v>
      </c>
      <c r="S110" t="str">
        <f t="shared" si="106"/>
        <v>104,43|105,21|106,11|1,1413</v>
      </c>
      <c r="V110" t="str">
        <f t="shared" si="107"/>
        <v>104,85</v>
      </c>
      <c r="W110" t="str">
        <f t="shared" si="108"/>
        <v>105,42</v>
      </c>
      <c r="X110" t="str">
        <f t="shared" si="109"/>
        <v>106,21</v>
      </c>
      <c r="Y110" t="str">
        <f t="shared" si="110"/>
        <v>1,1130</v>
      </c>
      <c r="AB110" t="str">
        <f t="shared" si="111"/>
        <v>104,424</v>
      </c>
      <c r="AC110" t="str">
        <f t="shared" si="112"/>
        <v>105,212</v>
      </c>
      <c r="AD110" t="str">
        <f t="shared" si="113"/>
        <v>106,103</v>
      </c>
      <c r="AE110" t="str">
        <f t="shared" si="114"/>
        <v>3,200</v>
      </c>
      <c r="AG110" t="str">
        <f t="shared" si="115"/>
        <v>104,43</v>
      </c>
      <c r="AH110" t="str">
        <f t="shared" si="116"/>
        <v>105,21</v>
      </c>
      <c r="AI110" t="str">
        <f t="shared" si="117"/>
        <v>106,11</v>
      </c>
      <c r="AJ110" t="str">
        <f t="shared" si="118"/>
        <v>1,1413</v>
      </c>
      <c r="AM110" t="str">
        <f t="shared" ref="AM110:AR110" si="126">N110&amp;"#"&amp;N253&amp;"#"&amp;N356</f>
        <v>104,85|105,42|106,21|1,1130#104,15|105,8|106,3|1,300#</v>
      </c>
      <c r="AN110" t="str">
        <f t="shared" si="126"/>
        <v>##</v>
      </c>
      <c r="AO110" t="str">
        <f t="shared" si="126"/>
        <v>1,20900#11,1|1,1500#</v>
      </c>
      <c r="AP110" t="str">
        <f t="shared" si="126"/>
        <v>1,41600|4,6#163,1|1,3000|4,6#</v>
      </c>
      <c r="AQ110" t="str">
        <f t="shared" si="126"/>
        <v>104,424|105,212|106,103|3,200#104,50|105,23|106,3|3,250#</v>
      </c>
      <c r="AR110" t="str">
        <f t="shared" si="126"/>
        <v>104,43|105,21|106,11|1,1413#104,8|105,4|106,2|1,375#</v>
      </c>
    </row>
    <row r="111" spans="1:44" x14ac:dyDescent="0.25">
      <c r="A111" s="14">
        <v>109</v>
      </c>
      <c r="B111" s="15">
        <f>IF(关卡产出!C116="","",关卡产出!C116)</f>
        <v>86</v>
      </c>
      <c r="C111" s="15">
        <f>IF(关卡产出!D116="","",关卡产出!D116)</f>
        <v>43</v>
      </c>
      <c r="D111" s="15">
        <f>IF(关卡产出!E116="","",关卡产出!E116)</f>
        <v>21</v>
      </c>
      <c r="E111" s="15">
        <f>IF(关卡产出!F116="","",关卡产出!F116)</f>
        <v>1150</v>
      </c>
      <c r="F111" s="15">
        <f>IF(关卡产出!H116="","",关卡产出!H116)</f>
        <v>21100</v>
      </c>
      <c r="G111" s="15">
        <f>IF(关卡产出!J116="","",关卡产出!J116)</f>
        <v>42000</v>
      </c>
      <c r="H111" s="15">
        <f>IF(关卡产出!K116="","",关卡产出!K116)</f>
        <v>6</v>
      </c>
      <c r="I111" s="15">
        <f>IF(关卡产出!M116="","",关卡产出!M116)</f>
        <v>428</v>
      </c>
      <c r="J111" s="15">
        <f>IF(关卡产出!N116="","",关卡产出!N116)</f>
        <v>214</v>
      </c>
      <c r="K111" s="15">
        <f>IF(关卡产出!O116="","",关卡产出!O116)</f>
        <v>104</v>
      </c>
      <c r="L111" s="15">
        <f>IF(关卡产出!P116="","",关卡产出!P116)</f>
        <v>200</v>
      </c>
      <c r="M111">
        <f t="shared" si="85"/>
        <v>5750</v>
      </c>
      <c r="N111" t="str">
        <f t="shared" si="86"/>
        <v>104,86|105,43|106,21|1,1150</v>
      </c>
      <c r="P111" t="str">
        <f t="shared" si="103"/>
        <v>1,21100</v>
      </c>
      <c r="Q111" t="str">
        <f t="shared" si="104"/>
        <v>1,42000|4,6</v>
      </c>
      <c r="R111" t="str">
        <f t="shared" si="105"/>
        <v>104,428|105,214|106,104|3,200</v>
      </c>
      <c r="S111" t="str">
        <f t="shared" si="106"/>
        <v>104,43|105,22|106,11|1,1438</v>
      </c>
      <c r="V111" t="str">
        <f t="shared" si="107"/>
        <v>104,86</v>
      </c>
      <c r="W111" t="str">
        <f t="shared" si="108"/>
        <v>105,43</v>
      </c>
      <c r="X111" t="str">
        <f t="shared" si="109"/>
        <v>106,21</v>
      </c>
      <c r="Y111" t="str">
        <f t="shared" si="110"/>
        <v>1,1150</v>
      </c>
      <c r="AB111" t="str">
        <f t="shared" si="111"/>
        <v>104,428</v>
      </c>
      <c r="AC111" t="str">
        <f t="shared" si="112"/>
        <v>105,214</v>
      </c>
      <c r="AD111" t="str">
        <f t="shared" si="113"/>
        <v>106,104</v>
      </c>
      <c r="AE111" t="str">
        <f t="shared" si="114"/>
        <v>3,200</v>
      </c>
      <c r="AG111" t="str">
        <f t="shared" si="115"/>
        <v>104,43</v>
      </c>
      <c r="AH111" t="str">
        <f t="shared" si="116"/>
        <v>105,22</v>
      </c>
      <c r="AI111" t="str">
        <f t="shared" si="117"/>
        <v>106,11</v>
      </c>
      <c r="AJ111" t="str">
        <f t="shared" si="118"/>
        <v>1,1438</v>
      </c>
      <c r="AM111" t="str">
        <f t="shared" ref="AM111:AR111" si="127">N111&amp;"#"&amp;N254&amp;"#"&amp;N357</f>
        <v>104,86|105,43|106,21|1,1150#104,15|105,8|106,3|1,300#</v>
      </c>
      <c r="AN111" t="str">
        <f t="shared" si="127"/>
        <v>##</v>
      </c>
      <c r="AO111" t="str">
        <f t="shared" si="127"/>
        <v>1,21100#11,1|1,1750#</v>
      </c>
      <c r="AP111" t="str">
        <f t="shared" si="127"/>
        <v>1,42000|4,6#163,1|1,3500|4,6#</v>
      </c>
      <c r="AQ111" t="str">
        <f t="shared" si="127"/>
        <v>104,428|105,214|106,104|3,200#104,50|105,25|106,5|3,250#</v>
      </c>
      <c r="AR111" t="str">
        <f t="shared" si="127"/>
        <v>104,43|105,22|106,11|1,1438#104,8|105,4|106,2|1,375#</v>
      </c>
    </row>
    <row r="112" spans="1:44" x14ac:dyDescent="0.25">
      <c r="A112" s="14">
        <v>110</v>
      </c>
      <c r="B112" s="15">
        <f>IF(关卡产出!C117="","",关卡产出!C117)</f>
        <v>86</v>
      </c>
      <c r="C112" s="15">
        <f>IF(关卡产出!D117="","",关卡产出!D117)</f>
        <v>43</v>
      </c>
      <c r="D112" s="15">
        <f>IF(关卡产出!E117="","",关卡产出!E117)</f>
        <v>21</v>
      </c>
      <c r="E112" s="15">
        <f>IF(关卡产出!F117="","",关卡产出!F117)</f>
        <v>1150</v>
      </c>
      <c r="F112" s="15">
        <f>IF(关卡产出!H117="","",关卡产出!H117)</f>
        <v>21300</v>
      </c>
      <c r="G112" s="15">
        <f>IF(关卡产出!J117="","",关卡产出!J117)</f>
        <v>42400</v>
      </c>
      <c r="H112" s="15">
        <f>IF(关卡产出!K117="","",关卡产出!K117)</f>
        <v>6</v>
      </c>
      <c r="I112" s="15">
        <f>IF(关卡产出!M117="","",关卡产出!M117)</f>
        <v>432</v>
      </c>
      <c r="J112" s="15">
        <f>IF(关卡产出!N117="","",关卡产出!N117)</f>
        <v>216</v>
      </c>
      <c r="K112" s="15">
        <f>IF(关卡产出!O117="","",关卡产出!O117)</f>
        <v>105</v>
      </c>
      <c r="L112" s="15">
        <f>IF(关卡产出!P117="","",关卡产出!P117)</f>
        <v>200</v>
      </c>
      <c r="M112">
        <f t="shared" si="85"/>
        <v>5750</v>
      </c>
      <c r="N112" t="str">
        <f t="shared" si="86"/>
        <v>104,86|105,43|106,21|1,1150</v>
      </c>
      <c r="P112" t="str">
        <f t="shared" si="103"/>
        <v>1,21300</v>
      </c>
      <c r="Q112" t="str">
        <f t="shared" si="104"/>
        <v>1,42400|4,6</v>
      </c>
      <c r="R112" t="str">
        <f t="shared" si="105"/>
        <v>104,432|105,216|106,105|3,200</v>
      </c>
      <c r="S112" t="str">
        <f t="shared" si="106"/>
        <v>104,43|105,22|106,11|1,1438</v>
      </c>
      <c r="V112" t="str">
        <f t="shared" si="107"/>
        <v>104,86</v>
      </c>
      <c r="W112" t="str">
        <f t="shared" si="108"/>
        <v>105,43</v>
      </c>
      <c r="X112" t="str">
        <f t="shared" si="109"/>
        <v>106,21</v>
      </c>
      <c r="Y112" t="str">
        <f t="shared" si="110"/>
        <v>1,1150</v>
      </c>
      <c r="AB112" t="str">
        <f t="shared" si="111"/>
        <v>104,432</v>
      </c>
      <c r="AC112" t="str">
        <f t="shared" si="112"/>
        <v>105,216</v>
      </c>
      <c r="AD112" t="str">
        <f t="shared" si="113"/>
        <v>106,105</v>
      </c>
      <c r="AE112" t="str">
        <f t="shared" si="114"/>
        <v>3,200</v>
      </c>
      <c r="AG112" t="str">
        <f t="shared" si="115"/>
        <v>104,43</v>
      </c>
      <c r="AH112" t="str">
        <f t="shared" si="116"/>
        <v>105,22</v>
      </c>
      <c r="AI112" t="str">
        <f t="shared" si="117"/>
        <v>106,11</v>
      </c>
      <c r="AJ112" t="str">
        <f t="shared" si="118"/>
        <v>1,1438</v>
      </c>
      <c r="AM112" t="str">
        <f t="shared" ref="AM112:AR112" si="128">N112&amp;"#"&amp;N255&amp;"#"&amp;N358</f>
        <v>104,86|105,43|106,21|1,1150#104,18|105,8|106,3|1,325#</v>
      </c>
      <c r="AN112" t="str">
        <f t="shared" si="128"/>
        <v>##</v>
      </c>
      <c r="AO112" t="str">
        <f t="shared" si="128"/>
        <v>1,21300#11,1|1,2000#</v>
      </c>
      <c r="AP112" t="str">
        <f t="shared" si="128"/>
        <v>1,42400|4,6#163,1|1,4000|4,6#</v>
      </c>
      <c r="AQ112" t="str">
        <f t="shared" si="128"/>
        <v>104,432|105,216|106,105|3,200#104,55|105,28|106,5|3,250#</v>
      </c>
      <c r="AR112" t="str">
        <f t="shared" si="128"/>
        <v>104,43|105,22|106,11|1,1438#104,9|105,4|106,2|1,407#</v>
      </c>
    </row>
    <row r="113" spans="1:44" x14ac:dyDescent="0.25">
      <c r="A113" s="14">
        <v>111</v>
      </c>
      <c r="B113" s="15">
        <f>IF(关卡产出!C118="","",关卡产出!C118)</f>
        <v>87</v>
      </c>
      <c r="C113" s="15">
        <f>IF(关卡产出!D118="","",关卡产出!D118)</f>
        <v>43</v>
      </c>
      <c r="D113" s="15">
        <f>IF(关卡产出!E118="","",关卡产出!E118)</f>
        <v>21</v>
      </c>
      <c r="E113" s="15">
        <f>IF(关卡产出!F118="","",关卡产出!F118)</f>
        <v>1170</v>
      </c>
      <c r="F113" s="15">
        <f>IF(关卡产出!H118="","",关卡产出!H118)</f>
        <v>21500</v>
      </c>
      <c r="G113" s="15">
        <f>IF(关卡产出!J118="","",关卡产出!J118)</f>
        <v>42800</v>
      </c>
      <c r="H113" s="15">
        <f>IF(关卡产出!K118="","",关卡产出!K118)</f>
        <v>6</v>
      </c>
      <c r="I113" s="15">
        <f>IF(关卡产出!M118="","",关卡产出!M118)</f>
        <v>436</v>
      </c>
      <c r="J113" s="15">
        <f>IF(关卡产出!N118="","",关卡产出!N118)</f>
        <v>218</v>
      </c>
      <c r="K113" s="15">
        <f>IF(关卡产出!O118="","",关卡产出!O118)</f>
        <v>106</v>
      </c>
      <c r="L113" s="15">
        <f>IF(关卡产出!P118="","",关卡产出!P118)</f>
        <v>200</v>
      </c>
      <c r="M113">
        <f t="shared" si="85"/>
        <v>5850</v>
      </c>
      <c r="N113" t="str">
        <f t="shared" si="86"/>
        <v>104,87|105,43|106,21|1,1170</v>
      </c>
      <c r="P113" t="str">
        <f t="shared" si="103"/>
        <v>1,21500</v>
      </c>
      <c r="Q113" t="str">
        <f t="shared" si="104"/>
        <v>1,42800|4,6</v>
      </c>
      <c r="R113" t="str">
        <f t="shared" si="105"/>
        <v>104,436|105,218|106,106|3,200</v>
      </c>
      <c r="S113" t="str">
        <f t="shared" si="106"/>
        <v>104,44|105,22|106,11|1,1463</v>
      </c>
      <c r="V113" t="str">
        <f t="shared" si="107"/>
        <v>104,87</v>
      </c>
      <c r="W113" t="str">
        <f t="shared" si="108"/>
        <v>105,43</v>
      </c>
      <c r="X113" t="str">
        <f t="shared" si="109"/>
        <v>106,21</v>
      </c>
      <c r="Y113" t="str">
        <f t="shared" si="110"/>
        <v>1,1170</v>
      </c>
      <c r="AB113" t="str">
        <f t="shared" si="111"/>
        <v>104,436</v>
      </c>
      <c r="AC113" t="str">
        <f t="shared" si="112"/>
        <v>105,218</v>
      </c>
      <c r="AD113" t="str">
        <f t="shared" si="113"/>
        <v>106,106</v>
      </c>
      <c r="AE113" t="str">
        <f t="shared" si="114"/>
        <v>3,200</v>
      </c>
      <c r="AG113" t="str">
        <f t="shared" si="115"/>
        <v>104,44</v>
      </c>
      <c r="AH113" t="str">
        <f t="shared" si="116"/>
        <v>105,22</v>
      </c>
      <c r="AI113" t="str">
        <f t="shared" si="117"/>
        <v>106,11</v>
      </c>
      <c r="AJ113" t="str">
        <f t="shared" si="118"/>
        <v>1,1463</v>
      </c>
      <c r="AM113" t="str">
        <f t="shared" ref="AM113:AR113" si="129">N113&amp;"#"&amp;N256&amp;"#"&amp;N359</f>
        <v>104,87|105,43|106,21|1,1170#104,18|105,8|106,3|1,325#</v>
      </c>
      <c r="AN113" t="str">
        <f t="shared" si="129"/>
        <v>##</v>
      </c>
      <c r="AO113" t="str">
        <f t="shared" si="129"/>
        <v>1,21500#11,1|1,2250#</v>
      </c>
      <c r="AP113" t="str">
        <f t="shared" si="129"/>
        <v>1,42800|4,6#163,1|1,4500|4,6#</v>
      </c>
      <c r="AQ113" t="str">
        <f t="shared" si="129"/>
        <v>104,436|105,218|106,106|3,200#104,60|105,30|106,8|3,250#</v>
      </c>
      <c r="AR113" t="str">
        <f t="shared" si="129"/>
        <v>104,44|105,22|106,11|1,1463#104,9|105,4|106,2|1,407#</v>
      </c>
    </row>
    <row r="114" spans="1:44" x14ac:dyDescent="0.25">
      <c r="A114" s="14">
        <v>112</v>
      </c>
      <c r="B114" s="15">
        <f>IF(关卡产出!C119="","",关卡产出!C119)</f>
        <v>88</v>
      </c>
      <c r="C114" s="15">
        <f>IF(关卡产出!D119="","",关卡产出!D119)</f>
        <v>44</v>
      </c>
      <c r="D114" s="15">
        <f>IF(关卡产出!E119="","",关卡产出!E119)</f>
        <v>21</v>
      </c>
      <c r="E114" s="15">
        <f>IF(关卡产出!F119="","",关卡产出!F119)</f>
        <v>1170</v>
      </c>
      <c r="F114" s="15">
        <f>IF(关卡产出!H119="","",关卡产出!H119)</f>
        <v>21700</v>
      </c>
      <c r="G114" s="15">
        <f>IF(关卡产出!J119="","",关卡产出!J119)</f>
        <v>43200</v>
      </c>
      <c r="H114" s="15">
        <f>IF(关卡产出!K119="","",关卡产出!K119)</f>
        <v>6</v>
      </c>
      <c r="I114" s="15">
        <f>IF(关卡产出!M119="","",关卡产出!M119)</f>
        <v>440</v>
      </c>
      <c r="J114" s="15">
        <f>IF(关卡产出!N119="","",关卡产出!N119)</f>
        <v>220</v>
      </c>
      <c r="K114" s="15">
        <f>IF(关卡产出!O119="","",关卡产出!O119)</f>
        <v>107</v>
      </c>
      <c r="L114" s="15">
        <f>IF(关卡产出!P119="","",关卡产出!P119)</f>
        <v>200</v>
      </c>
      <c r="M114">
        <f t="shared" si="85"/>
        <v>5850</v>
      </c>
      <c r="N114" t="str">
        <f t="shared" si="86"/>
        <v>104,88|105,44|106,21|1,1170</v>
      </c>
      <c r="P114" t="str">
        <f t="shared" si="103"/>
        <v>1,21700</v>
      </c>
      <c r="Q114" t="str">
        <f t="shared" si="104"/>
        <v>1,43200|4,6</v>
      </c>
      <c r="R114" t="str">
        <f t="shared" si="105"/>
        <v>104,440|105,220|106,107|3,200</v>
      </c>
      <c r="S114" t="str">
        <f t="shared" si="106"/>
        <v>104,44|105,22|106,11|1,1463</v>
      </c>
      <c r="V114" t="str">
        <f t="shared" si="107"/>
        <v>104,88</v>
      </c>
      <c r="W114" t="str">
        <f t="shared" si="108"/>
        <v>105,44</v>
      </c>
      <c r="X114" t="str">
        <f t="shared" si="109"/>
        <v>106,21</v>
      </c>
      <c r="Y114" t="str">
        <f t="shared" si="110"/>
        <v>1,1170</v>
      </c>
      <c r="AB114" t="str">
        <f t="shared" si="111"/>
        <v>104,440</v>
      </c>
      <c r="AC114" t="str">
        <f t="shared" si="112"/>
        <v>105,220</v>
      </c>
      <c r="AD114" t="str">
        <f t="shared" si="113"/>
        <v>106,107</v>
      </c>
      <c r="AE114" t="str">
        <f t="shared" si="114"/>
        <v>3,200</v>
      </c>
      <c r="AG114" t="str">
        <f t="shared" si="115"/>
        <v>104,44</v>
      </c>
      <c r="AH114" t="str">
        <f t="shared" si="116"/>
        <v>105,22</v>
      </c>
      <c r="AI114" t="str">
        <f t="shared" si="117"/>
        <v>106,11</v>
      </c>
      <c r="AJ114" t="str">
        <f t="shared" si="118"/>
        <v>1,1463</v>
      </c>
      <c r="AM114" t="str">
        <f t="shared" ref="AM114:AR114" si="130">N114&amp;"#"&amp;N257&amp;"#"&amp;N360</f>
        <v>104,88|105,44|106,21|1,1170#104,20|105,10|106,3|1,375#</v>
      </c>
      <c r="AN114" t="str">
        <f t="shared" si="130"/>
        <v>##</v>
      </c>
      <c r="AO114" t="str">
        <f t="shared" si="130"/>
        <v>1,21700#11,1|1,2750#</v>
      </c>
      <c r="AP114" t="str">
        <f t="shared" si="130"/>
        <v>1,43200|4,6#163,1|1,5000|4,6#</v>
      </c>
      <c r="AQ114" t="str">
        <f t="shared" si="130"/>
        <v>104,440|105,220|106,107|3,200#104,70|105,35|106,10|3,250#</v>
      </c>
      <c r="AR114" t="str">
        <f t="shared" si="130"/>
        <v>104,44|105,22|106,11|1,1463#104,10|105,5|106,2|1,469#</v>
      </c>
    </row>
    <row r="115" spans="1:44" x14ac:dyDescent="0.25">
      <c r="A115" s="14">
        <v>113</v>
      </c>
      <c r="B115" s="15">
        <f>IF(关卡产出!C120="","",关卡产出!C120)</f>
        <v>89</v>
      </c>
      <c r="C115" s="15">
        <f>IF(关卡产出!D120="","",关卡产出!D120)</f>
        <v>44</v>
      </c>
      <c r="D115" s="15">
        <f>IF(关卡产出!E120="","",关卡产出!E120)</f>
        <v>22</v>
      </c>
      <c r="E115" s="15">
        <f>IF(关卡产出!F120="","",关卡产出!F120)</f>
        <v>1190</v>
      </c>
      <c r="F115" s="15">
        <f>IF(关卡产出!H120="","",关卡产出!H120)</f>
        <v>21900</v>
      </c>
      <c r="G115" s="15">
        <f>IF(关卡产出!J120="","",关卡产出!J120)</f>
        <v>43600</v>
      </c>
      <c r="H115" s="15">
        <f>IF(关卡产出!K120="","",关卡产出!K120)</f>
        <v>6</v>
      </c>
      <c r="I115" s="15">
        <f>IF(关卡产出!M120="","",关卡产出!M120)</f>
        <v>444</v>
      </c>
      <c r="J115" s="15">
        <f>IF(关卡产出!N120="","",关卡产出!N120)</f>
        <v>222</v>
      </c>
      <c r="K115" s="15">
        <f>IF(关卡产出!O120="","",关卡产出!O120)</f>
        <v>108</v>
      </c>
      <c r="L115" s="15">
        <f>IF(关卡产出!P120="","",关卡产出!P120)</f>
        <v>200</v>
      </c>
      <c r="M115">
        <f t="shared" si="85"/>
        <v>5950</v>
      </c>
      <c r="N115" t="str">
        <f t="shared" si="86"/>
        <v>104,89|105,44|106,22|1,1190</v>
      </c>
      <c r="P115" t="str">
        <f t="shared" si="103"/>
        <v>1,21900</v>
      </c>
      <c r="Q115" t="str">
        <f t="shared" si="104"/>
        <v>1,43600|4,6</v>
      </c>
      <c r="R115" t="str">
        <f t="shared" si="105"/>
        <v>104,444|105,222|106,108|3,200</v>
      </c>
      <c r="S115" t="str">
        <f t="shared" si="106"/>
        <v>104,45|105,22|106,11|1,1488</v>
      </c>
      <c r="V115" t="str">
        <f t="shared" si="107"/>
        <v>104,89</v>
      </c>
      <c r="W115" t="str">
        <f t="shared" si="108"/>
        <v>105,44</v>
      </c>
      <c r="X115" t="str">
        <f t="shared" si="109"/>
        <v>106,22</v>
      </c>
      <c r="Y115" t="str">
        <f t="shared" si="110"/>
        <v>1,1190</v>
      </c>
      <c r="AB115" t="str">
        <f t="shared" si="111"/>
        <v>104,444</v>
      </c>
      <c r="AC115" t="str">
        <f t="shared" si="112"/>
        <v>105,222</v>
      </c>
      <c r="AD115" t="str">
        <f t="shared" si="113"/>
        <v>106,108</v>
      </c>
      <c r="AE115" t="str">
        <f t="shared" si="114"/>
        <v>3,200</v>
      </c>
      <c r="AG115" t="str">
        <f t="shared" si="115"/>
        <v>104,45</v>
      </c>
      <c r="AH115" t="str">
        <f t="shared" si="116"/>
        <v>105,22</v>
      </c>
      <c r="AI115" t="str">
        <f t="shared" si="117"/>
        <v>106,11</v>
      </c>
      <c r="AJ115" t="str">
        <f t="shared" si="118"/>
        <v>1,1488</v>
      </c>
      <c r="AM115" t="str">
        <f t="shared" ref="AM115:AR115" si="131">N115&amp;"#"&amp;N258&amp;"#"&amp;N361</f>
        <v>104,89|105,44|106,22|1,1190#104,20|105,10|106,3|1,375#</v>
      </c>
      <c r="AN115" t="str">
        <f t="shared" si="131"/>
        <v>##</v>
      </c>
      <c r="AO115" t="str">
        <f t="shared" si="131"/>
        <v>1,21900#11,1|1,3250#</v>
      </c>
      <c r="AP115" t="str">
        <f t="shared" si="131"/>
        <v>1,43600|4,6#163,1|1,6000|4,6#</v>
      </c>
      <c r="AQ115" t="str">
        <f t="shared" si="131"/>
        <v>104,444|105,222|106,108|3,200#104,80|105,40|106,13|3,250#</v>
      </c>
      <c r="AR115" t="str">
        <f t="shared" si="131"/>
        <v>104,45|105,22|106,11|1,1488#104,10|105,5|106,2|1,469#</v>
      </c>
    </row>
    <row r="116" spans="1:44" x14ac:dyDescent="0.25">
      <c r="A116" s="14">
        <v>114</v>
      </c>
      <c r="B116" s="15">
        <f>IF(关卡产出!C121="","",关卡产出!C121)</f>
        <v>90</v>
      </c>
      <c r="C116" s="15">
        <f>IF(关卡产出!D121="","",关卡产出!D121)</f>
        <v>45</v>
      </c>
      <c r="D116" s="15">
        <f>IF(关卡产出!E121="","",关卡产出!E121)</f>
        <v>22</v>
      </c>
      <c r="E116" s="15">
        <f>IF(关卡产出!F121="","",关卡产出!F121)</f>
        <v>1190</v>
      </c>
      <c r="F116" s="15">
        <f>IF(关卡产出!H121="","",关卡产出!H121)</f>
        <v>22100</v>
      </c>
      <c r="G116" s="15">
        <f>IF(关卡产出!J121="","",关卡产出!J121)</f>
        <v>44000</v>
      </c>
      <c r="H116" s="15">
        <f>IF(关卡产出!K121="","",关卡产出!K121)</f>
        <v>6</v>
      </c>
      <c r="I116" s="15">
        <f>IF(关卡产出!M121="","",关卡产出!M121)</f>
        <v>448</v>
      </c>
      <c r="J116" s="15">
        <f>IF(关卡产出!N121="","",关卡产出!N121)</f>
        <v>224</v>
      </c>
      <c r="K116" s="15">
        <f>IF(关卡产出!O121="","",关卡产出!O121)</f>
        <v>109</v>
      </c>
      <c r="L116" s="15">
        <f>IF(关卡产出!P121="","",关卡产出!P121)</f>
        <v>200</v>
      </c>
      <c r="M116">
        <f t="shared" si="85"/>
        <v>5950</v>
      </c>
      <c r="N116" t="str">
        <f t="shared" si="86"/>
        <v>104,90|105,45|106,22|1,1190</v>
      </c>
      <c r="P116" t="str">
        <f t="shared" si="103"/>
        <v>1,22100</v>
      </c>
      <c r="Q116" t="str">
        <f t="shared" si="104"/>
        <v>1,44000|4,6</v>
      </c>
      <c r="R116" t="str">
        <f t="shared" si="105"/>
        <v>104,448|105,224|106,109|3,200</v>
      </c>
      <c r="S116" t="str">
        <f t="shared" si="106"/>
        <v>104,45|105,23|106,11|1,1488</v>
      </c>
      <c r="V116" t="str">
        <f t="shared" si="107"/>
        <v>104,90</v>
      </c>
      <c r="W116" t="str">
        <f t="shared" si="108"/>
        <v>105,45</v>
      </c>
      <c r="X116" t="str">
        <f t="shared" si="109"/>
        <v>106,22</v>
      </c>
      <c r="Y116" t="str">
        <f t="shared" si="110"/>
        <v>1,1190</v>
      </c>
      <c r="AB116" t="str">
        <f t="shared" si="111"/>
        <v>104,448</v>
      </c>
      <c r="AC116" t="str">
        <f t="shared" si="112"/>
        <v>105,224</v>
      </c>
      <c r="AD116" t="str">
        <f t="shared" si="113"/>
        <v>106,109</v>
      </c>
      <c r="AE116" t="str">
        <f t="shared" si="114"/>
        <v>3,200</v>
      </c>
      <c r="AG116" t="str">
        <f t="shared" si="115"/>
        <v>104,45</v>
      </c>
      <c r="AH116" t="str">
        <f t="shared" si="116"/>
        <v>105,23</v>
      </c>
      <c r="AI116" t="str">
        <f t="shared" si="117"/>
        <v>106,11</v>
      </c>
      <c r="AJ116" t="str">
        <f t="shared" si="118"/>
        <v>1,1488</v>
      </c>
      <c r="AM116" t="str">
        <f t="shared" ref="AM116:AR116" si="132">N116&amp;"#"&amp;N259&amp;"#"&amp;N362</f>
        <v>104,90|105,45|106,22|1,1190#104,23|105,10|106,3|1,425#</v>
      </c>
      <c r="AN116" t="str">
        <f t="shared" si="132"/>
        <v>##</v>
      </c>
      <c r="AO116" t="str">
        <f t="shared" si="132"/>
        <v>1,22100#11,1|1,3750#</v>
      </c>
      <c r="AP116" t="str">
        <f t="shared" si="132"/>
        <v>1,44000|4,6#163,1|1,7000|4,6#</v>
      </c>
      <c r="AQ116" t="str">
        <f t="shared" si="132"/>
        <v>104,448|105,224|106,109|3,200#104,90|105,45|106,15|3,375#</v>
      </c>
      <c r="AR116" t="str">
        <f t="shared" si="132"/>
        <v>104,45|105,23|106,11|1,1488#104,12|105,5|106,2|1,532#</v>
      </c>
    </row>
    <row r="117" spans="1:44" x14ac:dyDescent="0.25">
      <c r="A117" s="14">
        <v>115</v>
      </c>
      <c r="B117" s="15">
        <f>IF(关卡产出!C122="","",关卡产出!C122)</f>
        <v>90</v>
      </c>
      <c r="C117" s="15">
        <f>IF(关卡产出!D122="","",关卡产出!D122)</f>
        <v>45</v>
      </c>
      <c r="D117" s="15">
        <f>IF(关卡产出!E122="","",关卡产出!E122)</f>
        <v>22</v>
      </c>
      <c r="E117" s="15">
        <f>IF(关卡产出!F122="","",关卡产出!F122)</f>
        <v>1210</v>
      </c>
      <c r="F117" s="15">
        <f>IF(关卡产出!H122="","",关卡产出!H122)</f>
        <v>22300</v>
      </c>
      <c r="G117" s="15">
        <f>IF(关卡产出!J122="","",关卡产出!J122)</f>
        <v>44400</v>
      </c>
      <c r="H117" s="15">
        <f>IF(关卡产出!K122="","",关卡产出!K122)</f>
        <v>6</v>
      </c>
      <c r="I117" s="15">
        <f>IF(关卡产出!M122="","",关卡产出!M122)</f>
        <v>452</v>
      </c>
      <c r="J117" s="15">
        <f>IF(关卡产出!N122="","",关卡产出!N122)</f>
        <v>226</v>
      </c>
      <c r="K117" s="15">
        <f>IF(关卡产出!O122="","",关卡产出!O122)</f>
        <v>110</v>
      </c>
      <c r="L117" s="15">
        <f>IF(关卡产出!P122="","",关卡产出!P122)</f>
        <v>200</v>
      </c>
      <c r="M117">
        <f t="shared" si="85"/>
        <v>6050</v>
      </c>
      <c r="N117" t="str">
        <f t="shared" si="86"/>
        <v>104,90|105,45|106,22|1,1210</v>
      </c>
      <c r="P117" t="str">
        <f t="shared" si="103"/>
        <v>1,22300</v>
      </c>
      <c r="Q117" t="str">
        <f t="shared" si="104"/>
        <v>1,44400|4,6</v>
      </c>
      <c r="R117" t="str">
        <f t="shared" si="105"/>
        <v>104,452|105,226|106,110|3,200</v>
      </c>
      <c r="S117" t="str">
        <f t="shared" si="106"/>
        <v>104,45|105,23|106,11|1,1513</v>
      </c>
      <c r="V117" t="str">
        <f t="shared" si="107"/>
        <v>104,90</v>
      </c>
      <c r="W117" t="str">
        <f t="shared" si="108"/>
        <v>105,45</v>
      </c>
      <c r="X117" t="str">
        <f t="shared" si="109"/>
        <v>106,22</v>
      </c>
      <c r="Y117" t="str">
        <f t="shared" si="110"/>
        <v>1,1210</v>
      </c>
      <c r="AB117" t="str">
        <f t="shared" si="111"/>
        <v>104,452</v>
      </c>
      <c r="AC117" t="str">
        <f t="shared" si="112"/>
        <v>105,226</v>
      </c>
      <c r="AD117" t="str">
        <f t="shared" si="113"/>
        <v>106,110</v>
      </c>
      <c r="AE117" t="str">
        <f t="shared" si="114"/>
        <v>3,200</v>
      </c>
      <c r="AG117" t="str">
        <f t="shared" si="115"/>
        <v>104,45</v>
      </c>
      <c r="AH117" t="str">
        <f t="shared" si="116"/>
        <v>105,23</v>
      </c>
      <c r="AI117" t="str">
        <f t="shared" si="117"/>
        <v>106,11</v>
      </c>
      <c r="AJ117" t="str">
        <f t="shared" si="118"/>
        <v>1,1513</v>
      </c>
      <c r="AM117" t="str">
        <f t="shared" ref="AM117:AR117" si="133">N117&amp;"#"&amp;N260&amp;"#"&amp;N363</f>
        <v>104,90|105,45|106,22|1,1210#104,23|105,10|106,3|1,425#</v>
      </c>
      <c r="AN117" t="str">
        <f t="shared" si="133"/>
        <v>##</v>
      </c>
      <c r="AO117" t="str">
        <f t="shared" si="133"/>
        <v>1,22300#11,1|1,4250#</v>
      </c>
      <c r="AP117" t="str">
        <f t="shared" si="133"/>
        <v>1,44400|4,6#163,1|1,8000|4,6#</v>
      </c>
      <c r="AQ117" t="str">
        <f t="shared" si="133"/>
        <v>104,452|105,226|106,110|3,200#104,100|105,50|106,18|3,375#</v>
      </c>
      <c r="AR117" t="str">
        <f t="shared" si="133"/>
        <v>104,45|105,23|106,11|1,1513#104,12|105,5|106,2|1,532#</v>
      </c>
    </row>
    <row r="118" spans="1:44" x14ac:dyDescent="0.25">
      <c r="A118" s="14">
        <v>116</v>
      </c>
      <c r="B118" s="15">
        <f>IF(关卡产出!C123="","",关卡产出!C123)</f>
        <v>91</v>
      </c>
      <c r="C118" s="15">
        <f>IF(关卡产出!D123="","",关卡产出!D123)</f>
        <v>45</v>
      </c>
      <c r="D118" s="15">
        <f>IF(关卡产出!E123="","",关卡产出!E123)</f>
        <v>22</v>
      </c>
      <c r="E118" s="15">
        <f>IF(关卡产出!F123="","",关卡产出!F123)</f>
        <v>1210</v>
      </c>
      <c r="F118" s="15">
        <f>IF(关卡产出!H123="","",关卡产出!H123)</f>
        <v>22500</v>
      </c>
      <c r="G118" s="15">
        <f>IF(关卡产出!J123="","",关卡产出!J123)</f>
        <v>44800</v>
      </c>
      <c r="H118" s="15">
        <f>IF(关卡产出!K123="","",关卡产出!K123)</f>
        <v>6</v>
      </c>
      <c r="I118" s="15">
        <f>IF(关卡产出!M123="","",关卡产出!M123)</f>
        <v>456</v>
      </c>
      <c r="J118" s="15">
        <f>IF(关卡产出!N123="","",关卡产出!N123)</f>
        <v>228</v>
      </c>
      <c r="K118" s="15">
        <f>IF(关卡产出!O123="","",关卡产出!O123)</f>
        <v>111</v>
      </c>
      <c r="L118" s="15">
        <f>IF(关卡产出!P123="","",关卡产出!P123)</f>
        <v>200</v>
      </c>
      <c r="M118">
        <f t="shared" si="85"/>
        <v>6050</v>
      </c>
      <c r="N118" t="str">
        <f t="shared" si="86"/>
        <v>104,91|105,45|106,22|1,1210</v>
      </c>
      <c r="P118" t="str">
        <f t="shared" si="103"/>
        <v>1,22500</v>
      </c>
      <c r="Q118" t="str">
        <f t="shared" si="104"/>
        <v>1,44800|4,6</v>
      </c>
      <c r="R118" t="str">
        <f t="shared" si="105"/>
        <v>104,456|105,228|106,111|3,200</v>
      </c>
      <c r="S118" t="str">
        <f t="shared" si="106"/>
        <v>104,46|105,23|106,11|1,1513</v>
      </c>
      <c r="V118" t="str">
        <f t="shared" si="107"/>
        <v>104,91</v>
      </c>
      <c r="W118" t="str">
        <f t="shared" si="108"/>
        <v>105,45</v>
      </c>
      <c r="X118" t="str">
        <f t="shared" si="109"/>
        <v>106,22</v>
      </c>
      <c r="Y118" t="str">
        <f t="shared" si="110"/>
        <v>1,1210</v>
      </c>
      <c r="AB118" t="str">
        <f t="shared" si="111"/>
        <v>104,456</v>
      </c>
      <c r="AC118" t="str">
        <f t="shared" si="112"/>
        <v>105,228</v>
      </c>
      <c r="AD118" t="str">
        <f t="shared" si="113"/>
        <v>106,111</v>
      </c>
      <c r="AE118" t="str">
        <f t="shared" si="114"/>
        <v>3,200</v>
      </c>
      <c r="AG118" t="str">
        <f t="shared" si="115"/>
        <v>104,46</v>
      </c>
      <c r="AH118" t="str">
        <f t="shared" si="116"/>
        <v>105,23</v>
      </c>
      <c r="AI118" t="str">
        <f t="shared" si="117"/>
        <v>106,11</v>
      </c>
      <c r="AJ118" t="str">
        <f t="shared" si="118"/>
        <v>1,1513</v>
      </c>
      <c r="AM118" t="str">
        <f t="shared" ref="AM118:AR118" si="134">N118&amp;"#"&amp;N261&amp;"#"&amp;N364</f>
        <v>104,91|105,45|106,22|1,1210#104,25|105,13|106,3|1,475#</v>
      </c>
      <c r="AN118" t="str">
        <f t="shared" si="134"/>
        <v>##</v>
      </c>
      <c r="AO118" t="str">
        <f t="shared" si="134"/>
        <v>1,22500#11,1|1,4750#</v>
      </c>
      <c r="AP118" t="str">
        <f t="shared" si="134"/>
        <v>1,44800|4,6#163,1|1,9000|4,6#</v>
      </c>
      <c r="AQ118" t="str">
        <f t="shared" si="134"/>
        <v>104,456|105,228|106,111|3,200#104,110|105,55|106,20|3,375#</v>
      </c>
      <c r="AR118" t="str">
        <f t="shared" si="134"/>
        <v>104,46|105,23|106,11|1,1513#104,13|105,7|106,2|1,594#</v>
      </c>
    </row>
    <row r="119" spans="1:44" x14ac:dyDescent="0.25">
      <c r="A119" s="14">
        <v>117</v>
      </c>
      <c r="B119" s="15">
        <f>IF(关卡产出!C124="","",关卡产出!C124)</f>
        <v>92</v>
      </c>
      <c r="C119" s="15">
        <f>IF(关卡产出!D124="","",关卡产出!D124)</f>
        <v>46</v>
      </c>
      <c r="D119" s="15">
        <f>IF(关卡产出!E124="","",关卡产出!E124)</f>
        <v>22</v>
      </c>
      <c r="E119" s="15">
        <f>IF(关卡产出!F124="","",关卡产出!F124)</f>
        <v>1230</v>
      </c>
      <c r="F119" s="15">
        <f>IF(关卡产出!H124="","",关卡产出!H124)</f>
        <v>22700</v>
      </c>
      <c r="G119" s="15">
        <f>IF(关卡产出!J124="","",关卡产出!J124)</f>
        <v>45200</v>
      </c>
      <c r="H119" s="15">
        <f>IF(关卡产出!K124="","",关卡产出!K124)</f>
        <v>6</v>
      </c>
      <c r="I119" s="15">
        <f>IF(关卡产出!M124="","",关卡产出!M124)</f>
        <v>460</v>
      </c>
      <c r="J119" s="15">
        <f>IF(关卡产出!N124="","",关卡产出!N124)</f>
        <v>230</v>
      </c>
      <c r="K119" s="15">
        <f>IF(关卡产出!O124="","",关卡产出!O124)</f>
        <v>112</v>
      </c>
      <c r="L119" s="15">
        <f>IF(关卡产出!P124="","",关卡产出!P124)</f>
        <v>200</v>
      </c>
      <c r="M119">
        <f t="shared" si="85"/>
        <v>6150</v>
      </c>
      <c r="N119" t="str">
        <f t="shared" si="86"/>
        <v>104,92|105,46|106,22|1,1230</v>
      </c>
      <c r="P119" t="str">
        <f t="shared" si="103"/>
        <v>1,22700</v>
      </c>
      <c r="Q119" t="str">
        <f t="shared" si="104"/>
        <v>1,45200|4,6</v>
      </c>
      <c r="R119" t="str">
        <f t="shared" si="105"/>
        <v>104,460|105,230|106,112|3,200</v>
      </c>
      <c r="S119" t="str">
        <f t="shared" si="106"/>
        <v>104,46|105,23|106,11|1,1538</v>
      </c>
      <c r="V119" t="str">
        <f t="shared" si="107"/>
        <v>104,92</v>
      </c>
      <c r="W119" t="str">
        <f t="shared" si="108"/>
        <v>105,46</v>
      </c>
      <c r="X119" t="str">
        <f t="shared" si="109"/>
        <v>106,22</v>
      </c>
      <c r="Y119" t="str">
        <f t="shared" si="110"/>
        <v>1,1230</v>
      </c>
      <c r="AB119" t="str">
        <f t="shared" si="111"/>
        <v>104,460</v>
      </c>
      <c r="AC119" t="str">
        <f t="shared" si="112"/>
        <v>105,230</v>
      </c>
      <c r="AD119" t="str">
        <f t="shared" si="113"/>
        <v>106,112</v>
      </c>
      <c r="AE119" t="str">
        <f t="shared" si="114"/>
        <v>3,200</v>
      </c>
      <c r="AG119" t="str">
        <f t="shared" si="115"/>
        <v>104,46</v>
      </c>
      <c r="AH119" t="str">
        <f t="shared" si="116"/>
        <v>105,23</v>
      </c>
      <c r="AI119" t="str">
        <f t="shared" si="117"/>
        <v>106,11</v>
      </c>
      <c r="AJ119" t="str">
        <f t="shared" si="118"/>
        <v>1,1538</v>
      </c>
      <c r="AM119" t="str">
        <f t="shared" ref="AM119:AR119" si="135">N119&amp;"#"&amp;N262&amp;"#"&amp;N365</f>
        <v>104,92|105,46|106,22|1,1230#104,25|105,13|106,3|1,475#</v>
      </c>
      <c r="AN119" t="str">
        <f t="shared" si="135"/>
        <v>##</v>
      </c>
      <c r="AO119" t="str">
        <f t="shared" si="135"/>
        <v>1,22700#11,1|1,5250#</v>
      </c>
      <c r="AP119" t="str">
        <f t="shared" si="135"/>
        <v>1,45200|4,6#163,1|1,10000|4,6#</v>
      </c>
      <c r="AQ119" t="str">
        <f t="shared" si="135"/>
        <v>104,460|105,230|106,112|3,200#104,120|105,60|106,23|3,375#</v>
      </c>
      <c r="AR119" t="str">
        <f t="shared" si="135"/>
        <v>104,46|105,23|106,11|1,1538#104,13|105,7|106,2|1,594#</v>
      </c>
    </row>
    <row r="120" spans="1:44" x14ac:dyDescent="0.25">
      <c r="A120" s="14">
        <v>118</v>
      </c>
      <c r="B120" s="15">
        <f>IF(关卡产出!C125="","",关卡产出!C125)</f>
        <v>93</v>
      </c>
      <c r="C120" s="15">
        <f>IF(关卡产出!D125="","",关卡产出!D125)</f>
        <v>46</v>
      </c>
      <c r="D120" s="15">
        <f>IF(关卡产出!E125="","",关卡产出!E125)</f>
        <v>23</v>
      </c>
      <c r="E120" s="15">
        <f>IF(关卡产出!F125="","",关卡产出!F125)</f>
        <v>1230</v>
      </c>
      <c r="F120" s="15">
        <f>IF(关卡产出!H125="","",关卡产出!H125)</f>
        <v>22900</v>
      </c>
      <c r="G120" s="15">
        <f>IF(关卡产出!J125="","",关卡产出!J125)</f>
        <v>45600</v>
      </c>
      <c r="H120" s="15">
        <f>IF(关卡产出!K125="","",关卡产出!K125)</f>
        <v>6</v>
      </c>
      <c r="I120" s="15">
        <f>IF(关卡产出!M125="","",关卡产出!M125)</f>
        <v>464</v>
      </c>
      <c r="J120" s="15">
        <f>IF(关卡产出!N125="","",关卡产出!N125)</f>
        <v>232</v>
      </c>
      <c r="K120" s="15">
        <f>IF(关卡产出!O125="","",关卡产出!O125)</f>
        <v>113</v>
      </c>
      <c r="L120" s="15">
        <f>IF(关卡产出!P125="","",关卡产出!P125)</f>
        <v>200</v>
      </c>
      <c r="M120">
        <f t="shared" si="85"/>
        <v>6150</v>
      </c>
      <c r="N120" t="str">
        <f t="shared" si="86"/>
        <v>104,93|105,46|106,23|1,1230</v>
      </c>
      <c r="P120" t="str">
        <f t="shared" si="103"/>
        <v>1,22900</v>
      </c>
      <c r="Q120" t="str">
        <f t="shared" si="104"/>
        <v>1,45600|4,6</v>
      </c>
      <c r="R120" t="str">
        <f t="shared" si="105"/>
        <v>104,464|105,232|106,113|3,200</v>
      </c>
      <c r="S120" t="str">
        <f t="shared" si="106"/>
        <v>104,47|105,23|106,12|1,1538</v>
      </c>
      <c r="V120" t="str">
        <f t="shared" si="107"/>
        <v>104,93</v>
      </c>
      <c r="W120" t="str">
        <f t="shared" si="108"/>
        <v>105,46</v>
      </c>
      <c r="X120" t="str">
        <f t="shared" si="109"/>
        <v>106,23</v>
      </c>
      <c r="Y120" t="str">
        <f t="shared" si="110"/>
        <v>1,1230</v>
      </c>
      <c r="AB120" t="str">
        <f t="shared" si="111"/>
        <v>104,464</v>
      </c>
      <c r="AC120" t="str">
        <f t="shared" si="112"/>
        <v>105,232</v>
      </c>
      <c r="AD120" t="str">
        <f t="shared" si="113"/>
        <v>106,113</v>
      </c>
      <c r="AE120" t="str">
        <f t="shared" si="114"/>
        <v>3,200</v>
      </c>
      <c r="AG120" t="str">
        <f t="shared" si="115"/>
        <v>104,47</v>
      </c>
      <c r="AH120" t="str">
        <f t="shared" si="116"/>
        <v>105,23</v>
      </c>
      <c r="AI120" t="str">
        <f t="shared" si="117"/>
        <v>106,12</v>
      </c>
      <c r="AJ120" t="str">
        <f t="shared" si="118"/>
        <v>1,1538</v>
      </c>
      <c r="AM120" t="str">
        <f t="shared" ref="AM120:AR120" si="136">N120&amp;"#"&amp;N263&amp;"#"&amp;N366</f>
        <v>104,93|105,46|106,23|1,1230#104,28|105,13|106,3|1,525#</v>
      </c>
      <c r="AN120" t="str">
        <f t="shared" si="136"/>
        <v>##</v>
      </c>
      <c r="AO120" t="str">
        <f t="shared" si="136"/>
        <v>1,22900#11,1|1,5750#</v>
      </c>
      <c r="AP120" t="str">
        <f t="shared" si="136"/>
        <v>1,45600|4,6#163,1|1,11000|4,6#</v>
      </c>
      <c r="AQ120" t="str">
        <f t="shared" si="136"/>
        <v>104,464|105,232|106,113|3,200#104,130|105,65|106,25|3,375#</v>
      </c>
      <c r="AR120" t="str">
        <f t="shared" si="136"/>
        <v>104,47|105,23|106,12|1,1538#104,14|105,7|106,2|1,657#</v>
      </c>
    </row>
    <row r="121" spans="1:44" x14ac:dyDescent="0.25">
      <c r="A121" s="14">
        <v>119</v>
      </c>
      <c r="B121" s="15">
        <f>IF(关卡产出!C126="","",关卡产出!C126)</f>
        <v>94</v>
      </c>
      <c r="C121" s="15">
        <f>IF(关卡产出!D126="","",关卡产出!D126)</f>
        <v>47</v>
      </c>
      <c r="D121" s="15">
        <f>IF(关卡产出!E126="","",关卡产出!E126)</f>
        <v>23</v>
      </c>
      <c r="E121" s="15">
        <f>IF(关卡产出!F126="","",关卡产出!F126)</f>
        <v>1250</v>
      </c>
      <c r="F121" s="15">
        <f>IF(关卡产出!H126="","",关卡产出!H126)</f>
        <v>23100</v>
      </c>
      <c r="G121" s="15">
        <f>IF(关卡产出!J126="","",关卡产出!J126)</f>
        <v>46000</v>
      </c>
      <c r="H121" s="15">
        <f>IF(关卡产出!K126="","",关卡产出!K126)</f>
        <v>6</v>
      </c>
      <c r="I121" s="15">
        <f>IF(关卡产出!M126="","",关卡产出!M126)</f>
        <v>468</v>
      </c>
      <c r="J121" s="15">
        <f>IF(关卡产出!N126="","",关卡产出!N126)</f>
        <v>234</v>
      </c>
      <c r="K121" s="15">
        <f>IF(关卡产出!O126="","",关卡产出!O126)</f>
        <v>114</v>
      </c>
      <c r="L121" s="15">
        <f>IF(关卡产出!P126="","",关卡产出!P126)</f>
        <v>200</v>
      </c>
      <c r="M121">
        <f t="shared" si="85"/>
        <v>6250</v>
      </c>
      <c r="N121" t="str">
        <f t="shared" si="86"/>
        <v>104,94|105,47|106,23|1,1250</v>
      </c>
      <c r="P121" t="str">
        <f t="shared" si="103"/>
        <v>1,23100</v>
      </c>
      <c r="Q121" t="str">
        <f t="shared" si="104"/>
        <v>1,46000|4,6</v>
      </c>
      <c r="R121" t="str">
        <f t="shared" si="105"/>
        <v>104,468|105,234|106,114|3,200</v>
      </c>
      <c r="S121" t="str">
        <f t="shared" si="106"/>
        <v>104,47|105,24|106,12|1,1563</v>
      </c>
      <c r="V121" t="str">
        <f t="shared" si="107"/>
        <v>104,94</v>
      </c>
      <c r="W121" t="str">
        <f t="shared" si="108"/>
        <v>105,47</v>
      </c>
      <c r="X121" t="str">
        <f t="shared" si="109"/>
        <v>106,23</v>
      </c>
      <c r="Y121" t="str">
        <f t="shared" si="110"/>
        <v>1,1250</v>
      </c>
      <c r="AB121" t="str">
        <f t="shared" si="111"/>
        <v>104,468</v>
      </c>
      <c r="AC121" t="str">
        <f t="shared" si="112"/>
        <v>105,234</v>
      </c>
      <c r="AD121" t="str">
        <f t="shared" si="113"/>
        <v>106,114</v>
      </c>
      <c r="AE121" t="str">
        <f t="shared" si="114"/>
        <v>3,200</v>
      </c>
      <c r="AG121" t="str">
        <f t="shared" si="115"/>
        <v>104,47</v>
      </c>
      <c r="AH121" t="str">
        <f t="shared" si="116"/>
        <v>105,24</v>
      </c>
      <c r="AI121" t="str">
        <f t="shared" si="117"/>
        <v>106,12</v>
      </c>
      <c r="AJ121" t="str">
        <f t="shared" si="118"/>
        <v>1,1563</v>
      </c>
      <c r="AM121" t="str">
        <f t="shared" ref="AM121:AR121" si="137">N121&amp;"#"&amp;N264&amp;"#"&amp;N367</f>
        <v>104,94|105,47|106,23|1,1250#104,28|105,13|106,3|1,525#</v>
      </c>
      <c r="AN121" t="str">
        <f t="shared" si="137"/>
        <v>##</v>
      </c>
      <c r="AO121" t="str">
        <f t="shared" si="137"/>
        <v>1,23100#11,1|1,6250#</v>
      </c>
      <c r="AP121" t="str">
        <f t="shared" si="137"/>
        <v>1,46000|4,6#163,1|1,12000|4,6#</v>
      </c>
      <c r="AQ121" t="str">
        <f t="shared" si="137"/>
        <v>104,468|105,234|106,114|3,200#104,140|105,70|106,28|3,375#</v>
      </c>
      <c r="AR121" t="str">
        <f t="shared" si="137"/>
        <v>104,47|105,24|106,12|1,1563#104,14|105,7|106,2|1,657#</v>
      </c>
    </row>
    <row r="122" spans="1:44" x14ac:dyDescent="0.25">
      <c r="A122" s="14">
        <v>120</v>
      </c>
      <c r="B122" s="15">
        <f>IF(关卡产出!C127="","",关卡产出!C127)</f>
        <v>94</v>
      </c>
      <c r="C122" s="15">
        <f>IF(关卡产出!D127="","",关卡产出!D127)</f>
        <v>47</v>
      </c>
      <c r="D122" s="15">
        <f>IF(关卡产出!E127="","",关卡产出!E127)</f>
        <v>23</v>
      </c>
      <c r="E122" s="15">
        <f>IF(关卡产出!F127="","",关卡产出!F127)</f>
        <v>1250</v>
      </c>
      <c r="F122" s="15">
        <f>IF(关卡产出!H127="","",关卡产出!H127)</f>
        <v>23300</v>
      </c>
      <c r="G122" s="15">
        <f>IF(关卡产出!J127="","",关卡产出!J127)</f>
        <v>46400</v>
      </c>
      <c r="H122" s="15">
        <f>IF(关卡产出!K127="","",关卡产出!K127)</f>
        <v>6</v>
      </c>
      <c r="I122" s="15">
        <f>IF(关卡产出!M127="","",关卡产出!M127)</f>
        <v>472</v>
      </c>
      <c r="J122" s="15">
        <f>IF(关卡产出!N127="","",关卡产出!N127)</f>
        <v>236</v>
      </c>
      <c r="K122" s="15">
        <f>IF(关卡产出!O127="","",关卡产出!O127)</f>
        <v>115</v>
      </c>
      <c r="L122" s="15">
        <f>IF(关卡产出!P127="","",关卡产出!P127)</f>
        <v>200</v>
      </c>
      <c r="M122">
        <f t="shared" si="85"/>
        <v>6250</v>
      </c>
      <c r="N122" t="str">
        <f t="shared" si="86"/>
        <v>104,94|105,47|106,23|1,1250</v>
      </c>
      <c r="P122" t="str">
        <f t="shared" si="103"/>
        <v>1,23300</v>
      </c>
      <c r="Q122" t="str">
        <f t="shared" si="104"/>
        <v>1,46400|4,6</v>
      </c>
      <c r="R122" t="str">
        <f t="shared" si="105"/>
        <v>104,472|105,236|106,115|3,200</v>
      </c>
      <c r="S122" t="str">
        <f t="shared" si="106"/>
        <v>104,47|105,24|106,12|1,1563</v>
      </c>
      <c r="V122" t="str">
        <f t="shared" si="107"/>
        <v>104,94</v>
      </c>
      <c r="W122" t="str">
        <f t="shared" si="108"/>
        <v>105,47</v>
      </c>
      <c r="X122" t="str">
        <f t="shared" si="109"/>
        <v>106,23</v>
      </c>
      <c r="Y122" t="str">
        <f t="shared" si="110"/>
        <v>1,1250</v>
      </c>
      <c r="AB122" t="str">
        <f t="shared" si="111"/>
        <v>104,472</v>
      </c>
      <c r="AC122" t="str">
        <f t="shared" si="112"/>
        <v>105,236</v>
      </c>
      <c r="AD122" t="str">
        <f t="shared" si="113"/>
        <v>106,115</v>
      </c>
      <c r="AE122" t="str">
        <f t="shared" si="114"/>
        <v>3,200</v>
      </c>
      <c r="AG122" t="str">
        <f t="shared" si="115"/>
        <v>104,47</v>
      </c>
      <c r="AH122" t="str">
        <f t="shared" si="116"/>
        <v>105,24</v>
      </c>
      <c r="AI122" t="str">
        <f t="shared" si="117"/>
        <v>106,12</v>
      </c>
      <c r="AJ122" t="str">
        <f t="shared" si="118"/>
        <v>1,1563</v>
      </c>
      <c r="AM122" t="str">
        <f t="shared" ref="AM122:AR122" si="138">N122&amp;"#"&amp;N265&amp;"#"&amp;N368</f>
        <v>104,94|105,47|106,23|1,1250#104,30|105,15|106,5|1,575#</v>
      </c>
      <c r="AN122" t="str">
        <f t="shared" si="138"/>
        <v>##</v>
      </c>
      <c r="AO122" t="str">
        <f t="shared" si="138"/>
        <v>1,23300#11,1|1,6750#</v>
      </c>
      <c r="AP122" t="str">
        <f t="shared" si="138"/>
        <v>1,46400|4,6#163,1|1,13000|4,6#</v>
      </c>
      <c r="AQ122" t="str">
        <f t="shared" si="138"/>
        <v>104,472|105,236|106,115|3,200#104,150|105,75|106,30|3,375#</v>
      </c>
      <c r="AR122" t="str">
        <f t="shared" si="138"/>
        <v>104,47|105,24|106,12|1,1563#104,15|105,8|106,3|1,719#</v>
      </c>
    </row>
    <row r="123" spans="1:44" x14ac:dyDescent="0.25">
      <c r="A123" s="14">
        <v>121</v>
      </c>
      <c r="B123" s="15">
        <f>IF(关卡产出!C128="","",关卡产出!C128)</f>
        <v>95</v>
      </c>
      <c r="C123" s="15">
        <f>IF(关卡产出!D128="","",关卡产出!D128)</f>
        <v>47</v>
      </c>
      <c r="D123" s="15">
        <f>IF(关卡产出!E128="","",关卡产出!E128)</f>
        <v>23</v>
      </c>
      <c r="E123" s="15">
        <f>IF(关卡产出!F128="","",关卡产出!F128)</f>
        <v>1270</v>
      </c>
      <c r="F123" s="15">
        <f>IF(关卡产出!H128="","",关卡产出!H128)</f>
        <v>23500</v>
      </c>
      <c r="G123" s="15">
        <f>IF(关卡产出!J128="","",关卡产出!J128)</f>
        <v>46800</v>
      </c>
      <c r="H123" s="15">
        <f>IF(关卡产出!K128="","",关卡产出!K128)</f>
        <v>6</v>
      </c>
      <c r="I123" s="15">
        <f>IF(关卡产出!M128="","",关卡产出!M128)</f>
        <v>476</v>
      </c>
      <c r="J123" s="15">
        <f>IF(关卡产出!N128="","",关卡产出!N128)</f>
        <v>238</v>
      </c>
      <c r="K123" s="15">
        <f>IF(关卡产出!O128="","",关卡产出!O128)</f>
        <v>116</v>
      </c>
      <c r="L123" s="15">
        <f>IF(关卡产出!P128="","",关卡产出!P128)</f>
        <v>200</v>
      </c>
      <c r="M123">
        <f t="shared" si="85"/>
        <v>6350</v>
      </c>
      <c r="N123" t="str">
        <f t="shared" si="86"/>
        <v>104,95|105,47|106,23|1,1270</v>
      </c>
      <c r="P123" t="str">
        <f t="shared" si="103"/>
        <v>1,23500</v>
      </c>
      <c r="Q123" t="str">
        <f t="shared" si="104"/>
        <v>1,46800|4,6</v>
      </c>
      <c r="R123" t="str">
        <f t="shared" si="105"/>
        <v>104,476|105,238|106,116|3,200</v>
      </c>
      <c r="S123" t="str">
        <f t="shared" si="106"/>
        <v>104,48|105,24|106,12|1,1588</v>
      </c>
      <c r="V123" t="str">
        <f t="shared" si="107"/>
        <v>104,95</v>
      </c>
      <c r="W123" t="str">
        <f t="shared" si="108"/>
        <v>105,47</v>
      </c>
      <c r="X123" t="str">
        <f t="shared" si="109"/>
        <v>106,23</v>
      </c>
      <c r="Y123" t="str">
        <f t="shared" si="110"/>
        <v>1,1270</v>
      </c>
      <c r="AB123" t="str">
        <f t="shared" si="111"/>
        <v>104,476</v>
      </c>
      <c r="AC123" t="str">
        <f t="shared" si="112"/>
        <v>105,238</v>
      </c>
      <c r="AD123" t="str">
        <f t="shared" si="113"/>
        <v>106,116</v>
      </c>
      <c r="AE123" t="str">
        <f t="shared" si="114"/>
        <v>3,200</v>
      </c>
      <c r="AG123" t="str">
        <f t="shared" si="115"/>
        <v>104,48</v>
      </c>
      <c r="AH123" t="str">
        <f t="shared" si="116"/>
        <v>105,24</v>
      </c>
      <c r="AI123" t="str">
        <f t="shared" si="117"/>
        <v>106,12</v>
      </c>
      <c r="AJ123" t="str">
        <f t="shared" si="118"/>
        <v>1,1588</v>
      </c>
      <c r="AM123" t="str">
        <f t="shared" ref="AM123:AR123" si="139">N123&amp;"#"&amp;N266&amp;"#"&amp;N369</f>
        <v>104,95|105,47|106,23|1,1270#104,30|105,15|106,8|1,575#</v>
      </c>
      <c r="AN123" t="str">
        <f t="shared" si="139"/>
        <v>##</v>
      </c>
      <c r="AO123" t="str">
        <f t="shared" si="139"/>
        <v>1,23500#11,1|1,7250#</v>
      </c>
      <c r="AP123" t="str">
        <f t="shared" si="139"/>
        <v>1,46800|4,6#163,1|1,14000|4,6#</v>
      </c>
      <c r="AQ123" t="str">
        <f t="shared" si="139"/>
        <v>104,476|105,238|106,116|3,200#104,160|105,80|106,33|3,375#</v>
      </c>
      <c r="AR123" t="str">
        <f t="shared" si="139"/>
        <v>104,48|105,24|106,12|1,1588#104,15|105,8|106,4|1,719#</v>
      </c>
    </row>
    <row r="124" spans="1:44" x14ac:dyDescent="0.25">
      <c r="A124" s="14">
        <v>122</v>
      </c>
      <c r="B124" s="15">
        <f>IF(关卡产出!C129="","",关卡产出!C129)</f>
        <v>96</v>
      </c>
      <c r="C124" s="15">
        <f>IF(关卡产出!D129="","",关卡产出!D129)</f>
        <v>48</v>
      </c>
      <c r="D124" s="15">
        <f>IF(关卡产出!E129="","",关卡产出!E129)</f>
        <v>23</v>
      </c>
      <c r="E124" s="15">
        <f>IF(关卡产出!F129="","",关卡产出!F129)</f>
        <v>1270</v>
      </c>
      <c r="F124" s="15">
        <f>IF(关卡产出!H129="","",关卡产出!H129)</f>
        <v>23700</v>
      </c>
      <c r="G124" s="15">
        <f>IF(关卡产出!J129="","",关卡产出!J129)</f>
        <v>47200</v>
      </c>
      <c r="H124" s="15">
        <f>IF(关卡产出!K129="","",关卡产出!K129)</f>
        <v>6</v>
      </c>
      <c r="I124" s="15">
        <f>IF(关卡产出!M129="","",关卡产出!M129)</f>
        <v>480</v>
      </c>
      <c r="J124" s="15">
        <f>IF(关卡产出!N129="","",关卡产出!N129)</f>
        <v>240</v>
      </c>
      <c r="K124" s="15">
        <f>IF(关卡产出!O129="","",关卡产出!O129)</f>
        <v>117</v>
      </c>
      <c r="L124" s="15">
        <f>IF(关卡产出!P129="","",关卡产出!P129)</f>
        <v>200</v>
      </c>
      <c r="M124">
        <f t="shared" si="85"/>
        <v>6350</v>
      </c>
      <c r="N124" t="str">
        <f t="shared" si="86"/>
        <v>104,96|105,48|106,23|1,1270</v>
      </c>
      <c r="P124" t="str">
        <f t="shared" si="103"/>
        <v>1,23700</v>
      </c>
      <c r="Q124" t="str">
        <f t="shared" si="104"/>
        <v>1,47200|4,6</v>
      </c>
      <c r="R124" t="str">
        <f t="shared" si="105"/>
        <v>104,480|105,240|106,117|3,200</v>
      </c>
      <c r="S124" t="str">
        <f t="shared" si="106"/>
        <v>104,48|105,24|106,12|1,1588</v>
      </c>
      <c r="V124" t="str">
        <f t="shared" si="107"/>
        <v>104,96</v>
      </c>
      <c r="W124" t="str">
        <f t="shared" si="108"/>
        <v>105,48</v>
      </c>
      <c r="X124" t="str">
        <f t="shared" si="109"/>
        <v>106,23</v>
      </c>
      <c r="Y124" t="str">
        <f t="shared" si="110"/>
        <v>1,1270</v>
      </c>
      <c r="AB124" t="str">
        <f t="shared" si="111"/>
        <v>104,480</v>
      </c>
      <c r="AC124" t="str">
        <f t="shared" si="112"/>
        <v>105,240</v>
      </c>
      <c r="AD124" t="str">
        <f t="shared" si="113"/>
        <v>106,117</v>
      </c>
      <c r="AE124" t="str">
        <f t="shared" si="114"/>
        <v>3,200</v>
      </c>
      <c r="AG124" t="str">
        <f t="shared" si="115"/>
        <v>104,48</v>
      </c>
      <c r="AH124" t="str">
        <f t="shared" si="116"/>
        <v>105,24</v>
      </c>
      <c r="AI124" t="str">
        <f t="shared" si="117"/>
        <v>106,12</v>
      </c>
      <c r="AJ124" t="str">
        <f t="shared" si="118"/>
        <v>1,1588</v>
      </c>
      <c r="AM124" t="str">
        <f t="shared" ref="AM124:AR124" si="140">N124&amp;"#"&amp;N267&amp;"#"&amp;N370</f>
        <v>104,96|105,48|106,23|1,1270#104,33|105,15|106,8|1,625#</v>
      </c>
      <c r="AN124" t="str">
        <f t="shared" si="140"/>
        <v>##</v>
      </c>
      <c r="AO124" t="str">
        <f t="shared" si="140"/>
        <v>1,23700#11,1|1,7750#</v>
      </c>
      <c r="AP124" t="str">
        <f t="shared" si="140"/>
        <v>1,47200|4,6#163,1|1,15000|4,6#</v>
      </c>
      <c r="AQ124" t="str">
        <f t="shared" si="140"/>
        <v>104,480|105,240|106,117|3,200#104,170|105,85|106,35|3,375#</v>
      </c>
      <c r="AR124" t="str">
        <f t="shared" si="140"/>
        <v>104,48|105,24|106,12|1,1588#104,17|105,8|106,4|1,782#</v>
      </c>
    </row>
    <row r="125" spans="1:44" x14ac:dyDescent="0.25">
      <c r="A125" s="14">
        <v>123</v>
      </c>
      <c r="B125" s="15">
        <f>IF(关卡产出!C130="","",关卡产出!C130)</f>
        <v>97</v>
      </c>
      <c r="C125" s="15">
        <f>IF(关卡产出!D130="","",关卡产出!D130)</f>
        <v>48</v>
      </c>
      <c r="D125" s="15">
        <f>IF(关卡产出!E130="","",关卡产出!E130)</f>
        <v>24</v>
      </c>
      <c r="E125" s="15">
        <f>IF(关卡产出!F130="","",关卡产出!F130)</f>
        <v>1290</v>
      </c>
      <c r="F125" s="15">
        <f>IF(关卡产出!H130="","",关卡产出!H130)</f>
        <v>23900</v>
      </c>
      <c r="G125" s="15">
        <f>IF(关卡产出!J130="","",关卡产出!J130)</f>
        <v>47600</v>
      </c>
      <c r="H125" s="15">
        <f>IF(关卡产出!K130="","",关卡产出!K130)</f>
        <v>6</v>
      </c>
      <c r="I125" s="15">
        <f>IF(关卡产出!M130="","",关卡产出!M130)</f>
        <v>484</v>
      </c>
      <c r="J125" s="15">
        <f>IF(关卡产出!N130="","",关卡产出!N130)</f>
        <v>242</v>
      </c>
      <c r="K125" s="15">
        <f>IF(关卡产出!O130="","",关卡产出!O130)</f>
        <v>118</v>
      </c>
      <c r="L125" s="15">
        <f>IF(关卡产出!P130="","",关卡产出!P130)</f>
        <v>200</v>
      </c>
      <c r="M125">
        <f t="shared" si="85"/>
        <v>6450</v>
      </c>
      <c r="N125" t="str">
        <f t="shared" si="86"/>
        <v>104,97|105,48|106,24|1,1290</v>
      </c>
      <c r="P125" t="str">
        <f t="shared" si="103"/>
        <v>1,23900</v>
      </c>
      <c r="Q125" t="str">
        <f t="shared" si="104"/>
        <v>1,47600|4,6</v>
      </c>
      <c r="R125" t="str">
        <f t="shared" si="105"/>
        <v>104,484|105,242|106,118|3,200</v>
      </c>
      <c r="S125" t="str">
        <f t="shared" si="106"/>
        <v>104,49|105,24|106,12|1,1613</v>
      </c>
      <c r="V125" t="str">
        <f t="shared" si="107"/>
        <v>104,97</v>
      </c>
      <c r="W125" t="str">
        <f t="shared" si="108"/>
        <v>105,48</v>
      </c>
      <c r="X125" t="str">
        <f t="shared" si="109"/>
        <v>106,24</v>
      </c>
      <c r="Y125" t="str">
        <f t="shared" si="110"/>
        <v>1,1290</v>
      </c>
      <c r="AB125" t="str">
        <f t="shared" si="111"/>
        <v>104,484</v>
      </c>
      <c r="AC125" t="str">
        <f t="shared" si="112"/>
        <v>105,242</v>
      </c>
      <c r="AD125" t="str">
        <f t="shared" si="113"/>
        <v>106,118</v>
      </c>
      <c r="AE125" t="str">
        <f t="shared" si="114"/>
        <v>3,200</v>
      </c>
      <c r="AG125" t="str">
        <f t="shared" si="115"/>
        <v>104,49</v>
      </c>
      <c r="AH125" t="str">
        <f t="shared" si="116"/>
        <v>105,24</v>
      </c>
      <c r="AI125" t="str">
        <f t="shared" si="117"/>
        <v>106,12</v>
      </c>
      <c r="AJ125" t="str">
        <f t="shared" si="118"/>
        <v>1,1613</v>
      </c>
      <c r="AM125" t="str">
        <f t="shared" ref="AM125:AR125" si="141">N125&amp;"#"&amp;N268&amp;"#"&amp;N371</f>
        <v>104,97|105,48|106,24|1,1290#104,35|105,18|106,8|1,625#</v>
      </c>
      <c r="AN125" t="str">
        <f t="shared" si="141"/>
        <v>##</v>
      </c>
      <c r="AO125" t="str">
        <f t="shared" si="141"/>
        <v>1,23900#11,1|1,8250#</v>
      </c>
      <c r="AP125" t="str">
        <f t="shared" si="141"/>
        <v>1,47600|4,6#163,1|1,16000|4,6#</v>
      </c>
      <c r="AQ125" t="str">
        <f t="shared" si="141"/>
        <v>104,484|105,242|106,118|3,200#104,180|105,90|106,38|3,375#</v>
      </c>
      <c r="AR125" t="str">
        <f t="shared" si="141"/>
        <v>104,49|105,24|106,12|1,1613#104,18|105,9|106,4|1,782#</v>
      </c>
    </row>
    <row r="126" spans="1:44" x14ac:dyDescent="0.25">
      <c r="A126" s="14">
        <v>124</v>
      </c>
      <c r="B126" s="15">
        <f>IF(关卡产出!C131="","",关卡产出!C131)</f>
        <v>98</v>
      </c>
      <c r="C126" s="15">
        <f>IF(关卡产出!D131="","",关卡产出!D131)</f>
        <v>49</v>
      </c>
      <c r="D126" s="15">
        <f>IF(关卡产出!E131="","",关卡产出!E131)</f>
        <v>24</v>
      </c>
      <c r="E126" s="15">
        <f>IF(关卡产出!F131="","",关卡产出!F131)</f>
        <v>1290</v>
      </c>
      <c r="F126" s="15">
        <f>IF(关卡产出!H131="","",关卡产出!H131)</f>
        <v>24100</v>
      </c>
      <c r="G126" s="15">
        <f>IF(关卡产出!J131="","",关卡产出!J131)</f>
        <v>48000</v>
      </c>
      <c r="H126" s="15">
        <f>IF(关卡产出!K131="","",关卡产出!K131)</f>
        <v>6</v>
      </c>
      <c r="I126" s="15">
        <f>IF(关卡产出!M131="","",关卡产出!M131)</f>
        <v>488</v>
      </c>
      <c r="J126" s="15">
        <f>IF(关卡产出!N131="","",关卡产出!N131)</f>
        <v>244</v>
      </c>
      <c r="K126" s="15">
        <f>IF(关卡产出!O131="","",关卡产出!O131)</f>
        <v>119</v>
      </c>
      <c r="L126" s="15">
        <f>IF(关卡产出!P131="","",关卡产出!P131)</f>
        <v>200</v>
      </c>
      <c r="M126">
        <f t="shared" si="85"/>
        <v>6450</v>
      </c>
      <c r="N126" t="str">
        <f t="shared" si="86"/>
        <v>104,98|105,49|106,24|1,1290</v>
      </c>
      <c r="P126" t="str">
        <f t="shared" si="103"/>
        <v>1,24100</v>
      </c>
      <c r="Q126" t="str">
        <f t="shared" si="104"/>
        <v>1,48000|4,6</v>
      </c>
      <c r="R126" t="str">
        <f t="shared" si="105"/>
        <v>104,488|105,244|106,119|3,200</v>
      </c>
      <c r="S126" t="str">
        <f t="shared" si="106"/>
        <v>104,49|105,25|106,12|1,1613</v>
      </c>
      <c r="V126" t="str">
        <f t="shared" si="107"/>
        <v>104,98</v>
      </c>
      <c r="W126" t="str">
        <f t="shared" si="108"/>
        <v>105,49</v>
      </c>
      <c r="X126" t="str">
        <f t="shared" si="109"/>
        <v>106,24</v>
      </c>
      <c r="Y126" t="str">
        <f t="shared" si="110"/>
        <v>1,1290</v>
      </c>
      <c r="AB126" t="str">
        <f t="shared" si="111"/>
        <v>104,488</v>
      </c>
      <c r="AC126" t="str">
        <f t="shared" si="112"/>
        <v>105,244</v>
      </c>
      <c r="AD126" t="str">
        <f t="shared" si="113"/>
        <v>106,119</v>
      </c>
      <c r="AE126" t="str">
        <f t="shared" si="114"/>
        <v>3,200</v>
      </c>
      <c r="AG126" t="str">
        <f t="shared" si="115"/>
        <v>104,49</v>
      </c>
      <c r="AH126" t="str">
        <f t="shared" si="116"/>
        <v>105,25</v>
      </c>
      <c r="AI126" t="str">
        <f t="shared" si="117"/>
        <v>106,12</v>
      </c>
      <c r="AJ126" t="str">
        <f t="shared" si="118"/>
        <v>1,1613</v>
      </c>
      <c r="AM126" t="str">
        <f t="shared" ref="AM126:AR126" si="142">N126&amp;"#"&amp;N269&amp;"#"&amp;N372</f>
        <v>104,98|105,49|106,24|1,1290#104,38|105,18|106,8|1,675#</v>
      </c>
      <c r="AN126" t="str">
        <f t="shared" si="142"/>
        <v>##</v>
      </c>
      <c r="AO126" t="str">
        <f t="shared" si="142"/>
        <v>1,24100#11,1|1,8750#</v>
      </c>
      <c r="AP126" t="str">
        <f t="shared" si="142"/>
        <v>1,48000|4,6#163,1|1,17000|4,6#</v>
      </c>
      <c r="AQ126" t="str">
        <f t="shared" si="142"/>
        <v>104,488|105,244|106,119|3,200#104,190|105,95|106,40|3,500#</v>
      </c>
      <c r="AR126" t="str">
        <f t="shared" si="142"/>
        <v>104,49|105,25|106,12|1,1613#104,19|105,9|106,4|1,844#</v>
      </c>
    </row>
    <row r="127" spans="1:44" x14ac:dyDescent="0.25">
      <c r="A127" s="14">
        <v>125</v>
      </c>
      <c r="B127" s="15">
        <f>IF(关卡产出!C132="","",关卡产出!C132)</f>
        <v>98</v>
      </c>
      <c r="C127" s="15">
        <f>IF(关卡产出!D132="","",关卡产出!D132)</f>
        <v>49</v>
      </c>
      <c r="D127" s="15">
        <f>IF(关卡产出!E132="","",关卡产出!E132)</f>
        <v>24</v>
      </c>
      <c r="E127" s="15">
        <f>IF(关卡产出!F132="","",关卡产出!F132)</f>
        <v>1310</v>
      </c>
      <c r="F127" s="15">
        <f>IF(关卡产出!H132="","",关卡产出!H132)</f>
        <v>24300</v>
      </c>
      <c r="G127" s="15">
        <f>IF(关卡产出!J132="","",关卡产出!J132)</f>
        <v>48400</v>
      </c>
      <c r="H127" s="15">
        <f>IF(关卡产出!K132="","",关卡产出!K132)</f>
        <v>6</v>
      </c>
      <c r="I127" s="15">
        <f>IF(关卡产出!M132="","",关卡产出!M132)</f>
        <v>492</v>
      </c>
      <c r="J127" s="15">
        <f>IF(关卡产出!N132="","",关卡产出!N132)</f>
        <v>246</v>
      </c>
      <c r="K127" s="15">
        <f>IF(关卡产出!O132="","",关卡产出!O132)</f>
        <v>120</v>
      </c>
      <c r="L127" s="15">
        <f>IF(关卡产出!P132="","",关卡产出!P132)</f>
        <v>200</v>
      </c>
      <c r="M127">
        <f t="shared" si="85"/>
        <v>6550</v>
      </c>
      <c r="N127" t="str">
        <f t="shared" si="86"/>
        <v>104,98|105,49|106,24|1,1310</v>
      </c>
      <c r="P127" t="str">
        <f t="shared" si="103"/>
        <v>1,24300</v>
      </c>
      <c r="Q127" t="str">
        <f t="shared" si="104"/>
        <v>1,48400|4,6</v>
      </c>
      <c r="R127" t="str">
        <f t="shared" si="105"/>
        <v>104,492|105,246|106,120|3,200</v>
      </c>
      <c r="S127" t="str">
        <f t="shared" si="106"/>
        <v>104,49|105,25|106,12|1,1638</v>
      </c>
      <c r="V127" t="str">
        <f t="shared" si="107"/>
        <v>104,98</v>
      </c>
      <c r="W127" t="str">
        <f t="shared" si="108"/>
        <v>105,49</v>
      </c>
      <c r="X127" t="str">
        <f t="shared" si="109"/>
        <v>106,24</v>
      </c>
      <c r="Y127" t="str">
        <f t="shared" si="110"/>
        <v>1,1310</v>
      </c>
      <c r="AB127" t="str">
        <f t="shared" si="111"/>
        <v>104,492</v>
      </c>
      <c r="AC127" t="str">
        <f t="shared" si="112"/>
        <v>105,246</v>
      </c>
      <c r="AD127" t="str">
        <f t="shared" si="113"/>
        <v>106,120</v>
      </c>
      <c r="AE127" t="str">
        <f t="shared" si="114"/>
        <v>3,200</v>
      </c>
      <c r="AG127" t="str">
        <f t="shared" si="115"/>
        <v>104,49</v>
      </c>
      <c r="AH127" t="str">
        <f t="shared" si="116"/>
        <v>105,25</v>
      </c>
      <c r="AI127" t="str">
        <f t="shared" si="117"/>
        <v>106,12</v>
      </c>
      <c r="AJ127" t="str">
        <f t="shared" si="118"/>
        <v>1,1638</v>
      </c>
      <c r="AM127" t="str">
        <f t="shared" ref="AM127:AR127" si="143">N127&amp;"#"&amp;N270&amp;"#"&amp;N373</f>
        <v>104,98|105,49|106,24|1,1310#104,40|105,20|106,8|1,675#</v>
      </c>
      <c r="AN127" t="str">
        <f t="shared" si="143"/>
        <v>##</v>
      </c>
      <c r="AO127" t="str">
        <f t="shared" si="143"/>
        <v>1,24300#11,1|1,9250#</v>
      </c>
      <c r="AP127" t="str">
        <f t="shared" si="143"/>
        <v>1,48400|4,6#163,1|1,18000|4,6#</v>
      </c>
      <c r="AQ127" t="str">
        <f t="shared" si="143"/>
        <v>104,492|105,246|106,120|3,200#104,200|105,100|106,43|3,500#</v>
      </c>
      <c r="AR127" t="str">
        <f t="shared" si="143"/>
        <v>104,49|105,25|106,12|1,1638#104,20|105,10|106,4|1,844#</v>
      </c>
    </row>
    <row r="128" spans="1:44" x14ac:dyDescent="0.25">
      <c r="A128" s="14">
        <v>126</v>
      </c>
      <c r="B128" s="15">
        <f>IF(关卡产出!C133="","",关卡产出!C133)</f>
        <v>99</v>
      </c>
      <c r="C128" s="15">
        <f>IF(关卡产出!D133="","",关卡产出!D133)</f>
        <v>49</v>
      </c>
      <c r="D128" s="15">
        <f>IF(关卡产出!E133="","",关卡产出!E133)</f>
        <v>24</v>
      </c>
      <c r="E128" s="15">
        <f>IF(关卡产出!F133="","",关卡产出!F133)</f>
        <v>1310</v>
      </c>
      <c r="F128" s="15">
        <f>IF(关卡产出!H133="","",关卡产出!H133)</f>
        <v>24500</v>
      </c>
      <c r="G128" s="15">
        <f>IF(关卡产出!J133="","",关卡产出!J133)</f>
        <v>48800</v>
      </c>
      <c r="H128" s="15">
        <f>IF(关卡产出!K133="","",关卡产出!K133)</f>
        <v>6</v>
      </c>
      <c r="I128" s="15">
        <f>IF(关卡产出!M133="","",关卡产出!M133)</f>
        <v>496</v>
      </c>
      <c r="J128" s="15">
        <f>IF(关卡产出!N133="","",关卡产出!N133)</f>
        <v>248</v>
      </c>
      <c r="K128" s="15">
        <f>IF(关卡产出!O133="","",关卡产出!O133)</f>
        <v>121</v>
      </c>
      <c r="L128" s="15">
        <f>IF(关卡产出!P133="","",关卡产出!P133)</f>
        <v>200</v>
      </c>
      <c r="M128">
        <f t="shared" si="85"/>
        <v>6550</v>
      </c>
      <c r="N128" t="str">
        <f t="shared" si="86"/>
        <v>104,99|105,49|106,24|1,1310</v>
      </c>
      <c r="P128" t="str">
        <f t="shared" si="103"/>
        <v>1,24500</v>
      </c>
      <c r="Q128" t="str">
        <f t="shared" si="104"/>
        <v>1,48800|4,6</v>
      </c>
      <c r="R128" t="str">
        <f t="shared" si="105"/>
        <v>104,496|105,248|106,121|3,200</v>
      </c>
      <c r="S128" t="str">
        <f t="shared" si="106"/>
        <v>104,50|105,25|106,12|1,1638</v>
      </c>
      <c r="V128" t="str">
        <f t="shared" si="107"/>
        <v>104,99</v>
      </c>
      <c r="W128" t="str">
        <f t="shared" si="108"/>
        <v>105,49</v>
      </c>
      <c r="X128" t="str">
        <f t="shared" si="109"/>
        <v>106,24</v>
      </c>
      <c r="Y128" t="str">
        <f t="shared" si="110"/>
        <v>1,1310</v>
      </c>
      <c r="AB128" t="str">
        <f t="shared" si="111"/>
        <v>104,496</v>
      </c>
      <c r="AC128" t="str">
        <f t="shared" si="112"/>
        <v>105,248</v>
      </c>
      <c r="AD128" t="str">
        <f t="shared" si="113"/>
        <v>106,121</v>
      </c>
      <c r="AE128" t="str">
        <f t="shared" si="114"/>
        <v>3,200</v>
      </c>
      <c r="AG128" t="str">
        <f t="shared" si="115"/>
        <v>104,50</v>
      </c>
      <c r="AH128" t="str">
        <f t="shared" si="116"/>
        <v>105,25</v>
      </c>
      <c r="AI128" t="str">
        <f t="shared" si="117"/>
        <v>106,12</v>
      </c>
      <c r="AJ128" t="str">
        <f t="shared" si="118"/>
        <v>1,1638</v>
      </c>
      <c r="AM128" t="str">
        <f t="shared" ref="AM128:AR128" si="144">N128&amp;"#"&amp;N271&amp;"#"&amp;N374</f>
        <v>104,99|105,49|106,24|1,1310#104,43|105,20|106,10|1,725#</v>
      </c>
      <c r="AN128" t="str">
        <f t="shared" si="144"/>
        <v>##</v>
      </c>
      <c r="AO128" t="str">
        <f t="shared" si="144"/>
        <v>1,24500#11,1|1,9750#</v>
      </c>
      <c r="AP128" t="str">
        <f t="shared" si="144"/>
        <v>1,48800|4,6#163,1|1,19000|4,6#</v>
      </c>
      <c r="AQ128" t="str">
        <f t="shared" si="144"/>
        <v>104,496|105,248|106,121|3,200#104,210|105,105|106,45|3,500#</v>
      </c>
      <c r="AR128" t="str">
        <f t="shared" si="144"/>
        <v>104,50|105,25|106,12|1,1638#104,22|105,10|106,5|1,907#</v>
      </c>
    </row>
    <row r="129" spans="1:44" x14ac:dyDescent="0.25">
      <c r="A129" s="14">
        <v>127</v>
      </c>
      <c r="B129" s="15">
        <f>IF(关卡产出!C134="","",关卡产出!C134)</f>
        <v>100</v>
      </c>
      <c r="C129" s="15">
        <f>IF(关卡产出!D134="","",关卡产出!D134)</f>
        <v>50</v>
      </c>
      <c r="D129" s="15">
        <f>IF(关卡产出!E134="","",关卡产出!E134)</f>
        <v>24</v>
      </c>
      <c r="E129" s="15">
        <f>IF(关卡产出!F134="","",关卡产出!F134)</f>
        <v>1330</v>
      </c>
      <c r="F129" s="15">
        <f>IF(关卡产出!H134="","",关卡产出!H134)</f>
        <v>24700</v>
      </c>
      <c r="G129" s="15">
        <f>IF(关卡产出!J134="","",关卡产出!J134)</f>
        <v>49200</v>
      </c>
      <c r="H129" s="15">
        <f>IF(关卡产出!K134="","",关卡产出!K134)</f>
        <v>6</v>
      </c>
      <c r="I129" s="15">
        <f>IF(关卡产出!M134="","",关卡产出!M134)</f>
        <v>500</v>
      </c>
      <c r="J129" s="15">
        <f>IF(关卡产出!N134="","",关卡产出!N134)</f>
        <v>250</v>
      </c>
      <c r="K129" s="15">
        <f>IF(关卡产出!O134="","",关卡产出!O134)</f>
        <v>122</v>
      </c>
      <c r="L129" s="15">
        <f>IF(关卡产出!P134="","",关卡产出!P134)</f>
        <v>200</v>
      </c>
      <c r="M129">
        <f t="shared" si="85"/>
        <v>6650</v>
      </c>
      <c r="N129" t="str">
        <f t="shared" si="86"/>
        <v>104,100|105,50|106,24|1,1330</v>
      </c>
      <c r="P129" t="str">
        <f t="shared" si="103"/>
        <v>1,24700</v>
      </c>
      <c r="Q129" t="str">
        <f t="shared" si="104"/>
        <v>1,49200|4,6</v>
      </c>
      <c r="R129" t="str">
        <f t="shared" si="105"/>
        <v>104,500|105,250|106,122|3,200</v>
      </c>
      <c r="S129" t="str">
        <f t="shared" si="106"/>
        <v>104,50|105,25|106,12|1,1663</v>
      </c>
      <c r="V129" t="str">
        <f t="shared" si="107"/>
        <v>104,100</v>
      </c>
      <c r="W129" t="str">
        <f t="shared" si="108"/>
        <v>105,50</v>
      </c>
      <c r="X129" t="str">
        <f t="shared" si="109"/>
        <v>106,24</v>
      </c>
      <c r="Y129" t="str">
        <f t="shared" si="110"/>
        <v>1,1330</v>
      </c>
      <c r="AB129" t="str">
        <f t="shared" si="111"/>
        <v>104,500</v>
      </c>
      <c r="AC129" t="str">
        <f t="shared" si="112"/>
        <v>105,250</v>
      </c>
      <c r="AD129" t="str">
        <f t="shared" si="113"/>
        <v>106,122</v>
      </c>
      <c r="AE129" t="str">
        <f t="shared" si="114"/>
        <v>3,200</v>
      </c>
      <c r="AG129" t="str">
        <f t="shared" si="115"/>
        <v>104,50</v>
      </c>
      <c r="AH129" t="str">
        <f t="shared" si="116"/>
        <v>105,25</v>
      </c>
      <c r="AI129" t="str">
        <f t="shared" si="117"/>
        <v>106,12</v>
      </c>
      <c r="AJ129" t="str">
        <f t="shared" si="118"/>
        <v>1,1663</v>
      </c>
      <c r="AM129" t="str">
        <f t="shared" ref="AM129:AR129" si="145">N129&amp;"#"&amp;N272&amp;"#"&amp;N375</f>
        <v>104,100|105,50|106,24|1,1330#104,45|105,23|106,10|1,725#</v>
      </c>
      <c r="AN129" t="str">
        <f t="shared" si="145"/>
        <v>##</v>
      </c>
      <c r="AO129" t="str">
        <f t="shared" si="145"/>
        <v>1,24700#11,1|1,10250#</v>
      </c>
      <c r="AP129" t="str">
        <f t="shared" si="145"/>
        <v>1,49200|4,6#163,1|1,20000|4,6#</v>
      </c>
      <c r="AQ129" t="str">
        <f t="shared" si="145"/>
        <v>104,500|105,250|106,122|3,200#104,220|105,110|106,48|3,500#</v>
      </c>
      <c r="AR129" t="str">
        <f t="shared" si="145"/>
        <v>104,50|105,25|106,12|1,1663#104,23|105,12|106,5|1,907#</v>
      </c>
    </row>
    <row r="130" spans="1:44" x14ac:dyDescent="0.25">
      <c r="A130" s="14">
        <v>128</v>
      </c>
      <c r="B130" s="15">
        <f>IF(关卡产出!C135="","",关卡产出!C135)</f>
        <v>101</v>
      </c>
      <c r="C130" s="15">
        <f>IF(关卡产出!D135="","",关卡产出!D135)</f>
        <v>50</v>
      </c>
      <c r="D130" s="15">
        <f>IF(关卡产出!E135="","",关卡产出!E135)</f>
        <v>25</v>
      </c>
      <c r="E130" s="15">
        <f>IF(关卡产出!F135="","",关卡产出!F135)</f>
        <v>1330</v>
      </c>
      <c r="F130" s="15">
        <f>IF(关卡产出!H135="","",关卡产出!H135)</f>
        <v>24900</v>
      </c>
      <c r="G130" s="15">
        <f>IF(关卡产出!J135="","",关卡产出!J135)</f>
        <v>49600</v>
      </c>
      <c r="H130" s="15">
        <f>IF(关卡产出!K135="","",关卡产出!K135)</f>
        <v>6</v>
      </c>
      <c r="I130" s="15">
        <f>IF(关卡产出!M135="","",关卡产出!M135)</f>
        <v>504</v>
      </c>
      <c r="J130" s="15">
        <f>IF(关卡产出!N135="","",关卡产出!N135)</f>
        <v>252</v>
      </c>
      <c r="K130" s="15">
        <f>IF(关卡产出!O135="","",关卡产出!O135)</f>
        <v>123</v>
      </c>
      <c r="L130" s="15">
        <f>IF(关卡产出!P135="","",关卡产出!P135)</f>
        <v>200</v>
      </c>
      <c r="M130">
        <f t="shared" si="85"/>
        <v>6650</v>
      </c>
      <c r="N130" t="str">
        <f t="shared" si="86"/>
        <v>104,101|105,50|106,25|1,1330</v>
      </c>
      <c r="P130" t="str">
        <f t="shared" si="103"/>
        <v>1,24900</v>
      </c>
      <c r="Q130" t="str">
        <f t="shared" si="104"/>
        <v>1,49600|4,6</v>
      </c>
      <c r="R130" t="str">
        <f t="shared" si="105"/>
        <v>104,504|105,252|106,123|3,200</v>
      </c>
      <c r="S130" t="str">
        <f t="shared" si="106"/>
        <v>104,51|105,25|106,13|1,1663</v>
      </c>
      <c r="V130" t="str">
        <f t="shared" si="107"/>
        <v>104,101</v>
      </c>
      <c r="W130" t="str">
        <f t="shared" si="108"/>
        <v>105,50</v>
      </c>
      <c r="X130" t="str">
        <f t="shared" si="109"/>
        <v>106,25</v>
      </c>
      <c r="Y130" t="str">
        <f t="shared" si="110"/>
        <v>1,1330</v>
      </c>
      <c r="AB130" t="str">
        <f t="shared" si="111"/>
        <v>104,504</v>
      </c>
      <c r="AC130" t="str">
        <f t="shared" si="112"/>
        <v>105,252</v>
      </c>
      <c r="AD130" t="str">
        <f t="shared" si="113"/>
        <v>106,123</v>
      </c>
      <c r="AE130" t="str">
        <f t="shared" si="114"/>
        <v>3,200</v>
      </c>
      <c r="AG130" t="str">
        <f t="shared" si="115"/>
        <v>104,51</v>
      </c>
      <c r="AH130" t="str">
        <f t="shared" si="116"/>
        <v>105,25</v>
      </c>
      <c r="AI130" t="str">
        <f t="shared" si="117"/>
        <v>106,13</v>
      </c>
      <c r="AJ130" t="str">
        <f t="shared" si="118"/>
        <v>1,1663</v>
      </c>
      <c r="AM130" t="str">
        <f t="shared" ref="AM130:AR130" si="146">N130&amp;"#"&amp;N273&amp;"#"&amp;N376</f>
        <v>104,101|105,50|106,25|1,1330#104,45|105,23|106,10|1,775#</v>
      </c>
      <c r="AN130" t="str">
        <f t="shared" si="146"/>
        <v>##</v>
      </c>
      <c r="AO130" t="str">
        <f t="shared" si="146"/>
        <v>1,24900#11,1|1,10750#</v>
      </c>
      <c r="AP130" t="str">
        <f t="shared" si="146"/>
        <v>1,49600|4,6#163,1|1,21000|4,6#</v>
      </c>
      <c r="AQ130" t="str">
        <f t="shared" si="146"/>
        <v>104,504|105,252|106,123|3,200#104,230|105,115|106,50|3,500#</v>
      </c>
      <c r="AR130" t="str">
        <f t="shared" si="146"/>
        <v>104,51|105,25|106,13|1,1663#104,23|105,12|106,5|1,969#</v>
      </c>
    </row>
    <row r="131" spans="1:44" x14ac:dyDescent="0.25">
      <c r="A131" s="14">
        <v>129</v>
      </c>
      <c r="B131" s="15">
        <f>IF(关卡产出!C136="","",关卡产出!C136)</f>
        <v>102</v>
      </c>
      <c r="C131" s="15">
        <f>IF(关卡产出!D136="","",关卡产出!D136)</f>
        <v>51</v>
      </c>
      <c r="D131" s="15">
        <f>IF(关卡产出!E136="","",关卡产出!E136)</f>
        <v>25</v>
      </c>
      <c r="E131" s="15">
        <f>IF(关卡产出!F136="","",关卡产出!F136)</f>
        <v>1350</v>
      </c>
      <c r="F131" s="15">
        <f>IF(关卡产出!H136="","",关卡产出!H136)</f>
        <v>25100</v>
      </c>
      <c r="G131" s="15">
        <f>IF(关卡产出!J136="","",关卡产出!J136)</f>
        <v>50000</v>
      </c>
      <c r="H131" s="15">
        <f>IF(关卡产出!K136="","",关卡产出!K136)</f>
        <v>6</v>
      </c>
      <c r="I131" s="15">
        <f>IF(关卡产出!M136="","",关卡产出!M136)</f>
        <v>508</v>
      </c>
      <c r="J131" s="15">
        <f>IF(关卡产出!N136="","",关卡产出!N136)</f>
        <v>254</v>
      </c>
      <c r="K131" s="15">
        <f>IF(关卡产出!O136="","",关卡产出!O136)</f>
        <v>124</v>
      </c>
      <c r="L131" s="15">
        <f>IF(关卡产出!P136="","",关卡产出!P136)</f>
        <v>200</v>
      </c>
      <c r="M131">
        <f t="shared" si="85"/>
        <v>6750</v>
      </c>
      <c r="N131" t="str">
        <f t="shared" si="86"/>
        <v>104,102|105,51|106,25|1,1350</v>
      </c>
      <c r="P131" t="str">
        <f t="shared" si="103"/>
        <v>1,25100</v>
      </c>
      <c r="Q131" t="str">
        <f t="shared" si="104"/>
        <v>1,50000|4,6</v>
      </c>
      <c r="R131" t="str">
        <f t="shared" si="105"/>
        <v>104,508|105,254|106,124|3,200</v>
      </c>
      <c r="S131" t="str">
        <f t="shared" si="106"/>
        <v>104,51|105,26|106,13|1,1688</v>
      </c>
      <c r="V131" t="str">
        <f t="shared" si="107"/>
        <v>104,102</v>
      </c>
      <c r="W131" t="str">
        <f t="shared" si="108"/>
        <v>105,51</v>
      </c>
      <c r="X131" t="str">
        <f t="shared" si="109"/>
        <v>106,25</v>
      </c>
      <c r="Y131" t="str">
        <f t="shared" si="110"/>
        <v>1,1350</v>
      </c>
      <c r="AB131" t="str">
        <f t="shared" si="111"/>
        <v>104,508</v>
      </c>
      <c r="AC131" t="str">
        <f t="shared" si="112"/>
        <v>105,254</v>
      </c>
      <c r="AD131" t="str">
        <f t="shared" si="113"/>
        <v>106,124</v>
      </c>
      <c r="AE131" t="str">
        <f t="shared" si="114"/>
        <v>3,200</v>
      </c>
      <c r="AG131" t="str">
        <f t="shared" si="115"/>
        <v>104,51</v>
      </c>
      <c r="AH131" t="str">
        <f t="shared" si="116"/>
        <v>105,26</v>
      </c>
      <c r="AI131" t="str">
        <f t="shared" si="117"/>
        <v>106,13</v>
      </c>
      <c r="AJ131" t="str">
        <f t="shared" si="118"/>
        <v>1,1688</v>
      </c>
      <c r="AM131" t="str">
        <f t="shared" ref="AM131:AR131" si="147">N131&amp;"#"&amp;N274&amp;"#"&amp;N377</f>
        <v>104,102|105,51|106,25|1,1350#104,48|105,23|106,10|1,775#</v>
      </c>
      <c r="AN131" t="str">
        <f t="shared" si="147"/>
        <v>##</v>
      </c>
      <c r="AO131" t="str">
        <f t="shared" si="147"/>
        <v>1,25100#11,1|1,11250#</v>
      </c>
      <c r="AP131" t="str">
        <f t="shared" si="147"/>
        <v>1,50000|4,6#163,1|1,22000|4,6#</v>
      </c>
      <c r="AQ131" t="str">
        <f t="shared" si="147"/>
        <v>104,508|105,254|106,124|3,200#104,240|105,120|106,53|3,500#</v>
      </c>
      <c r="AR131" t="str">
        <f t="shared" si="147"/>
        <v>104,51|105,26|106,13|1,1688#104,24|105,12|106,5|1,969#</v>
      </c>
    </row>
    <row r="132" spans="1:44" x14ac:dyDescent="0.25">
      <c r="A132" s="14">
        <v>130</v>
      </c>
      <c r="B132" s="15">
        <f>IF(关卡产出!C137="","",关卡产出!C137)</f>
        <v>102</v>
      </c>
      <c r="C132" s="15">
        <f>IF(关卡产出!D137="","",关卡产出!D137)</f>
        <v>51</v>
      </c>
      <c r="D132" s="15">
        <f>IF(关卡产出!E137="","",关卡产出!E137)</f>
        <v>25</v>
      </c>
      <c r="E132" s="15">
        <f>IF(关卡产出!F137="","",关卡产出!F137)</f>
        <v>1350</v>
      </c>
      <c r="F132" s="15">
        <f>IF(关卡产出!H137="","",关卡产出!H137)</f>
        <v>25300</v>
      </c>
      <c r="G132" s="15">
        <f>IF(关卡产出!J137="","",关卡产出!J137)</f>
        <v>50400</v>
      </c>
      <c r="H132" s="15">
        <f>IF(关卡产出!K137="","",关卡产出!K137)</f>
        <v>6</v>
      </c>
      <c r="I132" s="15">
        <f>IF(关卡产出!M137="","",关卡产出!M137)</f>
        <v>512</v>
      </c>
      <c r="J132" s="15">
        <f>IF(关卡产出!N137="","",关卡产出!N137)</f>
        <v>256</v>
      </c>
      <c r="K132" s="15">
        <f>IF(关卡产出!O137="","",关卡产出!O137)</f>
        <v>125</v>
      </c>
      <c r="L132" s="15">
        <f>IF(关卡产出!P137="","",关卡产出!P137)</f>
        <v>200</v>
      </c>
      <c r="M132">
        <f t="shared" ref="M132:M142" si="148">E132*5</f>
        <v>6750</v>
      </c>
      <c r="N132" t="str">
        <f t="shared" si="86"/>
        <v>104,102|105,51|106,25|1,1350</v>
      </c>
      <c r="P132" t="str">
        <f t="shared" si="103"/>
        <v>1,25300</v>
      </c>
      <c r="Q132" t="str">
        <f t="shared" si="104"/>
        <v>1,50400|4,6</v>
      </c>
      <c r="R132" t="str">
        <f t="shared" si="105"/>
        <v>104,512|105,256|106,125|3,200</v>
      </c>
      <c r="S132" t="str">
        <f t="shared" si="106"/>
        <v>104,51|105,26|106,13|1,1688</v>
      </c>
      <c r="V132" t="str">
        <f t="shared" si="107"/>
        <v>104,102</v>
      </c>
      <c r="W132" t="str">
        <f t="shared" si="108"/>
        <v>105,51</v>
      </c>
      <c r="X132" t="str">
        <f t="shared" si="109"/>
        <v>106,25</v>
      </c>
      <c r="Y132" t="str">
        <f t="shared" si="110"/>
        <v>1,1350</v>
      </c>
      <c r="AB132" t="str">
        <f t="shared" si="111"/>
        <v>104,512</v>
      </c>
      <c r="AC132" t="str">
        <f t="shared" si="112"/>
        <v>105,256</v>
      </c>
      <c r="AD132" t="str">
        <f t="shared" si="113"/>
        <v>106,125</v>
      </c>
      <c r="AE132" t="str">
        <f t="shared" si="114"/>
        <v>3,200</v>
      </c>
      <c r="AG132" t="str">
        <f t="shared" si="115"/>
        <v>104,51</v>
      </c>
      <c r="AH132" t="str">
        <f t="shared" si="116"/>
        <v>105,26</v>
      </c>
      <c r="AI132" t="str">
        <f t="shared" si="117"/>
        <v>106,13</v>
      </c>
      <c r="AJ132" t="str">
        <f t="shared" si="118"/>
        <v>1,1688</v>
      </c>
      <c r="AM132" t="str">
        <f t="shared" ref="AM132:AR132" si="149">N132&amp;"#"&amp;N275&amp;"#"&amp;N378</f>
        <v>104,102|105,51|106,25|1,1350#104,50|105,25|106,10|1,825#</v>
      </c>
      <c r="AN132" t="str">
        <f t="shared" si="149"/>
        <v>##</v>
      </c>
      <c r="AO132" t="str">
        <f t="shared" si="149"/>
        <v>1,25300#11,1|1,11750#</v>
      </c>
      <c r="AP132" t="str">
        <f t="shared" si="149"/>
        <v>1,50400|4,6#163,1|1,23000|4,6#</v>
      </c>
      <c r="AQ132" t="str">
        <f t="shared" si="149"/>
        <v>104,512|105,256|106,125|3,200#104,250|105,125|106,55|3,500#</v>
      </c>
      <c r="AR132" t="str">
        <f t="shared" si="149"/>
        <v>104,51|105,26|106,13|1,1688#104,25|105,13|106,5|1,1032#</v>
      </c>
    </row>
    <row r="133" spans="1:44" x14ac:dyDescent="0.25">
      <c r="A133" s="14">
        <v>131</v>
      </c>
      <c r="B133" s="15">
        <f>IF(关卡产出!C138="","",关卡产出!C138)</f>
        <v>103</v>
      </c>
      <c r="C133" s="15">
        <f>IF(关卡产出!D138="","",关卡产出!D138)</f>
        <v>51</v>
      </c>
      <c r="D133" s="15">
        <f>IF(关卡产出!E138="","",关卡产出!E138)</f>
        <v>25</v>
      </c>
      <c r="E133" s="15">
        <f>IF(关卡产出!F138="","",关卡产出!F138)</f>
        <v>1370</v>
      </c>
      <c r="F133" s="15">
        <f>IF(关卡产出!H138="","",关卡产出!H138)</f>
        <v>25500</v>
      </c>
      <c r="G133" s="15">
        <f>IF(关卡产出!J138="","",关卡产出!J138)</f>
        <v>50800</v>
      </c>
      <c r="H133" s="15">
        <f>IF(关卡产出!K138="","",关卡产出!K138)</f>
        <v>6</v>
      </c>
      <c r="I133" s="15">
        <f>IF(关卡产出!M138="","",关卡产出!M138)</f>
        <v>516</v>
      </c>
      <c r="J133" s="15">
        <f>IF(关卡产出!N138="","",关卡产出!N138)</f>
        <v>258</v>
      </c>
      <c r="K133" s="15">
        <f>IF(关卡产出!O138="","",关卡产出!O138)</f>
        <v>126</v>
      </c>
      <c r="L133" s="15">
        <f>IF(关卡产出!P138="","",关卡产出!P138)</f>
        <v>200</v>
      </c>
      <c r="M133">
        <f t="shared" si="148"/>
        <v>6850</v>
      </c>
      <c r="N133" t="str">
        <f t="shared" si="86"/>
        <v>104,103|105,51|106,25|1,1370</v>
      </c>
      <c r="P133" t="str">
        <f t="shared" si="103"/>
        <v>1,25500</v>
      </c>
      <c r="Q133" t="str">
        <f t="shared" si="104"/>
        <v>1,50800|4,6</v>
      </c>
      <c r="R133" t="str">
        <f t="shared" si="105"/>
        <v>104,516|105,258|106,126|3,200</v>
      </c>
      <c r="S133" t="str">
        <f t="shared" si="106"/>
        <v>104,52|105,26|106,13|1,1713</v>
      </c>
      <c r="V133" t="str">
        <f t="shared" si="107"/>
        <v>104,103</v>
      </c>
      <c r="W133" t="str">
        <f t="shared" si="108"/>
        <v>105,51</v>
      </c>
      <c r="X133" t="str">
        <f t="shared" si="109"/>
        <v>106,25</v>
      </c>
      <c r="Y133" t="str">
        <f t="shared" si="110"/>
        <v>1,1370</v>
      </c>
      <c r="AB133" t="str">
        <f t="shared" si="111"/>
        <v>104,516</v>
      </c>
      <c r="AC133" t="str">
        <f t="shared" si="112"/>
        <v>105,258</v>
      </c>
      <c r="AD133" t="str">
        <f t="shared" si="113"/>
        <v>106,126</v>
      </c>
      <c r="AE133" t="str">
        <f t="shared" si="114"/>
        <v>3,200</v>
      </c>
      <c r="AG133" t="str">
        <f t="shared" si="115"/>
        <v>104,52</v>
      </c>
      <c r="AH133" t="str">
        <f t="shared" si="116"/>
        <v>105,26</v>
      </c>
      <c r="AI133" t="str">
        <f t="shared" si="117"/>
        <v>106,13</v>
      </c>
      <c r="AJ133" t="str">
        <f t="shared" si="118"/>
        <v>1,1713</v>
      </c>
      <c r="AM133" t="str">
        <f t="shared" ref="AM133:AR133" si="150">N133&amp;"#"&amp;N276&amp;"#"&amp;N379</f>
        <v>104,103|105,51|106,25|1,1370#104,53|105,25|106,13|1,825#</v>
      </c>
      <c r="AN133" t="str">
        <f t="shared" si="150"/>
        <v>##</v>
      </c>
      <c r="AO133" t="str">
        <f t="shared" si="150"/>
        <v>1,25500#11,1|1,12250#</v>
      </c>
      <c r="AP133" t="str">
        <f t="shared" si="150"/>
        <v>1,50800|4,6#163,1|1,24000|4,6#</v>
      </c>
      <c r="AQ133" t="str">
        <f t="shared" si="150"/>
        <v>104,516|105,258|106,126|3,200#104,260|105,130|106,58|3,500#</v>
      </c>
      <c r="AR133" t="str">
        <f t="shared" si="150"/>
        <v>104,52|105,26|106,13|1,1713#104,27|105,13|106,7|1,1032#</v>
      </c>
    </row>
    <row r="134" spans="1:44" x14ac:dyDescent="0.25">
      <c r="A134" s="14">
        <v>132</v>
      </c>
      <c r="B134" s="15">
        <f>IF(关卡产出!C139="","",关卡产出!C139)</f>
        <v>104</v>
      </c>
      <c r="C134" s="15">
        <f>IF(关卡产出!D139="","",关卡产出!D139)</f>
        <v>52</v>
      </c>
      <c r="D134" s="15">
        <f>IF(关卡产出!E139="","",关卡产出!E139)</f>
        <v>25</v>
      </c>
      <c r="E134" s="15">
        <f>IF(关卡产出!F139="","",关卡产出!F139)</f>
        <v>1370</v>
      </c>
      <c r="F134" s="15">
        <f>IF(关卡产出!H139="","",关卡产出!H139)</f>
        <v>25700</v>
      </c>
      <c r="G134" s="15">
        <f>IF(关卡产出!J139="","",关卡产出!J139)</f>
        <v>51200</v>
      </c>
      <c r="H134" s="15">
        <f>IF(关卡产出!K139="","",关卡产出!K139)</f>
        <v>6</v>
      </c>
      <c r="I134" s="15">
        <f>IF(关卡产出!M139="","",关卡产出!M139)</f>
        <v>520</v>
      </c>
      <c r="J134" s="15">
        <f>IF(关卡产出!N139="","",关卡产出!N139)</f>
        <v>260</v>
      </c>
      <c r="K134" s="15">
        <f>IF(关卡产出!O139="","",关卡产出!O139)</f>
        <v>127</v>
      </c>
      <c r="L134" s="15">
        <f>IF(关卡产出!P139="","",关卡产出!P139)</f>
        <v>200</v>
      </c>
      <c r="M134">
        <f t="shared" si="148"/>
        <v>6850</v>
      </c>
      <c r="N134" t="str">
        <f t="shared" si="86"/>
        <v>104,104|105,52|106,25|1,1370</v>
      </c>
      <c r="P134" t="str">
        <f t="shared" si="103"/>
        <v>1,25700</v>
      </c>
      <c r="Q134" t="str">
        <f t="shared" si="104"/>
        <v>1,51200|4,6</v>
      </c>
      <c r="R134" t="str">
        <f t="shared" si="105"/>
        <v>104,520|105,260|106,127|3,200</v>
      </c>
      <c r="S134" t="str">
        <f t="shared" si="106"/>
        <v>104,52|105,26|106,13|1,1713</v>
      </c>
      <c r="V134" t="str">
        <f t="shared" si="107"/>
        <v>104,104</v>
      </c>
      <c r="W134" t="str">
        <f t="shared" si="108"/>
        <v>105,52</v>
      </c>
      <c r="X134" t="str">
        <f t="shared" si="109"/>
        <v>106,25</v>
      </c>
      <c r="Y134" t="str">
        <f t="shared" si="110"/>
        <v>1,1370</v>
      </c>
      <c r="AB134" t="str">
        <f t="shared" si="111"/>
        <v>104,520</v>
      </c>
      <c r="AC134" t="str">
        <f t="shared" si="112"/>
        <v>105,260</v>
      </c>
      <c r="AD134" t="str">
        <f t="shared" si="113"/>
        <v>106,127</v>
      </c>
      <c r="AE134" t="str">
        <f t="shared" si="114"/>
        <v>3,200</v>
      </c>
      <c r="AG134" t="str">
        <f t="shared" si="115"/>
        <v>104,52</v>
      </c>
      <c r="AH134" t="str">
        <f t="shared" si="116"/>
        <v>105,26</v>
      </c>
      <c r="AI134" t="str">
        <f t="shared" si="117"/>
        <v>106,13</v>
      </c>
      <c r="AJ134" t="str">
        <f t="shared" si="118"/>
        <v>1,1713</v>
      </c>
      <c r="AM134" t="str">
        <f t="shared" ref="AM134:AR134" si="151">N134&amp;"#"&amp;N277&amp;"#"&amp;N380</f>
        <v>104,104|105,52|106,25|1,1370#104,55|105,28|106,13|1,875#</v>
      </c>
      <c r="AN134" t="str">
        <f t="shared" si="151"/>
        <v>##</v>
      </c>
      <c r="AO134" t="str">
        <f t="shared" si="151"/>
        <v>1,25700#11,1|1,12750#</v>
      </c>
      <c r="AP134" t="str">
        <f t="shared" si="151"/>
        <v>1,51200|4,6#163,1|1,25000|4,6#</v>
      </c>
      <c r="AQ134" t="str">
        <f t="shared" si="151"/>
        <v>104,520|105,260|106,127|3,200#104,270|105,135|106,60|3,500#</v>
      </c>
      <c r="AR134" t="str">
        <f t="shared" si="151"/>
        <v>104,52|105,26|106,13|1,1713#104,28|105,14|106,7|1,1094#</v>
      </c>
    </row>
    <row r="135" spans="1:44" x14ac:dyDescent="0.25">
      <c r="A135" s="14">
        <v>133</v>
      </c>
      <c r="B135" s="15">
        <f>IF(关卡产出!C140="","",关卡产出!C140)</f>
        <v>105</v>
      </c>
      <c r="C135" s="15">
        <f>IF(关卡产出!D140="","",关卡产出!D140)</f>
        <v>52</v>
      </c>
      <c r="D135" s="15">
        <f>IF(关卡产出!E140="","",关卡产出!E140)</f>
        <v>26</v>
      </c>
      <c r="E135" s="15">
        <f>IF(关卡产出!F140="","",关卡产出!F140)</f>
        <v>1390</v>
      </c>
      <c r="F135" s="15">
        <f>IF(关卡产出!H140="","",关卡产出!H140)</f>
        <v>25900</v>
      </c>
      <c r="G135" s="15">
        <f>IF(关卡产出!J140="","",关卡产出!J140)</f>
        <v>51600</v>
      </c>
      <c r="H135" s="15">
        <f>IF(关卡产出!K140="","",关卡产出!K140)</f>
        <v>6</v>
      </c>
      <c r="I135" s="15">
        <f>IF(关卡产出!M140="","",关卡产出!M140)</f>
        <v>524</v>
      </c>
      <c r="J135" s="15">
        <f>IF(关卡产出!N140="","",关卡产出!N140)</f>
        <v>262</v>
      </c>
      <c r="K135" s="15">
        <f>IF(关卡产出!O140="","",关卡产出!O140)</f>
        <v>128</v>
      </c>
      <c r="L135" s="15">
        <f>IF(关卡产出!P140="","",关卡产出!P140)</f>
        <v>200</v>
      </c>
      <c r="M135">
        <f t="shared" si="148"/>
        <v>6950</v>
      </c>
      <c r="N135" t="str">
        <f t="shared" si="86"/>
        <v>104,105|105,52|106,26|1,1390</v>
      </c>
      <c r="P135" t="str">
        <f t="shared" si="103"/>
        <v>1,25900</v>
      </c>
      <c r="Q135" t="str">
        <f t="shared" si="104"/>
        <v>1,51600|4,6</v>
      </c>
      <c r="R135" t="str">
        <f t="shared" si="105"/>
        <v>104,524|105,262|106,128|3,200</v>
      </c>
      <c r="S135" t="str">
        <f t="shared" si="106"/>
        <v>104,53|105,26|106,13|1,1738</v>
      </c>
      <c r="V135" t="str">
        <f t="shared" si="107"/>
        <v>104,105</v>
      </c>
      <c r="W135" t="str">
        <f t="shared" si="108"/>
        <v>105,52</v>
      </c>
      <c r="X135" t="str">
        <f t="shared" si="109"/>
        <v>106,26</v>
      </c>
      <c r="Y135" t="str">
        <f t="shared" si="110"/>
        <v>1,1390</v>
      </c>
      <c r="AB135" t="str">
        <f t="shared" si="111"/>
        <v>104,524</v>
      </c>
      <c r="AC135" t="str">
        <f t="shared" si="112"/>
        <v>105,262</v>
      </c>
      <c r="AD135" t="str">
        <f t="shared" si="113"/>
        <v>106,128</v>
      </c>
      <c r="AE135" t="str">
        <f t="shared" si="114"/>
        <v>3,200</v>
      </c>
      <c r="AG135" t="str">
        <f t="shared" si="115"/>
        <v>104,53</v>
      </c>
      <c r="AH135" t="str">
        <f t="shared" si="116"/>
        <v>105,26</v>
      </c>
      <c r="AI135" t="str">
        <f t="shared" si="117"/>
        <v>106,13</v>
      </c>
      <c r="AJ135" t="str">
        <f t="shared" si="118"/>
        <v>1,1738</v>
      </c>
      <c r="AM135" t="str">
        <f t="shared" ref="AM135:AR135" si="152">N135&amp;"#"&amp;N278&amp;"#"&amp;N381</f>
        <v>104,105|105,52|106,26|1,1390#104,55|105,28|106,13|1,875#</v>
      </c>
      <c r="AN135" t="str">
        <f t="shared" si="152"/>
        <v>##</v>
      </c>
      <c r="AO135" t="str">
        <f t="shared" si="152"/>
        <v>1,25900#11,1|1,13250#</v>
      </c>
      <c r="AP135" t="str">
        <f t="shared" si="152"/>
        <v>1,51600|4,6#163,1|1,26000|4,6#</v>
      </c>
      <c r="AQ135" t="str">
        <f t="shared" si="152"/>
        <v>104,524|105,262|106,128|3,200#104,280|105,140|106,63|3,500#</v>
      </c>
      <c r="AR135" t="str">
        <f t="shared" si="152"/>
        <v>104,53|105,26|106,13|1,1738#104,28|105,14|106,7|1,1094#</v>
      </c>
    </row>
    <row r="136" spans="1:44" x14ac:dyDescent="0.25">
      <c r="A136" s="14">
        <v>134</v>
      </c>
      <c r="B136" s="15">
        <f>IF(关卡产出!C141="","",关卡产出!C141)</f>
        <v>106</v>
      </c>
      <c r="C136" s="15">
        <f>IF(关卡产出!D141="","",关卡产出!D141)</f>
        <v>53</v>
      </c>
      <c r="D136" s="15">
        <f>IF(关卡产出!E141="","",关卡产出!E141)</f>
        <v>26</v>
      </c>
      <c r="E136" s="15">
        <f>IF(关卡产出!F141="","",关卡产出!F141)</f>
        <v>1390</v>
      </c>
      <c r="F136" s="15">
        <f>IF(关卡产出!H141="","",关卡产出!H141)</f>
        <v>26100</v>
      </c>
      <c r="G136" s="15">
        <f>IF(关卡产出!J141="","",关卡产出!J141)</f>
        <v>52000</v>
      </c>
      <c r="H136" s="15">
        <f>IF(关卡产出!K141="","",关卡产出!K141)</f>
        <v>6</v>
      </c>
      <c r="I136" s="15">
        <f>IF(关卡产出!M141="","",关卡产出!M141)</f>
        <v>528</v>
      </c>
      <c r="J136" s="15">
        <f>IF(关卡产出!N141="","",关卡产出!N141)</f>
        <v>264</v>
      </c>
      <c r="K136" s="15">
        <f>IF(关卡产出!O141="","",关卡产出!O141)</f>
        <v>129</v>
      </c>
      <c r="L136" s="15">
        <f>IF(关卡产出!P141="","",关卡产出!P141)</f>
        <v>200</v>
      </c>
      <c r="M136">
        <f t="shared" si="148"/>
        <v>6950</v>
      </c>
      <c r="N136" t="str">
        <f t="shared" si="86"/>
        <v>104,106|105,53|106,26|1,1390</v>
      </c>
      <c r="P136" t="str">
        <f t="shared" si="103"/>
        <v>1,26100</v>
      </c>
      <c r="Q136" t="str">
        <f t="shared" si="104"/>
        <v>1,52000|4,6</v>
      </c>
      <c r="R136" t="str">
        <f t="shared" si="105"/>
        <v>104,528|105,264|106,129|3,200</v>
      </c>
      <c r="S136" t="str">
        <f t="shared" si="106"/>
        <v>104,53|105,27|106,13|1,1738</v>
      </c>
      <c r="V136" t="str">
        <f t="shared" si="107"/>
        <v>104,106</v>
      </c>
      <c r="W136" t="str">
        <f t="shared" si="108"/>
        <v>105,53</v>
      </c>
      <c r="X136" t="str">
        <f t="shared" si="109"/>
        <v>106,26</v>
      </c>
      <c r="Y136" t="str">
        <f t="shared" si="110"/>
        <v>1,1390</v>
      </c>
      <c r="AB136" t="str">
        <f t="shared" si="111"/>
        <v>104,528</v>
      </c>
      <c r="AC136" t="str">
        <f t="shared" si="112"/>
        <v>105,264</v>
      </c>
      <c r="AD136" t="str">
        <f t="shared" si="113"/>
        <v>106,129</v>
      </c>
      <c r="AE136" t="str">
        <f t="shared" si="114"/>
        <v>3,200</v>
      </c>
      <c r="AG136" t="str">
        <f t="shared" si="115"/>
        <v>104,53</v>
      </c>
      <c r="AH136" t="str">
        <f t="shared" si="116"/>
        <v>105,27</v>
      </c>
      <c r="AI136" t="str">
        <f t="shared" si="117"/>
        <v>106,13</v>
      </c>
      <c r="AJ136" t="str">
        <f t="shared" si="118"/>
        <v>1,1738</v>
      </c>
      <c r="AM136" t="str">
        <f t="shared" ref="AM136:AR136" si="153">N136&amp;"#"&amp;N279&amp;"#"&amp;N382</f>
        <v>104,106|105,53|106,26|1,1390#104,58|105,28|106,13|1,925#</v>
      </c>
      <c r="AN136" t="str">
        <f t="shared" si="153"/>
        <v>##</v>
      </c>
      <c r="AO136" t="str">
        <f t="shared" si="153"/>
        <v>1,26100#11,1|1,13750#</v>
      </c>
      <c r="AP136" t="str">
        <f t="shared" si="153"/>
        <v>1,52000|4,6#163,1|1,27000|4,6#</v>
      </c>
      <c r="AQ136" t="str">
        <f t="shared" si="153"/>
        <v>104,528|105,264|106,129|3,200#104,290|105,145|106,65|3,500#</v>
      </c>
      <c r="AR136" t="str">
        <f t="shared" si="153"/>
        <v>104,53|105,27|106,13|1,1738#104,29|105,14|106,7|1,1157#</v>
      </c>
    </row>
    <row r="137" spans="1:44" x14ac:dyDescent="0.25">
      <c r="A137" s="14">
        <v>135</v>
      </c>
      <c r="B137" s="15">
        <f>IF(关卡产出!C142="","",关卡产出!C142)</f>
        <v>106</v>
      </c>
      <c r="C137" s="15">
        <f>IF(关卡产出!D142="","",关卡产出!D142)</f>
        <v>53</v>
      </c>
      <c r="D137" s="15">
        <f>IF(关卡产出!E142="","",关卡产出!E142)</f>
        <v>26</v>
      </c>
      <c r="E137" s="15">
        <f>IF(关卡产出!F142="","",关卡产出!F142)</f>
        <v>1410</v>
      </c>
      <c r="F137" s="15">
        <f>IF(关卡产出!H142="","",关卡产出!H142)</f>
        <v>26300</v>
      </c>
      <c r="G137" s="15">
        <f>IF(关卡产出!J142="","",关卡产出!J142)</f>
        <v>52400</v>
      </c>
      <c r="H137" s="15">
        <f>IF(关卡产出!K142="","",关卡产出!K142)</f>
        <v>6</v>
      </c>
      <c r="I137" s="15">
        <f>IF(关卡产出!M142="","",关卡产出!M142)</f>
        <v>532</v>
      </c>
      <c r="J137" s="15">
        <f>IF(关卡产出!N142="","",关卡产出!N142)</f>
        <v>266</v>
      </c>
      <c r="K137" s="15">
        <f>IF(关卡产出!O142="","",关卡产出!O142)</f>
        <v>130</v>
      </c>
      <c r="L137" s="15">
        <f>IF(关卡产出!P142="","",关卡产出!P142)</f>
        <v>200</v>
      </c>
      <c r="M137">
        <f t="shared" si="148"/>
        <v>7050</v>
      </c>
      <c r="N137" t="str">
        <f t="shared" ref="N137:N142" si="154">_xlfn.TEXTJOIN("|",TRUE,V137:Y137)</f>
        <v>104,106|105,53|106,26|1,1410</v>
      </c>
      <c r="P137" t="str">
        <f t="shared" si="103"/>
        <v>1,26300</v>
      </c>
      <c r="Q137" t="str">
        <f t="shared" si="104"/>
        <v>1,52400|4,6</v>
      </c>
      <c r="R137" t="str">
        <f t="shared" si="105"/>
        <v>104,532|105,266|106,130|3,200</v>
      </c>
      <c r="S137" t="str">
        <f t="shared" si="106"/>
        <v>104,53|105,27|106,13|1,1763</v>
      </c>
      <c r="V137" t="str">
        <f t="shared" si="107"/>
        <v>104,106</v>
      </c>
      <c r="W137" t="str">
        <f t="shared" si="108"/>
        <v>105,53</v>
      </c>
      <c r="X137" t="str">
        <f t="shared" si="109"/>
        <v>106,26</v>
      </c>
      <c r="Y137" t="str">
        <f t="shared" si="110"/>
        <v>1,1410</v>
      </c>
      <c r="AB137" t="str">
        <f t="shared" si="111"/>
        <v>104,532</v>
      </c>
      <c r="AC137" t="str">
        <f t="shared" si="112"/>
        <v>105,266</v>
      </c>
      <c r="AD137" t="str">
        <f t="shared" si="113"/>
        <v>106,130</v>
      </c>
      <c r="AE137" t="str">
        <f t="shared" si="114"/>
        <v>3,200</v>
      </c>
      <c r="AG137" t="str">
        <f t="shared" si="115"/>
        <v>104,53</v>
      </c>
      <c r="AH137" t="str">
        <f t="shared" si="116"/>
        <v>105,27</v>
      </c>
      <c r="AI137" t="str">
        <f t="shared" si="117"/>
        <v>106,13</v>
      </c>
      <c r="AJ137" t="str">
        <f t="shared" si="118"/>
        <v>1,1763</v>
      </c>
      <c r="AM137" t="str">
        <f t="shared" ref="AM137:AR137" si="155">N137&amp;"#"&amp;N280&amp;"#"&amp;N383</f>
        <v>104,106|105,53|106,26|1,1410#104,60|105,30|106,13|1,925#</v>
      </c>
      <c r="AN137" t="str">
        <f t="shared" si="155"/>
        <v>##</v>
      </c>
      <c r="AO137" t="str">
        <f t="shared" si="155"/>
        <v>1,26300#11,1|1,14250#</v>
      </c>
      <c r="AP137" t="str">
        <f t="shared" si="155"/>
        <v>1,52400|4,6#163,1|1,28000|4,6#</v>
      </c>
      <c r="AQ137" t="str">
        <f t="shared" si="155"/>
        <v>104,532|105,266|106,130|3,200#104,300|105,150|106,68|3,500#</v>
      </c>
      <c r="AR137" t="str">
        <f t="shared" si="155"/>
        <v>104,53|105,27|106,13|1,1763#104,30|105,15|106,7|1,1157#</v>
      </c>
    </row>
    <row r="138" spans="1:44" x14ac:dyDescent="0.25">
      <c r="A138" s="14">
        <v>136</v>
      </c>
      <c r="B138" s="15">
        <f>IF(关卡产出!C143="","",关卡产出!C143)</f>
        <v>107</v>
      </c>
      <c r="C138" s="15">
        <f>IF(关卡产出!D143="","",关卡产出!D143)</f>
        <v>53</v>
      </c>
      <c r="D138" s="15">
        <f>IF(关卡产出!E143="","",关卡产出!E143)</f>
        <v>26</v>
      </c>
      <c r="E138" s="15">
        <f>IF(关卡产出!F143="","",关卡产出!F143)</f>
        <v>1410</v>
      </c>
      <c r="F138" s="15">
        <f>IF(关卡产出!H143="","",关卡产出!H143)</f>
        <v>26500</v>
      </c>
      <c r="G138" s="15">
        <f>IF(关卡产出!J143="","",关卡产出!J143)</f>
        <v>52800</v>
      </c>
      <c r="H138" s="15">
        <f>IF(关卡产出!K143="","",关卡产出!K143)</f>
        <v>6</v>
      </c>
      <c r="I138" s="15">
        <f>IF(关卡产出!M143="","",关卡产出!M143)</f>
        <v>536</v>
      </c>
      <c r="J138" s="15">
        <f>IF(关卡产出!N143="","",关卡产出!N143)</f>
        <v>268</v>
      </c>
      <c r="K138" s="15">
        <f>IF(关卡产出!O143="","",关卡产出!O143)</f>
        <v>131</v>
      </c>
      <c r="L138" s="15">
        <f>IF(关卡产出!P143="","",关卡产出!P143)</f>
        <v>200</v>
      </c>
      <c r="M138">
        <f t="shared" si="148"/>
        <v>7050</v>
      </c>
      <c r="N138" t="str">
        <f t="shared" si="154"/>
        <v>104,107|105,53|106,26|1,1410</v>
      </c>
      <c r="P138" t="str">
        <f t="shared" si="103"/>
        <v>1,26500</v>
      </c>
      <c r="Q138" t="str">
        <f t="shared" si="104"/>
        <v>1,52800|4,6</v>
      </c>
      <c r="R138" t="str">
        <f t="shared" si="105"/>
        <v>104,536|105,268|106,131|3,200</v>
      </c>
      <c r="S138" t="str">
        <f t="shared" si="106"/>
        <v>104,54|105,27|106,13|1,1763</v>
      </c>
      <c r="V138" t="str">
        <f t="shared" si="107"/>
        <v>104,107</v>
      </c>
      <c r="W138" t="str">
        <f t="shared" si="108"/>
        <v>105,53</v>
      </c>
      <c r="X138" t="str">
        <f t="shared" si="109"/>
        <v>106,26</v>
      </c>
      <c r="Y138" t="str">
        <f t="shared" si="110"/>
        <v>1,1410</v>
      </c>
      <c r="AB138" t="str">
        <f t="shared" si="111"/>
        <v>104,536</v>
      </c>
      <c r="AC138" t="str">
        <f t="shared" si="112"/>
        <v>105,268</v>
      </c>
      <c r="AD138" t="str">
        <f t="shared" si="113"/>
        <v>106,131</v>
      </c>
      <c r="AE138" t="str">
        <f t="shared" si="114"/>
        <v>3,200</v>
      </c>
      <c r="AG138" t="str">
        <f t="shared" si="115"/>
        <v>104,54</v>
      </c>
      <c r="AH138" t="str">
        <f t="shared" si="116"/>
        <v>105,27</v>
      </c>
      <c r="AI138" t="str">
        <f t="shared" si="117"/>
        <v>106,13</v>
      </c>
      <c r="AJ138" t="str">
        <f t="shared" si="118"/>
        <v>1,1763</v>
      </c>
      <c r="AM138" t="str">
        <f t="shared" ref="AM138:AR138" si="156">N138&amp;"#"&amp;N281&amp;"#"&amp;N384</f>
        <v>104,107|105,53|106,26|1,1410#104,63|105,30|106,15|1,975#</v>
      </c>
      <c r="AN138" t="str">
        <f t="shared" si="156"/>
        <v>##</v>
      </c>
      <c r="AO138" t="str">
        <f t="shared" si="156"/>
        <v>1,26500#11,1|1,14750#</v>
      </c>
      <c r="AP138" t="str">
        <f t="shared" si="156"/>
        <v>1,52800|4,6#163,1|1,29000|4,6#</v>
      </c>
      <c r="AQ138" t="str">
        <f t="shared" si="156"/>
        <v>104,536|105,268|106,131|3,200#104,310|105,155|106,70|3,500#</v>
      </c>
      <c r="AR138" t="str">
        <f t="shared" si="156"/>
        <v>104,54|105,27|106,13|1,1763#104,32|105,15|106,8|1,1219#</v>
      </c>
    </row>
    <row r="139" spans="1:44" x14ac:dyDescent="0.25">
      <c r="A139" s="14">
        <v>137</v>
      </c>
      <c r="B139" s="15">
        <f>IF(关卡产出!C144="","",关卡产出!C144)</f>
        <v>108</v>
      </c>
      <c r="C139" s="15">
        <f>IF(关卡产出!D144="","",关卡产出!D144)</f>
        <v>54</v>
      </c>
      <c r="D139" s="15">
        <f>IF(关卡产出!E144="","",关卡产出!E144)</f>
        <v>26</v>
      </c>
      <c r="E139" s="15">
        <f>IF(关卡产出!F144="","",关卡产出!F144)</f>
        <v>1430</v>
      </c>
      <c r="F139" s="15">
        <f>IF(关卡产出!H144="","",关卡产出!H144)</f>
        <v>26700</v>
      </c>
      <c r="G139" s="15">
        <f>IF(关卡产出!J144="","",关卡产出!J144)</f>
        <v>53200</v>
      </c>
      <c r="H139" s="15">
        <f>IF(关卡产出!K144="","",关卡产出!K144)</f>
        <v>6</v>
      </c>
      <c r="I139" s="15">
        <f>IF(关卡产出!M144="","",关卡产出!M144)</f>
        <v>540</v>
      </c>
      <c r="J139" s="15">
        <f>IF(关卡产出!N144="","",关卡产出!N144)</f>
        <v>270</v>
      </c>
      <c r="K139" s="15">
        <f>IF(关卡产出!O144="","",关卡产出!O144)</f>
        <v>132</v>
      </c>
      <c r="L139" s="15">
        <f>IF(关卡产出!P144="","",关卡产出!P144)</f>
        <v>200</v>
      </c>
      <c r="M139">
        <f t="shared" si="148"/>
        <v>7150</v>
      </c>
      <c r="N139" t="str">
        <f t="shared" si="154"/>
        <v>104,108|105,54|106,26|1,1430</v>
      </c>
      <c r="P139" t="str">
        <f t="shared" si="103"/>
        <v>1,26700</v>
      </c>
      <c r="Q139" t="str">
        <f t="shared" si="104"/>
        <v>1,53200|4,6</v>
      </c>
      <c r="R139" t="str">
        <f t="shared" si="105"/>
        <v>104,540|105,270|106,132|3,200</v>
      </c>
      <c r="S139" t="str">
        <f t="shared" si="106"/>
        <v>104,54|105,27|106,13|1,1788</v>
      </c>
      <c r="V139" t="str">
        <f t="shared" si="107"/>
        <v>104,108</v>
      </c>
      <c r="W139" t="str">
        <f t="shared" si="108"/>
        <v>105,54</v>
      </c>
      <c r="X139" t="str">
        <f t="shared" si="109"/>
        <v>106,26</v>
      </c>
      <c r="Y139" t="str">
        <f t="shared" si="110"/>
        <v>1,1430</v>
      </c>
      <c r="AB139" t="str">
        <f t="shared" si="111"/>
        <v>104,540</v>
      </c>
      <c r="AC139" t="str">
        <f t="shared" si="112"/>
        <v>105,270</v>
      </c>
      <c r="AD139" t="str">
        <f t="shared" si="113"/>
        <v>106,132</v>
      </c>
      <c r="AE139" t="str">
        <f t="shared" si="114"/>
        <v>3,200</v>
      </c>
      <c r="AG139" t="str">
        <f t="shared" si="115"/>
        <v>104,54</v>
      </c>
      <c r="AH139" t="str">
        <f t="shared" si="116"/>
        <v>105,27</v>
      </c>
      <c r="AI139" t="str">
        <f t="shared" si="117"/>
        <v>106,13</v>
      </c>
      <c r="AJ139" t="str">
        <f t="shared" si="118"/>
        <v>1,1788</v>
      </c>
      <c r="AM139" t="str">
        <f t="shared" ref="AM139:AR139" si="157">N139&amp;"#"&amp;N282&amp;"#"&amp;N385</f>
        <v>104,108|105,54|106,26|1,1430#104,65|105,33|106,15|1,975#</v>
      </c>
      <c r="AN139" t="str">
        <f t="shared" si="157"/>
        <v>##</v>
      </c>
      <c r="AO139" t="str">
        <f t="shared" si="157"/>
        <v>1,26700#11,1|1,15250#</v>
      </c>
      <c r="AP139" t="str">
        <f t="shared" si="157"/>
        <v>1,53200|4,6#163,1|1,30000|4,6#</v>
      </c>
      <c r="AQ139" t="str">
        <f t="shared" si="157"/>
        <v>104,540|105,270|106,132|3,200#104,320|105,160|106,73|3,500#</v>
      </c>
      <c r="AR139" t="str">
        <f t="shared" si="157"/>
        <v>104,54|105,27|106,13|1,1788#104,33|105,17|106,8|1,1219#</v>
      </c>
    </row>
    <row r="140" spans="1:44" x14ac:dyDescent="0.25">
      <c r="A140" s="14">
        <v>138</v>
      </c>
      <c r="B140" s="15">
        <f>IF(关卡产出!C145="","",关卡产出!C145)</f>
        <v>109</v>
      </c>
      <c r="C140" s="15">
        <f>IF(关卡产出!D145="","",关卡产出!D145)</f>
        <v>54</v>
      </c>
      <c r="D140" s="15">
        <f>IF(关卡产出!E145="","",关卡产出!E145)</f>
        <v>27</v>
      </c>
      <c r="E140" s="15">
        <f>IF(关卡产出!F145="","",关卡产出!F145)</f>
        <v>1430</v>
      </c>
      <c r="F140" s="15">
        <f>IF(关卡产出!H145="","",关卡产出!H145)</f>
        <v>26900</v>
      </c>
      <c r="G140" s="15">
        <f>IF(关卡产出!J145="","",关卡产出!J145)</f>
        <v>53600</v>
      </c>
      <c r="H140" s="15">
        <f>IF(关卡产出!K145="","",关卡产出!K145)</f>
        <v>6</v>
      </c>
      <c r="I140" s="15">
        <f>IF(关卡产出!M145="","",关卡产出!M145)</f>
        <v>544</v>
      </c>
      <c r="J140" s="15">
        <f>IF(关卡产出!N145="","",关卡产出!N145)</f>
        <v>272</v>
      </c>
      <c r="K140" s="15">
        <f>IF(关卡产出!O145="","",关卡产出!O145)</f>
        <v>133</v>
      </c>
      <c r="L140" s="15">
        <f>IF(关卡产出!P145="","",关卡产出!P145)</f>
        <v>200</v>
      </c>
      <c r="M140">
        <f t="shared" si="148"/>
        <v>7150</v>
      </c>
      <c r="N140" t="str">
        <f t="shared" si="154"/>
        <v>104,109|105,54|106,27|1,1430</v>
      </c>
      <c r="P140" t="str">
        <f t="shared" si="103"/>
        <v>1,26900</v>
      </c>
      <c r="Q140" t="str">
        <f t="shared" si="104"/>
        <v>1,53600|4,6</v>
      </c>
      <c r="R140" t="str">
        <f t="shared" si="105"/>
        <v>104,544|105,272|106,133|3,200</v>
      </c>
      <c r="S140" t="str">
        <f t="shared" si="106"/>
        <v>104,55|105,27|106,14|1,1788</v>
      </c>
      <c r="V140" t="str">
        <f t="shared" si="107"/>
        <v>104,109</v>
      </c>
      <c r="W140" t="str">
        <f t="shared" si="108"/>
        <v>105,54</v>
      </c>
      <c r="X140" t="str">
        <f t="shared" si="109"/>
        <v>106,27</v>
      </c>
      <c r="Y140" t="str">
        <f t="shared" si="110"/>
        <v>1,1430</v>
      </c>
      <c r="AB140" t="str">
        <f t="shared" si="111"/>
        <v>104,544</v>
      </c>
      <c r="AC140" t="str">
        <f t="shared" si="112"/>
        <v>105,272</v>
      </c>
      <c r="AD140" t="str">
        <f t="shared" si="113"/>
        <v>106,133</v>
      </c>
      <c r="AE140" t="str">
        <f t="shared" si="114"/>
        <v>3,200</v>
      </c>
      <c r="AG140" t="str">
        <f t="shared" si="115"/>
        <v>104,55</v>
      </c>
      <c r="AH140" t="str">
        <f t="shared" si="116"/>
        <v>105,27</v>
      </c>
      <c r="AI140" t="str">
        <f t="shared" si="117"/>
        <v>106,14</v>
      </c>
      <c r="AJ140" t="str">
        <f t="shared" si="118"/>
        <v>1,1788</v>
      </c>
      <c r="AM140" t="str">
        <f t="shared" ref="AM140:AR140" si="158">N140&amp;"#"&amp;N283&amp;"#"&amp;N386</f>
        <v>104,109|105,54|106,27|1,1430#104,65|105,33|106,15|1,1025#</v>
      </c>
      <c r="AN140" t="str">
        <f t="shared" si="158"/>
        <v>##</v>
      </c>
      <c r="AO140" t="str">
        <f t="shared" si="158"/>
        <v>1,26900#11,1|1,15750#</v>
      </c>
      <c r="AP140" t="str">
        <f t="shared" si="158"/>
        <v>1,53600|4,6#163,1|1,31000|4,6#</v>
      </c>
      <c r="AQ140" t="str">
        <f t="shared" si="158"/>
        <v>104,544|105,272|106,133|3,200#104,330|105,165|106,75|3,500#</v>
      </c>
      <c r="AR140" t="str">
        <f t="shared" si="158"/>
        <v>104,55|105,27|106,14|1,1788#104,33|105,17|106,8|1,1282#</v>
      </c>
    </row>
    <row r="141" spans="1:44" x14ac:dyDescent="0.25">
      <c r="A141" s="14">
        <v>139</v>
      </c>
      <c r="B141" s="15">
        <f>IF(关卡产出!C146="","",关卡产出!C146)</f>
        <v>110</v>
      </c>
      <c r="C141" s="15">
        <f>IF(关卡产出!D146="","",关卡产出!D146)</f>
        <v>55</v>
      </c>
      <c r="D141" s="15">
        <f>IF(关卡产出!E146="","",关卡产出!E146)</f>
        <v>27</v>
      </c>
      <c r="E141" s="15">
        <f>IF(关卡产出!F146="","",关卡产出!F146)</f>
        <v>1450</v>
      </c>
      <c r="F141" s="15">
        <f>IF(关卡产出!H146="","",关卡产出!H146)</f>
        <v>27100</v>
      </c>
      <c r="G141" s="15">
        <f>IF(关卡产出!J146="","",关卡产出!J146)</f>
        <v>54000</v>
      </c>
      <c r="H141" s="15">
        <f>IF(关卡产出!K146="","",关卡产出!K146)</f>
        <v>6</v>
      </c>
      <c r="I141" s="15">
        <f>IF(关卡产出!M146="","",关卡产出!M146)</f>
        <v>548</v>
      </c>
      <c r="J141" s="15">
        <f>IF(关卡产出!N146="","",关卡产出!N146)</f>
        <v>274</v>
      </c>
      <c r="K141" s="15">
        <f>IF(关卡产出!O146="","",关卡产出!O146)</f>
        <v>134</v>
      </c>
      <c r="L141" s="15">
        <f>IF(关卡产出!P146="","",关卡产出!P146)</f>
        <v>200</v>
      </c>
      <c r="M141">
        <f t="shared" si="148"/>
        <v>7250</v>
      </c>
      <c r="N141" t="str">
        <f t="shared" si="154"/>
        <v>104,110|105,55|106,27|1,1450</v>
      </c>
      <c r="P141" t="str">
        <f t="shared" si="103"/>
        <v>1,27100</v>
      </c>
      <c r="Q141" t="str">
        <f t="shared" si="104"/>
        <v>1,54000|4,6</v>
      </c>
      <c r="R141" t="str">
        <f t="shared" si="105"/>
        <v>104,548|105,274|106,134|3,200</v>
      </c>
      <c r="S141" t="str">
        <f t="shared" si="106"/>
        <v>104,55|105,28|106,14|1,1813</v>
      </c>
      <c r="V141" t="str">
        <f t="shared" si="107"/>
        <v>104,110</v>
      </c>
      <c r="W141" t="str">
        <f t="shared" si="108"/>
        <v>105,55</v>
      </c>
      <c r="X141" t="str">
        <f t="shared" si="109"/>
        <v>106,27</v>
      </c>
      <c r="Y141" t="str">
        <f t="shared" si="110"/>
        <v>1,1450</v>
      </c>
      <c r="AB141" t="str">
        <f t="shared" si="111"/>
        <v>104,548</v>
      </c>
      <c r="AC141" t="str">
        <f t="shared" si="112"/>
        <v>105,274</v>
      </c>
      <c r="AD141" t="str">
        <f t="shared" si="113"/>
        <v>106,134</v>
      </c>
      <c r="AE141" t="str">
        <f t="shared" si="114"/>
        <v>3,200</v>
      </c>
      <c r="AG141" t="str">
        <f t="shared" si="115"/>
        <v>104,55</v>
      </c>
      <c r="AH141" t="str">
        <f t="shared" si="116"/>
        <v>105,28</v>
      </c>
      <c r="AI141" t="str">
        <f t="shared" si="117"/>
        <v>106,14</v>
      </c>
      <c r="AJ141" t="str">
        <f t="shared" si="118"/>
        <v>1,1813</v>
      </c>
      <c r="AM141" t="str">
        <f t="shared" ref="AM141:AR141" si="159">N141&amp;"#"&amp;N284&amp;"#"&amp;N387</f>
        <v>104,110|105,55|106,27|1,1450#104,68|105,33|106,15|1,1025#</v>
      </c>
      <c r="AN141" t="str">
        <f t="shared" si="159"/>
        <v>##</v>
      </c>
      <c r="AO141" t="str">
        <f t="shared" si="159"/>
        <v>1,27100#11,1|1,16250#</v>
      </c>
      <c r="AP141" t="str">
        <f t="shared" si="159"/>
        <v>1,54000|4,6#163,1|1,32000|4,6#</v>
      </c>
      <c r="AQ141" t="str">
        <f t="shared" si="159"/>
        <v>104,548|105,274|106,134|3,200#104,340|105,170|106,78|3,500#</v>
      </c>
      <c r="AR141" t="str">
        <f t="shared" si="159"/>
        <v>104,55|105,28|106,14|1,1813#104,34|105,17|106,8|1,1282#</v>
      </c>
    </row>
    <row r="142" spans="1:44" x14ac:dyDescent="0.25">
      <c r="A142" s="14">
        <v>140</v>
      </c>
      <c r="B142" s="15">
        <f>IF(关卡产出!C147="","",关卡产出!C147)</f>
        <v>110</v>
      </c>
      <c r="C142" s="15">
        <f>IF(关卡产出!D147="","",关卡产出!D147)</f>
        <v>55</v>
      </c>
      <c r="D142" s="15">
        <f>IF(关卡产出!E147="","",关卡产出!E147)</f>
        <v>27</v>
      </c>
      <c r="E142" s="15">
        <f>IF(关卡产出!F147="","",关卡产出!F147)</f>
        <v>1450</v>
      </c>
      <c r="F142" s="15">
        <f>IF(关卡产出!H147="","",关卡产出!H147)</f>
        <v>27300</v>
      </c>
      <c r="G142" s="15">
        <f>IF(关卡产出!J147="","",关卡产出!J147)</f>
        <v>54400</v>
      </c>
      <c r="H142" s="15">
        <f>IF(关卡产出!K147="","",关卡产出!K147)</f>
        <v>6</v>
      </c>
      <c r="I142" s="15">
        <f>IF(关卡产出!M147="","",关卡产出!M147)</f>
        <v>552</v>
      </c>
      <c r="J142" s="15">
        <f>IF(关卡产出!N147="","",关卡产出!N147)</f>
        <v>276</v>
      </c>
      <c r="K142" s="15">
        <f>IF(关卡产出!O147="","",关卡产出!O147)</f>
        <v>135</v>
      </c>
      <c r="L142" s="15">
        <f>IF(关卡产出!P147="","",关卡产出!P147)</f>
        <v>200</v>
      </c>
      <c r="M142">
        <f t="shared" si="148"/>
        <v>7250</v>
      </c>
      <c r="N142" t="str">
        <f t="shared" si="154"/>
        <v>104,110|105,55|106,27|1,1450</v>
      </c>
      <c r="P142" t="str">
        <f t="shared" si="103"/>
        <v>1,27300</v>
      </c>
      <c r="Q142" t="str">
        <f t="shared" si="104"/>
        <v>1,54400|4,6</v>
      </c>
      <c r="R142" t="str">
        <f t="shared" si="105"/>
        <v>104,552|105,276|106,135|3,200</v>
      </c>
      <c r="S142" t="str">
        <f t="shared" si="106"/>
        <v>104,55|105,28|106,14|1,1813</v>
      </c>
      <c r="V142" t="str">
        <f t="shared" si="107"/>
        <v>104,110</v>
      </c>
      <c r="W142" t="str">
        <f t="shared" si="108"/>
        <v>105,55</v>
      </c>
      <c r="X142" t="str">
        <f t="shared" si="109"/>
        <v>106,27</v>
      </c>
      <c r="Y142" t="str">
        <f t="shared" si="110"/>
        <v>1,1450</v>
      </c>
      <c r="AB142" t="str">
        <f t="shared" si="111"/>
        <v>104,552</v>
      </c>
      <c r="AC142" t="str">
        <f t="shared" si="112"/>
        <v>105,276</v>
      </c>
      <c r="AD142" t="str">
        <f t="shared" si="113"/>
        <v>106,135</v>
      </c>
      <c r="AE142" t="str">
        <f t="shared" si="114"/>
        <v>3,200</v>
      </c>
      <c r="AG142" t="str">
        <f t="shared" si="115"/>
        <v>104,55</v>
      </c>
      <c r="AH142" t="str">
        <f t="shared" si="116"/>
        <v>105,28</v>
      </c>
      <c r="AI142" t="str">
        <f t="shared" si="117"/>
        <v>106,14</v>
      </c>
      <c r="AJ142" t="str">
        <f t="shared" si="118"/>
        <v>1,1813</v>
      </c>
      <c r="AM142" t="str">
        <f t="shared" ref="AM142:AR142" si="160">N142&amp;"#"&amp;N285&amp;"#"&amp;N388</f>
        <v>104,110|105,55|106,27|1,1450#104,70|105,35|106,15|1,1075#</v>
      </c>
      <c r="AN142" t="str">
        <f t="shared" si="160"/>
        <v>##</v>
      </c>
      <c r="AO142" t="str">
        <f t="shared" si="160"/>
        <v>1,27300#11,1|1,16750#</v>
      </c>
      <c r="AP142" t="str">
        <f t="shared" si="160"/>
        <v>1,54400|4,6#163,1|1,33000|4,6#</v>
      </c>
      <c r="AQ142" t="str">
        <f t="shared" si="160"/>
        <v>104,552|105,276|106,135|3,200#104,350|105,175|106,80|3,500#</v>
      </c>
      <c r="AR142" t="str">
        <f t="shared" si="160"/>
        <v>104,55|105,28|106,14|1,1813#104,35|105,18|106,8|1,1344#</v>
      </c>
    </row>
    <row r="143" spans="1:44" x14ac:dyDescent="0.25">
      <c r="V143" t="str">
        <f t="shared" si="10"/>
        <v/>
      </c>
      <c r="W143" t="str">
        <f t="shared" si="11"/>
        <v/>
      </c>
      <c r="X143" t="str">
        <f t="shared" si="12"/>
        <v/>
      </c>
      <c r="Y143" t="str">
        <f t="shared" si="12"/>
        <v/>
      </c>
    </row>
    <row r="145" spans="1:36" ht="32.4" x14ac:dyDescent="0.25">
      <c r="A145" s="9" t="s">
        <v>51</v>
      </c>
      <c r="B145" s="10" t="s">
        <v>55</v>
      </c>
      <c r="C145" s="10" t="s">
        <v>56</v>
      </c>
      <c r="D145" s="10" t="s">
        <v>57</v>
      </c>
      <c r="E145" s="10" t="s">
        <v>54</v>
      </c>
      <c r="F145" s="9" t="s">
        <v>54</v>
      </c>
      <c r="G145" s="10" t="s">
        <v>54</v>
      </c>
      <c r="H145" s="10" t="s">
        <v>58</v>
      </c>
      <c r="I145" s="9" t="s">
        <v>55</v>
      </c>
      <c r="J145" s="9" t="s">
        <v>56</v>
      </c>
      <c r="K145" s="9" t="s">
        <v>57</v>
      </c>
      <c r="L145" s="9" t="s">
        <v>53</v>
      </c>
      <c r="N145" s="11" t="s">
        <v>177</v>
      </c>
      <c r="O145" s="11" t="s">
        <v>178</v>
      </c>
      <c r="P145" s="12" t="s">
        <v>179</v>
      </c>
      <c r="Q145" s="11" t="s">
        <v>180</v>
      </c>
      <c r="R145" s="11" t="s">
        <v>181</v>
      </c>
      <c r="S145" s="13" t="s">
        <v>182</v>
      </c>
      <c r="V145" s="11" t="s">
        <v>177</v>
      </c>
      <c r="AB145" s="11" t="s">
        <v>181</v>
      </c>
      <c r="AG145" s="13" t="s">
        <v>182</v>
      </c>
    </row>
    <row r="146" spans="1:36" x14ac:dyDescent="0.25">
      <c r="A146" s="14">
        <v>1</v>
      </c>
      <c r="B146" s="15">
        <f>IF(关卡产出!C211="","",关卡产出!C211)</f>
        <v>8</v>
      </c>
      <c r="C146" s="15">
        <f>IF(关卡产出!D211="","",关卡产出!D211)</f>
        <v>3</v>
      </c>
      <c r="D146" s="15">
        <f>IF(关卡产出!E211="","",关卡产出!E211)</f>
        <v>1</v>
      </c>
      <c r="E146" s="15">
        <f>IF(关卡产出!F211="","",关卡产出!F211)</f>
        <v>150</v>
      </c>
      <c r="F146" s="15">
        <f>IF(关卡产出!H211="","",关卡产出!H211)</f>
        <v>300</v>
      </c>
      <c r="G146" s="15">
        <f>IF(关卡产出!J211="","",关卡产出!J211)</f>
        <v>600</v>
      </c>
      <c r="H146" s="15">
        <f>IF(关卡产出!K211="","",关卡产出!K211)</f>
        <v>6</v>
      </c>
      <c r="I146" s="15">
        <f>IF(关卡产出!M211="","",关卡产出!M211)</f>
        <v>18</v>
      </c>
      <c r="J146" s="15">
        <f>IF(关卡产出!N211="","",关卡产出!N211)</f>
        <v>12</v>
      </c>
      <c r="K146" s="15">
        <f>IF(关卡产出!O211="","",关卡产出!O211)</f>
        <v>1</v>
      </c>
      <c r="L146" s="15">
        <f>IF(关卡产出!P211="","",关卡产出!P211)</f>
        <v>150</v>
      </c>
      <c r="N146" t="str">
        <f>_xlfn.TEXTJOIN("|",TRUE,V146:Y146)</f>
        <v>104,8|105,3|106,1|1,150</v>
      </c>
      <c r="P146" t="str">
        <f>$F$1&amp;","&amp;F146</f>
        <v>1,300</v>
      </c>
      <c r="Q146" t="str">
        <f>"162,1|"&amp;$G$1&amp;","&amp;G146&amp;"|"&amp;$H$1&amp;","&amp;H146</f>
        <v>162,1|1,600|4,6</v>
      </c>
      <c r="R146" t="str">
        <f>_xlfn.TEXTJOIN("|",TRUE,AB146:AE146)</f>
        <v>104,18|105,12|106,1|3,150</v>
      </c>
      <c r="S146" t="str">
        <f>_xlfn.TEXTJOIN("|",TRUE,AG146:AJ146)</f>
        <v>104,4|105,2|106,1|1,188</v>
      </c>
      <c r="V146" t="str">
        <f>IF(B146="","",B$1&amp;","&amp;B146)</f>
        <v>104,8</v>
      </c>
      <c r="W146" t="str">
        <f t="shared" ref="W146:W164" si="161">IF(C146="","",C$1&amp;","&amp;C146)</f>
        <v>105,3</v>
      </c>
      <c r="X146" t="str">
        <f t="shared" ref="X146:X164" si="162">IF(D146="","",D$1&amp;","&amp;D146)</f>
        <v>106,1</v>
      </c>
      <c r="Y146" t="str">
        <f t="shared" ref="Y146:Y164" si="163">IF(E146="","",E$1&amp;","&amp;E146)</f>
        <v>1,150</v>
      </c>
      <c r="AB146" t="str">
        <f>IF(I146="","",I$1&amp;","&amp;I146)</f>
        <v>104,18</v>
      </c>
      <c r="AC146" t="str">
        <f t="shared" ref="AC146:AC164" si="164">IF(J146="","",J$1&amp;","&amp;J146)</f>
        <v>105,12</v>
      </c>
      <c r="AD146" t="str">
        <f t="shared" ref="AD146:AD164" si="165">IF(K146="","",K$1&amp;","&amp;K146)</f>
        <v>106,1</v>
      </c>
      <c r="AE146" t="str">
        <f t="shared" ref="AE146:AE164" si="166">IF(L146="","",L$1&amp;","&amp;L146)</f>
        <v>3,150</v>
      </c>
      <c r="AG146" t="str">
        <f>IF(B146="","",B$1&amp;","&amp;ROUNDUP(B146/2,0))</f>
        <v>104,4</v>
      </c>
      <c r="AH146" t="str">
        <f t="shared" ref="AH146:AH164" si="167">IF(C146="","",C$1&amp;","&amp;ROUNDUP(C146/2,0))</f>
        <v>105,2</v>
      </c>
      <c r="AI146" t="str">
        <f t="shared" ref="AI146:AI164" si="168">IF(D146="","",D$1&amp;","&amp;ROUNDUP(D146/2,0))</f>
        <v>106,1</v>
      </c>
      <c r="AJ146" t="str">
        <f>IF(E146="","",E$1&amp;","&amp;ROUNDUP(E146/2*2.5,0))</f>
        <v>1,188</v>
      </c>
    </row>
    <row r="147" spans="1:36" x14ac:dyDescent="0.25">
      <c r="A147" s="14">
        <v>2</v>
      </c>
      <c r="B147" s="15">
        <f>IF(关卡产出!C212="","",关卡产出!C212)</f>
        <v>8</v>
      </c>
      <c r="C147" s="15">
        <f>IF(关卡产出!D212="","",关卡产出!D212)</f>
        <v>3</v>
      </c>
      <c r="D147" s="15">
        <f>IF(关卡产出!E212="","",关卡产出!E212)</f>
        <v>1</v>
      </c>
      <c r="E147" s="15">
        <f>IF(关卡产出!F212="","",关卡产出!F212)</f>
        <v>150</v>
      </c>
      <c r="F147" s="15">
        <f>IF(关卡产出!H212="","",关卡产出!H212)</f>
        <v>450</v>
      </c>
      <c r="G147" s="15">
        <f>IF(关卡产出!J212="","",关卡产出!J212)</f>
        <v>900</v>
      </c>
      <c r="H147" s="15">
        <f>IF(关卡产出!K212="","",关卡产出!K212)</f>
        <v>6</v>
      </c>
      <c r="I147" s="15">
        <f>IF(关卡产出!M212="","",关卡产出!M212)</f>
        <v>21</v>
      </c>
      <c r="J147" s="15">
        <f>IF(关卡产出!N212="","",关卡产出!N212)</f>
        <v>12</v>
      </c>
      <c r="K147" s="15">
        <f>IF(关卡产出!O212="","",关卡产出!O212)</f>
        <v>1</v>
      </c>
      <c r="L147" s="15">
        <f>IF(关卡产出!P212="","",关卡产出!P212)</f>
        <v>150</v>
      </c>
      <c r="N147" t="str">
        <f t="shared" ref="N147:N165" si="169">_xlfn.TEXTJOIN("|",TRUE,V147:Y147)</f>
        <v>104,8|105,3|106,1|1,150</v>
      </c>
      <c r="P147" t="str">
        <f t="shared" ref="P147:P210" si="170">$F$1&amp;","&amp;F147</f>
        <v>1,450</v>
      </c>
      <c r="Q147" t="str">
        <f t="shared" ref="Q147:Q210" si="171">"162,1|"&amp;$G$1&amp;","&amp;G147&amp;"|"&amp;$H$1&amp;","&amp;H147</f>
        <v>162,1|1,900|4,6</v>
      </c>
      <c r="R147" t="str">
        <f t="shared" ref="R147:R165" si="172">_xlfn.TEXTJOIN("|",TRUE,AB147:AE147)</f>
        <v>104,21|105,12|106,1|3,150</v>
      </c>
      <c r="S147" t="str">
        <f t="shared" ref="S147:S165" si="173">_xlfn.TEXTJOIN("|",TRUE,AG147:AJ147)</f>
        <v>104,4|105,2|106,1|1,188</v>
      </c>
      <c r="V147" t="str">
        <f t="shared" ref="V147:V165" si="174">IF(B147="","",B$1&amp;","&amp;B147)</f>
        <v>104,8</v>
      </c>
      <c r="W147" t="str">
        <f t="shared" si="161"/>
        <v>105,3</v>
      </c>
      <c r="X147" t="str">
        <f t="shared" si="162"/>
        <v>106,1</v>
      </c>
      <c r="Y147" t="str">
        <f t="shared" si="163"/>
        <v>1,150</v>
      </c>
      <c r="AB147" t="str">
        <f t="shared" ref="AB147:AB165" si="175">IF(I147="","",I$1&amp;","&amp;I147)</f>
        <v>104,21</v>
      </c>
      <c r="AC147" t="str">
        <f t="shared" si="164"/>
        <v>105,12</v>
      </c>
      <c r="AD147" t="str">
        <f t="shared" si="165"/>
        <v>106,1</v>
      </c>
      <c r="AE147" t="str">
        <f t="shared" si="166"/>
        <v>3,150</v>
      </c>
      <c r="AG147" t="str">
        <f t="shared" ref="AG147:AG165" si="176">IF(B147="","",B$1&amp;","&amp;ROUNDUP(B147/2,0))</f>
        <v>104,4</v>
      </c>
      <c r="AH147" t="str">
        <f t="shared" si="167"/>
        <v>105,2</v>
      </c>
      <c r="AI147" t="str">
        <f t="shared" si="168"/>
        <v>106,1</v>
      </c>
      <c r="AJ147" t="str">
        <f t="shared" ref="AJ147:AJ165" si="177">IF(E147="","",E$1&amp;","&amp;ROUNDUP(E147/2*2.5,0))</f>
        <v>1,188</v>
      </c>
    </row>
    <row r="148" spans="1:36" x14ac:dyDescent="0.25">
      <c r="A148" s="14">
        <v>3</v>
      </c>
      <c r="B148" s="15">
        <f>IF(关卡产出!C213="","",关卡产出!C213)</f>
        <v>8</v>
      </c>
      <c r="C148" s="15">
        <f>IF(关卡产出!D213="","",关卡产出!D213)</f>
        <v>3</v>
      </c>
      <c r="D148" s="15">
        <f>IF(关卡产出!E213="","",关卡产出!E213)</f>
        <v>1</v>
      </c>
      <c r="E148" s="15">
        <f>IF(关卡产出!F213="","",关卡产出!F213)</f>
        <v>165</v>
      </c>
      <c r="F148" s="15">
        <f>IF(关卡产出!H213="","",关卡产出!H213)</f>
        <v>600</v>
      </c>
      <c r="G148" s="15">
        <f>IF(关卡产出!J213="","",关卡产出!J213)</f>
        <v>1200</v>
      </c>
      <c r="H148" s="15">
        <f>IF(关卡产出!K213="","",关卡产出!K213)</f>
        <v>6</v>
      </c>
      <c r="I148" s="15">
        <f>IF(关卡产出!M213="","",关卡产出!M213)</f>
        <v>24</v>
      </c>
      <c r="J148" s="15">
        <f>IF(关卡产出!N213="","",关卡产出!N213)</f>
        <v>12</v>
      </c>
      <c r="K148" s="15">
        <f>IF(关卡产出!O213="","",关卡产出!O213)</f>
        <v>1</v>
      </c>
      <c r="L148" s="15">
        <f>IF(关卡产出!P213="","",关卡产出!P213)</f>
        <v>150</v>
      </c>
      <c r="N148" t="str">
        <f t="shared" si="169"/>
        <v>104,8|105,3|106,1|1,165</v>
      </c>
      <c r="P148" t="str">
        <f t="shared" si="170"/>
        <v>1,600</v>
      </c>
      <c r="Q148" t="str">
        <f t="shared" si="171"/>
        <v>162,1|1,1200|4,6</v>
      </c>
      <c r="R148" t="str">
        <f t="shared" si="172"/>
        <v>104,24|105,12|106,1|3,150</v>
      </c>
      <c r="S148" t="str">
        <f t="shared" si="173"/>
        <v>104,4|105,2|106,1|1,207</v>
      </c>
      <c r="V148" t="str">
        <f t="shared" si="174"/>
        <v>104,8</v>
      </c>
      <c r="W148" t="str">
        <f t="shared" si="161"/>
        <v>105,3</v>
      </c>
      <c r="X148" t="str">
        <f t="shared" si="162"/>
        <v>106,1</v>
      </c>
      <c r="Y148" t="str">
        <f t="shared" si="163"/>
        <v>1,165</v>
      </c>
      <c r="AB148" t="str">
        <f t="shared" si="175"/>
        <v>104,24</v>
      </c>
      <c r="AC148" t="str">
        <f t="shared" si="164"/>
        <v>105,12</v>
      </c>
      <c r="AD148" t="str">
        <f t="shared" si="165"/>
        <v>106,1</v>
      </c>
      <c r="AE148" t="str">
        <f t="shared" si="166"/>
        <v>3,150</v>
      </c>
      <c r="AG148" t="str">
        <f t="shared" si="176"/>
        <v>104,4</v>
      </c>
      <c r="AH148" t="str">
        <f t="shared" si="167"/>
        <v>105,2</v>
      </c>
      <c r="AI148" t="str">
        <f t="shared" si="168"/>
        <v>106,1</v>
      </c>
      <c r="AJ148" t="str">
        <f t="shared" si="177"/>
        <v>1,207</v>
      </c>
    </row>
    <row r="149" spans="1:36" x14ac:dyDescent="0.25">
      <c r="A149" s="14">
        <v>4</v>
      </c>
      <c r="B149" s="15">
        <f>IF(关卡产出!C214="","",关卡产出!C214)</f>
        <v>8</v>
      </c>
      <c r="C149" s="15">
        <f>IF(关卡产出!D214="","",关卡产出!D214)</f>
        <v>3</v>
      </c>
      <c r="D149" s="15">
        <f>IF(关卡产出!E214="","",关卡产出!E214)</f>
        <v>2</v>
      </c>
      <c r="E149" s="15">
        <f>IF(关卡产出!F214="","",关卡产出!F214)</f>
        <v>165</v>
      </c>
      <c r="F149" s="15">
        <f>IF(关卡产出!H214="","",关卡产出!H214)</f>
        <v>750</v>
      </c>
      <c r="G149" s="15">
        <f>IF(关卡产出!J214="","",关卡产出!J214)</f>
        <v>1500</v>
      </c>
      <c r="H149" s="15">
        <f>IF(关卡产出!K214="","",关卡产出!K214)</f>
        <v>6</v>
      </c>
      <c r="I149" s="15">
        <f>IF(关卡产出!M214="","",关卡产出!M214)</f>
        <v>27</v>
      </c>
      <c r="J149" s="15">
        <f>IF(关卡产出!N214="","",关卡产出!N214)</f>
        <v>12</v>
      </c>
      <c r="K149" s="15">
        <f>IF(关卡产出!O214="","",关卡产出!O214)</f>
        <v>2</v>
      </c>
      <c r="L149" s="15">
        <f>IF(关卡产出!P214="","",关卡产出!P214)</f>
        <v>150</v>
      </c>
      <c r="N149" t="str">
        <f t="shared" si="169"/>
        <v>104,8|105,3|106,2|1,165</v>
      </c>
      <c r="P149" t="str">
        <f t="shared" si="170"/>
        <v>1,750</v>
      </c>
      <c r="Q149" t="str">
        <f t="shared" si="171"/>
        <v>162,1|1,1500|4,6</v>
      </c>
      <c r="R149" t="str">
        <f t="shared" si="172"/>
        <v>104,27|105,12|106,2|3,150</v>
      </c>
      <c r="S149" t="str">
        <f t="shared" si="173"/>
        <v>104,4|105,2|106,1|1,207</v>
      </c>
      <c r="V149" t="str">
        <f t="shared" si="174"/>
        <v>104,8</v>
      </c>
      <c r="W149" t="str">
        <f t="shared" si="161"/>
        <v>105,3</v>
      </c>
      <c r="X149" t="str">
        <f t="shared" si="162"/>
        <v>106,2</v>
      </c>
      <c r="Y149" t="str">
        <f t="shared" si="163"/>
        <v>1,165</v>
      </c>
      <c r="AB149" t="str">
        <f t="shared" si="175"/>
        <v>104,27</v>
      </c>
      <c r="AC149" t="str">
        <f t="shared" si="164"/>
        <v>105,12</v>
      </c>
      <c r="AD149" t="str">
        <f t="shared" si="165"/>
        <v>106,2</v>
      </c>
      <c r="AE149" t="str">
        <f t="shared" si="166"/>
        <v>3,150</v>
      </c>
      <c r="AG149" t="str">
        <f t="shared" si="176"/>
        <v>104,4</v>
      </c>
      <c r="AH149" t="str">
        <f t="shared" si="167"/>
        <v>105,2</v>
      </c>
      <c r="AI149" t="str">
        <f t="shared" si="168"/>
        <v>106,1</v>
      </c>
      <c r="AJ149" t="str">
        <f t="shared" si="177"/>
        <v>1,207</v>
      </c>
    </row>
    <row r="150" spans="1:36" x14ac:dyDescent="0.25">
      <c r="A150" s="14">
        <v>5</v>
      </c>
      <c r="B150" s="15">
        <f>IF(关卡产出!C215="","",关卡产出!C215)</f>
        <v>9</v>
      </c>
      <c r="C150" s="15">
        <f>IF(关卡产出!D215="","",关卡产出!D215)</f>
        <v>5</v>
      </c>
      <c r="D150" s="15">
        <f>IF(关卡产出!E215="","",关卡产出!E215)</f>
        <v>2</v>
      </c>
      <c r="E150" s="15">
        <f>IF(关卡产出!F215="","",关卡产出!F215)</f>
        <v>180</v>
      </c>
      <c r="F150" s="15">
        <f>IF(关卡产出!H215="","",关卡产出!H215)</f>
        <v>900</v>
      </c>
      <c r="G150" s="15">
        <f>IF(关卡产出!J215="","",关卡产出!J215)</f>
        <v>1800</v>
      </c>
      <c r="H150" s="15">
        <f>IF(关卡产出!K215="","",关卡产出!K215)</f>
        <v>6</v>
      </c>
      <c r="I150" s="15">
        <f>IF(关卡产出!M215="","",关卡产出!M215)</f>
        <v>30</v>
      </c>
      <c r="J150" s="15">
        <f>IF(关卡产出!N215="","",关卡产出!N215)</f>
        <v>14</v>
      </c>
      <c r="K150" s="15">
        <f>IF(关卡产出!O215="","",关卡产出!O215)</f>
        <v>2</v>
      </c>
      <c r="L150" s="15">
        <f>IF(关卡产出!P215="","",关卡产出!P215)</f>
        <v>150</v>
      </c>
      <c r="N150" t="str">
        <f t="shared" si="169"/>
        <v>104,9|105,5|106,2|1,180</v>
      </c>
      <c r="P150" t="str">
        <f t="shared" si="170"/>
        <v>1,900</v>
      </c>
      <c r="Q150" t="str">
        <f t="shared" si="171"/>
        <v>162,1|1,1800|4,6</v>
      </c>
      <c r="R150" t="str">
        <f t="shared" si="172"/>
        <v>104,30|105,14|106,2|3,150</v>
      </c>
      <c r="S150" t="str">
        <f t="shared" si="173"/>
        <v>104,5|105,3|106,1|1,225</v>
      </c>
      <c r="V150" t="str">
        <f t="shared" si="174"/>
        <v>104,9</v>
      </c>
      <c r="W150" t="str">
        <f t="shared" si="161"/>
        <v>105,5</v>
      </c>
      <c r="X150" t="str">
        <f t="shared" si="162"/>
        <v>106,2</v>
      </c>
      <c r="Y150" t="str">
        <f t="shared" si="163"/>
        <v>1,180</v>
      </c>
      <c r="AB150" t="str">
        <f t="shared" si="175"/>
        <v>104,30</v>
      </c>
      <c r="AC150" t="str">
        <f t="shared" si="164"/>
        <v>105,14</v>
      </c>
      <c r="AD150" t="str">
        <f t="shared" si="165"/>
        <v>106,2</v>
      </c>
      <c r="AE150" t="str">
        <f t="shared" si="166"/>
        <v>3,150</v>
      </c>
      <c r="AG150" t="str">
        <f t="shared" si="176"/>
        <v>104,5</v>
      </c>
      <c r="AH150" t="str">
        <f t="shared" si="167"/>
        <v>105,3</v>
      </c>
      <c r="AI150" t="str">
        <f t="shared" si="168"/>
        <v>106,1</v>
      </c>
      <c r="AJ150" t="str">
        <f t="shared" si="177"/>
        <v>1,225</v>
      </c>
    </row>
    <row r="151" spans="1:36" x14ac:dyDescent="0.25">
      <c r="A151" s="14">
        <v>6</v>
      </c>
      <c r="B151" s="15">
        <f>IF(关卡产出!C216="","",关卡产出!C216)</f>
        <v>9</v>
      </c>
      <c r="C151" s="15">
        <f>IF(关卡产出!D216="","",关卡产出!D216)</f>
        <v>5</v>
      </c>
      <c r="D151" s="15">
        <f>IF(关卡产出!E216="","",关卡产出!E216)</f>
        <v>2</v>
      </c>
      <c r="E151" s="15">
        <f>IF(关卡产出!F216="","",关卡产出!F216)</f>
        <v>180</v>
      </c>
      <c r="F151" s="15">
        <f>IF(关卡产出!H216="","",关卡产出!H216)</f>
        <v>1050</v>
      </c>
      <c r="G151" s="15">
        <f>IF(关卡产出!J216="","",关卡产出!J216)</f>
        <v>2100</v>
      </c>
      <c r="H151" s="15">
        <f>IF(关卡产出!K216="","",关卡产出!K216)</f>
        <v>6</v>
      </c>
      <c r="I151" s="15">
        <f>IF(关卡产出!M216="","",关卡产出!M216)</f>
        <v>30</v>
      </c>
      <c r="J151" s="15">
        <f>IF(关卡产出!N216="","",关卡产出!N216)</f>
        <v>15</v>
      </c>
      <c r="K151" s="15">
        <f>IF(关卡产出!O216="","",关卡产出!O216)</f>
        <v>3</v>
      </c>
      <c r="L151" s="15">
        <f>IF(关卡产出!P216="","",关卡产出!P216)</f>
        <v>150</v>
      </c>
      <c r="N151" t="str">
        <f t="shared" si="169"/>
        <v>104,9|105,5|106,2|1,180</v>
      </c>
      <c r="P151" t="str">
        <f t="shared" si="170"/>
        <v>1,1050</v>
      </c>
      <c r="Q151" t="str">
        <f t="shared" si="171"/>
        <v>162,1|1,2100|4,6</v>
      </c>
      <c r="R151" t="str">
        <f t="shared" si="172"/>
        <v>104,30|105,15|106,3|3,150</v>
      </c>
      <c r="S151" t="str">
        <f t="shared" si="173"/>
        <v>104,5|105,3|106,1|1,225</v>
      </c>
      <c r="V151" t="str">
        <f t="shared" si="174"/>
        <v>104,9</v>
      </c>
      <c r="W151" t="str">
        <f t="shared" si="161"/>
        <v>105,5</v>
      </c>
      <c r="X151" t="str">
        <f t="shared" si="162"/>
        <v>106,2</v>
      </c>
      <c r="Y151" t="str">
        <f t="shared" si="163"/>
        <v>1,180</v>
      </c>
      <c r="AB151" t="str">
        <f t="shared" si="175"/>
        <v>104,30</v>
      </c>
      <c r="AC151" t="str">
        <f t="shared" si="164"/>
        <v>105,15</v>
      </c>
      <c r="AD151" t="str">
        <f t="shared" si="165"/>
        <v>106,3</v>
      </c>
      <c r="AE151" t="str">
        <f t="shared" si="166"/>
        <v>3,150</v>
      </c>
      <c r="AG151" t="str">
        <f t="shared" si="176"/>
        <v>104,5</v>
      </c>
      <c r="AH151" t="str">
        <f t="shared" si="167"/>
        <v>105,3</v>
      </c>
      <c r="AI151" t="str">
        <f t="shared" si="168"/>
        <v>106,1</v>
      </c>
      <c r="AJ151" t="str">
        <f t="shared" si="177"/>
        <v>1,225</v>
      </c>
    </row>
    <row r="152" spans="1:36" x14ac:dyDescent="0.25">
      <c r="A152" s="14">
        <v>7</v>
      </c>
      <c r="B152" s="15">
        <f>IF(关卡产出!C217="","",关卡产出!C217)</f>
        <v>11</v>
      </c>
      <c r="C152" s="15">
        <f>IF(关卡产出!D217="","",关卡产出!D217)</f>
        <v>5</v>
      </c>
      <c r="D152" s="15">
        <f>IF(关卡产出!E217="","",关卡产出!E217)</f>
        <v>2</v>
      </c>
      <c r="E152" s="15">
        <f>IF(关卡产出!F217="","",关卡产出!F217)</f>
        <v>195</v>
      </c>
      <c r="F152" s="15">
        <f>IF(关卡产出!H217="","",关卡产出!H217)</f>
        <v>1200</v>
      </c>
      <c r="G152" s="15">
        <f>IF(关卡产出!J217="","",关卡产出!J217)</f>
        <v>2400</v>
      </c>
      <c r="H152" s="15">
        <f>IF(关卡产出!K217="","",关卡产出!K217)</f>
        <v>6</v>
      </c>
      <c r="I152" s="15">
        <f>IF(关卡产出!M217="","",关卡产出!M217)</f>
        <v>33</v>
      </c>
      <c r="J152" s="15">
        <f>IF(关卡产出!N217="","",关卡产出!N217)</f>
        <v>17</v>
      </c>
      <c r="K152" s="15">
        <f>IF(关卡产出!O217="","",关卡产出!O217)</f>
        <v>3</v>
      </c>
      <c r="L152" s="15">
        <f>IF(关卡产出!P217="","",关卡产出!P217)</f>
        <v>150</v>
      </c>
      <c r="N152" t="str">
        <f t="shared" si="169"/>
        <v>104,11|105,5|106,2|1,195</v>
      </c>
      <c r="P152" t="str">
        <f t="shared" si="170"/>
        <v>1,1200</v>
      </c>
      <c r="Q152" t="str">
        <f t="shared" si="171"/>
        <v>162,1|1,2400|4,6</v>
      </c>
      <c r="R152" t="str">
        <f t="shared" si="172"/>
        <v>104,33|105,17|106,3|3,150</v>
      </c>
      <c r="S152" t="str">
        <f t="shared" si="173"/>
        <v>104,6|105,3|106,1|1,244</v>
      </c>
      <c r="V152" t="str">
        <f t="shared" si="174"/>
        <v>104,11</v>
      </c>
      <c r="W152" t="str">
        <f t="shared" si="161"/>
        <v>105,5</v>
      </c>
      <c r="X152" t="str">
        <f t="shared" si="162"/>
        <v>106,2</v>
      </c>
      <c r="Y152" t="str">
        <f t="shared" si="163"/>
        <v>1,195</v>
      </c>
      <c r="AB152" t="str">
        <f t="shared" si="175"/>
        <v>104,33</v>
      </c>
      <c r="AC152" t="str">
        <f t="shared" si="164"/>
        <v>105,17</v>
      </c>
      <c r="AD152" t="str">
        <f t="shared" si="165"/>
        <v>106,3</v>
      </c>
      <c r="AE152" t="str">
        <f t="shared" si="166"/>
        <v>3,150</v>
      </c>
      <c r="AG152" t="str">
        <f t="shared" si="176"/>
        <v>104,6</v>
      </c>
      <c r="AH152" t="str">
        <f t="shared" si="167"/>
        <v>105,3</v>
      </c>
      <c r="AI152" t="str">
        <f t="shared" si="168"/>
        <v>106,1</v>
      </c>
      <c r="AJ152" t="str">
        <f t="shared" si="177"/>
        <v>1,244</v>
      </c>
    </row>
    <row r="153" spans="1:36" x14ac:dyDescent="0.25">
      <c r="A153" s="14">
        <v>8</v>
      </c>
      <c r="B153" s="15">
        <f>IF(关卡产出!C218="","",关卡产出!C218)</f>
        <v>11</v>
      </c>
      <c r="C153" s="15">
        <f>IF(关卡产出!D218="","",关卡产出!D218)</f>
        <v>5</v>
      </c>
      <c r="D153" s="15">
        <f>IF(关卡产出!E218="","",关卡产出!E218)</f>
        <v>2</v>
      </c>
      <c r="E153" s="15">
        <f>IF(关卡产出!F218="","",关卡产出!F218)</f>
        <v>195</v>
      </c>
      <c r="F153" s="15">
        <f>IF(关卡产出!H218="","",关卡产出!H218)</f>
        <v>1350</v>
      </c>
      <c r="G153" s="15">
        <f>IF(关卡产出!J218="","",关卡产出!J218)</f>
        <v>2700</v>
      </c>
      <c r="H153" s="15">
        <f>IF(关卡产出!K218="","",关卡产出!K218)</f>
        <v>6</v>
      </c>
      <c r="I153" s="15">
        <f>IF(关卡产出!M218="","",关卡产出!M218)</f>
        <v>36</v>
      </c>
      <c r="J153" s="15">
        <f>IF(关卡产出!N218="","",关卡产出!N218)</f>
        <v>18</v>
      </c>
      <c r="K153" s="15">
        <f>IF(关卡产出!O218="","",关卡产出!O218)</f>
        <v>5</v>
      </c>
      <c r="L153" s="15">
        <f>IF(关卡产出!P218="","",关卡产出!P218)</f>
        <v>150</v>
      </c>
      <c r="N153" t="str">
        <f t="shared" si="169"/>
        <v>104,11|105,5|106,2|1,195</v>
      </c>
      <c r="P153" t="str">
        <f t="shared" si="170"/>
        <v>1,1350</v>
      </c>
      <c r="Q153" t="str">
        <f t="shared" si="171"/>
        <v>162,1|1,2700|4,6</v>
      </c>
      <c r="R153" t="str">
        <f t="shared" si="172"/>
        <v>104,36|105,18|106,5|3,150</v>
      </c>
      <c r="S153" t="str">
        <f t="shared" si="173"/>
        <v>104,6|105,3|106,1|1,244</v>
      </c>
      <c r="V153" t="str">
        <f t="shared" si="174"/>
        <v>104,11</v>
      </c>
      <c r="W153" t="str">
        <f t="shared" si="161"/>
        <v>105,5</v>
      </c>
      <c r="X153" t="str">
        <f t="shared" si="162"/>
        <v>106,2</v>
      </c>
      <c r="Y153" t="str">
        <f t="shared" si="163"/>
        <v>1,195</v>
      </c>
      <c r="AB153" t="str">
        <f t="shared" si="175"/>
        <v>104,36</v>
      </c>
      <c r="AC153" t="str">
        <f t="shared" si="164"/>
        <v>105,18</v>
      </c>
      <c r="AD153" t="str">
        <f t="shared" si="165"/>
        <v>106,5</v>
      </c>
      <c r="AE153" t="str">
        <f t="shared" si="166"/>
        <v>3,150</v>
      </c>
      <c r="AG153" t="str">
        <f t="shared" si="176"/>
        <v>104,6</v>
      </c>
      <c r="AH153" t="str">
        <f t="shared" si="167"/>
        <v>105,3</v>
      </c>
      <c r="AI153" t="str">
        <f t="shared" si="168"/>
        <v>106,1</v>
      </c>
      <c r="AJ153" t="str">
        <f t="shared" si="177"/>
        <v>1,244</v>
      </c>
    </row>
    <row r="154" spans="1:36" x14ac:dyDescent="0.25">
      <c r="A154" s="14">
        <v>9</v>
      </c>
      <c r="B154" s="15">
        <f>IF(关卡产出!C219="","",关卡产出!C219)</f>
        <v>12</v>
      </c>
      <c r="C154" s="15">
        <f>IF(关卡产出!D219="","",关卡产出!D219)</f>
        <v>6</v>
      </c>
      <c r="D154" s="15">
        <f>IF(关卡产出!E219="","",关卡产出!E219)</f>
        <v>2</v>
      </c>
      <c r="E154" s="15">
        <f>IF(关卡产出!F219="","",关卡产出!F219)</f>
        <v>225</v>
      </c>
      <c r="F154" s="15">
        <f>IF(关卡产出!H219="","",关卡产出!H219)</f>
        <v>1650</v>
      </c>
      <c r="G154" s="15">
        <f>IF(关卡产出!J219="","",关卡产出!J219)</f>
        <v>3000</v>
      </c>
      <c r="H154" s="15">
        <f>IF(关卡产出!K219="","",关卡产出!K219)</f>
        <v>6</v>
      </c>
      <c r="I154" s="15">
        <f>IF(关卡产出!M219="","",关卡产出!M219)</f>
        <v>42</v>
      </c>
      <c r="J154" s="15">
        <f>IF(关卡产出!N219="","",关卡产出!N219)</f>
        <v>21</v>
      </c>
      <c r="K154" s="15">
        <f>IF(关卡产出!O219="","",关卡产出!O219)</f>
        <v>6</v>
      </c>
      <c r="L154" s="15">
        <f>IF(关卡产出!P219="","",关卡产出!P219)</f>
        <v>150</v>
      </c>
      <c r="N154" t="str">
        <f t="shared" si="169"/>
        <v>104,12|105,6|106,2|1,225</v>
      </c>
      <c r="P154" t="str">
        <f t="shared" si="170"/>
        <v>1,1650</v>
      </c>
      <c r="Q154" t="str">
        <f t="shared" si="171"/>
        <v>162,1|1,3000|4,6</v>
      </c>
      <c r="R154" t="str">
        <f t="shared" si="172"/>
        <v>104,42|105,21|106,6|3,150</v>
      </c>
      <c r="S154" t="str">
        <f t="shared" si="173"/>
        <v>104,6|105,3|106,1|1,282</v>
      </c>
      <c r="V154" t="str">
        <f t="shared" si="174"/>
        <v>104,12</v>
      </c>
      <c r="W154" t="str">
        <f t="shared" si="161"/>
        <v>105,6</v>
      </c>
      <c r="X154" t="str">
        <f t="shared" si="162"/>
        <v>106,2</v>
      </c>
      <c r="Y154" t="str">
        <f t="shared" si="163"/>
        <v>1,225</v>
      </c>
      <c r="AB154" t="str">
        <f t="shared" si="175"/>
        <v>104,42</v>
      </c>
      <c r="AC154" t="str">
        <f t="shared" si="164"/>
        <v>105,21</v>
      </c>
      <c r="AD154" t="str">
        <f t="shared" si="165"/>
        <v>106,6</v>
      </c>
      <c r="AE154" t="str">
        <f t="shared" si="166"/>
        <v>3,150</v>
      </c>
      <c r="AG154" t="str">
        <f t="shared" si="176"/>
        <v>104,6</v>
      </c>
      <c r="AH154" t="str">
        <f t="shared" si="167"/>
        <v>105,3</v>
      </c>
      <c r="AI154" t="str">
        <f t="shared" si="168"/>
        <v>106,1</v>
      </c>
      <c r="AJ154" t="str">
        <f t="shared" si="177"/>
        <v>1,282</v>
      </c>
    </row>
    <row r="155" spans="1:36" x14ac:dyDescent="0.25">
      <c r="A155" s="14">
        <v>10</v>
      </c>
      <c r="B155" s="15">
        <f>IF(关卡产出!C220="","",关卡产出!C220)</f>
        <v>12</v>
      </c>
      <c r="C155" s="15">
        <f>IF(关卡产出!D220="","",关卡产出!D220)</f>
        <v>6</v>
      </c>
      <c r="D155" s="15">
        <f>IF(关卡产出!E220="","",关卡产出!E220)</f>
        <v>2</v>
      </c>
      <c r="E155" s="15">
        <f>IF(关卡产出!F220="","",关卡产出!F220)</f>
        <v>225</v>
      </c>
      <c r="F155" s="15">
        <f>IF(关卡产出!H220="","",关卡产出!H220)</f>
        <v>1950</v>
      </c>
      <c r="G155" s="15">
        <f>IF(关卡产出!J220="","",关卡产出!J220)</f>
        <v>3600</v>
      </c>
      <c r="H155" s="15">
        <f>IF(关卡产出!K220="","",关卡产出!K220)</f>
        <v>6</v>
      </c>
      <c r="I155" s="15">
        <f>IF(关卡产出!M220="","",关卡产出!M220)</f>
        <v>48</v>
      </c>
      <c r="J155" s="15">
        <f>IF(关卡产出!N220="","",关卡产出!N220)</f>
        <v>24</v>
      </c>
      <c r="K155" s="15">
        <f>IF(关卡产出!O220="","",关卡产出!O220)</f>
        <v>8</v>
      </c>
      <c r="L155" s="15">
        <f>IF(关卡产出!P220="","",关卡产出!P220)</f>
        <v>150</v>
      </c>
      <c r="N155" t="str">
        <f t="shared" si="169"/>
        <v>104,12|105,6|106,2|1,225</v>
      </c>
      <c r="P155" t="str">
        <f t="shared" si="170"/>
        <v>1,1950</v>
      </c>
      <c r="Q155" t="str">
        <f t="shared" si="171"/>
        <v>162,1|1,3600|4,6</v>
      </c>
      <c r="R155" t="str">
        <f t="shared" si="172"/>
        <v>104,48|105,24|106,8|3,150</v>
      </c>
      <c r="S155" t="str">
        <f t="shared" si="173"/>
        <v>104,6|105,3|106,1|1,282</v>
      </c>
      <c r="V155" t="str">
        <f t="shared" si="174"/>
        <v>104,12</v>
      </c>
      <c r="W155" t="str">
        <f t="shared" si="161"/>
        <v>105,6</v>
      </c>
      <c r="X155" t="str">
        <f t="shared" si="162"/>
        <v>106,2</v>
      </c>
      <c r="Y155" t="str">
        <f t="shared" si="163"/>
        <v>1,225</v>
      </c>
      <c r="AB155" t="str">
        <f t="shared" si="175"/>
        <v>104,48</v>
      </c>
      <c r="AC155" t="str">
        <f t="shared" si="164"/>
        <v>105,24</v>
      </c>
      <c r="AD155" t="str">
        <f t="shared" si="165"/>
        <v>106,8</v>
      </c>
      <c r="AE155" t="str">
        <f t="shared" si="166"/>
        <v>3,150</v>
      </c>
      <c r="AG155" t="str">
        <f t="shared" si="176"/>
        <v>104,6</v>
      </c>
      <c r="AH155" t="str">
        <f t="shared" si="167"/>
        <v>105,3</v>
      </c>
      <c r="AI155" t="str">
        <f t="shared" si="168"/>
        <v>106,1</v>
      </c>
      <c r="AJ155" t="str">
        <f t="shared" si="177"/>
        <v>1,282</v>
      </c>
    </row>
    <row r="156" spans="1:36" x14ac:dyDescent="0.25">
      <c r="A156" s="14">
        <v>11</v>
      </c>
      <c r="B156" s="15">
        <f>IF(关卡产出!C221="","",关卡产出!C221)</f>
        <v>14</v>
      </c>
      <c r="C156" s="15">
        <f>IF(关卡产出!D221="","",关卡产出!D221)</f>
        <v>6</v>
      </c>
      <c r="D156" s="15">
        <f>IF(关卡产出!E221="","",关卡产出!E221)</f>
        <v>2</v>
      </c>
      <c r="E156" s="15">
        <f>IF(关卡产出!F221="","",关卡产出!F221)</f>
        <v>255</v>
      </c>
      <c r="F156" s="15">
        <f>IF(关卡产出!H221="","",关卡产出!H221)</f>
        <v>2250</v>
      </c>
      <c r="G156" s="15">
        <f>IF(关卡产出!J221="","",关卡产出!J221)</f>
        <v>4200</v>
      </c>
      <c r="H156" s="15">
        <f>IF(关卡产出!K221="","",关卡产出!K221)</f>
        <v>6</v>
      </c>
      <c r="I156" s="15">
        <f>IF(关卡产出!M221="","",关卡产出!M221)</f>
        <v>54</v>
      </c>
      <c r="J156" s="15">
        <f>IF(关卡产出!N221="","",关卡产出!N221)</f>
        <v>27</v>
      </c>
      <c r="K156" s="15">
        <f>IF(关卡产出!O221="","",关卡产出!O221)</f>
        <v>9</v>
      </c>
      <c r="L156" s="15">
        <f>IF(关卡产出!P221="","",关卡产出!P221)</f>
        <v>225</v>
      </c>
      <c r="N156" t="str">
        <f t="shared" si="169"/>
        <v>104,14|105,6|106,2|1,255</v>
      </c>
      <c r="P156" t="str">
        <f t="shared" si="170"/>
        <v>1,2250</v>
      </c>
      <c r="Q156" t="str">
        <f t="shared" si="171"/>
        <v>162,1|1,4200|4,6</v>
      </c>
      <c r="R156" t="str">
        <f t="shared" si="172"/>
        <v>104,54|105,27|106,9|3,225</v>
      </c>
      <c r="S156" t="str">
        <f t="shared" si="173"/>
        <v>104,7|105,3|106,1|1,319</v>
      </c>
      <c r="V156" t="str">
        <f t="shared" si="174"/>
        <v>104,14</v>
      </c>
      <c r="W156" t="str">
        <f t="shared" si="161"/>
        <v>105,6</v>
      </c>
      <c r="X156" t="str">
        <f t="shared" si="162"/>
        <v>106,2</v>
      </c>
      <c r="Y156" t="str">
        <f t="shared" si="163"/>
        <v>1,255</v>
      </c>
      <c r="AB156" t="str">
        <f t="shared" si="175"/>
        <v>104,54</v>
      </c>
      <c r="AC156" t="str">
        <f t="shared" si="164"/>
        <v>105,27</v>
      </c>
      <c r="AD156" t="str">
        <f t="shared" si="165"/>
        <v>106,9</v>
      </c>
      <c r="AE156" t="str">
        <f t="shared" si="166"/>
        <v>3,225</v>
      </c>
      <c r="AG156" t="str">
        <f t="shared" si="176"/>
        <v>104,7</v>
      </c>
      <c r="AH156" t="str">
        <f t="shared" si="167"/>
        <v>105,3</v>
      </c>
      <c r="AI156" t="str">
        <f t="shared" si="168"/>
        <v>106,1</v>
      </c>
      <c r="AJ156" t="str">
        <f t="shared" si="177"/>
        <v>1,319</v>
      </c>
    </row>
    <row r="157" spans="1:36" x14ac:dyDescent="0.25">
      <c r="A157" s="14">
        <v>12</v>
      </c>
      <c r="B157" s="15">
        <f>IF(关卡产出!C222="","",关卡产出!C222)</f>
        <v>14</v>
      </c>
      <c r="C157" s="15">
        <f>IF(关卡产出!D222="","",关卡产出!D222)</f>
        <v>6</v>
      </c>
      <c r="D157" s="15">
        <f>IF(关卡产出!E222="","",关卡产出!E222)</f>
        <v>2</v>
      </c>
      <c r="E157" s="15">
        <f>IF(关卡产出!F222="","",关卡产出!F222)</f>
        <v>255</v>
      </c>
      <c r="F157" s="15">
        <f>IF(关卡产出!H222="","",关卡产出!H222)</f>
        <v>2550</v>
      </c>
      <c r="G157" s="15">
        <f>IF(关卡产出!J222="","",关卡产出!J222)</f>
        <v>4800</v>
      </c>
      <c r="H157" s="15">
        <f>IF(关卡产出!K222="","",关卡产出!K222)</f>
        <v>6</v>
      </c>
      <c r="I157" s="15">
        <f>IF(关卡产出!M222="","",关卡产出!M222)</f>
        <v>60</v>
      </c>
      <c r="J157" s="15">
        <f>IF(关卡产出!N222="","",关卡产出!N222)</f>
        <v>30</v>
      </c>
      <c r="K157" s="15">
        <f>IF(关卡产出!O222="","",关卡产出!O222)</f>
        <v>11</v>
      </c>
      <c r="L157" s="15">
        <f>IF(关卡产出!P222="","",关卡产出!P222)</f>
        <v>225</v>
      </c>
      <c r="N157" t="str">
        <f t="shared" si="169"/>
        <v>104,14|105,6|106,2|1,255</v>
      </c>
      <c r="P157" t="str">
        <f t="shared" si="170"/>
        <v>1,2550</v>
      </c>
      <c r="Q157" t="str">
        <f t="shared" si="171"/>
        <v>162,1|1,4800|4,6</v>
      </c>
      <c r="R157" t="str">
        <f t="shared" si="172"/>
        <v>104,60|105,30|106,11|3,225</v>
      </c>
      <c r="S157" t="str">
        <f t="shared" si="173"/>
        <v>104,7|105,3|106,1|1,319</v>
      </c>
      <c r="V157" t="str">
        <f t="shared" si="174"/>
        <v>104,14</v>
      </c>
      <c r="W157" t="str">
        <f t="shared" si="161"/>
        <v>105,6</v>
      </c>
      <c r="X157" t="str">
        <f t="shared" si="162"/>
        <v>106,2</v>
      </c>
      <c r="Y157" t="str">
        <f t="shared" si="163"/>
        <v>1,255</v>
      </c>
      <c r="AB157" t="str">
        <f t="shared" si="175"/>
        <v>104,60</v>
      </c>
      <c r="AC157" t="str">
        <f t="shared" si="164"/>
        <v>105,30</v>
      </c>
      <c r="AD157" t="str">
        <f t="shared" si="165"/>
        <v>106,11</v>
      </c>
      <c r="AE157" t="str">
        <f t="shared" si="166"/>
        <v>3,225</v>
      </c>
      <c r="AG157" t="str">
        <f t="shared" si="176"/>
        <v>104,7</v>
      </c>
      <c r="AH157" t="str">
        <f t="shared" si="167"/>
        <v>105,3</v>
      </c>
      <c r="AI157" t="str">
        <f t="shared" si="168"/>
        <v>106,1</v>
      </c>
      <c r="AJ157" t="str">
        <f t="shared" si="177"/>
        <v>1,319</v>
      </c>
    </row>
    <row r="158" spans="1:36" x14ac:dyDescent="0.25">
      <c r="A158" s="14">
        <v>13</v>
      </c>
      <c r="B158" s="15">
        <f>IF(关卡产出!C223="","",关卡产出!C223)</f>
        <v>15</v>
      </c>
      <c r="C158" s="15">
        <f>IF(关卡产出!D223="","",关卡产出!D223)</f>
        <v>8</v>
      </c>
      <c r="D158" s="15">
        <f>IF(关卡产出!E223="","",关卡产出!E223)</f>
        <v>2</v>
      </c>
      <c r="E158" s="15">
        <f>IF(关卡产出!F223="","",关卡产出!F223)</f>
        <v>285</v>
      </c>
      <c r="F158" s="15">
        <f>IF(关卡产出!H223="","",关卡产出!H223)</f>
        <v>2850</v>
      </c>
      <c r="G158" s="15">
        <f>IF(关卡产出!J223="","",关卡产出!J223)</f>
        <v>5400</v>
      </c>
      <c r="H158" s="15">
        <f>IF(关卡产出!K223="","",关卡产出!K223)</f>
        <v>6</v>
      </c>
      <c r="I158" s="15">
        <f>IF(关卡产出!M223="","",关卡产出!M223)</f>
        <v>66</v>
      </c>
      <c r="J158" s="15">
        <f>IF(关卡产出!N223="","",关卡产出!N223)</f>
        <v>33</v>
      </c>
      <c r="K158" s="15">
        <f>IF(关卡产出!O223="","",关卡产出!O223)</f>
        <v>12</v>
      </c>
      <c r="L158" s="15">
        <f>IF(关卡产出!P223="","",关卡产出!P223)</f>
        <v>225</v>
      </c>
      <c r="N158" t="str">
        <f t="shared" si="169"/>
        <v>104,15|105,8|106,2|1,285</v>
      </c>
      <c r="P158" t="str">
        <f t="shared" si="170"/>
        <v>1,2850</v>
      </c>
      <c r="Q158" t="str">
        <f t="shared" si="171"/>
        <v>162,1|1,5400|4,6</v>
      </c>
      <c r="R158" t="str">
        <f t="shared" si="172"/>
        <v>104,66|105,33|106,12|3,225</v>
      </c>
      <c r="S158" t="str">
        <f t="shared" si="173"/>
        <v>104,8|105,4|106,1|1,357</v>
      </c>
      <c r="V158" t="str">
        <f t="shared" si="174"/>
        <v>104,15</v>
      </c>
      <c r="W158" t="str">
        <f t="shared" si="161"/>
        <v>105,8</v>
      </c>
      <c r="X158" t="str">
        <f t="shared" si="162"/>
        <v>106,2</v>
      </c>
      <c r="Y158" t="str">
        <f t="shared" si="163"/>
        <v>1,285</v>
      </c>
      <c r="AB158" t="str">
        <f t="shared" si="175"/>
        <v>104,66</v>
      </c>
      <c r="AC158" t="str">
        <f t="shared" si="164"/>
        <v>105,33</v>
      </c>
      <c r="AD158" t="str">
        <f t="shared" si="165"/>
        <v>106,12</v>
      </c>
      <c r="AE158" t="str">
        <f t="shared" si="166"/>
        <v>3,225</v>
      </c>
      <c r="AG158" t="str">
        <f t="shared" si="176"/>
        <v>104,8</v>
      </c>
      <c r="AH158" t="str">
        <f t="shared" si="167"/>
        <v>105,4</v>
      </c>
      <c r="AI158" t="str">
        <f t="shared" si="168"/>
        <v>106,1</v>
      </c>
      <c r="AJ158" t="str">
        <f t="shared" si="177"/>
        <v>1,357</v>
      </c>
    </row>
    <row r="159" spans="1:36" x14ac:dyDescent="0.25">
      <c r="A159" s="14">
        <v>14</v>
      </c>
      <c r="B159" s="15">
        <f>IF(关卡产出!C224="","",关卡产出!C224)</f>
        <v>15</v>
      </c>
      <c r="C159" s="15">
        <f>IF(关卡产出!D224="","",关卡产出!D224)</f>
        <v>8</v>
      </c>
      <c r="D159" s="15">
        <f>IF(关卡产出!E224="","",关卡产出!E224)</f>
        <v>2</v>
      </c>
      <c r="E159" s="15">
        <f>IF(关卡产出!F224="","",关卡产出!F224)</f>
        <v>285</v>
      </c>
      <c r="F159" s="15">
        <f>IF(关卡产出!H224="","",关卡产出!H224)</f>
        <v>3150</v>
      </c>
      <c r="G159" s="15">
        <f>IF(关卡产出!J224="","",关卡产出!J224)</f>
        <v>6000</v>
      </c>
      <c r="H159" s="15">
        <f>IF(关卡产出!K224="","",关卡产出!K224)</f>
        <v>6</v>
      </c>
      <c r="I159" s="15">
        <f>IF(关卡产出!M224="","",关卡产出!M224)</f>
        <v>72</v>
      </c>
      <c r="J159" s="15">
        <f>IF(关卡产出!N224="","",关卡产出!N224)</f>
        <v>36</v>
      </c>
      <c r="K159" s="15">
        <f>IF(关卡产出!O224="","",关卡产出!O224)</f>
        <v>14</v>
      </c>
      <c r="L159" s="15">
        <f>IF(关卡产出!P224="","",关卡产出!P224)</f>
        <v>225</v>
      </c>
      <c r="N159" t="str">
        <f t="shared" si="169"/>
        <v>104,15|105,8|106,2|1,285</v>
      </c>
      <c r="P159" t="str">
        <f t="shared" si="170"/>
        <v>1,3150</v>
      </c>
      <c r="Q159" t="str">
        <f t="shared" si="171"/>
        <v>162,1|1,6000|4,6</v>
      </c>
      <c r="R159" t="str">
        <f t="shared" si="172"/>
        <v>104,72|105,36|106,14|3,225</v>
      </c>
      <c r="S159" t="str">
        <f t="shared" si="173"/>
        <v>104,8|105,4|106,1|1,357</v>
      </c>
      <c r="V159" t="str">
        <f t="shared" si="174"/>
        <v>104,15</v>
      </c>
      <c r="W159" t="str">
        <f t="shared" si="161"/>
        <v>105,8</v>
      </c>
      <c r="X159" t="str">
        <f t="shared" si="162"/>
        <v>106,2</v>
      </c>
      <c r="Y159" t="str">
        <f t="shared" si="163"/>
        <v>1,285</v>
      </c>
      <c r="AB159" t="str">
        <f t="shared" si="175"/>
        <v>104,72</v>
      </c>
      <c r="AC159" t="str">
        <f t="shared" si="164"/>
        <v>105,36</v>
      </c>
      <c r="AD159" t="str">
        <f t="shared" si="165"/>
        <v>106,14</v>
      </c>
      <c r="AE159" t="str">
        <f t="shared" si="166"/>
        <v>3,225</v>
      </c>
      <c r="AG159" t="str">
        <f t="shared" si="176"/>
        <v>104,8</v>
      </c>
      <c r="AH159" t="str">
        <f t="shared" si="167"/>
        <v>105,4</v>
      </c>
      <c r="AI159" t="str">
        <f t="shared" si="168"/>
        <v>106,1</v>
      </c>
      <c r="AJ159" t="str">
        <f t="shared" si="177"/>
        <v>1,357</v>
      </c>
    </row>
    <row r="160" spans="1:36" x14ac:dyDescent="0.25">
      <c r="A160" s="14">
        <v>15</v>
      </c>
      <c r="B160" s="15">
        <f>IF(关卡产出!C225="","",关卡产出!C225)</f>
        <v>17</v>
      </c>
      <c r="C160" s="15">
        <f>IF(关卡产出!D225="","",关卡产出!D225)</f>
        <v>8</v>
      </c>
      <c r="D160" s="15">
        <f>IF(关卡产出!E225="","",关卡产出!E225)</f>
        <v>2</v>
      </c>
      <c r="E160" s="15">
        <f>IF(关卡产出!F225="","",关卡产出!F225)</f>
        <v>315</v>
      </c>
      <c r="F160" s="15">
        <f>IF(关卡产出!H225="","",关卡产出!H225)</f>
        <v>3450</v>
      </c>
      <c r="G160" s="15">
        <f>IF(关卡产出!J225="","",关卡产出!J225)</f>
        <v>6600</v>
      </c>
      <c r="H160" s="15">
        <f>IF(关卡产出!K225="","",关卡产出!K225)</f>
        <v>6</v>
      </c>
      <c r="I160" s="15">
        <f>IF(关卡产出!M225="","",关卡产出!M225)</f>
        <v>78</v>
      </c>
      <c r="J160" s="15">
        <f>IF(关卡产出!N225="","",关卡产出!N225)</f>
        <v>39</v>
      </c>
      <c r="K160" s="15">
        <f>IF(关卡产出!O225="","",关卡产出!O225)</f>
        <v>15</v>
      </c>
      <c r="L160" s="15">
        <f>IF(关卡产出!P225="","",关卡产出!P225)</f>
        <v>225</v>
      </c>
      <c r="N160" t="str">
        <f t="shared" si="169"/>
        <v>104,17|105,8|106,2|1,315</v>
      </c>
      <c r="P160" t="str">
        <f t="shared" si="170"/>
        <v>1,3450</v>
      </c>
      <c r="Q160" t="str">
        <f t="shared" si="171"/>
        <v>162,1|1,6600|4,6</v>
      </c>
      <c r="R160" t="str">
        <f t="shared" si="172"/>
        <v>104,78|105,39|106,15|3,225</v>
      </c>
      <c r="S160" t="str">
        <f t="shared" si="173"/>
        <v>104,9|105,4|106,1|1,394</v>
      </c>
      <c r="V160" t="str">
        <f t="shared" si="174"/>
        <v>104,17</v>
      </c>
      <c r="W160" t="str">
        <f t="shared" si="161"/>
        <v>105,8</v>
      </c>
      <c r="X160" t="str">
        <f t="shared" si="162"/>
        <v>106,2</v>
      </c>
      <c r="Y160" t="str">
        <f t="shared" si="163"/>
        <v>1,315</v>
      </c>
      <c r="AB160" t="str">
        <f t="shared" si="175"/>
        <v>104,78</v>
      </c>
      <c r="AC160" t="str">
        <f t="shared" si="164"/>
        <v>105,39</v>
      </c>
      <c r="AD160" t="str">
        <f t="shared" si="165"/>
        <v>106,15</v>
      </c>
      <c r="AE160" t="str">
        <f t="shared" si="166"/>
        <v>3,225</v>
      </c>
      <c r="AG160" t="str">
        <f t="shared" si="176"/>
        <v>104,9</v>
      </c>
      <c r="AH160" t="str">
        <f t="shared" si="167"/>
        <v>105,4</v>
      </c>
      <c r="AI160" t="str">
        <f t="shared" si="168"/>
        <v>106,1</v>
      </c>
      <c r="AJ160" t="str">
        <f t="shared" si="177"/>
        <v>1,394</v>
      </c>
    </row>
    <row r="161" spans="1:36" x14ac:dyDescent="0.25">
      <c r="A161" s="14">
        <v>16</v>
      </c>
      <c r="B161" s="15">
        <f>IF(关卡产出!C226="","",关卡产出!C226)</f>
        <v>17</v>
      </c>
      <c r="C161" s="15">
        <f>IF(关卡产出!D226="","",关卡产出!D226)</f>
        <v>8</v>
      </c>
      <c r="D161" s="15">
        <f>IF(关卡产出!E226="","",关卡产出!E226)</f>
        <v>2</v>
      </c>
      <c r="E161" s="15">
        <f>IF(关卡产出!F226="","",关卡产出!F226)</f>
        <v>315</v>
      </c>
      <c r="F161" s="15">
        <f>IF(关卡产出!H226="","",关卡产出!H226)</f>
        <v>3750</v>
      </c>
      <c r="G161" s="15">
        <f>IF(关卡产出!J226="","",关卡产出!J226)</f>
        <v>7200</v>
      </c>
      <c r="H161" s="15">
        <f>IF(关卡产出!K226="","",关卡产出!K226)</f>
        <v>6</v>
      </c>
      <c r="I161" s="15">
        <f>IF(关卡产出!M226="","",关卡产出!M226)</f>
        <v>84</v>
      </c>
      <c r="J161" s="15">
        <f>IF(关卡产出!N226="","",关卡产出!N226)</f>
        <v>42</v>
      </c>
      <c r="K161" s="15">
        <f>IF(关卡产出!O226="","",关卡产出!O226)</f>
        <v>17</v>
      </c>
      <c r="L161" s="15">
        <f>IF(关卡产出!P226="","",关卡产出!P226)</f>
        <v>225</v>
      </c>
      <c r="N161" t="str">
        <f t="shared" si="169"/>
        <v>104,17|105,8|106,2|1,315</v>
      </c>
      <c r="P161" t="str">
        <f t="shared" si="170"/>
        <v>1,3750</v>
      </c>
      <c r="Q161" t="str">
        <f t="shared" si="171"/>
        <v>162,1|1,7200|4,6</v>
      </c>
      <c r="R161" t="str">
        <f t="shared" si="172"/>
        <v>104,84|105,42|106,17|3,225</v>
      </c>
      <c r="S161" t="str">
        <f t="shared" si="173"/>
        <v>104,9|105,4|106,1|1,394</v>
      </c>
      <c r="V161" t="str">
        <f t="shared" si="174"/>
        <v>104,17</v>
      </c>
      <c r="W161" t="str">
        <f t="shared" si="161"/>
        <v>105,8</v>
      </c>
      <c r="X161" t="str">
        <f t="shared" si="162"/>
        <v>106,2</v>
      </c>
      <c r="Y161" t="str">
        <f t="shared" si="163"/>
        <v>1,315</v>
      </c>
      <c r="AB161" t="str">
        <f t="shared" si="175"/>
        <v>104,84</v>
      </c>
      <c r="AC161" t="str">
        <f t="shared" si="164"/>
        <v>105,42</v>
      </c>
      <c r="AD161" t="str">
        <f t="shared" si="165"/>
        <v>106,17</v>
      </c>
      <c r="AE161" t="str">
        <f t="shared" si="166"/>
        <v>3,225</v>
      </c>
      <c r="AG161" t="str">
        <f t="shared" si="176"/>
        <v>104,9</v>
      </c>
      <c r="AH161" t="str">
        <f t="shared" si="167"/>
        <v>105,4</v>
      </c>
      <c r="AI161" t="str">
        <f t="shared" si="168"/>
        <v>106,1</v>
      </c>
      <c r="AJ161" t="str">
        <f t="shared" si="177"/>
        <v>1,394</v>
      </c>
    </row>
    <row r="162" spans="1:36" x14ac:dyDescent="0.25">
      <c r="A162" s="14">
        <v>17</v>
      </c>
      <c r="B162" s="15">
        <f>IF(关卡产出!C227="","",关卡产出!C227)</f>
        <v>18</v>
      </c>
      <c r="C162" s="15">
        <f>IF(关卡产出!D227="","",关卡产出!D227)</f>
        <v>9</v>
      </c>
      <c r="D162" s="15">
        <f>IF(关卡产出!E227="","",关卡产出!E227)</f>
        <v>3</v>
      </c>
      <c r="E162" s="15">
        <f>IF(关卡产出!F227="","",关卡产出!F227)</f>
        <v>345</v>
      </c>
      <c r="F162" s="15">
        <f>IF(关卡产出!H227="","",关卡产出!H227)</f>
        <v>4050</v>
      </c>
      <c r="G162" s="15">
        <f>IF(关卡产出!J227="","",关卡产出!J227)</f>
        <v>7800</v>
      </c>
      <c r="H162" s="15">
        <f>IF(关卡产出!K227="","",关卡产出!K227)</f>
        <v>6</v>
      </c>
      <c r="I162" s="15">
        <f>IF(关卡产出!M227="","",关卡产出!M227)</f>
        <v>90</v>
      </c>
      <c r="J162" s="15">
        <f>IF(关卡产出!N227="","",关卡产出!N227)</f>
        <v>45</v>
      </c>
      <c r="K162" s="15">
        <f>IF(关卡产出!O227="","",关卡产出!O227)</f>
        <v>18</v>
      </c>
      <c r="L162" s="15">
        <f>IF(关卡产出!P227="","",关卡产出!P227)</f>
        <v>225</v>
      </c>
      <c r="N162" t="str">
        <f t="shared" si="169"/>
        <v>104,18|105,9|106,3|1,345</v>
      </c>
      <c r="P162" t="str">
        <f t="shared" si="170"/>
        <v>1,4050</v>
      </c>
      <c r="Q162" t="str">
        <f t="shared" si="171"/>
        <v>162,1|1,7800|4,6</v>
      </c>
      <c r="R162" t="str">
        <f t="shared" si="172"/>
        <v>104,90|105,45|106,18|3,225</v>
      </c>
      <c r="S162" t="str">
        <f t="shared" si="173"/>
        <v>104,9|105,5|106,2|1,432</v>
      </c>
      <c r="V162" t="str">
        <f t="shared" si="174"/>
        <v>104,18</v>
      </c>
      <c r="W162" t="str">
        <f t="shared" si="161"/>
        <v>105,9</v>
      </c>
      <c r="X162" t="str">
        <f t="shared" si="162"/>
        <v>106,3</v>
      </c>
      <c r="Y162" t="str">
        <f t="shared" si="163"/>
        <v>1,345</v>
      </c>
      <c r="AB162" t="str">
        <f t="shared" si="175"/>
        <v>104,90</v>
      </c>
      <c r="AC162" t="str">
        <f t="shared" si="164"/>
        <v>105,45</v>
      </c>
      <c r="AD162" t="str">
        <f t="shared" si="165"/>
        <v>106,18</v>
      </c>
      <c r="AE162" t="str">
        <f t="shared" si="166"/>
        <v>3,225</v>
      </c>
      <c r="AG162" t="str">
        <f t="shared" si="176"/>
        <v>104,9</v>
      </c>
      <c r="AH162" t="str">
        <f t="shared" si="167"/>
        <v>105,5</v>
      </c>
      <c r="AI162" t="str">
        <f t="shared" si="168"/>
        <v>106,2</v>
      </c>
      <c r="AJ162" t="str">
        <f t="shared" si="177"/>
        <v>1,432</v>
      </c>
    </row>
    <row r="163" spans="1:36" x14ac:dyDescent="0.25">
      <c r="A163" s="14">
        <v>18</v>
      </c>
      <c r="B163" s="15">
        <f>IF(关卡产出!C228="","",关卡产出!C228)</f>
        <v>18</v>
      </c>
      <c r="C163" s="15">
        <f>IF(关卡产出!D228="","",关卡产出!D228)</f>
        <v>9</v>
      </c>
      <c r="D163" s="15">
        <f>IF(关卡产出!E228="","",关卡产出!E228)</f>
        <v>5</v>
      </c>
      <c r="E163" s="15">
        <f>IF(关卡产出!F228="","",关卡产出!F228)</f>
        <v>345</v>
      </c>
      <c r="F163" s="15">
        <f>IF(关卡产出!H228="","",关卡产出!H228)</f>
        <v>4350</v>
      </c>
      <c r="G163" s="15">
        <f>IF(关卡产出!J228="","",关卡产出!J228)</f>
        <v>8400</v>
      </c>
      <c r="H163" s="15">
        <f>IF(关卡产出!K228="","",关卡产出!K228)</f>
        <v>6</v>
      </c>
      <c r="I163" s="15">
        <f>IF(关卡产出!M228="","",关卡产出!M228)</f>
        <v>96</v>
      </c>
      <c r="J163" s="15">
        <f>IF(关卡产出!N228="","",关卡产出!N228)</f>
        <v>48</v>
      </c>
      <c r="K163" s="15">
        <f>IF(关卡产出!O228="","",关卡产出!O228)</f>
        <v>20</v>
      </c>
      <c r="L163" s="15">
        <f>IF(关卡产出!P228="","",关卡产出!P228)</f>
        <v>225</v>
      </c>
      <c r="N163" t="str">
        <f t="shared" si="169"/>
        <v>104,18|105,9|106,5|1,345</v>
      </c>
      <c r="P163" t="str">
        <f t="shared" si="170"/>
        <v>1,4350</v>
      </c>
      <c r="Q163" t="str">
        <f t="shared" si="171"/>
        <v>162,1|1,8400|4,6</v>
      </c>
      <c r="R163" t="str">
        <f t="shared" si="172"/>
        <v>104,96|105,48|106,20|3,225</v>
      </c>
      <c r="S163" t="str">
        <f t="shared" si="173"/>
        <v>104,9|105,5|106,3|1,432</v>
      </c>
      <c r="V163" t="str">
        <f t="shared" si="174"/>
        <v>104,18</v>
      </c>
      <c r="W163" t="str">
        <f t="shared" si="161"/>
        <v>105,9</v>
      </c>
      <c r="X163" t="str">
        <f t="shared" si="162"/>
        <v>106,5</v>
      </c>
      <c r="Y163" t="str">
        <f t="shared" si="163"/>
        <v>1,345</v>
      </c>
      <c r="AB163" t="str">
        <f t="shared" si="175"/>
        <v>104,96</v>
      </c>
      <c r="AC163" t="str">
        <f t="shared" si="164"/>
        <v>105,48</v>
      </c>
      <c r="AD163" t="str">
        <f t="shared" si="165"/>
        <v>106,20</v>
      </c>
      <c r="AE163" t="str">
        <f t="shared" si="166"/>
        <v>3,225</v>
      </c>
      <c r="AG163" t="str">
        <f t="shared" si="176"/>
        <v>104,9</v>
      </c>
      <c r="AH163" t="str">
        <f t="shared" si="167"/>
        <v>105,5</v>
      </c>
      <c r="AI163" t="str">
        <f t="shared" si="168"/>
        <v>106,3</v>
      </c>
      <c r="AJ163" t="str">
        <f t="shared" si="177"/>
        <v>1,432</v>
      </c>
    </row>
    <row r="164" spans="1:36" x14ac:dyDescent="0.25">
      <c r="A164" s="14">
        <v>19</v>
      </c>
      <c r="B164" s="15">
        <f>IF(关卡产出!C229="","",关卡产出!C229)</f>
        <v>20</v>
      </c>
      <c r="C164" s="15">
        <f>IF(关卡产出!D229="","",关卡产出!D229)</f>
        <v>9</v>
      </c>
      <c r="D164" s="15">
        <f>IF(关卡产出!E229="","",关卡产出!E229)</f>
        <v>5</v>
      </c>
      <c r="E164" s="15">
        <f>IF(关卡产出!F229="","",关卡产出!F229)</f>
        <v>375</v>
      </c>
      <c r="F164" s="15">
        <f>IF(关卡产出!H229="","",关卡产出!H229)</f>
        <v>4650</v>
      </c>
      <c r="G164" s="15">
        <f>IF(关卡产出!J229="","",关卡产出!J229)</f>
        <v>9000</v>
      </c>
      <c r="H164" s="15">
        <f>IF(关卡产出!K229="","",关卡产出!K229)</f>
        <v>6</v>
      </c>
      <c r="I164" s="15">
        <f>IF(关卡产出!M229="","",关卡产出!M229)</f>
        <v>102</v>
      </c>
      <c r="J164" s="15">
        <f>IF(关卡产出!N229="","",关卡产出!N229)</f>
        <v>51</v>
      </c>
      <c r="K164" s="15">
        <f>IF(关卡产出!O229="","",关卡产出!O229)</f>
        <v>21</v>
      </c>
      <c r="L164" s="15">
        <f>IF(关卡产出!P229="","",关卡产出!P229)</f>
        <v>225</v>
      </c>
      <c r="N164" t="str">
        <f t="shared" si="169"/>
        <v>104,20|105,9|106,5|1,375</v>
      </c>
      <c r="P164" t="str">
        <f t="shared" si="170"/>
        <v>1,4650</v>
      </c>
      <c r="Q164" t="str">
        <f t="shared" si="171"/>
        <v>162,1|1,9000|4,6</v>
      </c>
      <c r="R164" t="str">
        <f t="shared" si="172"/>
        <v>104,102|105,51|106,21|3,225</v>
      </c>
      <c r="S164" t="str">
        <f t="shared" si="173"/>
        <v>104,10|105,5|106,3|1,469</v>
      </c>
      <c r="V164" t="str">
        <f t="shared" si="174"/>
        <v>104,20</v>
      </c>
      <c r="W164" t="str">
        <f t="shared" si="161"/>
        <v>105,9</v>
      </c>
      <c r="X164" t="str">
        <f t="shared" si="162"/>
        <v>106,5</v>
      </c>
      <c r="Y164" t="str">
        <f t="shared" si="163"/>
        <v>1,375</v>
      </c>
      <c r="AB164" t="str">
        <f t="shared" si="175"/>
        <v>104,102</v>
      </c>
      <c r="AC164" t="str">
        <f t="shared" si="164"/>
        <v>105,51</v>
      </c>
      <c r="AD164" t="str">
        <f t="shared" si="165"/>
        <v>106,21</v>
      </c>
      <c r="AE164" t="str">
        <f t="shared" si="166"/>
        <v>3,225</v>
      </c>
      <c r="AG164" t="str">
        <f t="shared" si="176"/>
        <v>104,10</v>
      </c>
      <c r="AH164" t="str">
        <f t="shared" si="167"/>
        <v>105,5</v>
      </c>
      <c r="AI164" t="str">
        <f t="shared" si="168"/>
        <v>106,3</v>
      </c>
      <c r="AJ164" t="str">
        <f t="shared" si="177"/>
        <v>1,469</v>
      </c>
    </row>
    <row r="165" spans="1:36" x14ac:dyDescent="0.25">
      <c r="A165" s="14">
        <v>20</v>
      </c>
      <c r="B165" s="15">
        <f>IF(关卡产出!C230="","",关卡产出!C230)</f>
        <v>21</v>
      </c>
      <c r="C165" s="15">
        <f>IF(关卡产出!D230="","",关卡产出!D230)</f>
        <v>11</v>
      </c>
      <c r="D165" s="15">
        <f>IF(关卡产出!E230="","",关卡产出!E230)</f>
        <v>5</v>
      </c>
      <c r="E165" s="15">
        <f>IF(关卡产出!F230="","",关卡产出!F230)</f>
        <v>375</v>
      </c>
      <c r="F165" s="15">
        <f>IF(关卡产出!H230="","",关卡产出!H230)</f>
        <v>4950</v>
      </c>
      <c r="G165" s="15">
        <f>IF(关卡产出!J230="","",关卡产出!J230)</f>
        <v>9600</v>
      </c>
      <c r="H165" s="15">
        <f>IF(关卡产出!K230="","",关卡产出!K230)</f>
        <v>6</v>
      </c>
      <c r="I165" s="15">
        <f>IF(关卡产出!M230="","",关卡产出!M230)</f>
        <v>108</v>
      </c>
      <c r="J165" s="15">
        <f>IF(关卡产出!N230="","",关卡产出!N230)</f>
        <v>54</v>
      </c>
      <c r="K165" s="15">
        <f>IF(关卡产出!O230="","",关卡产出!O230)</f>
        <v>23</v>
      </c>
      <c r="L165" s="15">
        <f>IF(关卡产出!P230="","",关卡产出!P230)</f>
        <v>225</v>
      </c>
      <c r="N165" t="str">
        <f t="shared" si="169"/>
        <v>104,21|105,11|106,5|1,375</v>
      </c>
      <c r="P165" t="str">
        <f t="shared" si="170"/>
        <v>1,4950</v>
      </c>
      <c r="Q165" t="str">
        <f t="shared" si="171"/>
        <v>162,1|1,9600|4,6</v>
      </c>
      <c r="R165" t="str">
        <f t="shared" si="172"/>
        <v>104,108|105,54|106,23|3,225</v>
      </c>
      <c r="S165" t="str">
        <f t="shared" si="173"/>
        <v>104,11|105,6|106,3|1,469</v>
      </c>
      <c r="V165" t="str">
        <f t="shared" si="174"/>
        <v>104,21</v>
      </c>
      <c r="W165" t="str">
        <f t="shared" ref="W165:W183" si="178">IF(C165="","",C$1&amp;","&amp;C165)</f>
        <v>105,11</v>
      </c>
      <c r="X165" t="str">
        <f t="shared" ref="X165:X183" si="179">IF(D165="","",D$1&amp;","&amp;D165)</f>
        <v>106,5</v>
      </c>
      <c r="Y165" t="str">
        <f t="shared" ref="Y165:Y183" si="180">IF(E165="","",E$1&amp;","&amp;E165)</f>
        <v>1,375</v>
      </c>
      <c r="AB165" t="str">
        <f t="shared" si="175"/>
        <v>104,108</v>
      </c>
      <c r="AC165" t="str">
        <f t="shared" ref="AC165:AC183" si="181">IF(J165="","",J$1&amp;","&amp;J165)</f>
        <v>105,54</v>
      </c>
      <c r="AD165" t="str">
        <f t="shared" ref="AD165:AD183" si="182">IF(K165="","",K$1&amp;","&amp;K165)</f>
        <v>106,23</v>
      </c>
      <c r="AE165" t="str">
        <f t="shared" ref="AE165:AE183" si="183">IF(L165="","",L$1&amp;","&amp;L165)</f>
        <v>3,225</v>
      </c>
      <c r="AG165" t="str">
        <f t="shared" si="176"/>
        <v>104,11</v>
      </c>
      <c r="AH165" t="str">
        <f t="shared" ref="AH165:AH183" si="184">IF(C165="","",C$1&amp;","&amp;ROUNDUP(C165/2,0))</f>
        <v>105,6</v>
      </c>
      <c r="AI165" t="str">
        <f t="shared" ref="AI165:AI183" si="185">IF(D165="","",D$1&amp;","&amp;ROUNDUP(D165/2,0))</f>
        <v>106,3</v>
      </c>
      <c r="AJ165" t="str">
        <f t="shared" si="177"/>
        <v>1,469</v>
      </c>
    </row>
    <row r="166" spans="1:36" x14ac:dyDescent="0.25">
      <c r="A166" s="14">
        <v>21</v>
      </c>
      <c r="B166" s="15">
        <f>IF(关卡产出!C231="","",关卡产出!C231)</f>
        <v>23</v>
      </c>
      <c r="C166" s="15">
        <f>IF(关卡产出!D231="","",关卡产出!D231)</f>
        <v>11</v>
      </c>
      <c r="D166" s="15">
        <f>IF(关卡产出!E231="","",关卡产出!E231)</f>
        <v>5</v>
      </c>
      <c r="E166" s="15">
        <f>IF(关卡产出!F231="","",关卡产出!F231)</f>
        <v>405</v>
      </c>
      <c r="F166" s="15">
        <f>IF(关卡产出!H231="","",关卡产出!H231)</f>
        <v>5250</v>
      </c>
      <c r="G166" s="15">
        <f>IF(关卡产出!J231="","",关卡产出!J231)</f>
        <v>10200</v>
      </c>
      <c r="H166" s="15">
        <f>IF(关卡产出!K231="","",关卡产出!K231)</f>
        <v>6</v>
      </c>
      <c r="I166" s="15">
        <f>IF(关卡产出!M231="","",关卡产出!M231)</f>
        <v>114</v>
      </c>
      <c r="J166" s="15">
        <f>IF(关卡产出!N231="","",关卡产出!N231)</f>
        <v>57</v>
      </c>
      <c r="K166" s="15">
        <f>IF(关卡产出!O231="","",关卡产出!O231)</f>
        <v>24</v>
      </c>
      <c r="L166" s="15">
        <f>IF(关卡产出!P231="","",关卡产出!P231)</f>
        <v>300</v>
      </c>
      <c r="N166" t="str">
        <f t="shared" ref="N166:N183" si="186">_xlfn.TEXTJOIN("|",TRUE,V166:Y166)</f>
        <v>104,23|105,11|106,5|1,405</v>
      </c>
      <c r="P166" t="str">
        <f t="shared" si="170"/>
        <v>1,5250</v>
      </c>
      <c r="Q166" t="str">
        <f t="shared" si="171"/>
        <v>162,1|1,10200|4,6</v>
      </c>
      <c r="R166" t="str">
        <f t="shared" ref="R166:R183" si="187">_xlfn.TEXTJOIN("|",TRUE,AB166:AE166)</f>
        <v>104,114|105,57|106,24|3,300</v>
      </c>
      <c r="S166" t="str">
        <f t="shared" ref="S166:S183" si="188">_xlfn.TEXTJOIN("|",TRUE,AG166:AJ166)</f>
        <v>104,12|105,6|106,3|1,507</v>
      </c>
      <c r="V166" t="str">
        <f t="shared" ref="V166:V183" si="189">IF(B166="","",B$1&amp;","&amp;B166)</f>
        <v>104,23</v>
      </c>
      <c r="W166" t="str">
        <f t="shared" si="178"/>
        <v>105,11</v>
      </c>
      <c r="X166" t="str">
        <f t="shared" si="179"/>
        <v>106,5</v>
      </c>
      <c r="Y166" t="str">
        <f t="shared" si="180"/>
        <v>1,405</v>
      </c>
      <c r="AB166" t="str">
        <f t="shared" ref="AB166:AB183" si="190">IF(I166="","",I$1&amp;","&amp;I166)</f>
        <v>104,114</v>
      </c>
      <c r="AC166" t="str">
        <f t="shared" si="181"/>
        <v>105,57</v>
      </c>
      <c r="AD166" t="str">
        <f t="shared" si="182"/>
        <v>106,24</v>
      </c>
      <c r="AE166" t="str">
        <f t="shared" si="183"/>
        <v>3,300</v>
      </c>
      <c r="AG166" t="str">
        <f t="shared" ref="AG166:AG183" si="191">IF(B166="","",B$1&amp;","&amp;ROUNDUP(B166/2,0))</f>
        <v>104,12</v>
      </c>
      <c r="AH166" t="str">
        <f t="shared" si="184"/>
        <v>105,6</v>
      </c>
      <c r="AI166" t="str">
        <f t="shared" si="185"/>
        <v>106,3</v>
      </c>
      <c r="AJ166" t="str">
        <f t="shared" ref="AJ166:AJ183" si="192">IF(E166="","",E$1&amp;","&amp;ROUNDUP(E166/2*2.5,0))</f>
        <v>1,507</v>
      </c>
    </row>
    <row r="167" spans="1:36" x14ac:dyDescent="0.25">
      <c r="A167" s="14">
        <v>22</v>
      </c>
      <c r="B167" s="15">
        <f>IF(关卡产出!C232="","",关卡产出!C232)</f>
        <v>24</v>
      </c>
      <c r="C167" s="15">
        <f>IF(关卡产出!D232="","",关卡产出!D232)</f>
        <v>12</v>
      </c>
      <c r="D167" s="15">
        <f>IF(关卡产出!E232="","",关卡产出!E232)</f>
        <v>5</v>
      </c>
      <c r="E167" s="15">
        <f>IF(关卡产出!F232="","",关卡产出!F232)</f>
        <v>405</v>
      </c>
      <c r="F167" s="15">
        <f>IF(关卡产出!H232="","",关卡产出!H232)</f>
        <v>5550</v>
      </c>
      <c r="G167" s="15">
        <f>IF(关卡产出!J232="","",关卡产出!J232)</f>
        <v>10800</v>
      </c>
      <c r="H167" s="15">
        <f>IF(关卡产出!K232="","",关卡产出!K232)</f>
        <v>6</v>
      </c>
      <c r="I167" s="15">
        <f>IF(关卡产出!M232="","",关卡产出!M232)</f>
        <v>120</v>
      </c>
      <c r="J167" s="15">
        <f>IF(关卡产出!N232="","",关卡产出!N232)</f>
        <v>60</v>
      </c>
      <c r="K167" s="15">
        <f>IF(关卡产出!O232="","",关卡产出!O232)</f>
        <v>26</v>
      </c>
      <c r="L167" s="15">
        <f>IF(关卡产出!P232="","",关卡产出!P232)</f>
        <v>300</v>
      </c>
      <c r="N167" t="str">
        <f t="shared" si="186"/>
        <v>104,24|105,12|106,5|1,405</v>
      </c>
      <c r="P167" t="str">
        <f t="shared" si="170"/>
        <v>1,5550</v>
      </c>
      <c r="Q167" t="str">
        <f t="shared" si="171"/>
        <v>162,1|1,10800|4,6</v>
      </c>
      <c r="R167" t="str">
        <f t="shared" si="187"/>
        <v>104,120|105,60|106,26|3,300</v>
      </c>
      <c r="S167" t="str">
        <f t="shared" si="188"/>
        <v>104,12|105,6|106,3|1,507</v>
      </c>
      <c r="V167" t="str">
        <f t="shared" si="189"/>
        <v>104,24</v>
      </c>
      <c r="W167" t="str">
        <f t="shared" si="178"/>
        <v>105,12</v>
      </c>
      <c r="X167" t="str">
        <f t="shared" si="179"/>
        <v>106,5</v>
      </c>
      <c r="Y167" t="str">
        <f t="shared" si="180"/>
        <v>1,405</v>
      </c>
      <c r="AB167" t="str">
        <f t="shared" si="190"/>
        <v>104,120</v>
      </c>
      <c r="AC167" t="str">
        <f t="shared" si="181"/>
        <v>105,60</v>
      </c>
      <c r="AD167" t="str">
        <f t="shared" si="182"/>
        <v>106,26</v>
      </c>
      <c r="AE167" t="str">
        <f t="shared" si="183"/>
        <v>3,300</v>
      </c>
      <c r="AG167" t="str">
        <f t="shared" si="191"/>
        <v>104,12</v>
      </c>
      <c r="AH167" t="str">
        <f t="shared" si="184"/>
        <v>105,6</v>
      </c>
      <c r="AI167" t="str">
        <f t="shared" si="185"/>
        <v>106,3</v>
      </c>
      <c r="AJ167" t="str">
        <f t="shared" si="192"/>
        <v>1,507</v>
      </c>
    </row>
    <row r="168" spans="1:36" x14ac:dyDescent="0.25">
      <c r="A168" s="14">
        <v>23</v>
      </c>
      <c r="B168" s="15">
        <f>IF(关卡产出!C233="","",关卡产出!C233)</f>
        <v>26</v>
      </c>
      <c r="C168" s="15">
        <f>IF(关卡产出!D233="","",关卡产出!D233)</f>
        <v>12</v>
      </c>
      <c r="D168" s="15">
        <f>IF(关卡产出!E233="","",关卡产出!E233)</f>
        <v>6</v>
      </c>
      <c r="E168" s="15">
        <f>IF(关卡产出!F233="","",关卡产出!F233)</f>
        <v>435</v>
      </c>
      <c r="F168" s="15">
        <f>IF(关卡产出!H233="","",关卡产出!H233)</f>
        <v>5850</v>
      </c>
      <c r="G168" s="15">
        <f>IF(关卡产出!J233="","",关卡产出!J233)</f>
        <v>11400</v>
      </c>
      <c r="H168" s="15">
        <f>IF(关卡产出!K233="","",关卡产出!K233)</f>
        <v>6</v>
      </c>
      <c r="I168" s="15">
        <f>IF(关卡产出!M233="","",关卡产出!M233)</f>
        <v>126</v>
      </c>
      <c r="J168" s="15">
        <f>IF(关卡产出!N233="","",关卡产出!N233)</f>
        <v>63</v>
      </c>
      <c r="K168" s="15">
        <f>IF(关卡产出!O233="","",关卡产出!O233)</f>
        <v>27</v>
      </c>
      <c r="L168" s="15">
        <f>IF(关卡产出!P233="","",关卡产出!P233)</f>
        <v>300</v>
      </c>
      <c r="N168" t="str">
        <f t="shared" si="186"/>
        <v>104,26|105,12|106,6|1,435</v>
      </c>
      <c r="P168" t="str">
        <f t="shared" si="170"/>
        <v>1,5850</v>
      </c>
      <c r="Q168" t="str">
        <f t="shared" si="171"/>
        <v>162,1|1,11400|4,6</v>
      </c>
      <c r="R168" t="str">
        <f t="shared" si="187"/>
        <v>104,126|105,63|106,27|3,300</v>
      </c>
      <c r="S168" t="str">
        <f t="shared" si="188"/>
        <v>104,13|105,6|106,3|1,544</v>
      </c>
      <c r="V168" t="str">
        <f t="shared" si="189"/>
        <v>104,26</v>
      </c>
      <c r="W168" t="str">
        <f t="shared" si="178"/>
        <v>105,12</v>
      </c>
      <c r="X168" t="str">
        <f t="shared" si="179"/>
        <v>106,6</v>
      </c>
      <c r="Y168" t="str">
        <f t="shared" si="180"/>
        <v>1,435</v>
      </c>
      <c r="AB168" t="str">
        <f t="shared" si="190"/>
        <v>104,126</v>
      </c>
      <c r="AC168" t="str">
        <f t="shared" si="181"/>
        <v>105,63</v>
      </c>
      <c r="AD168" t="str">
        <f t="shared" si="182"/>
        <v>106,27</v>
      </c>
      <c r="AE168" t="str">
        <f t="shared" si="183"/>
        <v>3,300</v>
      </c>
      <c r="AG168" t="str">
        <f t="shared" si="191"/>
        <v>104,13</v>
      </c>
      <c r="AH168" t="str">
        <f t="shared" si="184"/>
        <v>105,6</v>
      </c>
      <c r="AI168" t="str">
        <f t="shared" si="185"/>
        <v>106,3</v>
      </c>
      <c r="AJ168" t="str">
        <f t="shared" si="192"/>
        <v>1,544</v>
      </c>
    </row>
    <row r="169" spans="1:36" x14ac:dyDescent="0.25">
      <c r="A169" s="14">
        <v>24</v>
      </c>
      <c r="B169" s="15">
        <f>IF(关卡产出!C234="","",关卡产出!C234)</f>
        <v>27</v>
      </c>
      <c r="C169" s="15">
        <f>IF(关卡产出!D234="","",关卡产出!D234)</f>
        <v>14</v>
      </c>
      <c r="D169" s="15">
        <f>IF(关卡产出!E234="","",关卡产出!E234)</f>
        <v>6</v>
      </c>
      <c r="E169" s="15">
        <f>IF(关卡产出!F234="","",关卡产出!F234)</f>
        <v>435</v>
      </c>
      <c r="F169" s="15">
        <f>IF(关卡产出!H234="","",关卡产出!H234)</f>
        <v>6150</v>
      </c>
      <c r="G169" s="15">
        <f>IF(关卡产出!J234="","",关卡产出!J234)</f>
        <v>12000</v>
      </c>
      <c r="H169" s="15">
        <f>IF(关卡产出!K234="","",关卡产出!K234)</f>
        <v>6</v>
      </c>
      <c r="I169" s="15">
        <f>IF(关卡产出!M234="","",关卡产出!M234)</f>
        <v>132</v>
      </c>
      <c r="J169" s="15">
        <f>IF(关卡产出!N234="","",关卡产出!N234)</f>
        <v>66</v>
      </c>
      <c r="K169" s="15">
        <f>IF(关卡产出!O234="","",关卡产出!O234)</f>
        <v>29</v>
      </c>
      <c r="L169" s="15">
        <f>IF(关卡产出!P234="","",关卡产出!P234)</f>
        <v>300</v>
      </c>
      <c r="N169" t="str">
        <f t="shared" si="186"/>
        <v>104,27|105,14|106,6|1,435</v>
      </c>
      <c r="P169" t="str">
        <f t="shared" si="170"/>
        <v>1,6150</v>
      </c>
      <c r="Q169" t="str">
        <f t="shared" si="171"/>
        <v>162,1|1,12000|4,6</v>
      </c>
      <c r="R169" t="str">
        <f t="shared" si="187"/>
        <v>104,132|105,66|106,29|3,300</v>
      </c>
      <c r="S169" t="str">
        <f t="shared" si="188"/>
        <v>104,14|105,7|106,3|1,544</v>
      </c>
      <c r="V169" t="str">
        <f t="shared" si="189"/>
        <v>104,27</v>
      </c>
      <c r="W169" t="str">
        <f t="shared" si="178"/>
        <v>105,14</v>
      </c>
      <c r="X169" t="str">
        <f t="shared" si="179"/>
        <v>106,6</v>
      </c>
      <c r="Y169" t="str">
        <f t="shared" si="180"/>
        <v>1,435</v>
      </c>
      <c r="AB169" t="str">
        <f t="shared" si="190"/>
        <v>104,132</v>
      </c>
      <c r="AC169" t="str">
        <f t="shared" si="181"/>
        <v>105,66</v>
      </c>
      <c r="AD169" t="str">
        <f t="shared" si="182"/>
        <v>106,29</v>
      </c>
      <c r="AE169" t="str">
        <f t="shared" si="183"/>
        <v>3,300</v>
      </c>
      <c r="AG169" t="str">
        <f t="shared" si="191"/>
        <v>104,14</v>
      </c>
      <c r="AH169" t="str">
        <f t="shared" si="184"/>
        <v>105,7</v>
      </c>
      <c r="AI169" t="str">
        <f t="shared" si="185"/>
        <v>106,3</v>
      </c>
      <c r="AJ169" t="str">
        <f t="shared" si="192"/>
        <v>1,544</v>
      </c>
    </row>
    <row r="170" spans="1:36" x14ac:dyDescent="0.25">
      <c r="A170" s="14">
        <v>25</v>
      </c>
      <c r="B170" s="15">
        <f>IF(关卡产出!C235="","",关卡产出!C235)</f>
        <v>27</v>
      </c>
      <c r="C170" s="15">
        <f>IF(关卡产出!D235="","",关卡产出!D235)</f>
        <v>14</v>
      </c>
      <c r="D170" s="15">
        <f>IF(关卡产出!E235="","",关卡产出!E235)</f>
        <v>6</v>
      </c>
      <c r="E170" s="15">
        <f>IF(关卡产出!F235="","",关卡产出!F235)</f>
        <v>465</v>
      </c>
      <c r="F170" s="15">
        <f>IF(关卡产出!H235="","",关卡产出!H235)</f>
        <v>6450</v>
      </c>
      <c r="G170" s="15">
        <f>IF(关卡产出!J235="","",关卡产出!J235)</f>
        <v>12600</v>
      </c>
      <c r="H170" s="15">
        <f>IF(关卡产出!K235="","",关卡产出!K235)</f>
        <v>6</v>
      </c>
      <c r="I170" s="15">
        <f>IF(关卡产出!M235="","",关卡产出!M235)</f>
        <v>138</v>
      </c>
      <c r="J170" s="15">
        <f>IF(关卡产出!N235="","",关卡产出!N235)</f>
        <v>69</v>
      </c>
      <c r="K170" s="15">
        <f>IF(关卡产出!O235="","",关卡产出!O235)</f>
        <v>30</v>
      </c>
      <c r="L170" s="15">
        <f>IF(关卡产出!P235="","",关卡产出!P235)</f>
        <v>300</v>
      </c>
      <c r="N170" t="str">
        <f t="shared" si="186"/>
        <v>104,27|105,14|106,6|1,465</v>
      </c>
      <c r="P170" t="str">
        <f t="shared" si="170"/>
        <v>1,6450</v>
      </c>
      <c r="Q170" t="str">
        <f t="shared" si="171"/>
        <v>162,1|1,12600|4,6</v>
      </c>
      <c r="R170" t="str">
        <f t="shared" si="187"/>
        <v>104,138|105,69|106,30|3,300</v>
      </c>
      <c r="S170" t="str">
        <f t="shared" si="188"/>
        <v>104,14|105,7|106,3|1,582</v>
      </c>
      <c r="V170" t="str">
        <f t="shared" si="189"/>
        <v>104,27</v>
      </c>
      <c r="W170" t="str">
        <f t="shared" si="178"/>
        <v>105,14</v>
      </c>
      <c r="X170" t="str">
        <f t="shared" si="179"/>
        <v>106,6</v>
      </c>
      <c r="Y170" t="str">
        <f t="shared" si="180"/>
        <v>1,465</v>
      </c>
      <c r="AB170" t="str">
        <f t="shared" si="190"/>
        <v>104,138</v>
      </c>
      <c r="AC170" t="str">
        <f t="shared" si="181"/>
        <v>105,69</v>
      </c>
      <c r="AD170" t="str">
        <f t="shared" si="182"/>
        <v>106,30</v>
      </c>
      <c r="AE170" t="str">
        <f t="shared" si="183"/>
        <v>3,300</v>
      </c>
      <c r="AG170" t="str">
        <f t="shared" si="191"/>
        <v>104,14</v>
      </c>
      <c r="AH170" t="str">
        <f t="shared" si="184"/>
        <v>105,7</v>
      </c>
      <c r="AI170" t="str">
        <f t="shared" si="185"/>
        <v>106,3</v>
      </c>
      <c r="AJ170" t="str">
        <f t="shared" si="192"/>
        <v>1,582</v>
      </c>
    </row>
    <row r="171" spans="1:36" x14ac:dyDescent="0.25">
      <c r="A171" s="14">
        <v>26</v>
      </c>
      <c r="B171" s="15">
        <f>IF(关卡产出!C236="","",关卡产出!C236)</f>
        <v>29</v>
      </c>
      <c r="C171" s="15">
        <f>IF(关卡产出!D236="","",关卡产出!D236)</f>
        <v>14</v>
      </c>
      <c r="D171" s="15">
        <f>IF(关卡产出!E236="","",关卡产出!E236)</f>
        <v>6</v>
      </c>
      <c r="E171" s="15">
        <f>IF(关卡产出!F236="","",关卡产出!F236)</f>
        <v>465</v>
      </c>
      <c r="F171" s="15">
        <f>IF(关卡产出!H236="","",关卡产出!H236)</f>
        <v>6750</v>
      </c>
      <c r="G171" s="15">
        <f>IF(关卡产出!J236="","",关卡产出!J236)</f>
        <v>13200</v>
      </c>
      <c r="H171" s="15">
        <f>IF(关卡产出!K236="","",关卡产出!K236)</f>
        <v>6</v>
      </c>
      <c r="I171" s="15">
        <f>IF(关卡产出!M236="","",关卡产出!M236)</f>
        <v>144</v>
      </c>
      <c r="J171" s="15">
        <f>IF(关卡产出!N236="","",关卡产出!N236)</f>
        <v>72</v>
      </c>
      <c r="K171" s="15">
        <f>IF(关卡产出!O236="","",关卡产出!O236)</f>
        <v>32</v>
      </c>
      <c r="L171" s="15">
        <f>IF(关卡产出!P236="","",关卡产出!P236)</f>
        <v>300</v>
      </c>
      <c r="N171" t="str">
        <f t="shared" si="186"/>
        <v>104,29|105,14|106,6|1,465</v>
      </c>
      <c r="P171" t="str">
        <f t="shared" si="170"/>
        <v>1,6750</v>
      </c>
      <c r="Q171" t="str">
        <f t="shared" si="171"/>
        <v>162,1|1,13200|4,6</v>
      </c>
      <c r="R171" t="str">
        <f t="shared" si="187"/>
        <v>104,144|105,72|106,32|3,300</v>
      </c>
      <c r="S171" t="str">
        <f t="shared" si="188"/>
        <v>104,15|105,7|106,3|1,582</v>
      </c>
      <c r="V171" t="str">
        <f t="shared" si="189"/>
        <v>104,29</v>
      </c>
      <c r="W171" t="str">
        <f t="shared" si="178"/>
        <v>105,14</v>
      </c>
      <c r="X171" t="str">
        <f t="shared" si="179"/>
        <v>106,6</v>
      </c>
      <c r="Y171" t="str">
        <f t="shared" si="180"/>
        <v>1,465</v>
      </c>
      <c r="AB171" t="str">
        <f t="shared" si="190"/>
        <v>104,144</v>
      </c>
      <c r="AC171" t="str">
        <f t="shared" si="181"/>
        <v>105,72</v>
      </c>
      <c r="AD171" t="str">
        <f t="shared" si="182"/>
        <v>106,32</v>
      </c>
      <c r="AE171" t="str">
        <f t="shared" si="183"/>
        <v>3,300</v>
      </c>
      <c r="AG171" t="str">
        <f t="shared" si="191"/>
        <v>104,15</v>
      </c>
      <c r="AH171" t="str">
        <f t="shared" si="184"/>
        <v>105,7</v>
      </c>
      <c r="AI171" t="str">
        <f t="shared" si="185"/>
        <v>106,3</v>
      </c>
      <c r="AJ171" t="str">
        <f t="shared" si="192"/>
        <v>1,582</v>
      </c>
    </row>
    <row r="172" spans="1:36" x14ac:dyDescent="0.25">
      <c r="A172" s="14">
        <v>27</v>
      </c>
      <c r="B172" s="15">
        <f>IF(关卡产出!C237="","",关卡产出!C237)</f>
        <v>30</v>
      </c>
      <c r="C172" s="15">
        <f>IF(关卡产出!D237="","",关卡产出!D237)</f>
        <v>15</v>
      </c>
      <c r="D172" s="15">
        <f>IF(关卡产出!E237="","",关卡产出!E237)</f>
        <v>6</v>
      </c>
      <c r="E172" s="15">
        <f>IF(关卡产出!F237="","",关卡产出!F237)</f>
        <v>495</v>
      </c>
      <c r="F172" s="15">
        <f>IF(关卡产出!H237="","",关卡产出!H237)</f>
        <v>7050</v>
      </c>
      <c r="G172" s="15">
        <f>IF(关卡产出!J237="","",关卡产出!J237)</f>
        <v>13800</v>
      </c>
      <c r="H172" s="15">
        <f>IF(关卡产出!K237="","",关卡产出!K237)</f>
        <v>6</v>
      </c>
      <c r="I172" s="15">
        <f>IF(关卡产出!M237="","",关卡产出!M237)</f>
        <v>150</v>
      </c>
      <c r="J172" s="15">
        <f>IF(关卡产出!N237="","",关卡产出!N237)</f>
        <v>75</v>
      </c>
      <c r="K172" s="15">
        <f>IF(关卡产出!O237="","",关卡产出!O237)</f>
        <v>33</v>
      </c>
      <c r="L172" s="15">
        <f>IF(关卡产出!P237="","",关卡产出!P237)</f>
        <v>300</v>
      </c>
      <c r="N172" t="str">
        <f t="shared" si="186"/>
        <v>104,30|105,15|106,6|1,495</v>
      </c>
      <c r="P172" t="str">
        <f t="shared" si="170"/>
        <v>1,7050</v>
      </c>
      <c r="Q172" t="str">
        <f t="shared" si="171"/>
        <v>162,1|1,13800|4,6</v>
      </c>
      <c r="R172" t="str">
        <f t="shared" si="187"/>
        <v>104,150|105,75|106,33|3,300</v>
      </c>
      <c r="S172" t="str">
        <f t="shared" si="188"/>
        <v>104,15|105,8|106,3|1,619</v>
      </c>
      <c r="V172" t="str">
        <f t="shared" si="189"/>
        <v>104,30</v>
      </c>
      <c r="W172" t="str">
        <f t="shared" si="178"/>
        <v>105,15</v>
      </c>
      <c r="X172" t="str">
        <f t="shared" si="179"/>
        <v>106,6</v>
      </c>
      <c r="Y172" t="str">
        <f t="shared" si="180"/>
        <v>1,495</v>
      </c>
      <c r="AB172" t="str">
        <f t="shared" si="190"/>
        <v>104,150</v>
      </c>
      <c r="AC172" t="str">
        <f t="shared" si="181"/>
        <v>105,75</v>
      </c>
      <c r="AD172" t="str">
        <f t="shared" si="182"/>
        <v>106,33</v>
      </c>
      <c r="AE172" t="str">
        <f t="shared" si="183"/>
        <v>3,300</v>
      </c>
      <c r="AG172" t="str">
        <f t="shared" si="191"/>
        <v>104,15</v>
      </c>
      <c r="AH172" t="str">
        <f t="shared" si="184"/>
        <v>105,8</v>
      </c>
      <c r="AI172" t="str">
        <f t="shared" si="185"/>
        <v>106,3</v>
      </c>
      <c r="AJ172" t="str">
        <f t="shared" si="192"/>
        <v>1,619</v>
      </c>
    </row>
    <row r="173" spans="1:36" x14ac:dyDescent="0.25">
      <c r="A173" s="14">
        <v>28</v>
      </c>
      <c r="B173" s="15">
        <f>IF(关卡产出!C238="","",关卡产出!C238)</f>
        <v>32</v>
      </c>
      <c r="C173" s="15">
        <f>IF(关卡产出!D238="","",关卡产出!D238)</f>
        <v>15</v>
      </c>
      <c r="D173" s="15">
        <f>IF(关卡产出!E238="","",关卡产出!E238)</f>
        <v>8</v>
      </c>
      <c r="E173" s="15">
        <f>IF(关卡产出!F238="","",关卡产出!F238)</f>
        <v>495</v>
      </c>
      <c r="F173" s="15">
        <f>IF(关卡产出!H238="","",关卡产出!H238)</f>
        <v>7350</v>
      </c>
      <c r="G173" s="15">
        <f>IF(关卡产出!J238="","",关卡产出!J238)</f>
        <v>14400</v>
      </c>
      <c r="H173" s="15">
        <f>IF(关卡产出!K238="","",关卡产出!K238)</f>
        <v>6</v>
      </c>
      <c r="I173" s="15">
        <f>IF(关卡产出!M238="","",关卡产出!M238)</f>
        <v>156</v>
      </c>
      <c r="J173" s="15">
        <f>IF(关卡产出!N238="","",关卡产出!N238)</f>
        <v>78</v>
      </c>
      <c r="K173" s="15">
        <f>IF(关卡产出!O238="","",关卡产出!O238)</f>
        <v>35</v>
      </c>
      <c r="L173" s="15">
        <f>IF(关卡产出!P238="","",关卡产出!P238)</f>
        <v>300</v>
      </c>
      <c r="N173" t="str">
        <f t="shared" si="186"/>
        <v>104,32|105,15|106,8|1,495</v>
      </c>
      <c r="P173" t="str">
        <f t="shared" si="170"/>
        <v>1,7350</v>
      </c>
      <c r="Q173" t="str">
        <f t="shared" si="171"/>
        <v>162,1|1,14400|4,6</v>
      </c>
      <c r="R173" t="str">
        <f t="shared" si="187"/>
        <v>104,156|105,78|106,35|3,300</v>
      </c>
      <c r="S173" t="str">
        <f t="shared" si="188"/>
        <v>104,16|105,8|106,4|1,619</v>
      </c>
      <c r="V173" t="str">
        <f t="shared" si="189"/>
        <v>104,32</v>
      </c>
      <c r="W173" t="str">
        <f t="shared" si="178"/>
        <v>105,15</v>
      </c>
      <c r="X173" t="str">
        <f t="shared" si="179"/>
        <v>106,8</v>
      </c>
      <c r="Y173" t="str">
        <f t="shared" si="180"/>
        <v>1,495</v>
      </c>
      <c r="AB173" t="str">
        <f t="shared" si="190"/>
        <v>104,156</v>
      </c>
      <c r="AC173" t="str">
        <f t="shared" si="181"/>
        <v>105,78</v>
      </c>
      <c r="AD173" t="str">
        <f t="shared" si="182"/>
        <v>106,35</v>
      </c>
      <c r="AE173" t="str">
        <f t="shared" si="183"/>
        <v>3,300</v>
      </c>
      <c r="AG173" t="str">
        <f t="shared" si="191"/>
        <v>104,16</v>
      </c>
      <c r="AH173" t="str">
        <f t="shared" si="184"/>
        <v>105,8</v>
      </c>
      <c r="AI173" t="str">
        <f t="shared" si="185"/>
        <v>106,4</v>
      </c>
      <c r="AJ173" t="str">
        <f t="shared" si="192"/>
        <v>1,619</v>
      </c>
    </row>
    <row r="174" spans="1:36" s="1" customFormat="1" x14ac:dyDescent="0.25">
      <c r="A174" s="20">
        <v>29</v>
      </c>
      <c r="B174" s="16">
        <f>IF(关卡产出!C239="","",关卡产出!C239)</f>
        <v>33</v>
      </c>
      <c r="C174" s="16">
        <f>IF(关卡产出!D239="","",关卡产出!D239)</f>
        <v>17</v>
      </c>
      <c r="D174" s="16">
        <f>IF(关卡产出!E239="","",关卡产出!E239)</f>
        <v>8</v>
      </c>
      <c r="E174" s="16">
        <f>IF(关卡产出!F239="","",关卡产出!F239)</f>
        <v>525</v>
      </c>
      <c r="F174" s="16">
        <f>IF(关卡产出!H239="","",关卡产出!H239)</f>
        <v>7650</v>
      </c>
      <c r="G174" s="16">
        <f>IF(关卡产出!J239="","",关卡产出!J239)</f>
        <v>15000</v>
      </c>
      <c r="H174" s="16">
        <f>IF(关卡产出!K239="","",关卡产出!K239)</f>
        <v>6</v>
      </c>
      <c r="I174" s="16">
        <f>IF(关卡产出!M239="","",关卡产出!M239)</f>
        <v>162</v>
      </c>
      <c r="J174" s="16">
        <f>IF(关卡产出!N239="","",关卡产出!N239)</f>
        <v>81</v>
      </c>
      <c r="K174" s="16">
        <f>IF(关卡产出!O239="","",关卡产出!O239)</f>
        <v>36</v>
      </c>
      <c r="L174" s="16">
        <f>IF(关卡产出!P239="","",关卡产出!P239)</f>
        <v>300</v>
      </c>
      <c r="N174" s="1" t="str">
        <f t="shared" si="186"/>
        <v>104,33|105,17|106,8|1,525</v>
      </c>
      <c r="P174" t="str">
        <f t="shared" si="170"/>
        <v>1,7650</v>
      </c>
      <c r="Q174" t="str">
        <f t="shared" si="171"/>
        <v>162,1|1,15000|4,6</v>
      </c>
      <c r="R174" s="1" t="str">
        <f t="shared" si="187"/>
        <v>104,162|105,81|106,36|3,300</v>
      </c>
      <c r="S174" s="1" t="str">
        <f t="shared" si="188"/>
        <v>104,17|105,9|106,4|1,657</v>
      </c>
      <c r="V174" s="1" t="str">
        <f t="shared" si="189"/>
        <v>104,33</v>
      </c>
      <c r="W174" s="1" t="str">
        <f t="shared" si="178"/>
        <v>105,17</v>
      </c>
      <c r="X174" s="1" t="str">
        <f t="shared" si="179"/>
        <v>106,8</v>
      </c>
      <c r="Y174" s="1" t="str">
        <f t="shared" si="180"/>
        <v>1,525</v>
      </c>
      <c r="AB174" s="1" t="str">
        <f t="shared" si="190"/>
        <v>104,162</v>
      </c>
      <c r="AC174" s="1" t="str">
        <f t="shared" si="181"/>
        <v>105,81</v>
      </c>
      <c r="AD174" s="1" t="str">
        <f t="shared" si="182"/>
        <v>106,36</v>
      </c>
      <c r="AE174" s="1" t="str">
        <f t="shared" si="183"/>
        <v>3,300</v>
      </c>
      <c r="AG174" s="1" t="str">
        <f t="shared" si="191"/>
        <v>104,17</v>
      </c>
      <c r="AH174" s="1" t="str">
        <f t="shared" si="184"/>
        <v>105,9</v>
      </c>
      <c r="AI174" s="1" t="str">
        <f t="shared" si="185"/>
        <v>106,4</v>
      </c>
      <c r="AJ174" s="1" t="str">
        <f t="shared" si="192"/>
        <v>1,657</v>
      </c>
    </row>
    <row r="175" spans="1:36" x14ac:dyDescent="0.25">
      <c r="A175" s="14">
        <v>30</v>
      </c>
      <c r="B175" s="15">
        <f>IF(关卡产出!C240="","",关卡产出!C240)</f>
        <v>33</v>
      </c>
      <c r="C175" s="15">
        <f>IF(关卡产出!D240="","",关卡产出!D240)</f>
        <v>17</v>
      </c>
      <c r="D175" s="15">
        <f>IF(关卡产出!E240="","",关卡产出!E240)</f>
        <v>8</v>
      </c>
      <c r="E175" s="15">
        <f>IF(关卡产出!F240="","",关卡产出!F240)</f>
        <v>525</v>
      </c>
      <c r="F175" s="15">
        <f>IF(关卡产出!H240="","",关卡产出!H240)</f>
        <v>7950</v>
      </c>
      <c r="G175" s="15">
        <f>IF(关卡产出!J240="","",关卡产出!J240)</f>
        <v>15600</v>
      </c>
      <c r="H175" s="15">
        <f>IF(关卡产出!K240="","",关卡产出!K240)</f>
        <v>6</v>
      </c>
      <c r="I175" s="15">
        <f>IF(关卡产出!M240="","",关卡产出!M240)</f>
        <v>168</v>
      </c>
      <c r="J175" s="15">
        <f>IF(关卡产出!N240="","",关卡产出!N240)</f>
        <v>84</v>
      </c>
      <c r="K175" s="15">
        <f>IF(关卡产出!O240="","",关卡产出!O240)</f>
        <v>38</v>
      </c>
      <c r="L175" s="15">
        <f>IF(关卡产出!P240="","",关卡产出!P240)</f>
        <v>300</v>
      </c>
      <c r="N175" t="str">
        <f t="shared" si="186"/>
        <v>104,33|105,17|106,8|1,525</v>
      </c>
      <c r="P175" t="str">
        <f t="shared" si="170"/>
        <v>1,7950</v>
      </c>
      <c r="Q175" t="str">
        <f t="shared" si="171"/>
        <v>162,1|1,15600|4,6</v>
      </c>
      <c r="R175" t="str">
        <f t="shared" si="187"/>
        <v>104,168|105,84|106,38|3,300</v>
      </c>
      <c r="S175" t="str">
        <f t="shared" si="188"/>
        <v>104,17|105,9|106,4|1,657</v>
      </c>
      <c r="V175" t="str">
        <f t="shared" si="189"/>
        <v>104,33</v>
      </c>
      <c r="W175" t="str">
        <f t="shared" si="178"/>
        <v>105,17</v>
      </c>
      <c r="X175" t="str">
        <f t="shared" si="179"/>
        <v>106,8</v>
      </c>
      <c r="Y175" t="str">
        <f t="shared" si="180"/>
        <v>1,525</v>
      </c>
      <c r="AB175" t="str">
        <f t="shared" si="190"/>
        <v>104,168</v>
      </c>
      <c r="AC175" t="str">
        <f t="shared" si="181"/>
        <v>105,84</v>
      </c>
      <c r="AD175" t="str">
        <f t="shared" si="182"/>
        <v>106,38</v>
      </c>
      <c r="AE175" t="str">
        <f t="shared" si="183"/>
        <v>3,300</v>
      </c>
      <c r="AG175" t="str">
        <f t="shared" si="191"/>
        <v>104,17</v>
      </c>
      <c r="AH175" t="str">
        <f t="shared" si="184"/>
        <v>105,9</v>
      </c>
      <c r="AI175" t="str">
        <f t="shared" si="185"/>
        <v>106,4</v>
      </c>
      <c r="AJ175" t="str">
        <f t="shared" si="192"/>
        <v>1,657</v>
      </c>
    </row>
    <row r="176" spans="1:36" x14ac:dyDescent="0.25">
      <c r="A176" s="14">
        <v>31</v>
      </c>
      <c r="B176" s="15">
        <f>IF(关卡产出!C241="","",关卡产出!C241)</f>
        <v>35</v>
      </c>
      <c r="C176" s="15">
        <f>IF(关卡产出!D241="","",关卡产出!D241)</f>
        <v>17</v>
      </c>
      <c r="D176" s="15">
        <f>IF(关卡产出!E241="","",关卡产出!E241)</f>
        <v>8</v>
      </c>
      <c r="E176" s="15">
        <f>IF(关卡产出!F241="","",关卡产出!F241)</f>
        <v>555</v>
      </c>
      <c r="F176" s="15">
        <f>IF(关卡产出!H241="","",关卡产出!H241)</f>
        <v>8250</v>
      </c>
      <c r="G176" s="15">
        <f>IF(关卡产出!J241="","",关卡产出!J241)</f>
        <v>16200</v>
      </c>
      <c r="H176" s="15">
        <f>IF(关卡产出!K241="","",关卡产出!K241)</f>
        <v>6</v>
      </c>
      <c r="I176" s="15">
        <f>IF(关卡产出!M241="","",关卡产出!M241)</f>
        <v>174</v>
      </c>
      <c r="J176" s="15">
        <f>IF(关卡产出!N241="","",关卡产出!N241)</f>
        <v>87</v>
      </c>
      <c r="K176" s="15">
        <f>IF(关卡产出!O241="","",关卡产出!O241)</f>
        <v>39</v>
      </c>
      <c r="L176" s="15">
        <f>IF(关卡产出!P241="","",关卡产出!P241)</f>
        <v>300</v>
      </c>
      <c r="N176" t="str">
        <f t="shared" si="186"/>
        <v>104,35|105,17|106,8|1,555</v>
      </c>
      <c r="P176" t="str">
        <f t="shared" si="170"/>
        <v>1,8250</v>
      </c>
      <c r="Q176" t="str">
        <f t="shared" si="171"/>
        <v>162,1|1,16200|4,6</v>
      </c>
      <c r="R176" t="str">
        <f t="shared" si="187"/>
        <v>104,174|105,87|106,39|3,300</v>
      </c>
      <c r="S176" t="str">
        <f t="shared" si="188"/>
        <v>104,18|105,9|106,4|1,694</v>
      </c>
      <c r="V176" t="str">
        <f t="shared" si="189"/>
        <v>104,35</v>
      </c>
      <c r="W176" t="str">
        <f t="shared" si="178"/>
        <v>105,17</v>
      </c>
      <c r="X176" t="str">
        <f t="shared" si="179"/>
        <v>106,8</v>
      </c>
      <c r="Y176" t="str">
        <f t="shared" si="180"/>
        <v>1,555</v>
      </c>
      <c r="AB176" t="str">
        <f t="shared" si="190"/>
        <v>104,174</v>
      </c>
      <c r="AC176" t="str">
        <f t="shared" si="181"/>
        <v>105,87</v>
      </c>
      <c r="AD176" t="str">
        <f t="shared" si="182"/>
        <v>106,39</v>
      </c>
      <c r="AE176" t="str">
        <f t="shared" si="183"/>
        <v>3,300</v>
      </c>
      <c r="AG176" t="str">
        <f t="shared" si="191"/>
        <v>104,18</v>
      </c>
      <c r="AH176" t="str">
        <f t="shared" si="184"/>
        <v>105,9</v>
      </c>
      <c r="AI176" t="str">
        <f t="shared" si="185"/>
        <v>106,4</v>
      </c>
      <c r="AJ176" t="str">
        <f t="shared" si="192"/>
        <v>1,694</v>
      </c>
    </row>
    <row r="177" spans="1:36" x14ac:dyDescent="0.25">
      <c r="A177" s="14">
        <v>32</v>
      </c>
      <c r="B177" s="15">
        <f>IF(关卡产出!C242="","",关卡产出!C242)</f>
        <v>36</v>
      </c>
      <c r="C177" s="15">
        <f>IF(关卡产出!D242="","",关卡产出!D242)</f>
        <v>18</v>
      </c>
      <c r="D177" s="15">
        <f>IF(关卡产出!E242="","",关卡产出!E242)</f>
        <v>8</v>
      </c>
      <c r="E177" s="15">
        <f>IF(关卡产出!F242="","",关卡产出!F242)</f>
        <v>555</v>
      </c>
      <c r="F177" s="15">
        <f>IF(关卡产出!H242="","",关卡产出!H242)</f>
        <v>8550</v>
      </c>
      <c r="G177" s="15">
        <f>IF(关卡产出!J242="","",关卡产出!J242)</f>
        <v>16800</v>
      </c>
      <c r="H177" s="15">
        <f>IF(关卡产出!K242="","",关卡产出!K242)</f>
        <v>6</v>
      </c>
      <c r="I177" s="15">
        <f>IF(关卡产出!M242="","",关卡产出!M242)</f>
        <v>180</v>
      </c>
      <c r="J177" s="15">
        <f>IF(关卡产出!N242="","",关卡产出!N242)</f>
        <v>90</v>
      </c>
      <c r="K177" s="15">
        <f>IF(关卡产出!O242="","",关卡产出!O242)</f>
        <v>41</v>
      </c>
      <c r="L177" s="15">
        <f>IF(关卡产出!P242="","",关卡产出!P242)</f>
        <v>300</v>
      </c>
      <c r="N177" t="str">
        <f t="shared" si="186"/>
        <v>104,36|105,18|106,8|1,555</v>
      </c>
      <c r="P177" t="str">
        <f t="shared" si="170"/>
        <v>1,8550</v>
      </c>
      <c r="Q177" t="str">
        <f t="shared" si="171"/>
        <v>162,1|1,16800|4,6</v>
      </c>
      <c r="R177" t="str">
        <f t="shared" si="187"/>
        <v>104,180|105,90|106,41|3,300</v>
      </c>
      <c r="S177" t="str">
        <f t="shared" si="188"/>
        <v>104,18|105,9|106,4|1,694</v>
      </c>
      <c r="V177" t="str">
        <f t="shared" si="189"/>
        <v>104,36</v>
      </c>
      <c r="W177" t="str">
        <f t="shared" si="178"/>
        <v>105,18</v>
      </c>
      <c r="X177" t="str">
        <f t="shared" si="179"/>
        <v>106,8</v>
      </c>
      <c r="Y177" t="str">
        <f t="shared" si="180"/>
        <v>1,555</v>
      </c>
      <c r="AB177" t="str">
        <f t="shared" si="190"/>
        <v>104,180</v>
      </c>
      <c r="AC177" t="str">
        <f t="shared" si="181"/>
        <v>105,90</v>
      </c>
      <c r="AD177" t="str">
        <f t="shared" si="182"/>
        <v>106,41</v>
      </c>
      <c r="AE177" t="str">
        <f t="shared" si="183"/>
        <v>3,300</v>
      </c>
      <c r="AG177" t="str">
        <f t="shared" si="191"/>
        <v>104,18</v>
      </c>
      <c r="AH177" t="str">
        <f t="shared" si="184"/>
        <v>105,9</v>
      </c>
      <c r="AI177" t="str">
        <f t="shared" si="185"/>
        <v>106,4</v>
      </c>
      <c r="AJ177" t="str">
        <f t="shared" si="192"/>
        <v>1,694</v>
      </c>
    </row>
    <row r="178" spans="1:36" x14ac:dyDescent="0.25">
      <c r="A178" s="14">
        <v>33</v>
      </c>
      <c r="B178" s="15">
        <f>IF(关卡产出!C243="","",关卡产出!C243)</f>
        <v>38</v>
      </c>
      <c r="C178" s="15">
        <f>IF(关卡产出!D243="","",关卡产出!D243)</f>
        <v>18</v>
      </c>
      <c r="D178" s="15">
        <f>IF(关卡产出!E243="","",关卡产出!E243)</f>
        <v>9</v>
      </c>
      <c r="E178" s="15">
        <f>IF(关卡产出!F243="","",关卡产出!F243)</f>
        <v>585</v>
      </c>
      <c r="F178" s="15">
        <f>IF(关卡产出!H243="","",关卡产出!H243)</f>
        <v>8850</v>
      </c>
      <c r="G178" s="15">
        <f>IF(关卡产出!J243="","",关卡产出!J243)</f>
        <v>17400</v>
      </c>
      <c r="H178" s="15">
        <f>IF(关卡产出!K243="","",关卡产出!K243)</f>
        <v>6</v>
      </c>
      <c r="I178" s="15">
        <f>IF(关卡产出!M243="","",关卡产出!M243)</f>
        <v>186</v>
      </c>
      <c r="J178" s="15">
        <f>IF(关卡产出!N243="","",关卡产出!N243)</f>
        <v>93</v>
      </c>
      <c r="K178" s="15">
        <f>IF(关卡产出!O243="","",关卡产出!O243)</f>
        <v>42</v>
      </c>
      <c r="L178" s="15">
        <f>IF(关卡产出!P243="","",关卡产出!P243)</f>
        <v>300</v>
      </c>
      <c r="N178" t="str">
        <f t="shared" si="186"/>
        <v>104,38|105,18|106,9|1,585</v>
      </c>
      <c r="P178" t="str">
        <f t="shared" si="170"/>
        <v>1,8850</v>
      </c>
      <c r="Q178" t="str">
        <f t="shared" si="171"/>
        <v>162,1|1,17400|4,6</v>
      </c>
      <c r="R178" t="str">
        <f t="shared" si="187"/>
        <v>104,186|105,93|106,42|3,300</v>
      </c>
      <c r="S178" t="str">
        <f t="shared" si="188"/>
        <v>104,19|105,9|106,5|1,732</v>
      </c>
      <c r="V178" t="str">
        <f t="shared" si="189"/>
        <v>104,38</v>
      </c>
      <c r="W178" t="str">
        <f t="shared" si="178"/>
        <v>105,18</v>
      </c>
      <c r="X178" t="str">
        <f t="shared" si="179"/>
        <v>106,9</v>
      </c>
      <c r="Y178" t="str">
        <f t="shared" si="180"/>
        <v>1,585</v>
      </c>
      <c r="AB178" t="str">
        <f t="shared" si="190"/>
        <v>104,186</v>
      </c>
      <c r="AC178" t="str">
        <f t="shared" si="181"/>
        <v>105,93</v>
      </c>
      <c r="AD178" t="str">
        <f t="shared" si="182"/>
        <v>106,42</v>
      </c>
      <c r="AE178" t="str">
        <f t="shared" si="183"/>
        <v>3,300</v>
      </c>
      <c r="AG178" t="str">
        <f t="shared" si="191"/>
        <v>104,19</v>
      </c>
      <c r="AH178" t="str">
        <f t="shared" si="184"/>
        <v>105,9</v>
      </c>
      <c r="AI178" t="str">
        <f t="shared" si="185"/>
        <v>106,5</v>
      </c>
      <c r="AJ178" t="str">
        <f t="shared" si="192"/>
        <v>1,732</v>
      </c>
    </row>
    <row r="179" spans="1:36" x14ac:dyDescent="0.25">
      <c r="A179" s="14">
        <v>34</v>
      </c>
      <c r="B179" s="15">
        <f>IF(关卡产出!C244="","",关卡产出!C244)</f>
        <v>39</v>
      </c>
      <c r="C179" s="15">
        <f>IF(关卡产出!D244="","",关卡产出!D244)</f>
        <v>20</v>
      </c>
      <c r="D179" s="15">
        <f>IF(关卡产出!E244="","",关卡产出!E244)</f>
        <v>9</v>
      </c>
      <c r="E179" s="15">
        <f>IF(关卡产出!F244="","",关卡产出!F244)</f>
        <v>585</v>
      </c>
      <c r="F179" s="15">
        <f>IF(关卡产出!H244="","",关卡产出!H244)</f>
        <v>9150</v>
      </c>
      <c r="G179" s="15">
        <f>IF(关卡产出!J244="","",关卡产出!J244)</f>
        <v>18000</v>
      </c>
      <c r="H179" s="15">
        <f>IF(关卡产出!K244="","",关卡产出!K244)</f>
        <v>6</v>
      </c>
      <c r="I179" s="15">
        <f>IF(关卡产出!M244="","",关卡产出!M244)</f>
        <v>192</v>
      </c>
      <c r="J179" s="15">
        <f>IF(关卡产出!N244="","",关卡产出!N244)</f>
        <v>96</v>
      </c>
      <c r="K179" s="15">
        <f>IF(关卡产出!O244="","",关卡产出!O244)</f>
        <v>44</v>
      </c>
      <c r="L179" s="15">
        <f>IF(关卡产出!P244="","",关卡产出!P244)</f>
        <v>300</v>
      </c>
      <c r="N179" t="str">
        <f t="shared" si="186"/>
        <v>104,39|105,20|106,9|1,585</v>
      </c>
      <c r="P179" t="str">
        <f t="shared" si="170"/>
        <v>1,9150</v>
      </c>
      <c r="Q179" t="str">
        <f t="shared" si="171"/>
        <v>162,1|1,18000|4,6</v>
      </c>
      <c r="R179" t="str">
        <f t="shared" si="187"/>
        <v>104,192|105,96|106,44|3,300</v>
      </c>
      <c r="S179" t="str">
        <f t="shared" si="188"/>
        <v>104,20|105,10|106,5|1,732</v>
      </c>
      <c r="V179" t="str">
        <f t="shared" si="189"/>
        <v>104,39</v>
      </c>
      <c r="W179" t="str">
        <f t="shared" si="178"/>
        <v>105,20</v>
      </c>
      <c r="X179" t="str">
        <f t="shared" si="179"/>
        <v>106,9</v>
      </c>
      <c r="Y179" t="str">
        <f t="shared" si="180"/>
        <v>1,585</v>
      </c>
      <c r="AB179" t="str">
        <f t="shared" si="190"/>
        <v>104,192</v>
      </c>
      <c r="AC179" t="str">
        <f t="shared" si="181"/>
        <v>105,96</v>
      </c>
      <c r="AD179" t="str">
        <f t="shared" si="182"/>
        <v>106,44</v>
      </c>
      <c r="AE179" t="str">
        <f t="shared" si="183"/>
        <v>3,300</v>
      </c>
      <c r="AG179" t="str">
        <f t="shared" si="191"/>
        <v>104,20</v>
      </c>
      <c r="AH179" t="str">
        <f t="shared" si="184"/>
        <v>105,10</v>
      </c>
      <c r="AI179" t="str">
        <f t="shared" si="185"/>
        <v>106,5</v>
      </c>
      <c r="AJ179" t="str">
        <f t="shared" si="192"/>
        <v>1,732</v>
      </c>
    </row>
    <row r="180" spans="1:36" x14ac:dyDescent="0.25">
      <c r="A180" s="14">
        <v>35</v>
      </c>
      <c r="B180" s="15">
        <f>IF(关卡产出!C245="","",关卡产出!C245)</f>
        <v>39</v>
      </c>
      <c r="C180" s="15">
        <f>IF(关卡产出!D245="","",关卡产出!D245)</f>
        <v>20</v>
      </c>
      <c r="D180" s="15">
        <f>IF(关卡产出!E245="","",关卡产出!E245)</f>
        <v>9</v>
      </c>
      <c r="E180" s="15">
        <f>IF(关卡产出!F245="","",关卡产出!F245)</f>
        <v>615</v>
      </c>
      <c r="F180" s="15">
        <f>IF(关卡产出!H245="","",关卡产出!H245)</f>
        <v>9450</v>
      </c>
      <c r="G180" s="15">
        <f>IF(关卡产出!J245="","",关卡产出!J245)</f>
        <v>18600</v>
      </c>
      <c r="H180" s="15">
        <f>IF(关卡产出!K245="","",关卡产出!K245)</f>
        <v>6</v>
      </c>
      <c r="I180" s="15">
        <f>IF(关卡产出!M245="","",关卡产出!M245)</f>
        <v>198</v>
      </c>
      <c r="J180" s="15">
        <f>IF(关卡产出!N245="","",关卡产出!N245)</f>
        <v>99</v>
      </c>
      <c r="K180" s="15">
        <f>IF(关卡产出!O245="","",关卡产出!O245)</f>
        <v>45</v>
      </c>
      <c r="L180" s="15">
        <f>IF(关卡产出!P245="","",关卡产出!P245)</f>
        <v>300</v>
      </c>
      <c r="N180" t="str">
        <f t="shared" si="186"/>
        <v>104,39|105,20|106,9|1,615</v>
      </c>
      <c r="P180" t="str">
        <f t="shared" si="170"/>
        <v>1,9450</v>
      </c>
      <c r="Q180" t="str">
        <f t="shared" si="171"/>
        <v>162,1|1,18600|4,6</v>
      </c>
      <c r="R180" t="str">
        <f t="shared" si="187"/>
        <v>104,198|105,99|106,45|3,300</v>
      </c>
      <c r="S180" t="str">
        <f t="shared" si="188"/>
        <v>104,20|105,10|106,5|1,769</v>
      </c>
      <c r="V180" t="str">
        <f t="shared" si="189"/>
        <v>104,39</v>
      </c>
      <c r="W180" t="str">
        <f t="shared" si="178"/>
        <v>105,20</v>
      </c>
      <c r="X180" t="str">
        <f t="shared" si="179"/>
        <v>106,9</v>
      </c>
      <c r="Y180" t="str">
        <f t="shared" si="180"/>
        <v>1,615</v>
      </c>
      <c r="AB180" t="str">
        <f t="shared" si="190"/>
        <v>104,198</v>
      </c>
      <c r="AC180" t="str">
        <f t="shared" si="181"/>
        <v>105,99</v>
      </c>
      <c r="AD180" t="str">
        <f t="shared" si="182"/>
        <v>106,45</v>
      </c>
      <c r="AE180" t="str">
        <f t="shared" si="183"/>
        <v>3,300</v>
      </c>
      <c r="AG180" t="str">
        <f t="shared" si="191"/>
        <v>104,20</v>
      </c>
      <c r="AH180" t="str">
        <f t="shared" si="184"/>
        <v>105,10</v>
      </c>
      <c r="AI180" t="str">
        <f t="shared" si="185"/>
        <v>106,5</v>
      </c>
      <c r="AJ180" t="str">
        <f t="shared" si="192"/>
        <v>1,769</v>
      </c>
    </row>
    <row r="181" spans="1:36" x14ac:dyDescent="0.25">
      <c r="A181" s="14">
        <v>36</v>
      </c>
      <c r="B181" s="15">
        <f>IF(关卡产出!C246="","",关卡产出!C246)</f>
        <v>41</v>
      </c>
      <c r="C181" s="15">
        <f>IF(关卡产出!D246="","",关卡产出!D246)</f>
        <v>20</v>
      </c>
      <c r="D181" s="15">
        <f>IF(关卡产出!E246="","",关卡产出!E246)</f>
        <v>9</v>
      </c>
      <c r="E181" s="15">
        <f>IF(关卡产出!F246="","",关卡产出!F246)</f>
        <v>615</v>
      </c>
      <c r="F181" s="15">
        <f>IF(关卡产出!H246="","",关卡产出!H246)</f>
        <v>9750</v>
      </c>
      <c r="G181" s="15">
        <f>IF(关卡产出!J246="","",关卡产出!J246)</f>
        <v>19200</v>
      </c>
      <c r="H181" s="15">
        <f>IF(关卡产出!K246="","",关卡产出!K246)</f>
        <v>6</v>
      </c>
      <c r="I181" s="15">
        <f>IF(关卡产出!M246="","",关卡产出!M246)</f>
        <v>204</v>
      </c>
      <c r="J181" s="15">
        <f>IF(关卡产出!N246="","",关卡产出!N246)</f>
        <v>102</v>
      </c>
      <c r="K181" s="15">
        <f>IF(关卡产出!O246="","",关卡产出!O246)</f>
        <v>47</v>
      </c>
      <c r="L181" s="15">
        <f>IF(关卡产出!P246="","",关卡产出!P246)</f>
        <v>300</v>
      </c>
      <c r="N181" t="str">
        <f t="shared" si="186"/>
        <v>104,41|105,20|106,9|1,615</v>
      </c>
      <c r="P181" t="str">
        <f t="shared" si="170"/>
        <v>1,9750</v>
      </c>
      <c r="Q181" t="str">
        <f t="shared" si="171"/>
        <v>162,1|1,19200|4,6</v>
      </c>
      <c r="R181" t="str">
        <f t="shared" si="187"/>
        <v>104,204|105,102|106,47|3,300</v>
      </c>
      <c r="S181" t="str">
        <f t="shared" si="188"/>
        <v>104,21|105,10|106,5|1,769</v>
      </c>
      <c r="V181" t="str">
        <f t="shared" si="189"/>
        <v>104,41</v>
      </c>
      <c r="W181" t="str">
        <f t="shared" si="178"/>
        <v>105,20</v>
      </c>
      <c r="X181" t="str">
        <f t="shared" si="179"/>
        <v>106,9</v>
      </c>
      <c r="Y181" t="str">
        <f t="shared" si="180"/>
        <v>1,615</v>
      </c>
      <c r="AB181" t="str">
        <f t="shared" si="190"/>
        <v>104,204</v>
      </c>
      <c r="AC181" t="str">
        <f t="shared" si="181"/>
        <v>105,102</v>
      </c>
      <c r="AD181" t="str">
        <f t="shared" si="182"/>
        <v>106,47</v>
      </c>
      <c r="AE181" t="str">
        <f t="shared" si="183"/>
        <v>3,300</v>
      </c>
      <c r="AG181" t="str">
        <f t="shared" si="191"/>
        <v>104,21</v>
      </c>
      <c r="AH181" t="str">
        <f t="shared" si="184"/>
        <v>105,10</v>
      </c>
      <c r="AI181" t="str">
        <f t="shared" si="185"/>
        <v>106,5</v>
      </c>
      <c r="AJ181" t="str">
        <f t="shared" si="192"/>
        <v>1,769</v>
      </c>
    </row>
    <row r="182" spans="1:36" x14ac:dyDescent="0.25">
      <c r="A182" s="14">
        <v>37</v>
      </c>
      <c r="B182" s="15">
        <f>IF(关卡产出!C247="","",关卡产出!C247)</f>
        <v>42</v>
      </c>
      <c r="C182" s="15">
        <f>IF(关卡产出!D247="","",关卡产出!D247)</f>
        <v>21</v>
      </c>
      <c r="D182" s="15">
        <f>IF(关卡产出!E247="","",关卡产出!E247)</f>
        <v>9</v>
      </c>
      <c r="E182" s="15">
        <f>IF(关卡产出!F247="","",关卡产出!F247)</f>
        <v>645</v>
      </c>
      <c r="F182" s="15">
        <f>IF(关卡产出!H247="","",关卡产出!H247)</f>
        <v>10050</v>
      </c>
      <c r="G182" s="15">
        <f>IF(关卡产出!J247="","",关卡产出!J247)</f>
        <v>19800</v>
      </c>
      <c r="H182" s="15">
        <f>IF(关卡产出!K247="","",关卡产出!K247)</f>
        <v>6</v>
      </c>
      <c r="I182" s="15">
        <f>IF(关卡产出!M247="","",关卡产出!M247)</f>
        <v>210</v>
      </c>
      <c r="J182" s="15">
        <f>IF(关卡产出!N247="","",关卡产出!N247)</f>
        <v>105</v>
      </c>
      <c r="K182" s="15">
        <f>IF(关卡产出!O247="","",关卡产出!O247)</f>
        <v>48</v>
      </c>
      <c r="L182" s="15">
        <f>IF(关卡产出!P247="","",关卡产出!P247)</f>
        <v>300</v>
      </c>
      <c r="N182" t="str">
        <f t="shared" si="186"/>
        <v>104,42|105,21|106,9|1,645</v>
      </c>
      <c r="P182" t="str">
        <f t="shared" si="170"/>
        <v>1,10050</v>
      </c>
      <c r="Q182" t="str">
        <f t="shared" si="171"/>
        <v>162,1|1,19800|4,6</v>
      </c>
      <c r="R182" t="str">
        <f t="shared" si="187"/>
        <v>104,210|105,105|106,48|3,300</v>
      </c>
      <c r="S182" t="str">
        <f t="shared" si="188"/>
        <v>104,21|105,11|106,5|1,807</v>
      </c>
      <c r="V182" t="str">
        <f t="shared" si="189"/>
        <v>104,42</v>
      </c>
      <c r="W182" t="str">
        <f t="shared" si="178"/>
        <v>105,21</v>
      </c>
      <c r="X182" t="str">
        <f t="shared" si="179"/>
        <v>106,9</v>
      </c>
      <c r="Y182" t="str">
        <f t="shared" si="180"/>
        <v>1,645</v>
      </c>
      <c r="AB182" t="str">
        <f t="shared" si="190"/>
        <v>104,210</v>
      </c>
      <c r="AC182" t="str">
        <f t="shared" si="181"/>
        <v>105,105</v>
      </c>
      <c r="AD182" t="str">
        <f t="shared" si="182"/>
        <v>106,48</v>
      </c>
      <c r="AE182" t="str">
        <f t="shared" si="183"/>
        <v>3,300</v>
      </c>
      <c r="AG182" t="str">
        <f t="shared" si="191"/>
        <v>104,21</v>
      </c>
      <c r="AH182" t="str">
        <f t="shared" si="184"/>
        <v>105,11</v>
      </c>
      <c r="AI182" t="str">
        <f t="shared" si="185"/>
        <v>106,5</v>
      </c>
      <c r="AJ182" t="str">
        <f t="shared" si="192"/>
        <v>1,807</v>
      </c>
    </row>
    <row r="183" spans="1:36" x14ac:dyDescent="0.25">
      <c r="A183" s="14">
        <v>38</v>
      </c>
      <c r="B183" s="15">
        <f>IF(关卡产出!C248="","",关卡产出!C248)</f>
        <v>44</v>
      </c>
      <c r="C183" s="15">
        <f>IF(关卡产出!D248="","",关卡产出!D248)</f>
        <v>21</v>
      </c>
      <c r="D183" s="15">
        <f>IF(关卡产出!E248="","",关卡产出!E248)</f>
        <v>11</v>
      </c>
      <c r="E183" s="15">
        <f>IF(关卡产出!F248="","",关卡产出!F248)</f>
        <v>645</v>
      </c>
      <c r="F183" s="15">
        <f>IF(关卡产出!H248="","",关卡产出!H248)</f>
        <v>10350</v>
      </c>
      <c r="G183" s="15">
        <f>IF(关卡产出!J248="","",关卡产出!J248)</f>
        <v>20400</v>
      </c>
      <c r="H183" s="15">
        <f>IF(关卡产出!K248="","",关卡产出!K248)</f>
        <v>6</v>
      </c>
      <c r="I183" s="15">
        <f>IF(关卡产出!M248="","",关卡产出!M248)</f>
        <v>216</v>
      </c>
      <c r="J183" s="15">
        <f>IF(关卡产出!N248="","",关卡产出!N248)</f>
        <v>108</v>
      </c>
      <c r="K183" s="15">
        <f>IF(关卡产出!O248="","",关卡产出!O248)</f>
        <v>50</v>
      </c>
      <c r="L183" s="15">
        <f>IF(关卡产出!P248="","",关卡产出!P248)</f>
        <v>300</v>
      </c>
      <c r="N183" t="str">
        <f t="shared" si="186"/>
        <v>104,44|105,21|106,11|1,645</v>
      </c>
      <c r="P183" t="str">
        <f t="shared" si="170"/>
        <v>1,10350</v>
      </c>
      <c r="Q183" t="str">
        <f t="shared" si="171"/>
        <v>162,1|1,20400|4,6</v>
      </c>
      <c r="R183" t="str">
        <f t="shared" si="187"/>
        <v>104,216|105,108|106,50|3,300</v>
      </c>
      <c r="S183" t="str">
        <f t="shared" si="188"/>
        <v>104,22|105,11|106,6|1,807</v>
      </c>
      <c r="V183" t="str">
        <f t="shared" si="189"/>
        <v>104,44</v>
      </c>
      <c r="W183" t="str">
        <f t="shared" si="178"/>
        <v>105,21</v>
      </c>
      <c r="X183" t="str">
        <f t="shared" si="179"/>
        <v>106,11</v>
      </c>
      <c r="Y183" t="str">
        <f t="shared" si="180"/>
        <v>1,645</v>
      </c>
      <c r="AB183" t="str">
        <f t="shared" si="190"/>
        <v>104,216</v>
      </c>
      <c r="AC183" t="str">
        <f t="shared" si="181"/>
        <v>105,108</v>
      </c>
      <c r="AD183" t="str">
        <f t="shared" si="182"/>
        <v>106,50</v>
      </c>
      <c r="AE183" t="str">
        <f t="shared" si="183"/>
        <v>3,300</v>
      </c>
      <c r="AG183" t="str">
        <f t="shared" si="191"/>
        <v>104,22</v>
      </c>
      <c r="AH183" t="str">
        <f t="shared" si="184"/>
        <v>105,11</v>
      </c>
      <c r="AI183" t="str">
        <f t="shared" si="185"/>
        <v>106,6</v>
      </c>
      <c r="AJ183" t="str">
        <f t="shared" si="192"/>
        <v>1,807</v>
      </c>
    </row>
    <row r="184" spans="1:36" x14ac:dyDescent="0.25">
      <c r="A184" s="14">
        <v>39</v>
      </c>
      <c r="B184" s="15">
        <f>IF(关卡产出!C249="","",关卡产出!C249)</f>
        <v>45</v>
      </c>
      <c r="C184" s="15">
        <f>IF(关卡产出!D249="","",关卡产出!D249)</f>
        <v>23</v>
      </c>
      <c r="D184" s="15">
        <f>IF(关卡产出!E249="","",关卡产出!E249)</f>
        <v>11</v>
      </c>
      <c r="E184" s="15">
        <f>IF(关卡产出!F249="","",关卡产出!F249)</f>
        <v>675</v>
      </c>
      <c r="F184" s="15">
        <f>IF(关卡产出!H249="","",关卡产出!H249)</f>
        <v>10650</v>
      </c>
      <c r="G184" s="15">
        <f>IF(关卡产出!J249="","",关卡产出!J249)</f>
        <v>21000</v>
      </c>
      <c r="H184" s="15">
        <f>IF(关卡产出!K249="","",关卡产出!K249)</f>
        <v>6</v>
      </c>
      <c r="I184" s="15">
        <f>IF(关卡产出!M249="","",关卡产出!M249)</f>
        <v>222</v>
      </c>
      <c r="J184" s="15">
        <f>IF(关卡产出!N249="","",关卡产出!N249)</f>
        <v>111</v>
      </c>
      <c r="K184" s="15">
        <f>IF(关卡产出!O249="","",关卡产出!O249)</f>
        <v>51</v>
      </c>
      <c r="L184" s="15">
        <f>IF(关卡产出!P249="","",关卡产出!P249)</f>
        <v>300</v>
      </c>
      <c r="N184" t="str">
        <f t="shared" ref="N184:N194" si="193">_xlfn.TEXTJOIN("|",TRUE,V184:Y184)</f>
        <v>104,45|105,23|106,11|1,675</v>
      </c>
      <c r="P184" t="str">
        <f t="shared" si="170"/>
        <v>1,10650</v>
      </c>
      <c r="Q184" t="str">
        <f t="shared" si="171"/>
        <v>162,1|1,21000|4,6</v>
      </c>
      <c r="R184" t="str">
        <f t="shared" ref="R184:R194" si="194">_xlfn.TEXTJOIN("|",TRUE,AB184:AE184)</f>
        <v>104,222|105,111|106,51|3,300</v>
      </c>
      <c r="S184" t="str">
        <f t="shared" ref="S184:S194" si="195">_xlfn.TEXTJOIN("|",TRUE,AG184:AJ184)</f>
        <v>104,23|105,12|106,6|1,844</v>
      </c>
      <c r="V184" t="str">
        <f t="shared" ref="V184:V194" si="196">IF(B184="","",B$1&amp;","&amp;B184)</f>
        <v>104,45</v>
      </c>
      <c r="W184" t="str">
        <f t="shared" ref="W184:W194" si="197">IF(C184="","",C$1&amp;","&amp;C184)</f>
        <v>105,23</v>
      </c>
      <c r="X184" t="str">
        <f t="shared" ref="X184:X194" si="198">IF(D184="","",D$1&amp;","&amp;D184)</f>
        <v>106,11</v>
      </c>
      <c r="Y184" t="str">
        <f t="shared" ref="Y184:Y194" si="199">IF(E184="","",E$1&amp;","&amp;E184)</f>
        <v>1,675</v>
      </c>
      <c r="AB184" t="str">
        <f t="shared" ref="AB184:AB194" si="200">IF(I184="","",I$1&amp;","&amp;I184)</f>
        <v>104,222</v>
      </c>
      <c r="AC184" t="str">
        <f t="shared" ref="AC184:AC194" si="201">IF(J184="","",J$1&amp;","&amp;J184)</f>
        <v>105,111</v>
      </c>
      <c r="AD184" t="str">
        <f t="shared" ref="AD184:AD194" si="202">IF(K184="","",K$1&amp;","&amp;K184)</f>
        <v>106,51</v>
      </c>
      <c r="AE184" t="str">
        <f t="shared" ref="AE184:AE194" si="203">IF(L184="","",L$1&amp;","&amp;L184)</f>
        <v>3,300</v>
      </c>
      <c r="AG184" t="str">
        <f t="shared" ref="AG184:AG194" si="204">IF(B184="","",B$1&amp;","&amp;ROUNDUP(B184/2,0))</f>
        <v>104,23</v>
      </c>
      <c r="AH184" t="str">
        <f t="shared" ref="AH184:AH194" si="205">IF(C184="","",C$1&amp;","&amp;ROUNDUP(C184/2,0))</f>
        <v>105,12</v>
      </c>
      <c r="AI184" t="str">
        <f t="shared" ref="AI184:AI194" si="206">IF(D184="","",D$1&amp;","&amp;ROUNDUP(D184/2,0))</f>
        <v>106,6</v>
      </c>
      <c r="AJ184" t="str">
        <f t="shared" ref="AJ184:AJ194" si="207">IF(E184="","",E$1&amp;","&amp;ROUNDUP(E184/2*2.5,0))</f>
        <v>1,844</v>
      </c>
    </row>
    <row r="185" spans="1:36" s="1" customFormat="1" x14ac:dyDescent="0.25">
      <c r="A185" s="14">
        <v>40</v>
      </c>
      <c r="B185" s="16">
        <f>IF(关卡产出!C250="","",关卡产出!C250)</f>
        <v>45</v>
      </c>
      <c r="C185" s="16">
        <f>IF(关卡产出!D250="","",关卡产出!D250)</f>
        <v>23</v>
      </c>
      <c r="D185" s="16">
        <f>IF(关卡产出!E250="","",关卡产出!E250)</f>
        <v>11</v>
      </c>
      <c r="E185" s="16">
        <f>IF(关卡产出!F250="","",关卡产出!F250)</f>
        <v>675</v>
      </c>
      <c r="F185" s="16">
        <f>IF(关卡产出!H250="","",关卡产出!H250)</f>
        <v>10950</v>
      </c>
      <c r="G185" s="16">
        <f>IF(关卡产出!J250="","",关卡产出!J250)</f>
        <v>21600</v>
      </c>
      <c r="H185" s="16">
        <f>IF(关卡产出!K250="","",关卡产出!K250)</f>
        <v>6</v>
      </c>
      <c r="I185" s="16">
        <f>IF(关卡产出!M250="","",关卡产出!M250)</f>
        <v>228</v>
      </c>
      <c r="J185" s="16">
        <f>IF(关卡产出!N250="","",关卡产出!N250)</f>
        <v>114</v>
      </c>
      <c r="K185" s="16">
        <f>IF(关卡产出!O250="","",关卡产出!O250)</f>
        <v>53</v>
      </c>
      <c r="L185" s="16">
        <f>IF(关卡产出!P250="","",关卡产出!P250)</f>
        <v>300</v>
      </c>
      <c r="N185" s="1" t="str">
        <f t="shared" si="193"/>
        <v>104,45|105,23|106,11|1,675</v>
      </c>
      <c r="P185" t="str">
        <f t="shared" si="170"/>
        <v>1,10950</v>
      </c>
      <c r="Q185" t="str">
        <f t="shared" si="171"/>
        <v>162,1|1,21600|4,6</v>
      </c>
      <c r="R185" s="1" t="str">
        <f t="shared" si="194"/>
        <v>104,228|105,114|106,53|3,300</v>
      </c>
      <c r="S185" s="1" t="str">
        <f t="shared" si="195"/>
        <v>104,23|105,12|106,6|1,844</v>
      </c>
      <c r="V185" s="1" t="str">
        <f t="shared" si="196"/>
        <v>104,45</v>
      </c>
      <c r="W185" s="1" t="str">
        <f t="shared" si="197"/>
        <v>105,23</v>
      </c>
      <c r="X185" s="1" t="str">
        <f t="shared" si="198"/>
        <v>106,11</v>
      </c>
      <c r="Y185" s="1" t="str">
        <f t="shared" si="199"/>
        <v>1,675</v>
      </c>
      <c r="AB185" s="1" t="str">
        <f t="shared" si="200"/>
        <v>104,228</v>
      </c>
      <c r="AC185" s="1" t="str">
        <f t="shared" si="201"/>
        <v>105,114</v>
      </c>
      <c r="AD185" s="1" t="str">
        <f t="shared" si="202"/>
        <v>106,53</v>
      </c>
      <c r="AE185" s="1" t="str">
        <f t="shared" si="203"/>
        <v>3,300</v>
      </c>
      <c r="AG185" s="1" t="str">
        <f t="shared" si="204"/>
        <v>104,23</v>
      </c>
      <c r="AH185" s="1" t="str">
        <f t="shared" si="205"/>
        <v>105,12</v>
      </c>
      <c r="AI185" s="1" t="str">
        <f t="shared" si="206"/>
        <v>106,6</v>
      </c>
      <c r="AJ185" s="1" t="str">
        <f t="shared" si="207"/>
        <v>1,844</v>
      </c>
    </row>
    <row r="186" spans="1:36" x14ac:dyDescent="0.25">
      <c r="A186" s="14">
        <v>41</v>
      </c>
      <c r="B186" s="15">
        <f>IF(关卡产出!C251="","",关卡产出!C251)</f>
        <v>47</v>
      </c>
      <c r="C186" s="15">
        <f>IF(关卡产出!D251="","",关卡产出!D251)</f>
        <v>23</v>
      </c>
      <c r="D186" s="15">
        <f>IF(关卡产出!E251="","",关卡产出!E251)</f>
        <v>11</v>
      </c>
      <c r="E186" s="15">
        <f>IF(关卡产出!F251="","",关卡产出!F251)</f>
        <v>705</v>
      </c>
      <c r="F186" s="15">
        <f>IF(关卡产出!H251="","",关卡产出!H251)</f>
        <v>11250</v>
      </c>
      <c r="G186" s="15">
        <f>IF(关卡产出!J251="","",关卡产出!J251)</f>
        <v>22200</v>
      </c>
      <c r="H186" s="15">
        <f>IF(关卡产出!K251="","",关卡产出!K251)</f>
        <v>6</v>
      </c>
      <c r="I186" s="15">
        <f>IF(关卡产出!M251="","",关卡产出!M251)</f>
        <v>234</v>
      </c>
      <c r="J186" s="15">
        <f>IF(关卡产出!N251="","",关卡产出!N251)</f>
        <v>117</v>
      </c>
      <c r="K186" s="15">
        <f>IF(关卡产出!O251="","",关卡产出!O251)</f>
        <v>54</v>
      </c>
      <c r="L186" s="15">
        <f>IF(关卡产出!P251="","",关卡产出!P251)</f>
        <v>300</v>
      </c>
      <c r="N186" t="str">
        <f t="shared" si="193"/>
        <v>104,47|105,23|106,11|1,705</v>
      </c>
      <c r="P186" t="str">
        <f t="shared" si="170"/>
        <v>1,11250</v>
      </c>
      <c r="Q186" t="str">
        <f t="shared" si="171"/>
        <v>162,1|1,22200|4,6</v>
      </c>
      <c r="R186" t="str">
        <f t="shared" si="194"/>
        <v>104,234|105,117|106,54|3,300</v>
      </c>
      <c r="S186" t="str">
        <f t="shared" si="195"/>
        <v>104,24|105,12|106,6|1,882</v>
      </c>
      <c r="V186" t="str">
        <f t="shared" si="196"/>
        <v>104,47</v>
      </c>
      <c r="W186" t="str">
        <f t="shared" si="197"/>
        <v>105,23</v>
      </c>
      <c r="X186" t="str">
        <f t="shared" si="198"/>
        <v>106,11</v>
      </c>
      <c r="Y186" t="str">
        <f t="shared" si="199"/>
        <v>1,705</v>
      </c>
      <c r="AB186" t="str">
        <f t="shared" si="200"/>
        <v>104,234</v>
      </c>
      <c r="AC186" t="str">
        <f t="shared" si="201"/>
        <v>105,117</v>
      </c>
      <c r="AD186" t="str">
        <f t="shared" si="202"/>
        <v>106,54</v>
      </c>
      <c r="AE186" t="str">
        <f t="shared" si="203"/>
        <v>3,300</v>
      </c>
      <c r="AG186" t="str">
        <f t="shared" si="204"/>
        <v>104,24</v>
      </c>
      <c r="AH186" t="str">
        <f t="shared" si="205"/>
        <v>105,12</v>
      </c>
      <c r="AI186" t="str">
        <f t="shared" si="206"/>
        <v>106,6</v>
      </c>
      <c r="AJ186" t="str">
        <f t="shared" si="207"/>
        <v>1,882</v>
      </c>
    </row>
    <row r="187" spans="1:36" x14ac:dyDescent="0.25">
      <c r="A187" s="14">
        <v>42</v>
      </c>
      <c r="B187" s="15">
        <f>IF(关卡产出!C252="","",关卡产出!C252)</f>
        <v>48</v>
      </c>
      <c r="C187" s="15">
        <f>IF(关卡产出!D252="","",关卡产出!D252)</f>
        <v>24</v>
      </c>
      <c r="D187" s="15">
        <f>IF(关卡产出!E252="","",关卡产出!E252)</f>
        <v>11</v>
      </c>
      <c r="E187" s="15">
        <f>IF(关卡产出!F252="","",关卡产出!F252)</f>
        <v>705</v>
      </c>
      <c r="F187" s="15">
        <f>IF(关卡产出!H252="","",关卡产出!H252)</f>
        <v>11550</v>
      </c>
      <c r="G187" s="15">
        <f>IF(关卡产出!J252="","",关卡产出!J252)</f>
        <v>22800</v>
      </c>
      <c r="H187" s="15">
        <f>IF(关卡产出!K252="","",关卡产出!K252)</f>
        <v>6</v>
      </c>
      <c r="I187" s="15">
        <f>IF(关卡产出!M252="","",关卡产出!M252)</f>
        <v>240</v>
      </c>
      <c r="J187" s="15">
        <f>IF(关卡产出!N252="","",关卡产出!N252)</f>
        <v>120</v>
      </c>
      <c r="K187" s="15">
        <f>IF(关卡产出!O252="","",关卡产出!O252)</f>
        <v>56</v>
      </c>
      <c r="L187" s="15">
        <f>IF(关卡产出!P252="","",关卡产出!P252)</f>
        <v>300</v>
      </c>
      <c r="N187" t="str">
        <f t="shared" si="193"/>
        <v>104,48|105,24|106,11|1,705</v>
      </c>
      <c r="P187" t="str">
        <f t="shared" si="170"/>
        <v>1,11550</v>
      </c>
      <c r="Q187" t="str">
        <f t="shared" si="171"/>
        <v>162,1|1,22800|4,6</v>
      </c>
      <c r="R187" t="str">
        <f t="shared" si="194"/>
        <v>104,240|105,120|106,56|3,300</v>
      </c>
      <c r="S187" t="str">
        <f t="shared" si="195"/>
        <v>104,24|105,12|106,6|1,882</v>
      </c>
      <c r="V187" t="str">
        <f t="shared" si="196"/>
        <v>104,48</v>
      </c>
      <c r="W187" t="str">
        <f t="shared" si="197"/>
        <v>105,24</v>
      </c>
      <c r="X187" t="str">
        <f t="shared" si="198"/>
        <v>106,11</v>
      </c>
      <c r="Y187" t="str">
        <f t="shared" si="199"/>
        <v>1,705</v>
      </c>
      <c r="AB187" t="str">
        <f t="shared" si="200"/>
        <v>104,240</v>
      </c>
      <c r="AC187" t="str">
        <f t="shared" si="201"/>
        <v>105,120</v>
      </c>
      <c r="AD187" t="str">
        <f t="shared" si="202"/>
        <v>106,56</v>
      </c>
      <c r="AE187" t="str">
        <f t="shared" si="203"/>
        <v>3,300</v>
      </c>
      <c r="AG187" t="str">
        <f t="shared" si="204"/>
        <v>104,24</v>
      </c>
      <c r="AH187" t="str">
        <f t="shared" si="205"/>
        <v>105,12</v>
      </c>
      <c r="AI187" t="str">
        <f t="shared" si="206"/>
        <v>106,6</v>
      </c>
      <c r="AJ187" t="str">
        <f t="shared" si="207"/>
        <v>1,882</v>
      </c>
    </row>
    <row r="188" spans="1:36" x14ac:dyDescent="0.25">
      <c r="A188" s="14">
        <v>43</v>
      </c>
      <c r="B188" s="15">
        <f>IF(关卡产出!C253="","",关卡产出!C253)</f>
        <v>50</v>
      </c>
      <c r="C188" s="15">
        <f>IF(关卡产出!D253="","",关卡产出!D253)</f>
        <v>24</v>
      </c>
      <c r="D188" s="15">
        <f>IF(关卡产出!E253="","",关卡产出!E253)</f>
        <v>12</v>
      </c>
      <c r="E188" s="15">
        <f>IF(关卡产出!F253="","",关卡产出!F253)</f>
        <v>735</v>
      </c>
      <c r="F188" s="15">
        <f>IF(关卡产出!H253="","",关卡产出!H253)</f>
        <v>11850</v>
      </c>
      <c r="G188" s="15">
        <f>IF(关卡产出!J253="","",关卡产出!J253)</f>
        <v>23400</v>
      </c>
      <c r="H188" s="15">
        <f>IF(关卡产出!K253="","",关卡产出!K253)</f>
        <v>6</v>
      </c>
      <c r="I188" s="15">
        <f>IF(关卡产出!M253="","",关卡产出!M253)</f>
        <v>246</v>
      </c>
      <c r="J188" s="15">
        <f>IF(关卡产出!N253="","",关卡产出!N253)</f>
        <v>123</v>
      </c>
      <c r="K188" s="15">
        <f>IF(关卡产出!O253="","",关卡产出!O253)</f>
        <v>57</v>
      </c>
      <c r="L188" s="15">
        <f>IF(关卡产出!P253="","",关卡产出!P253)</f>
        <v>300</v>
      </c>
      <c r="N188" t="str">
        <f t="shared" si="193"/>
        <v>104,50|105,24|106,12|1,735</v>
      </c>
      <c r="P188" t="str">
        <f t="shared" si="170"/>
        <v>1,11850</v>
      </c>
      <c r="Q188" t="str">
        <f t="shared" si="171"/>
        <v>162,1|1,23400|4,6</v>
      </c>
      <c r="R188" t="str">
        <f t="shared" si="194"/>
        <v>104,246|105,123|106,57|3,300</v>
      </c>
      <c r="S188" t="str">
        <f t="shared" si="195"/>
        <v>104,25|105,12|106,6|1,919</v>
      </c>
      <c r="V188" t="str">
        <f t="shared" si="196"/>
        <v>104,50</v>
      </c>
      <c r="W188" t="str">
        <f t="shared" si="197"/>
        <v>105,24</v>
      </c>
      <c r="X188" t="str">
        <f t="shared" si="198"/>
        <v>106,12</v>
      </c>
      <c r="Y188" t="str">
        <f t="shared" si="199"/>
        <v>1,735</v>
      </c>
      <c r="AB188" t="str">
        <f t="shared" si="200"/>
        <v>104,246</v>
      </c>
      <c r="AC188" t="str">
        <f t="shared" si="201"/>
        <v>105,123</v>
      </c>
      <c r="AD188" t="str">
        <f t="shared" si="202"/>
        <v>106,57</v>
      </c>
      <c r="AE188" t="str">
        <f t="shared" si="203"/>
        <v>3,300</v>
      </c>
      <c r="AG188" t="str">
        <f t="shared" si="204"/>
        <v>104,25</v>
      </c>
      <c r="AH188" t="str">
        <f t="shared" si="205"/>
        <v>105,12</v>
      </c>
      <c r="AI188" t="str">
        <f t="shared" si="206"/>
        <v>106,6</v>
      </c>
      <c r="AJ188" t="str">
        <f t="shared" si="207"/>
        <v>1,919</v>
      </c>
    </row>
    <row r="189" spans="1:36" x14ac:dyDescent="0.25">
      <c r="A189" s="14">
        <v>44</v>
      </c>
      <c r="B189" s="15">
        <f>IF(关卡产出!C254="","",关卡产出!C254)</f>
        <v>51</v>
      </c>
      <c r="C189" s="15">
        <f>IF(关卡产出!D254="","",关卡产出!D254)</f>
        <v>26</v>
      </c>
      <c r="D189" s="15">
        <f>IF(关卡产出!E254="","",关卡产出!E254)</f>
        <v>12</v>
      </c>
      <c r="E189" s="15">
        <f>IF(关卡产出!F254="","",关卡产出!F254)</f>
        <v>735</v>
      </c>
      <c r="F189" s="15">
        <f>IF(关卡产出!H254="","",关卡产出!H254)</f>
        <v>12150</v>
      </c>
      <c r="G189" s="15">
        <f>IF(关卡产出!J254="","",关卡产出!J254)</f>
        <v>24000</v>
      </c>
      <c r="H189" s="15">
        <f>IF(关卡产出!K254="","",关卡产出!K254)</f>
        <v>6</v>
      </c>
      <c r="I189" s="15">
        <f>IF(关卡产出!M254="","",关卡产出!M254)</f>
        <v>252</v>
      </c>
      <c r="J189" s="15">
        <f>IF(关卡产出!N254="","",关卡产出!N254)</f>
        <v>126</v>
      </c>
      <c r="K189" s="15">
        <f>IF(关卡产出!O254="","",关卡产出!O254)</f>
        <v>59</v>
      </c>
      <c r="L189" s="15">
        <f>IF(关卡产出!P254="","",关卡产出!P254)</f>
        <v>300</v>
      </c>
      <c r="N189" t="str">
        <f t="shared" si="193"/>
        <v>104,51|105,26|106,12|1,735</v>
      </c>
      <c r="P189" t="str">
        <f t="shared" si="170"/>
        <v>1,12150</v>
      </c>
      <c r="Q189" t="str">
        <f t="shared" si="171"/>
        <v>162,1|1,24000|4,6</v>
      </c>
      <c r="R189" t="str">
        <f t="shared" si="194"/>
        <v>104,252|105,126|106,59|3,300</v>
      </c>
      <c r="S189" t="str">
        <f t="shared" si="195"/>
        <v>104,26|105,13|106,6|1,919</v>
      </c>
      <c r="V189" t="str">
        <f t="shared" si="196"/>
        <v>104,51</v>
      </c>
      <c r="W189" t="str">
        <f t="shared" si="197"/>
        <v>105,26</v>
      </c>
      <c r="X189" t="str">
        <f t="shared" si="198"/>
        <v>106,12</v>
      </c>
      <c r="Y189" t="str">
        <f t="shared" si="199"/>
        <v>1,735</v>
      </c>
      <c r="AB189" t="str">
        <f t="shared" si="200"/>
        <v>104,252</v>
      </c>
      <c r="AC189" t="str">
        <f t="shared" si="201"/>
        <v>105,126</v>
      </c>
      <c r="AD189" t="str">
        <f t="shared" si="202"/>
        <v>106,59</v>
      </c>
      <c r="AE189" t="str">
        <f t="shared" si="203"/>
        <v>3,300</v>
      </c>
      <c r="AG189" t="str">
        <f t="shared" si="204"/>
        <v>104,26</v>
      </c>
      <c r="AH189" t="str">
        <f t="shared" si="205"/>
        <v>105,13</v>
      </c>
      <c r="AI189" t="str">
        <f t="shared" si="206"/>
        <v>106,6</v>
      </c>
      <c r="AJ189" t="str">
        <f t="shared" si="207"/>
        <v>1,919</v>
      </c>
    </row>
    <row r="190" spans="1:36" x14ac:dyDescent="0.25">
      <c r="A190" s="14">
        <v>45</v>
      </c>
      <c r="B190" s="15">
        <f>IF(关卡产出!C255="","",关卡产出!C255)</f>
        <v>51</v>
      </c>
      <c r="C190" s="15">
        <f>IF(关卡产出!D255="","",关卡产出!D255)</f>
        <v>26</v>
      </c>
      <c r="D190" s="15">
        <f>IF(关卡产出!E255="","",关卡产出!E255)</f>
        <v>12</v>
      </c>
      <c r="E190" s="15">
        <f>IF(关卡产出!F255="","",关卡产出!F255)</f>
        <v>765</v>
      </c>
      <c r="F190" s="15">
        <f>IF(关卡产出!H255="","",关卡产出!H255)</f>
        <v>12450</v>
      </c>
      <c r="G190" s="15">
        <f>IF(关卡产出!J255="","",关卡产出!J255)</f>
        <v>24600</v>
      </c>
      <c r="H190" s="15">
        <f>IF(关卡产出!K255="","",关卡产出!K255)</f>
        <v>6</v>
      </c>
      <c r="I190" s="15">
        <f>IF(关卡产出!M255="","",关卡产出!M255)</f>
        <v>258</v>
      </c>
      <c r="J190" s="15">
        <f>IF(关卡产出!N255="","",关卡产出!N255)</f>
        <v>129</v>
      </c>
      <c r="K190" s="15">
        <f>IF(关卡产出!O255="","",关卡产出!O255)</f>
        <v>60</v>
      </c>
      <c r="L190" s="15">
        <f>IF(关卡产出!P255="","",关卡产出!P255)</f>
        <v>300</v>
      </c>
      <c r="N190" t="str">
        <f t="shared" si="193"/>
        <v>104,51|105,26|106,12|1,765</v>
      </c>
      <c r="P190" t="str">
        <f t="shared" si="170"/>
        <v>1,12450</v>
      </c>
      <c r="Q190" t="str">
        <f t="shared" si="171"/>
        <v>162,1|1,24600|4,6</v>
      </c>
      <c r="R190" t="str">
        <f t="shared" si="194"/>
        <v>104,258|105,129|106,60|3,300</v>
      </c>
      <c r="S190" t="str">
        <f t="shared" si="195"/>
        <v>104,26|105,13|106,6|1,957</v>
      </c>
      <c r="V190" t="str">
        <f t="shared" si="196"/>
        <v>104,51</v>
      </c>
      <c r="W190" t="str">
        <f t="shared" si="197"/>
        <v>105,26</v>
      </c>
      <c r="X190" t="str">
        <f t="shared" si="198"/>
        <v>106,12</v>
      </c>
      <c r="Y190" t="str">
        <f t="shared" si="199"/>
        <v>1,765</v>
      </c>
      <c r="AB190" t="str">
        <f t="shared" si="200"/>
        <v>104,258</v>
      </c>
      <c r="AC190" t="str">
        <f t="shared" si="201"/>
        <v>105,129</v>
      </c>
      <c r="AD190" t="str">
        <f t="shared" si="202"/>
        <v>106,60</v>
      </c>
      <c r="AE190" t="str">
        <f t="shared" si="203"/>
        <v>3,300</v>
      </c>
      <c r="AG190" t="str">
        <f t="shared" si="204"/>
        <v>104,26</v>
      </c>
      <c r="AH190" t="str">
        <f t="shared" si="205"/>
        <v>105,13</v>
      </c>
      <c r="AI190" t="str">
        <f t="shared" si="206"/>
        <v>106,6</v>
      </c>
      <c r="AJ190" t="str">
        <f t="shared" si="207"/>
        <v>1,957</v>
      </c>
    </row>
    <row r="191" spans="1:36" x14ac:dyDescent="0.25">
      <c r="A191" s="14">
        <v>46</v>
      </c>
      <c r="B191" s="15">
        <f>IF(关卡产出!C256="","",关卡产出!C256)</f>
        <v>53</v>
      </c>
      <c r="C191" s="15">
        <f>IF(关卡产出!D256="","",关卡产出!D256)</f>
        <v>26</v>
      </c>
      <c r="D191" s="15">
        <f>IF(关卡产出!E256="","",关卡产出!E256)</f>
        <v>12</v>
      </c>
      <c r="E191" s="15">
        <f>IF(关卡产出!F256="","",关卡产出!F256)</f>
        <v>765</v>
      </c>
      <c r="F191" s="15">
        <f>IF(关卡产出!H256="","",关卡产出!H256)</f>
        <v>12750</v>
      </c>
      <c r="G191" s="15">
        <f>IF(关卡产出!J256="","",关卡产出!J256)</f>
        <v>25200</v>
      </c>
      <c r="H191" s="15">
        <f>IF(关卡产出!K256="","",关卡产出!K256)</f>
        <v>6</v>
      </c>
      <c r="I191" s="15">
        <f>IF(关卡产出!M256="","",关卡产出!M256)</f>
        <v>264</v>
      </c>
      <c r="J191" s="15">
        <f>IF(关卡产出!N256="","",关卡产出!N256)</f>
        <v>132</v>
      </c>
      <c r="K191" s="15">
        <f>IF(关卡产出!O256="","",关卡产出!O256)</f>
        <v>62</v>
      </c>
      <c r="L191" s="15">
        <f>IF(关卡产出!P256="","",关卡产出!P256)</f>
        <v>300</v>
      </c>
      <c r="N191" t="str">
        <f t="shared" si="193"/>
        <v>104,53|105,26|106,12|1,765</v>
      </c>
      <c r="P191" t="str">
        <f t="shared" si="170"/>
        <v>1,12750</v>
      </c>
      <c r="Q191" t="str">
        <f t="shared" si="171"/>
        <v>162,1|1,25200|4,6</v>
      </c>
      <c r="R191" t="str">
        <f t="shared" si="194"/>
        <v>104,264|105,132|106,62|3,300</v>
      </c>
      <c r="S191" t="str">
        <f t="shared" si="195"/>
        <v>104,27|105,13|106,6|1,957</v>
      </c>
      <c r="V191" t="str">
        <f t="shared" si="196"/>
        <v>104,53</v>
      </c>
      <c r="W191" t="str">
        <f t="shared" si="197"/>
        <v>105,26</v>
      </c>
      <c r="X191" t="str">
        <f t="shared" si="198"/>
        <v>106,12</v>
      </c>
      <c r="Y191" t="str">
        <f t="shared" si="199"/>
        <v>1,765</v>
      </c>
      <c r="AB191" t="str">
        <f t="shared" si="200"/>
        <v>104,264</v>
      </c>
      <c r="AC191" t="str">
        <f t="shared" si="201"/>
        <v>105,132</v>
      </c>
      <c r="AD191" t="str">
        <f t="shared" si="202"/>
        <v>106,62</v>
      </c>
      <c r="AE191" t="str">
        <f t="shared" si="203"/>
        <v>3,300</v>
      </c>
      <c r="AG191" t="str">
        <f t="shared" si="204"/>
        <v>104,27</v>
      </c>
      <c r="AH191" t="str">
        <f t="shared" si="205"/>
        <v>105,13</v>
      </c>
      <c r="AI191" t="str">
        <f t="shared" si="206"/>
        <v>106,6</v>
      </c>
      <c r="AJ191" t="str">
        <f t="shared" si="207"/>
        <v>1,957</v>
      </c>
    </row>
    <row r="192" spans="1:36" x14ac:dyDescent="0.25">
      <c r="A192" s="14">
        <v>47</v>
      </c>
      <c r="B192" s="15">
        <f>IF(关卡产出!C257="","",关卡产出!C257)</f>
        <v>54</v>
      </c>
      <c r="C192" s="15">
        <f>IF(关卡产出!D257="","",关卡产出!D257)</f>
        <v>27</v>
      </c>
      <c r="D192" s="15">
        <f>IF(关卡产出!E257="","",关卡产出!E257)</f>
        <v>12</v>
      </c>
      <c r="E192" s="15">
        <f>IF(关卡产出!F257="","",关卡产出!F257)</f>
        <v>795</v>
      </c>
      <c r="F192" s="15">
        <f>IF(关卡产出!H257="","",关卡产出!H257)</f>
        <v>13050</v>
      </c>
      <c r="G192" s="15">
        <f>IF(关卡产出!J257="","",关卡产出!J257)</f>
        <v>25800</v>
      </c>
      <c r="H192" s="15">
        <f>IF(关卡产出!K257="","",关卡产出!K257)</f>
        <v>6</v>
      </c>
      <c r="I192" s="15">
        <f>IF(关卡产出!M257="","",关卡产出!M257)</f>
        <v>270</v>
      </c>
      <c r="J192" s="15">
        <f>IF(关卡产出!N257="","",关卡产出!N257)</f>
        <v>135</v>
      </c>
      <c r="K192" s="15">
        <f>IF(关卡产出!O257="","",关卡产出!O257)</f>
        <v>63</v>
      </c>
      <c r="L192" s="15">
        <f>IF(关卡产出!P257="","",关卡产出!P257)</f>
        <v>300</v>
      </c>
      <c r="N192" t="str">
        <f t="shared" si="193"/>
        <v>104,54|105,27|106,12|1,795</v>
      </c>
      <c r="P192" t="str">
        <f t="shared" si="170"/>
        <v>1,13050</v>
      </c>
      <c r="Q192" t="str">
        <f t="shared" si="171"/>
        <v>162,1|1,25800|4,6</v>
      </c>
      <c r="R192" t="str">
        <f t="shared" si="194"/>
        <v>104,270|105,135|106,63|3,300</v>
      </c>
      <c r="S192" t="str">
        <f t="shared" si="195"/>
        <v>104,27|105,14|106,6|1,994</v>
      </c>
      <c r="V192" t="str">
        <f t="shared" si="196"/>
        <v>104,54</v>
      </c>
      <c r="W192" t="str">
        <f t="shared" si="197"/>
        <v>105,27</v>
      </c>
      <c r="X192" t="str">
        <f t="shared" si="198"/>
        <v>106,12</v>
      </c>
      <c r="Y192" t="str">
        <f t="shared" si="199"/>
        <v>1,795</v>
      </c>
      <c r="AB192" t="str">
        <f t="shared" si="200"/>
        <v>104,270</v>
      </c>
      <c r="AC192" t="str">
        <f t="shared" si="201"/>
        <v>105,135</v>
      </c>
      <c r="AD192" t="str">
        <f t="shared" si="202"/>
        <v>106,63</v>
      </c>
      <c r="AE192" t="str">
        <f t="shared" si="203"/>
        <v>3,300</v>
      </c>
      <c r="AG192" t="str">
        <f t="shared" si="204"/>
        <v>104,27</v>
      </c>
      <c r="AH192" t="str">
        <f t="shared" si="205"/>
        <v>105,14</v>
      </c>
      <c r="AI192" t="str">
        <f t="shared" si="206"/>
        <v>106,6</v>
      </c>
      <c r="AJ192" t="str">
        <f t="shared" si="207"/>
        <v>1,994</v>
      </c>
    </row>
    <row r="193" spans="1:36" x14ac:dyDescent="0.25">
      <c r="A193" s="14">
        <v>48</v>
      </c>
      <c r="B193" s="15">
        <f>IF(关卡产出!C258="","",关卡产出!C258)</f>
        <v>56</v>
      </c>
      <c r="C193" s="15">
        <f>IF(关卡产出!D258="","",关卡产出!D258)</f>
        <v>27</v>
      </c>
      <c r="D193" s="15">
        <f>IF(关卡产出!E258="","",关卡产出!E258)</f>
        <v>14</v>
      </c>
      <c r="E193" s="15">
        <f>IF(关卡产出!F258="","",关卡产出!F258)</f>
        <v>795</v>
      </c>
      <c r="F193" s="15">
        <f>IF(关卡产出!H258="","",关卡产出!H258)</f>
        <v>13350</v>
      </c>
      <c r="G193" s="15">
        <f>IF(关卡产出!J258="","",关卡产出!J258)</f>
        <v>26400</v>
      </c>
      <c r="H193" s="15">
        <f>IF(关卡产出!K258="","",关卡产出!K258)</f>
        <v>6</v>
      </c>
      <c r="I193" s="15">
        <f>IF(关卡产出!M258="","",关卡产出!M258)</f>
        <v>276</v>
      </c>
      <c r="J193" s="15">
        <f>IF(关卡产出!N258="","",关卡产出!N258)</f>
        <v>138</v>
      </c>
      <c r="K193" s="15">
        <f>IF(关卡产出!O258="","",关卡产出!O258)</f>
        <v>65</v>
      </c>
      <c r="L193" s="15">
        <f>IF(关卡产出!P258="","",关卡产出!P258)</f>
        <v>300</v>
      </c>
      <c r="N193" t="str">
        <f t="shared" si="193"/>
        <v>104,56|105,27|106,14|1,795</v>
      </c>
      <c r="P193" t="str">
        <f t="shared" si="170"/>
        <v>1,13350</v>
      </c>
      <c r="Q193" t="str">
        <f t="shared" si="171"/>
        <v>162,1|1,26400|4,6</v>
      </c>
      <c r="R193" t="str">
        <f t="shared" si="194"/>
        <v>104,276|105,138|106,65|3,300</v>
      </c>
      <c r="S193" t="str">
        <f t="shared" si="195"/>
        <v>104,28|105,14|106,7|1,994</v>
      </c>
      <c r="V193" t="str">
        <f t="shared" si="196"/>
        <v>104,56</v>
      </c>
      <c r="W193" t="str">
        <f t="shared" si="197"/>
        <v>105,27</v>
      </c>
      <c r="X193" t="str">
        <f t="shared" si="198"/>
        <v>106,14</v>
      </c>
      <c r="Y193" t="str">
        <f t="shared" si="199"/>
        <v>1,795</v>
      </c>
      <c r="AB193" t="str">
        <f t="shared" si="200"/>
        <v>104,276</v>
      </c>
      <c r="AC193" t="str">
        <f t="shared" si="201"/>
        <v>105,138</v>
      </c>
      <c r="AD193" t="str">
        <f t="shared" si="202"/>
        <v>106,65</v>
      </c>
      <c r="AE193" t="str">
        <f t="shared" si="203"/>
        <v>3,300</v>
      </c>
      <c r="AG193" t="str">
        <f t="shared" si="204"/>
        <v>104,28</v>
      </c>
      <c r="AH193" t="str">
        <f t="shared" si="205"/>
        <v>105,14</v>
      </c>
      <c r="AI193" t="str">
        <f t="shared" si="206"/>
        <v>106,7</v>
      </c>
      <c r="AJ193" t="str">
        <f t="shared" si="207"/>
        <v>1,994</v>
      </c>
    </row>
    <row r="194" spans="1:36" x14ac:dyDescent="0.25">
      <c r="A194" s="14">
        <v>49</v>
      </c>
      <c r="B194" s="15">
        <f>IF(关卡产出!C259="","",关卡产出!C259)</f>
        <v>57</v>
      </c>
      <c r="C194" s="15">
        <f>IF(关卡产出!D259="","",关卡产出!D259)</f>
        <v>29</v>
      </c>
      <c r="D194" s="15">
        <f>IF(关卡产出!E259="","",关卡产出!E259)</f>
        <v>14</v>
      </c>
      <c r="E194" s="15">
        <f>IF(关卡产出!F259="","",关卡产出!F259)</f>
        <v>825</v>
      </c>
      <c r="F194" s="15">
        <f>IF(关卡产出!H259="","",关卡产出!H259)</f>
        <v>13650</v>
      </c>
      <c r="G194" s="15">
        <f>IF(关卡产出!J259="","",关卡产出!J259)</f>
        <v>27000</v>
      </c>
      <c r="H194" s="15">
        <f>IF(关卡产出!K259="","",关卡产出!K259)</f>
        <v>6</v>
      </c>
      <c r="I194" s="15">
        <f>IF(关卡产出!M259="","",关卡产出!M259)</f>
        <v>282</v>
      </c>
      <c r="J194" s="15">
        <f>IF(关卡产出!N259="","",关卡产出!N259)</f>
        <v>141</v>
      </c>
      <c r="K194" s="15">
        <f>IF(关卡产出!O259="","",关卡产出!O259)</f>
        <v>66</v>
      </c>
      <c r="L194" s="15">
        <f>IF(关卡产出!P259="","",关卡产出!P259)</f>
        <v>300</v>
      </c>
      <c r="N194" t="str">
        <f t="shared" si="193"/>
        <v>104,57|105,29|106,14|1,825</v>
      </c>
      <c r="P194" t="str">
        <f t="shared" si="170"/>
        <v>1,13650</v>
      </c>
      <c r="Q194" t="str">
        <f t="shared" si="171"/>
        <v>162,1|1,27000|4,6</v>
      </c>
      <c r="R194" t="str">
        <f t="shared" si="194"/>
        <v>104,282|105,141|106,66|3,300</v>
      </c>
      <c r="S194" t="str">
        <f t="shared" si="195"/>
        <v>104,29|105,15|106,7|1,1032</v>
      </c>
      <c r="V194" t="str">
        <f t="shared" si="196"/>
        <v>104,57</v>
      </c>
      <c r="W194" t="str">
        <f t="shared" si="197"/>
        <v>105,29</v>
      </c>
      <c r="X194" t="str">
        <f t="shared" si="198"/>
        <v>106,14</v>
      </c>
      <c r="Y194" t="str">
        <f t="shared" si="199"/>
        <v>1,825</v>
      </c>
      <c r="AB194" t="str">
        <f t="shared" si="200"/>
        <v>104,282</v>
      </c>
      <c r="AC194" t="str">
        <f t="shared" si="201"/>
        <v>105,141</v>
      </c>
      <c r="AD194" t="str">
        <f t="shared" si="202"/>
        <v>106,66</v>
      </c>
      <c r="AE194" t="str">
        <f t="shared" si="203"/>
        <v>3,300</v>
      </c>
      <c r="AG194" t="str">
        <f t="shared" si="204"/>
        <v>104,29</v>
      </c>
      <c r="AH194" t="str">
        <f t="shared" si="205"/>
        <v>105,15</v>
      </c>
      <c r="AI194" t="str">
        <f t="shared" si="206"/>
        <v>106,7</v>
      </c>
      <c r="AJ194" t="str">
        <f t="shared" si="207"/>
        <v>1,1032</v>
      </c>
    </row>
    <row r="195" spans="1:36" x14ac:dyDescent="0.25">
      <c r="A195" s="14">
        <v>50</v>
      </c>
      <c r="B195" s="15">
        <f>IF(关卡产出!C260="","",关卡产出!C260)</f>
        <v>57</v>
      </c>
      <c r="C195" s="15">
        <f>IF(关卡产出!D260="","",关卡产出!D260)</f>
        <v>29</v>
      </c>
      <c r="D195" s="15">
        <f>IF(关卡产出!E260="","",关卡产出!E260)</f>
        <v>14</v>
      </c>
      <c r="E195" s="15">
        <f>IF(关卡产出!F260="","",关卡产出!F260)</f>
        <v>825</v>
      </c>
      <c r="F195" s="15">
        <f>IF(关卡产出!H260="","",关卡产出!H260)</f>
        <v>13950</v>
      </c>
      <c r="G195" s="15">
        <f>IF(关卡产出!J260="","",关卡产出!J260)</f>
        <v>27600</v>
      </c>
      <c r="H195" s="15">
        <f>IF(关卡产出!K260="","",关卡产出!K260)</f>
        <v>6</v>
      </c>
      <c r="I195" s="15">
        <f>IF(关卡产出!M260="","",关卡产出!M260)</f>
        <v>288</v>
      </c>
      <c r="J195" s="15">
        <f>IF(关卡产出!N260="","",关卡产出!N260)</f>
        <v>144</v>
      </c>
      <c r="K195" s="15">
        <f>IF(关卡产出!O260="","",关卡产出!O260)</f>
        <v>68</v>
      </c>
      <c r="L195" s="15">
        <f>IF(关卡产出!P260="","",关卡产出!P260)</f>
        <v>300</v>
      </c>
      <c r="N195" t="str">
        <f t="shared" ref="N195:N196" si="208">_xlfn.TEXTJOIN("|",TRUE,V195:Y195)</f>
        <v>104,57|105,29|106,14|1,825</v>
      </c>
      <c r="P195" t="str">
        <f t="shared" si="170"/>
        <v>1,13950</v>
      </c>
      <c r="Q195" t="str">
        <f t="shared" si="171"/>
        <v>162,1|1,27600|4,6</v>
      </c>
      <c r="R195" t="str">
        <f t="shared" ref="R195:R196" si="209">_xlfn.TEXTJOIN("|",TRUE,AB195:AE195)</f>
        <v>104,288|105,144|106,68|3,300</v>
      </c>
      <c r="S195" t="str">
        <f t="shared" ref="S195:S196" si="210">_xlfn.TEXTJOIN("|",TRUE,AG195:AJ195)</f>
        <v>104,29|105,15|106,7|1,1032</v>
      </c>
      <c r="V195" t="str">
        <f t="shared" ref="V195:V196" si="211">IF(B195="","",B$1&amp;","&amp;B195)</f>
        <v>104,57</v>
      </c>
      <c r="W195" t="str">
        <f t="shared" ref="W195:W244" si="212">IF(C195="","",C$1&amp;","&amp;C195)</f>
        <v>105,29</v>
      </c>
      <c r="X195" t="str">
        <f t="shared" ref="X195:X244" si="213">IF(D195="","",D$1&amp;","&amp;D195)</f>
        <v>106,14</v>
      </c>
      <c r="Y195" t="str">
        <f t="shared" ref="Y195:Y244" si="214">IF(E195="","",E$1&amp;","&amp;E195)</f>
        <v>1,825</v>
      </c>
      <c r="AB195" t="str">
        <f t="shared" ref="AB195:AB196" si="215">IF(I195="","",I$1&amp;","&amp;I195)</f>
        <v>104,288</v>
      </c>
      <c r="AC195" t="str">
        <f t="shared" ref="AC195:AC244" si="216">IF(J195="","",J$1&amp;","&amp;J195)</f>
        <v>105,144</v>
      </c>
      <c r="AD195" t="str">
        <f t="shared" ref="AD195:AD244" si="217">IF(K195="","",K$1&amp;","&amp;K195)</f>
        <v>106,68</v>
      </c>
      <c r="AE195" t="str">
        <f t="shared" ref="AE195:AE244" si="218">IF(L195="","",L$1&amp;","&amp;L195)</f>
        <v>3,300</v>
      </c>
      <c r="AG195" t="str">
        <f t="shared" ref="AG195:AG196" si="219">IF(B195="","",B$1&amp;","&amp;ROUNDUP(B195/2,0))</f>
        <v>104,29</v>
      </c>
      <c r="AH195" t="str">
        <f t="shared" ref="AH195:AH244" si="220">IF(C195="","",C$1&amp;","&amp;ROUNDUP(C195/2,0))</f>
        <v>105,15</v>
      </c>
      <c r="AI195" t="str">
        <f t="shared" ref="AI195:AI244" si="221">IF(D195="","",D$1&amp;","&amp;ROUNDUP(D195/2,0))</f>
        <v>106,7</v>
      </c>
      <c r="AJ195" t="str">
        <f t="shared" ref="AJ195:AJ196" si="222">IF(E195="","",E$1&amp;","&amp;ROUNDUP(E195/2*2.5,0))</f>
        <v>1,1032</v>
      </c>
    </row>
    <row r="196" spans="1:36" x14ac:dyDescent="0.25">
      <c r="A196" s="14">
        <v>51</v>
      </c>
      <c r="B196" s="15">
        <f>IF(关卡产出!C261="","",关卡产出!C261)</f>
        <v>59</v>
      </c>
      <c r="C196" s="15">
        <f>IF(关卡产出!D261="","",关卡产出!D261)</f>
        <v>29</v>
      </c>
      <c r="D196" s="15">
        <f>IF(关卡产出!E261="","",关卡产出!E261)</f>
        <v>14</v>
      </c>
      <c r="E196" s="15">
        <f>IF(关卡产出!F261="","",关卡产出!F261)</f>
        <v>855</v>
      </c>
      <c r="F196" s="15">
        <f>IF(关卡产出!H261="","",关卡产出!H261)</f>
        <v>14250</v>
      </c>
      <c r="G196" s="15">
        <f>IF(关卡产出!J261="","",关卡产出!J261)</f>
        <v>28200</v>
      </c>
      <c r="H196" s="15">
        <f>IF(关卡产出!K261="","",关卡产出!K261)</f>
        <v>6</v>
      </c>
      <c r="I196" s="15">
        <f>IF(关卡产出!M261="","",关卡产出!M261)</f>
        <v>294</v>
      </c>
      <c r="J196" s="15">
        <f>IF(关卡产出!N261="","",关卡产出!N261)</f>
        <v>147</v>
      </c>
      <c r="K196" s="15">
        <f>IF(关卡产出!O261="","",关卡产出!O261)</f>
        <v>69</v>
      </c>
      <c r="L196" s="15">
        <f>IF(关卡产出!P261="","",关卡产出!P261)</f>
        <v>300</v>
      </c>
      <c r="N196" t="str">
        <f t="shared" si="208"/>
        <v>104,59|105,29|106,14|1,855</v>
      </c>
      <c r="P196" t="str">
        <f t="shared" si="170"/>
        <v>1,14250</v>
      </c>
      <c r="Q196" t="str">
        <f t="shared" si="171"/>
        <v>162,1|1,28200|4,6</v>
      </c>
      <c r="R196" t="str">
        <f t="shared" si="209"/>
        <v>104,294|105,147|106,69|3,300</v>
      </c>
      <c r="S196" t="str">
        <f t="shared" si="210"/>
        <v>104,30|105,15|106,7|1,1069</v>
      </c>
      <c r="V196" t="str">
        <f t="shared" si="211"/>
        <v>104,59</v>
      </c>
      <c r="W196" t="str">
        <f t="shared" si="212"/>
        <v>105,29</v>
      </c>
      <c r="X196" t="str">
        <f t="shared" si="213"/>
        <v>106,14</v>
      </c>
      <c r="Y196" t="str">
        <f t="shared" si="214"/>
        <v>1,855</v>
      </c>
      <c r="AB196" t="str">
        <f t="shared" si="215"/>
        <v>104,294</v>
      </c>
      <c r="AC196" t="str">
        <f t="shared" si="216"/>
        <v>105,147</v>
      </c>
      <c r="AD196" t="str">
        <f t="shared" si="217"/>
        <v>106,69</v>
      </c>
      <c r="AE196" t="str">
        <f t="shared" si="218"/>
        <v>3,300</v>
      </c>
      <c r="AG196" t="str">
        <f t="shared" si="219"/>
        <v>104,30</v>
      </c>
      <c r="AH196" t="str">
        <f t="shared" si="220"/>
        <v>105,15</v>
      </c>
      <c r="AI196" t="str">
        <f t="shared" si="221"/>
        <v>106,7</v>
      </c>
      <c r="AJ196" t="str">
        <f t="shared" si="222"/>
        <v>1,1069</v>
      </c>
    </row>
    <row r="197" spans="1:36" x14ac:dyDescent="0.25">
      <c r="A197" s="14">
        <v>52</v>
      </c>
      <c r="B197" s="15">
        <f>IF(关卡产出!C262="","",关卡产出!C262)</f>
        <v>60</v>
      </c>
      <c r="C197" s="15">
        <f>IF(关卡产出!D262="","",关卡产出!D262)</f>
        <v>30</v>
      </c>
      <c r="D197" s="15">
        <f>IF(关卡产出!E262="","",关卡产出!E262)</f>
        <v>14</v>
      </c>
      <c r="E197" s="15">
        <f>IF(关卡产出!F262="","",关卡产出!F262)</f>
        <v>855</v>
      </c>
      <c r="F197" s="15">
        <f>IF(关卡产出!H262="","",关卡产出!H262)</f>
        <v>14550</v>
      </c>
      <c r="G197" s="15">
        <f>IF(关卡产出!J262="","",关卡产出!J262)</f>
        <v>28800</v>
      </c>
      <c r="H197" s="15">
        <f>IF(关卡产出!K262="","",关卡产出!K262)</f>
        <v>6</v>
      </c>
      <c r="I197" s="15">
        <f>IF(关卡产出!M262="","",关卡产出!M262)</f>
        <v>300</v>
      </c>
      <c r="J197" s="15">
        <f>IF(关卡产出!N262="","",关卡产出!N262)</f>
        <v>150</v>
      </c>
      <c r="K197" s="15">
        <f>IF(关卡产出!O262="","",关卡产出!O262)</f>
        <v>71</v>
      </c>
      <c r="L197" s="15">
        <f>IF(关卡产出!P262="","",关卡产出!P262)</f>
        <v>300</v>
      </c>
      <c r="N197" t="str">
        <f t="shared" ref="N197:N215" si="223">_xlfn.TEXTJOIN("|",TRUE,V197:Y197)</f>
        <v>104,60|105,30|106,14|1,855</v>
      </c>
      <c r="P197" t="str">
        <f t="shared" si="170"/>
        <v>1,14550</v>
      </c>
      <c r="Q197" t="str">
        <f t="shared" si="171"/>
        <v>162,1|1,28800|4,6</v>
      </c>
      <c r="R197" t="str">
        <f t="shared" ref="R197:R215" si="224">_xlfn.TEXTJOIN("|",TRUE,AB197:AE197)</f>
        <v>104,300|105,150|106,71|3,300</v>
      </c>
      <c r="S197" t="str">
        <f t="shared" ref="S197:S215" si="225">_xlfn.TEXTJOIN("|",TRUE,AG197:AJ197)</f>
        <v>104,30|105,15|106,7|1,1069</v>
      </c>
      <c r="V197" t="str">
        <f t="shared" ref="V197:V215" si="226">IF(B197="","",B$1&amp;","&amp;B197)</f>
        <v>104,60</v>
      </c>
      <c r="W197" t="str">
        <f t="shared" si="212"/>
        <v>105,30</v>
      </c>
      <c r="X197" t="str">
        <f t="shared" si="213"/>
        <v>106,14</v>
      </c>
      <c r="Y197" t="str">
        <f t="shared" si="214"/>
        <v>1,855</v>
      </c>
      <c r="AB197" t="str">
        <f t="shared" ref="AB197:AB215" si="227">IF(I197="","",I$1&amp;","&amp;I197)</f>
        <v>104,300</v>
      </c>
      <c r="AC197" t="str">
        <f t="shared" si="216"/>
        <v>105,150</v>
      </c>
      <c r="AD197" t="str">
        <f t="shared" si="217"/>
        <v>106,71</v>
      </c>
      <c r="AE197" t="str">
        <f t="shared" si="218"/>
        <v>3,300</v>
      </c>
      <c r="AG197" t="str">
        <f t="shared" ref="AG197:AG215" si="228">IF(B197="","",B$1&amp;","&amp;ROUNDUP(B197/2,0))</f>
        <v>104,30</v>
      </c>
      <c r="AH197" t="str">
        <f t="shared" si="220"/>
        <v>105,15</v>
      </c>
      <c r="AI197" t="str">
        <f t="shared" si="221"/>
        <v>106,7</v>
      </c>
      <c r="AJ197" t="str">
        <f t="shared" ref="AJ197:AJ215" si="229">IF(E197="","",E$1&amp;","&amp;ROUNDUP(E197/2*2.5,0))</f>
        <v>1,1069</v>
      </c>
    </row>
    <row r="198" spans="1:36" x14ac:dyDescent="0.25">
      <c r="A198" s="14">
        <v>53</v>
      </c>
      <c r="B198" s="15">
        <f>IF(关卡产出!C263="","",关卡产出!C263)</f>
        <v>62</v>
      </c>
      <c r="C198" s="15">
        <f>IF(关卡产出!D263="","",关卡产出!D263)</f>
        <v>30</v>
      </c>
      <c r="D198" s="15">
        <f>IF(关卡产出!E263="","",关卡产出!E263)</f>
        <v>15</v>
      </c>
      <c r="E198" s="15">
        <f>IF(关卡产出!F263="","",关卡产出!F263)</f>
        <v>885</v>
      </c>
      <c r="F198" s="15">
        <f>IF(关卡产出!H263="","",关卡产出!H263)</f>
        <v>14850</v>
      </c>
      <c r="G198" s="15">
        <f>IF(关卡产出!J263="","",关卡产出!J263)</f>
        <v>29400</v>
      </c>
      <c r="H198" s="15">
        <f>IF(关卡产出!K263="","",关卡产出!K263)</f>
        <v>6</v>
      </c>
      <c r="I198" s="15">
        <f>IF(关卡产出!M263="","",关卡产出!M263)</f>
        <v>306</v>
      </c>
      <c r="J198" s="15">
        <f>IF(关卡产出!N263="","",关卡产出!N263)</f>
        <v>153</v>
      </c>
      <c r="K198" s="15">
        <f>IF(关卡产出!O263="","",关卡产出!O263)</f>
        <v>72</v>
      </c>
      <c r="L198" s="15">
        <f>IF(关卡产出!P263="","",关卡产出!P263)</f>
        <v>300</v>
      </c>
      <c r="N198" t="str">
        <f t="shared" si="223"/>
        <v>104,62|105,30|106,15|1,885</v>
      </c>
      <c r="P198" t="str">
        <f t="shared" si="170"/>
        <v>1,14850</v>
      </c>
      <c r="Q198" t="str">
        <f t="shared" si="171"/>
        <v>162,1|1,29400|4,6</v>
      </c>
      <c r="R198" t="str">
        <f t="shared" si="224"/>
        <v>104,306|105,153|106,72|3,300</v>
      </c>
      <c r="S198" t="str">
        <f t="shared" si="225"/>
        <v>104,31|105,15|106,8|1,1107</v>
      </c>
      <c r="V198" t="str">
        <f t="shared" si="226"/>
        <v>104,62</v>
      </c>
      <c r="W198" t="str">
        <f t="shared" si="212"/>
        <v>105,30</v>
      </c>
      <c r="X198" t="str">
        <f t="shared" si="213"/>
        <v>106,15</v>
      </c>
      <c r="Y198" t="str">
        <f t="shared" si="214"/>
        <v>1,885</v>
      </c>
      <c r="AB198" t="str">
        <f t="shared" si="227"/>
        <v>104,306</v>
      </c>
      <c r="AC198" t="str">
        <f t="shared" si="216"/>
        <v>105,153</v>
      </c>
      <c r="AD198" t="str">
        <f t="shared" si="217"/>
        <v>106,72</v>
      </c>
      <c r="AE198" t="str">
        <f t="shared" si="218"/>
        <v>3,300</v>
      </c>
      <c r="AG198" t="str">
        <f t="shared" si="228"/>
        <v>104,31</v>
      </c>
      <c r="AH198" t="str">
        <f t="shared" si="220"/>
        <v>105,15</v>
      </c>
      <c r="AI198" t="str">
        <f t="shared" si="221"/>
        <v>106,8</v>
      </c>
      <c r="AJ198" t="str">
        <f t="shared" si="229"/>
        <v>1,1107</v>
      </c>
    </row>
    <row r="199" spans="1:36" x14ac:dyDescent="0.25">
      <c r="A199" s="14">
        <v>54</v>
      </c>
      <c r="B199" s="15">
        <f>IF(关卡产出!C264="","",关卡产出!C264)</f>
        <v>63</v>
      </c>
      <c r="C199" s="15">
        <f>IF(关卡产出!D264="","",关卡产出!D264)</f>
        <v>32</v>
      </c>
      <c r="D199" s="15">
        <f>IF(关卡产出!E264="","",关卡产出!E264)</f>
        <v>15</v>
      </c>
      <c r="E199" s="15">
        <f>IF(关卡产出!F264="","",关卡产出!F264)</f>
        <v>885</v>
      </c>
      <c r="F199" s="15">
        <f>IF(关卡产出!H264="","",关卡产出!H264)</f>
        <v>15150</v>
      </c>
      <c r="G199" s="15">
        <f>IF(关卡产出!J264="","",关卡产出!J264)</f>
        <v>30000</v>
      </c>
      <c r="H199" s="15">
        <f>IF(关卡产出!K264="","",关卡产出!K264)</f>
        <v>6</v>
      </c>
      <c r="I199" s="15">
        <f>IF(关卡产出!M264="","",关卡产出!M264)</f>
        <v>312</v>
      </c>
      <c r="J199" s="15">
        <f>IF(关卡产出!N264="","",关卡产出!N264)</f>
        <v>156</v>
      </c>
      <c r="K199" s="15">
        <f>IF(关卡产出!O264="","",关卡产出!O264)</f>
        <v>74</v>
      </c>
      <c r="L199" s="15">
        <f>IF(关卡产出!P264="","",关卡产出!P264)</f>
        <v>300</v>
      </c>
      <c r="N199" t="str">
        <f t="shared" si="223"/>
        <v>104,63|105,32|106,15|1,885</v>
      </c>
      <c r="P199" t="str">
        <f t="shared" si="170"/>
        <v>1,15150</v>
      </c>
      <c r="Q199" t="str">
        <f t="shared" si="171"/>
        <v>162,1|1,30000|4,6</v>
      </c>
      <c r="R199" t="str">
        <f t="shared" si="224"/>
        <v>104,312|105,156|106,74|3,300</v>
      </c>
      <c r="S199" t="str">
        <f t="shared" si="225"/>
        <v>104,32|105,16|106,8|1,1107</v>
      </c>
      <c r="V199" t="str">
        <f t="shared" si="226"/>
        <v>104,63</v>
      </c>
      <c r="W199" t="str">
        <f t="shared" si="212"/>
        <v>105,32</v>
      </c>
      <c r="X199" t="str">
        <f t="shared" si="213"/>
        <v>106,15</v>
      </c>
      <c r="Y199" t="str">
        <f t="shared" si="214"/>
        <v>1,885</v>
      </c>
      <c r="AB199" t="str">
        <f t="shared" si="227"/>
        <v>104,312</v>
      </c>
      <c r="AC199" t="str">
        <f t="shared" si="216"/>
        <v>105,156</v>
      </c>
      <c r="AD199" t="str">
        <f t="shared" si="217"/>
        <v>106,74</v>
      </c>
      <c r="AE199" t="str">
        <f t="shared" si="218"/>
        <v>3,300</v>
      </c>
      <c r="AG199" t="str">
        <f t="shared" si="228"/>
        <v>104,32</v>
      </c>
      <c r="AH199" t="str">
        <f t="shared" si="220"/>
        <v>105,16</v>
      </c>
      <c r="AI199" t="str">
        <f t="shared" si="221"/>
        <v>106,8</v>
      </c>
      <c r="AJ199" t="str">
        <f t="shared" si="229"/>
        <v>1,1107</v>
      </c>
    </row>
    <row r="200" spans="1:36" x14ac:dyDescent="0.25">
      <c r="A200" s="14">
        <v>55</v>
      </c>
      <c r="B200" s="15">
        <f>IF(关卡产出!C265="","",关卡产出!C265)</f>
        <v>63</v>
      </c>
      <c r="C200" s="15">
        <f>IF(关卡产出!D265="","",关卡产出!D265)</f>
        <v>32</v>
      </c>
      <c r="D200" s="15">
        <f>IF(关卡产出!E265="","",关卡产出!E265)</f>
        <v>15</v>
      </c>
      <c r="E200" s="15">
        <f>IF(关卡产出!F265="","",关卡产出!F265)</f>
        <v>915</v>
      </c>
      <c r="F200" s="15">
        <f>IF(关卡产出!H265="","",关卡产出!H265)</f>
        <v>15450</v>
      </c>
      <c r="G200" s="15">
        <f>IF(关卡产出!J265="","",关卡产出!J265)</f>
        <v>30600</v>
      </c>
      <c r="H200" s="15">
        <f>IF(关卡产出!K265="","",关卡产出!K265)</f>
        <v>6</v>
      </c>
      <c r="I200" s="15">
        <f>IF(关卡产出!M265="","",关卡产出!M265)</f>
        <v>318</v>
      </c>
      <c r="J200" s="15">
        <f>IF(关卡产出!N265="","",关卡产出!N265)</f>
        <v>159</v>
      </c>
      <c r="K200" s="15">
        <f>IF(关卡产出!O265="","",关卡产出!O265)</f>
        <v>75</v>
      </c>
      <c r="L200" s="15">
        <f>IF(关卡产出!P265="","",关卡产出!P265)</f>
        <v>300</v>
      </c>
      <c r="N200" t="str">
        <f t="shared" si="223"/>
        <v>104,63|105,32|106,15|1,915</v>
      </c>
      <c r="P200" t="str">
        <f t="shared" si="170"/>
        <v>1,15450</v>
      </c>
      <c r="Q200" t="str">
        <f t="shared" si="171"/>
        <v>162,1|1,30600|4,6</v>
      </c>
      <c r="R200" t="str">
        <f t="shared" si="224"/>
        <v>104,318|105,159|106,75|3,300</v>
      </c>
      <c r="S200" t="str">
        <f t="shared" si="225"/>
        <v>104,32|105,16|106,8|1,1144</v>
      </c>
      <c r="V200" t="str">
        <f t="shared" si="226"/>
        <v>104,63</v>
      </c>
      <c r="W200" t="str">
        <f t="shared" si="212"/>
        <v>105,32</v>
      </c>
      <c r="X200" t="str">
        <f t="shared" si="213"/>
        <v>106,15</v>
      </c>
      <c r="Y200" t="str">
        <f t="shared" si="214"/>
        <v>1,915</v>
      </c>
      <c r="AB200" t="str">
        <f t="shared" si="227"/>
        <v>104,318</v>
      </c>
      <c r="AC200" t="str">
        <f t="shared" si="216"/>
        <v>105,159</v>
      </c>
      <c r="AD200" t="str">
        <f t="shared" si="217"/>
        <v>106,75</v>
      </c>
      <c r="AE200" t="str">
        <f t="shared" si="218"/>
        <v>3,300</v>
      </c>
      <c r="AG200" t="str">
        <f t="shared" si="228"/>
        <v>104,32</v>
      </c>
      <c r="AH200" t="str">
        <f t="shared" si="220"/>
        <v>105,16</v>
      </c>
      <c r="AI200" t="str">
        <f t="shared" si="221"/>
        <v>106,8</v>
      </c>
      <c r="AJ200" t="str">
        <f t="shared" si="229"/>
        <v>1,1144</v>
      </c>
    </row>
    <row r="201" spans="1:36" x14ac:dyDescent="0.25">
      <c r="A201" s="14">
        <v>56</v>
      </c>
      <c r="B201" s="15">
        <f>IF(关卡产出!C266="","",关卡产出!C266)</f>
        <v>65</v>
      </c>
      <c r="C201" s="15">
        <f>IF(关卡产出!D266="","",关卡产出!D266)</f>
        <v>32</v>
      </c>
      <c r="D201" s="15">
        <f>IF(关卡产出!E266="","",关卡产出!E266)</f>
        <v>15</v>
      </c>
      <c r="E201" s="15">
        <f>IF(关卡产出!F266="","",关卡产出!F266)</f>
        <v>915</v>
      </c>
      <c r="F201" s="15">
        <f>IF(关卡产出!H266="","",关卡产出!H266)</f>
        <v>15750</v>
      </c>
      <c r="G201" s="15">
        <f>IF(关卡产出!J266="","",关卡产出!J266)</f>
        <v>31200</v>
      </c>
      <c r="H201" s="15">
        <f>IF(关卡产出!K266="","",关卡产出!K266)</f>
        <v>6</v>
      </c>
      <c r="I201" s="15">
        <f>IF(关卡产出!M266="","",关卡产出!M266)</f>
        <v>324</v>
      </c>
      <c r="J201" s="15">
        <f>IF(关卡产出!N266="","",关卡产出!N266)</f>
        <v>162</v>
      </c>
      <c r="K201" s="15">
        <f>IF(关卡产出!O266="","",关卡产出!O266)</f>
        <v>77</v>
      </c>
      <c r="L201" s="15">
        <f>IF(关卡产出!P266="","",关卡产出!P266)</f>
        <v>300</v>
      </c>
      <c r="N201" t="str">
        <f t="shared" si="223"/>
        <v>104,65|105,32|106,15|1,915</v>
      </c>
      <c r="P201" t="str">
        <f t="shared" si="170"/>
        <v>1,15750</v>
      </c>
      <c r="Q201" t="str">
        <f t="shared" si="171"/>
        <v>162,1|1,31200|4,6</v>
      </c>
      <c r="R201" t="str">
        <f t="shared" si="224"/>
        <v>104,324|105,162|106,77|3,300</v>
      </c>
      <c r="S201" t="str">
        <f t="shared" si="225"/>
        <v>104,33|105,16|106,8|1,1144</v>
      </c>
      <c r="V201" t="str">
        <f t="shared" si="226"/>
        <v>104,65</v>
      </c>
      <c r="W201" t="str">
        <f t="shared" si="212"/>
        <v>105,32</v>
      </c>
      <c r="X201" t="str">
        <f t="shared" si="213"/>
        <v>106,15</v>
      </c>
      <c r="Y201" t="str">
        <f t="shared" si="214"/>
        <v>1,915</v>
      </c>
      <c r="AB201" t="str">
        <f t="shared" si="227"/>
        <v>104,324</v>
      </c>
      <c r="AC201" t="str">
        <f t="shared" si="216"/>
        <v>105,162</v>
      </c>
      <c r="AD201" t="str">
        <f t="shared" si="217"/>
        <v>106,77</v>
      </c>
      <c r="AE201" t="str">
        <f t="shared" si="218"/>
        <v>3,300</v>
      </c>
      <c r="AG201" t="str">
        <f t="shared" si="228"/>
        <v>104,33</v>
      </c>
      <c r="AH201" t="str">
        <f t="shared" si="220"/>
        <v>105,16</v>
      </c>
      <c r="AI201" t="str">
        <f t="shared" si="221"/>
        <v>106,8</v>
      </c>
      <c r="AJ201" t="str">
        <f t="shared" si="229"/>
        <v>1,1144</v>
      </c>
    </row>
    <row r="202" spans="1:36" x14ac:dyDescent="0.25">
      <c r="A202" s="14">
        <v>57</v>
      </c>
      <c r="B202" s="15">
        <f>IF(关卡产出!C267="","",关卡产出!C267)</f>
        <v>66</v>
      </c>
      <c r="C202" s="15">
        <f>IF(关卡产出!D267="","",关卡产出!D267)</f>
        <v>33</v>
      </c>
      <c r="D202" s="15">
        <f>IF(关卡产出!E267="","",关卡产出!E267)</f>
        <v>15</v>
      </c>
      <c r="E202" s="15">
        <f>IF(关卡产出!F267="","",关卡产出!F267)</f>
        <v>945</v>
      </c>
      <c r="F202" s="15">
        <f>IF(关卡产出!H267="","",关卡产出!H267)</f>
        <v>16050</v>
      </c>
      <c r="G202" s="15">
        <f>IF(关卡产出!J267="","",关卡产出!J267)</f>
        <v>31800</v>
      </c>
      <c r="H202" s="15">
        <f>IF(关卡产出!K267="","",关卡产出!K267)</f>
        <v>6</v>
      </c>
      <c r="I202" s="15">
        <f>IF(关卡产出!M267="","",关卡产出!M267)</f>
        <v>330</v>
      </c>
      <c r="J202" s="15">
        <f>IF(关卡产出!N267="","",关卡产出!N267)</f>
        <v>165</v>
      </c>
      <c r="K202" s="15">
        <f>IF(关卡产出!O267="","",关卡产出!O267)</f>
        <v>78</v>
      </c>
      <c r="L202" s="15">
        <f>IF(关卡产出!P267="","",关卡产出!P267)</f>
        <v>300</v>
      </c>
      <c r="N202" t="str">
        <f t="shared" si="223"/>
        <v>104,66|105,33|106,15|1,945</v>
      </c>
      <c r="P202" t="str">
        <f t="shared" si="170"/>
        <v>1,16050</v>
      </c>
      <c r="Q202" t="str">
        <f t="shared" si="171"/>
        <v>162,1|1,31800|4,6</v>
      </c>
      <c r="R202" t="str">
        <f t="shared" si="224"/>
        <v>104,330|105,165|106,78|3,300</v>
      </c>
      <c r="S202" t="str">
        <f t="shared" si="225"/>
        <v>104,33|105,17|106,8|1,1182</v>
      </c>
      <c r="V202" t="str">
        <f t="shared" si="226"/>
        <v>104,66</v>
      </c>
      <c r="W202" t="str">
        <f t="shared" si="212"/>
        <v>105,33</v>
      </c>
      <c r="X202" t="str">
        <f t="shared" si="213"/>
        <v>106,15</v>
      </c>
      <c r="Y202" t="str">
        <f t="shared" si="214"/>
        <v>1,945</v>
      </c>
      <c r="AB202" t="str">
        <f t="shared" si="227"/>
        <v>104,330</v>
      </c>
      <c r="AC202" t="str">
        <f t="shared" si="216"/>
        <v>105,165</v>
      </c>
      <c r="AD202" t="str">
        <f t="shared" si="217"/>
        <v>106,78</v>
      </c>
      <c r="AE202" t="str">
        <f t="shared" si="218"/>
        <v>3,300</v>
      </c>
      <c r="AG202" t="str">
        <f t="shared" si="228"/>
        <v>104,33</v>
      </c>
      <c r="AH202" t="str">
        <f t="shared" si="220"/>
        <v>105,17</v>
      </c>
      <c r="AI202" t="str">
        <f t="shared" si="221"/>
        <v>106,8</v>
      </c>
      <c r="AJ202" t="str">
        <f t="shared" si="229"/>
        <v>1,1182</v>
      </c>
    </row>
    <row r="203" spans="1:36" x14ac:dyDescent="0.25">
      <c r="A203" s="14">
        <v>58</v>
      </c>
      <c r="B203" s="15">
        <f>IF(关卡产出!C268="","",关卡产出!C268)</f>
        <v>68</v>
      </c>
      <c r="C203" s="15">
        <f>IF(关卡产出!D268="","",关卡产出!D268)</f>
        <v>33</v>
      </c>
      <c r="D203" s="15">
        <f>IF(关卡产出!E268="","",关卡产出!E268)</f>
        <v>17</v>
      </c>
      <c r="E203" s="15">
        <f>IF(关卡产出!F268="","",关卡产出!F268)</f>
        <v>945</v>
      </c>
      <c r="F203" s="15">
        <f>IF(关卡产出!H268="","",关卡产出!H268)</f>
        <v>16350</v>
      </c>
      <c r="G203" s="15">
        <f>IF(关卡产出!J268="","",关卡产出!J268)</f>
        <v>32400</v>
      </c>
      <c r="H203" s="15">
        <f>IF(关卡产出!K268="","",关卡产出!K268)</f>
        <v>6</v>
      </c>
      <c r="I203" s="15">
        <f>IF(关卡产出!M268="","",关卡产出!M268)</f>
        <v>336</v>
      </c>
      <c r="J203" s="15">
        <f>IF(关卡产出!N268="","",关卡产出!N268)</f>
        <v>168</v>
      </c>
      <c r="K203" s="15">
        <f>IF(关卡产出!O268="","",关卡产出!O268)</f>
        <v>80</v>
      </c>
      <c r="L203" s="15">
        <f>IF(关卡产出!P268="","",关卡产出!P268)</f>
        <v>300</v>
      </c>
      <c r="N203" t="str">
        <f t="shared" si="223"/>
        <v>104,68|105,33|106,17|1,945</v>
      </c>
      <c r="P203" t="str">
        <f t="shared" si="170"/>
        <v>1,16350</v>
      </c>
      <c r="Q203" t="str">
        <f t="shared" si="171"/>
        <v>162,1|1,32400|4,6</v>
      </c>
      <c r="R203" t="str">
        <f t="shared" si="224"/>
        <v>104,336|105,168|106,80|3,300</v>
      </c>
      <c r="S203" t="str">
        <f t="shared" si="225"/>
        <v>104,34|105,17|106,9|1,1182</v>
      </c>
      <c r="V203" t="str">
        <f t="shared" si="226"/>
        <v>104,68</v>
      </c>
      <c r="W203" t="str">
        <f t="shared" si="212"/>
        <v>105,33</v>
      </c>
      <c r="X203" t="str">
        <f t="shared" si="213"/>
        <v>106,17</v>
      </c>
      <c r="Y203" t="str">
        <f t="shared" si="214"/>
        <v>1,945</v>
      </c>
      <c r="AB203" t="str">
        <f t="shared" si="227"/>
        <v>104,336</v>
      </c>
      <c r="AC203" t="str">
        <f t="shared" si="216"/>
        <v>105,168</v>
      </c>
      <c r="AD203" t="str">
        <f t="shared" si="217"/>
        <v>106,80</v>
      </c>
      <c r="AE203" t="str">
        <f t="shared" si="218"/>
        <v>3,300</v>
      </c>
      <c r="AG203" t="str">
        <f t="shared" si="228"/>
        <v>104,34</v>
      </c>
      <c r="AH203" t="str">
        <f t="shared" si="220"/>
        <v>105,17</v>
      </c>
      <c r="AI203" t="str">
        <f t="shared" si="221"/>
        <v>106,9</v>
      </c>
      <c r="AJ203" t="str">
        <f t="shared" si="229"/>
        <v>1,1182</v>
      </c>
    </row>
    <row r="204" spans="1:36" x14ac:dyDescent="0.25">
      <c r="A204" s="14">
        <v>59</v>
      </c>
      <c r="B204" s="15">
        <f>IF(关卡产出!C269="","",关卡产出!C269)</f>
        <v>69</v>
      </c>
      <c r="C204" s="15">
        <f>IF(关卡产出!D269="","",关卡产出!D269)</f>
        <v>35</v>
      </c>
      <c r="D204" s="15">
        <f>IF(关卡产出!E269="","",关卡产出!E269)</f>
        <v>17</v>
      </c>
      <c r="E204" s="15">
        <f>IF(关卡产出!F269="","",关卡产出!F269)</f>
        <v>975</v>
      </c>
      <c r="F204" s="15">
        <f>IF(关卡产出!H269="","",关卡产出!H269)</f>
        <v>16650</v>
      </c>
      <c r="G204" s="15">
        <f>IF(关卡产出!J269="","",关卡产出!J269)</f>
        <v>33000</v>
      </c>
      <c r="H204" s="15">
        <f>IF(关卡产出!K269="","",关卡产出!K269)</f>
        <v>6</v>
      </c>
      <c r="I204" s="15">
        <f>IF(关卡产出!M269="","",关卡产出!M269)</f>
        <v>342</v>
      </c>
      <c r="J204" s="15">
        <f>IF(关卡产出!N269="","",关卡产出!N269)</f>
        <v>171</v>
      </c>
      <c r="K204" s="15">
        <f>IF(关卡产出!O269="","",关卡产出!O269)</f>
        <v>81</v>
      </c>
      <c r="L204" s="15">
        <f>IF(关卡产出!P269="","",关卡产出!P269)</f>
        <v>300</v>
      </c>
      <c r="N204" t="str">
        <f t="shared" si="223"/>
        <v>104,69|105,35|106,17|1,975</v>
      </c>
      <c r="P204" t="str">
        <f t="shared" si="170"/>
        <v>1,16650</v>
      </c>
      <c r="Q204" t="str">
        <f t="shared" si="171"/>
        <v>162,1|1,33000|4,6</v>
      </c>
      <c r="R204" t="str">
        <f t="shared" si="224"/>
        <v>104,342|105,171|106,81|3,300</v>
      </c>
      <c r="S204" t="str">
        <f t="shared" si="225"/>
        <v>104,35|105,18|106,9|1,1219</v>
      </c>
      <c r="V204" t="str">
        <f t="shared" si="226"/>
        <v>104,69</v>
      </c>
      <c r="W204" t="str">
        <f t="shared" si="212"/>
        <v>105,35</v>
      </c>
      <c r="X204" t="str">
        <f t="shared" si="213"/>
        <v>106,17</v>
      </c>
      <c r="Y204" t="str">
        <f t="shared" si="214"/>
        <v>1,975</v>
      </c>
      <c r="AB204" t="str">
        <f t="shared" si="227"/>
        <v>104,342</v>
      </c>
      <c r="AC204" t="str">
        <f t="shared" si="216"/>
        <v>105,171</v>
      </c>
      <c r="AD204" t="str">
        <f t="shared" si="217"/>
        <v>106,81</v>
      </c>
      <c r="AE204" t="str">
        <f t="shared" si="218"/>
        <v>3,300</v>
      </c>
      <c r="AG204" t="str">
        <f t="shared" si="228"/>
        <v>104,35</v>
      </c>
      <c r="AH204" t="str">
        <f t="shared" si="220"/>
        <v>105,18</v>
      </c>
      <c r="AI204" t="str">
        <f t="shared" si="221"/>
        <v>106,9</v>
      </c>
      <c r="AJ204" t="str">
        <f t="shared" si="229"/>
        <v>1,1219</v>
      </c>
    </row>
    <row r="205" spans="1:36" x14ac:dyDescent="0.25">
      <c r="A205" s="14">
        <v>60</v>
      </c>
      <c r="B205" s="15">
        <f>IF(关卡产出!C270="","",关卡产出!C270)</f>
        <v>69</v>
      </c>
      <c r="C205" s="15">
        <f>IF(关卡产出!D270="","",关卡产出!D270)</f>
        <v>35</v>
      </c>
      <c r="D205" s="15">
        <f>IF(关卡产出!E270="","",关卡产出!E270)</f>
        <v>17</v>
      </c>
      <c r="E205" s="15">
        <f>IF(关卡产出!F270="","",关卡产出!F270)</f>
        <v>975</v>
      </c>
      <c r="F205" s="15">
        <f>IF(关卡产出!H270="","",关卡产出!H270)</f>
        <v>16950</v>
      </c>
      <c r="G205" s="15">
        <f>IF(关卡产出!J270="","",关卡产出!J270)</f>
        <v>33600</v>
      </c>
      <c r="H205" s="15">
        <f>IF(关卡产出!K270="","",关卡产出!K270)</f>
        <v>6</v>
      </c>
      <c r="I205" s="15">
        <f>IF(关卡产出!M270="","",关卡产出!M270)</f>
        <v>348</v>
      </c>
      <c r="J205" s="15">
        <f>IF(关卡产出!N270="","",关卡产出!N270)</f>
        <v>174</v>
      </c>
      <c r="K205" s="15">
        <f>IF(关卡产出!O270="","",关卡产出!O270)</f>
        <v>83</v>
      </c>
      <c r="L205" s="15">
        <f>IF(关卡产出!P270="","",关卡产出!P270)</f>
        <v>300</v>
      </c>
      <c r="N205" t="str">
        <f t="shared" si="223"/>
        <v>104,69|105,35|106,17|1,975</v>
      </c>
      <c r="P205" t="str">
        <f t="shared" si="170"/>
        <v>1,16950</v>
      </c>
      <c r="Q205" t="str">
        <f t="shared" si="171"/>
        <v>162,1|1,33600|4,6</v>
      </c>
      <c r="R205" t="str">
        <f t="shared" si="224"/>
        <v>104,348|105,174|106,83|3,300</v>
      </c>
      <c r="S205" t="str">
        <f t="shared" si="225"/>
        <v>104,35|105,18|106,9|1,1219</v>
      </c>
      <c r="V205" t="str">
        <f t="shared" si="226"/>
        <v>104,69</v>
      </c>
      <c r="W205" t="str">
        <f t="shared" si="212"/>
        <v>105,35</v>
      </c>
      <c r="X205" t="str">
        <f t="shared" si="213"/>
        <v>106,17</v>
      </c>
      <c r="Y205" t="str">
        <f t="shared" si="214"/>
        <v>1,975</v>
      </c>
      <c r="AB205" t="str">
        <f t="shared" si="227"/>
        <v>104,348</v>
      </c>
      <c r="AC205" t="str">
        <f t="shared" si="216"/>
        <v>105,174</v>
      </c>
      <c r="AD205" t="str">
        <f t="shared" si="217"/>
        <v>106,83</v>
      </c>
      <c r="AE205" t="str">
        <f t="shared" si="218"/>
        <v>3,300</v>
      </c>
      <c r="AG205" t="str">
        <f t="shared" si="228"/>
        <v>104,35</v>
      </c>
      <c r="AH205" t="str">
        <f t="shared" si="220"/>
        <v>105,18</v>
      </c>
      <c r="AI205" t="str">
        <f t="shared" si="221"/>
        <v>106,9</v>
      </c>
      <c r="AJ205" t="str">
        <f t="shared" si="229"/>
        <v>1,1219</v>
      </c>
    </row>
    <row r="206" spans="1:36" s="2" customFormat="1" x14ac:dyDescent="0.25">
      <c r="A206" s="17">
        <v>61</v>
      </c>
      <c r="B206" s="18">
        <f>IF(关卡产出!C271="","",关卡产出!C271)</f>
        <v>71</v>
      </c>
      <c r="C206" s="18">
        <f>IF(关卡产出!D271="","",关卡产出!D271)</f>
        <v>35</v>
      </c>
      <c r="D206" s="18">
        <f>IF(关卡产出!E271="","",关卡产出!E271)</f>
        <v>17</v>
      </c>
      <c r="E206" s="18">
        <f>IF(关卡产出!F271="","",关卡产出!F271)</f>
        <v>1005</v>
      </c>
      <c r="F206" s="18">
        <f>IF(关卡产出!H271="","",关卡产出!H271)</f>
        <v>17250</v>
      </c>
      <c r="G206" s="18">
        <f>IF(关卡产出!J271="","",关卡产出!J271)</f>
        <v>34200</v>
      </c>
      <c r="H206" s="18">
        <f>IF(关卡产出!K271="","",关卡产出!K271)</f>
        <v>6</v>
      </c>
      <c r="I206" s="18">
        <f>IF(关卡产出!M271="","",关卡产出!M271)</f>
        <v>354</v>
      </c>
      <c r="J206" s="18">
        <f>IF(关卡产出!N271="","",关卡产出!N271)</f>
        <v>177</v>
      </c>
      <c r="K206" s="18">
        <f>IF(关卡产出!O271="","",关卡产出!O271)</f>
        <v>84</v>
      </c>
      <c r="L206" s="18">
        <f>IF(关卡产出!P271="","",关卡产出!P271)</f>
        <v>300</v>
      </c>
      <c r="N206" s="2" t="str">
        <f t="shared" si="223"/>
        <v>104,71|105,35|106,17|1,1005</v>
      </c>
      <c r="P206" t="str">
        <f t="shared" si="170"/>
        <v>1,17250</v>
      </c>
      <c r="Q206" t="str">
        <f t="shared" si="171"/>
        <v>162,1|1,34200|4,6</v>
      </c>
      <c r="R206" s="2" t="str">
        <f t="shared" si="224"/>
        <v>104,354|105,177|106,84|3,300</v>
      </c>
      <c r="S206" s="2" t="str">
        <f t="shared" si="225"/>
        <v>104,36|105,18|106,9|1,1257</v>
      </c>
      <c r="V206" s="2" t="str">
        <f t="shared" si="226"/>
        <v>104,71</v>
      </c>
      <c r="W206" s="2" t="str">
        <f t="shared" si="212"/>
        <v>105,35</v>
      </c>
      <c r="X206" s="2" t="str">
        <f t="shared" si="213"/>
        <v>106,17</v>
      </c>
      <c r="Y206" s="2" t="str">
        <f t="shared" si="214"/>
        <v>1,1005</v>
      </c>
      <c r="AB206" s="2" t="str">
        <f t="shared" si="227"/>
        <v>104,354</v>
      </c>
      <c r="AC206" s="2" t="str">
        <f t="shared" si="216"/>
        <v>105,177</v>
      </c>
      <c r="AD206" s="2" t="str">
        <f t="shared" si="217"/>
        <v>106,84</v>
      </c>
      <c r="AE206" s="2" t="str">
        <f t="shared" si="218"/>
        <v>3,300</v>
      </c>
      <c r="AG206" s="2" t="str">
        <f t="shared" si="228"/>
        <v>104,36</v>
      </c>
      <c r="AH206" s="2" t="str">
        <f t="shared" si="220"/>
        <v>105,18</v>
      </c>
      <c r="AI206" s="2" t="str">
        <f t="shared" si="221"/>
        <v>106,9</v>
      </c>
      <c r="AJ206" s="2" t="str">
        <f t="shared" si="229"/>
        <v>1,1257</v>
      </c>
    </row>
    <row r="207" spans="1:36" s="2" customFormat="1" x14ac:dyDescent="0.25">
      <c r="A207" s="17">
        <v>62</v>
      </c>
      <c r="B207" s="18">
        <f>IF(关卡产出!C272="","",关卡产出!C272)</f>
        <v>72</v>
      </c>
      <c r="C207" s="18">
        <f>IF(关卡产出!D272="","",关卡产出!D272)</f>
        <v>36</v>
      </c>
      <c r="D207" s="18">
        <f>IF(关卡产出!E272="","",关卡产出!E272)</f>
        <v>17</v>
      </c>
      <c r="E207" s="18">
        <f>IF(关卡产出!F272="","",关卡产出!F272)</f>
        <v>1005</v>
      </c>
      <c r="F207" s="18">
        <f>IF(关卡产出!H272="","",关卡产出!H272)</f>
        <v>17550</v>
      </c>
      <c r="G207" s="18">
        <f>IF(关卡产出!J272="","",关卡产出!J272)</f>
        <v>34800</v>
      </c>
      <c r="H207" s="18">
        <f>IF(关卡产出!K272="","",关卡产出!K272)</f>
        <v>6</v>
      </c>
      <c r="I207" s="18">
        <f>IF(关卡产出!M272="","",关卡产出!M272)</f>
        <v>360</v>
      </c>
      <c r="J207" s="18">
        <f>IF(关卡产出!N272="","",关卡产出!N272)</f>
        <v>180</v>
      </c>
      <c r="K207" s="18">
        <f>IF(关卡产出!O272="","",关卡产出!O272)</f>
        <v>86</v>
      </c>
      <c r="L207" s="18">
        <f>IF(关卡产出!P272="","",关卡产出!P272)</f>
        <v>300</v>
      </c>
      <c r="N207" s="2" t="str">
        <f t="shared" si="223"/>
        <v>104,72|105,36|106,17|1,1005</v>
      </c>
      <c r="P207" t="str">
        <f t="shared" si="170"/>
        <v>1,17550</v>
      </c>
      <c r="Q207" t="str">
        <f t="shared" si="171"/>
        <v>162,1|1,34800|4,6</v>
      </c>
      <c r="R207" s="2" t="str">
        <f t="shared" si="224"/>
        <v>104,360|105,180|106,86|3,300</v>
      </c>
      <c r="S207" s="2" t="str">
        <f t="shared" si="225"/>
        <v>104,36|105,18|106,9|1,1257</v>
      </c>
      <c r="V207" s="2" t="str">
        <f t="shared" si="226"/>
        <v>104,72</v>
      </c>
      <c r="W207" s="2" t="str">
        <f t="shared" si="212"/>
        <v>105,36</v>
      </c>
      <c r="X207" s="2" t="str">
        <f t="shared" si="213"/>
        <v>106,17</v>
      </c>
      <c r="Y207" s="2" t="str">
        <f t="shared" si="214"/>
        <v>1,1005</v>
      </c>
      <c r="AB207" s="2" t="str">
        <f t="shared" si="227"/>
        <v>104,360</v>
      </c>
      <c r="AC207" s="2" t="str">
        <f t="shared" si="216"/>
        <v>105,180</v>
      </c>
      <c r="AD207" s="2" t="str">
        <f t="shared" si="217"/>
        <v>106,86</v>
      </c>
      <c r="AE207" s="2" t="str">
        <f t="shared" si="218"/>
        <v>3,300</v>
      </c>
      <c r="AG207" s="2" t="str">
        <f t="shared" si="228"/>
        <v>104,36</v>
      </c>
      <c r="AH207" s="2" t="str">
        <f t="shared" si="220"/>
        <v>105,18</v>
      </c>
      <c r="AI207" s="2" t="str">
        <f t="shared" si="221"/>
        <v>106,9</v>
      </c>
      <c r="AJ207" s="2" t="str">
        <f t="shared" si="229"/>
        <v>1,1257</v>
      </c>
    </row>
    <row r="208" spans="1:36" s="2" customFormat="1" x14ac:dyDescent="0.25">
      <c r="A208" s="17">
        <v>63</v>
      </c>
      <c r="B208" s="18">
        <f>IF(关卡产出!C273="","",关卡产出!C273)</f>
        <v>74</v>
      </c>
      <c r="C208" s="18">
        <f>IF(关卡产出!D273="","",关卡产出!D273)</f>
        <v>36</v>
      </c>
      <c r="D208" s="18">
        <f>IF(关卡产出!E273="","",关卡产出!E273)</f>
        <v>18</v>
      </c>
      <c r="E208" s="18">
        <f>IF(关卡产出!F273="","",关卡产出!F273)</f>
        <v>1035</v>
      </c>
      <c r="F208" s="18">
        <f>IF(关卡产出!H273="","",关卡产出!H273)</f>
        <v>17850</v>
      </c>
      <c r="G208" s="18">
        <f>IF(关卡产出!J273="","",关卡产出!J273)</f>
        <v>35400</v>
      </c>
      <c r="H208" s="18">
        <f>IF(关卡产出!K273="","",关卡产出!K273)</f>
        <v>6</v>
      </c>
      <c r="I208" s="18">
        <f>IF(关卡产出!M273="","",关卡产出!M273)</f>
        <v>366</v>
      </c>
      <c r="J208" s="18">
        <f>IF(关卡产出!N273="","",关卡产出!N273)</f>
        <v>183</v>
      </c>
      <c r="K208" s="18">
        <f>IF(关卡产出!O273="","",关卡产出!O273)</f>
        <v>87</v>
      </c>
      <c r="L208" s="18">
        <f>IF(关卡产出!P273="","",关卡产出!P273)</f>
        <v>300</v>
      </c>
      <c r="N208" s="2" t="str">
        <f t="shared" si="223"/>
        <v>104,74|105,36|106,18|1,1035</v>
      </c>
      <c r="P208" t="str">
        <f t="shared" si="170"/>
        <v>1,17850</v>
      </c>
      <c r="Q208" t="str">
        <f t="shared" si="171"/>
        <v>162,1|1,35400|4,6</v>
      </c>
      <c r="R208" s="2" t="str">
        <f t="shared" si="224"/>
        <v>104,366|105,183|106,87|3,300</v>
      </c>
      <c r="S208" s="2" t="str">
        <f t="shared" si="225"/>
        <v>104,37|105,18|106,9|1,1294</v>
      </c>
      <c r="V208" s="2" t="str">
        <f t="shared" si="226"/>
        <v>104,74</v>
      </c>
      <c r="W208" s="2" t="str">
        <f t="shared" si="212"/>
        <v>105,36</v>
      </c>
      <c r="X208" s="2" t="str">
        <f t="shared" si="213"/>
        <v>106,18</v>
      </c>
      <c r="Y208" s="2" t="str">
        <f t="shared" si="214"/>
        <v>1,1035</v>
      </c>
      <c r="AB208" s="2" t="str">
        <f t="shared" si="227"/>
        <v>104,366</v>
      </c>
      <c r="AC208" s="2" t="str">
        <f t="shared" si="216"/>
        <v>105,183</v>
      </c>
      <c r="AD208" s="2" t="str">
        <f t="shared" si="217"/>
        <v>106,87</v>
      </c>
      <c r="AE208" s="2" t="str">
        <f t="shared" si="218"/>
        <v>3,300</v>
      </c>
      <c r="AG208" s="2" t="str">
        <f t="shared" si="228"/>
        <v>104,37</v>
      </c>
      <c r="AH208" s="2" t="str">
        <f t="shared" si="220"/>
        <v>105,18</v>
      </c>
      <c r="AI208" s="2" t="str">
        <f t="shared" si="221"/>
        <v>106,9</v>
      </c>
      <c r="AJ208" s="2" t="str">
        <f t="shared" si="229"/>
        <v>1,1294</v>
      </c>
    </row>
    <row r="209" spans="1:36" s="2" customFormat="1" x14ac:dyDescent="0.25">
      <c r="A209" s="17">
        <v>64</v>
      </c>
      <c r="B209" s="18">
        <f>IF(关卡产出!C274="","",关卡产出!C274)</f>
        <v>75</v>
      </c>
      <c r="C209" s="18">
        <f>IF(关卡产出!D274="","",关卡产出!D274)</f>
        <v>38</v>
      </c>
      <c r="D209" s="18">
        <f>IF(关卡产出!E274="","",关卡产出!E274)</f>
        <v>18</v>
      </c>
      <c r="E209" s="18">
        <f>IF(关卡产出!F274="","",关卡产出!F274)</f>
        <v>1035</v>
      </c>
      <c r="F209" s="18">
        <f>IF(关卡产出!H274="","",关卡产出!H274)</f>
        <v>18150</v>
      </c>
      <c r="G209" s="18">
        <f>IF(关卡产出!J274="","",关卡产出!J274)</f>
        <v>36000</v>
      </c>
      <c r="H209" s="18">
        <f>IF(关卡产出!K274="","",关卡产出!K274)</f>
        <v>6</v>
      </c>
      <c r="I209" s="18">
        <f>IF(关卡产出!M274="","",关卡产出!M274)</f>
        <v>372</v>
      </c>
      <c r="J209" s="18">
        <f>IF(关卡产出!N274="","",关卡产出!N274)</f>
        <v>186</v>
      </c>
      <c r="K209" s="18">
        <f>IF(关卡产出!O274="","",关卡产出!O274)</f>
        <v>89</v>
      </c>
      <c r="L209" s="18">
        <f>IF(关卡产出!P274="","",关卡产出!P274)</f>
        <v>300</v>
      </c>
      <c r="N209" s="2" t="str">
        <f t="shared" si="223"/>
        <v>104,75|105,38|106,18|1,1035</v>
      </c>
      <c r="P209" t="str">
        <f t="shared" si="170"/>
        <v>1,18150</v>
      </c>
      <c r="Q209" t="str">
        <f t="shared" si="171"/>
        <v>162,1|1,36000|4,6</v>
      </c>
      <c r="R209" s="2" t="str">
        <f t="shared" si="224"/>
        <v>104,372|105,186|106,89|3,300</v>
      </c>
      <c r="S209" s="2" t="str">
        <f t="shared" si="225"/>
        <v>104,38|105,19|106,9|1,1294</v>
      </c>
      <c r="V209" s="2" t="str">
        <f t="shared" si="226"/>
        <v>104,75</v>
      </c>
      <c r="W209" s="2" t="str">
        <f t="shared" si="212"/>
        <v>105,38</v>
      </c>
      <c r="X209" s="2" t="str">
        <f t="shared" si="213"/>
        <v>106,18</v>
      </c>
      <c r="Y209" s="2" t="str">
        <f t="shared" si="214"/>
        <v>1,1035</v>
      </c>
      <c r="AB209" s="2" t="str">
        <f t="shared" si="227"/>
        <v>104,372</v>
      </c>
      <c r="AC209" s="2" t="str">
        <f t="shared" si="216"/>
        <v>105,186</v>
      </c>
      <c r="AD209" s="2" t="str">
        <f t="shared" si="217"/>
        <v>106,89</v>
      </c>
      <c r="AE209" s="2" t="str">
        <f t="shared" si="218"/>
        <v>3,300</v>
      </c>
      <c r="AG209" s="2" t="str">
        <f t="shared" si="228"/>
        <v>104,38</v>
      </c>
      <c r="AH209" s="2" t="str">
        <f t="shared" si="220"/>
        <v>105,19</v>
      </c>
      <c r="AI209" s="2" t="str">
        <f t="shared" si="221"/>
        <v>106,9</v>
      </c>
      <c r="AJ209" s="2" t="str">
        <f t="shared" si="229"/>
        <v>1,1294</v>
      </c>
    </row>
    <row r="210" spans="1:36" s="2" customFormat="1" x14ac:dyDescent="0.25">
      <c r="A210" s="17">
        <v>65</v>
      </c>
      <c r="B210" s="18">
        <f>IF(关卡产出!C275="","",关卡产出!C275)</f>
        <v>75</v>
      </c>
      <c r="C210" s="18">
        <f>IF(关卡产出!D275="","",关卡产出!D275)</f>
        <v>38</v>
      </c>
      <c r="D210" s="18">
        <f>IF(关卡产出!E275="","",关卡产出!E275)</f>
        <v>18</v>
      </c>
      <c r="E210" s="18">
        <f>IF(关卡产出!F275="","",关卡产出!F275)</f>
        <v>1065</v>
      </c>
      <c r="F210" s="18">
        <f>IF(关卡产出!H275="","",关卡产出!H275)</f>
        <v>18450</v>
      </c>
      <c r="G210" s="18">
        <f>IF(关卡产出!J275="","",关卡产出!J275)</f>
        <v>36600</v>
      </c>
      <c r="H210" s="18">
        <f>IF(关卡产出!K275="","",关卡产出!K275)</f>
        <v>6</v>
      </c>
      <c r="I210" s="18">
        <f>IF(关卡产出!M275="","",关卡产出!M275)</f>
        <v>378</v>
      </c>
      <c r="J210" s="18">
        <f>IF(关卡产出!N275="","",关卡产出!N275)</f>
        <v>189</v>
      </c>
      <c r="K210" s="18">
        <f>IF(关卡产出!O275="","",关卡产出!O275)</f>
        <v>90</v>
      </c>
      <c r="L210" s="18">
        <f>IF(关卡产出!P275="","",关卡产出!P275)</f>
        <v>300</v>
      </c>
      <c r="N210" s="2" t="str">
        <f t="shared" si="223"/>
        <v>104,75|105,38|106,18|1,1065</v>
      </c>
      <c r="P210" t="str">
        <f t="shared" si="170"/>
        <v>1,18450</v>
      </c>
      <c r="Q210" t="str">
        <f t="shared" si="171"/>
        <v>162,1|1,36600|4,6</v>
      </c>
      <c r="R210" s="2" t="str">
        <f t="shared" si="224"/>
        <v>104,378|105,189|106,90|3,300</v>
      </c>
      <c r="S210" s="2" t="str">
        <f t="shared" si="225"/>
        <v>104,38|105,19|106,9|1,1332</v>
      </c>
      <c r="V210" s="2" t="str">
        <f t="shared" si="226"/>
        <v>104,75</v>
      </c>
      <c r="W210" s="2" t="str">
        <f t="shared" si="212"/>
        <v>105,38</v>
      </c>
      <c r="X210" s="2" t="str">
        <f t="shared" si="213"/>
        <v>106,18</v>
      </c>
      <c r="Y210" s="2" t="str">
        <f t="shared" si="214"/>
        <v>1,1065</v>
      </c>
      <c r="AB210" s="2" t="str">
        <f t="shared" si="227"/>
        <v>104,378</v>
      </c>
      <c r="AC210" s="2" t="str">
        <f t="shared" si="216"/>
        <v>105,189</v>
      </c>
      <c r="AD210" s="2" t="str">
        <f t="shared" si="217"/>
        <v>106,90</v>
      </c>
      <c r="AE210" s="2" t="str">
        <f t="shared" si="218"/>
        <v>3,300</v>
      </c>
      <c r="AG210" s="2" t="str">
        <f t="shared" si="228"/>
        <v>104,38</v>
      </c>
      <c r="AH210" s="2" t="str">
        <f t="shared" si="220"/>
        <v>105,19</v>
      </c>
      <c r="AI210" s="2" t="str">
        <f t="shared" si="221"/>
        <v>106,9</v>
      </c>
      <c r="AJ210" s="2" t="str">
        <f t="shared" si="229"/>
        <v>1,1332</v>
      </c>
    </row>
    <row r="211" spans="1:36" s="2" customFormat="1" x14ac:dyDescent="0.25">
      <c r="A211" s="17">
        <v>66</v>
      </c>
      <c r="B211" s="18">
        <f>IF(关卡产出!C276="","",关卡产出!C276)</f>
        <v>77</v>
      </c>
      <c r="C211" s="18">
        <f>IF(关卡产出!D276="","",关卡产出!D276)</f>
        <v>38</v>
      </c>
      <c r="D211" s="18">
        <f>IF(关卡产出!E276="","",关卡产出!E276)</f>
        <v>18</v>
      </c>
      <c r="E211" s="18">
        <f>IF(关卡产出!F276="","",关卡产出!F276)</f>
        <v>1065</v>
      </c>
      <c r="F211" s="18">
        <f>IF(关卡产出!H276="","",关卡产出!H276)</f>
        <v>18750</v>
      </c>
      <c r="G211" s="18">
        <f>IF(关卡产出!J276="","",关卡产出!J276)</f>
        <v>37200</v>
      </c>
      <c r="H211" s="18">
        <f>IF(关卡产出!K276="","",关卡产出!K276)</f>
        <v>6</v>
      </c>
      <c r="I211" s="18">
        <f>IF(关卡产出!M276="","",关卡产出!M276)</f>
        <v>384</v>
      </c>
      <c r="J211" s="18">
        <f>IF(关卡产出!N276="","",关卡产出!N276)</f>
        <v>192</v>
      </c>
      <c r="K211" s="18">
        <f>IF(关卡产出!O276="","",关卡产出!O276)</f>
        <v>92</v>
      </c>
      <c r="L211" s="18">
        <f>IF(关卡产出!P276="","",关卡产出!P276)</f>
        <v>300</v>
      </c>
      <c r="N211" s="2" t="str">
        <f t="shared" si="223"/>
        <v>104,77|105,38|106,18|1,1065</v>
      </c>
      <c r="P211" t="str">
        <f t="shared" ref="P211:P245" si="230">$F$1&amp;","&amp;F211</f>
        <v>1,18750</v>
      </c>
      <c r="Q211" t="str">
        <f t="shared" ref="Q211:Q245" si="231">"162,1|"&amp;$G$1&amp;","&amp;G211&amp;"|"&amp;$H$1&amp;","&amp;H211</f>
        <v>162,1|1,37200|4,6</v>
      </c>
      <c r="R211" s="2" t="str">
        <f t="shared" si="224"/>
        <v>104,384|105,192|106,92|3,300</v>
      </c>
      <c r="S211" s="2" t="str">
        <f t="shared" si="225"/>
        <v>104,39|105,19|106,9|1,1332</v>
      </c>
      <c r="V211" s="2" t="str">
        <f t="shared" si="226"/>
        <v>104,77</v>
      </c>
      <c r="W211" s="2" t="str">
        <f t="shared" si="212"/>
        <v>105,38</v>
      </c>
      <c r="X211" s="2" t="str">
        <f t="shared" si="213"/>
        <v>106,18</v>
      </c>
      <c r="Y211" s="2" t="str">
        <f t="shared" si="214"/>
        <v>1,1065</v>
      </c>
      <c r="AB211" s="2" t="str">
        <f t="shared" si="227"/>
        <v>104,384</v>
      </c>
      <c r="AC211" s="2" t="str">
        <f t="shared" si="216"/>
        <v>105,192</v>
      </c>
      <c r="AD211" s="2" t="str">
        <f t="shared" si="217"/>
        <v>106,92</v>
      </c>
      <c r="AE211" s="2" t="str">
        <f t="shared" si="218"/>
        <v>3,300</v>
      </c>
      <c r="AG211" s="2" t="str">
        <f t="shared" si="228"/>
        <v>104,39</v>
      </c>
      <c r="AH211" s="2" t="str">
        <f t="shared" si="220"/>
        <v>105,19</v>
      </c>
      <c r="AI211" s="2" t="str">
        <f t="shared" si="221"/>
        <v>106,9</v>
      </c>
      <c r="AJ211" s="2" t="str">
        <f t="shared" si="229"/>
        <v>1,1332</v>
      </c>
    </row>
    <row r="212" spans="1:36" s="2" customFormat="1" x14ac:dyDescent="0.25">
      <c r="A212" s="17">
        <v>67</v>
      </c>
      <c r="B212" s="18">
        <f>IF(关卡产出!C277="","",关卡产出!C277)</f>
        <v>78</v>
      </c>
      <c r="C212" s="18">
        <f>IF(关卡产出!D277="","",关卡产出!D277)</f>
        <v>39</v>
      </c>
      <c r="D212" s="18">
        <f>IF(关卡产出!E277="","",关卡产出!E277)</f>
        <v>18</v>
      </c>
      <c r="E212" s="18">
        <f>IF(关卡产出!F277="","",关卡产出!F277)</f>
        <v>1095</v>
      </c>
      <c r="F212" s="18">
        <f>IF(关卡产出!H277="","",关卡产出!H277)</f>
        <v>19050</v>
      </c>
      <c r="G212" s="18">
        <f>IF(关卡产出!J277="","",关卡产出!J277)</f>
        <v>37800</v>
      </c>
      <c r="H212" s="18">
        <f>IF(关卡产出!K277="","",关卡产出!K277)</f>
        <v>6</v>
      </c>
      <c r="I212" s="18">
        <f>IF(关卡产出!M277="","",关卡产出!M277)</f>
        <v>390</v>
      </c>
      <c r="J212" s="18">
        <f>IF(关卡产出!N277="","",关卡产出!N277)</f>
        <v>195</v>
      </c>
      <c r="K212" s="18">
        <f>IF(关卡产出!O277="","",关卡产出!O277)</f>
        <v>93</v>
      </c>
      <c r="L212" s="18">
        <f>IF(关卡产出!P277="","",关卡产出!P277)</f>
        <v>300</v>
      </c>
      <c r="N212" s="2" t="str">
        <f t="shared" si="223"/>
        <v>104,78|105,39|106,18|1,1095</v>
      </c>
      <c r="P212" t="str">
        <f t="shared" si="230"/>
        <v>1,19050</v>
      </c>
      <c r="Q212" t="str">
        <f t="shared" si="231"/>
        <v>162,1|1,37800|4,6</v>
      </c>
      <c r="R212" s="2" t="str">
        <f t="shared" si="224"/>
        <v>104,390|105,195|106,93|3,300</v>
      </c>
      <c r="S212" s="2" t="str">
        <f t="shared" si="225"/>
        <v>104,39|105,20|106,9|1,1369</v>
      </c>
      <c r="V212" s="2" t="str">
        <f t="shared" si="226"/>
        <v>104,78</v>
      </c>
      <c r="W212" s="2" t="str">
        <f t="shared" si="212"/>
        <v>105,39</v>
      </c>
      <c r="X212" s="2" t="str">
        <f t="shared" si="213"/>
        <v>106,18</v>
      </c>
      <c r="Y212" s="2" t="str">
        <f t="shared" si="214"/>
        <v>1,1095</v>
      </c>
      <c r="AB212" s="2" t="str">
        <f t="shared" si="227"/>
        <v>104,390</v>
      </c>
      <c r="AC212" s="2" t="str">
        <f t="shared" si="216"/>
        <v>105,195</v>
      </c>
      <c r="AD212" s="2" t="str">
        <f t="shared" si="217"/>
        <v>106,93</v>
      </c>
      <c r="AE212" s="2" t="str">
        <f t="shared" si="218"/>
        <v>3,300</v>
      </c>
      <c r="AG212" s="2" t="str">
        <f t="shared" si="228"/>
        <v>104,39</v>
      </c>
      <c r="AH212" s="2" t="str">
        <f t="shared" si="220"/>
        <v>105,20</v>
      </c>
      <c r="AI212" s="2" t="str">
        <f t="shared" si="221"/>
        <v>106,9</v>
      </c>
      <c r="AJ212" s="2" t="str">
        <f t="shared" si="229"/>
        <v>1,1369</v>
      </c>
    </row>
    <row r="213" spans="1:36" s="2" customFormat="1" x14ac:dyDescent="0.25">
      <c r="A213" s="17">
        <v>68</v>
      </c>
      <c r="B213" s="18">
        <f>IF(关卡产出!C278="","",关卡产出!C278)</f>
        <v>80</v>
      </c>
      <c r="C213" s="18">
        <f>IF(关卡产出!D278="","",关卡产出!D278)</f>
        <v>39</v>
      </c>
      <c r="D213" s="18">
        <f>IF(关卡产出!E278="","",关卡产出!E278)</f>
        <v>20</v>
      </c>
      <c r="E213" s="18">
        <f>IF(关卡产出!F278="","",关卡产出!F278)</f>
        <v>1095</v>
      </c>
      <c r="F213" s="18">
        <f>IF(关卡产出!H278="","",关卡产出!H278)</f>
        <v>19350</v>
      </c>
      <c r="G213" s="18">
        <f>IF(关卡产出!J278="","",关卡产出!J278)</f>
        <v>38400</v>
      </c>
      <c r="H213" s="18">
        <f>IF(关卡产出!K278="","",关卡产出!K278)</f>
        <v>6</v>
      </c>
      <c r="I213" s="18">
        <f>IF(关卡产出!M278="","",关卡产出!M278)</f>
        <v>396</v>
      </c>
      <c r="J213" s="18">
        <f>IF(关卡产出!N278="","",关卡产出!N278)</f>
        <v>198</v>
      </c>
      <c r="K213" s="18">
        <f>IF(关卡产出!O278="","",关卡产出!O278)</f>
        <v>95</v>
      </c>
      <c r="L213" s="18">
        <f>IF(关卡产出!P278="","",关卡产出!P278)</f>
        <v>300</v>
      </c>
      <c r="N213" s="2" t="str">
        <f t="shared" si="223"/>
        <v>104,80|105,39|106,20|1,1095</v>
      </c>
      <c r="P213" t="str">
        <f t="shared" si="230"/>
        <v>1,19350</v>
      </c>
      <c r="Q213" t="str">
        <f t="shared" si="231"/>
        <v>162,1|1,38400|4,6</v>
      </c>
      <c r="R213" s="2" t="str">
        <f t="shared" si="224"/>
        <v>104,396|105,198|106,95|3,300</v>
      </c>
      <c r="S213" s="2" t="str">
        <f t="shared" si="225"/>
        <v>104,40|105,20|106,10|1,1369</v>
      </c>
      <c r="V213" s="2" t="str">
        <f t="shared" si="226"/>
        <v>104,80</v>
      </c>
      <c r="W213" s="2" t="str">
        <f t="shared" si="212"/>
        <v>105,39</v>
      </c>
      <c r="X213" s="2" t="str">
        <f t="shared" si="213"/>
        <v>106,20</v>
      </c>
      <c r="Y213" s="2" t="str">
        <f t="shared" si="214"/>
        <v>1,1095</v>
      </c>
      <c r="AB213" s="2" t="str">
        <f t="shared" si="227"/>
        <v>104,396</v>
      </c>
      <c r="AC213" s="2" t="str">
        <f t="shared" si="216"/>
        <v>105,198</v>
      </c>
      <c r="AD213" s="2" t="str">
        <f t="shared" si="217"/>
        <v>106,95</v>
      </c>
      <c r="AE213" s="2" t="str">
        <f t="shared" si="218"/>
        <v>3,300</v>
      </c>
      <c r="AG213" s="2" t="str">
        <f t="shared" si="228"/>
        <v>104,40</v>
      </c>
      <c r="AH213" s="2" t="str">
        <f t="shared" si="220"/>
        <v>105,20</v>
      </c>
      <c r="AI213" s="2" t="str">
        <f t="shared" si="221"/>
        <v>106,10</v>
      </c>
      <c r="AJ213" s="2" t="str">
        <f t="shared" si="229"/>
        <v>1,1369</v>
      </c>
    </row>
    <row r="214" spans="1:36" s="2" customFormat="1" x14ac:dyDescent="0.25">
      <c r="A214" s="17">
        <v>69</v>
      </c>
      <c r="B214" s="18">
        <f>IF(关卡产出!C279="","",关卡产出!C279)</f>
        <v>81</v>
      </c>
      <c r="C214" s="18">
        <f>IF(关卡产出!D279="","",关卡产出!D279)</f>
        <v>41</v>
      </c>
      <c r="D214" s="18">
        <f>IF(关卡产出!E279="","",关卡产出!E279)</f>
        <v>20</v>
      </c>
      <c r="E214" s="18">
        <f>IF(关卡产出!F279="","",关卡产出!F279)</f>
        <v>1125</v>
      </c>
      <c r="F214" s="18">
        <f>IF(关卡产出!H279="","",关卡产出!H279)</f>
        <v>19650</v>
      </c>
      <c r="G214" s="18">
        <f>IF(关卡产出!J279="","",关卡产出!J279)</f>
        <v>39000</v>
      </c>
      <c r="H214" s="18">
        <f>IF(关卡产出!K279="","",关卡产出!K279)</f>
        <v>6</v>
      </c>
      <c r="I214" s="18">
        <f>IF(关卡产出!M279="","",关卡产出!M279)</f>
        <v>402</v>
      </c>
      <c r="J214" s="18">
        <f>IF(关卡产出!N279="","",关卡产出!N279)</f>
        <v>201</v>
      </c>
      <c r="K214" s="18">
        <f>IF(关卡产出!O279="","",关卡产出!O279)</f>
        <v>96</v>
      </c>
      <c r="L214" s="18">
        <f>IF(关卡产出!P279="","",关卡产出!P279)</f>
        <v>300</v>
      </c>
      <c r="N214" s="2" t="str">
        <f t="shared" si="223"/>
        <v>104,81|105,41|106,20|1,1125</v>
      </c>
      <c r="P214" t="str">
        <f t="shared" si="230"/>
        <v>1,19650</v>
      </c>
      <c r="Q214" t="str">
        <f t="shared" si="231"/>
        <v>162,1|1,39000|4,6</v>
      </c>
      <c r="R214" s="2" t="str">
        <f t="shared" si="224"/>
        <v>104,402|105,201|106,96|3,300</v>
      </c>
      <c r="S214" s="2" t="str">
        <f t="shared" si="225"/>
        <v>104,41|105,21|106,10|1,1407</v>
      </c>
      <c r="V214" s="2" t="str">
        <f t="shared" si="226"/>
        <v>104,81</v>
      </c>
      <c r="W214" s="2" t="str">
        <f t="shared" si="212"/>
        <v>105,41</v>
      </c>
      <c r="X214" s="2" t="str">
        <f t="shared" si="213"/>
        <v>106,20</v>
      </c>
      <c r="Y214" s="2" t="str">
        <f t="shared" si="214"/>
        <v>1,1125</v>
      </c>
      <c r="AB214" s="2" t="str">
        <f t="shared" si="227"/>
        <v>104,402</v>
      </c>
      <c r="AC214" s="2" t="str">
        <f t="shared" si="216"/>
        <v>105,201</v>
      </c>
      <c r="AD214" s="2" t="str">
        <f t="shared" si="217"/>
        <v>106,96</v>
      </c>
      <c r="AE214" s="2" t="str">
        <f t="shared" si="218"/>
        <v>3,300</v>
      </c>
      <c r="AG214" s="2" t="str">
        <f t="shared" si="228"/>
        <v>104,41</v>
      </c>
      <c r="AH214" s="2" t="str">
        <f t="shared" si="220"/>
        <v>105,21</v>
      </c>
      <c r="AI214" s="2" t="str">
        <f t="shared" si="221"/>
        <v>106,10</v>
      </c>
      <c r="AJ214" s="2" t="str">
        <f t="shared" si="229"/>
        <v>1,1407</v>
      </c>
    </row>
    <row r="215" spans="1:36" s="2" customFormat="1" x14ac:dyDescent="0.25">
      <c r="A215" s="17">
        <v>70</v>
      </c>
      <c r="B215" s="18">
        <f>IF(关卡产出!C280="","",关卡产出!C280)</f>
        <v>81</v>
      </c>
      <c r="C215" s="18">
        <f>IF(关卡产出!D280="","",关卡产出!D280)</f>
        <v>41</v>
      </c>
      <c r="D215" s="18">
        <f>IF(关卡产出!E280="","",关卡产出!E280)</f>
        <v>20</v>
      </c>
      <c r="E215" s="18">
        <f>IF(关卡产出!F280="","",关卡产出!F280)</f>
        <v>1125</v>
      </c>
      <c r="F215" s="18">
        <f>IF(关卡产出!H280="","",关卡产出!H280)</f>
        <v>19950</v>
      </c>
      <c r="G215" s="18">
        <f>IF(关卡产出!J280="","",关卡产出!J280)</f>
        <v>39600</v>
      </c>
      <c r="H215" s="18">
        <f>IF(关卡产出!K280="","",关卡产出!K280)</f>
        <v>6</v>
      </c>
      <c r="I215" s="18">
        <f>IF(关卡产出!M280="","",关卡产出!M280)</f>
        <v>408</v>
      </c>
      <c r="J215" s="18">
        <f>IF(关卡产出!N280="","",关卡产出!N280)</f>
        <v>204</v>
      </c>
      <c r="K215" s="18">
        <f>IF(关卡产出!O280="","",关卡产出!O280)</f>
        <v>98</v>
      </c>
      <c r="L215" s="18">
        <f>IF(关卡产出!P280="","",关卡产出!P280)</f>
        <v>300</v>
      </c>
      <c r="N215" s="2" t="str">
        <f t="shared" si="223"/>
        <v>104,81|105,41|106,20|1,1125</v>
      </c>
      <c r="P215" t="str">
        <f t="shared" si="230"/>
        <v>1,19950</v>
      </c>
      <c r="Q215" t="str">
        <f t="shared" si="231"/>
        <v>162,1|1,39600|4,6</v>
      </c>
      <c r="R215" s="2" t="str">
        <f t="shared" si="224"/>
        <v>104,408|105,204|106,98|3,300</v>
      </c>
      <c r="S215" s="2" t="str">
        <f t="shared" si="225"/>
        <v>104,41|105,21|106,10|1,1407</v>
      </c>
      <c r="V215" s="2" t="str">
        <f t="shared" si="226"/>
        <v>104,81</v>
      </c>
      <c r="W215" s="2" t="str">
        <f t="shared" si="212"/>
        <v>105,41</v>
      </c>
      <c r="X215" s="2" t="str">
        <f t="shared" si="213"/>
        <v>106,20</v>
      </c>
      <c r="Y215" s="2" t="str">
        <f t="shared" si="214"/>
        <v>1,1125</v>
      </c>
      <c r="AB215" s="2" t="str">
        <f t="shared" si="227"/>
        <v>104,408</v>
      </c>
      <c r="AC215" s="2" t="str">
        <f t="shared" si="216"/>
        <v>105,204</v>
      </c>
      <c r="AD215" s="2" t="str">
        <f t="shared" si="217"/>
        <v>106,98</v>
      </c>
      <c r="AE215" s="2" t="str">
        <f t="shared" si="218"/>
        <v>3,300</v>
      </c>
      <c r="AG215" s="2" t="str">
        <f t="shared" si="228"/>
        <v>104,41</v>
      </c>
      <c r="AH215" s="2" t="str">
        <f t="shared" si="220"/>
        <v>105,21</v>
      </c>
      <c r="AI215" s="2" t="str">
        <f t="shared" si="221"/>
        <v>106,10</v>
      </c>
      <c r="AJ215" s="2" t="str">
        <f t="shared" si="229"/>
        <v>1,1407</v>
      </c>
    </row>
    <row r="216" spans="1:36" s="4" customFormat="1" x14ac:dyDescent="0.25">
      <c r="A216" s="21">
        <v>71</v>
      </c>
      <c r="B216" s="22">
        <f>IF(关卡产出!C281="","",关卡产出!C281)</f>
        <v>83</v>
      </c>
      <c r="C216" s="22">
        <f>IF(关卡产出!D281="","",关卡产出!D281)</f>
        <v>41</v>
      </c>
      <c r="D216" s="22">
        <f>IF(关卡产出!E281="","",关卡产出!E281)</f>
        <v>20</v>
      </c>
      <c r="E216" s="22">
        <f>IF(关卡产出!F281="","",关卡产出!F281)</f>
        <v>1155</v>
      </c>
      <c r="F216" s="22">
        <f>IF(关卡产出!H281="","",关卡产出!H281)</f>
        <v>20250</v>
      </c>
      <c r="G216" s="22">
        <f>IF(关卡产出!J281="","",关卡产出!J281)</f>
        <v>40200</v>
      </c>
      <c r="H216" s="22">
        <f>IF(关卡产出!K281="","",关卡产出!K281)</f>
        <v>6</v>
      </c>
      <c r="I216" s="22">
        <f>IF(关卡产出!M281="","",关卡产出!M281)</f>
        <v>414</v>
      </c>
      <c r="J216" s="22">
        <f>IF(关卡产出!N281="","",关卡产出!N281)</f>
        <v>207</v>
      </c>
      <c r="K216" s="22">
        <f>IF(关卡产出!O281="","",关卡产出!O281)</f>
        <v>99</v>
      </c>
      <c r="L216" s="22">
        <f>IF(关卡产出!P281="","",关卡产出!P281)</f>
        <v>300</v>
      </c>
      <c r="N216" s="4" t="str">
        <f t="shared" ref="N216:N245" si="232">_xlfn.TEXTJOIN("|",TRUE,V216:Y216)</f>
        <v>104,83|105,41|106,20|1,1155</v>
      </c>
      <c r="P216" t="str">
        <f t="shared" si="230"/>
        <v>1,20250</v>
      </c>
      <c r="Q216" t="str">
        <f t="shared" si="231"/>
        <v>162,1|1,40200|4,6</v>
      </c>
      <c r="R216" s="4" t="str">
        <f t="shared" ref="R216:R245" si="233">_xlfn.TEXTJOIN("|",TRUE,AB216:AE216)</f>
        <v>104,414|105,207|106,99|3,300</v>
      </c>
      <c r="S216" s="4" t="str">
        <f t="shared" ref="S216:S245" si="234">_xlfn.TEXTJOIN("|",TRUE,AG216:AJ216)</f>
        <v>104,42|105,21|106,10|1,1444</v>
      </c>
      <c r="V216" s="4" t="str">
        <f t="shared" ref="V216:V245" si="235">IF(B216="","",B$1&amp;","&amp;B216)</f>
        <v>104,83</v>
      </c>
      <c r="W216" s="4" t="str">
        <f t="shared" si="212"/>
        <v>105,41</v>
      </c>
      <c r="X216" s="4" t="str">
        <f t="shared" si="213"/>
        <v>106,20</v>
      </c>
      <c r="Y216" s="4" t="str">
        <f t="shared" si="214"/>
        <v>1,1155</v>
      </c>
      <c r="AB216" s="4" t="str">
        <f t="shared" ref="AB216:AB245" si="236">IF(I216="","",I$1&amp;","&amp;I216)</f>
        <v>104,414</v>
      </c>
      <c r="AC216" s="4" t="str">
        <f t="shared" si="216"/>
        <v>105,207</v>
      </c>
      <c r="AD216" s="4" t="str">
        <f t="shared" si="217"/>
        <v>106,99</v>
      </c>
      <c r="AE216" s="4" t="str">
        <f t="shared" si="218"/>
        <v>3,300</v>
      </c>
      <c r="AG216" s="4" t="str">
        <f t="shared" ref="AG216:AG245" si="237">IF(B216="","",B$1&amp;","&amp;ROUNDUP(B216/2,0))</f>
        <v>104,42</v>
      </c>
      <c r="AH216" s="4" t="str">
        <f t="shared" si="220"/>
        <v>105,21</v>
      </c>
      <c r="AI216" s="4" t="str">
        <f t="shared" si="221"/>
        <v>106,10</v>
      </c>
      <c r="AJ216" s="4" t="str">
        <f t="shared" ref="AJ216:AJ245" si="238">IF(E216="","",E$1&amp;","&amp;ROUNDUP(E216/2*2.5,0))</f>
        <v>1,1444</v>
      </c>
    </row>
    <row r="217" spans="1:36" s="4" customFormat="1" x14ac:dyDescent="0.25">
      <c r="A217" s="21">
        <v>72</v>
      </c>
      <c r="B217" s="22">
        <f>IF(关卡产出!C282="","",关卡产出!C282)</f>
        <v>84</v>
      </c>
      <c r="C217" s="22">
        <f>IF(关卡产出!D282="","",关卡产出!D282)</f>
        <v>42</v>
      </c>
      <c r="D217" s="22">
        <f>IF(关卡产出!E282="","",关卡产出!E282)</f>
        <v>20</v>
      </c>
      <c r="E217" s="22">
        <f>IF(关卡产出!F282="","",关卡产出!F282)</f>
        <v>1155</v>
      </c>
      <c r="F217" s="22">
        <f>IF(关卡产出!H282="","",关卡产出!H282)</f>
        <v>20550</v>
      </c>
      <c r="G217" s="22">
        <f>IF(关卡产出!J282="","",关卡产出!J282)</f>
        <v>40800</v>
      </c>
      <c r="H217" s="22">
        <f>IF(关卡产出!K282="","",关卡产出!K282)</f>
        <v>6</v>
      </c>
      <c r="I217" s="22">
        <f>IF(关卡产出!M282="","",关卡产出!M282)</f>
        <v>420</v>
      </c>
      <c r="J217" s="22">
        <f>IF(关卡产出!N282="","",关卡产出!N282)</f>
        <v>210</v>
      </c>
      <c r="K217" s="22">
        <f>IF(关卡产出!O282="","",关卡产出!O282)</f>
        <v>101</v>
      </c>
      <c r="L217" s="22">
        <f>IF(关卡产出!P282="","",关卡产出!P282)</f>
        <v>300</v>
      </c>
      <c r="N217" s="4" t="str">
        <f t="shared" si="232"/>
        <v>104,84|105,42|106,20|1,1155</v>
      </c>
      <c r="P217" t="str">
        <f t="shared" si="230"/>
        <v>1,20550</v>
      </c>
      <c r="Q217" t="str">
        <f t="shared" si="231"/>
        <v>162,1|1,40800|4,6</v>
      </c>
      <c r="R217" s="4" t="str">
        <f t="shared" si="233"/>
        <v>104,420|105,210|106,101|3,300</v>
      </c>
      <c r="S217" s="4" t="str">
        <f t="shared" si="234"/>
        <v>104,42|105,21|106,10|1,1444</v>
      </c>
      <c r="V217" s="4" t="str">
        <f t="shared" si="235"/>
        <v>104,84</v>
      </c>
      <c r="W217" s="4" t="str">
        <f t="shared" si="212"/>
        <v>105,42</v>
      </c>
      <c r="X217" s="4" t="str">
        <f t="shared" si="213"/>
        <v>106,20</v>
      </c>
      <c r="Y217" s="4" t="str">
        <f t="shared" si="214"/>
        <v>1,1155</v>
      </c>
      <c r="AB217" s="4" t="str">
        <f t="shared" si="236"/>
        <v>104,420</v>
      </c>
      <c r="AC217" s="4" t="str">
        <f t="shared" si="216"/>
        <v>105,210</v>
      </c>
      <c r="AD217" s="4" t="str">
        <f t="shared" si="217"/>
        <v>106,101</v>
      </c>
      <c r="AE217" s="4" t="str">
        <f t="shared" si="218"/>
        <v>3,300</v>
      </c>
      <c r="AG217" s="4" t="str">
        <f t="shared" si="237"/>
        <v>104,42</v>
      </c>
      <c r="AH217" s="4" t="str">
        <f t="shared" si="220"/>
        <v>105,21</v>
      </c>
      <c r="AI217" s="4" t="str">
        <f t="shared" si="221"/>
        <v>106,10</v>
      </c>
      <c r="AJ217" s="4" t="str">
        <f t="shared" si="238"/>
        <v>1,1444</v>
      </c>
    </row>
    <row r="218" spans="1:36" s="4" customFormat="1" x14ac:dyDescent="0.25">
      <c r="A218" s="21">
        <v>73</v>
      </c>
      <c r="B218" s="22">
        <f>IF(关卡产出!C283="","",关卡产出!C283)</f>
        <v>86</v>
      </c>
      <c r="C218" s="22">
        <f>IF(关卡产出!D283="","",关卡产出!D283)</f>
        <v>42</v>
      </c>
      <c r="D218" s="22">
        <f>IF(关卡产出!E283="","",关卡产出!E283)</f>
        <v>21</v>
      </c>
      <c r="E218" s="22">
        <f>IF(关卡产出!F283="","",关卡产出!F283)</f>
        <v>1185</v>
      </c>
      <c r="F218" s="22">
        <f>IF(关卡产出!H283="","",关卡产出!H283)</f>
        <v>20850</v>
      </c>
      <c r="G218" s="22">
        <f>IF(关卡产出!J283="","",关卡产出!J283)</f>
        <v>41400</v>
      </c>
      <c r="H218" s="22">
        <f>IF(关卡产出!K283="","",关卡产出!K283)</f>
        <v>6</v>
      </c>
      <c r="I218" s="22">
        <f>IF(关卡产出!M283="","",关卡产出!M283)</f>
        <v>426</v>
      </c>
      <c r="J218" s="22">
        <f>IF(关卡产出!N283="","",关卡产出!N283)</f>
        <v>213</v>
      </c>
      <c r="K218" s="22">
        <f>IF(关卡产出!O283="","",关卡产出!O283)</f>
        <v>102</v>
      </c>
      <c r="L218" s="22">
        <f>IF(关卡产出!P283="","",关卡产出!P283)</f>
        <v>300</v>
      </c>
      <c r="N218" s="4" t="str">
        <f t="shared" si="232"/>
        <v>104,86|105,42|106,21|1,1185</v>
      </c>
      <c r="P218" t="str">
        <f t="shared" si="230"/>
        <v>1,20850</v>
      </c>
      <c r="Q218" t="str">
        <f t="shared" si="231"/>
        <v>162,1|1,41400|4,6</v>
      </c>
      <c r="R218" s="4" t="str">
        <f t="shared" si="233"/>
        <v>104,426|105,213|106,102|3,300</v>
      </c>
      <c r="S218" s="4" t="str">
        <f t="shared" si="234"/>
        <v>104,43|105,21|106,11|1,1482</v>
      </c>
      <c r="V218" s="4" t="str">
        <f t="shared" si="235"/>
        <v>104,86</v>
      </c>
      <c r="W218" s="4" t="str">
        <f t="shared" si="212"/>
        <v>105,42</v>
      </c>
      <c r="X218" s="4" t="str">
        <f t="shared" si="213"/>
        <v>106,21</v>
      </c>
      <c r="Y218" s="4" t="str">
        <f t="shared" si="214"/>
        <v>1,1185</v>
      </c>
      <c r="AB218" s="4" t="str">
        <f t="shared" si="236"/>
        <v>104,426</v>
      </c>
      <c r="AC218" s="4" t="str">
        <f t="shared" si="216"/>
        <v>105,213</v>
      </c>
      <c r="AD218" s="4" t="str">
        <f t="shared" si="217"/>
        <v>106,102</v>
      </c>
      <c r="AE218" s="4" t="str">
        <f t="shared" si="218"/>
        <v>3,300</v>
      </c>
      <c r="AG218" s="4" t="str">
        <f t="shared" si="237"/>
        <v>104,43</v>
      </c>
      <c r="AH218" s="4" t="str">
        <f t="shared" si="220"/>
        <v>105,21</v>
      </c>
      <c r="AI218" s="4" t="str">
        <f t="shared" si="221"/>
        <v>106,11</v>
      </c>
      <c r="AJ218" s="4" t="str">
        <f t="shared" si="238"/>
        <v>1,1482</v>
      </c>
    </row>
    <row r="219" spans="1:36" s="4" customFormat="1" x14ac:dyDescent="0.25">
      <c r="A219" s="21">
        <v>74</v>
      </c>
      <c r="B219" s="22">
        <f>IF(关卡产出!C284="","",关卡产出!C284)</f>
        <v>87</v>
      </c>
      <c r="C219" s="22">
        <f>IF(关卡产出!D284="","",关卡产出!D284)</f>
        <v>44</v>
      </c>
      <c r="D219" s="22">
        <f>IF(关卡产出!E284="","",关卡产出!E284)</f>
        <v>21</v>
      </c>
      <c r="E219" s="22">
        <f>IF(关卡产出!F284="","",关卡产出!F284)</f>
        <v>1185</v>
      </c>
      <c r="F219" s="22">
        <f>IF(关卡产出!H284="","",关卡产出!H284)</f>
        <v>21150</v>
      </c>
      <c r="G219" s="22">
        <f>IF(关卡产出!J284="","",关卡产出!J284)</f>
        <v>42000</v>
      </c>
      <c r="H219" s="22">
        <f>IF(关卡产出!K284="","",关卡产出!K284)</f>
        <v>6</v>
      </c>
      <c r="I219" s="22">
        <f>IF(关卡产出!M284="","",关卡产出!M284)</f>
        <v>432</v>
      </c>
      <c r="J219" s="22">
        <f>IF(关卡产出!N284="","",关卡产出!N284)</f>
        <v>216</v>
      </c>
      <c r="K219" s="22">
        <f>IF(关卡产出!O284="","",关卡产出!O284)</f>
        <v>104</v>
      </c>
      <c r="L219" s="22">
        <f>IF(关卡产出!P284="","",关卡产出!P284)</f>
        <v>300</v>
      </c>
      <c r="N219" s="4" t="str">
        <f t="shared" si="232"/>
        <v>104,87|105,44|106,21|1,1185</v>
      </c>
      <c r="P219" t="str">
        <f t="shared" si="230"/>
        <v>1,21150</v>
      </c>
      <c r="Q219" t="str">
        <f t="shared" si="231"/>
        <v>162,1|1,42000|4,6</v>
      </c>
      <c r="R219" s="4" t="str">
        <f t="shared" si="233"/>
        <v>104,432|105,216|106,104|3,300</v>
      </c>
      <c r="S219" s="4" t="str">
        <f t="shared" si="234"/>
        <v>104,44|105,22|106,11|1,1482</v>
      </c>
      <c r="V219" s="4" t="str">
        <f t="shared" si="235"/>
        <v>104,87</v>
      </c>
      <c r="W219" s="4" t="str">
        <f t="shared" si="212"/>
        <v>105,44</v>
      </c>
      <c r="X219" s="4" t="str">
        <f t="shared" si="213"/>
        <v>106,21</v>
      </c>
      <c r="Y219" s="4" t="str">
        <f t="shared" si="214"/>
        <v>1,1185</v>
      </c>
      <c r="AB219" s="4" t="str">
        <f t="shared" si="236"/>
        <v>104,432</v>
      </c>
      <c r="AC219" s="4" t="str">
        <f t="shared" si="216"/>
        <v>105,216</v>
      </c>
      <c r="AD219" s="4" t="str">
        <f t="shared" si="217"/>
        <v>106,104</v>
      </c>
      <c r="AE219" s="4" t="str">
        <f t="shared" si="218"/>
        <v>3,300</v>
      </c>
      <c r="AG219" s="4" t="str">
        <f t="shared" si="237"/>
        <v>104,44</v>
      </c>
      <c r="AH219" s="4" t="str">
        <f t="shared" si="220"/>
        <v>105,22</v>
      </c>
      <c r="AI219" s="4" t="str">
        <f t="shared" si="221"/>
        <v>106,11</v>
      </c>
      <c r="AJ219" s="4" t="str">
        <f t="shared" si="238"/>
        <v>1,1482</v>
      </c>
    </row>
    <row r="220" spans="1:36" s="4" customFormat="1" x14ac:dyDescent="0.25">
      <c r="A220" s="21">
        <v>75</v>
      </c>
      <c r="B220" s="22">
        <f>IF(关卡产出!C285="","",关卡产出!C285)</f>
        <v>87</v>
      </c>
      <c r="C220" s="22">
        <f>IF(关卡产出!D285="","",关卡产出!D285)</f>
        <v>44</v>
      </c>
      <c r="D220" s="22">
        <f>IF(关卡产出!E285="","",关卡产出!E285)</f>
        <v>21</v>
      </c>
      <c r="E220" s="22">
        <f>IF(关卡产出!F285="","",关卡产出!F285)</f>
        <v>1215</v>
      </c>
      <c r="F220" s="22">
        <f>IF(关卡产出!H285="","",关卡产出!H285)</f>
        <v>21450</v>
      </c>
      <c r="G220" s="22">
        <f>IF(关卡产出!J285="","",关卡产出!J285)</f>
        <v>42600</v>
      </c>
      <c r="H220" s="22">
        <f>IF(关卡产出!K285="","",关卡产出!K285)</f>
        <v>6</v>
      </c>
      <c r="I220" s="22">
        <f>IF(关卡产出!M285="","",关卡产出!M285)</f>
        <v>438</v>
      </c>
      <c r="J220" s="22">
        <f>IF(关卡产出!N285="","",关卡产出!N285)</f>
        <v>219</v>
      </c>
      <c r="K220" s="22">
        <f>IF(关卡产出!O285="","",关卡产出!O285)</f>
        <v>105</v>
      </c>
      <c r="L220" s="22">
        <f>IF(关卡产出!P285="","",关卡产出!P285)</f>
        <v>300</v>
      </c>
      <c r="N220" s="4" t="str">
        <f t="shared" si="232"/>
        <v>104,87|105,44|106,21|1,1215</v>
      </c>
      <c r="P220" t="str">
        <f t="shared" si="230"/>
        <v>1,21450</v>
      </c>
      <c r="Q220" t="str">
        <f t="shared" si="231"/>
        <v>162,1|1,42600|4,6</v>
      </c>
      <c r="R220" s="4" t="str">
        <f t="shared" si="233"/>
        <v>104,438|105,219|106,105|3,300</v>
      </c>
      <c r="S220" s="4" t="str">
        <f t="shared" si="234"/>
        <v>104,44|105,22|106,11|1,1519</v>
      </c>
      <c r="V220" s="4" t="str">
        <f t="shared" si="235"/>
        <v>104,87</v>
      </c>
      <c r="W220" s="4" t="str">
        <f t="shared" si="212"/>
        <v>105,44</v>
      </c>
      <c r="X220" s="4" t="str">
        <f t="shared" si="213"/>
        <v>106,21</v>
      </c>
      <c r="Y220" s="4" t="str">
        <f t="shared" si="214"/>
        <v>1,1215</v>
      </c>
      <c r="AB220" s="4" t="str">
        <f t="shared" si="236"/>
        <v>104,438</v>
      </c>
      <c r="AC220" s="4" t="str">
        <f t="shared" si="216"/>
        <v>105,219</v>
      </c>
      <c r="AD220" s="4" t="str">
        <f t="shared" si="217"/>
        <v>106,105</v>
      </c>
      <c r="AE220" s="4" t="str">
        <f t="shared" si="218"/>
        <v>3,300</v>
      </c>
      <c r="AG220" s="4" t="str">
        <f t="shared" si="237"/>
        <v>104,44</v>
      </c>
      <c r="AH220" s="4" t="str">
        <f t="shared" si="220"/>
        <v>105,22</v>
      </c>
      <c r="AI220" s="4" t="str">
        <f t="shared" si="221"/>
        <v>106,11</v>
      </c>
      <c r="AJ220" s="4" t="str">
        <f t="shared" si="238"/>
        <v>1,1519</v>
      </c>
    </row>
    <row r="221" spans="1:36" s="4" customFormat="1" x14ac:dyDescent="0.25">
      <c r="A221" s="21">
        <v>76</v>
      </c>
      <c r="B221" s="22">
        <f>IF(关卡产出!C286="","",关卡产出!C286)</f>
        <v>89</v>
      </c>
      <c r="C221" s="22">
        <f>IF(关卡产出!D286="","",关卡产出!D286)</f>
        <v>44</v>
      </c>
      <c r="D221" s="22">
        <f>IF(关卡产出!E286="","",关卡产出!E286)</f>
        <v>21</v>
      </c>
      <c r="E221" s="22">
        <f>IF(关卡产出!F286="","",关卡产出!F286)</f>
        <v>1215</v>
      </c>
      <c r="F221" s="22">
        <f>IF(关卡产出!H286="","",关卡产出!H286)</f>
        <v>21750</v>
      </c>
      <c r="G221" s="22">
        <f>IF(关卡产出!J286="","",关卡产出!J286)</f>
        <v>43200</v>
      </c>
      <c r="H221" s="22">
        <f>IF(关卡产出!K286="","",关卡产出!K286)</f>
        <v>6</v>
      </c>
      <c r="I221" s="22">
        <f>IF(关卡产出!M286="","",关卡产出!M286)</f>
        <v>444</v>
      </c>
      <c r="J221" s="22">
        <f>IF(关卡产出!N286="","",关卡产出!N286)</f>
        <v>222</v>
      </c>
      <c r="K221" s="22">
        <f>IF(关卡产出!O286="","",关卡产出!O286)</f>
        <v>107</v>
      </c>
      <c r="L221" s="22">
        <f>IF(关卡产出!P286="","",关卡产出!P286)</f>
        <v>300</v>
      </c>
      <c r="N221" s="4" t="str">
        <f t="shared" si="232"/>
        <v>104,89|105,44|106,21|1,1215</v>
      </c>
      <c r="P221" t="str">
        <f t="shared" si="230"/>
        <v>1,21750</v>
      </c>
      <c r="Q221" t="str">
        <f t="shared" si="231"/>
        <v>162,1|1,43200|4,6</v>
      </c>
      <c r="R221" s="4" t="str">
        <f t="shared" si="233"/>
        <v>104,444|105,222|106,107|3,300</v>
      </c>
      <c r="S221" s="4" t="str">
        <f t="shared" si="234"/>
        <v>104,45|105,22|106,11|1,1519</v>
      </c>
      <c r="V221" s="4" t="str">
        <f t="shared" si="235"/>
        <v>104,89</v>
      </c>
      <c r="W221" s="4" t="str">
        <f t="shared" si="212"/>
        <v>105,44</v>
      </c>
      <c r="X221" s="4" t="str">
        <f t="shared" si="213"/>
        <v>106,21</v>
      </c>
      <c r="Y221" s="4" t="str">
        <f t="shared" si="214"/>
        <v>1,1215</v>
      </c>
      <c r="AB221" s="4" t="str">
        <f t="shared" si="236"/>
        <v>104,444</v>
      </c>
      <c r="AC221" s="4" t="str">
        <f t="shared" si="216"/>
        <v>105,222</v>
      </c>
      <c r="AD221" s="4" t="str">
        <f t="shared" si="217"/>
        <v>106,107</v>
      </c>
      <c r="AE221" s="4" t="str">
        <f t="shared" si="218"/>
        <v>3,300</v>
      </c>
      <c r="AG221" s="4" t="str">
        <f t="shared" si="237"/>
        <v>104,45</v>
      </c>
      <c r="AH221" s="4" t="str">
        <f t="shared" si="220"/>
        <v>105,22</v>
      </c>
      <c r="AI221" s="4" t="str">
        <f t="shared" si="221"/>
        <v>106,11</v>
      </c>
      <c r="AJ221" s="4" t="str">
        <f t="shared" si="238"/>
        <v>1,1519</v>
      </c>
    </row>
    <row r="222" spans="1:36" s="4" customFormat="1" x14ac:dyDescent="0.25">
      <c r="A222" s="21">
        <v>77</v>
      </c>
      <c r="B222" s="22">
        <f>IF(关卡产出!C287="","",关卡产出!C287)</f>
        <v>90</v>
      </c>
      <c r="C222" s="22">
        <f>IF(关卡产出!D287="","",关卡产出!D287)</f>
        <v>45</v>
      </c>
      <c r="D222" s="22">
        <f>IF(关卡产出!E287="","",关卡产出!E287)</f>
        <v>21</v>
      </c>
      <c r="E222" s="22">
        <f>IF(关卡产出!F287="","",关卡产出!F287)</f>
        <v>1245</v>
      </c>
      <c r="F222" s="22">
        <f>IF(关卡产出!H287="","",关卡产出!H287)</f>
        <v>22050</v>
      </c>
      <c r="G222" s="22">
        <f>IF(关卡产出!J287="","",关卡产出!J287)</f>
        <v>43800</v>
      </c>
      <c r="H222" s="22">
        <f>IF(关卡产出!K287="","",关卡产出!K287)</f>
        <v>6</v>
      </c>
      <c r="I222" s="22">
        <f>IF(关卡产出!M287="","",关卡产出!M287)</f>
        <v>450</v>
      </c>
      <c r="J222" s="22">
        <f>IF(关卡产出!N287="","",关卡产出!N287)</f>
        <v>225</v>
      </c>
      <c r="K222" s="22">
        <f>IF(关卡产出!O287="","",关卡产出!O287)</f>
        <v>108</v>
      </c>
      <c r="L222" s="22">
        <f>IF(关卡产出!P287="","",关卡产出!P287)</f>
        <v>300</v>
      </c>
      <c r="N222" s="4" t="str">
        <f t="shared" si="232"/>
        <v>104,90|105,45|106,21|1,1245</v>
      </c>
      <c r="P222" t="str">
        <f t="shared" si="230"/>
        <v>1,22050</v>
      </c>
      <c r="Q222" t="str">
        <f t="shared" si="231"/>
        <v>162,1|1,43800|4,6</v>
      </c>
      <c r="R222" s="4" t="str">
        <f t="shared" si="233"/>
        <v>104,450|105,225|106,108|3,300</v>
      </c>
      <c r="S222" s="4" t="str">
        <f t="shared" si="234"/>
        <v>104,45|105,23|106,11|1,1557</v>
      </c>
      <c r="V222" s="4" t="str">
        <f t="shared" si="235"/>
        <v>104,90</v>
      </c>
      <c r="W222" s="4" t="str">
        <f t="shared" si="212"/>
        <v>105,45</v>
      </c>
      <c r="X222" s="4" t="str">
        <f t="shared" si="213"/>
        <v>106,21</v>
      </c>
      <c r="Y222" s="4" t="str">
        <f t="shared" si="214"/>
        <v>1,1245</v>
      </c>
      <c r="AB222" s="4" t="str">
        <f t="shared" si="236"/>
        <v>104,450</v>
      </c>
      <c r="AC222" s="4" t="str">
        <f t="shared" si="216"/>
        <v>105,225</v>
      </c>
      <c r="AD222" s="4" t="str">
        <f t="shared" si="217"/>
        <v>106,108</v>
      </c>
      <c r="AE222" s="4" t="str">
        <f t="shared" si="218"/>
        <v>3,300</v>
      </c>
      <c r="AG222" s="4" t="str">
        <f t="shared" si="237"/>
        <v>104,45</v>
      </c>
      <c r="AH222" s="4" t="str">
        <f t="shared" si="220"/>
        <v>105,23</v>
      </c>
      <c r="AI222" s="4" t="str">
        <f t="shared" si="221"/>
        <v>106,11</v>
      </c>
      <c r="AJ222" s="4" t="str">
        <f t="shared" si="238"/>
        <v>1,1557</v>
      </c>
    </row>
    <row r="223" spans="1:36" s="4" customFormat="1" x14ac:dyDescent="0.25">
      <c r="A223" s="21">
        <v>78</v>
      </c>
      <c r="B223" s="22">
        <f>IF(关卡产出!C288="","",关卡产出!C288)</f>
        <v>92</v>
      </c>
      <c r="C223" s="22">
        <f>IF(关卡产出!D288="","",关卡产出!D288)</f>
        <v>45</v>
      </c>
      <c r="D223" s="22">
        <f>IF(关卡产出!E288="","",关卡产出!E288)</f>
        <v>23</v>
      </c>
      <c r="E223" s="22">
        <f>IF(关卡产出!F288="","",关卡产出!F288)</f>
        <v>1245</v>
      </c>
      <c r="F223" s="22">
        <f>IF(关卡产出!H288="","",关卡产出!H288)</f>
        <v>22350</v>
      </c>
      <c r="G223" s="22">
        <f>IF(关卡产出!J288="","",关卡产出!J288)</f>
        <v>44400</v>
      </c>
      <c r="H223" s="22">
        <f>IF(关卡产出!K288="","",关卡产出!K288)</f>
        <v>6</v>
      </c>
      <c r="I223" s="22">
        <f>IF(关卡产出!M288="","",关卡产出!M288)</f>
        <v>456</v>
      </c>
      <c r="J223" s="22">
        <f>IF(关卡产出!N288="","",关卡产出!N288)</f>
        <v>228</v>
      </c>
      <c r="K223" s="22">
        <f>IF(关卡产出!O288="","",关卡产出!O288)</f>
        <v>110</v>
      </c>
      <c r="L223" s="22">
        <f>IF(关卡产出!P288="","",关卡产出!P288)</f>
        <v>300</v>
      </c>
      <c r="N223" s="4" t="str">
        <f t="shared" si="232"/>
        <v>104,92|105,45|106,23|1,1245</v>
      </c>
      <c r="P223" t="str">
        <f t="shared" si="230"/>
        <v>1,22350</v>
      </c>
      <c r="Q223" t="str">
        <f t="shared" si="231"/>
        <v>162,1|1,44400|4,6</v>
      </c>
      <c r="R223" s="4" t="str">
        <f t="shared" si="233"/>
        <v>104,456|105,228|106,110|3,300</v>
      </c>
      <c r="S223" s="4" t="str">
        <f t="shared" si="234"/>
        <v>104,46|105,23|106,12|1,1557</v>
      </c>
      <c r="V223" s="4" t="str">
        <f t="shared" si="235"/>
        <v>104,92</v>
      </c>
      <c r="W223" s="4" t="str">
        <f t="shared" si="212"/>
        <v>105,45</v>
      </c>
      <c r="X223" s="4" t="str">
        <f t="shared" si="213"/>
        <v>106,23</v>
      </c>
      <c r="Y223" s="4" t="str">
        <f t="shared" si="214"/>
        <v>1,1245</v>
      </c>
      <c r="AB223" s="4" t="str">
        <f t="shared" si="236"/>
        <v>104,456</v>
      </c>
      <c r="AC223" s="4" t="str">
        <f t="shared" si="216"/>
        <v>105,228</v>
      </c>
      <c r="AD223" s="4" t="str">
        <f t="shared" si="217"/>
        <v>106,110</v>
      </c>
      <c r="AE223" s="4" t="str">
        <f t="shared" si="218"/>
        <v>3,300</v>
      </c>
      <c r="AG223" s="4" t="str">
        <f t="shared" si="237"/>
        <v>104,46</v>
      </c>
      <c r="AH223" s="4" t="str">
        <f t="shared" si="220"/>
        <v>105,23</v>
      </c>
      <c r="AI223" s="4" t="str">
        <f t="shared" si="221"/>
        <v>106,12</v>
      </c>
      <c r="AJ223" s="4" t="str">
        <f t="shared" si="238"/>
        <v>1,1557</v>
      </c>
    </row>
    <row r="224" spans="1:36" s="5" customFormat="1" x14ac:dyDescent="0.25">
      <c r="A224" s="21">
        <v>79</v>
      </c>
      <c r="B224" s="23">
        <f>IF(关卡产出!C289="","",关卡产出!C289)</f>
        <v>93</v>
      </c>
      <c r="C224" s="23">
        <f>IF(关卡产出!D289="","",关卡产出!D289)</f>
        <v>47</v>
      </c>
      <c r="D224" s="23">
        <f>IF(关卡产出!E289="","",关卡产出!E289)</f>
        <v>23</v>
      </c>
      <c r="E224" s="23">
        <f>IF(关卡产出!F289="","",关卡产出!F289)</f>
        <v>1275</v>
      </c>
      <c r="F224" s="23">
        <f>IF(关卡产出!H289="","",关卡产出!H289)</f>
        <v>22650</v>
      </c>
      <c r="G224" s="23">
        <f>IF(关卡产出!J289="","",关卡产出!J289)</f>
        <v>45000</v>
      </c>
      <c r="H224" s="23">
        <f>IF(关卡产出!K289="","",关卡产出!K289)</f>
        <v>6</v>
      </c>
      <c r="I224" s="23">
        <f>IF(关卡产出!M289="","",关卡产出!M289)</f>
        <v>462</v>
      </c>
      <c r="J224" s="23">
        <f>IF(关卡产出!N289="","",关卡产出!N289)</f>
        <v>231</v>
      </c>
      <c r="K224" s="23">
        <f>IF(关卡产出!O289="","",关卡产出!O289)</f>
        <v>111</v>
      </c>
      <c r="L224" s="23">
        <f>IF(关卡产出!P289="","",关卡产出!P289)</f>
        <v>300</v>
      </c>
      <c r="N224" s="5" t="str">
        <f t="shared" si="232"/>
        <v>104,93|105,47|106,23|1,1275</v>
      </c>
      <c r="P224" t="str">
        <f t="shared" si="230"/>
        <v>1,22650</v>
      </c>
      <c r="Q224" t="str">
        <f t="shared" si="231"/>
        <v>162,1|1,45000|4,6</v>
      </c>
      <c r="R224" s="5" t="str">
        <f t="shared" si="233"/>
        <v>104,462|105,231|106,111|3,300</v>
      </c>
      <c r="S224" s="5" t="str">
        <f t="shared" si="234"/>
        <v>104,47|105,24|106,12|1,1594</v>
      </c>
      <c r="V224" s="5" t="str">
        <f t="shared" si="235"/>
        <v>104,93</v>
      </c>
      <c r="W224" s="5" t="str">
        <f t="shared" si="212"/>
        <v>105,47</v>
      </c>
      <c r="X224" s="5" t="str">
        <f t="shared" si="213"/>
        <v>106,23</v>
      </c>
      <c r="Y224" s="5" t="str">
        <f t="shared" si="214"/>
        <v>1,1275</v>
      </c>
      <c r="AB224" s="5" t="str">
        <f t="shared" si="236"/>
        <v>104,462</v>
      </c>
      <c r="AC224" s="5" t="str">
        <f t="shared" si="216"/>
        <v>105,231</v>
      </c>
      <c r="AD224" s="5" t="str">
        <f t="shared" si="217"/>
        <v>106,111</v>
      </c>
      <c r="AE224" s="5" t="str">
        <f t="shared" si="218"/>
        <v>3,300</v>
      </c>
      <c r="AG224" s="5" t="str">
        <f t="shared" si="237"/>
        <v>104,47</v>
      </c>
      <c r="AH224" s="5" t="str">
        <f t="shared" si="220"/>
        <v>105,24</v>
      </c>
      <c r="AI224" s="5" t="str">
        <f t="shared" si="221"/>
        <v>106,12</v>
      </c>
      <c r="AJ224" s="5" t="str">
        <f t="shared" si="238"/>
        <v>1,1594</v>
      </c>
    </row>
    <row r="225" spans="1:36" s="4" customFormat="1" x14ac:dyDescent="0.25">
      <c r="A225" s="21">
        <v>80</v>
      </c>
      <c r="B225" s="22">
        <f>IF(关卡产出!C290="","",关卡产出!C290)</f>
        <v>93</v>
      </c>
      <c r="C225" s="22">
        <f>IF(关卡产出!D290="","",关卡产出!D290)</f>
        <v>47</v>
      </c>
      <c r="D225" s="22">
        <f>IF(关卡产出!E290="","",关卡产出!E290)</f>
        <v>23</v>
      </c>
      <c r="E225" s="22">
        <f>IF(关卡产出!F290="","",关卡产出!F290)</f>
        <v>1275</v>
      </c>
      <c r="F225" s="22">
        <f>IF(关卡产出!H290="","",关卡产出!H290)</f>
        <v>22950</v>
      </c>
      <c r="G225" s="22">
        <f>IF(关卡产出!J290="","",关卡产出!J290)</f>
        <v>45600</v>
      </c>
      <c r="H225" s="22">
        <f>IF(关卡产出!K290="","",关卡产出!K290)</f>
        <v>6</v>
      </c>
      <c r="I225" s="22">
        <f>IF(关卡产出!M290="","",关卡产出!M290)</f>
        <v>468</v>
      </c>
      <c r="J225" s="22">
        <f>IF(关卡产出!N290="","",关卡产出!N290)</f>
        <v>234</v>
      </c>
      <c r="K225" s="22">
        <f>IF(关卡产出!O290="","",关卡产出!O290)</f>
        <v>113</v>
      </c>
      <c r="L225" s="22">
        <f>IF(关卡产出!P290="","",关卡产出!P290)</f>
        <v>300</v>
      </c>
      <c r="N225" s="4" t="str">
        <f t="shared" si="232"/>
        <v>104,93|105,47|106,23|1,1275</v>
      </c>
      <c r="P225" t="str">
        <f t="shared" si="230"/>
        <v>1,22950</v>
      </c>
      <c r="Q225" t="str">
        <f t="shared" si="231"/>
        <v>162,1|1,45600|4,6</v>
      </c>
      <c r="R225" s="4" t="str">
        <f t="shared" si="233"/>
        <v>104,468|105,234|106,113|3,300</v>
      </c>
      <c r="S225" s="4" t="str">
        <f t="shared" si="234"/>
        <v>104,47|105,24|106,12|1,1594</v>
      </c>
      <c r="V225" s="4" t="str">
        <f t="shared" si="235"/>
        <v>104,93</v>
      </c>
      <c r="W225" s="4" t="str">
        <f t="shared" si="212"/>
        <v>105,47</v>
      </c>
      <c r="X225" s="4" t="str">
        <f t="shared" si="213"/>
        <v>106,23</v>
      </c>
      <c r="Y225" s="4" t="str">
        <f t="shared" si="214"/>
        <v>1,1275</v>
      </c>
      <c r="AB225" s="4" t="str">
        <f t="shared" si="236"/>
        <v>104,468</v>
      </c>
      <c r="AC225" s="4" t="str">
        <f t="shared" si="216"/>
        <v>105,234</v>
      </c>
      <c r="AD225" s="4" t="str">
        <f t="shared" si="217"/>
        <v>106,113</v>
      </c>
      <c r="AE225" s="4" t="str">
        <f t="shared" si="218"/>
        <v>3,300</v>
      </c>
      <c r="AG225" s="4" t="str">
        <f t="shared" si="237"/>
        <v>104,47</v>
      </c>
      <c r="AH225" s="4" t="str">
        <f t="shared" si="220"/>
        <v>105,24</v>
      </c>
      <c r="AI225" s="4" t="str">
        <f t="shared" si="221"/>
        <v>106,12</v>
      </c>
      <c r="AJ225" s="4" t="str">
        <f t="shared" si="238"/>
        <v>1,1594</v>
      </c>
    </row>
    <row r="226" spans="1:36" x14ac:dyDescent="0.25">
      <c r="A226" s="14">
        <v>81</v>
      </c>
      <c r="B226" s="15">
        <f>IF(关卡产出!C291="","",关卡产出!C291)</f>
        <v>95</v>
      </c>
      <c r="C226" s="15">
        <f>IF(关卡产出!D291="","",关卡产出!D291)</f>
        <v>47</v>
      </c>
      <c r="D226" s="15">
        <f>IF(关卡产出!E291="","",关卡产出!E291)</f>
        <v>23</v>
      </c>
      <c r="E226" s="15">
        <f>IF(关卡产出!F291="","",关卡产出!F291)</f>
        <v>1305</v>
      </c>
      <c r="F226" s="15">
        <f>IF(关卡产出!H291="","",关卡产出!H291)</f>
        <v>23250</v>
      </c>
      <c r="G226" s="15">
        <f>IF(关卡产出!J291="","",关卡产出!J291)</f>
        <v>46200</v>
      </c>
      <c r="H226" s="15">
        <f>IF(关卡产出!K291="","",关卡产出!K291)</f>
        <v>6</v>
      </c>
      <c r="I226" s="15">
        <f>IF(关卡产出!M291="","",关卡产出!M291)</f>
        <v>474</v>
      </c>
      <c r="J226" s="15">
        <f>IF(关卡产出!N291="","",关卡产出!N291)</f>
        <v>237</v>
      </c>
      <c r="K226" s="15">
        <f>IF(关卡产出!O291="","",关卡产出!O291)</f>
        <v>114</v>
      </c>
      <c r="L226" s="15">
        <f>IF(关卡产出!P291="","",关卡产出!P291)</f>
        <v>300</v>
      </c>
      <c r="N226" t="str">
        <f t="shared" si="232"/>
        <v>104,95|105,47|106,23|1,1305</v>
      </c>
      <c r="P226" t="str">
        <f t="shared" si="230"/>
        <v>1,23250</v>
      </c>
      <c r="Q226" t="str">
        <f t="shared" si="231"/>
        <v>162,1|1,46200|4,6</v>
      </c>
      <c r="R226" t="str">
        <f t="shared" si="233"/>
        <v>104,474|105,237|106,114|3,300</v>
      </c>
      <c r="S226" t="str">
        <f t="shared" si="234"/>
        <v>104,48|105,24|106,12|1,1632</v>
      </c>
      <c r="V226" t="str">
        <f t="shared" si="235"/>
        <v>104,95</v>
      </c>
      <c r="W226" t="str">
        <f t="shared" si="212"/>
        <v>105,47</v>
      </c>
      <c r="X226" t="str">
        <f t="shared" si="213"/>
        <v>106,23</v>
      </c>
      <c r="Y226" t="str">
        <f t="shared" si="214"/>
        <v>1,1305</v>
      </c>
      <c r="AB226" t="str">
        <f t="shared" si="236"/>
        <v>104,474</v>
      </c>
      <c r="AC226" t="str">
        <f t="shared" si="216"/>
        <v>105,237</v>
      </c>
      <c r="AD226" t="str">
        <f t="shared" si="217"/>
        <v>106,114</v>
      </c>
      <c r="AE226" t="str">
        <f t="shared" si="218"/>
        <v>3,300</v>
      </c>
      <c r="AG226" t="str">
        <f t="shared" si="237"/>
        <v>104,48</v>
      </c>
      <c r="AH226" t="str">
        <f t="shared" si="220"/>
        <v>105,24</v>
      </c>
      <c r="AI226" t="str">
        <f t="shared" si="221"/>
        <v>106,12</v>
      </c>
      <c r="AJ226" t="str">
        <f t="shared" si="238"/>
        <v>1,1632</v>
      </c>
    </row>
    <row r="227" spans="1:36" x14ac:dyDescent="0.25">
      <c r="A227" s="14">
        <v>82</v>
      </c>
      <c r="B227" s="15">
        <f>IF(关卡产出!C292="","",关卡产出!C292)</f>
        <v>96</v>
      </c>
      <c r="C227" s="15">
        <f>IF(关卡产出!D292="","",关卡产出!D292)</f>
        <v>48</v>
      </c>
      <c r="D227" s="15">
        <f>IF(关卡产出!E292="","",关卡产出!E292)</f>
        <v>23</v>
      </c>
      <c r="E227" s="15">
        <f>IF(关卡产出!F292="","",关卡产出!F292)</f>
        <v>1305</v>
      </c>
      <c r="F227" s="15">
        <f>IF(关卡产出!H292="","",关卡产出!H292)</f>
        <v>23550</v>
      </c>
      <c r="G227" s="15">
        <f>IF(关卡产出!J292="","",关卡产出!J292)</f>
        <v>46800</v>
      </c>
      <c r="H227" s="15">
        <f>IF(关卡产出!K292="","",关卡产出!K292)</f>
        <v>6</v>
      </c>
      <c r="I227" s="15">
        <f>IF(关卡产出!M292="","",关卡产出!M292)</f>
        <v>480</v>
      </c>
      <c r="J227" s="15">
        <f>IF(关卡产出!N292="","",关卡产出!N292)</f>
        <v>240</v>
      </c>
      <c r="K227" s="15">
        <f>IF(关卡产出!O292="","",关卡产出!O292)</f>
        <v>116</v>
      </c>
      <c r="L227" s="15">
        <f>IF(关卡产出!P292="","",关卡产出!P292)</f>
        <v>300</v>
      </c>
      <c r="N227" t="str">
        <f t="shared" si="232"/>
        <v>104,96|105,48|106,23|1,1305</v>
      </c>
      <c r="P227" t="str">
        <f t="shared" si="230"/>
        <v>1,23550</v>
      </c>
      <c r="Q227" t="str">
        <f t="shared" si="231"/>
        <v>162,1|1,46800|4,6</v>
      </c>
      <c r="R227" t="str">
        <f t="shared" si="233"/>
        <v>104,480|105,240|106,116|3,300</v>
      </c>
      <c r="S227" t="str">
        <f t="shared" si="234"/>
        <v>104,48|105,24|106,12|1,1632</v>
      </c>
      <c r="V227" t="str">
        <f t="shared" si="235"/>
        <v>104,96</v>
      </c>
      <c r="W227" t="str">
        <f t="shared" si="212"/>
        <v>105,48</v>
      </c>
      <c r="X227" t="str">
        <f t="shared" si="213"/>
        <v>106,23</v>
      </c>
      <c r="Y227" t="str">
        <f t="shared" si="214"/>
        <v>1,1305</v>
      </c>
      <c r="AB227" t="str">
        <f t="shared" si="236"/>
        <v>104,480</v>
      </c>
      <c r="AC227" t="str">
        <f t="shared" si="216"/>
        <v>105,240</v>
      </c>
      <c r="AD227" t="str">
        <f t="shared" si="217"/>
        <v>106,116</v>
      </c>
      <c r="AE227" t="str">
        <f t="shared" si="218"/>
        <v>3,300</v>
      </c>
      <c r="AG227" t="str">
        <f t="shared" si="237"/>
        <v>104,48</v>
      </c>
      <c r="AH227" t="str">
        <f t="shared" si="220"/>
        <v>105,24</v>
      </c>
      <c r="AI227" t="str">
        <f t="shared" si="221"/>
        <v>106,12</v>
      </c>
      <c r="AJ227" t="str">
        <f t="shared" si="238"/>
        <v>1,1632</v>
      </c>
    </row>
    <row r="228" spans="1:36" x14ac:dyDescent="0.25">
      <c r="A228" s="14">
        <v>83</v>
      </c>
      <c r="B228" s="15">
        <f>IF(关卡产出!C293="","",关卡产出!C293)</f>
        <v>98</v>
      </c>
      <c r="C228" s="15">
        <f>IF(关卡产出!D293="","",关卡产出!D293)</f>
        <v>48</v>
      </c>
      <c r="D228" s="15">
        <f>IF(关卡产出!E293="","",关卡产出!E293)</f>
        <v>24</v>
      </c>
      <c r="E228" s="15">
        <f>IF(关卡产出!F293="","",关卡产出!F293)</f>
        <v>1335</v>
      </c>
      <c r="F228" s="15">
        <f>IF(关卡产出!H293="","",关卡产出!H293)</f>
        <v>23850</v>
      </c>
      <c r="G228" s="15">
        <f>IF(关卡产出!J293="","",关卡产出!J293)</f>
        <v>47400</v>
      </c>
      <c r="H228" s="15">
        <f>IF(关卡产出!K293="","",关卡产出!K293)</f>
        <v>6</v>
      </c>
      <c r="I228" s="15">
        <f>IF(关卡产出!M293="","",关卡产出!M293)</f>
        <v>486</v>
      </c>
      <c r="J228" s="15">
        <f>IF(关卡产出!N293="","",关卡产出!N293)</f>
        <v>243</v>
      </c>
      <c r="K228" s="15">
        <f>IF(关卡产出!O293="","",关卡产出!O293)</f>
        <v>117</v>
      </c>
      <c r="L228" s="15">
        <f>IF(关卡产出!P293="","",关卡产出!P293)</f>
        <v>300</v>
      </c>
      <c r="N228" t="str">
        <f t="shared" si="232"/>
        <v>104,98|105,48|106,24|1,1335</v>
      </c>
      <c r="P228" t="str">
        <f t="shared" si="230"/>
        <v>1,23850</v>
      </c>
      <c r="Q228" t="str">
        <f t="shared" si="231"/>
        <v>162,1|1,47400|4,6</v>
      </c>
      <c r="R228" t="str">
        <f t="shared" si="233"/>
        <v>104,486|105,243|106,117|3,300</v>
      </c>
      <c r="S228" t="str">
        <f t="shared" si="234"/>
        <v>104,49|105,24|106,12|1,1669</v>
      </c>
      <c r="V228" t="str">
        <f t="shared" si="235"/>
        <v>104,98</v>
      </c>
      <c r="W228" t="str">
        <f t="shared" si="212"/>
        <v>105,48</v>
      </c>
      <c r="X228" t="str">
        <f t="shared" si="213"/>
        <v>106,24</v>
      </c>
      <c r="Y228" t="str">
        <f t="shared" si="214"/>
        <v>1,1335</v>
      </c>
      <c r="AB228" t="str">
        <f t="shared" si="236"/>
        <v>104,486</v>
      </c>
      <c r="AC228" t="str">
        <f t="shared" si="216"/>
        <v>105,243</v>
      </c>
      <c r="AD228" t="str">
        <f t="shared" si="217"/>
        <v>106,117</v>
      </c>
      <c r="AE228" t="str">
        <f t="shared" si="218"/>
        <v>3,300</v>
      </c>
      <c r="AG228" t="str">
        <f t="shared" si="237"/>
        <v>104,49</v>
      </c>
      <c r="AH228" t="str">
        <f t="shared" si="220"/>
        <v>105,24</v>
      </c>
      <c r="AI228" t="str">
        <f t="shared" si="221"/>
        <v>106,12</v>
      </c>
      <c r="AJ228" t="str">
        <f t="shared" si="238"/>
        <v>1,1669</v>
      </c>
    </row>
    <row r="229" spans="1:36" x14ac:dyDescent="0.25">
      <c r="A229" s="14">
        <v>84</v>
      </c>
      <c r="B229" s="15">
        <f>IF(关卡产出!C294="","",关卡产出!C294)</f>
        <v>99</v>
      </c>
      <c r="C229" s="15">
        <f>IF(关卡产出!D294="","",关卡产出!D294)</f>
        <v>50</v>
      </c>
      <c r="D229" s="15">
        <f>IF(关卡产出!E294="","",关卡产出!E294)</f>
        <v>24</v>
      </c>
      <c r="E229" s="15">
        <f>IF(关卡产出!F294="","",关卡产出!F294)</f>
        <v>1335</v>
      </c>
      <c r="F229" s="15">
        <f>IF(关卡产出!H294="","",关卡产出!H294)</f>
        <v>24150</v>
      </c>
      <c r="G229" s="15">
        <f>IF(关卡产出!J294="","",关卡产出!J294)</f>
        <v>48000</v>
      </c>
      <c r="H229" s="15">
        <f>IF(关卡产出!K294="","",关卡产出!K294)</f>
        <v>6</v>
      </c>
      <c r="I229" s="15">
        <f>IF(关卡产出!M294="","",关卡产出!M294)</f>
        <v>492</v>
      </c>
      <c r="J229" s="15">
        <f>IF(关卡产出!N294="","",关卡产出!N294)</f>
        <v>246</v>
      </c>
      <c r="K229" s="15">
        <f>IF(关卡产出!O294="","",关卡产出!O294)</f>
        <v>119</v>
      </c>
      <c r="L229" s="15">
        <f>IF(关卡产出!P294="","",关卡产出!P294)</f>
        <v>300</v>
      </c>
      <c r="N229" t="str">
        <f t="shared" si="232"/>
        <v>104,99|105,50|106,24|1,1335</v>
      </c>
      <c r="P229" t="str">
        <f t="shared" si="230"/>
        <v>1,24150</v>
      </c>
      <c r="Q229" t="str">
        <f t="shared" si="231"/>
        <v>162,1|1,48000|4,6</v>
      </c>
      <c r="R229" t="str">
        <f t="shared" si="233"/>
        <v>104,492|105,246|106,119|3,300</v>
      </c>
      <c r="S229" t="str">
        <f t="shared" si="234"/>
        <v>104,50|105,25|106,12|1,1669</v>
      </c>
      <c r="V229" t="str">
        <f t="shared" si="235"/>
        <v>104,99</v>
      </c>
      <c r="W229" t="str">
        <f t="shared" si="212"/>
        <v>105,50</v>
      </c>
      <c r="X229" t="str">
        <f t="shared" si="213"/>
        <v>106,24</v>
      </c>
      <c r="Y229" t="str">
        <f t="shared" si="214"/>
        <v>1,1335</v>
      </c>
      <c r="AB229" t="str">
        <f t="shared" si="236"/>
        <v>104,492</v>
      </c>
      <c r="AC229" t="str">
        <f t="shared" si="216"/>
        <v>105,246</v>
      </c>
      <c r="AD229" t="str">
        <f t="shared" si="217"/>
        <v>106,119</v>
      </c>
      <c r="AE229" t="str">
        <f t="shared" si="218"/>
        <v>3,300</v>
      </c>
      <c r="AG229" t="str">
        <f t="shared" si="237"/>
        <v>104,50</v>
      </c>
      <c r="AH229" t="str">
        <f t="shared" si="220"/>
        <v>105,25</v>
      </c>
      <c r="AI229" t="str">
        <f t="shared" si="221"/>
        <v>106,12</v>
      </c>
      <c r="AJ229" t="str">
        <f t="shared" si="238"/>
        <v>1,1669</v>
      </c>
    </row>
    <row r="230" spans="1:36" x14ac:dyDescent="0.25">
      <c r="A230" s="14">
        <v>85</v>
      </c>
      <c r="B230" s="15">
        <f>IF(关卡产出!C295="","",关卡产出!C295)</f>
        <v>99</v>
      </c>
      <c r="C230" s="15">
        <f>IF(关卡产出!D295="","",关卡产出!D295)</f>
        <v>50</v>
      </c>
      <c r="D230" s="15">
        <f>IF(关卡产出!E295="","",关卡产出!E295)</f>
        <v>24</v>
      </c>
      <c r="E230" s="15">
        <f>IF(关卡产出!F295="","",关卡产出!F295)</f>
        <v>1365</v>
      </c>
      <c r="F230" s="15">
        <f>IF(关卡产出!H295="","",关卡产出!H295)</f>
        <v>24450</v>
      </c>
      <c r="G230" s="15">
        <f>IF(关卡产出!J295="","",关卡产出!J295)</f>
        <v>48600</v>
      </c>
      <c r="H230" s="15">
        <f>IF(关卡产出!K295="","",关卡产出!K295)</f>
        <v>6</v>
      </c>
      <c r="I230" s="15">
        <f>IF(关卡产出!M295="","",关卡产出!M295)</f>
        <v>498</v>
      </c>
      <c r="J230" s="15">
        <f>IF(关卡产出!N295="","",关卡产出!N295)</f>
        <v>249</v>
      </c>
      <c r="K230" s="15">
        <f>IF(关卡产出!O295="","",关卡产出!O295)</f>
        <v>120</v>
      </c>
      <c r="L230" s="15">
        <f>IF(关卡产出!P295="","",关卡产出!P295)</f>
        <v>300</v>
      </c>
      <c r="N230" t="str">
        <f t="shared" si="232"/>
        <v>104,99|105,50|106,24|1,1365</v>
      </c>
      <c r="P230" t="str">
        <f t="shared" si="230"/>
        <v>1,24450</v>
      </c>
      <c r="Q230" t="str">
        <f t="shared" si="231"/>
        <v>162,1|1,48600|4,6</v>
      </c>
      <c r="R230" t="str">
        <f t="shared" si="233"/>
        <v>104,498|105,249|106,120|3,300</v>
      </c>
      <c r="S230" t="str">
        <f t="shared" si="234"/>
        <v>104,50|105,25|106,12|1,1707</v>
      </c>
      <c r="V230" t="str">
        <f t="shared" si="235"/>
        <v>104,99</v>
      </c>
      <c r="W230" t="str">
        <f t="shared" si="212"/>
        <v>105,50</v>
      </c>
      <c r="X230" t="str">
        <f t="shared" si="213"/>
        <v>106,24</v>
      </c>
      <c r="Y230" t="str">
        <f t="shared" si="214"/>
        <v>1,1365</v>
      </c>
      <c r="AB230" t="str">
        <f t="shared" si="236"/>
        <v>104,498</v>
      </c>
      <c r="AC230" t="str">
        <f t="shared" si="216"/>
        <v>105,249</v>
      </c>
      <c r="AD230" t="str">
        <f t="shared" si="217"/>
        <v>106,120</v>
      </c>
      <c r="AE230" t="str">
        <f t="shared" si="218"/>
        <v>3,300</v>
      </c>
      <c r="AG230" t="str">
        <f t="shared" si="237"/>
        <v>104,50</v>
      </c>
      <c r="AH230" t="str">
        <f t="shared" si="220"/>
        <v>105,25</v>
      </c>
      <c r="AI230" t="str">
        <f t="shared" si="221"/>
        <v>106,12</v>
      </c>
      <c r="AJ230" t="str">
        <f t="shared" si="238"/>
        <v>1,1707</v>
      </c>
    </row>
    <row r="231" spans="1:36" x14ac:dyDescent="0.25">
      <c r="A231" s="14">
        <v>86</v>
      </c>
      <c r="B231" s="15">
        <f>IF(关卡产出!C296="","",关卡产出!C296)</f>
        <v>101</v>
      </c>
      <c r="C231" s="15">
        <f>IF(关卡产出!D296="","",关卡产出!D296)</f>
        <v>50</v>
      </c>
      <c r="D231" s="15">
        <f>IF(关卡产出!E296="","",关卡产出!E296)</f>
        <v>24</v>
      </c>
      <c r="E231" s="15">
        <f>IF(关卡产出!F296="","",关卡产出!F296)</f>
        <v>1365</v>
      </c>
      <c r="F231" s="15">
        <f>IF(关卡产出!H296="","",关卡产出!H296)</f>
        <v>24750</v>
      </c>
      <c r="G231" s="15">
        <f>IF(关卡产出!J296="","",关卡产出!J296)</f>
        <v>49200</v>
      </c>
      <c r="H231" s="15">
        <f>IF(关卡产出!K296="","",关卡产出!K296)</f>
        <v>6</v>
      </c>
      <c r="I231" s="15">
        <f>IF(关卡产出!M296="","",关卡产出!M296)</f>
        <v>504</v>
      </c>
      <c r="J231" s="15">
        <f>IF(关卡产出!N296="","",关卡产出!N296)</f>
        <v>252</v>
      </c>
      <c r="K231" s="15">
        <f>IF(关卡产出!O296="","",关卡产出!O296)</f>
        <v>122</v>
      </c>
      <c r="L231" s="15">
        <f>IF(关卡产出!P296="","",关卡产出!P296)</f>
        <v>300</v>
      </c>
      <c r="N231" t="str">
        <f t="shared" si="232"/>
        <v>104,101|105,50|106,24|1,1365</v>
      </c>
      <c r="P231" t="str">
        <f t="shared" si="230"/>
        <v>1,24750</v>
      </c>
      <c r="Q231" t="str">
        <f t="shared" si="231"/>
        <v>162,1|1,49200|4,6</v>
      </c>
      <c r="R231" t="str">
        <f t="shared" si="233"/>
        <v>104,504|105,252|106,122|3,300</v>
      </c>
      <c r="S231" t="str">
        <f t="shared" si="234"/>
        <v>104,51|105,25|106,12|1,1707</v>
      </c>
      <c r="V231" t="str">
        <f t="shared" si="235"/>
        <v>104,101</v>
      </c>
      <c r="W231" t="str">
        <f t="shared" si="212"/>
        <v>105,50</v>
      </c>
      <c r="X231" t="str">
        <f t="shared" si="213"/>
        <v>106,24</v>
      </c>
      <c r="Y231" t="str">
        <f t="shared" si="214"/>
        <v>1,1365</v>
      </c>
      <c r="AB231" t="str">
        <f t="shared" si="236"/>
        <v>104,504</v>
      </c>
      <c r="AC231" t="str">
        <f t="shared" si="216"/>
        <v>105,252</v>
      </c>
      <c r="AD231" t="str">
        <f t="shared" si="217"/>
        <v>106,122</v>
      </c>
      <c r="AE231" t="str">
        <f t="shared" si="218"/>
        <v>3,300</v>
      </c>
      <c r="AG231" t="str">
        <f t="shared" si="237"/>
        <v>104,51</v>
      </c>
      <c r="AH231" t="str">
        <f t="shared" si="220"/>
        <v>105,25</v>
      </c>
      <c r="AI231" t="str">
        <f t="shared" si="221"/>
        <v>106,12</v>
      </c>
      <c r="AJ231" t="str">
        <f t="shared" si="238"/>
        <v>1,1707</v>
      </c>
    </row>
    <row r="232" spans="1:36" x14ac:dyDescent="0.25">
      <c r="A232" s="14">
        <v>87</v>
      </c>
      <c r="B232" s="15">
        <f>IF(关卡产出!C297="","",关卡产出!C297)</f>
        <v>102</v>
      </c>
      <c r="C232" s="15">
        <f>IF(关卡产出!D297="","",关卡产出!D297)</f>
        <v>51</v>
      </c>
      <c r="D232" s="15">
        <f>IF(关卡产出!E297="","",关卡产出!E297)</f>
        <v>24</v>
      </c>
      <c r="E232" s="15">
        <f>IF(关卡产出!F297="","",关卡产出!F297)</f>
        <v>1395</v>
      </c>
      <c r="F232" s="15">
        <f>IF(关卡产出!H297="","",关卡产出!H297)</f>
        <v>25050</v>
      </c>
      <c r="G232" s="15">
        <f>IF(关卡产出!J297="","",关卡产出!J297)</f>
        <v>49800</v>
      </c>
      <c r="H232" s="15">
        <f>IF(关卡产出!K297="","",关卡产出!K297)</f>
        <v>6</v>
      </c>
      <c r="I232" s="15">
        <f>IF(关卡产出!M297="","",关卡产出!M297)</f>
        <v>510</v>
      </c>
      <c r="J232" s="15">
        <f>IF(关卡产出!N297="","",关卡产出!N297)</f>
        <v>255</v>
      </c>
      <c r="K232" s="15">
        <f>IF(关卡产出!O297="","",关卡产出!O297)</f>
        <v>123</v>
      </c>
      <c r="L232" s="15">
        <f>IF(关卡产出!P297="","",关卡产出!P297)</f>
        <v>300</v>
      </c>
      <c r="N232" t="str">
        <f t="shared" si="232"/>
        <v>104,102|105,51|106,24|1,1395</v>
      </c>
      <c r="P232" t="str">
        <f t="shared" si="230"/>
        <v>1,25050</v>
      </c>
      <c r="Q232" t="str">
        <f t="shared" si="231"/>
        <v>162,1|1,49800|4,6</v>
      </c>
      <c r="R232" t="str">
        <f t="shared" si="233"/>
        <v>104,510|105,255|106,123|3,300</v>
      </c>
      <c r="S232" t="str">
        <f t="shared" si="234"/>
        <v>104,51|105,26|106,12|1,1744</v>
      </c>
      <c r="V232" t="str">
        <f t="shared" si="235"/>
        <v>104,102</v>
      </c>
      <c r="W232" t="str">
        <f t="shared" si="212"/>
        <v>105,51</v>
      </c>
      <c r="X232" t="str">
        <f t="shared" si="213"/>
        <v>106,24</v>
      </c>
      <c r="Y232" t="str">
        <f t="shared" si="214"/>
        <v>1,1395</v>
      </c>
      <c r="AB232" t="str">
        <f t="shared" si="236"/>
        <v>104,510</v>
      </c>
      <c r="AC232" t="str">
        <f t="shared" si="216"/>
        <v>105,255</v>
      </c>
      <c r="AD232" t="str">
        <f t="shared" si="217"/>
        <v>106,123</v>
      </c>
      <c r="AE232" t="str">
        <f t="shared" si="218"/>
        <v>3,300</v>
      </c>
      <c r="AG232" t="str">
        <f t="shared" si="237"/>
        <v>104,51</v>
      </c>
      <c r="AH232" t="str">
        <f t="shared" si="220"/>
        <v>105,26</v>
      </c>
      <c r="AI232" t="str">
        <f t="shared" si="221"/>
        <v>106,12</v>
      </c>
      <c r="AJ232" t="str">
        <f t="shared" si="238"/>
        <v>1,1744</v>
      </c>
    </row>
    <row r="233" spans="1:36" x14ac:dyDescent="0.25">
      <c r="A233" s="14">
        <v>88</v>
      </c>
      <c r="B233" s="15">
        <f>IF(关卡产出!C298="","",关卡产出!C298)</f>
        <v>104</v>
      </c>
      <c r="C233" s="15">
        <f>IF(关卡产出!D298="","",关卡产出!D298)</f>
        <v>51</v>
      </c>
      <c r="D233" s="15">
        <f>IF(关卡产出!E298="","",关卡产出!E298)</f>
        <v>26</v>
      </c>
      <c r="E233" s="15">
        <f>IF(关卡产出!F298="","",关卡产出!F298)</f>
        <v>1395</v>
      </c>
      <c r="F233" s="15">
        <f>IF(关卡产出!H298="","",关卡产出!H298)</f>
        <v>25350</v>
      </c>
      <c r="G233" s="15">
        <f>IF(关卡产出!J298="","",关卡产出!J298)</f>
        <v>50400</v>
      </c>
      <c r="H233" s="15">
        <f>IF(关卡产出!K298="","",关卡产出!K298)</f>
        <v>6</v>
      </c>
      <c r="I233" s="15">
        <f>IF(关卡产出!M298="","",关卡产出!M298)</f>
        <v>516</v>
      </c>
      <c r="J233" s="15">
        <f>IF(关卡产出!N298="","",关卡产出!N298)</f>
        <v>258</v>
      </c>
      <c r="K233" s="15">
        <f>IF(关卡产出!O298="","",关卡产出!O298)</f>
        <v>125</v>
      </c>
      <c r="L233" s="15">
        <f>IF(关卡产出!P298="","",关卡产出!P298)</f>
        <v>300</v>
      </c>
      <c r="N233" t="str">
        <f t="shared" si="232"/>
        <v>104,104|105,51|106,26|1,1395</v>
      </c>
      <c r="P233" t="str">
        <f t="shared" si="230"/>
        <v>1,25350</v>
      </c>
      <c r="Q233" t="str">
        <f t="shared" si="231"/>
        <v>162,1|1,50400|4,6</v>
      </c>
      <c r="R233" t="str">
        <f t="shared" si="233"/>
        <v>104,516|105,258|106,125|3,300</v>
      </c>
      <c r="S233" t="str">
        <f t="shared" si="234"/>
        <v>104,52|105,26|106,13|1,1744</v>
      </c>
      <c r="V233" t="str">
        <f t="shared" si="235"/>
        <v>104,104</v>
      </c>
      <c r="W233" t="str">
        <f t="shared" si="212"/>
        <v>105,51</v>
      </c>
      <c r="X233" t="str">
        <f t="shared" si="213"/>
        <v>106,26</v>
      </c>
      <c r="Y233" t="str">
        <f t="shared" si="214"/>
        <v>1,1395</v>
      </c>
      <c r="AB233" t="str">
        <f t="shared" si="236"/>
        <v>104,516</v>
      </c>
      <c r="AC233" t="str">
        <f t="shared" si="216"/>
        <v>105,258</v>
      </c>
      <c r="AD233" t="str">
        <f t="shared" si="217"/>
        <v>106,125</v>
      </c>
      <c r="AE233" t="str">
        <f t="shared" si="218"/>
        <v>3,300</v>
      </c>
      <c r="AG233" t="str">
        <f t="shared" si="237"/>
        <v>104,52</v>
      </c>
      <c r="AH233" t="str">
        <f t="shared" si="220"/>
        <v>105,26</v>
      </c>
      <c r="AI233" t="str">
        <f t="shared" si="221"/>
        <v>106,13</v>
      </c>
      <c r="AJ233" t="str">
        <f t="shared" si="238"/>
        <v>1,1744</v>
      </c>
    </row>
    <row r="234" spans="1:36" x14ac:dyDescent="0.25">
      <c r="A234" s="14">
        <v>89</v>
      </c>
      <c r="B234" s="15">
        <f>IF(关卡产出!C299="","",关卡产出!C299)</f>
        <v>105</v>
      </c>
      <c r="C234" s="15">
        <f>IF(关卡产出!D299="","",关卡产出!D299)</f>
        <v>53</v>
      </c>
      <c r="D234" s="15">
        <f>IF(关卡产出!E299="","",关卡产出!E299)</f>
        <v>26</v>
      </c>
      <c r="E234" s="15">
        <f>IF(关卡产出!F299="","",关卡产出!F299)</f>
        <v>1425</v>
      </c>
      <c r="F234" s="15">
        <f>IF(关卡产出!H299="","",关卡产出!H299)</f>
        <v>25650</v>
      </c>
      <c r="G234" s="15">
        <f>IF(关卡产出!J299="","",关卡产出!J299)</f>
        <v>51000</v>
      </c>
      <c r="H234" s="15">
        <f>IF(关卡产出!K299="","",关卡产出!K299)</f>
        <v>6</v>
      </c>
      <c r="I234" s="15">
        <f>IF(关卡产出!M299="","",关卡产出!M299)</f>
        <v>522</v>
      </c>
      <c r="J234" s="15">
        <f>IF(关卡产出!N299="","",关卡产出!N299)</f>
        <v>261</v>
      </c>
      <c r="K234" s="15">
        <f>IF(关卡产出!O299="","",关卡产出!O299)</f>
        <v>126</v>
      </c>
      <c r="L234" s="15">
        <f>IF(关卡产出!P299="","",关卡产出!P299)</f>
        <v>300</v>
      </c>
      <c r="N234" t="str">
        <f t="shared" si="232"/>
        <v>104,105|105,53|106,26|1,1425</v>
      </c>
      <c r="P234" t="str">
        <f t="shared" si="230"/>
        <v>1,25650</v>
      </c>
      <c r="Q234" t="str">
        <f t="shared" si="231"/>
        <v>162,1|1,51000|4,6</v>
      </c>
      <c r="R234" t="str">
        <f t="shared" si="233"/>
        <v>104,522|105,261|106,126|3,300</v>
      </c>
      <c r="S234" t="str">
        <f t="shared" si="234"/>
        <v>104,53|105,27|106,13|1,1782</v>
      </c>
      <c r="V234" t="str">
        <f t="shared" si="235"/>
        <v>104,105</v>
      </c>
      <c r="W234" t="str">
        <f t="shared" si="212"/>
        <v>105,53</v>
      </c>
      <c r="X234" t="str">
        <f t="shared" si="213"/>
        <v>106,26</v>
      </c>
      <c r="Y234" t="str">
        <f t="shared" si="214"/>
        <v>1,1425</v>
      </c>
      <c r="AB234" t="str">
        <f t="shared" si="236"/>
        <v>104,522</v>
      </c>
      <c r="AC234" t="str">
        <f t="shared" si="216"/>
        <v>105,261</v>
      </c>
      <c r="AD234" t="str">
        <f t="shared" si="217"/>
        <v>106,126</v>
      </c>
      <c r="AE234" t="str">
        <f t="shared" si="218"/>
        <v>3,300</v>
      </c>
      <c r="AG234" t="str">
        <f t="shared" si="237"/>
        <v>104,53</v>
      </c>
      <c r="AH234" t="str">
        <f t="shared" si="220"/>
        <v>105,27</v>
      </c>
      <c r="AI234" t="str">
        <f t="shared" si="221"/>
        <v>106,13</v>
      </c>
      <c r="AJ234" t="str">
        <f t="shared" si="238"/>
        <v>1,1782</v>
      </c>
    </row>
    <row r="235" spans="1:36" s="1" customFormat="1" x14ac:dyDescent="0.25">
      <c r="A235" s="14">
        <v>90</v>
      </c>
      <c r="B235" s="16">
        <f>IF(关卡产出!C300="","",关卡产出!C300)</f>
        <v>105</v>
      </c>
      <c r="C235" s="16">
        <f>IF(关卡产出!D300="","",关卡产出!D300)</f>
        <v>53</v>
      </c>
      <c r="D235" s="16">
        <f>IF(关卡产出!E300="","",关卡产出!E300)</f>
        <v>26</v>
      </c>
      <c r="E235" s="16">
        <f>IF(关卡产出!F300="","",关卡产出!F300)</f>
        <v>1425</v>
      </c>
      <c r="F235" s="16">
        <f>IF(关卡产出!H300="","",关卡产出!H300)</f>
        <v>25950</v>
      </c>
      <c r="G235" s="16">
        <f>IF(关卡产出!J300="","",关卡产出!J300)</f>
        <v>51600</v>
      </c>
      <c r="H235" s="16">
        <f>IF(关卡产出!K300="","",关卡产出!K300)</f>
        <v>6</v>
      </c>
      <c r="I235" s="16">
        <f>IF(关卡产出!M300="","",关卡产出!M300)</f>
        <v>528</v>
      </c>
      <c r="J235" s="16">
        <f>IF(关卡产出!N300="","",关卡产出!N300)</f>
        <v>264</v>
      </c>
      <c r="K235" s="16">
        <f>IF(关卡产出!O300="","",关卡产出!O300)</f>
        <v>128</v>
      </c>
      <c r="L235" s="16">
        <f>IF(关卡产出!P300="","",关卡产出!P300)</f>
        <v>300</v>
      </c>
      <c r="N235" s="1" t="str">
        <f t="shared" si="232"/>
        <v>104,105|105,53|106,26|1,1425</v>
      </c>
      <c r="P235" t="str">
        <f t="shared" si="230"/>
        <v>1,25950</v>
      </c>
      <c r="Q235" t="str">
        <f t="shared" si="231"/>
        <v>162,1|1,51600|4,6</v>
      </c>
      <c r="R235" s="1" t="str">
        <f t="shared" si="233"/>
        <v>104,528|105,264|106,128|3,300</v>
      </c>
      <c r="S235" s="1" t="str">
        <f t="shared" si="234"/>
        <v>104,53|105,27|106,13|1,1782</v>
      </c>
      <c r="V235" s="1" t="str">
        <f t="shared" si="235"/>
        <v>104,105</v>
      </c>
      <c r="W235" s="1" t="str">
        <f t="shared" si="212"/>
        <v>105,53</v>
      </c>
      <c r="X235" s="1" t="str">
        <f t="shared" si="213"/>
        <v>106,26</v>
      </c>
      <c r="Y235" s="1" t="str">
        <f t="shared" si="214"/>
        <v>1,1425</v>
      </c>
      <c r="AB235" s="1" t="str">
        <f t="shared" si="236"/>
        <v>104,528</v>
      </c>
      <c r="AC235" s="1" t="str">
        <f t="shared" si="216"/>
        <v>105,264</v>
      </c>
      <c r="AD235" s="1" t="str">
        <f t="shared" si="217"/>
        <v>106,128</v>
      </c>
      <c r="AE235" s="1" t="str">
        <f t="shared" si="218"/>
        <v>3,300</v>
      </c>
      <c r="AG235" s="1" t="str">
        <f t="shared" si="237"/>
        <v>104,53</v>
      </c>
      <c r="AH235" s="1" t="str">
        <f t="shared" si="220"/>
        <v>105,27</v>
      </c>
      <c r="AI235" s="1" t="str">
        <f t="shared" si="221"/>
        <v>106,13</v>
      </c>
      <c r="AJ235" s="1" t="str">
        <f t="shared" si="238"/>
        <v>1,1782</v>
      </c>
    </row>
    <row r="236" spans="1:36" x14ac:dyDescent="0.25">
      <c r="A236" s="14">
        <v>91</v>
      </c>
      <c r="B236" s="15">
        <f>IF(关卡产出!C301="","",关卡产出!C301)</f>
        <v>107</v>
      </c>
      <c r="C236" s="15">
        <f>IF(关卡产出!D301="","",关卡产出!D301)</f>
        <v>53</v>
      </c>
      <c r="D236" s="15">
        <f>IF(关卡产出!E301="","",关卡产出!E301)</f>
        <v>26</v>
      </c>
      <c r="E236" s="15">
        <f>IF(关卡产出!F301="","",关卡产出!F301)</f>
        <v>1455</v>
      </c>
      <c r="F236" s="15">
        <f>IF(关卡产出!H301="","",关卡产出!H301)</f>
        <v>26250</v>
      </c>
      <c r="G236" s="15">
        <f>IF(关卡产出!J301="","",关卡产出!J301)</f>
        <v>52200</v>
      </c>
      <c r="H236" s="15">
        <f>IF(关卡产出!K301="","",关卡产出!K301)</f>
        <v>6</v>
      </c>
      <c r="I236" s="15">
        <f>IF(关卡产出!M301="","",关卡产出!M301)</f>
        <v>534</v>
      </c>
      <c r="J236" s="15">
        <f>IF(关卡产出!N301="","",关卡产出!N301)</f>
        <v>267</v>
      </c>
      <c r="K236" s="15">
        <f>IF(关卡产出!O301="","",关卡产出!O301)</f>
        <v>129</v>
      </c>
      <c r="L236" s="15">
        <f>IF(关卡产出!P301="","",关卡产出!P301)</f>
        <v>300</v>
      </c>
      <c r="N236" t="str">
        <f t="shared" si="232"/>
        <v>104,107|105,53|106,26|1,1455</v>
      </c>
      <c r="P236" t="str">
        <f t="shared" si="230"/>
        <v>1,26250</v>
      </c>
      <c r="Q236" t="str">
        <f t="shared" si="231"/>
        <v>162,1|1,52200|4,6</v>
      </c>
      <c r="R236" t="str">
        <f t="shared" si="233"/>
        <v>104,534|105,267|106,129|3,300</v>
      </c>
      <c r="S236" t="str">
        <f t="shared" si="234"/>
        <v>104,54|105,27|106,13|1,1819</v>
      </c>
      <c r="V236" t="str">
        <f t="shared" si="235"/>
        <v>104,107</v>
      </c>
      <c r="W236" t="str">
        <f t="shared" si="212"/>
        <v>105,53</v>
      </c>
      <c r="X236" t="str">
        <f t="shared" si="213"/>
        <v>106,26</v>
      </c>
      <c r="Y236" t="str">
        <f t="shared" si="214"/>
        <v>1,1455</v>
      </c>
      <c r="AB236" t="str">
        <f t="shared" si="236"/>
        <v>104,534</v>
      </c>
      <c r="AC236" t="str">
        <f t="shared" si="216"/>
        <v>105,267</v>
      </c>
      <c r="AD236" t="str">
        <f t="shared" si="217"/>
        <v>106,129</v>
      </c>
      <c r="AE236" t="str">
        <f t="shared" si="218"/>
        <v>3,300</v>
      </c>
      <c r="AG236" t="str">
        <f t="shared" si="237"/>
        <v>104,54</v>
      </c>
      <c r="AH236" t="str">
        <f t="shared" si="220"/>
        <v>105,27</v>
      </c>
      <c r="AI236" t="str">
        <f t="shared" si="221"/>
        <v>106,13</v>
      </c>
      <c r="AJ236" t="str">
        <f t="shared" si="238"/>
        <v>1,1819</v>
      </c>
    </row>
    <row r="237" spans="1:36" x14ac:dyDescent="0.25">
      <c r="A237" s="14">
        <v>92</v>
      </c>
      <c r="B237" s="15">
        <f>IF(关卡产出!C302="","",关卡产出!C302)</f>
        <v>108</v>
      </c>
      <c r="C237" s="15">
        <f>IF(关卡产出!D302="","",关卡产出!D302)</f>
        <v>54</v>
      </c>
      <c r="D237" s="15">
        <f>IF(关卡产出!E302="","",关卡产出!E302)</f>
        <v>26</v>
      </c>
      <c r="E237" s="15">
        <f>IF(关卡产出!F302="","",关卡产出!F302)</f>
        <v>1455</v>
      </c>
      <c r="F237" s="15">
        <f>IF(关卡产出!H302="","",关卡产出!H302)</f>
        <v>26550</v>
      </c>
      <c r="G237" s="15">
        <f>IF(关卡产出!J302="","",关卡产出!J302)</f>
        <v>52800</v>
      </c>
      <c r="H237" s="15">
        <f>IF(关卡产出!K302="","",关卡产出!K302)</f>
        <v>6</v>
      </c>
      <c r="I237" s="15">
        <f>IF(关卡产出!M302="","",关卡产出!M302)</f>
        <v>540</v>
      </c>
      <c r="J237" s="15">
        <f>IF(关卡产出!N302="","",关卡产出!N302)</f>
        <v>270</v>
      </c>
      <c r="K237" s="15">
        <f>IF(关卡产出!O302="","",关卡产出!O302)</f>
        <v>131</v>
      </c>
      <c r="L237" s="15">
        <f>IF(关卡产出!P302="","",关卡产出!P302)</f>
        <v>300</v>
      </c>
      <c r="N237" t="str">
        <f t="shared" si="232"/>
        <v>104,108|105,54|106,26|1,1455</v>
      </c>
      <c r="P237" t="str">
        <f t="shared" si="230"/>
        <v>1,26550</v>
      </c>
      <c r="Q237" t="str">
        <f t="shared" si="231"/>
        <v>162,1|1,52800|4,6</v>
      </c>
      <c r="R237" t="str">
        <f t="shared" si="233"/>
        <v>104,540|105,270|106,131|3,300</v>
      </c>
      <c r="S237" t="str">
        <f t="shared" si="234"/>
        <v>104,54|105,27|106,13|1,1819</v>
      </c>
      <c r="V237" t="str">
        <f t="shared" si="235"/>
        <v>104,108</v>
      </c>
      <c r="W237" t="str">
        <f t="shared" si="212"/>
        <v>105,54</v>
      </c>
      <c r="X237" t="str">
        <f t="shared" si="213"/>
        <v>106,26</v>
      </c>
      <c r="Y237" t="str">
        <f t="shared" si="214"/>
        <v>1,1455</v>
      </c>
      <c r="AB237" t="str">
        <f t="shared" si="236"/>
        <v>104,540</v>
      </c>
      <c r="AC237" t="str">
        <f t="shared" si="216"/>
        <v>105,270</v>
      </c>
      <c r="AD237" t="str">
        <f t="shared" si="217"/>
        <v>106,131</v>
      </c>
      <c r="AE237" t="str">
        <f t="shared" si="218"/>
        <v>3,300</v>
      </c>
      <c r="AG237" t="str">
        <f t="shared" si="237"/>
        <v>104,54</v>
      </c>
      <c r="AH237" t="str">
        <f t="shared" si="220"/>
        <v>105,27</v>
      </c>
      <c r="AI237" t="str">
        <f t="shared" si="221"/>
        <v>106,13</v>
      </c>
      <c r="AJ237" t="str">
        <f t="shared" si="238"/>
        <v>1,1819</v>
      </c>
    </row>
    <row r="238" spans="1:36" x14ac:dyDescent="0.25">
      <c r="A238" s="14">
        <v>93</v>
      </c>
      <c r="B238" s="15">
        <f>IF(关卡产出!C303="","",关卡产出!C303)</f>
        <v>110</v>
      </c>
      <c r="C238" s="15">
        <f>IF(关卡产出!D303="","",关卡产出!D303)</f>
        <v>54</v>
      </c>
      <c r="D238" s="15">
        <f>IF(关卡产出!E303="","",关卡产出!E303)</f>
        <v>27</v>
      </c>
      <c r="E238" s="15">
        <f>IF(关卡产出!F303="","",关卡产出!F303)</f>
        <v>1485</v>
      </c>
      <c r="F238" s="15">
        <f>IF(关卡产出!H303="","",关卡产出!H303)</f>
        <v>26850</v>
      </c>
      <c r="G238" s="15">
        <f>IF(关卡产出!J303="","",关卡产出!J303)</f>
        <v>53400</v>
      </c>
      <c r="H238" s="15">
        <f>IF(关卡产出!K303="","",关卡产出!K303)</f>
        <v>6</v>
      </c>
      <c r="I238" s="15">
        <f>IF(关卡产出!M303="","",关卡产出!M303)</f>
        <v>546</v>
      </c>
      <c r="J238" s="15">
        <f>IF(关卡产出!N303="","",关卡产出!N303)</f>
        <v>273</v>
      </c>
      <c r="K238" s="15">
        <f>IF(关卡产出!O303="","",关卡产出!O303)</f>
        <v>132</v>
      </c>
      <c r="L238" s="15">
        <f>IF(关卡产出!P303="","",关卡产出!P303)</f>
        <v>300</v>
      </c>
      <c r="N238" t="str">
        <f t="shared" si="232"/>
        <v>104,110|105,54|106,27|1,1485</v>
      </c>
      <c r="P238" t="str">
        <f t="shared" si="230"/>
        <v>1,26850</v>
      </c>
      <c r="Q238" t="str">
        <f t="shared" si="231"/>
        <v>162,1|1,53400|4,6</v>
      </c>
      <c r="R238" t="str">
        <f t="shared" si="233"/>
        <v>104,546|105,273|106,132|3,300</v>
      </c>
      <c r="S238" t="str">
        <f t="shared" si="234"/>
        <v>104,55|105,27|106,14|1,1857</v>
      </c>
      <c r="V238" t="str">
        <f t="shared" si="235"/>
        <v>104,110</v>
      </c>
      <c r="W238" t="str">
        <f t="shared" si="212"/>
        <v>105,54</v>
      </c>
      <c r="X238" t="str">
        <f t="shared" si="213"/>
        <v>106,27</v>
      </c>
      <c r="Y238" t="str">
        <f t="shared" si="214"/>
        <v>1,1485</v>
      </c>
      <c r="AB238" t="str">
        <f t="shared" si="236"/>
        <v>104,546</v>
      </c>
      <c r="AC238" t="str">
        <f t="shared" si="216"/>
        <v>105,273</v>
      </c>
      <c r="AD238" t="str">
        <f t="shared" si="217"/>
        <v>106,132</v>
      </c>
      <c r="AE238" t="str">
        <f t="shared" si="218"/>
        <v>3,300</v>
      </c>
      <c r="AG238" t="str">
        <f t="shared" si="237"/>
        <v>104,55</v>
      </c>
      <c r="AH238" t="str">
        <f t="shared" si="220"/>
        <v>105,27</v>
      </c>
      <c r="AI238" t="str">
        <f t="shared" si="221"/>
        <v>106,14</v>
      </c>
      <c r="AJ238" t="str">
        <f t="shared" si="238"/>
        <v>1,1857</v>
      </c>
    </row>
    <row r="239" spans="1:36" x14ac:dyDescent="0.25">
      <c r="A239" s="14">
        <v>94</v>
      </c>
      <c r="B239" s="15">
        <f>IF(关卡产出!C304="","",关卡产出!C304)</f>
        <v>111</v>
      </c>
      <c r="C239" s="15">
        <f>IF(关卡产出!D304="","",关卡产出!D304)</f>
        <v>56</v>
      </c>
      <c r="D239" s="15">
        <f>IF(关卡产出!E304="","",关卡产出!E304)</f>
        <v>27</v>
      </c>
      <c r="E239" s="15">
        <f>IF(关卡产出!F304="","",关卡产出!F304)</f>
        <v>1485</v>
      </c>
      <c r="F239" s="15">
        <f>IF(关卡产出!H304="","",关卡产出!H304)</f>
        <v>27150</v>
      </c>
      <c r="G239" s="15">
        <f>IF(关卡产出!J304="","",关卡产出!J304)</f>
        <v>54000</v>
      </c>
      <c r="H239" s="15">
        <f>IF(关卡产出!K304="","",关卡产出!K304)</f>
        <v>6</v>
      </c>
      <c r="I239" s="15">
        <f>IF(关卡产出!M304="","",关卡产出!M304)</f>
        <v>552</v>
      </c>
      <c r="J239" s="15">
        <f>IF(关卡产出!N304="","",关卡产出!N304)</f>
        <v>276</v>
      </c>
      <c r="K239" s="15">
        <f>IF(关卡产出!O304="","",关卡产出!O304)</f>
        <v>134</v>
      </c>
      <c r="L239" s="15">
        <f>IF(关卡产出!P304="","",关卡产出!P304)</f>
        <v>300</v>
      </c>
      <c r="N239" t="str">
        <f t="shared" si="232"/>
        <v>104,111|105,56|106,27|1,1485</v>
      </c>
      <c r="P239" t="str">
        <f t="shared" si="230"/>
        <v>1,27150</v>
      </c>
      <c r="Q239" t="str">
        <f t="shared" si="231"/>
        <v>162,1|1,54000|4,6</v>
      </c>
      <c r="R239" t="str">
        <f t="shared" si="233"/>
        <v>104,552|105,276|106,134|3,300</v>
      </c>
      <c r="S239" t="str">
        <f t="shared" si="234"/>
        <v>104,56|105,28|106,14|1,1857</v>
      </c>
      <c r="V239" t="str">
        <f t="shared" si="235"/>
        <v>104,111</v>
      </c>
      <c r="W239" t="str">
        <f t="shared" si="212"/>
        <v>105,56</v>
      </c>
      <c r="X239" t="str">
        <f t="shared" si="213"/>
        <v>106,27</v>
      </c>
      <c r="Y239" t="str">
        <f t="shared" si="214"/>
        <v>1,1485</v>
      </c>
      <c r="AB239" t="str">
        <f t="shared" si="236"/>
        <v>104,552</v>
      </c>
      <c r="AC239" t="str">
        <f t="shared" si="216"/>
        <v>105,276</v>
      </c>
      <c r="AD239" t="str">
        <f t="shared" si="217"/>
        <v>106,134</v>
      </c>
      <c r="AE239" t="str">
        <f t="shared" si="218"/>
        <v>3,300</v>
      </c>
      <c r="AG239" t="str">
        <f t="shared" si="237"/>
        <v>104,56</v>
      </c>
      <c r="AH239" t="str">
        <f t="shared" si="220"/>
        <v>105,28</v>
      </c>
      <c r="AI239" t="str">
        <f t="shared" si="221"/>
        <v>106,14</v>
      </c>
      <c r="AJ239" t="str">
        <f t="shared" si="238"/>
        <v>1,1857</v>
      </c>
    </row>
    <row r="240" spans="1:36" x14ac:dyDescent="0.25">
      <c r="A240" s="14">
        <v>95</v>
      </c>
      <c r="B240" s="15">
        <f>IF(关卡产出!C305="","",关卡产出!C305)</f>
        <v>111</v>
      </c>
      <c r="C240" s="15">
        <f>IF(关卡产出!D305="","",关卡产出!D305)</f>
        <v>56</v>
      </c>
      <c r="D240" s="15">
        <f>IF(关卡产出!E305="","",关卡产出!E305)</f>
        <v>27</v>
      </c>
      <c r="E240" s="15">
        <f>IF(关卡产出!F305="","",关卡产出!F305)</f>
        <v>1515</v>
      </c>
      <c r="F240" s="15">
        <f>IF(关卡产出!H305="","",关卡产出!H305)</f>
        <v>27450</v>
      </c>
      <c r="G240" s="15">
        <f>IF(关卡产出!J305="","",关卡产出!J305)</f>
        <v>54600</v>
      </c>
      <c r="H240" s="15">
        <f>IF(关卡产出!K305="","",关卡产出!K305)</f>
        <v>6</v>
      </c>
      <c r="I240" s="15">
        <f>IF(关卡产出!M305="","",关卡产出!M305)</f>
        <v>558</v>
      </c>
      <c r="J240" s="15">
        <f>IF(关卡产出!N305="","",关卡产出!N305)</f>
        <v>279</v>
      </c>
      <c r="K240" s="15">
        <f>IF(关卡产出!O305="","",关卡产出!O305)</f>
        <v>135</v>
      </c>
      <c r="L240" s="15">
        <f>IF(关卡产出!P305="","",关卡产出!P305)</f>
        <v>300</v>
      </c>
      <c r="N240" t="str">
        <f t="shared" si="232"/>
        <v>104,111|105,56|106,27|1,1515</v>
      </c>
      <c r="P240" t="str">
        <f t="shared" si="230"/>
        <v>1,27450</v>
      </c>
      <c r="Q240" t="str">
        <f t="shared" si="231"/>
        <v>162,1|1,54600|4,6</v>
      </c>
      <c r="R240" t="str">
        <f t="shared" si="233"/>
        <v>104,558|105,279|106,135|3,300</v>
      </c>
      <c r="S240" t="str">
        <f t="shared" si="234"/>
        <v>104,56|105,28|106,14|1,1894</v>
      </c>
      <c r="V240" t="str">
        <f t="shared" si="235"/>
        <v>104,111</v>
      </c>
      <c r="W240" t="str">
        <f t="shared" si="212"/>
        <v>105,56</v>
      </c>
      <c r="X240" t="str">
        <f t="shared" si="213"/>
        <v>106,27</v>
      </c>
      <c r="Y240" t="str">
        <f t="shared" si="214"/>
        <v>1,1515</v>
      </c>
      <c r="AB240" t="str">
        <f t="shared" si="236"/>
        <v>104,558</v>
      </c>
      <c r="AC240" t="str">
        <f t="shared" si="216"/>
        <v>105,279</v>
      </c>
      <c r="AD240" t="str">
        <f t="shared" si="217"/>
        <v>106,135</v>
      </c>
      <c r="AE240" t="str">
        <f t="shared" si="218"/>
        <v>3,300</v>
      </c>
      <c r="AG240" t="str">
        <f t="shared" si="237"/>
        <v>104,56</v>
      </c>
      <c r="AH240" t="str">
        <f t="shared" si="220"/>
        <v>105,28</v>
      </c>
      <c r="AI240" t="str">
        <f t="shared" si="221"/>
        <v>106,14</v>
      </c>
      <c r="AJ240" t="str">
        <f t="shared" si="238"/>
        <v>1,1894</v>
      </c>
    </row>
    <row r="241" spans="1:36" x14ac:dyDescent="0.25">
      <c r="A241" s="14">
        <v>96</v>
      </c>
      <c r="B241" s="15">
        <f>IF(关卡产出!C306="","",关卡产出!C306)</f>
        <v>113</v>
      </c>
      <c r="C241" s="15">
        <f>IF(关卡产出!D306="","",关卡产出!D306)</f>
        <v>56</v>
      </c>
      <c r="D241" s="15">
        <f>IF(关卡产出!E306="","",关卡产出!E306)</f>
        <v>27</v>
      </c>
      <c r="E241" s="15">
        <f>IF(关卡产出!F306="","",关卡产出!F306)</f>
        <v>1515</v>
      </c>
      <c r="F241" s="15">
        <f>IF(关卡产出!H306="","",关卡产出!H306)</f>
        <v>27750</v>
      </c>
      <c r="G241" s="15">
        <f>IF(关卡产出!J306="","",关卡产出!J306)</f>
        <v>55200</v>
      </c>
      <c r="H241" s="15">
        <f>IF(关卡产出!K306="","",关卡产出!K306)</f>
        <v>6</v>
      </c>
      <c r="I241" s="15">
        <f>IF(关卡产出!M306="","",关卡产出!M306)</f>
        <v>564</v>
      </c>
      <c r="J241" s="15">
        <f>IF(关卡产出!N306="","",关卡产出!N306)</f>
        <v>282</v>
      </c>
      <c r="K241" s="15">
        <f>IF(关卡产出!O306="","",关卡产出!O306)</f>
        <v>137</v>
      </c>
      <c r="L241" s="15">
        <f>IF(关卡产出!P306="","",关卡产出!P306)</f>
        <v>300</v>
      </c>
      <c r="N241" t="str">
        <f t="shared" si="232"/>
        <v>104,113|105,56|106,27|1,1515</v>
      </c>
      <c r="P241" t="str">
        <f t="shared" si="230"/>
        <v>1,27750</v>
      </c>
      <c r="Q241" t="str">
        <f t="shared" si="231"/>
        <v>162,1|1,55200|4,6</v>
      </c>
      <c r="R241" t="str">
        <f t="shared" si="233"/>
        <v>104,564|105,282|106,137|3,300</v>
      </c>
      <c r="S241" t="str">
        <f t="shared" si="234"/>
        <v>104,57|105,28|106,14|1,1894</v>
      </c>
      <c r="V241" t="str">
        <f t="shared" si="235"/>
        <v>104,113</v>
      </c>
      <c r="W241" t="str">
        <f t="shared" si="212"/>
        <v>105,56</v>
      </c>
      <c r="X241" t="str">
        <f t="shared" si="213"/>
        <v>106,27</v>
      </c>
      <c r="Y241" t="str">
        <f t="shared" si="214"/>
        <v>1,1515</v>
      </c>
      <c r="AB241" t="str">
        <f t="shared" si="236"/>
        <v>104,564</v>
      </c>
      <c r="AC241" t="str">
        <f t="shared" si="216"/>
        <v>105,282</v>
      </c>
      <c r="AD241" t="str">
        <f t="shared" si="217"/>
        <v>106,137</v>
      </c>
      <c r="AE241" t="str">
        <f t="shared" si="218"/>
        <v>3,300</v>
      </c>
      <c r="AG241" t="str">
        <f t="shared" si="237"/>
        <v>104,57</v>
      </c>
      <c r="AH241" t="str">
        <f t="shared" si="220"/>
        <v>105,28</v>
      </c>
      <c r="AI241" t="str">
        <f t="shared" si="221"/>
        <v>106,14</v>
      </c>
      <c r="AJ241" t="str">
        <f t="shared" si="238"/>
        <v>1,1894</v>
      </c>
    </row>
    <row r="242" spans="1:36" x14ac:dyDescent="0.25">
      <c r="A242" s="14">
        <v>97</v>
      </c>
      <c r="B242" s="15">
        <f>IF(关卡产出!C307="","",关卡产出!C307)</f>
        <v>114</v>
      </c>
      <c r="C242" s="15">
        <f>IF(关卡产出!D307="","",关卡产出!D307)</f>
        <v>57</v>
      </c>
      <c r="D242" s="15">
        <f>IF(关卡产出!E307="","",关卡产出!E307)</f>
        <v>27</v>
      </c>
      <c r="E242" s="15">
        <f>IF(关卡产出!F307="","",关卡产出!F307)</f>
        <v>1545</v>
      </c>
      <c r="F242" s="15">
        <f>IF(关卡产出!H307="","",关卡产出!H307)</f>
        <v>28050</v>
      </c>
      <c r="G242" s="15">
        <f>IF(关卡产出!J307="","",关卡产出!J307)</f>
        <v>55800</v>
      </c>
      <c r="H242" s="15">
        <f>IF(关卡产出!K307="","",关卡产出!K307)</f>
        <v>6</v>
      </c>
      <c r="I242" s="15">
        <f>IF(关卡产出!M307="","",关卡产出!M307)</f>
        <v>570</v>
      </c>
      <c r="J242" s="15">
        <f>IF(关卡产出!N307="","",关卡产出!N307)</f>
        <v>285</v>
      </c>
      <c r="K242" s="15">
        <f>IF(关卡产出!O307="","",关卡产出!O307)</f>
        <v>138</v>
      </c>
      <c r="L242" s="15">
        <f>IF(关卡产出!P307="","",关卡产出!P307)</f>
        <v>300</v>
      </c>
      <c r="N242" t="str">
        <f t="shared" si="232"/>
        <v>104,114|105,57|106,27|1,1545</v>
      </c>
      <c r="P242" t="str">
        <f t="shared" si="230"/>
        <v>1,28050</v>
      </c>
      <c r="Q242" t="str">
        <f>"162,1|"&amp;$G$1&amp;","&amp;G242&amp;"|"&amp;$H$1&amp;","&amp;H242</f>
        <v>162,1|1,55800|4,6</v>
      </c>
      <c r="R242" t="str">
        <f t="shared" si="233"/>
        <v>104,570|105,285|106,138|3,300</v>
      </c>
      <c r="S242" t="str">
        <f t="shared" si="234"/>
        <v>104,57|105,29|106,14|1,1932</v>
      </c>
      <c r="V242" t="str">
        <f t="shared" si="235"/>
        <v>104,114</v>
      </c>
      <c r="W242" t="str">
        <f t="shared" si="212"/>
        <v>105,57</v>
      </c>
      <c r="X242" t="str">
        <f t="shared" si="213"/>
        <v>106,27</v>
      </c>
      <c r="Y242" t="str">
        <f t="shared" si="214"/>
        <v>1,1545</v>
      </c>
      <c r="AB242" t="str">
        <f t="shared" si="236"/>
        <v>104,570</v>
      </c>
      <c r="AC242" t="str">
        <f t="shared" si="216"/>
        <v>105,285</v>
      </c>
      <c r="AD242" t="str">
        <f t="shared" si="217"/>
        <v>106,138</v>
      </c>
      <c r="AE242" t="str">
        <f t="shared" si="218"/>
        <v>3,300</v>
      </c>
      <c r="AG242" t="str">
        <f t="shared" si="237"/>
        <v>104,57</v>
      </c>
      <c r="AH242" t="str">
        <f t="shared" si="220"/>
        <v>105,29</v>
      </c>
      <c r="AI242" t="str">
        <f t="shared" si="221"/>
        <v>106,14</v>
      </c>
      <c r="AJ242" t="str">
        <f t="shared" si="238"/>
        <v>1,1932</v>
      </c>
    </row>
    <row r="243" spans="1:36" x14ac:dyDescent="0.25">
      <c r="A243" s="14">
        <v>98</v>
      </c>
      <c r="B243" s="15">
        <f>IF(关卡产出!C308="","",关卡产出!C308)</f>
        <v>116</v>
      </c>
      <c r="C243" s="15">
        <f>IF(关卡产出!D308="","",关卡产出!D308)</f>
        <v>57</v>
      </c>
      <c r="D243" s="15">
        <f>IF(关卡产出!E308="","",关卡产出!E308)</f>
        <v>29</v>
      </c>
      <c r="E243" s="15">
        <f>IF(关卡产出!F308="","",关卡产出!F308)</f>
        <v>1545</v>
      </c>
      <c r="F243" s="15">
        <f>IF(关卡产出!H308="","",关卡产出!H308)</f>
        <v>28350</v>
      </c>
      <c r="G243" s="15">
        <f>IF(关卡产出!J308="","",关卡产出!J308)</f>
        <v>56400</v>
      </c>
      <c r="H243" s="15">
        <f>IF(关卡产出!K308="","",关卡产出!K308)</f>
        <v>6</v>
      </c>
      <c r="I243" s="15">
        <f>IF(关卡产出!M308="","",关卡产出!M308)</f>
        <v>576</v>
      </c>
      <c r="J243" s="15">
        <f>IF(关卡产出!N308="","",关卡产出!N308)</f>
        <v>288</v>
      </c>
      <c r="K243" s="15">
        <f>IF(关卡产出!O308="","",关卡产出!O308)</f>
        <v>140</v>
      </c>
      <c r="L243" s="15">
        <f>IF(关卡产出!P308="","",关卡产出!P308)</f>
        <v>300</v>
      </c>
      <c r="N243" t="str">
        <f t="shared" si="232"/>
        <v>104,116|105,57|106,29|1,1545</v>
      </c>
      <c r="P243" t="str">
        <f t="shared" si="230"/>
        <v>1,28350</v>
      </c>
      <c r="Q243" t="str">
        <f t="shared" si="231"/>
        <v>162,1|1,56400|4,6</v>
      </c>
      <c r="R243" t="str">
        <f t="shared" si="233"/>
        <v>104,576|105,288|106,140|3,300</v>
      </c>
      <c r="S243" t="str">
        <f t="shared" si="234"/>
        <v>104,58|105,29|106,15|1,1932</v>
      </c>
      <c r="V243" t="str">
        <f t="shared" si="235"/>
        <v>104,116</v>
      </c>
      <c r="W243" t="str">
        <f t="shared" si="212"/>
        <v>105,57</v>
      </c>
      <c r="X243" t="str">
        <f t="shared" si="213"/>
        <v>106,29</v>
      </c>
      <c r="Y243" t="str">
        <f t="shared" si="214"/>
        <v>1,1545</v>
      </c>
      <c r="AB243" t="str">
        <f t="shared" si="236"/>
        <v>104,576</v>
      </c>
      <c r="AC243" t="str">
        <f t="shared" si="216"/>
        <v>105,288</v>
      </c>
      <c r="AD243" t="str">
        <f t="shared" si="217"/>
        <v>106,140</v>
      </c>
      <c r="AE243" t="str">
        <f t="shared" si="218"/>
        <v>3,300</v>
      </c>
      <c r="AG243" t="str">
        <f t="shared" si="237"/>
        <v>104,58</v>
      </c>
      <c r="AH243" t="str">
        <f t="shared" si="220"/>
        <v>105,29</v>
      </c>
      <c r="AI243" t="str">
        <f t="shared" si="221"/>
        <v>106,15</v>
      </c>
      <c r="AJ243" t="str">
        <f t="shared" si="238"/>
        <v>1,1932</v>
      </c>
    </row>
    <row r="244" spans="1:36" x14ac:dyDescent="0.25">
      <c r="A244" s="14">
        <v>99</v>
      </c>
      <c r="B244" s="15">
        <f>IF(关卡产出!C309="","",关卡产出!C309)</f>
        <v>117</v>
      </c>
      <c r="C244" s="15">
        <f>IF(关卡产出!D309="","",关卡产出!D309)</f>
        <v>59</v>
      </c>
      <c r="D244" s="15">
        <f>IF(关卡产出!E309="","",关卡产出!E309)</f>
        <v>29</v>
      </c>
      <c r="E244" s="15">
        <f>IF(关卡产出!F309="","",关卡产出!F309)</f>
        <v>1575</v>
      </c>
      <c r="F244" s="15">
        <f>IF(关卡产出!H309="","",关卡产出!H309)</f>
        <v>28650</v>
      </c>
      <c r="G244" s="15">
        <f>IF(关卡产出!J309="","",关卡产出!J309)</f>
        <v>57000</v>
      </c>
      <c r="H244" s="15">
        <f>IF(关卡产出!K309="","",关卡产出!K309)</f>
        <v>6</v>
      </c>
      <c r="I244" s="15">
        <f>IF(关卡产出!M309="","",关卡产出!M309)</f>
        <v>582</v>
      </c>
      <c r="J244" s="15">
        <f>IF(关卡产出!N309="","",关卡产出!N309)</f>
        <v>291</v>
      </c>
      <c r="K244" s="15">
        <f>IF(关卡产出!O309="","",关卡产出!O309)</f>
        <v>141</v>
      </c>
      <c r="L244" s="15">
        <f>IF(关卡产出!P309="","",关卡产出!P309)</f>
        <v>300</v>
      </c>
      <c r="N244" t="str">
        <f t="shared" si="232"/>
        <v>104,117|105,59|106,29|1,1575</v>
      </c>
      <c r="P244" t="str">
        <f t="shared" si="230"/>
        <v>1,28650</v>
      </c>
      <c r="Q244" t="str">
        <f t="shared" si="231"/>
        <v>162,1|1,57000|4,6</v>
      </c>
      <c r="R244" t="str">
        <f t="shared" si="233"/>
        <v>104,582|105,291|106,141|3,300</v>
      </c>
      <c r="S244" t="str">
        <f t="shared" si="234"/>
        <v>104,59|105,30|106,15|1,1969</v>
      </c>
      <c r="V244" t="str">
        <f t="shared" si="235"/>
        <v>104,117</v>
      </c>
      <c r="W244" t="str">
        <f t="shared" si="212"/>
        <v>105,59</v>
      </c>
      <c r="X244" t="str">
        <f t="shared" si="213"/>
        <v>106,29</v>
      </c>
      <c r="Y244" t="str">
        <f t="shared" si="214"/>
        <v>1,1575</v>
      </c>
      <c r="AB244" t="str">
        <f t="shared" si="236"/>
        <v>104,582</v>
      </c>
      <c r="AC244" t="str">
        <f t="shared" si="216"/>
        <v>105,291</v>
      </c>
      <c r="AD244" t="str">
        <f t="shared" si="217"/>
        <v>106,141</v>
      </c>
      <c r="AE244" t="str">
        <f t="shared" si="218"/>
        <v>3,300</v>
      </c>
      <c r="AG244" t="str">
        <f t="shared" si="237"/>
        <v>104,59</v>
      </c>
      <c r="AH244" t="str">
        <f t="shared" si="220"/>
        <v>105,30</v>
      </c>
      <c r="AI244" t="str">
        <f t="shared" si="221"/>
        <v>106,15</v>
      </c>
      <c r="AJ244" t="str">
        <f t="shared" si="238"/>
        <v>1,1969</v>
      </c>
    </row>
    <row r="245" spans="1:36" x14ac:dyDescent="0.25">
      <c r="A245" s="14">
        <v>100</v>
      </c>
      <c r="B245" s="15">
        <f>IF(关卡产出!C310="","",关卡产出!C310)</f>
        <v>117</v>
      </c>
      <c r="C245" s="15">
        <f>IF(关卡产出!D310="","",关卡产出!D310)</f>
        <v>59</v>
      </c>
      <c r="D245" s="15">
        <f>IF(关卡产出!E310="","",关卡产出!E310)</f>
        <v>29</v>
      </c>
      <c r="E245" s="15">
        <f>IF(关卡产出!F310="","",关卡产出!F310)</f>
        <v>1575</v>
      </c>
      <c r="F245" s="15">
        <f>IF(关卡产出!H310="","",关卡产出!H310)</f>
        <v>28950</v>
      </c>
      <c r="G245" s="15">
        <f>IF(关卡产出!J310="","",关卡产出!J310)</f>
        <v>57600</v>
      </c>
      <c r="H245" s="15">
        <f>IF(关卡产出!K310="","",关卡产出!K310)</f>
        <v>6</v>
      </c>
      <c r="I245" s="15">
        <f>IF(关卡产出!M310="","",关卡产出!M310)</f>
        <v>588</v>
      </c>
      <c r="J245" s="15">
        <f>IF(关卡产出!N310="","",关卡产出!N310)</f>
        <v>294</v>
      </c>
      <c r="K245" s="15">
        <f>IF(关卡产出!O310="","",关卡产出!O310)</f>
        <v>143</v>
      </c>
      <c r="L245" s="15">
        <f>IF(关卡产出!P310="","",关卡产出!P310)</f>
        <v>300</v>
      </c>
      <c r="N245" t="str">
        <f t="shared" si="232"/>
        <v>104,117|105,59|106,29|1,1575</v>
      </c>
      <c r="P245" t="str">
        <f t="shared" si="230"/>
        <v>1,28950</v>
      </c>
      <c r="Q245" t="str">
        <f t="shared" si="231"/>
        <v>162,1|1,57600|4,6</v>
      </c>
      <c r="R245" t="str">
        <f t="shared" si="233"/>
        <v>104,588|105,294|106,143|3,300</v>
      </c>
      <c r="S245" t="str">
        <f t="shared" si="234"/>
        <v>104,59|105,30|106,15|1,1969</v>
      </c>
      <c r="V245" t="str">
        <f t="shared" si="235"/>
        <v>104,117</v>
      </c>
      <c r="W245" t="str">
        <f t="shared" ref="W245" si="239">IF(C245="","",C$1&amp;","&amp;C245)</f>
        <v>105,59</v>
      </c>
      <c r="X245" t="str">
        <f t="shared" ref="X245" si="240">IF(D245="","",D$1&amp;","&amp;D245)</f>
        <v>106,29</v>
      </c>
      <c r="Y245" t="str">
        <f t="shared" ref="Y245" si="241">IF(E245="","",E$1&amp;","&amp;E245)</f>
        <v>1,1575</v>
      </c>
      <c r="AB245" t="str">
        <f t="shared" si="236"/>
        <v>104,588</v>
      </c>
      <c r="AC245" t="str">
        <f t="shared" ref="AC245" si="242">IF(J245="","",J$1&amp;","&amp;J245)</f>
        <v>105,294</v>
      </c>
      <c r="AD245" t="str">
        <f t="shared" ref="AD245" si="243">IF(K245="","",K$1&amp;","&amp;K245)</f>
        <v>106,143</v>
      </c>
      <c r="AE245" t="str">
        <f t="shared" ref="AE245" si="244">IF(L245="","",L$1&amp;","&amp;L245)</f>
        <v>3,300</v>
      </c>
      <c r="AG245" t="str">
        <f t="shared" si="237"/>
        <v>104,59</v>
      </c>
      <c r="AH245" t="str">
        <f t="shared" ref="AH245" si="245">IF(C245="","",C$1&amp;","&amp;ROUNDUP(C245/2,0))</f>
        <v>105,30</v>
      </c>
      <c r="AI245" t="str">
        <f t="shared" ref="AI245" si="246">IF(D245="","",D$1&amp;","&amp;ROUNDUP(D245/2,0))</f>
        <v>106,15</v>
      </c>
      <c r="AJ245" t="str">
        <f t="shared" si="238"/>
        <v>1,1969</v>
      </c>
    </row>
    <row r="248" spans="1:36" ht="32.4" x14ac:dyDescent="0.25">
      <c r="A248" s="9" t="s">
        <v>51</v>
      </c>
      <c r="B248" s="10" t="s">
        <v>55</v>
      </c>
      <c r="C248" s="10" t="s">
        <v>56</v>
      </c>
      <c r="D248" s="10" t="s">
        <v>57</v>
      </c>
      <c r="E248" s="10" t="s">
        <v>54</v>
      </c>
      <c r="F248" s="9" t="s">
        <v>54</v>
      </c>
      <c r="G248" s="10" t="s">
        <v>54</v>
      </c>
      <c r="H248" s="10" t="s">
        <v>58</v>
      </c>
      <c r="I248" s="9" t="s">
        <v>55</v>
      </c>
      <c r="J248" s="9" t="s">
        <v>56</v>
      </c>
      <c r="K248" s="9" t="s">
        <v>57</v>
      </c>
      <c r="L248" s="9" t="s">
        <v>53</v>
      </c>
      <c r="N248" s="11" t="s">
        <v>177</v>
      </c>
      <c r="O248" s="11" t="s">
        <v>178</v>
      </c>
      <c r="P248" s="12" t="s">
        <v>179</v>
      </c>
      <c r="Q248" s="11" t="s">
        <v>180</v>
      </c>
      <c r="R248" s="11" t="s">
        <v>181</v>
      </c>
      <c r="S248" s="13" t="s">
        <v>182</v>
      </c>
      <c r="V248" s="11" t="s">
        <v>177</v>
      </c>
      <c r="AB248" s="11" t="s">
        <v>181</v>
      </c>
      <c r="AG248" s="13" t="s">
        <v>182</v>
      </c>
    </row>
    <row r="249" spans="1:36" x14ac:dyDescent="0.25">
      <c r="A249" s="14">
        <v>1</v>
      </c>
      <c r="B249" s="15">
        <f>IF(关卡产出!C414="","",关卡产出!C414)</f>
        <v>13</v>
      </c>
      <c r="C249" s="15">
        <f>IF(关卡产出!D414="","",关卡产出!D414)</f>
        <v>5</v>
      </c>
      <c r="D249" s="15">
        <f>IF(关卡产出!E414="","",关卡产出!E414)</f>
        <v>1</v>
      </c>
      <c r="E249" s="15">
        <f>IF(关卡产出!F414="","",关卡产出!F414)</f>
        <v>250</v>
      </c>
      <c r="F249" s="15">
        <f>IF(关卡产出!H414="","",关卡产出!H414)</f>
        <v>500</v>
      </c>
      <c r="G249" s="15">
        <f>IF(关卡产出!J414="","",关卡产出!J414)</f>
        <v>1000</v>
      </c>
      <c r="H249" s="15">
        <f>IF(关卡产出!K414="","",关卡产出!K414)</f>
        <v>6</v>
      </c>
      <c r="I249" s="15">
        <f>IF(关卡产出!M414="","",关卡产出!M414)</f>
        <v>30</v>
      </c>
      <c r="J249" s="15">
        <f>IF(关卡产出!N414="","",关卡产出!N414)</f>
        <v>20</v>
      </c>
      <c r="K249" s="15">
        <f>IF(关卡产出!O414="","",关卡产出!O414)</f>
        <v>1</v>
      </c>
      <c r="L249" s="15">
        <f>IF(关卡产出!P414="","",关卡产出!P414)</f>
        <v>250</v>
      </c>
      <c r="N249" t="str">
        <f>_xlfn.TEXTJOIN("|",TRUE,V249:Y249)</f>
        <v>104,13|105,5|106,1|1,250</v>
      </c>
      <c r="P249" t="str">
        <f>11&amp;","&amp;1&amp;"|"&amp;$F$1&amp;","&amp;F249</f>
        <v>11,1|1,500</v>
      </c>
      <c r="Q249" t="str">
        <f>"163,1|"&amp;$G$1&amp;","&amp;G249&amp;"|"&amp;$H$1&amp;","&amp;H249</f>
        <v>163,1|1,1000|4,6</v>
      </c>
      <c r="R249" t="str">
        <f>_xlfn.TEXTJOIN("|",TRUE,AB249:AE249)</f>
        <v>104,30|105,20|106,1|3,250</v>
      </c>
      <c r="S249" t="str">
        <f>_xlfn.TEXTJOIN("|",TRUE,AG249:AJ249)</f>
        <v>104,7|105,3|106,1|1,313</v>
      </c>
      <c r="V249" t="str">
        <f>IF(B249="","",B$1&amp;","&amp;B249)</f>
        <v>104,13</v>
      </c>
      <c r="W249" t="str">
        <f t="shared" ref="W249:W267" si="247">IF(C249="","",C$1&amp;","&amp;C249)</f>
        <v>105,5</v>
      </c>
      <c r="X249" t="str">
        <f t="shared" ref="X249:X267" si="248">IF(D249="","",D$1&amp;","&amp;D249)</f>
        <v>106,1</v>
      </c>
      <c r="Y249" t="str">
        <f t="shared" ref="Y249:Y267" si="249">IF(E249="","",E$1&amp;","&amp;E249)</f>
        <v>1,250</v>
      </c>
      <c r="AB249" t="str">
        <f>IF(I249="","",I$1&amp;","&amp;I249)</f>
        <v>104,30</v>
      </c>
      <c r="AC249" t="str">
        <f t="shared" ref="AC249:AC267" si="250">IF(J249="","",J$1&amp;","&amp;J249)</f>
        <v>105,20</v>
      </c>
      <c r="AD249" t="str">
        <f t="shared" ref="AD249:AD267" si="251">IF(K249="","",K$1&amp;","&amp;K249)</f>
        <v>106,1</v>
      </c>
      <c r="AE249" t="str">
        <f t="shared" ref="AE249:AE267" si="252">IF(L249="","",L$1&amp;","&amp;L249)</f>
        <v>3,250</v>
      </c>
      <c r="AG249" t="str">
        <f>IF(B249="","",B$1&amp;","&amp;ROUNDUP(B249/2,0))</f>
        <v>104,7</v>
      </c>
      <c r="AH249" t="str">
        <f t="shared" ref="AH249:AH267" si="253">IF(C249="","",C$1&amp;","&amp;ROUNDUP(C249/2,0))</f>
        <v>105,3</v>
      </c>
      <c r="AI249" t="str">
        <f t="shared" ref="AI249:AI267" si="254">IF(D249="","",D$1&amp;","&amp;ROUNDUP(D249/2,0))</f>
        <v>106,1</v>
      </c>
      <c r="AJ249" t="str">
        <f>IF(E249="","",E$1&amp;","&amp;ROUNDUP(E249/2*2.5,0))</f>
        <v>1,313</v>
      </c>
    </row>
    <row r="250" spans="1:36" x14ac:dyDescent="0.25">
      <c r="A250" s="14">
        <v>2</v>
      </c>
      <c r="B250" s="15">
        <f>IF(关卡产出!C415="","",关卡产出!C415)</f>
        <v>13</v>
      </c>
      <c r="C250" s="15">
        <f>IF(关卡产出!D415="","",关卡产出!D415)</f>
        <v>5</v>
      </c>
      <c r="D250" s="15">
        <f>IF(关卡产出!E415="","",关卡产出!E415)</f>
        <v>1</v>
      </c>
      <c r="E250" s="15">
        <f>IF(关卡产出!F415="","",关卡产出!F415)</f>
        <v>250</v>
      </c>
      <c r="F250" s="15">
        <f>IF(关卡产出!H415="","",关卡产出!H415)</f>
        <v>750</v>
      </c>
      <c r="G250" s="15">
        <f>IF(关卡产出!J415="","",关卡产出!J415)</f>
        <v>1500</v>
      </c>
      <c r="H250" s="15">
        <f>IF(关卡产出!K415="","",关卡产出!K415)</f>
        <v>6</v>
      </c>
      <c r="I250" s="15">
        <f>IF(关卡产出!M415="","",关卡产出!M415)</f>
        <v>35</v>
      </c>
      <c r="J250" s="15">
        <f>IF(关卡产出!N415="","",关卡产出!N415)</f>
        <v>20</v>
      </c>
      <c r="K250" s="15">
        <f>IF(关卡产出!O415="","",关卡产出!O415)</f>
        <v>1</v>
      </c>
      <c r="L250" s="15">
        <f>IF(关卡产出!P415="","",关卡产出!P415)</f>
        <v>250</v>
      </c>
      <c r="N250" t="str">
        <f t="shared" ref="N250:N268" si="255">_xlfn.TEXTJOIN("|",TRUE,V250:Y250)</f>
        <v>104,13|105,5|106,1|1,250</v>
      </c>
      <c r="P250" t="str">
        <f t="shared" ref="P250:P313" si="256">11&amp;","&amp;1&amp;"|"&amp;$F$1&amp;","&amp;F250</f>
        <v>11,1|1,750</v>
      </c>
      <c r="Q250" t="str">
        <f t="shared" ref="Q250:Q313" si="257">"163,1|"&amp;$G$1&amp;","&amp;G250&amp;"|"&amp;$H$1&amp;","&amp;H250</f>
        <v>163,1|1,1500|4,6</v>
      </c>
      <c r="R250" t="str">
        <f t="shared" ref="R250:R268" si="258">_xlfn.TEXTJOIN("|",TRUE,AB250:AE250)</f>
        <v>104,35|105,20|106,1|3,250</v>
      </c>
      <c r="S250" t="str">
        <f t="shared" ref="S250:S268" si="259">_xlfn.TEXTJOIN("|",TRUE,AG250:AJ250)</f>
        <v>104,7|105,3|106,1|1,313</v>
      </c>
      <c r="V250" t="str">
        <f t="shared" ref="V250:V268" si="260">IF(B250="","",B$1&amp;","&amp;B250)</f>
        <v>104,13</v>
      </c>
      <c r="W250" t="str">
        <f t="shared" si="247"/>
        <v>105,5</v>
      </c>
      <c r="X250" t="str">
        <f t="shared" si="248"/>
        <v>106,1</v>
      </c>
      <c r="Y250" t="str">
        <f t="shared" si="249"/>
        <v>1,250</v>
      </c>
      <c r="AB250" t="str">
        <f t="shared" ref="AB250:AB268" si="261">IF(I250="","",I$1&amp;","&amp;I250)</f>
        <v>104,35</v>
      </c>
      <c r="AC250" t="str">
        <f t="shared" si="250"/>
        <v>105,20</v>
      </c>
      <c r="AD250" t="str">
        <f t="shared" si="251"/>
        <v>106,1</v>
      </c>
      <c r="AE250" t="str">
        <f t="shared" si="252"/>
        <v>3,250</v>
      </c>
      <c r="AG250" t="str">
        <f t="shared" ref="AG250:AG268" si="262">IF(B250="","",B$1&amp;","&amp;ROUNDUP(B250/2,0))</f>
        <v>104,7</v>
      </c>
      <c r="AH250" t="str">
        <f t="shared" si="253"/>
        <v>105,3</v>
      </c>
      <c r="AI250" t="str">
        <f t="shared" si="254"/>
        <v>106,1</v>
      </c>
      <c r="AJ250" t="str">
        <f t="shared" ref="AJ250:AJ268" si="263">IF(E250="","",E$1&amp;","&amp;ROUNDUP(E250/2*2.5,0))</f>
        <v>1,313</v>
      </c>
    </row>
    <row r="251" spans="1:36" x14ac:dyDescent="0.25">
      <c r="A251" s="14">
        <v>3</v>
      </c>
      <c r="B251" s="15">
        <f>IF(关卡产出!C416="","",关卡产出!C416)</f>
        <v>13</v>
      </c>
      <c r="C251" s="15">
        <f>IF(关卡产出!D416="","",关卡产出!D416)</f>
        <v>5</v>
      </c>
      <c r="D251" s="15">
        <f>IF(关卡产出!E416="","",关卡产出!E416)</f>
        <v>1</v>
      </c>
      <c r="E251" s="15">
        <f>IF(关卡产出!F416="","",关卡产出!F416)</f>
        <v>275</v>
      </c>
      <c r="F251" s="15">
        <f>IF(关卡产出!H416="","",关卡产出!H416)</f>
        <v>1000</v>
      </c>
      <c r="G251" s="15">
        <f>IF(关卡产出!J416="","",关卡产出!J416)</f>
        <v>2000</v>
      </c>
      <c r="H251" s="15">
        <f>IF(关卡产出!K416="","",关卡产出!K416)</f>
        <v>6</v>
      </c>
      <c r="I251" s="15">
        <f>IF(关卡产出!M416="","",关卡产出!M416)</f>
        <v>40</v>
      </c>
      <c r="J251" s="15">
        <f>IF(关卡产出!N416="","",关卡产出!N416)</f>
        <v>20</v>
      </c>
      <c r="K251" s="15">
        <f>IF(关卡产出!O416="","",关卡产出!O416)</f>
        <v>1</v>
      </c>
      <c r="L251" s="15">
        <f>IF(关卡产出!P416="","",关卡产出!P416)</f>
        <v>250</v>
      </c>
      <c r="N251" t="str">
        <f t="shared" si="255"/>
        <v>104,13|105,5|106,1|1,275</v>
      </c>
      <c r="P251" t="str">
        <f t="shared" si="256"/>
        <v>11,1|1,1000</v>
      </c>
      <c r="Q251" t="str">
        <f t="shared" si="257"/>
        <v>163,1|1,2000|4,6</v>
      </c>
      <c r="R251" t="str">
        <f t="shared" si="258"/>
        <v>104,40|105,20|106,1|3,250</v>
      </c>
      <c r="S251" t="str">
        <f t="shared" si="259"/>
        <v>104,7|105,3|106,1|1,344</v>
      </c>
      <c r="V251" t="str">
        <f t="shared" si="260"/>
        <v>104,13</v>
      </c>
      <c r="W251" t="str">
        <f t="shared" si="247"/>
        <v>105,5</v>
      </c>
      <c r="X251" t="str">
        <f t="shared" si="248"/>
        <v>106,1</v>
      </c>
      <c r="Y251" t="str">
        <f t="shared" si="249"/>
        <v>1,275</v>
      </c>
      <c r="AB251" t="str">
        <f t="shared" si="261"/>
        <v>104,40</v>
      </c>
      <c r="AC251" t="str">
        <f t="shared" si="250"/>
        <v>105,20</v>
      </c>
      <c r="AD251" t="str">
        <f t="shared" si="251"/>
        <v>106,1</v>
      </c>
      <c r="AE251" t="str">
        <f t="shared" si="252"/>
        <v>3,250</v>
      </c>
      <c r="AG251" t="str">
        <f t="shared" si="262"/>
        <v>104,7</v>
      </c>
      <c r="AH251" t="str">
        <f t="shared" si="253"/>
        <v>105,3</v>
      </c>
      <c r="AI251" t="str">
        <f t="shared" si="254"/>
        <v>106,1</v>
      </c>
      <c r="AJ251" t="str">
        <f t="shared" si="263"/>
        <v>1,344</v>
      </c>
    </row>
    <row r="252" spans="1:36" x14ac:dyDescent="0.25">
      <c r="A252" s="14">
        <v>4</v>
      </c>
      <c r="B252" s="15">
        <f>IF(关卡产出!C417="","",关卡产出!C417)</f>
        <v>13</v>
      </c>
      <c r="C252" s="15">
        <f>IF(关卡产出!D417="","",关卡产出!D417)</f>
        <v>5</v>
      </c>
      <c r="D252" s="15">
        <f>IF(关卡产出!E417="","",关卡产出!E417)</f>
        <v>3</v>
      </c>
      <c r="E252" s="15">
        <f>IF(关卡产出!F417="","",关卡产出!F417)</f>
        <v>275</v>
      </c>
      <c r="F252" s="15">
        <f>IF(关卡产出!H417="","",关卡产出!H417)</f>
        <v>1250</v>
      </c>
      <c r="G252" s="15">
        <f>IF(关卡产出!J417="","",关卡产出!J417)</f>
        <v>2500</v>
      </c>
      <c r="H252" s="15">
        <f>IF(关卡产出!K417="","",关卡产出!K417)</f>
        <v>6</v>
      </c>
      <c r="I252" s="15">
        <f>IF(关卡产出!M417="","",关卡产出!M417)</f>
        <v>45</v>
      </c>
      <c r="J252" s="15">
        <f>IF(关卡产出!N417="","",关卡产出!N417)</f>
        <v>20</v>
      </c>
      <c r="K252" s="15">
        <f>IF(关卡产出!O417="","",关卡产出!O417)</f>
        <v>3</v>
      </c>
      <c r="L252" s="15">
        <f>IF(关卡产出!P417="","",关卡产出!P417)</f>
        <v>250</v>
      </c>
      <c r="N252" t="str">
        <f t="shared" si="255"/>
        <v>104,13|105,5|106,3|1,275</v>
      </c>
      <c r="P252" t="str">
        <f t="shared" si="256"/>
        <v>11,1|1,1250</v>
      </c>
      <c r="Q252" t="str">
        <f t="shared" si="257"/>
        <v>163,1|1,2500|4,6</v>
      </c>
      <c r="R252" t="str">
        <f t="shared" si="258"/>
        <v>104,45|105,20|106,3|3,250</v>
      </c>
      <c r="S252" t="str">
        <f t="shared" si="259"/>
        <v>104,7|105,3|106,2|1,344</v>
      </c>
      <c r="V252" t="str">
        <f t="shared" si="260"/>
        <v>104,13</v>
      </c>
      <c r="W252" t="str">
        <f t="shared" si="247"/>
        <v>105,5</v>
      </c>
      <c r="X252" t="str">
        <f t="shared" si="248"/>
        <v>106,3</v>
      </c>
      <c r="Y252" t="str">
        <f t="shared" si="249"/>
        <v>1,275</v>
      </c>
      <c r="AB252" t="str">
        <f t="shared" si="261"/>
        <v>104,45</v>
      </c>
      <c r="AC252" t="str">
        <f t="shared" si="250"/>
        <v>105,20</v>
      </c>
      <c r="AD252" t="str">
        <f t="shared" si="251"/>
        <v>106,3</v>
      </c>
      <c r="AE252" t="str">
        <f t="shared" si="252"/>
        <v>3,250</v>
      </c>
      <c r="AG252" t="str">
        <f t="shared" si="262"/>
        <v>104,7</v>
      </c>
      <c r="AH252" t="str">
        <f t="shared" si="253"/>
        <v>105,3</v>
      </c>
      <c r="AI252" t="str">
        <f t="shared" si="254"/>
        <v>106,2</v>
      </c>
      <c r="AJ252" t="str">
        <f t="shared" si="263"/>
        <v>1,344</v>
      </c>
    </row>
    <row r="253" spans="1:36" x14ac:dyDescent="0.25">
      <c r="A253" s="14">
        <v>5</v>
      </c>
      <c r="B253" s="15">
        <f>IF(关卡产出!C418="","",关卡产出!C418)</f>
        <v>15</v>
      </c>
      <c r="C253" s="15">
        <f>IF(关卡产出!D418="","",关卡产出!D418)</f>
        <v>8</v>
      </c>
      <c r="D253" s="15">
        <f>IF(关卡产出!E418="","",关卡产出!E418)</f>
        <v>3</v>
      </c>
      <c r="E253" s="15">
        <f>IF(关卡产出!F418="","",关卡产出!F418)</f>
        <v>300</v>
      </c>
      <c r="F253" s="15">
        <f>IF(关卡产出!H418="","",关卡产出!H418)</f>
        <v>1500</v>
      </c>
      <c r="G253" s="15">
        <f>IF(关卡产出!J418="","",关卡产出!J418)</f>
        <v>3000</v>
      </c>
      <c r="H253" s="15">
        <f>IF(关卡产出!K418="","",关卡产出!K418)</f>
        <v>6</v>
      </c>
      <c r="I253" s="15">
        <f>IF(关卡产出!M418="","",关卡产出!M418)</f>
        <v>50</v>
      </c>
      <c r="J253" s="15">
        <f>IF(关卡产出!N418="","",关卡产出!N418)</f>
        <v>23</v>
      </c>
      <c r="K253" s="15">
        <f>IF(关卡产出!O418="","",关卡产出!O418)</f>
        <v>3</v>
      </c>
      <c r="L253" s="15">
        <f>IF(关卡产出!P418="","",关卡产出!P418)</f>
        <v>250</v>
      </c>
      <c r="N253" t="str">
        <f t="shared" si="255"/>
        <v>104,15|105,8|106,3|1,300</v>
      </c>
      <c r="P253" t="str">
        <f t="shared" si="256"/>
        <v>11,1|1,1500</v>
      </c>
      <c r="Q253" t="str">
        <f t="shared" si="257"/>
        <v>163,1|1,3000|4,6</v>
      </c>
      <c r="R253" t="str">
        <f t="shared" si="258"/>
        <v>104,50|105,23|106,3|3,250</v>
      </c>
      <c r="S253" t="str">
        <f t="shared" si="259"/>
        <v>104,8|105,4|106,2|1,375</v>
      </c>
      <c r="V253" t="str">
        <f t="shared" si="260"/>
        <v>104,15</v>
      </c>
      <c r="W253" t="str">
        <f t="shared" si="247"/>
        <v>105,8</v>
      </c>
      <c r="X253" t="str">
        <f t="shared" si="248"/>
        <v>106,3</v>
      </c>
      <c r="Y253" t="str">
        <f t="shared" si="249"/>
        <v>1,300</v>
      </c>
      <c r="AB253" t="str">
        <f t="shared" si="261"/>
        <v>104,50</v>
      </c>
      <c r="AC253" t="str">
        <f t="shared" si="250"/>
        <v>105,23</v>
      </c>
      <c r="AD253" t="str">
        <f t="shared" si="251"/>
        <v>106,3</v>
      </c>
      <c r="AE253" t="str">
        <f t="shared" si="252"/>
        <v>3,250</v>
      </c>
      <c r="AG253" t="str">
        <f t="shared" si="262"/>
        <v>104,8</v>
      </c>
      <c r="AH253" t="str">
        <f t="shared" si="253"/>
        <v>105,4</v>
      </c>
      <c r="AI253" t="str">
        <f t="shared" si="254"/>
        <v>106,2</v>
      </c>
      <c r="AJ253" t="str">
        <f t="shared" si="263"/>
        <v>1,375</v>
      </c>
    </row>
    <row r="254" spans="1:36" x14ac:dyDescent="0.25">
      <c r="A254" s="14">
        <v>6</v>
      </c>
      <c r="B254" s="15">
        <f>IF(关卡产出!C419="","",关卡产出!C419)</f>
        <v>15</v>
      </c>
      <c r="C254" s="15">
        <f>IF(关卡产出!D419="","",关卡产出!D419)</f>
        <v>8</v>
      </c>
      <c r="D254" s="15">
        <f>IF(关卡产出!E419="","",关卡产出!E419)</f>
        <v>3</v>
      </c>
      <c r="E254" s="15">
        <f>IF(关卡产出!F419="","",关卡产出!F419)</f>
        <v>300</v>
      </c>
      <c r="F254" s="15">
        <f>IF(关卡产出!H419="","",关卡产出!H419)</f>
        <v>1750</v>
      </c>
      <c r="G254" s="15">
        <f>IF(关卡产出!J419="","",关卡产出!J419)</f>
        <v>3500</v>
      </c>
      <c r="H254" s="15">
        <f>IF(关卡产出!K419="","",关卡产出!K419)</f>
        <v>6</v>
      </c>
      <c r="I254" s="15">
        <f>IF(关卡产出!M419="","",关卡产出!M419)</f>
        <v>50</v>
      </c>
      <c r="J254" s="15">
        <f>IF(关卡产出!N419="","",关卡产出!N419)</f>
        <v>25</v>
      </c>
      <c r="K254" s="15">
        <f>IF(关卡产出!O419="","",关卡产出!O419)</f>
        <v>5</v>
      </c>
      <c r="L254" s="15">
        <f>IF(关卡产出!P419="","",关卡产出!P419)</f>
        <v>250</v>
      </c>
      <c r="N254" t="str">
        <f t="shared" si="255"/>
        <v>104,15|105,8|106,3|1,300</v>
      </c>
      <c r="P254" t="str">
        <f t="shared" si="256"/>
        <v>11,1|1,1750</v>
      </c>
      <c r="Q254" t="str">
        <f t="shared" si="257"/>
        <v>163,1|1,3500|4,6</v>
      </c>
      <c r="R254" t="str">
        <f t="shared" si="258"/>
        <v>104,50|105,25|106,5|3,250</v>
      </c>
      <c r="S254" t="str">
        <f t="shared" si="259"/>
        <v>104,8|105,4|106,2|1,375</v>
      </c>
      <c r="V254" t="str">
        <f t="shared" si="260"/>
        <v>104,15</v>
      </c>
      <c r="W254" t="str">
        <f t="shared" si="247"/>
        <v>105,8</v>
      </c>
      <c r="X254" t="str">
        <f t="shared" si="248"/>
        <v>106,3</v>
      </c>
      <c r="Y254" t="str">
        <f t="shared" si="249"/>
        <v>1,300</v>
      </c>
      <c r="AB254" t="str">
        <f t="shared" si="261"/>
        <v>104,50</v>
      </c>
      <c r="AC254" t="str">
        <f t="shared" si="250"/>
        <v>105,25</v>
      </c>
      <c r="AD254" t="str">
        <f t="shared" si="251"/>
        <v>106,5</v>
      </c>
      <c r="AE254" t="str">
        <f t="shared" si="252"/>
        <v>3,250</v>
      </c>
      <c r="AG254" t="str">
        <f t="shared" si="262"/>
        <v>104,8</v>
      </c>
      <c r="AH254" t="str">
        <f t="shared" si="253"/>
        <v>105,4</v>
      </c>
      <c r="AI254" t="str">
        <f t="shared" si="254"/>
        <v>106,2</v>
      </c>
      <c r="AJ254" t="str">
        <f t="shared" si="263"/>
        <v>1,375</v>
      </c>
    </row>
    <row r="255" spans="1:36" x14ac:dyDescent="0.25">
      <c r="A255" s="14">
        <v>7</v>
      </c>
      <c r="B255" s="15">
        <f>IF(关卡产出!C420="","",关卡产出!C420)</f>
        <v>18</v>
      </c>
      <c r="C255" s="15">
        <f>IF(关卡产出!D420="","",关卡产出!D420)</f>
        <v>8</v>
      </c>
      <c r="D255" s="15">
        <f>IF(关卡产出!E420="","",关卡产出!E420)</f>
        <v>3</v>
      </c>
      <c r="E255" s="15">
        <f>IF(关卡产出!F420="","",关卡产出!F420)</f>
        <v>325</v>
      </c>
      <c r="F255" s="15">
        <f>IF(关卡产出!H420="","",关卡产出!H420)</f>
        <v>2000</v>
      </c>
      <c r="G255" s="15">
        <f>IF(关卡产出!J420="","",关卡产出!J420)</f>
        <v>4000</v>
      </c>
      <c r="H255" s="15">
        <f>IF(关卡产出!K420="","",关卡产出!K420)</f>
        <v>6</v>
      </c>
      <c r="I255" s="15">
        <f>IF(关卡产出!M420="","",关卡产出!M420)</f>
        <v>55</v>
      </c>
      <c r="J255" s="15">
        <f>IF(关卡产出!N420="","",关卡产出!N420)</f>
        <v>28</v>
      </c>
      <c r="K255" s="15">
        <f>IF(关卡产出!O420="","",关卡产出!O420)</f>
        <v>5</v>
      </c>
      <c r="L255" s="15">
        <f>IF(关卡产出!P420="","",关卡产出!P420)</f>
        <v>250</v>
      </c>
      <c r="N255" t="str">
        <f t="shared" si="255"/>
        <v>104,18|105,8|106,3|1,325</v>
      </c>
      <c r="P255" t="str">
        <f t="shared" si="256"/>
        <v>11,1|1,2000</v>
      </c>
      <c r="Q255" t="str">
        <f t="shared" si="257"/>
        <v>163,1|1,4000|4,6</v>
      </c>
      <c r="R255" t="str">
        <f t="shared" si="258"/>
        <v>104,55|105,28|106,5|3,250</v>
      </c>
      <c r="S255" t="str">
        <f t="shared" si="259"/>
        <v>104,9|105,4|106,2|1,407</v>
      </c>
      <c r="V255" t="str">
        <f t="shared" si="260"/>
        <v>104,18</v>
      </c>
      <c r="W255" t="str">
        <f t="shared" si="247"/>
        <v>105,8</v>
      </c>
      <c r="X255" t="str">
        <f t="shared" si="248"/>
        <v>106,3</v>
      </c>
      <c r="Y255" t="str">
        <f t="shared" si="249"/>
        <v>1,325</v>
      </c>
      <c r="AB255" t="str">
        <f t="shared" si="261"/>
        <v>104,55</v>
      </c>
      <c r="AC255" t="str">
        <f t="shared" si="250"/>
        <v>105,28</v>
      </c>
      <c r="AD255" t="str">
        <f t="shared" si="251"/>
        <v>106,5</v>
      </c>
      <c r="AE255" t="str">
        <f t="shared" si="252"/>
        <v>3,250</v>
      </c>
      <c r="AG255" t="str">
        <f t="shared" si="262"/>
        <v>104,9</v>
      </c>
      <c r="AH255" t="str">
        <f t="shared" si="253"/>
        <v>105,4</v>
      </c>
      <c r="AI255" t="str">
        <f t="shared" si="254"/>
        <v>106,2</v>
      </c>
      <c r="AJ255" t="str">
        <f t="shared" si="263"/>
        <v>1,407</v>
      </c>
    </row>
    <row r="256" spans="1:36" x14ac:dyDescent="0.25">
      <c r="A256" s="14">
        <v>8</v>
      </c>
      <c r="B256" s="15">
        <f>IF(关卡产出!C421="","",关卡产出!C421)</f>
        <v>18</v>
      </c>
      <c r="C256" s="15">
        <f>IF(关卡产出!D421="","",关卡产出!D421)</f>
        <v>8</v>
      </c>
      <c r="D256" s="15">
        <f>IF(关卡产出!E421="","",关卡产出!E421)</f>
        <v>3</v>
      </c>
      <c r="E256" s="15">
        <f>IF(关卡产出!F421="","",关卡产出!F421)</f>
        <v>325</v>
      </c>
      <c r="F256" s="15">
        <f>IF(关卡产出!H421="","",关卡产出!H421)</f>
        <v>2250</v>
      </c>
      <c r="G256" s="15">
        <f>IF(关卡产出!J421="","",关卡产出!J421)</f>
        <v>4500</v>
      </c>
      <c r="H256" s="15">
        <f>IF(关卡产出!K421="","",关卡产出!K421)</f>
        <v>6</v>
      </c>
      <c r="I256" s="15">
        <f>IF(关卡产出!M421="","",关卡产出!M421)</f>
        <v>60</v>
      </c>
      <c r="J256" s="15">
        <f>IF(关卡产出!N421="","",关卡产出!N421)</f>
        <v>30</v>
      </c>
      <c r="K256" s="15">
        <f>IF(关卡产出!O421="","",关卡产出!O421)</f>
        <v>8</v>
      </c>
      <c r="L256" s="15">
        <f>IF(关卡产出!P421="","",关卡产出!P421)</f>
        <v>250</v>
      </c>
      <c r="N256" t="str">
        <f t="shared" si="255"/>
        <v>104,18|105,8|106,3|1,325</v>
      </c>
      <c r="P256" t="str">
        <f t="shared" si="256"/>
        <v>11,1|1,2250</v>
      </c>
      <c r="Q256" t="str">
        <f t="shared" si="257"/>
        <v>163,1|1,4500|4,6</v>
      </c>
      <c r="R256" t="str">
        <f t="shared" si="258"/>
        <v>104,60|105,30|106,8|3,250</v>
      </c>
      <c r="S256" t="str">
        <f t="shared" si="259"/>
        <v>104,9|105,4|106,2|1,407</v>
      </c>
      <c r="V256" t="str">
        <f t="shared" si="260"/>
        <v>104,18</v>
      </c>
      <c r="W256" t="str">
        <f t="shared" si="247"/>
        <v>105,8</v>
      </c>
      <c r="X256" t="str">
        <f t="shared" si="248"/>
        <v>106,3</v>
      </c>
      <c r="Y256" t="str">
        <f t="shared" si="249"/>
        <v>1,325</v>
      </c>
      <c r="AB256" t="str">
        <f t="shared" si="261"/>
        <v>104,60</v>
      </c>
      <c r="AC256" t="str">
        <f t="shared" si="250"/>
        <v>105,30</v>
      </c>
      <c r="AD256" t="str">
        <f t="shared" si="251"/>
        <v>106,8</v>
      </c>
      <c r="AE256" t="str">
        <f t="shared" si="252"/>
        <v>3,250</v>
      </c>
      <c r="AG256" t="str">
        <f t="shared" si="262"/>
        <v>104,9</v>
      </c>
      <c r="AH256" t="str">
        <f t="shared" si="253"/>
        <v>105,4</v>
      </c>
      <c r="AI256" t="str">
        <f t="shared" si="254"/>
        <v>106,2</v>
      </c>
      <c r="AJ256" t="str">
        <f t="shared" si="263"/>
        <v>1,407</v>
      </c>
    </row>
    <row r="257" spans="1:36" x14ac:dyDescent="0.25">
      <c r="A257" s="14">
        <v>9</v>
      </c>
      <c r="B257" s="15">
        <f>IF(关卡产出!C422="","",关卡产出!C422)</f>
        <v>20</v>
      </c>
      <c r="C257" s="15">
        <f>IF(关卡产出!D422="","",关卡产出!D422)</f>
        <v>10</v>
      </c>
      <c r="D257" s="15">
        <f>IF(关卡产出!E422="","",关卡产出!E422)</f>
        <v>3</v>
      </c>
      <c r="E257" s="15">
        <f>IF(关卡产出!F422="","",关卡产出!F422)</f>
        <v>375</v>
      </c>
      <c r="F257" s="15">
        <f>IF(关卡产出!H422="","",关卡产出!H422)</f>
        <v>2750</v>
      </c>
      <c r="G257" s="15">
        <f>IF(关卡产出!J422="","",关卡产出!J422)</f>
        <v>5000</v>
      </c>
      <c r="H257" s="15">
        <f>IF(关卡产出!K422="","",关卡产出!K422)</f>
        <v>6</v>
      </c>
      <c r="I257" s="15">
        <f>IF(关卡产出!M422="","",关卡产出!M422)</f>
        <v>70</v>
      </c>
      <c r="J257" s="15">
        <f>IF(关卡产出!N422="","",关卡产出!N422)</f>
        <v>35</v>
      </c>
      <c r="K257" s="15">
        <f>IF(关卡产出!O422="","",关卡产出!O422)</f>
        <v>10</v>
      </c>
      <c r="L257" s="15">
        <f>IF(关卡产出!P422="","",关卡产出!P422)</f>
        <v>250</v>
      </c>
      <c r="N257" t="str">
        <f t="shared" si="255"/>
        <v>104,20|105,10|106,3|1,375</v>
      </c>
      <c r="P257" t="str">
        <f t="shared" si="256"/>
        <v>11,1|1,2750</v>
      </c>
      <c r="Q257" t="str">
        <f t="shared" si="257"/>
        <v>163,1|1,5000|4,6</v>
      </c>
      <c r="R257" t="str">
        <f t="shared" si="258"/>
        <v>104,70|105,35|106,10|3,250</v>
      </c>
      <c r="S257" t="str">
        <f t="shared" si="259"/>
        <v>104,10|105,5|106,2|1,469</v>
      </c>
      <c r="V257" t="str">
        <f t="shared" si="260"/>
        <v>104,20</v>
      </c>
      <c r="W257" t="str">
        <f t="shared" si="247"/>
        <v>105,10</v>
      </c>
      <c r="X257" t="str">
        <f t="shared" si="248"/>
        <v>106,3</v>
      </c>
      <c r="Y257" t="str">
        <f t="shared" si="249"/>
        <v>1,375</v>
      </c>
      <c r="AB257" t="str">
        <f t="shared" si="261"/>
        <v>104,70</v>
      </c>
      <c r="AC257" t="str">
        <f t="shared" si="250"/>
        <v>105,35</v>
      </c>
      <c r="AD257" t="str">
        <f t="shared" si="251"/>
        <v>106,10</v>
      </c>
      <c r="AE257" t="str">
        <f t="shared" si="252"/>
        <v>3,250</v>
      </c>
      <c r="AG257" t="str">
        <f t="shared" si="262"/>
        <v>104,10</v>
      </c>
      <c r="AH257" t="str">
        <f t="shared" si="253"/>
        <v>105,5</v>
      </c>
      <c r="AI257" t="str">
        <f t="shared" si="254"/>
        <v>106,2</v>
      </c>
      <c r="AJ257" t="str">
        <f t="shared" si="263"/>
        <v>1,469</v>
      </c>
    </row>
    <row r="258" spans="1:36" x14ac:dyDescent="0.25">
      <c r="A258" s="14">
        <v>10</v>
      </c>
      <c r="B258" s="15">
        <f>IF(关卡产出!C423="","",关卡产出!C423)</f>
        <v>20</v>
      </c>
      <c r="C258" s="15">
        <f>IF(关卡产出!D423="","",关卡产出!D423)</f>
        <v>10</v>
      </c>
      <c r="D258" s="15">
        <f>IF(关卡产出!E423="","",关卡产出!E423)</f>
        <v>3</v>
      </c>
      <c r="E258" s="15">
        <f>IF(关卡产出!F423="","",关卡产出!F423)</f>
        <v>375</v>
      </c>
      <c r="F258" s="15">
        <f>IF(关卡产出!H423="","",关卡产出!H423)</f>
        <v>3250</v>
      </c>
      <c r="G258" s="15">
        <f>IF(关卡产出!J423="","",关卡产出!J423)</f>
        <v>6000</v>
      </c>
      <c r="H258" s="15">
        <f>IF(关卡产出!K423="","",关卡产出!K423)</f>
        <v>6</v>
      </c>
      <c r="I258" s="15">
        <f>IF(关卡产出!M423="","",关卡产出!M423)</f>
        <v>80</v>
      </c>
      <c r="J258" s="15">
        <f>IF(关卡产出!N423="","",关卡产出!N423)</f>
        <v>40</v>
      </c>
      <c r="K258" s="15">
        <f>IF(关卡产出!O423="","",关卡产出!O423)</f>
        <v>13</v>
      </c>
      <c r="L258" s="15">
        <f>IF(关卡产出!P423="","",关卡产出!P423)</f>
        <v>250</v>
      </c>
      <c r="N258" t="str">
        <f t="shared" si="255"/>
        <v>104,20|105,10|106,3|1,375</v>
      </c>
      <c r="P258" t="str">
        <f t="shared" si="256"/>
        <v>11,1|1,3250</v>
      </c>
      <c r="Q258" t="str">
        <f t="shared" si="257"/>
        <v>163,1|1,6000|4,6</v>
      </c>
      <c r="R258" t="str">
        <f t="shared" si="258"/>
        <v>104,80|105,40|106,13|3,250</v>
      </c>
      <c r="S258" t="str">
        <f t="shared" si="259"/>
        <v>104,10|105,5|106,2|1,469</v>
      </c>
      <c r="V258" t="str">
        <f t="shared" si="260"/>
        <v>104,20</v>
      </c>
      <c r="W258" t="str">
        <f t="shared" si="247"/>
        <v>105,10</v>
      </c>
      <c r="X258" t="str">
        <f t="shared" si="248"/>
        <v>106,3</v>
      </c>
      <c r="Y258" t="str">
        <f t="shared" si="249"/>
        <v>1,375</v>
      </c>
      <c r="AB258" t="str">
        <f t="shared" si="261"/>
        <v>104,80</v>
      </c>
      <c r="AC258" t="str">
        <f t="shared" si="250"/>
        <v>105,40</v>
      </c>
      <c r="AD258" t="str">
        <f t="shared" si="251"/>
        <v>106,13</v>
      </c>
      <c r="AE258" t="str">
        <f t="shared" si="252"/>
        <v>3,250</v>
      </c>
      <c r="AG258" t="str">
        <f t="shared" si="262"/>
        <v>104,10</v>
      </c>
      <c r="AH258" t="str">
        <f t="shared" si="253"/>
        <v>105,5</v>
      </c>
      <c r="AI258" t="str">
        <f t="shared" si="254"/>
        <v>106,2</v>
      </c>
      <c r="AJ258" t="str">
        <f t="shared" si="263"/>
        <v>1,469</v>
      </c>
    </row>
    <row r="259" spans="1:36" x14ac:dyDescent="0.25">
      <c r="A259" s="14">
        <v>11</v>
      </c>
      <c r="B259" s="15">
        <f>IF(关卡产出!C424="","",关卡产出!C424)</f>
        <v>23</v>
      </c>
      <c r="C259" s="15">
        <f>IF(关卡产出!D424="","",关卡产出!D424)</f>
        <v>10</v>
      </c>
      <c r="D259" s="15">
        <f>IF(关卡产出!E424="","",关卡产出!E424)</f>
        <v>3</v>
      </c>
      <c r="E259" s="15">
        <f>IF(关卡产出!F424="","",关卡产出!F424)</f>
        <v>425</v>
      </c>
      <c r="F259" s="15">
        <f>IF(关卡产出!H424="","",关卡产出!H424)</f>
        <v>3750</v>
      </c>
      <c r="G259" s="15">
        <f>IF(关卡产出!J424="","",关卡产出!J424)</f>
        <v>7000</v>
      </c>
      <c r="H259" s="15">
        <f>IF(关卡产出!K424="","",关卡产出!K424)</f>
        <v>6</v>
      </c>
      <c r="I259" s="15">
        <f>IF(关卡产出!M424="","",关卡产出!M424)</f>
        <v>90</v>
      </c>
      <c r="J259" s="15">
        <f>IF(关卡产出!N424="","",关卡产出!N424)</f>
        <v>45</v>
      </c>
      <c r="K259" s="15">
        <f>IF(关卡产出!O424="","",关卡产出!O424)</f>
        <v>15</v>
      </c>
      <c r="L259" s="15">
        <f>IF(关卡产出!P424="","",关卡产出!P424)</f>
        <v>375</v>
      </c>
      <c r="N259" t="str">
        <f t="shared" si="255"/>
        <v>104,23|105,10|106,3|1,425</v>
      </c>
      <c r="P259" t="str">
        <f t="shared" si="256"/>
        <v>11,1|1,3750</v>
      </c>
      <c r="Q259" t="str">
        <f t="shared" si="257"/>
        <v>163,1|1,7000|4,6</v>
      </c>
      <c r="R259" t="str">
        <f t="shared" si="258"/>
        <v>104,90|105,45|106,15|3,375</v>
      </c>
      <c r="S259" t="str">
        <f t="shared" si="259"/>
        <v>104,12|105,5|106,2|1,532</v>
      </c>
      <c r="V259" t="str">
        <f t="shared" si="260"/>
        <v>104,23</v>
      </c>
      <c r="W259" t="str">
        <f t="shared" si="247"/>
        <v>105,10</v>
      </c>
      <c r="X259" t="str">
        <f t="shared" si="248"/>
        <v>106,3</v>
      </c>
      <c r="Y259" t="str">
        <f t="shared" si="249"/>
        <v>1,425</v>
      </c>
      <c r="AB259" t="str">
        <f t="shared" si="261"/>
        <v>104,90</v>
      </c>
      <c r="AC259" t="str">
        <f t="shared" si="250"/>
        <v>105,45</v>
      </c>
      <c r="AD259" t="str">
        <f t="shared" si="251"/>
        <v>106,15</v>
      </c>
      <c r="AE259" t="str">
        <f t="shared" si="252"/>
        <v>3,375</v>
      </c>
      <c r="AG259" t="str">
        <f t="shared" si="262"/>
        <v>104,12</v>
      </c>
      <c r="AH259" t="str">
        <f t="shared" si="253"/>
        <v>105,5</v>
      </c>
      <c r="AI259" t="str">
        <f t="shared" si="254"/>
        <v>106,2</v>
      </c>
      <c r="AJ259" t="str">
        <f t="shared" si="263"/>
        <v>1,532</v>
      </c>
    </row>
    <row r="260" spans="1:36" x14ac:dyDescent="0.25">
      <c r="A260" s="14">
        <v>12</v>
      </c>
      <c r="B260" s="15">
        <f>IF(关卡产出!C425="","",关卡产出!C425)</f>
        <v>23</v>
      </c>
      <c r="C260" s="15">
        <f>IF(关卡产出!D425="","",关卡产出!D425)</f>
        <v>10</v>
      </c>
      <c r="D260" s="15">
        <f>IF(关卡产出!E425="","",关卡产出!E425)</f>
        <v>3</v>
      </c>
      <c r="E260" s="15">
        <f>IF(关卡产出!F425="","",关卡产出!F425)</f>
        <v>425</v>
      </c>
      <c r="F260" s="15">
        <f>IF(关卡产出!H425="","",关卡产出!H425)</f>
        <v>4250</v>
      </c>
      <c r="G260" s="15">
        <f>IF(关卡产出!J425="","",关卡产出!J425)</f>
        <v>8000</v>
      </c>
      <c r="H260" s="15">
        <f>IF(关卡产出!K425="","",关卡产出!K425)</f>
        <v>6</v>
      </c>
      <c r="I260" s="15">
        <f>IF(关卡产出!M425="","",关卡产出!M425)</f>
        <v>100</v>
      </c>
      <c r="J260" s="15">
        <f>IF(关卡产出!N425="","",关卡产出!N425)</f>
        <v>50</v>
      </c>
      <c r="K260" s="15">
        <f>IF(关卡产出!O425="","",关卡产出!O425)</f>
        <v>18</v>
      </c>
      <c r="L260" s="15">
        <f>IF(关卡产出!P425="","",关卡产出!P425)</f>
        <v>375</v>
      </c>
      <c r="N260" t="str">
        <f t="shared" si="255"/>
        <v>104,23|105,10|106,3|1,425</v>
      </c>
      <c r="P260" t="str">
        <f t="shared" si="256"/>
        <v>11,1|1,4250</v>
      </c>
      <c r="Q260" t="str">
        <f t="shared" si="257"/>
        <v>163,1|1,8000|4,6</v>
      </c>
      <c r="R260" t="str">
        <f t="shared" si="258"/>
        <v>104,100|105,50|106,18|3,375</v>
      </c>
      <c r="S260" t="str">
        <f t="shared" si="259"/>
        <v>104,12|105,5|106,2|1,532</v>
      </c>
      <c r="V260" t="str">
        <f t="shared" si="260"/>
        <v>104,23</v>
      </c>
      <c r="W260" t="str">
        <f t="shared" si="247"/>
        <v>105,10</v>
      </c>
      <c r="X260" t="str">
        <f t="shared" si="248"/>
        <v>106,3</v>
      </c>
      <c r="Y260" t="str">
        <f t="shared" si="249"/>
        <v>1,425</v>
      </c>
      <c r="AB260" t="str">
        <f t="shared" si="261"/>
        <v>104,100</v>
      </c>
      <c r="AC260" t="str">
        <f t="shared" si="250"/>
        <v>105,50</v>
      </c>
      <c r="AD260" t="str">
        <f t="shared" si="251"/>
        <v>106,18</v>
      </c>
      <c r="AE260" t="str">
        <f t="shared" si="252"/>
        <v>3,375</v>
      </c>
      <c r="AG260" t="str">
        <f t="shared" si="262"/>
        <v>104,12</v>
      </c>
      <c r="AH260" t="str">
        <f t="shared" si="253"/>
        <v>105,5</v>
      </c>
      <c r="AI260" t="str">
        <f t="shared" si="254"/>
        <v>106,2</v>
      </c>
      <c r="AJ260" t="str">
        <f t="shared" si="263"/>
        <v>1,532</v>
      </c>
    </row>
    <row r="261" spans="1:36" x14ac:dyDescent="0.25">
      <c r="A261" s="14">
        <v>13</v>
      </c>
      <c r="B261" s="15">
        <f>IF(关卡产出!C426="","",关卡产出!C426)</f>
        <v>25</v>
      </c>
      <c r="C261" s="15">
        <f>IF(关卡产出!D426="","",关卡产出!D426)</f>
        <v>13</v>
      </c>
      <c r="D261" s="15">
        <f>IF(关卡产出!E426="","",关卡产出!E426)</f>
        <v>3</v>
      </c>
      <c r="E261" s="15">
        <f>IF(关卡产出!F426="","",关卡产出!F426)</f>
        <v>475</v>
      </c>
      <c r="F261" s="15">
        <f>IF(关卡产出!H426="","",关卡产出!H426)</f>
        <v>4750</v>
      </c>
      <c r="G261" s="15">
        <f>IF(关卡产出!J426="","",关卡产出!J426)</f>
        <v>9000</v>
      </c>
      <c r="H261" s="15">
        <f>IF(关卡产出!K426="","",关卡产出!K426)</f>
        <v>6</v>
      </c>
      <c r="I261" s="15">
        <f>IF(关卡产出!M426="","",关卡产出!M426)</f>
        <v>110</v>
      </c>
      <c r="J261" s="15">
        <f>IF(关卡产出!N426="","",关卡产出!N426)</f>
        <v>55</v>
      </c>
      <c r="K261" s="15">
        <f>IF(关卡产出!O426="","",关卡产出!O426)</f>
        <v>20</v>
      </c>
      <c r="L261" s="15">
        <f>IF(关卡产出!P426="","",关卡产出!P426)</f>
        <v>375</v>
      </c>
      <c r="N261" t="str">
        <f t="shared" si="255"/>
        <v>104,25|105,13|106,3|1,475</v>
      </c>
      <c r="P261" t="str">
        <f t="shared" si="256"/>
        <v>11,1|1,4750</v>
      </c>
      <c r="Q261" t="str">
        <f t="shared" si="257"/>
        <v>163,1|1,9000|4,6</v>
      </c>
      <c r="R261" t="str">
        <f t="shared" si="258"/>
        <v>104,110|105,55|106,20|3,375</v>
      </c>
      <c r="S261" t="str">
        <f t="shared" si="259"/>
        <v>104,13|105,7|106,2|1,594</v>
      </c>
      <c r="V261" t="str">
        <f t="shared" si="260"/>
        <v>104,25</v>
      </c>
      <c r="W261" t="str">
        <f t="shared" si="247"/>
        <v>105,13</v>
      </c>
      <c r="X261" t="str">
        <f t="shared" si="248"/>
        <v>106,3</v>
      </c>
      <c r="Y261" t="str">
        <f t="shared" si="249"/>
        <v>1,475</v>
      </c>
      <c r="AB261" t="str">
        <f t="shared" si="261"/>
        <v>104,110</v>
      </c>
      <c r="AC261" t="str">
        <f t="shared" si="250"/>
        <v>105,55</v>
      </c>
      <c r="AD261" t="str">
        <f t="shared" si="251"/>
        <v>106,20</v>
      </c>
      <c r="AE261" t="str">
        <f t="shared" si="252"/>
        <v>3,375</v>
      </c>
      <c r="AG261" t="str">
        <f t="shared" si="262"/>
        <v>104,13</v>
      </c>
      <c r="AH261" t="str">
        <f t="shared" si="253"/>
        <v>105,7</v>
      </c>
      <c r="AI261" t="str">
        <f t="shared" si="254"/>
        <v>106,2</v>
      </c>
      <c r="AJ261" t="str">
        <f t="shared" si="263"/>
        <v>1,594</v>
      </c>
    </row>
    <row r="262" spans="1:36" x14ac:dyDescent="0.25">
      <c r="A262" s="14">
        <v>14</v>
      </c>
      <c r="B262" s="15">
        <f>IF(关卡产出!C427="","",关卡产出!C427)</f>
        <v>25</v>
      </c>
      <c r="C262" s="15">
        <f>IF(关卡产出!D427="","",关卡产出!D427)</f>
        <v>13</v>
      </c>
      <c r="D262" s="15">
        <f>IF(关卡产出!E427="","",关卡产出!E427)</f>
        <v>3</v>
      </c>
      <c r="E262" s="15">
        <f>IF(关卡产出!F427="","",关卡产出!F427)</f>
        <v>475</v>
      </c>
      <c r="F262" s="15">
        <f>IF(关卡产出!H427="","",关卡产出!H427)</f>
        <v>5250</v>
      </c>
      <c r="G262" s="15">
        <f>IF(关卡产出!J427="","",关卡产出!J427)</f>
        <v>10000</v>
      </c>
      <c r="H262" s="15">
        <f>IF(关卡产出!K427="","",关卡产出!K427)</f>
        <v>6</v>
      </c>
      <c r="I262" s="15">
        <f>IF(关卡产出!M427="","",关卡产出!M427)</f>
        <v>120</v>
      </c>
      <c r="J262" s="15">
        <f>IF(关卡产出!N427="","",关卡产出!N427)</f>
        <v>60</v>
      </c>
      <c r="K262" s="15">
        <f>IF(关卡产出!O427="","",关卡产出!O427)</f>
        <v>23</v>
      </c>
      <c r="L262" s="15">
        <f>IF(关卡产出!P427="","",关卡产出!P427)</f>
        <v>375</v>
      </c>
      <c r="N262" t="str">
        <f t="shared" si="255"/>
        <v>104,25|105,13|106,3|1,475</v>
      </c>
      <c r="P262" t="str">
        <f t="shared" si="256"/>
        <v>11,1|1,5250</v>
      </c>
      <c r="Q262" t="str">
        <f t="shared" si="257"/>
        <v>163,1|1,10000|4,6</v>
      </c>
      <c r="R262" t="str">
        <f t="shared" si="258"/>
        <v>104,120|105,60|106,23|3,375</v>
      </c>
      <c r="S262" t="str">
        <f t="shared" si="259"/>
        <v>104,13|105,7|106,2|1,594</v>
      </c>
      <c r="V262" t="str">
        <f t="shared" si="260"/>
        <v>104,25</v>
      </c>
      <c r="W262" t="str">
        <f t="shared" si="247"/>
        <v>105,13</v>
      </c>
      <c r="X262" t="str">
        <f t="shared" si="248"/>
        <v>106,3</v>
      </c>
      <c r="Y262" t="str">
        <f t="shared" si="249"/>
        <v>1,475</v>
      </c>
      <c r="AB262" t="str">
        <f t="shared" si="261"/>
        <v>104,120</v>
      </c>
      <c r="AC262" t="str">
        <f t="shared" si="250"/>
        <v>105,60</v>
      </c>
      <c r="AD262" t="str">
        <f t="shared" si="251"/>
        <v>106,23</v>
      </c>
      <c r="AE262" t="str">
        <f t="shared" si="252"/>
        <v>3,375</v>
      </c>
      <c r="AG262" t="str">
        <f t="shared" si="262"/>
        <v>104,13</v>
      </c>
      <c r="AH262" t="str">
        <f t="shared" si="253"/>
        <v>105,7</v>
      </c>
      <c r="AI262" t="str">
        <f t="shared" si="254"/>
        <v>106,2</v>
      </c>
      <c r="AJ262" t="str">
        <f t="shared" si="263"/>
        <v>1,594</v>
      </c>
    </row>
    <row r="263" spans="1:36" x14ac:dyDescent="0.25">
      <c r="A263" s="14">
        <v>15</v>
      </c>
      <c r="B263" s="15">
        <f>IF(关卡产出!C428="","",关卡产出!C428)</f>
        <v>28</v>
      </c>
      <c r="C263" s="15">
        <f>IF(关卡产出!D428="","",关卡产出!D428)</f>
        <v>13</v>
      </c>
      <c r="D263" s="15">
        <f>IF(关卡产出!E428="","",关卡产出!E428)</f>
        <v>3</v>
      </c>
      <c r="E263" s="15">
        <f>IF(关卡产出!F428="","",关卡产出!F428)</f>
        <v>525</v>
      </c>
      <c r="F263" s="15">
        <f>IF(关卡产出!H428="","",关卡产出!H428)</f>
        <v>5750</v>
      </c>
      <c r="G263" s="15">
        <f>IF(关卡产出!J428="","",关卡产出!J428)</f>
        <v>11000</v>
      </c>
      <c r="H263" s="15">
        <f>IF(关卡产出!K428="","",关卡产出!K428)</f>
        <v>6</v>
      </c>
      <c r="I263" s="15">
        <f>IF(关卡产出!M428="","",关卡产出!M428)</f>
        <v>130</v>
      </c>
      <c r="J263" s="15">
        <f>IF(关卡产出!N428="","",关卡产出!N428)</f>
        <v>65</v>
      </c>
      <c r="K263" s="15">
        <f>IF(关卡产出!O428="","",关卡产出!O428)</f>
        <v>25</v>
      </c>
      <c r="L263" s="15">
        <f>IF(关卡产出!P428="","",关卡产出!P428)</f>
        <v>375</v>
      </c>
      <c r="N263" t="str">
        <f t="shared" si="255"/>
        <v>104,28|105,13|106,3|1,525</v>
      </c>
      <c r="P263" t="str">
        <f t="shared" si="256"/>
        <v>11,1|1,5750</v>
      </c>
      <c r="Q263" t="str">
        <f t="shared" si="257"/>
        <v>163,1|1,11000|4,6</v>
      </c>
      <c r="R263" t="str">
        <f t="shared" si="258"/>
        <v>104,130|105,65|106,25|3,375</v>
      </c>
      <c r="S263" t="str">
        <f t="shared" si="259"/>
        <v>104,14|105,7|106,2|1,657</v>
      </c>
      <c r="V263" t="str">
        <f t="shared" si="260"/>
        <v>104,28</v>
      </c>
      <c r="W263" t="str">
        <f t="shared" si="247"/>
        <v>105,13</v>
      </c>
      <c r="X263" t="str">
        <f t="shared" si="248"/>
        <v>106,3</v>
      </c>
      <c r="Y263" t="str">
        <f t="shared" si="249"/>
        <v>1,525</v>
      </c>
      <c r="AB263" t="str">
        <f t="shared" si="261"/>
        <v>104,130</v>
      </c>
      <c r="AC263" t="str">
        <f t="shared" si="250"/>
        <v>105,65</v>
      </c>
      <c r="AD263" t="str">
        <f t="shared" si="251"/>
        <v>106,25</v>
      </c>
      <c r="AE263" t="str">
        <f t="shared" si="252"/>
        <v>3,375</v>
      </c>
      <c r="AG263" t="str">
        <f t="shared" si="262"/>
        <v>104,14</v>
      </c>
      <c r="AH263" t="str">
        <f t="shared" si="253"/>
        <v>105,7</v>
      </c>
      <c r="AI263" t="str">
        <f t="shared" si="254"/>
        <v>106,2</v>
      </c>
      <c r="AJ263" t="str">
        <f t="shared" si="263"/>
        <v>1,657</v>
      </c>
    </row>
    <row r="264" spans="1:36" x14ac:dyDescent="0.25">
      <c r="A264" s="14">
        <v>16</v>
      </c>
      <c r="B264" s="15">
        <f>IF(关卡产出!C429="","",关卡产出!C429)</f>
        <v>28</v>
      </c>
      <c r="C264" s="15">
        <f>IF(关卡产出!D429="","",关卡产出!D429)</f>
        <v>13</v>
      </c>
      <c r="D264" s="15">
        <f>IF(关卡产出!E429="","",关卡产出!E429)</f>
        <v>3</v>
      </c>
      <c r="E264" s="15">
        <f>IF(关卡产出!F429="","",关卡产出!F429)</f>
        <v>525</v>
      </c>
      <c r="F264" s="15">
        <f>IF(关卡产出!H429="","",关卡产出!H429)</f>
        <v>6250</v>
      </c>
      <c r="G264" s="15">
        <f>IF(关卡产出!J429="","",关卡产出!J429)</f>
        <v>12000</v>
      </c>
      <c r="H264" s="15">
        <f>IF(关卡产出!K429="","",关卡产出!K429)</f>
        <v>6</v>
      </c>
      <c r="I264" s="15">
        <f>IF(关卡产出!M429="","",关卡产出!M429)</f>
        <v>140</v>
      </c>
      <c r="J264" s="15">
        <f>IF(关卡产出!N429="","",关卡产出!N429)</f>
        <v>70</v>
      </c>
      <c r="K264" s="15">
        <f>IF(关卡产出!O429="","",关卡产出!O429)</f>
        <v>28</v>
      </c>
      <c r="L264" s="15">
        <f>IF(关卡产出!P429="","",关卡产出!P429)</f>
        <v>375</v>
      </c>
      <c r="N264" t="str">
        <f t="shared" si="255"/>
        <v>104,28|105,13|106,3|1,525</v>
      </c>
      <c r="P264" t="str">
        <f t="shared" si="256"/>
        <v>11,1|1,6250</v>
      </c>
      <c r="Q264" t="str">
        <f t="shared" si="257"/>
        <v>163,1|1,12000|4,6</v>
      </c>
      <c r="R264" t="str">
        <f t="shared" si="258"/>
        <v>104,140|105,70|106,28|3,375</v>
      </c>
      <c r="S264" t="str">
        <f t="shared" si="259"/>
        <v>104,14|105,7|106,2|1,657</v>
      </c>
      <c r="V264" t="str">
        <f t="shared" si="260"/>
        <v>104,28</v>
      </c>
      <c r="W264" t="str">
        <f t="shared" si="247"/>
        <v>105,13</v>
      </c>
      <c r="X264" t="str">
        <f t="shared" si="248"/>
        <v>106,3</v>
      </c>
      <c r="Y264" t="str">
        <f t="shared" si="249"/>
        <v>1,525</v>
      </c>
      <c r="AB264" t="str">
        <f t="shared" si="261"/>
        <v>104,140</v>
      </c>
      <c r="AC264" t="str">
        <f t="shared" si="250"/>
        <v>105,70</v>
      </c>
      <c r="AD264" t="str">
        <f t="shared" si="251"/>
        <v>106,28</v>
      </c>
      <c r="AE264" t="str">
        <f t="shared" si="252"/>
        <v>3,375</v>
      </c>
      <c r="AG264" t="str">
        <f t="shared" si="262"/>
        <v>104,14</v>
      </c>
      <c r="AH264" t="str">
        <f t="shared" si="253"/>
        <v>105,7</v>
      </c>
      <c r="AI264" t="str">
        <f t="shared" si="254"/>
        <v>106,2</v>
      </c>
      <c r="AJ264" t="str">
        <f t="shared" si="263"/>
        <v>1,657</v>
      </c>
    </row>
    <row r="265" spans="1:36" x14ac:dyDescent="0.25">
      <c r="A265" s="14">
        <v>17</v>
      </c>
      <c r="B265" s="15">
        <f>IF(关卡产出!C430="","",关卡产出!C430)</f>
        <v>30</v>
      </c>
      <c r="C265" s="15">
        <f>IF(关卡产出!D430="","",关卡产出!D430)</f>
        <v>15</v>
      </c>
      <c r="D265" s="15">
        <f>IF(关卡产出!E430="","",关卡产出!E430)</f>
        <v>5</v>
      </c>
      <c r="E265" s="15">
        <f>IF(关卡产出!F430="","",关卡产出!F430)</f>
        <v>575</v>
      </c>
      <c r="F265" s="15">
        <f>IF(关卡产出!H430="","",关卡产出!H430)</f>
        <v>6750</v>
      </c>
      <c r="G265" s="15">
        <f>IF(关卡产出!J430="","",关卡产出!J430)</f>
        <v>13000</v>
      </c>
      <c r="H265" s="15">
        <f>IF(关卡产出!K430="","",关卡产出!K430)</f>
        <v>6</v>
      </c>
      <c r="I265" s="15">
        <f>IF(关卡产出!M430="","",关卡产出!M430)</f>
        <v>150</v>
      </c>
      <c r="J265" s="15">
        <f>IF(关卡产出!N430="","",关卡产出!N430)</f>
        <v>75</v>
      </c>
      <c r="K265" s="15">
        <f>IF(关卡产出!O430="","",关卡产出!O430)</f>
        <v>30</v>
      </c>
      <c r="L265" s="15">
        <f>IF(关卡产出!P430="","",关卡产出!P430)</f>
        <v>375</v>
      </c>
      <c r="N265" t="str">
        <f t="shared" si="255"/>
        <v>104,30|105,15|106,5|1,575</v>
      </c>
      <c r="P265" t="str">
        <f t="shared" si="256"/>
        <v>11,1|1,6750</v>
      </c>
      <c r="Q265" t="str">
        <f t="shared" si="257"/>
        <v>163,1|1,13000|4,6</v>
      </c>
      <c r="R265" t="str">
        <f t="shared" si="258"/>
        <v>104,150|105,75|106,30|3,375</v>
      </c>
      <c r="S265" t="str">
        <f t="shared" si="259"/>
        <v>104,15|105,8|106,3|1,719</v>
      </c>
      <c r="V265" t="str">
        <f t="shared" si="260"/>
        <v>104,30</v>
      </c>
      <c r="W265" t="str">
        <f t="shared" si="247"/>
        <v>105,15</v>
      </c>
      <c r="X265" t="str">
        <f t="shared" si="248"/>
        <v>106,5</v>
      </c>
      <c r="Y265" t="str">
        <f t="shared" si="249"/>
        <v>1,575</v>
      </c>
      <c r="AB265" t="str">
        <f t="shared" si="261"/>
        <v>104,150</v>
      </c>
      <c r="AC265" t="str">
        <f t="shared" si="250"/>
        <v>105,75</v>
      </c>
      <c r="AD265" t="str">
        <f t="shared" si="251"/>
        <v>106,30</v>
      </c>
      <c r="AE265" t="str">
        <f t="shared" si="252"/>
        <v>3,375</v>
      </c>
      <c r="AG265" t="str">
        <f t="shared" si="262"/>
        <v>104,15</v>
      </c>
      <c r="AH265" t="str">
        <f t="shared" si="253"/>
        <v>105,8</v>
      </c>
      <c r="AI265" t="str">
        <f t="shared" si="254"/>
        <v>106,3</v>
      </c>
      <c r="AJ265" t="str">
        <f t="shared" si="263"/>
        <v>1,719</v>
      </c>
    </row>
    <row r="266" spans="1:36" x14ac:dyDescent="0.25">
      <c r="A266" s="14">
        <v>18</v>
      </c>
      <c r="B266" s="15">
        <f>IF(关卡产出!C431="","",关卡产出!C431)</f>
        <v>30</v>
      </c>
      <c r="C266" s="15">
        <f>IF(关卡产出!D431="","",关卡产出!D431)</f>
        <v>15</v>
      </c>
      <c r="D266" s="15">
        <f>IF(关卡产出!E431="","",关卡产出!E431)</f>
        <v>8</v>
      </c>
      <c r="E266" s="15">
        <f>IF(关卡产出!F431="","",关卡产出!F431)</f>
        <v>575</v>
      </c>
      <c r="F266" s="15">
        <f>IF(关卡产出!H431="","",关卡产出!H431)</f>
        <v>7250</v>
      </c>
      <c r="G266" s="15">
        <f>IF(关卡产出!J431="","",关卡产出!J431)</f>
        <v>14000</v>
      </c>
      <c r="H266" s="15">
        <f>IF(关卡产出!K431="","",关卡产出!K431)</f>
        <v>6</v>
      </c>
      <c r="I266" s="15">
        <f>IF(关卡产出!M431="","",关卡产出!M431)</f>
        <v>160</v>
      </c>
      <c r="J266" s="15">
        <f>IF(关卡产出!N431="","",关卡产出!N431)</f>
        <v>80</v>
      </c>
      <c r="K266" s="15">
        <f>IF(关卡产出!O431="","",关卡产出!O431)</f>
        <v>33</v>
      </c>
      <c r="L266" s="15">
        <f>IF(关卡产出!P431="","",关卡产出!P431)</f>
        <v>375</v>
      </c>
      <c r="N266" t="str">
        <f t="shared" si="255"/>
        <v>104,30|105,15|106,8|1,575</v>
      </c>
      <c r="P266" t="str">
        <f t="shared" si="256"/>
        <v>11,1|1,7250</v>
      </c>
      <c r="Q266" t="str">
        <f t="shared" si="257"/>
        <v>163,1|1,14000|4,6</v>
      </c>
      <c r="R266" t="str">
        <f t="shared" si="258"/>
        <v>104,160|105,80|106,33|3,375</v>
      </c>
      <c r="S266" t="str">
        <f t="shared" si="259"/>
        <v>104,15|105,8|106,4|1,719</v>
      </c>
      <c r="V266" t="str">
        <f t="shared" si="260"/>
        <v>104,30</v>
      </c>
      <c r="W266" t="str">
        <f t="shared" si="247"/>
        <v>105,15</v>
      </c>
      <c r="X266" t="str">
        <f t="shared" si="248"/>
        <v>106,8</v>
      </c>
      <c r="Y266" t="str">
        <f t="shared" si="249"/>
        <v>1,575</v>
      </c>
      <c r="AB266" t="str">
        <f t="shared" si="261"/>
        <v>104,160</v>
      </c>
      <c r="AC266" t="str">
        <f t="shared" si="250"/>
        <v>105,80</v>
      </c>
      <c r="AD266" t="str">
        <f t="shared" si="251"/>
        <v>106,33</v>
      </c>
      <c r="AE266" t="str">
        <f t="shared" si="252"/>
        <v>3,375</v>
      </c>
      <c r="AG266" t="str">
        <f t="shared" si="262"/>
        <v>104,15</v>
      </c>
      <c r="AH266" t="str">
        <f t="shared" si="253"/>
        <v>105,8</v>
      </c>
      <c r="AI266" t="str">
        <f t="shared" si="254"/>
        <v>106,4</v>
      </c>
      <c r="AJ266" t="str">
        <f t="shared" si="263"/>
        <v>1,719</v>
      </c>
    </row>
    <row r="267" spans="1:36" x14ac:dyDescent="0.25">
      <c r="A267" s="14">
        <v>19</v>
      </c>
      <c r="B267" s="15">
        <f>IF(关卡产出!C432="","",关卡产出!C432)</f>
        <v>33</v>
      </c>
      <c r="C267" s="15">
        <f>IF(关卡产出!D432="","",关卡产出!D432)</f>
        <v>15</v>
      </c>
      <c r="D267" s="15">
        <f>IF(关卡产出!E432="","",关卡产出!E432)</f>
        <v>8</v>
      </c>
      <c r="E267" s="15">
        <f>IF(关卡产出!F432="","",关卡产出!F432)</f>
        <v>625</v>
      </c>
      <c r="F267" s="15">
        <f>IF(关卡产出!H432="","",关卡产出!H432)</f>
        <v>7750</v>
      </c>
      <c r="G267" s="15">
        <f>IF(关卡产出!J432="","",关卡产出!J432)</f>
        <v>15000</v>
      </c>
      <c r="H267" s="15">
        <f>IF(关卡产出!K432="","",关卡产出!K432)</f>
        <v>6</v>
      </c>
      <c r="I267" s="15">
        <f>IF(关卡产出!M432="","",关卡产出!M432)</f>
        <v>170</v>
      </c>
      <c r="J267" s="15">
        <f>IF(关卡产出!N432="","",关卡产出!N432)</f>
        <v>85</v>
      </c>
      <c r="K267" s="15">
        <f>IF(关卡产出!O432="","",关卡产出!O432)</f>
        <v>35</v>
      </c>
      <c r="L267" s="15">
        <f>IF(关卡产出!P432="","",关卡产出!P432)</f>
        <v>375</v>
      </c>
      <c r="N267" t="str">
        <f t="shared" si="255"/>
        <v>104,33|105,15|106,8|1,625</v>
      </c>
      <c r="P267" t="str">
        <f t="shared" si="256"/>
        <v>11,1|1,7750</v>
      </c>
      <c r="Q267" t="str">
        <f t="shared" si="257"/>
        <v>163,1|1,15000|4,6</v>
      </c>
      <c r="R267" t="str">
        <f t="shared" si="258"/>
        <v>104,170|105,85|106,35|3,375</v>
      </c>
      <c r="S267" t="str">
        <f t="shared" si="259"/>
        <v>104,17|105,8|106,4|1,782</v>
      </c>
      <c r="V267" t="str">
        <f t="shared" si="260"/>
        <v>104,33</v>
      </c>
      <c r="W267" t="str">
        <f t="shared" si="247"/>
        <v>105,15</v>
      </c>
      <c r="X267" t="str">
        <f t="shared" si="248"/>
        <v>106,8</v>
      </c>
      <c r="Y267" t="str">
        <f t="shared" si="249"/>
        <v>1,625</v>
      </c>
      <c r="AB267" t="str">
        <f t="shared" si="261"/>
        <v>104,170</v>
      </c>
      <c r="AC267" t="str">
        <f t="shared" si="250"/>
        <v>105,85</v>
      </c>
      <c r="AD267" t="str">
        <f t="shared" si="251"/>
        <v>106,35</v>
      </c>
      <c r="AE267" t="str">
        <f t="shared" si="252"/>
        <v>3,375</v>
      </c>
      <c r="AG267" t="str">
        <f t="shared" si="262"/>
        <v>104,17</v>
      </c>
      <c r="AH267" t="str">
        <f t="shared" si="253"/>
        <v>105,8</v>
      </c>
      <c r="AI267" t="str">
        <f t="shared" si="254"/>
        <v>106,4</v>
      </c>
      <c r="AJ267" t="str">
        <f t="shared" si="263"/>
        <v>1,782</v>
      </c>
    </row>
    <row r="268" spans="1:36" x14ac:dyDescent="0.25">
      <c r="A268" s="14">
        <v>20</v>
      </c>
      <c r="B268" s="15">
        <f>IF(关卡产出!C433="","",关卡产出!C433)</f>
        <v>35</v>
      </c>
      <c r="C268" s="15">
        <f>IF(关卡产出!D433="","",关卡产出!D433)</f>
        <v>18</v>
      </c>
      <c r="D268" s="15">
        <f>IF(关卡产出!E433="","",关卡产出!E433)</f>
        <v>8</v>
      </c>
      <c r="E268" s="15">
        <f>IF(关卡产出!F433="","",关卡产出!F433)</f>
        <v>625</v>
      </c>
      <c r="F268" s="15">
        <f>IF(关卡产出!H433="","",关卡产出!H433)</f>
        <v>8250</v>
      </c>
      <c r="G268" s="15">
        <f>IF(关卡产出!J433="","",关卡产出!J433)</f>
        <v>16000</v>
      </c>
      <c r="H268" s="15">
        <f>IF(关卡产出!K433="","",关卡产出!K433)</f>
        <v>6</v>
      </c>
      <c r="I268" s="15">
        <f>IF(关卡产出!M433="","",关卡产出!M433)</f>
        <v>180</v>
      </c>
      <c r="J268" s="15">
        <f>IF(关卡产出!N433="","",关卡产出!N433)</f>
        <v>90</v>
      </c>
      <c r="K268" s="15">
        <f>IF(关卡产出!O433="","",关卡产出!O433)</f>
        <v>38</v>
      </c>
      <c r="L268" s="15">
        <f>IF(关卡产出!P433="","",关卡产出!P433)</f>
        <v>375</v>
      </c>
      <c r="N268" t="str">
        <f t="shared" si="255"/>
        <v>104,35|105,18|106,8|1,625</v>
      </c>
      <c r="P268" t="str">
        <f t="shared" si="256"/>
        <v>11,1|1,8250</v>
      </c>
      <c r="Q268" t="str">
        <f t="shared" si="257"/>
        <v>163,1|1,16000|4,6</v>
      </c>
      <c r="R268" t="str">
        <f t="shared" si="258"/>
        <v>104,180|105,90|106,38|3,375</v>
      </c>
      <c r="S268" t="str">
        <f t="shared" si="259"/>
        <v>104,18|105,9|106,4|1,782</v>
      </c>
      <c r="V268" t="str">
        <f t="shared" si="260"/>
        <v>104,35</v>
      </c>
      <c r="W268" t="str">
        <f t="shared" ref="W268:W286" si="264">IF(C268="","",C$1&amp;","&amp;C268)</f>
        <v>105,18</v>
      </c>
      <c r="X268" t="str">
        <f t="shared" ref="X268:X286" si="265">IF(D268="","",D$1&amp;","&amp;D268)</f>
        <v>106,8</v>
      </c>
      <c r="Y268" t="str">
        <f t="shared" ref="Y268:Y286" si="266">IF(E268="","",E$1&amp;","&amp;E268)</f>
        <v>1,625</v>
      </c>
      <c r="AB268" t="str">
        <f t="shared" si="261"/>
        <v>104,180</v>
      </c>
      <c r="AC268" t="str">
        <f t="shared" ref="AC268:AC286" si="267">IF(J268="","",J$1&amp;","&amp;J268)</f>
        <v>105,90</v>
      </c>
      <c r="AD268" t="str">
        <f t="shared" ref="AD268:AD286" si="268">IF(K268="","",K$1&amp;","&amp;K268)</f>
        <v>106,38</v>
      </c>
      <c r="AE268" t="str">
        <f t="shared" ref="AE268:AE286" si="269">IF(L268="","",L$1&amp;","&amp;L268)</f>
        <v>3,375</v>
      </c>
      <c r="AG268" t="str">
        <f t="shared" si="262"/>
        <v>104,18</v>
      </c>
      <c r="AH268" t="str">
        <f t="shared" ref="AH268:AH286" si="270">IF(C268="","",C$1&amp;","&amp;ROUNDUP(C268/2,0))</f>
        <v>105,9</v>
      </c>
      <c r="AI268" t="str">
        <f t="shared" ref="AI268:AI286" si="271">IF(D268="","",D$1&amp;","&amp;ROUNDUP(D268/2,0))</f>
        <v>106,4</v>
      </c>
      <c r="AJ268" t="str">
        <f t="shared" si="263"/>
        <v>1,782</v>
      </c>
    </row>
    <row r="269" spans="1:36" x14ac:dyDescent="0.25">
      <c r="A269" s="14">
        <v>21</v>
      </c>
      <c r="B269" s="15">
        <f>IF(关卡产出!C434="","",关卡产出!C434)</f>
        <v>38</v>
      </c>
      <c r="C269" s="15">
        <f>IF(关卡产出!D434="","",关卡产出!D434)</f>
        <v>18</v>
      </c>
      <c r="D269" s="15">
        <f>IF(关卡产出!E434="","",关卡产出!E434)</f>
        <v>8</v>
      </c>
      <c r="E269" s="15">
        <f>IF(关卡产出!F434="","",关卡产出!F434)</f>
        <v>675</v>
      </c>
      <c r="F269" s="15">
        <f>IF(关卡产出!H434="","",关卡产出!H434)</f>
        <v>8750</v>
      </c>
      <c r="G269" s="15">
        <f>IF(关卡产出!J434="","",关卡产出!J434)</f>
        <v>17000</v>
      </c>
      <c r="H269" s="15">
        <f>IF(关卡产出!K434="","",关卡产出!K434)</f>
        <v>6</v>
      </c>
      <c r="I269" s="15">
        <f>IF(关卡产出!M434="","",关卡产出!M434)</f>
        <v>190</v>
      </c>
      <c r="J269" s="15">
        <f>IF(关卡产出!N434="","",关卡产出!N434)</f>
        <v>95</v>
      </c>
      <c r="K269" s="15">
        <f>IF(关卡产出!O434="","",关卡产出!O434)</f>
        <v>40</v>
      </c>
      <c r="L269" s="15">
        <f>IF(关卡产出!P434="","",关卡产出!P434)</f>
        <v>500</v>
      </c>
      <c r="N269" t="str">
        <f t="shared" ref="N269:N286" si="272">_xlfn.TEXTJOIN("|",TRUE,V269:Y269)</f>
        <v>104,38|105,18|106,8|1,675</v>
      </c>
      <c r="P269" t="str">
        <f t="shared" si="256"/>
        <v>11,1|1,8750</v>
      </c>
      <c r="Q269" t="str">
        <f t="shared" si="257"/>
        <v>163,1|1,17000|4,6</v>
      </c>
      <c r="R269" t="str">
        <f t="shared" ref="R269:R286" si="273">_xlfn.TEXTJOIN("|",TRUE,AB269:AE269)</f>
        <v>104,190|105,95|106,40|3,500</v>
      </c>
      <c r="S269" t="str">
        <f t="shared" ref="S269:S286" si="274">_xlfn.TEXTJOIN("|",TRUE,AG269:AJ269)</f>
        <v>104,19|105,9|106,4|1,844</v>
      </c>
      <c r="V269" t="str">
        <f t="shared" ref="V269:V286" si="275">IF(B269="","",B$1&amp;","&amp;B269)</f>
        <v>104,38</v>
      </c>
      <c r="W269" t="str">
        <f t="shared" si="264"/>
        <v>105,18</v>
      </c>
      <c r="X269" t="str">
        <f t="shared" si="265"/>
        <v>106,8</v>
      </c>
      <c r="Y269" t="str">
        <f t="shared" si="266"/>
        <v>1,675</v>
      </c>
      <c r="AB269" t="str">
        <f t="shared" ref="AB269:AB286" si="276">IF(I269="","",I$1&amp;","&amp;I269)</f>
        <v>104,190</v>
      </c>
      <c r="AC269" t="str">
        <f t="shared" si="267"/>
        <v>105,95</v>
      </c>
      <c r="AD269" t="str">
        <f t="shared" si="268"/>
        <v>106,40</v>
      </c>
      <c r="AE269" t="str">
        <f t="shared" si="269"/>
        <v>3,500</v>
      </c>
      <c r="AG269" t="str">
        <f t="shared" ref="AG269:AG286" si="277">IF(B269="","",B$1&amp;","&amp;ROUNDUP(B269/2,0))</f>
        <v>104,19</v>
      </c>
      <c r="AH269" t="str">
        <f t="shared" si="270"/>
        <v>105,9</v>
      </c>
      <c r="AI269" t="str">
        <f t="shared" si="271"/>
        <v>106,4</v>
      </c>
      <c r="AJ269" t="str">
        <f t="shared" ref="AJ269:AJ286" si="278">IF(E269="","",E$1&amp;","&amp;ROUNDUP(E269/2*2.5,0))</f>
        <v>1,844</v>
      </c>
    </row>
    <row r="270" spans="1:36" x14ac:dyDescent="0.25">
      <c r="A270" s="14">
        <v>22</v>
      </c>
      <c r="B270" s="15">
        <f>IF(关卡产出!C435="","",关卡产出!C435)</f>
        <v>40</v>
      </c>
      <c r="C270" s="15">
        <f>IF(关卡产出!D435="","",关卡产出!D435)</f>
        <v>20</v>
      </c>
      <c r="D270" s="15">
        <f>IF(关卡产出!E435="","",关卡产出!E435)</f>
        <v>8</v>
      </c>
      <c r="E270" s="15">
        <f>IF(关卡产出!F435="","",关卡产出!F435)</f>
        <v>675</v>
      </c>
      <c r="F270" s="15">
        <f>IF(关卡产出!H435="","",关卡产出!H435)</f>
        <v>9250</v>
      </c>
      <c r="G270" s="15">
        <f>IF(关卡产出!J435="","",关卡产出!J435)</f>
        <v>18000</v>
      </c>
      <c r="H270" s="15">
        <f>IF(关卡产出!K435="","",关卡产出!K435)</f>
        <v>6</v>
      </c>
      <c r="I270" s="15">
        <f>IF(关卡产出!M435="","",关卡产出!M435)</f>
        <v>200</v>
      </c>
      <c r="J270" s="15">
        <f>IF(关卡产出!N435="","",关卡产出!N435)</f>
        <v>100</v>
      </c>
      <c r="K270" s="15">
        <f>IF(关卡产出!O435="","",关卡产出!O435)</f>
        <v>43</v>
      </c>
      <c r="L270" s="15">
        <f>IF(关卡产出!P435="","",关卡产出!P435)</f>
        <v>500</v>
      </c>
      <c r="N270" t="str">
        <f t="shared" si="272"/>
        <v>104,40|105,20|106,8|1,675</v>
      </c>
      <c r="P270" t="str">
        <f t="shared" si="256"/>
        <v>11,1|1,9250</v>
      </c>
      <c r="Q270" t="str">
        <f t="shared" si="257"/>
        <v>163,1|1,18000|4,6</v>
      </c>
      <c r="R270" t="str">
        <f t="shared" si="273"/>
        <v>104,200|105,100|106,43|3,500</v>
      </c>
      <c r="S270" t="str">
        <f t="shared" si="274"/>
        <v>104,20|105,10|106,4|1,844</v>
      </c>
      <c r="V270" t="str">
        <f t="shared" si="275"/>
        <v>104,40</v>
      </c>
      <c r="W270" t="str">
        <f t="shared" si="264"/>
        <v>105,20</v>
      </c>
      <c r="X270" t="str">
        <f t="shared" si="265"/>
        <v>106,8</v>
      </c>
      <c r="Y270" t="str">
        <f t="shared" si="266"/>
        <v>1,675</v>
      </c>
      <c r="AB270" t="str">
        <f t="shared" si="276"/>
        <v>104,200</v>
      </c>
      <c r="AC270" t="str">
        <f t="shared" si="267"/>
        <v>105,100</v>
      </c>
      <c r="AD270" t="str">
        <f t="shared" si="268"/>
        <v>106,43</v>
      </c>
      <c r="AE270" t="str">
        <f t="shared" si="269"/>
        <v>3,500</v>
      </c>
      <c r="AG270" t="str">
        <f t="shared" si="277"/>
        <v>104,20</v>
      </c>
      <c r="AH270" t="str">
        <f t="shared" si="270"/>
        <v>105,10</v>
      </c>
      <c r="AI270" t="str">
        <f t="shared" si="271"/>
        <v>106,4</v>
      </c>
      <c r="AJ270" t="str">
        <f t="shared" si="278"/>
        <v>1,844</v>
      </c>
    </row>
    <row r="271" spans="1:36" x14ac:dyDescent="0.25">
      <c r="A271" s="14">
        <v>23</v>
      </c>
      <c r="B271" s="15">
        <f>IF(关卡产出!C436="","",关卡产出!C436)</f>
        <v>43</v>
      </c>
      <c r="C271" s="15">
        <f>IF(关卡产出!D436="","",关卡产出!D436)</f>
        <v>20</v>
      </c>
      <c r="D271" s="15">
        <f>IF(关卡产出!E436="","",关卡产出!E436)</f>
        <v>10</v>
      </c>
      <c r="E271" s="15">
        <f>IF(关卡产出!F436="","",关卡产出!F436)</f>
        <v>725</v>
      </c>
      <c r="F271" s="15">
        <f>IF(关卡产出!H436="","",关卡产出!H436)</f>
        <v>9750</v>
      </c>
      <c r="G271" s="15">
        <f>IF(关卡产出!J436="","",关卡产出!J436)</f>
        <v>19000</v>
      </c>
      <c r="H271" s="15">
        <f>IF(关卡产出!K436="","",关卡产出!K436)</f>
        <v>6</v>
      </c>
      <c r="I271" s="15">
        <f>IF(关卡产出!M436="","",关卡产出!M436)</f>
        <v>210</v>
      </c>
      <c r="J271" s="15">
        <f>IF(关卡产出!N436="","",关卡产出!N436)</f>
        <v>105</v>
      </c>
      <c r="K271" s="15">
        <f>IF(关卡产出!O436="","",关卡产出!O436)</f>
        <v>45</v>
      </c>
      <c r="L271" s="15">
        <f>IF(关卡产出!P436="","",关卡产出!P436)</f>
        <v>500</v>
      </c>
      <c r="N271" t="str">
        <f t="shared" si="272"/>
        <v>104,43|105,20|106,10|1,725</v>
      </c>
      <c r="P271" t="str">
        <f t="shared" si="256"/>
        <v>11,1|1,9750</v>
      </c>
      <c r="Q271" t="str">
        <f t="shared" si="257"/>
        <v>163,1|1,19000|4,6</v>
      </c>
      <c r="R271" t="str">
        <f t="shared" si="273"/>
        <v>104,210|105,105|106,45|3,500</v>
      </c>
      <c r="S271" t="str">
        <f t="shared" si="274"/>
        <v>104,22|105,10|106,5|1,907</v>
      </c>
      <c r="V271" t="str">
        <f t="shared" si="275"/>
        <v>104,43</v>
      </c>
      <c r="W271" t="str">
        <f t="shared" si="264"/>
        <v>105,20</v>
      </c>
      <c r="X271" t="str">
        <f t="shared" si="265"/>
        <v>106,10</v>
      </c>
      <c r="Y271" t="str">
        <f t="shared" si="266"/>
        <v>1,725</v>
      </c>
      <c r="AB271" t="str">
        <f t="shared" si="276"/>
        <v>104,210</v>
      </c>
      <c r="AC271" t="str">
        <f t="shared" si="267"/>
        <v>105,105</v>
      </c>
      <c r="AD271" t="str">
        <f t="shared" si="268"/>
        <v>106,45</v>
      </c>
      <c r="AE271" t="str">
        <f t="shared" si="269"/>
        <v>3,500</v>
      </c>
      <c r="AG271" t="str">
        <f t="shared" si="277"/>
        <v>104,22</v>
      </c>
      <c r="AH271" t="str">
        <f t="shared" si="270"/>
        <v>105,10</v>
      </c>
      <c r="AI271" t="str">
        <f t="shared" si="271"/>
        <v>106,5</v>
      </c>
      <c r="AJ271" t="str">
        <f t="shared" si="278"/>
        <v>1,907</v>
      </c>
    </row>
    <row r="272" spans="1:36" x14ac:dyDescent="0.25">
      <c r="A272" s="14">
        <v>24</v>
      </c>
      <c r="B272" s="15">
        <f>IF(关卡产出!C437="","",关卡产出!C437)</f>
        <v>45</v>
      </c>
      <c r="C272" s="15">
        <f>IF(关卡产出!D437="","",关卡产出!D437)</f>
        <v>23</v>
      </c>
      <c r="D272" s="15">
        <f>IF(关卡产出!E437="","",关卡产出!E437)</f>
        <v>10</v>
      </c>
      <c r="E272" s="15">
        <f>IF(关卡产出!F437="","",关卡产出!F437)</f>
        <v>725</v>
      </c>
      <c r="F272" s="15">
        <f>IF(关卡产出!H437="","",关卡产出!H437)</f>
        <v>10250</v>
      </c>
      <c r="G272" s="15">
        <f>IF(关卡产出!J437="","",关卡产出!J437)</f>
        <v>20000</v>
      </c>
      <c r="H272" s="15">
        <f>IF(关卡产出!K437="","",关卡产出!K437)</f>
        <v>6</v>
      </c>
      <c r="I272" s="15">
        <f>IF(关卡产出!M437="","",关卡产出!M437)</f>
        <v>220</v>
      </c>
      <c r="J272" s="15">
        <f>IF(关卡产出!N437="","",关卡产出!N437)</f>
        <v>110</v>
      </c>
      <c r="K272" s="15">
        <f>IF(关卡产出!O437="","",关卡产出!O437)</f>
        <v>48</v>
      </c>
      <c r="L272" s="15">
        <f>IF(关卡产出!P437="","",关卡产出!P437)</f>
        <v>500</v>
      </c>
      <c r="N272" t="str">
        <f t="shared" si="272"/>
        <v>104,45|105,23|106,10|1,725</v>
      </c>
      <c r="P272" t="str">
        <f t="shared" si="256"/>
        <v>11,1|1,10250</v>
      </c>
      <c r="Q272" t="str">
        <f t="shared" si="257"/>
        <v>163,1|1,20000|4,6</v>
      </c>
      <c r="R272" t="str">
        <f t="shared" si="273"/>
        <v>104,220|105,110|106,48|3,500</v>
      </c>
      <c r="S272" t="str">
        <f t="shared" si="274"/>
        <v>104,23|105,12|106,5|1,907</v>
      </c>
      <c r="V272" t="str">
        <f t="shared" si="275"/>
        <v>104,45</v>
      </c>
      <c r="W272" t="str">
        <f t="shared" si="264"/>
        <v>105,23</v>
      </c>
      <c r="X272" t="str">
        <f t="shared" si="265"/>
        <v>106,10</v>
      </c>
      <c r="Y272" t="str">
        <f t="shared" si="266"/>
        <v>1,725</v>
      </c>
      <c r="AB272" t="str">
        <f t="shared" si="276"/>
        <v>104,220</v>
      </c>
      <c r="AC272" t="str">
        <f t="shared" si="267"/>
        <v>105,110</v>
      </c>
      <c r="AD272" t="str">
        <f t="shared" si="268"/>
        <v>106,48</v>
      </c>
      <c r="AE272" t="str">
        <f t="shared" si="269"/>
        <v>3,500</v>
      </c>
      <c r="AG272" t="str">
        <f t="shared" si="277"/>
        <v>104,23</v>
      </c>
      <c r="AH272" t="str">
        <f t="shared" si="270"/>
        <v>105,12</v>
      </c>
      <c r="AI272" t="str">
        <f t="shared" si="271"/>
        <v>106,5</v>
      </c>
      <c r="AJ272" t="str">
        <f t="shared" si="278"/>
        <v>1,907</v>
      </c>
    </row>
    <row r="273" spans="1:36" x14ac:dyDescent="0.25">
      <c r="A273" s="14">
        <v>25</v>
      </c>
      <c r="B273" s="15">
        <f>IF(关卡产出!C438="","",关卡产出!C438)</f>
        <v>45</v>
      </c>
      <c r="C273" s="15">
        <f>IF(关卡产出!D438="","",关卡产出!D438)</f>
        <v>23</v>
      </c>
      <c r="D273" s="15">
        <f>IF(关卡产出!E438="","",关卡产出!E438)</f>
        <v>10</v>
      </c>
      <c r="E273" s="15">
        <f>IF(关卡产出!F438="","",关卡产出!F438)</f>
        <v>775</v>
      </c>
      <c r="F273" s="15">
        <f>IF(关卡产出!H438="","",关卡产出!H438)</f>
        <v>10750</v>
      </c>
      <c r="G273" s="15">
        <f>IF(关卡产出!J438="","",关卡产出!J438)</f>
        <v>21000</v>
      </c>
      <c r="H273" s="15">
        <f>IF(关卡产出!K438="","",关卡产出!K438)</f>
        <v>6</v>
      </c>
      <c r="I273" s="15">
        <f>IF(关卡产出!M438="","",关卡产出!M438)</f>
        <v>230</v>
      </c>
      <c r="J273" s="15">
        <f>IF(关卡产出!N438="","",关卡产出!N438)</f>
        <v>115</v>
      </c>
      <c r="K273" s="15">
        <f>IF(关卡产出!O438="","",关卡产出!O438)</f>
        <v>50</v>
      </c>
      <c r="L273" s="15">
        <f>IF(关卡产出!P438="","",关卡产出!P438)</f>
        <v>500</v>
      </c>
      <c r="N273" t="str">
        <f t="shared" si="272"/>
        <v>104,45|105,23|106,10|1,775</v>
      </c>
      <c r="P273" t="str">
        <f t="shared" si="256"/>
        <v>11,1|1,10750</v>
      </c>
      <c r="Q273" t="str">
        <f t="shared" si="257"/>
        <v>163,1|1,21000|4,6</v>
      </c>
      <c r="R273" t="str">
        <f t="shared" si="273"/>
        <v>104,230|105,115|106,50|3,500</v>
      </c>
      <c r="S273" t="str">
        <f t="shared" si="274"/>
        <v>104,23|105,12|106,5|1,969</v>
      </c>
      <c r="V273" t="str">
        <f t="shared" si="275"/>
        <v>104,45</v>
      </c>
      <c r="W273" t="str">
        <f t="shared" si="264"/>
        <v>105,23</v>
      </c>
      <c r="X273" t="str">
        <f t="shared" si="265"/>
        <v>106,10</v>
      </c>
      <c r="Y273" t="str">
        <f t="shared" si="266"/>
        <v>1,775</v>
      </c>
      <c r="AB273" t="str">
        <f t="shared" si="276"/>
        <v>104,230</v>
      </c>
      <c r="AC273" t="str">
        <f t="shared" si="267"/>
        <v>105,115</v>
      </c>
      <c r="AD273" t="str">
        <f t="shared" si="268"/>
        <v>106,50</v>
      </c>
      <c r="AE273" t="str">
        <f t="shared" si="269"/>
        <v>3,500</v>
      </c>
      <c r="AG273" t="str">
        <f t="shared" si="277"/>
        <v>104,23</v>
      </c>
      <c r="AH273" t="str">
        <f t="shared" si="270"/>
        <v>105,12</v>
      </c>
      <c r="AI273" t="str">
        <f t="shared" si="271"/>
        <v>106,5</v>
      </c>
      <c r="AJ273" t="str">
        <f t="shared" si="278"/>
        <v>1,969</v>
      </c>
    </row>
    <row r="274" spans="1:36" x14ac:dyDescent="0.25">
      <c r="A274" s="14">
        <v>26</v>
      </c>
      <c r="B274" s="15">
        <f>IF(关卡产出!C439="","",关卡产出!C439)</f>
        <v>48</v>
      </c>
      <c r="C274" s="15">
        <f>IF(关卡产出!D439="","",关卡产出!D439)</f>
        <v>23</v>
      </c>
      <c r="D274" s="15">
        <f>IF(关卡产出!E439="","",关卡产出!E439)</f>
        <v>10</v>
      </c>
      <c r="E274" s="15">
        <f>IF(关卡产出!F439="","",关卡产出!F439)</f>
        <v>775</v>
      </c>
      <c r="F274" s="15">
        <f>IF(关卡产出!H439="","",关卡产出!H439)</f>
        <v>11250</v>
      </c>
      <c r="G274" s="15">
        <f>IF(关卡产出!J439="","",关卡产出!J439)</f>
        <v>22000</v>
      </c>
      <c r="H274" s="15">
        <f>IF(关卡产出!K439="","",关卡产出!K439)</f>
        <v>6</v>
      </c>
      <c r="I274" s="15">
        <f>IF(关卡产出!M439="","",关卡产出!M439)</f>
        <v>240</v>
      </c>
      <c r="J274" s="15">
        <f>IF(关卡产出!N439="","",关卡产出!N439)</f>
        <v>120</v>
      </c>
      <c r="K274" s="15">
        <f>IF(关卡产出!O439="","",关卡产出!O439)</f>
        <v>53</v>
      </c>
      <c r="L274" s="15">
        <f>IF(关卡产出!P439="","",关卡产出!P439)</f>
        <v>500</v>
      </c>
      <c r="N274" t="str">
        <f t="shared" si="272"/>
        <v>104,48|105,23|106,10|1,775</v>
      </c>
      <c r="P274" t="str">
        <f t="shared" si="256"/>
        <v>11,1|1,11250</v>
      </c>
      <c r="Q274" t="str">
        <f t="shared" si="257"/>
        <v>163,1|1,22000|4,6</v>
      </c>
      <c r="R274" t="str">
        <f t="shared" si="273"/>
        <v>104,240|105,120|106,53|3,500</v>
      </c>
      <c r="S274" t="str">
        <f t="shared" si="274"/>
        <v>104,24|105,12|106,5|1,969</v>
      </c>
      <c r="V274" t="str">
        <f t="shared" si="275"/>
        <v>104,48</v>
      </c>
      <c r="W274" t="str">
        <f t="shared" si="264"/>
        <v>105,23</v>
      </c>
      <c r="X274" t="str">
        <f t="shared" si="265"/>
        <v>106,10</v>
      </c>
      <c r="Y274" t="str">
        <f t="shared" si="266"/>
        <v>1,775</v>
      </c>
      <c r="AB274" t="str">
        <f t="shared" si="276"/>
        <v>104,240</v>
      </c>
      <c r="AC274" t="str">
        <f t="shared" si="267"/>
        <v>105,120</v>
      </c>
      <c r="AD274" t="str">
        <f t="shared" si="268"/>
        <v>106,53</v>
      </c>
      <c r="AE274" t="str">
        <f t="shared" si="269"/>
        <v>3,500</v>
      </c>
      <c r="AG274" t="str">
        <f t="shared" si="277"/>
        <v>104,24</v>
      </c>
      <c r="AH274" t="str">
        <f t="shared" si="270"/>
        <v>105,12</v>
      </c>
      <c r="AI274" t="str">
        <f t="shared" si="271"/>
        <v>106,5</v>
      </c>
      <c r="AJ274" t="str">
        <f t="shared" si="278"/>
        <v>1,969</v>
      </c>
    </row>
    <row r="275" spans="1:36" x14ac:dyDescent="0.25">
      <c r="A275" s="14">
        <v>27</v>
      </c>
      <c r="B275" s="15">
        <f>IF(关卡产出!C440="","",关卡产出!C440)</f>
        <v>50</v>
      </c>
      <c r="C275" s="15">
        <f>IF(关卡产出!D440="","",关卡产出!D440)</f>
        <v>25</v>
      </c>
      <c r="D275" s="15">
        <f>IF(关卡产出!E440="","",关卡产出!E440)</f>
        <v>10</v>
      </c>
      <c r="E275" s="15">
        <f>IF(关卡产出!F440="","",关卡产出!F440)</f>
        <v>825</v>
      </c>
      <c r="F275" s="15">
        <f>IF(关卡产出!H440="","",关卡产出!H440)</f>
        <v>11750</v>
      </c>
      <c r="G275" s="15">
        <f>IF(关卡产出!J440="","",关卡产出!J440)</f>
        <v>23000</v>
      </c>
      <c r="H275" s="15">
        <f>IF(关卡产出!K440="","",关卡产出!K440)</f>
        <v>6</v>
      </c>
      <c r="I275" s="15">
        <f>IF(关卡产出!M440="","",关卡产出!M440)</f>
        <v>250</v>
      </c>
      <c r="J275" s="15">
        <f>IF(关卡产出!N440="","",关卡产出!N440)</f>
        <v>125</v>
      </c>
      <c r="K275" s="15">
        <f>IF(关卡产出!O440="","",关卡产出!O440)</f>
        <v>55</v>
      </c>
      <c r="L275" s="15">
        <f>IF(关卡产出!P440="","",关卡产出!P440)</f>
        <v>500</v>
      </c>
      <c r="N275" t="str">
        <f t="shared" si="272"/>
        <v>104,50|105,25|106,10|1,825</v>
      </c>
      <c r="P275" t="str">
        <f t="shared" si="256"/>
        <v>11,1|1,11750</v>
      </c>
      <c r="Q275" t="str">
        <f t="shared" si="257"/>
        <v>163,1|1,23000|4,6</v>
      </c>
      <c r="R275" t="str">
        <f t="shared" si="273"/>
        <v>104,250|105,125|106,55|3,500</v>
      </c>
      <c r="S275" t="str">
        <f t="shared" si="274"/>
        <v>104,25|105,13|106,5|1,1032</v>
      </c>
      <c r="V275" t="str">
        <f t="shared" si="275"/>
        <v>104,50</v>
      </c>
      <c r="W275" t="str">
        <f t="shared" si="264"/>
        <v>105,25</v>
      </c>
      <c r="X275" t="str">
        <f t="shared" si="265"/>
        <v>106,10</v>
      </c>
      <c r="Y275" t="str">
        <f t="shared" si="266"/>
        <v>1,825</v>
      </c>
      <c r="AB275" t="str">
        <f t="shared" si="276"/>
        <v>104,250</v>
      </c>
      <c r="AC275" t="str">
        <f t="shared" si="267"/>
        <v>105,125</v>
      </c>
      <c r="AD275" t="str">
        <f t="shared" si="268"/>
        <v>106,55</v>
      </c>
      <c r="AE275" t="str">
        <f t="shared" si="269"/>
        <v>3,500</v>
      </c>
      <c r="AG275" t="str">
        <f t="shared" si="277"/>
        <v>104,25</v>
      </c>
      <c r="AH275" t="str">
        <f t="shared" si="270"/>
        <v>105,13</v>
      </c>
      <c r="AI275" t="str">
        <f t="shared" si="271"/>
        <v>106,5</v>
      </c>
      <c r="AJ275" t="str">
        <f t="shared" si="278"/>
        <v>1,1032</v>
      </c>
    </row>
    <row r="276" spans="1:36" x14ac:dyDescent="0.25">
      <c r="A276" s="14">
        <v>28</v>
      </c>
      <c r="B276" s="15">
        <f>IF(关卡产出!C441="","",关卡产出!C441)</f>
        <v>53</v>
      </c>
      <c r="C276" s="15">
        <f>IF(关卡产出!D441="","",关卡产出!D441)</f>
        <v>25</v>
      </c>
      <c r="D276" s="15">
        <f>IF(关卡产出!E441="","",关卡产出!E441)</f>
        <v>13</v>
      </c>
      <c r="E276" s="15">
        <f>IF(关卡产出!F441="","",关卡产出!F441)</f>
        <v>825</v>
      </c>
      <c r="F276" s="15">
        <f>IF(关卡产出!H441="","",关卡产出!H441)</f>
        <v>12250</v>
      </c>
      <c r="G276" s="15">
        <f>IF(关卡产出!J441="","",关卡产出!J441)</f>
        <v>24000</v>
      </c>
      <c r="H276" s="15">
        <f>IF(关卡产出!K441="","",关卡产出!K441)</f>
        <v>6</v>
      </c>
      <c r="I276" s="15">
        <f>IF(关卡产出!M441="","",关卡产出!M441)</f>
        <v>260</v>
      </c>
      <c r="J276" s="15">
        <f>IF(关卡产出!N441="","",关卡产出!N441)</f>
        <v>130</v>
      </c>
      <c r="K276" s="15">
        <f>IF(关卡产出!O441="","",关卡产出!O441)</f>
        <v>58</v>
      </c>
      <c r="L276" s="15">
        <f>IF(关卡产出!P441="","",关卡产出!P441)</f>
        <v>500</v>
      </c>
      <c r="N276" t="str">
        <f t="shared" si="272"/>
        <v>104,53|105,25|106,13|1,825</v>
      </c>
      <c r="P276" t="str">
        <f t="shared" si="256"/>
        <v>11,1|1,12250</v>
      </c>
      <c r="Q276" t="str">
        <f t="shared" si="257"/>
        <v>163,1|1,24000|4,6</v>
      </c>
      <c r="R276" t="str">
        <f t="shared" si="273"/>
        <v>104,260|105,130|106,58|3,500</v>
      </c>
      <c r="S276" t="str">
        <f t="shared" si="274"/>
        <v>104,27|105,13|106,7|1,1032</v>
      </c>
      <c r="V276" t="str">
        <f t="shared" si="275"/>
        <v>104,53</v>
      </c>
      <c r="W276" t="str">
        <f t="shared" si="264"/>
        <v>105,25</v>
      </c>
      <c r="X276" t="str">
        <f t="shared" si="265"/>
        <v>106,13</v>
      </c>
      <c r="Y276" t="str">
        <f t="shared" si="266"/>
        <v>1,825</v>
      </c>
      <c r="AB276" t="str">
        <f t="shared" si="276"/>
        <v>104,260</v>
      </c>
      <c r="AC276" t="str">
        <f t="shared" si="267"/>
        <v>105,130</v>
      </c>
      <c r="AD276" t="str">
        <f t="shared" si="268"/>
        <v>106,58</v>
      </c>
      <c r="AE276" t="str">
        <f t="shared" si="269"/>
        <v>3,500</v>
      </c>
      <c r="AG276" t="str">
        <f t="shared" si="277"/>
        <v>104,27</v>
      </c>
      <c r="AH276" t="str">
        <f t="shared" si="270"/>
        <v>105,13</v>
      </c>
      <c r="AI276" t="str">
        <f t="shared" si="271"/>
        <v>106,7</v>
      </c>
      <c r="AJ276" t="str">
        <f t="shared" si="278"/>
        <v>1,1032</v>
      </c>
    </row>
    <row r="277" spans="1:36" s="1" customFormat="1" x14ac:dyDescent="0.25">
      <c r="A277" s="20">
        <v>29</v>
      </c>
      <c r="B277" s="16">
        <f>IF(关卡产出!C442="","",关卡产出!C442)</f>
        <v>55</v>
      </c>
      <c r="C277" s="16">
        <f>IF(关卡产出!D442="","",关卡产出!D442)</f>
        <v>28</v>
      </c>
      <c r="D277" s="16">
        <f>IF(关卡产出!E442="","",关卡产出!E442)</f>
        <v>13</v>
      </c>
      <c r="E277" s="16">
        <f>IF(关卡产出!F442="","",关卡产出!F442)</f>
        <v>875</v>
      </c>
      <c r="F277" s="16">
        <f>IF(关卡产出!H442="","",关卡产出!H442)</f>
        <v>12750</v>
      </c>
      <c r="G277" s="16">
        <f>IF(关卡产出!J442="","",关卡产出!J442)</f>
        <v>25000</v>
      </c>
      <c r="H277" s="16">
        <f>IF(关卡产出!K442="","",关卡产出!K442)</f>
        <v>6</v>
      </c>
      <c r="I277" s="16">
        <f>IF(关卡产出!M442="","",关卡产出!M442)</f>
        <v>270</v>
      </c>
      <c r="J277" s="16">
        <f>IF(关卡产出!N442="","",关卡产出!N442)</f>
        <v>135</v>
      </c>
      <c r="K277" s="16">
        <f>IF(关卡产出!O442="","",关卡产出!O442)</f>
        <v>60</v>
      </c>
      <c r="L277" s="16">
        <f>IF(关卡产出!P442="","",关卡产出!P442)</f>
        <v>500</v>
      </c>
      <c r="N277" s="1" t="str">
        <f t="shared" si="272"/>
        <v>104,55|105,28|106,13|1,875</v>
      </c>
      <c r="P277" t="str">
        <f t="shared" si="256"/>
        <v>11,1|1,12750</v>
      </c>
      <c r="Q277" t="str">
        <f t="shared" si="257"/>
        <v>163,1|1,25000|4,6</v>
      </c>
      <c r="R277" s="1" t="str">
        <f t="shared" si="273"/>
        <v>104,270|105,135|106,60|3,500</v>
      </c>
      <c r="S277" s="1" t="str">
        <f t="shared" si="274"/>
        <v>104,28|105,14|106,7|1,1094</v>
      </c>
      <c r="V277" s="1" t="str">
        <f t="shared" si="275"/>
        <v>104,55</v>
      </c>
      <c r="W277" s="1" t="str">
        <f t="shared" si="264"/>
        <v>105,28</v>
      </c>
      <c r="X277" s="1" t="str">
        <f t="shared" si="265"/>
        <v>106,13</v>
      </c>
      <c r="Y277" s="1" t="str">
        <f t="shared" si="266"/>
        <v>1,875</v>
      </c>
      <c r="AB277" s="1" t="str">
        <f t="shared" si="276"/>
        <v>104,270</v>
      </c>
      <c r="AC277" s="1" t="str">
        <f t="shared" si="267"/>
        <v>105,135</v>
      </c>
      <c r="AD277" s="1" t="str">
        <f t="shared" si="268"/>
        <v>106,60</v>
      </c>
      <c r="AE277" s="1" t="str">
        <f t="shared" si="269"/>
        <v>3,500</v>
      </c>
      <c r="AG277" s="1" t="str">
        <f t="shared" si="277"/>
        <v>104,28</v>
      </c>
      <c r="AH277" s="1" t="str">
        <f t="shared" si="270"/>
        <v>105,14</v>
      </c>
      <c r="AI277" s="1" t="str">
        <f t="shared" si="271"/>
        <v>106,7</v>
      </c>
      <c r="AJ277" s="1" t="str">
        <f t="shared" si="278"/>
        <v>1,1094</v>
      </c>
    </row>
    <row r="278" spans="1:36" x14ac:dyDescent="0.25">
      <c r="A278" s="14">
        <v>30</v>
      </c>
      <c r="B278" s="15">
        <f>IF(关卡产出!C443="","",关卡产出!C443)</f>
        <v>55</v>
      </c>
      <c r="C278" s="15">
        <f>IF(关卡产出!D443="","",关卡产出!D443)</f>
        <v>28</v>
      </c>
      <c r="D278" s="15">
        <f>IF(关卡产出!E443="","",关卡产出!E443)</f>
        <v>13</v>
      </c>
      <c r="E278" s="15">
        <f>IF(关卡产出!F443="","",关卡产出!F443)</f>
        <v>875</v>
      </c>
      <c r="F278" s="15">
        <f>IF(关卡产出!H443="","",关卡产出!H443)</f>
        <v>13250</v>
      </c>
      <c r="G278" s="15">
        <f>IF(关卡产出!J443="","",关卡产出!J443)</f>
        <v>26000</v>
      </c>
      <c r="H278" s="15">
        <f>IF(关卡产出!K443="","",关卡产出!K443)</f>
        <v>6</v>
      </c>
      <c r="I278" s="15">
        <f>IF(关卡产出!M443="","",关卡产出!M443)</f>
        <v>280</v>
      </c>
      <c r="J278" s="15">
        <f>IF(关卡产出!N443="","",关卡产出!N443)</f>
        <v>140</v>
      </c>
      <c r="K278" s="15">
        <f>IF(关卡产出!O443="","",关卡产出!O443)</f>
        <v>63</v>
      </c>
      <c r="L278" s="15">
        <f>IF(关卡产出!P443="","",关卡产出!P443)</f>
        <v>500</v>
      </c>
      <c r="N278" t="str">
        <f t="shared" si="272"/>
        <v>104,55|105,28|106,13|1,875</v>
      </c>
      <c r="P278" t="str">
        <f t="shared" si="256"/>
        <v>11,1|1,13250</v>
      </c>
      <c r="Q278" t="str">
        <f t="shared" si="257"/>
        <v>163,1|1,26000|4,6</v>
      </c>
      <c r="R278" t="str">
        <f t="shared" si="273"/>
        <v>104,280|105,140|106,63|3,500</v>
      </c>
      <c r="S278" t="str">
        <f t="shared" si="274"/>
        <v>104,28|105,14|106,7|1,1094</v>
      </c>
      <c r="V278" t="str">
        <f t="shared" si="275"/>
        <v>104,55</v>
      </c>
      <c r="W278" t="str">
        <f t="shared" si="264"/>
        <v>105,28</v>
      </c>
      <c r="X278" t="str">
        <f t="shared" si="265"/>
        <v>106,13</v>
      </c>
      <c r="Y278" t="str">
        <f t="shared" si="266"/>
        <v>1,875</v>
      </c>
      <c r="AB278" t="str">
        <f t="shared" si="276"/>
        <v>104,280</v>
      </c>
      <c r="AC278" t="str">
        <f t="shared" si="267"/>
        <v>105,140</v>
      </c>
      <c r="AD278" t="str">
        <f t="shared" si="268"/>
        <v>106,63</v>
      </c>
      <c r="AE278" t="str">
        <f t="shared" si="269"/>
        <v>3,500</v>
      </c>
      <c r="AG278" t="str">
        <f t="shared" si="277"/>
        <v>104,28</v>
      </c>
      <c r="AH278" t="str">
        <f t="shared" si="270"/>
        <v>105,14</v>
      </c>
      <c r="AI278" t="str">
        <f t="shared" si="271"/>
        <v>106,7</v>
      </c>
      <c r="AJ278" t="str">
        <f t="shared" si="278"/>
        <v>1,1094</v>
      </c>
    </row>
    <row r="279" spans="1:36" x14ac:dyDescent="0.25">
      <c r="A279" s="14">
        <v>31</v>
      </c>
      <c r="B279" s="15">
        <f>IF(关卡产出!C444="","",关卡产出!C444)</f>
        <v>58</v>
      </c>
      <c r="C279" s="15">
        <f>IF(关卡产出!D444="","",关卡产出!D444)</f>
        <v>28</v>
      </c>
      <c r="D279" s="15">
        <f>IF(关卡产出!E444="","",关卡产出!E444)</f>
        <v>13</v>
      </c>
      <c r="E279" s="15">
        <f>IF(关卡产出!F444="","",关卡产出!F444)</f>
        <v>925</v>
      </c>
      <c r="F279" s="15">
        <f>IF(关卡产出!H444="","",关卡产出!H444)</f>
        <v>13750</v>
      </c>
      <c r="G279" s="15">
        <f>IF(关卡产出!J444="","",关卡产出!J444)</f>
        <v>27000</v>
      </c>
      <c r="H279" s="15">
        <f>IF(关卡产出!K444="","",关卡产出!K444)</f>
        <v>6</v>
      </c>
      <c r="I279" s="15">
        <f>IF(关卡产出!M444="","",关卡产出!M444)</f>
        <v>290</v>
      </c>
      <c r="J279" s="15">
        <f>IF(关卡产出!N444="","",关卡产出!N444)</f>
        <v>145</v>
      </c>
      <c r="K279" s="15">
        <f>IF(关卡产出!O444="","",关卡产出!O444)</f>
        <v>65</v>
      </c>
      <c r="L279" s="15">
        <f>IF(关卡产出!P444="","",关卡产出!P444)</f>
        <v>500</v>
      </c>
      <c r="N279" t="str">
        <f t="shared" si="272"/>
        <v>104,58|105,28|106,13|1,925</v>
      </c>
      <c r="P279" t="str">
        <f t="shared" si="256"/>
        <v>11,1|1,13750</v>
      </c>
      <c r="Q279" t="str">
        <f t="shared" si="257"/>
        <v>163,1|1,27000|4,6</v>
      </c>
      <c r="R279" t="str">
        <f t="shared" si="273"/>
        <v>104,290|105,145|106,65|3,500</v>
      </c>
      <c r="S279" t="str">
        <f t="shared" si="274"/>
        <v>104,29|105,14|106,7|1,1157</v>
      </c>
      <c r="V279" t="str">
        <f t="shared" si="275"/>
        <v>104,58</v>
      </c>
      <c r="W279" t="str">
        <f t="shared" si="264"/>
        <v>105,28</v>
      </c>
      <c r="X279" t="str">
        <f t="shared" si="265"/>
        <v>106,13</v>
      </c>
      <c r="Y279" t="str">
        <f t="shared" si="266"/>
        <v>1,925</v>
      </c>
      <c r="AB279" t="str">
        <f t="shared" si="276"/>
        <v>104,290</v>
      </c>
      <c r="AC279" t="str">
        <f t="shared" si="267"/>
        <v>105,145</v>
      </c>
      <c r="AD279" t="str">
        <f t="shared" si="268"/>
        <v>106,65</v>
      </c>
      <c r="AE279" t="str">
        <f t="shared" si="269"/>
        <v>3,500</v>
      </c>
      <c r="AG279" t="str">
        <f t="shared" si="277"/>
        <v>104,29</v>
      </c>
      <c r="AH279" t="str">
        <f t="shared" si="270"/>
        <v>105,14</v>
      </c>
      <c r="AI279" t="str">
        <f t="shared" si="271"/>
        <v>106,7</v>
      </c>
      <c r="AJ279" t="str">
        <f t="shared" si="278"/>
        <v>1,1157</v>
      </c>
    </row>
    <row r="280" spans="1:36" x14ac:dyDescent="0.25">
      <c r="A280" s="14">
        <v>32</v>
      </c>
      <c r="B280" s="15">
        <f>IF(关卡产出!C445="","",关卡产出!C445)</f>
        <v>60</v>
      </c>
      <c r="C280" s="15">
        <f>IF(关卡产出!D445="","",关卡产出!D445)</f>
        <v>30</v>
      </c>
      <c r="D280" s="15">
        <f>IF(关卡产出!E445="","",关卡产出!E445)</f>
        <v>13</v>
      </c>
      <c r="E280" s="15">
        <f>IF(关卡产出!F445="","",关卡产出!F445)</f>
        <v>925</v>
      </c>
      <c r="F280" s="15">
        <f>IF(关卡产出!H445="","",关卡产出!H445)</f>
        <v>14250</v>
      </c>
      <c r="G280" s="15">
        <f>IF(关卡产出!J445="","",关卡产出!J445)</f>
        <v>28000</v>
      </c>
      <c r="H280" s="15">
        <f>IF(关卡产出!K445="","",关卡产出!K445)</f>
        <v>6</v>
      </c>
      <c r="I280" s="15">
        <f>IF(关卡产出!M445="","",关卡产出!M445)</f>
        <v>300</v>
      </c>
      <c r="J280" s="15">
        <f>IF(关卡产出!N445="","",关卡产出!N445)</f>
        <v>150</v>
      </c>
      <c r="K280" s="15">
        <f>IF(关卡产出!O445="","",关卡产出!O445)</f>
        <v>68</v>
      </c>
      <c r="L280" s="15">
        <f>IF(关卡产出!P445="","",关卡产出!P445)</f>
        <v>500</v>
      </c>
      <c r="N280" t="str">
        <f t="shared" si="272"/>
        <v>104,60|105,30|106,13|1,925</v>
      </c>
      <c r="P280" t="str">
        <f t="shared" si="256"/>
        <v>11,1|1,14250</v>
      </c>
      <c r="Q280" t="str">
        <f t="shared" si="257"/>
        <v>163,1|1,28000|4,6</v>
      </c>
      <c r="R280" t="str">
        <f t="shared" si="273"/>
        <v>104,300|105,150|106,68|3,500</v>
      </c>
      <c r="S280" t="str">
        <f t="shared" si="274"/>
        <v>104,30|105,15|106,7|1,1157</v>
      </c>
      <c r="V280" t="str">
        <f t="shared" si="275"/>
        <v>104,60</v>
      </c>
      <c r="W280" t="str">
        <f t="shared" si="264"/>
        <v>105,30</v>
      </c>
      <c r="X280" t="str">
        <f t="shared" si="265"/>
        <v>106,13</v>
      </c>
      <c r="Y280" t="str">
        <f t="shared" si="266"/>
        <v>1,925</v>
      </c>
      <c r="AB280" t="str">
        <f t="shared" si="276"/>
        <v>104,300</v>
      </c>
      <c r="AC280" t="str">
        <f t="shared" si="267"/>
        <v>105,150</v>
      </c>
      <c r="AD280" t="str">
        <f t="shared" si="268"/>
        <v>106,68</v>
      </c>
      <c r="AE280" t="str">
        <f t="shared" si="269"/>
        <v>3,500</v>
      </c>
      <c r="AG280" t="str">
        <f t="shared" si="277"/>
        <v>104,30</v>
      </c>
      <c r="AH280" t="str">
        <f t="shared" si="270"/>
        <v>105,15</v>
      </c>
      <c r="AI280" t="str">
        <f t="shared" si="271"/>
        <v>106,7</v>
      </c>
      <c r="AJ280" t="str">
        <f t="shared" si="278"/>
        <v>1,1157</v>
      </c>
    </row>
    <row r="281" spans="1:36" x14ac:dyDescent="0.25">
      <c r="A281" s="14">
        <v>33</v>
      </c>
      <c r="B281" s="15">
        <f>IF(关卡产出!C446="","",关卡产出!C446)</f>
        <v>63</v>
      </c>
      <c r="C281" s="15">
        <f>IF(关卡产出!D446="","",关卡产出!D446)</f>
        <v>30</v>
      </c>
      <c r="D281" s="15">
        <f>IF(关卡产出!E446="","",关卡产出!E446)</f>
        <v>15</v>
      </c>
      <c r="E281" s="15">
        <f>IF(关卡产出!F446="","",关卡产出!F446)</f>
        <v>975</v>
      </c>
      <c r="F281" s="15">
        <f>IF(关卡产出!H446="","",关卡产出!H446)</f>
        <v>14750</v>
      </c>
      <c r="G281" s="15">
        <f>IF(关卡产出!J446="","",关卡产出!J446)</f>
        <v>29000</v>
      </c>
      <c r="H281" s="15">
        <f>IF(关卡产出!K446="","",关卡产出!K446)</f>
        <v>6</v>
      </c>
      <c r="I281" s="15">
        <f>IF(关卡产出!M446="","",关卡产出!M446)</f>
        <v>310</v>
      </c>
      <c r="J281" s="15">
        <f>IF(关卡产出!N446="","",关卡产出!N446)</f>
        <v>155</v>
      </c>
      <c r="K281" s="15">
        <f>IF(关卡产出!O446="","",关卡产出!O446)</f>
        <v>70</v>
      </c>
      <c r="L281" s="15">
        <f>IF(关卡产出!P446="","",关卡产出!P446)</f>
        <v>500</v>
      </c>
      <c r="N281" t="str">
        <f t="shared" si="272"/>
        <v>104,63|105,30|106,15|1,975</v>
      </c>
      <c r="P281" t="str">
        <f t="shared" si="256"/>
        <v>11,1|1,14750</v>
      </c>
      <c r="Q281" t="str">
        <f t="shared" si="257"/>
        <v>163,1|1,29000|4,6</v>
      </c>
      <c r="R281" t="str">
        <f t="shared" si="273"/>
        <v>104,310|105,155|106,70|3,500</v>
      </c>
      <c r="S281" t="str">
        <f t="shared" si="274"/>
        <v>104,32|105,15|106,8|1,1219</v>
      </c>
      <c r="V281" t="str">
        <f t="shared" si="275"/>
        <v>104,63</v>
      </c>
      <c r="W281" t="str">
        <f t="shared" si="264"/>
        <v>105,30</v>
      </c>
      <c r="X281" t="str">
        <f t="shared" si="265"/>
        <v>106,15</v>
      </c>
      <c r="Y281" t="str">
        <f t="shared" si="266"/>
        <v>1,975</v>
      </c>
      <c r="AB281" t="str">
        <f t="shared" si="276"/>
        <v>104,310</v>
      </c>
      <c r="AC281" t="str">
        <f t="shared" si="267"/>
        <v>105,155</v>
      </c>
      <c r="AD281" t="str">
        <f t="shared" si="268"/>
        <v>106,70</v>
      </c>
      <c r="AE281" t="str">
        <f t="shared" si="269"/>
        <v>3,500</v>
      </c>
      <c r="AG281" t="str">
        <f t="shared" si="277"/>
        <v>104,32</v>
      </c>
      <c r="AH281" t="str">
        <f t="shared" si="270"/>
        <v>105,15</v>
      </c>
      <c r="AI281" t="str">
        <f t="shared" si="271"/>
        <v>106,8</v>
      </c>
      <c r="AJ281" t="str">
        <f t="shared" si="278"/>
        <v>1,1219</v>
      </c>
    </row>
    <row r="282" spans="1:36" x14ac:dyDescent="0.25">
      <c r="A282" s="14">
        <v>34</v>
      </c>
      <c r="B282" s="15">
        <f>IF(关卡产出!C447="","",关卡产出!C447)</f>
        <v>65</v>
      </c>
      <c r="C282" s="15">
        <f>IF(关卡产出!D447="","",关卡产出!D447)</f>
        <v>33</v>
      </c>
      <c r="D282" s="15">
        <f>IF(关卡产出!E447="","",关卡产出!E447)</f>
        <v>15</v>
      </c>
      <c r="E282" s="15">
        <f>IF(关卡产出!F447="","",关卡产出!F447)</f>
        <v>975</v>
      </c>
      <c r="F282" s="15">
        <f>IF(关卡产出!H447="","",关卡产出!H447)</f>
        <v>15250</v>
      </c>
      <c r="G282" s="15">
        <f>IF(关卡产出!J447="","",关卡产出!J447)</f>
        <v>30000</v>
      </c>
      <c r="H282" s="15">
        <f>IF(关卡产出!K447="","",关卡产出!K447)</f>
        <v>6</v>
      </c>
      <c r="I282" s="15">
        <f>IF(关卡产出!M447="","",关卡产出!M447)</f>
        <v>320</v>
      </c>
      <c r="J282" s="15">
        <f>IF(关卡产出!N447="","",关卡产出!N447)</f>
        <v>160</v>
      </c>
      <c r="K282" s="15">
        <f>IF(关卡产出!O447="","",关卡产出!O447)</f>
        <v>73</v>
      </c>
      <c r="L282" s="15">
        <f>IF(关卡产出!P447="","",关卡产出!P447)</f>
        <v>500</v>
      </c>
      <c r="N282" t="str">
        <f t="shared" si="272"/>
        <v>104,65|105,33|106,15|1,975</v>
      </c>
      <c r="P282" t="str">
        <f t="shared" si="256"/>
        <v>11,1|1,15250</v>
      </c>
      <c r="Q282" t="str">
        <f t="shared" si="257"/>
        <v>163,1|1,30000|4,6</v>
      </c>
      <c r="R282" t="str">
        <f t="shared" si="273"/>
        <v>104,320|105,160|106,73|3,500</v>
      </c>
      <c r="S282" t="str">
        <f t="shared" si="274"/>
        <v>104,33|105,17|106,8|1,1219</v>
      </c>
      <c r="V282" t="str">
        <f t="shared" si="275"/>
        <v>104,65</v>
      </c>
      <c r="W282" t="str">
        <f t="shared" si="264"/>
        <v>105,33</v>
      </c>
      <c r="X282" t="str">
        <f t="shared" si="265"/>
        <v>106,15</v>
      </c>
      <c r="Y282" t="str">
        <f t="shared" si="266"/>
        <v>1,975</v>
      </c>
      <c r="AB282" t="str">
        <f t="shared" si="276"/>
        <v>104,320</v>
      </c>
      <c r="AC282" t="str">
        <f t="shared" si="267"/>
        <v>105,160</v>
      </c>
      <c r="AD282" t="str">
        <f t="shared" si="268"/>
        <v>106,73</v>
      </c>
      <c r="AE282" t="str">
        <f t="shared" si="269"/>
        <v>3,500</v>
      </c>
      <c r="AG282" t="str">
        <f t="shared" si="277"/>
        <v>104,33</v>
      </c>
      <c r="AH282" t="str">
        <f t="shared" si="270"/>
        <v>105,17</v>
      </c>
      <c r="AI282" t="str">
        <f t="shared" si="271"/>
        <v>106,8</v>
      </c>
      <c r="AJ282" t="str">
        <f t="shared" si="278"/>
        <v>1,1219</v>
      </c>
    </row>
    <row r="283" spans="1:36" x14ac:dyDescent="0.25">
      <c r="A283" s="14">
        <v>35</v>
      </c>
      <c r="B283" s="15">
        <f>IF(关卡产出!C448="","",关卡产出!C448)</f>
        <v>65</v>
      </c>
      <c r="C283" s="15">
        <f>IF(关卡产出!D448="","",关卡产出!D448)</f>
        <v>33</v>
      </c>
      <c r="D283" s="15">
        <f>IF(关卡产出!E448="","",关卡产出!E448)</f>
        <v>15</v>
      </c>
      <c r="E283" s="15">
        <f>IF(关卡产出!F448="","",关卡产出!F448)</f>
        <v>1025</v>
      </c>
      <c r="F283" s="15">
        <f>IF(关卡产出!H448="","",关卡产出!H448)</f>
        <v>15750</v>
      </c>
      <c r="G283" s="15">
        <f>IF(关卡产出!J448="","",关卡产出!J448)</f>
        <v>31000</v>
      </c>
      <c r="H283" s="15">
        <f>IF(关卡产出!K448="","",关卡产出!K448)</f>
        <v>6</v>
      </c>
      <c r="I283" s="15">
        <f>IF(关卡产出!M448="","",关卡产出!M448)</f>
        <v>330</v>
      </c>
      <c r="J283" s="15">
        <f>IF(关卡产出!N448="","",关卡产出!N448)</f>
        <v>165</v>
      </c>
      <c r="K283" s="15">
        <f>IF(关卡产出!O448="","",关卡产出!O448)</f>
        <v>75</v>
      </c>
      <c r="L283" s="15">
        <f>IF(关卡产出!P448="","",关卡产出!P448)</f>
        <v>500</v>
      </c>
      <c r="N283" t="str">
        <f t="shared" si="272"/>
        <v>104,65|105,33|106,15|1,1025</v>
      </c>
      <c r="P283" t="str">
        <f t="shared" si="256"/>
        <v>11,1|1,15750</v>
      </c>
      <c r="Q283" t="str">
        <f t="shared" si="257"/>
        <v>163,1|1,31000|4,6</v>
      </c>
      <c r="R283" t="str">
        <f t="shared" si="273"/>
        <v>104,330|105,165|106,75|3,500</v>
      </c>
      <c r="S283" t="str">
        <f t="shared" si="274"/>
        <v>104,33|105,17|106,8|1,1282</v>
      </c>
      <c r="V283" t="str">
        <f t="shared" si="275"/>
        <v>104,65</v>
      </c>
      <c r="W283" t="str">
        <f t="shared" si="264"/>
        <v>105,33</v>
      </c>
      <c r="X283" t="str">
        <f t="shared" si="265"/>
        <v>106,15</v>
      </c>
      <c r="Y283" t="str">
        <f t="shared" si="266"/>
        <v>1,1025</v>
      </c>
      <c r="AB283" t="str">
        <f t="shared" si="276"/>
        <v>104,330</v>
      </c>
      <c r="AC283" t="str">
        <f t="shared" si="267"/>
        <v>105,165</v>
      </c>
      <c r="AD283" t="str">
        <f t="shared" si="268"/>
        <v>106,75</v>
      </c>
      <c r="AE283" t="str">
        <f t="shared" si="269"/>
        <v>3,500</v>
      </c>
      <c r="AG283" t="str">
        <f t="shared" si="277"/>
        <v>104,33</v>
      </c>
      <c r="AH283" t="str">
        <f t="shared" si="270"/>
        <v>105,17</v>
      </c>
      <c r="AI283" t="str">
        <f t="shared" si="271"/>
        <v>106,8</v>
      </c>
      <c r="AJ283" t="str">
        <f t="shared" si="278"/>
        <v>1,1282</v>
      </c>
    </row>
    <row r="284" spans="1:36" x14ac:dyDescent="0.25">
      <c r="A284" s="14">
        <v>36</v>
      </c>
      <c r="B284" s="15">
        <f>IF(关卡产出!C449="","",关卡产出!C449)</f>
        <v>68</v>
      </c>
      <c r="C284" s="15">
        <f>IF(关卡产出!D449="","",关卡产出!D449)</f>
        <v>33</v>
      </c>
      <c r="D284" s="15">
        <f>IF(关卡产出!E449="","",关卡产出!E449)</f>
        <v>15</v>
      </c>
      <c r="E284" s="15">
        <f>IF(关卡产出!F449="","",关卡产出!F449)</f>
        <v>1025</v>
      </c>
      <c r="F284" s="15">
        <f>IF(关卡产出!H449="","",关卡产出!H449)</f>
        <v>16250</v>
      </c>
      <c r="G284" s="15">
        <f>IF(关卡产出!J449="","",关卡产出!J449)</f>
        <v>32000</v>
      </c>
      <c r="H284" s="15">
        <f>IF(关卡产出!K449="","",关卡产出!K449)</f>
        <v>6</v>
      </c>
      <c r="I284" s="15">
        <f>IF(关卡产出!M449="","",关卡产出!M449)</f>
        <v>340</v>
      </c>
      <c r="J284" s="15">
        <f>IF(关卡产出!N449="","",关卡产出!N449)</f>
        <v>170</v>
      </c>
      <c r="K284" s="15">
        <f>IF(关卡产出!O449="","",关卡产出!O449)</f>
        <v>78</v>
      </c>
      <c r="L284" s="15">
        <f>IF(关卡产出!P449="","",关卡产出!P449)</f>
        <v>500</v>
      </c>
      <c r="N284" t="str">
        <f t="shared" si="272"/>
        <v>104,68|105,33|106,15|1,1025</v>
      </c>
      <c r="P284" t="str">
        <f t="shared" si="256"/>
        <v>11,1|1,16250</v>
      </c>
      <c r="Q284" t="str">
        <f t="shared" si="257"/>
        <v>163,1|1,32000|4,6</v>
      </c>
      <c r="R284" t="str">
        <f t="shared" si="273"/>
        <v>104,340|105,170|106,78|3,500</v>
      </c>
      <c r="S284" t="str">
        <f t="shared" si="274"/>
        <v>104,34|105,17|106,8|1,1282</v>
      </c>
      <c r="V284" t="str">
        <f t="shared" si="275"/>
        <v>104,68</v>
      </c>
      <c r="W284" t="str">
        <f t="shared" si="264"/>
        <v>105,33</v>
      </c>
      <c r="X284" t="str">
        <f t="shared" si="265"/>
        <v>106,15</v>
      </c>
      <c r="Y284" t="str">
        <f t="shared" si="266"/>
        <v>1,1025</v>
      </c>
      <c r="AB284" t="str">
        <f t="shared" si="276"/>
        <v>104,340</v>
      </c>
      <c r="AC284" t="str">
        <f t="shared" si="267"/>
        <v>105,170</v>
      </c>
      <c r="AD284" t="str">
        <f t="shared" si="268"/>
        <v>106,78</v>
      </c>
      <c r="AE284" t="str">
        <f t="shared" si="269"/>
        <v>3,500</v>
      </c>
      <c r="AG284" t="str">
        <f t="shared" si="277"/>
        <v>104,34</v>
      </c>
      <c r="AH284" t="str">
        <f t="shared" si="270"/>
        <v>105,17</v>
      </c>
      <c r="AI284" t="str">
        <f t="shared" si="271"/>
        <v>106,8</v>
      </c>
      <c r="AJ284" t="str">
        <f t="shared" si="278"/>
        <v>1,1282</v>
      </c>
    </row>
    <row r="285" spans="1:36" x14ac:dyDescent="0.25">
      <c r="A285" s="14">
        <v>37</v>
      </c>
      <c r="B285" s="15">
        <f>IF(关卡产出!C450="","",关卡产出!C450)</f>
        <v>70</v>
      </c>
      <c r="C285" s="15">
        <f>IF(关卡产出!D450="","",关卡产出!D450)</f>
        <v>35</v>
      </c>
      <c r="D285" s="15">
        <f>IF(关卡产出!E450="","",关卡产出!E450)</f>
        <v>15</v>
      </c>
      <c r="E285" s="15">
        <f>IF(关卡产出!F450="","",关卡产出!F450)</f>
        <v>1075</v>
      </c>
      <c r="F285" s="15">
        <f>IF(关卡产出!H450="","",关卡产出!H450)</f>
        <v>16750</v>
      </c>
      <c r="G285" s="15">
        <f>IF(关卡产出!J450="","",关卡产出!J450)</f>
        <v>33000</v>
      </c>
      <c r="H285" s="15">
        <f>IF(关卡产出!K450="","",关卡产出!K450)</f>
        <v>6</v>
      </c>
      <c r="I285" s="15">
        <f>IF(关卡产出!M450="","",关卡产出!M450)</f>
        <v>350</v>
      </c>
      <c r="J285" s="15">
        <f>IF(关卡产出!N450="","",关卡产出!N450)</f>
        <v>175</v>
      </c>
      <c r="K285" s="15">
        <f>IF(关卡产出!O450="","",关卡产出!O450)</f>
        <v>80</v>
      </c>
      <c r="L285" s="15">
        <f>IF(关卡产出!P450="","",关卡产出!P450)</f>
        <v>500</v>
      </c>
      <c r="N285" t="str">
        <f t="shared" si="272"/>
        <v>104,70|105,35|106,15|1,1075</v>
      </c>
      <c r="P285" t="str">
        <f t="shared" si="256"/>
        <v>11,1|1,16750</v>
      </c>
      <c r="Q285" t="str">
        <f t="shared" si="257"/>
        <v>163,1|1,33000|4,6</v>
      </c>
      <c r="R285" t="str">
        <f t="shared" si="273"/>
        <v>104,350|105,175|106,80|3,500</v>
      </c>
      <c r="S285" t="str">
        <f t="shared" si="274"/>
        <v>104,35|105,18|106,8|1,1344</v>
      </c>
      <c r="V285" t="str">
        <f t="shared" si="275"/>
        <v>104,70</v>
      </c>
      <c r="W285" t="str">
        <f t="shared" si="264"/>
        <v>105,35</v>
      </c>
      <c r="X285" t="str">
        <f t="shared" si="265"/>
        <v>106,15</v>
      </c>
      <c r="Y285" t="str">
        <f t="shared" si="266"/>
        <v>1,1075</v>
      </c>
      <c r="AB285" t="str">
        <f t="shared" si="276"/>
        <v>104,350</v>
      </c>
      <c r="AC285" t="str">
        <f t="shared" si="267"/>
        <v>105,175</v>
      </c>
      <c r="AD285" t="str">
        <f t="shared" si="268"/>
        <v>106,80</v>
      </c>
      <c r="AE285" t="str">
        <f t="shared" si="269"/>
        <v>3,500</v>
      </c>
      <c r="AG285" t="str">
        <f t="shared" si="277"/>
        <v>104,35</v>
      </c>
      <c r="AH285" t="str">
        <f t="shared" si="270"/>
        <v>105,18</v>
      </c>
      <c r="AI285" t="str">
        <f t="shared" si="271"/>
        <v>106,8</v>
      </c>
      <c r="AJ285" t="str">
        <f t="shared" si="278"/>
        <v>1,1344</v>
      </c>
    </row>
    <row r="286" spans="1:36" ht="13.5" customHeight="1" x14ac:dyDescent="0.25">
      <c r="A286" s="14">
        <v>38</v>
      </c>
      <c r="B286" s="15">
        <f>IF(关卡产出!C451="","",关卡产出!C451)</f>
        <v>73</v>
      </c>
      <c r="C286" s="15">
        <f>IF(关卡产出!D451="","",关卡产出!D451)</f>
        <v>35</v>
      </c>
      <c r="D286" s="15">
        <f>IF(关卡产出!E451="","",关卡产出!E451)</f>
        <v>18</v>
      </c>
      <c r="E286" s="15">
        <f>IF(关卡产出!F451="","",关卡产出!F451)</f>
        <v>1075</v>
      </c>
      <c r="F286" s="15">
        <f>IF(关卡产出!H451="","",关卡产出!H451)</f>
        <v>17250</v>
      </c>
      <c r="G286" s="15">
        <f>IF(关卡产出!J451="","",关卡产出!J451)</f>
        <v>34000</v>
      </c>
      <c r="H286" s="15">
        <f>IF(关卡产出!K451="","",关卡产出!K451)</f>
        <v>6</v>
      </c>
      <c r="I286" s="15">
        <f>IF(关卡产出!M451="","",关卡产出!M451)</f>
        <v>360</v>
      </c>
      <c r="J286" s="15">
        <f>IF(关卡产出!N451="","",关卡产出!N451)</f>
        <v>180</v>
      </c>
      <c r="K286" s="15">
        <f>IF(关卡产出!O451="","",关卡产出!O451)</f>
        <v>83</v>
      </c>
      <c r="L286" s="15">
        <f>IF(关卡产出!P451="","",关卡产出!P451)</f>
        <v>500</v>
      </c>
      <c r="N286" t="str">
        <f t="shared" si="272"/>
        <v>104,73|105,35|106,18|1,1075</v>
      </c>
      <c r="P286" t="str">
        <f t="shared" si="256"/>
        <v>11,1|1,17250</v>
      </c>
      <c r="Q286" t="str">
        <f t="shared" si="257"/>
        <v>163,1|1,34000|4,6</v>
      </c>
      <c r="R286" t="str">
        <f t="shared" si="273"/>
        <v>104,360|105,180|106,83|3,500</v>
      </c>
      <c r="S286" t="str">
        <f t="shared" si="274"/>
        <v>104,37|105,18|106,9|1,1344</v>
      </c>
      <c r="V286" t="str">
        <f t="shared" si="275"/>
        <v>104,73</v>
      </c>
      <c r="W286" t="str">
        <f t="shared" si="264"/>
        <v>105,35</v>
      </c>
      <c r="X286" t="str">
        <f t="shared" si="265"/>
        <v>106,18</v>
      </c>
      <c r="Y286" t="str">
        <f t="shared" si="266"/>
        <v>1,1075</v>
      </c>
      <c r="AB286" t="str">
        <f t="shared" si="276"/>
        <v>104,360</v>
      </c>
      <c r="AC286" t="str">
        <f t="shared" si="267"/>
        <v>105,180</v>
      </c>
      <c r="AD286" t="str">
        <f t="shared" si="268"/>
        <v>106,83</v>
      </c>
      <c r="AE286" t="str">
        <f t="shared" si="269"/>
        <v>3,500</v>
      </c>
      <c r="AG286" t="str">
        <f t="shared" si="277"/>
        <v>104,37</v>
      </c>
      <c r="AH286" t="str">
        <f t="shared" si="270"/>
        <v>105,18</v>
      </c>
      <c r="AI286" t="str">
        <f t="shared" si="271"/>
        <v>106,9</v>
      </c>
      <c r="AJ286" t="str">
        <f t="shared" si="278"/>
        <v>1,1344</v>
      </c>
    </row>
    <row r="287" spans="1:36" ht="13.5" customHeight="1" x14ac:dyDescent="0.25">
      <c r="A287" s="14">
        <v>39</v>
      </c>
      <c r="B287" s="15">
        <f>IF(关卡产出!C452="","",关卡产出!C452)</f>
        <v>75</v>
      </c>
      <c r="C287" s="15">
        <f>IF(关卡产出!D452="","",关卡产出!D452)</f>
        <v>38</v>
      </c>
      <c r="D287" s="15">
        <f>IF(关卡产出!E452="","",关卡产出!E452)</f>
        <v>18</v>
      </c>
      <c r="E287" s="15">
        <f>IF(关卡产出!F452="","",关卡产出!F452)</f>
        <v>1125</v>
      </c>
      <c r="F287" s="15">
        <f>IF(关卡产出!H452="","",关卡产出!H452)</f>
        <v>17750</v>
      </c>
      <c r="G287" s="15">
        <f>IF(关卡产出!J452="","",关卡产出!J452)</f>
        <v>35000</v>
      </c>
      <c r="H287" s="15">
        <f>IF(关卡产出!K452="","",关卡产出!K452)</f>
        <v>6</v>
      </c>
      <c r="I287" s="15">
        <f>IF(关卡产出!M452="","",关卡产出!M452)</f>
        <v>370</v>
      </c>
      <c r="J287" s="15">
        <f>IF(关卡产出!N452="","",关卡产出!N452)</f>
        <v>185</v>
      </c>
      <c r="K287" s="15">
        <f>IF(关卡产出!O452="","",关卡产出!O452)</f>
        <v>85</v>
      </c>
      <c r="L287" s="15">
        <f>IF(关卡产出!P452="","",关卡产出!P452)</f>
        <v>500</v>
      </c>
      <c r="N287" t="str">
        <f t="shared" ref="N287:N297" si="279">_xlfn.TEXTJOIN("|",TRUE,V287:Y287)</f>
        <v>104,75|105,38|106,18|1,1125</v>
      </c>
      <c r="P287" t="str">
        <f t="shared" si="256"/>
        <v>11,1|1,17750</v>
      </c>
      <c r="Q287" t="str">
        <f t="shared" si="257"/>
        <v>163,1|1,35000|4,6</v>
      </c>
      <c r="R287" t="str">
        <f t="shared" ref="R287:R297" si="280">_xlfn.TEXTJOIN("|",TRUE,AB287:AE287)</f>
        <v>104,370|105,185|106,85|3,500</v>
      </c>
      <c r="S287" t="str">
        <f t="shared" ref="S287:S297" si="281">_xlfn.TEXTJOIN("|",TRUE,AG287:AJ287)</f>
        <v>104,38|105,19|106,9|1,1407</v>
      </c>
      <c r="V287" t="str">
        <f t="shared" ref="V287:V297" si="282">IF(B287="","",B$1&amp;","&amp;B287)</f>
        <v>104,75</v>
      </c>
      <c r="W287" t="str">
        <f t="shared" ref="W287:W297" si="283">IF(C287="","",C$1&amp;","&amp;C287)</f>
        <v>105,38</v>
      </c>
      <c r="X287" t="str">
        <f t="shared" ref="X287:X297" si="284">IF(D287="","",D$1&amp;","&amp;D287)</f>
        <v>106,18</v>
      </c>
      <c r="Y287" t="str">
        <f t="shared" ref="Y287:Y297" si="285">IF(E287="","",E$1&amp;","&amp;E287)</f>
        <v>1,1125</v>
      </c>
      <c r="AB287" t="str">
        <f t="shared" ref="AB287:AB297" si="286">IF(I287="","",I$1&amp;","&amp;I287)</f>
        <v>104,370</v>
      </c>
      <c r="AC287" t="str">
        <f t="shared" ref="AC287:AC297" si="287">IF(J287="","",J$1&amp;","&amp;J287)</f>
        <v>105,185</v>
      </c>
      <c r="AD287" t="str">
        <f t="shared" ref="AD287:AD297" si="288">IF(K287="","",K$1&amp;","&amp;K287)</f>
        <v>106,85</v>
      </c>
      <c r="AE287" t="str">
        <f t="shared" ref="AE287:AE297" si="289">IF(L287="","",L$1&amp;","&amp;L287)</f>
        <v>3,500</v>
      </c>
      <c r="AG287" t="str">
        <f t="shared" ref="AG287:AG297" si="290">IF(B287="","",B$1&amp;","&amp;ROUNDUP(B287/2,0))</f>
        <v>104,38</v>
      </c>
      <c r="AH287" t="str">
        <f t="shared" ref="AH287:AH297" si="291">IF(C287="","",C$1&amp;","&amp;ROUNDUP(C287/2,0))</f>
        <v>105,19</v>
      </c>
      <c r="AI287" t="str">
        <f t="shared" ref="AI287:AI297" si="292">IF(D287="","",D$1&amp;","&amp;ROUNDUP(D287/2,0))</f>
        <v>106,9</v>
      </c>
      <c r="AJ287" t="str">
        <f t="shared" ref="AJ287:AJ297" si="293">IF(E287="","",E$1&amp;","&amp;ROUNDUP(E287/2*2.5,0))</f>
        <v>1,1407</v>
      </c>
    </row>
    <row r="288" spans="1:36" s="1" customFormat="1" x14ac:dyDescent="0.25">
      <c r="A288" s="14">
        <v>40</v>
      </c>
      <c r="B288" s="16">
        <f>IF(关卡产出!C453="","",关卡产出!C453)</f>
        <v>75</v>
      </c>
      <c r="C288" s="16">
        <f>IF(关卡产出!D453="","",关卡产出!D453)</f>
        <v>38</v>
      </c>
      <c r="D288" s="16">
        <f>IF(关卡产出!E453="","",关卡产出!E453)</f>
        <v>18</v>
      </c>
      <c r="E288" s="16">
        <f>IF(关卡产出!F453="","",关卡产出!F453)</f>
        <v>1125</v>
      </c>
      <c r="F288" s="16">
        <f>IF(关卡产出!H453="","",关卡产出!H453)</f>
        <v>18250</v>
      </c>
      <c r="G288" s="16">
        <f>IF(关卡产出!J453="","",关卡产出!J453)</f>
        <v>36000</v>
      </c>
      <c r="H288" s="16">
        <f>IF(关卡产出!K453="","",关卡产出!K453)</f>
        <v>6</v>
      </c>
      <c r="I288" s="16">
        <f>IF(关卡产出!M453="","",关卡产出!M453)</f>
        <v>380</v>
      </c>
      <c r="J288" s="16">
        <f>IF(关卡产出!N453="","",关卡产出!N453)</f>
        <v>190</v>
      </c>
      <c r="K288" s="16">
        <f>IF(关卡产出!O453="","",关卡产出!O453)</f>
        <v>88</v>
      </c>
      <c r="L288" s="16">
        <f>IF(关卡产出!P453="","",关卡产出!P453)</f>
        <v>500</v>
      </c>
      <c r="N288" s="1" t="str">
        <f t="shared" si="279"/>
        <v>104,75|105,38|106,18|1,1125</v>
      </c>
      <c r="P288" t="str">
        <f t="shared" si="256"/>
        <v>11,1|1,18250</v>
      </c>
      <c r="Q288" t="str">
        <f t="shared" si="257"/>
        <v>163,1|1,36000|4,6</v>
      </c>
      <c r="R288" s="1" t="str">
        <f t="shared" si="280"/>
        <v>104,380|105,190|106,88|3,500</v>
      </c>
      <c r="S288" s="1" t="str">
        <f t="shared" si="281"/>
        <v>104,38|105,19|106,9|1,1407</v>
      </c>
      <c r="V288" s="1" t="str">
        <f t="shared" si="282"/>
        <v>104,75</v>
      </c>
      <c r="W288" s="1" t="str">
        <f t="shared" si="283"/>
        <v>105,38</v>
      </c>
      <c r="X288" s="1" t="str">
        <f t="shared" si="284"/>
        <v>106,18</v>
      </c>
      <c r="Y288" s="1" t="str">
        <f t="shared" si="285"/>
        <v>1,1125</v>
      </c>
      <c r="AB288" s="1" t="str">
        <f t="shared" si="286"/>
        <v>104,380</v>
      </c>
      <c r="AC288" s="1" t="str">
        <f t="shared" si="287"/>
        <v>105,190</v>
      </c>
      <c r="AD288" s="1" t="str">
        <f t="shared" si="288"/>
        <v>106,88</v>
      </c>
      <c r="AE288" s="1" t="str">
        <f t="shared" si="289"/>
        <v>3,500</v>
      </c>
      <c r="AG288" s="1" t="str">
        <f t="shared" si="290"/>
        <v>104,38</v>
      </c>
      <c r="AH288" s="1" t="str">
        <f t="shared" si="291"/>
        <v>105,19</v>
      </c>
      <c r="AI288" s="1" t="str">
        <f t="shared" si="292"/>
        <v>106,9</v>
      </c>
      <c r="AJ288" s="1" t="str">
        <f t="shared" si="293"/>
        <v>1,1407</v>
      </c>
    </row>
    <row r="289" spans="1:36" x14ac:dyDescent="0.25">
      <c r="A289" s="14">
        <v>41</v>
      </c>
      <c r="B289" s="15">
        <f>IF(关卡产出!C454="","",关卡产出!C454)</f>
        <v>78</v>
      </c>
      <c r="C289" s="15">
        <f>IF(关卡产出!D454="","",关卡产出!D454)</f>
        <v>38</v>
      </c>
      <c r="D289" s="15">
        <f>IF(关卡产出!E454="","",关卡产出!E454)</f>
        <v>18</v>
      </c>
      <c r="E289" s="15">
        <f>IF(关卡产出!F454="","",关卡产出!F454)</f>
        <v>1175</v>
      </c>
      <c r="F289" s="15">
        <f>IF(关卡产出!H454="","",关卡产出!H454)</f>
        <v>18750</v>
      </c>
      <c r="G289" s="15">
        <f>IF(关卡产出!J454="","",关卡产出!J454)</f>
        <v>37000</v>
      </c>
      <c r="H289" s="15">
        <f>IF(关卡产出!K454="","",关卡产出!K454)</f>
        <v>6</v>
      </c>
      <c r="I289" s="15">
        <f>IF(关卡产出!M454="","",关卡产出!M454)</f>
        <v>390</v>
      </c>
      <c r="J289" s="15">
        <f>IF(关卡产出!N454="","",关卡产出!N454)</f>
        <v>195</v>
      </c>
      <c r="K289" s="15">
        <f>IF(关卡产出!O454="","",关卡产出!O454)</f>
        <v>90</v>
      </c>
      <c r="L289" s="15">
        <f>IF(关卡产出!P454="","",关卡产出!P454)</f>
        <v>500</v>
      </c>
      <c r="N289" t="str">
        <f t="shared" si="279"/>
        <v>104,78|105,38|106,18|1,1175</v>
      </c>
      <c r="P289" t="str">
        <f t="shared" si="256"/>
        <v>11,1|1,18750</v>
      </c>
      <c r="Q289" t="str">
        <f t="shared" si="257"/>
        <v>163,1|1,37000|4,6</v>
      </c>
      <c r="R289" t="str">
        <f t="shared" si="280"/>
        <v>104,390|105,195|106,90|3,500</v>
      </c>
      <c r="S289" t="str">
        <f t="shared" si="281"/>
        <v>104,39|105,19|106,9|1,1469</v>
      </c>
      <c r="V289" t="str">
        <f t="shared" si="282"/>
        <v>104,78</v>
      </c>
      <c r="W289" t="str">
        <f t="shared" si="283"/>
        <v>105,38</v>
      </c>
      <c r="X289" t="str">
        <f t="shared" si="284"/>
        <v>106,18</v>
      </c>
      <c r="Y289" t="str">
        <f t="shared" si="285"/>
        <v>1,1175</v>
      </c>
      <c r="AB289" t="str">
        <f t="shared" si="286"/>
        <v>104,390</v>
      </c>
      <c r="AC289" t="str">
        <f t="shared" si="287"/>
        <v>105,195</v>
      </c>
      <c r="AD289" t="str">
        <f t="shared" si="288"/>
        <v>106,90</v>
      </c>
      <c r="AE289" t="str">
        <f t="shared" si="289"/>
        <v>3,500</v>
      </c>
      <c r="AG289" t="str">
        <f t="shared" si="290"/>
        <v>104,39</v>
      </c>
      <c r="AH289" t="str">
        <f t="shared" si="291"/>
        <v>105,19</v>
      </c>
      <c r="AI289" t="str">
        <f t="shared" si="292"/>
        <v>106,9</v>
      </c>
      <c r="AJ289" t="str">
        <f t="shared" si="293"/>
        <v>1,1469</v>
      </c>
    </row>
    <row r="290" spans="1:36" x14ac:dyDescent="0.25">
      <c r="A290" s="14">
        <v>42</v>
      </c>
      <c r="B290" s="15">
        <f>IF(关卡产出!C455="","",关卡产出!C455)</f>
        <v>80</v>
      </c>
      <c r="C290" s="15">
        <f>IF(关卡产出!D455="","",关卡产出!D455)</f>
        <v>40</v>
      </c>
      <c r="D290" s="15">
        <f>IF(关卡产出!E455="","",关卡产出!E455)</f>
        <v>18</v>
      </c>
      <c r="E290" s="15">
        <f>IF(关卡产出!F455="","",关卡产出!F455)</f>
        <v>1175</v>
      </c>
      <c r="F290" s="15">
        <f>IF(关卡产出!H455="","",关卡产出!H455)</f>
        <v>19250</v>
      </c>
      <c r="G290" s="15">
        <f>IF(关卡产出!J455="","",关卡产出!J455)</f>
        <v>38000</v>
      </c>
      <c r="H290" s="15">
        <f>IF(关卡产出!K455="","",关卡产出!K455)</f>
        <v>6</v>
      </c>
      <c r="I290" s="15">
        <f>IF(关卡产出!M455="","",关卡产出!M455)</f>
        <v>400</v>
      </c>
      <c r="J290" s="15">
        <f>IF(关卡产出!N455="","",关卡产出!N455)</f>
        <v>200</v>
      </c>
      <c r="K290" s="15">
        <f>IF(关卡产出!O455="","",关卡产出!O455)</f>
        <v>93</v>
      </c>
      <c r="L290" s="15">
        <f>IF(关卡产出!P455="","",关卡产出!P455)</f>
        <v>500</v>
      </c>
      <c r="N290" t="str">
        <f t="shared" si="279"/>
        <v>104,80|105,40|106,18|1,1175</v>
      </c>
      <c r="P290" t="str">
        <f t="shared" si="256"/>
        <v>11,1|1,19250</v>
      </c>
      <c r="Q290" t="str">
        <f t="shared" si="257"/>
        <v>163,1|1,38000|4,6</v>
      </c>
      <c r="R290" t="str">
        <f t="shared" si="280"/>
        <v>104,400|105,200|106,93|3,500</v>
      </c>
      <c r="S290" t="str">
        <f t="shared" si="281"/>
        <v>104,40|105,20|106,9|1,1469</v>
      </c>
      <c r="V290" t="str">
        <f t="shared" si="282"/>
        <v>104,80</v>
      </c>
      <c r="W290" t="str">
        <f t="shared" si="283"/>
        <v>105,40</v>
      </c>
      <c r="X290" t="str">
        <f t="shared" si="284"/>
        <v>106,18</v>
      </c>
      <c r="Y290" t="str">
        <f t="shared" si="285"/>
        <v>1,1175</v>
      </c>
      <c r="AB290" t="str">
        <f t="shared" si="286"/>
        <v>104,400</v>
      </c>
      <c r="AC290" t="str">
        <f t="shared" si="287"/>
        <v>105,200</v>
      </c>
      <c r="AD290" t="str">
        <f t="shared" si="288"/>
        <v>106,93</v>
      </c>
      <c r="AE290" t="str">
        <f t="shared" si="289"/>
        <v>3,500</v>
      </c>
      <c r="AG290" t="str">
        <f t="shared" si="290"/>
        <v>104,40</v>
      </c>
      <c r="AH290" t="str">
        <f t="shared" si="291"/>
        <v>105,20</v>
      </c>
      <c r="AI290" t="str">
        <f t="shared" si="292"/>
        <v>106,9</v>
      </c>
      <c r="AJ290" t="str">
        <f t="shared" si="293"/>
        <v>1,1469</v>
      </c>
    </row>
    <row r="291" spans="1:36" x14ac:dyDescent="0.25">
      <c r="A291" s="14">
        <v>43</v>
      </c>
      <c r="B291" s="15">
        <f>IF(关卡产出!C456="","",关卡产出!C456)</f>
        <v>83</v>
      </c>
      <c r="C291" s="15">
        <f>IF(关卡产出!D456="","",关卡产出!D456)</f>
        <v>40</v>
      </c>
      <c r="D291" s="15">
        <f>IF(关卡产出!E456="","",关卡产出!E456)</f>
        <v>20</v>
      </c>
      <c r="E291" s="15">
        <f>IF(关卡产出!F456="","",关卡产出!F456)</f>
        <v>1225</v>
      </c>
      <c r="F291" s="15">
        <f>IF(关卡产出!H456="","",关卡产出!H456)</f>
        <v>19750</v>
      </c>
      <c r="G291" s="15">
        <f>IF(关卡产出!J456="","",关卡产出!J456)</f>
        <v>39000</v>
      </c>
      <c r="H291" s="15">
        <f>IF(关卡产出!K456="","",关卡产出!K456)</f>
        <v>6</v>
      </c>
      <c r="I291" s="15">
        <f>IF(关卡产出!M456="","",关卡产出!M456)</f>
        <v>410</v>
      </c>
      <c r="J291" s="15">
        <f>IF(关卡产出!N456="","",关卡产出!N456)</f>
        <v>205</v>
      </c>
      <c r="K291" s="15">
        <f>IF(关卡产出!O456="","",关卡产出!O456)</f>
        <v>95</v>
      </c>
      <c r="L291" s="15">
        <f>IF(关卡产出!P456="","",关卡产出!P456)</f>
        <v>500</v>
      </c>
      <c r="N291" t="str">
        <f t="shared" si="279"/>
        <v>104,83|105,40|106,20|1,1225</v>
      </c>
      <c r="P291" t="str">
        <f t="shared" si="256"/>
        <v>11,1|1,19750</v>
      </c>
      <c r="Q291" t="str">
        <f t="shared" si="257"/>
        <v>163,1|1,39000|4,6</v>
      </c>
      <c r="R291" t="str">
        <f t="shared" si="280"/>
        <v>104,410|105,205|106,95|3,500</v>
      </c>
      <c r="S291" t="str">
        <f t="shared" si="281"/>
        <v>104,42|105,20|106,10|1,1532</v>
      </c>
      <c r="V291" t="str">
        <f t="shared" si="282"/>
        <v>104,83</v>
      </c>
      <c r="W291" t="str">
        <f t="shared" si="283"/>
        <v>105,40</v>
      </c>
      <c r="X291" t="str">
        <f t="shared" si="284"/>
        <v>106,20</v>
      </c>
      <c r="Y291" t="str">
        <f t="shared" si="285"/>
        <v>1,1225</v>
      </c>
      <c r="AB291" t="str">
        <f t="shared" si="286"/>
        <v>104,410</v>
      </c>
      <c r="AC291" t="str">
        <f t="shared" si="287"/>
        <v>105,205</v>
      </c>
      <c r="AD291" t="str">
        <f t="shared" si="288"/>
        <v>106,95</v>
      </c>
      <c r="AE291" t="str">
        <f t="shared" si="289"/>
        <v>3,500</v>
      </c>
      <c r="AG291" t="str">
        <f t="shared" si="290"/>
        <v>104,42</v>
      </c>
      <c r="AH291" t="str">
        <f t="shared" si="291"/>
        <v>105,20</v>
      </c>
      <c r="AI291" t="str">
        <f t="shared" si="292"/>
        <v>106,10</v>
      </c>
      <c r="AJ291" t="str">
        <f t="shared" si="293"/>
        <v>1,1532</v>
      </c>
    </row>
    <row r="292" spans="1:36" x14ac:dyDescent="0.25">
      <c r="A292" s="14">
        <v>44</v>
      </c>
      <c r="B292" s="15">
        <f>IF(关卡产出!C457="","",关卡产出!C457)</f>
        <v>85</v>
      </c>
      <c r="C292" s="15">
        <f>IF(关卡产出!D457="","",关卡产出!D457)</f>
        <v>43</v>
      </c>
      <c r="D292" s="15">
        <f>IF(关卡产出!E457="","",关卡产出!E457)</f>
        <v>20</v>
      </c>
      <c r="E292" s="15">
        <f>IF(关卡产出!F457="","",关卡产出!F457)</f>
        <v>1225</v>
      </c>
      <c r="F292" s="15">
        <f>IF(关卡产出!H457="","",关卡产出!H457)</f>
        <v>20250</v>
      </c>
      <c r="G292" s="15">
        <f>IF(关卡产出!J457="","",关卡产出!J457)</f>
        <v>40000</v>
      </c>
      <c r="H292" s="15">
        <f>IF(关卡产出!K457="","",关卡产出!K457)</f>
        <v>6</v>
      </c>
      <c r="I292" s="15">
        <f>IF(关卡产出!M457="","",关卡产出!M457)</f>
        <v>420</v>
      </c>
      <c r="J292" s="15">
        <f>IF(关卡产出!N457="","",关卡产出!N457)</f>
        <v>210</v>
      </c>
      <c r="K292" s="15">
        <f>IF(关卡产出!O457="","",关卡产出!O457)</f>
        <v>98</v>
      </c>
      <c r="L292" s="15">
        <f>IF(关卡产出!P457="","",关卡产出!P457)</f>
        <v>500</v>
      </c>
      <c r="N292" t="str">
        <f t="shared" si="279"/>
        <v>104,85|105,43|106,20|1,1225</v>
      </c>
      <c r="P292" t="str">
        <f t="shared" si="256"/>
        <v>11,1|1,20250</v>
      </c>
      <c r="Q292" t="str">
        <f t="shared" si="257"/>
        <v>163,1|1,40000|4,6</v>
      </c>
      <c r="R292" t="str">
        <f t="shared" si="280"/>
        <v>104,420|105,210|106,98|3,500</v>
      </c>
      <c r="S292" t="str">
        <f t="shared" si="281"/>
        <v>104,43|105,22|106,10|1,1532</v>
      </c>
      <c r="V292" t="str">
        <f t="shared" si="282"/>
        <v>104,85</v>
      </c>
      <c r="W292" t="str">
        <f t="shared" si="283"/>
        <v>105,43</v>
      </c>
      <c r="X292" t="str">
        <f t="shared" si="284"/>
        <v>106,20</v>
      </c>
      <c r="Y292" t="str">
        <f t="shared" si="285"/>
        <v>1,1225</v>
      </c>
      <c r="AB292" t="str">
        <f t="shared" si="286"/>
        <v>104,420</v>
      </c>
      <c r="AC292" t="str">
        <f t="shared" si="287"/>
        <v>105,210</v>
      </c>
      <c r="AD292" t="str">
        <f t="shared" si="288"/>
        <v>106,98</v>
      </c>
      <c r="AE292" t="str">
        <f t="shared" si="289"/>
        <v>3,500</v>
      </c>
      <c r="AG292" t="str">
        <f t="shared" si="290"/>
        <v>104,43</v>
      </c>
      <c r="AH292" t="str">
        <f t="shared" si="291"/>
        <v>105,22</v>
      </c>
      <c r="AI292" t="str">
        <f t="shared" si="292"/>
        <v>106,10</v>
      </c>
      <c r="AJ292" t="str">
        <f t="shared" si="293"/>
        <v>1,1532</v>
      </c>
    </row>
    <row r="293" spans="1:36" x14ac:dyDescent="0.25">
      <c r="A293" s="14">
        <v>45</v>
      </c>
      <c r="B293" s="15">
        <f>IF(关卡产出!C458="","",关卡产出!C458)</f>
        <v>85</v>
      </c>
      <c r="C293" s="15">
        <f>IF(关卡产出!D458="","",关卡产出!D458)</f>
        <v>43</v>
      </c>
      <c r="D293" s="15">
        <f>IF(关卡产出!E458="","",关卡产出!E458)</f>
        <v>20</v>
      </c>
      <c r="E293" s="15">
        <f>IF(关卡产出!F458="","",关卡产出!F458)</f>
        <v>1275</v>
      </c>
      <c r="F293" s="15">
        <f>IF(关卡产出!H458="","",关卡产出!H458)</f>
        <v>20750</v>
      </c>
      <c r="G293" s="15">
        <f>IF(关卡产出!J458="","",关卡产出!J458)</f>
        <v>41000</v>
      </c>
      <c r="H293" s="15">
        <f>IF(关卡产出!K458="","",关卡产出!K458)</f>
        <v>6</v>
      </c>
      <c r="I293" s="15">
        <f>IF(关卡产出!M458="","",关卡产出!M458)</f>
        <v>430</v>
      </c>
      <c r="J293" s="15">
        <f>IF(关卡产出!N458="","",关卡产出!N458)</f>
        <v>215</v>
      </c>
      <c r="K293" s="15">
        <f>IF(关卡产出!O458="","",关卡产出!O458)</f>
        <v>100</v>
      </c>
      <c r="L293" s="15">
        <f>IF(关卡产出!P458="","",关卡产出!P458)</f>
        <v>500</v>
      </c>
      <c r="N293" t="str">
        <f t="shared" si="279"/>
        <v>104,85|105,43|106,20|1,1275</v>
      </c>
      <c r="P293" t="str">
        <f t="shared" si="256"/>
        <v>11,1|1,20750</v>
      </c>
      <c r="Q293" t="str">
        <f t="shared" si="257"/>
        <v>163,1|1,41000|4,6</v>
      </c>
      <c r="R293" t="str">
        <f t="shared" si="280"/>
        <v>104,430|105,215|106,100|3,500</v>
      </c>
      <c r="S293" t="str">
        <f t="shared" si="281"/>
        <v>104,43|105,22|106,10|1,1594</v>
      </c>
      <c r="V293" t="str">
        <f t="shared" si="282"/>
        <v>104,85</v>
      </c>
      <c r="W293" t="str">
        <f t="shared" si="283"/>
        <v>105,43</v>
      </c>
      <c r="X293" t="str">
        <f t="shared" si="284"/>
        <v>106,20</v>
      </c>
      <c r="Y293" t="str">
        <f t="shared" si="285"/>
        <v>1,1275</v>
      </c>
      <c r="AB293" t="str">
        <f t="shared" si="286"/>
        <v>104,430</v>
      </c>
      <c r="AC293" t="str">
        <f t="shared" si="287"/>
        <v>105,215</v>
      </c>
      <c r="AD293" t="str">
        <f t="shared" si="288"/>
        <v>106,100</v>
      </c>
      <c r="AE293" t="str">
        <f t="shared" si="289"/>
        <v>3,500</v>
      </c>
      <c r="AG293" t="str">
        <f t="shared" si="290"/>
        <v>104,43</v>
      </c>
      <c r="AH293" t="str">
        <f t="shared" si="291"/>
        <v>105,22</v>
      </c>
      <c r="AI293" t="str">
        <f t="shared" si="292"/>
        <v>106,10</v>
      </c>
      <c r="AJ293" t="str">
        <f t="shared" si="293"/>
        <v>1,1594</v>
      </c>
    </row>
    <row r="294" spans="1:36" x14ac:dyDescent="0.25">
      <c r="A294" s="14">
        <v>46</v>
      </c>
      <c r="B294" s="15">
        <f>IF(关卡产出!C459="","",关卡产出!C459)</f>
        <v>88</v>
      </c>
      <c r="C294" s="15">
        <f>IF(关卡产出!D459="","",关卡产出!D459)</f>
        <v>43</v>
      </c>
      <c r="D294" s="15">
        <f>IF(关卡产出!E459="","",关卡产出!E459)</f>
        <v>20</v>
      </c>
      <c r="E294" s="15">
        <f>IF(关卡产出!F459="","",关卡产出!F459)</f>
        <v>1275</v>
      </c>
      <c r="F294" s="15">
        <f>IF(关卡产出!H459="","",关卡产出!H459)</f>
        <v>21250</v>
      </c>
      <c r="G294" s="15">
        <f>IF(关卡产出!J459="","",关卡产出!J459)</f>
        <v>42000</v>
      </c>
      <c r="H294" s="15">
        <f>IF(关卡产出!K459="","",关卡产出!K459)</f>
        <v>6</v>
      </c>
      <c r="I294" s="15">
        <f>IF(关卡产出!M459="","",关卡产出!M459)</f>
        <v>440</v>
      </c>
      <c r="J294" s="15">
        <f>IF(关卡产出!N459="","",关卡产出!N459)</f>
        <v>220</v>
      </c>
      <c r="K294" s="15">
        <f>IF(关卡产出!O459="","",关卡产出!O459)</f>
        <v>103</v>
      </c>
      <c r="L294" s="15">
        <f>IF(关卡产出!P459="","",关卡产出!P459)</f>
        <v>500</v>
      </c>
      <c r="N294" t="str">
        <f t="shared" si="279"/>
        <v>104,88|105,43|106,20|1,1275</v>
      </c>
      <c r="P294" t="str">
        <f t="shared" si="256"/>
        <v>11,1|1,21250</v>
      </c>
      <c r="Q294" t="str">
        <f t="shared" si="257"/>
        <v>163,1|1,42000|4,6</v>
      </c>
      <c r="R294" t="str">
        <f t="shared" si="280"/>
        <v>104,440|105,220|106,103|3,500</v>
      </c>
      <c r="S294" t="str">
        <f t="shared" si="281"/>
        <v>104,44|105,22|106,10|1,1594</v>
      </c>
      <c r="V294" t="str">
        <f t="shared" si="282"/>
        <v>104,88</v>
      </c>
      <c r="W294" t="str">
        <f t="shared" si="283"/>
        <v>105,43</v>
      </c>
      <c r="X294" t="str">
        <f t="shared" si="284"/>
        <v>106,20</v>
      </c>
      <c r="Y294" t="str">
        <f t="shared" si="285"/>
        <v>1,1275</v>
      </c>
      <c r="AB294" t="str">
        <f t="shared" si="286"/>
        <v>104,440</v>
      </c>
      <c r="AC294" t="str">
        <f t="shared" si="287"/>
        <v>105,220</v>
      </c>
      <c r="AD294" t="str">
        <f t="shared" si="288"/>
        <v>106,103</v>
      </c>
      <c r="AE294" t="str">
        <f t="shared" si="289"/>
        <v>3,500</v>
      </c>
      <c r="AG294" t="str">
        <f t="shared" si="290"/>
        <v>104,44</v>
      </c>
      <c r="AH294" t="str">
        <f t="shared" si="291"/>
        <v>105,22</v>
      </c>
      <c r="AI294" t="str">
        <f t="shared" si="292"/>
        <v>106,10</v>
      </c>
      <c r="AJ294" t="str">
        <f t="shared" si="293"/>
        <v>1,1594</v>
      </c>
    </row>
    <row r="295" spans="1:36" x14ac:dyDescent="0.25">
      <c r="A295" s="14">
        <v>47</v>
      </c>
      <c r="B295" s="15">
        <f>IF(关卡产出!C460="","",关卡产出!C460)</f>
        <v>90</v>
      </c>
      <c r="C295" s="15">
        <f>IF(关卡产出!D460="","",关卡产出!D460)</f>
        <v>45</v>
      </c>
      <c r="D295" s="15">
        <f>IF(关卡产出!E460="","",关卡产出!E460)</f>
        <v>20</v>
      </c>
      <c r="E295" s="15">
        <f>IF(关卡产出!F460="","",关卡产出!F460)</f>
        <v>1325</v>
      </c>
      <c r="F295" s="15">
        <f>IF(关卡产出!H460="","",关卡产出!H460)</f>
        <v>21750</v>
      </c>
      <c r="G295" s="15">
        <f>IF(关卡产出!J460="","",关卡产出!J460)</f>
        <v>43000</v>
      </c>
      <c r="H295" s="15">
        <f>IF(关卡产出!K460="","",关卡产出!K460)</f>
        <v>6</v>
      </c>
      <c r="I295" s="15">
        <f>IF(关卡产出!M460="","",关卡产出!M460)</f>
        <v>450</v>
      </c>
      <c r="J295" s="15">
        <f>IF(关卡产出!N460="","",关卡产出!N460)</f>
        <v>225</v>
      </c>
      <c r="K295" s="15">
        <f>IF(关卡产出!O460="","",关卡产出!O460)</f>
        <v>105</v>
      </c>
      <c r="L295" s="15">
        <f>IF(关卡产出!P460="","",关卡产出!P460)</f>
        <v>500</v>
      </c>
      <c r="N295" t="str">
        <f t="shared" si="279"/>
        <v>104,90|105,45|106,20|1,1325</v>
      </c>
      <c r="P295" t="str">
        <f t="shared" si="256"/>
        <v>11,1|1,21750</v>
      </c>
      <c r="Q295" t="str">
        <f t="shared" si="257"/>
        <v>163,1|1,43000|4,6</v>
      </c>
      <c r="R295" t="str">
        <f t="shared" si="280"/>
        <v>104,450|105,225|106,105|3,500</v>
      </c>
      <c r="S295" t="str">
        <f t="shared" si="281"/>
        <v>104,45|105,23|106,10|1,1657</v>
      </c>
      <c r="V295" t="str">
        <f t="shared" si="282"/>
        <v>104,90</v>
      </c>
      <c r="W295" t="str">
        <f t="shared" si="283"/>
        <v>105,45</v>
      </c>
      <c r="X295" t="str">
        <f t="shared" si="284"/>
        <v>106,20</v>
      </c>
      <c r="Y295" t="str">
        <f t="shared" si="285"/>
        <v>1,1325</v>
      </c>
      <c r="AB295" t="str">
        <f t="shared" si="286"/>
        <v>104,450</v>
      </c>
      <c r="AC295" t="str">
        <f t="shared" si="287"/>
        <v>105,225</v>
      </c>
      <c r="AD295" t="str">
        <f t="shared" si="288"/>
        <v>106,105</v>
      </c>
      <c r="AE295" t="str">
        <f t="shared" si="289"/>
        <v>3,500</v>
      </c>
      <c r="AG295" t="str">
        <f t="shared" si="290"/>
        <v>104,45</v>
      </c>
      <c r="AH295" t="str">
        <f t="shared" si="291"/>
        <v>105,23</v>
      </c>
      <c r="AI295" t="str">
        <f t="shared" si="292"/>
        <v>106,10</v>
      </c>
      <c r="AJ295" t="str">
        <f t="shared" si="293"/>
        <v>1,1657</v>
      </c>
    </row>
    <row r="296" spans="1:36" x14ac:dyDescent="0.25">
      <c r="A296" s="14">
        <v>48</v>
      </c>
      <c r="B296" s="15">
        <f>IF(关卡产出!C461="","",关卡产出!C461)</f>
        <v>93</v>
      </c>
      <c r="C296" s="15">
        <f>IF(关卡产出!D461="","",关卡产出!D461)</f>
        <v>45</v>
      </c>
      <c r="D296" s="15">
        <f>IF(关卡产出!E461="","",关卡产出!E461)</f>
        <v>23</v>
      </c>
      <c r="E296" s="15">
        <f>IF(关卡产出!F461="","",关卡产出!F461)</f>
        <v>1325</v>
      </c>
      <c r="F296" s="15">
        <f>IF(关卡产出!H461="","",关卡产出!H461)</f>
        <v>22250</v>
      </c>
      <c r="G296" s="15">
        <f>IF(关卡产出!J461="","",关卡产出!J461)</f>
        <v>44000</v>
      </c>
      <c r="H296" s="15">
        <f>IF(关卡产出!K461="","",关卡产出!K461)</f>
        <v>6</v>
      </c>
      <c r="I296" s="15">
        <f>IF(关卡产出!M461="","",关卡产出!M461)</f>
        <v>460</v>
      </c>
      <c r="J296" s="15">
        <f>IF(关卡产出!N461="","",关卡产出!N461)</f>
        <v>230</v>
      </c>
      <c r="K296" s="15">
        <f>IF(关卡产出!O461="","",关卡产出!O461)</f>
        <v>108</v>
      </c>
      <c r="L296" s="15">
        <f>IF(关卡产出!P461="","",关卡产出!P461)</f>
        <v>500</v>
      </c>
      <c r="N296" t="str">
        <f t="shared" si="279"/>
        <v>104,93|105,45|106,23|1,1325</v>
      </c>
      <c r="P296" t="str">
        <f t="shared" si="256"/>
        <v>11,1|1,22250</v>
      </c>
      <c r="Q296" t="str">
        <f t="shared" si="257"/>
        <v>163,1|1,44000|4,6</v>
      </c>
      <c r="R296" t="str">
        <f t="shared" si="280"/>
        <v>104,460|105,230|106,108|3,500</v>
      </c>
      <c r="S296" t="str">
        <f t="shared" si="281"/>
        <v>104,47|105,23|106,12|1,1657</v>
      </c>
      <c r="V296" t="str">
        <f t="shared" si="282"/>
        <v>104,93</v>
      </c>
      <c r="W296" t="str">
        <f t="shared" si="283"/>
        <v>105,45</v>
      </c>
      <c r="X296" t="str">
        <f t="shared" si="284"/>
        <v>106,23</v>
      </c>
      <c r="Y296" t="str">
        <f t="shared" si="285"/>
        <v>1,1325</v>
      </c>
      <c r="AB296" t="str">
        <f t="shared" si="286"/>
        <v>104,460</v>
      </c>
      <c r="AC296" t="str">
        <f t="shared" si="287"/>
        <v>105,230</v>
      </c>
      <c r="AD296" t="str">
        <f t="shared" si="288"/>
        <v>106,108</v>
      </c>
      <c r="AE296" t="str">
        <f t="shared" si="289"/>
        <v>3,500</v>
      </c>
      <c r="AG296" t="str">
        <f t="shared" si="290"/>
        <v>104,47</v>
      </c>
      <c r="AH296" t="str">
        <f t="shared" si="291"/>
        <v>105,23</v>
      </c>
      <c r="AI296" t="str">
        <f t="shared" si="292"/>
        <v>106,12</v>
      </c>
      <c r="AJ296" t="str">
        <f t="shared" si="293"/>
        <v>1,1657</v>
      </c>
    </row>
    <row r="297" spans="1:36" ht="13.5" customHeight="1" x14ac:dyDescent="0.25">
      <c r="A297" s="14">
        <v>49</v>
      </c>
      <c r="B297" s="15">
        <f>IF(关卡产出!C462="","",关卡产出!C462)</f>
        <v>95</v>
      </c>
      <c r="C297" s="15">
        <f>IF(关卡产出!D462="","",关卡产出!D462)</f>
        <v>48</v>
      </c>
      <c r="D297" s="15">
        <f>IF(关卡产出!E462="","",关卡产出!E462)</f>
        <v>23</v>
      </c>
      <c r="E297" s="15">
        <f>IF(关卡产出!F462="","",关卡产出!F462)</f>
        <v>1375</v>
      </c>
      <c r="F297" s="15">
        <f>IF(关卡产出!H462="","",关卡产出!H462)</f>
        <v>22750</v>
      </c>
      <c r="G297" s="15">
        <f>IF(关卡产出!J462="","",关卡产出!J462)</f>
        <v>45000</v>
      </c>
      <c r="H297" s="15">
        <f>IF(关卡产出!K462="","",关卡产出!K462)</f>
        <v>6</v>
      </c>
      <c r="I297" s="15">
        <f>IF(关卡产出!M462="","",关卡产出!M462)</f>
        <v>470</v>
      </c>
      <c r="J297" s="15">
        <f>IF(关卡产出!N462="","",关卡产出!N462)</f>
        <v>235</v>
      </c>
      <c r="K297" s="15">
        <f>IF(关卡产出!O462="","",关卡产出!O462)</f>
        <v>110</v>
      </c>
      <c r="L297" s="15">
        <f>IF(关卡产出!P462="","",关卡产出!P462)</f>
        <v>500</v>
      </c>
      <c r="N297" t="str">
        <f t="shared" si="279"/>
        <v>104,95|105,48|106,23|1,1375</v>
      </c>
      <c r="P297" t="str">
        <f t="shared" si="256"/>
        <v>11,1|1,22750</v>
      </c>
      <c r="Q297" t="str">
        <f t="shared" si="257"/>
        <v>163,1|1,45000|4,6</v>
      </c>
      <c r="R297" t="str">
        <f t="shared" si="280"/>
        <v>104,470|105,235|106,110|3,500</v>
      </c>
      <c r="S297" t="str">
        <f t="shared" si="281"/>
        <v>104,48|105,24|106,12|1,1719</v>
      </c>
      <c r="V297" t="str">
        <f t="shared" si="282"/>
        <v>104,95</v>
      </c>
      <c r="W297" t="str">
        <f t="shared" si="283"/>
        <v>105,48</v>
      </c>
      <c r="X297" t="str">
        <f t="shared" si="284"/>
        <v>106,23</v>
      </c>
      <c r="Y297" t="str">
        <f t="shared" si="285"/>
        <v>1,1375</v>
      </c>
      <c r="AB297" t="str">
        <f t="shared" si="286"/>
        <v>104,470</v>
      </c>
      <c r="AC297" t="str">
        <f t="shared" si="287"/>
        <v>105,235</v>
      </c>
      <c r="AD297" t="str">
        <f t="shared" si="288"/>
        <v>106,110</v>
      </c>
      <c r="AE297" t="str">
        <f t="shared" si="289"/>
        <v>3,500</v>
      </c>
      <c r="AG297" t="str">
        <f t="shared" si="290"/>
        <v>104,48</v>
      </c>
      <c r="AH297" t="str">
        <f t="shared" si="291"/>
        <v>105,24</v>
      </c>
      <c r="AI297" t="str">
        <f t="shared" si="292"/>
        <v>106,12</v>
      </c>
      <c r="AJ297" t="str">
        <f t="shared" si="293"/>
        <v>1,1719</v>
      </c>
    </row>
    <row r="298" spans="1:36" ht="13.5" customHeight="1" x14ac:dyDescent="0.25">
      <c r="A298" s="14">
        <v>50</v>
      </c>
      <c r="B298" s="15">
        <f>IF(关卡产出!C463="","",关卡产出!C463)</f>
        <v>95</v>
      </c>
      <c r="C298" s="15">
        <f>IF(关卡产出!D463="","",关卡产出!D463)</f>
        <v>48</v>
      </c>
      <c r="D298" s="15">
        <f>IF(关卡产出!E463="","",关卡产出!E463)</f>
        <v>23</v>
      </c>
      <c r="E298" s="15">
        <f>IF(关卡产出!F463="","",关卡产出!F463)</f>
        <v>1375</v>
      </c>
      <c r="F298" s="15">
        <f>IF(关卡产出!H463="","",关卡产出!H463)</f>
        <v>23250</v>
      </c>
      <c r="G298" s="15">
        <f>IF(关卡产出!J463="","",关卡产出!J463)</f>
        <v>46000</v>
      </c>
      <c r="H298" s="15">
        <f>IF(关卡产出!K463="","",关卡产出!K463)</f>
        <v>6</v>
      </c>
      <c r="I298" s="15">
        <f>IF(关卡产出!M463="","",关卡产出!M463)</f>
        <v>480</v>
      </c>
      <c r="J298" s="15">
        <f>IF(关卡产出!N463="","",关卡产出!N463)</f>
        <v>240</v>
      </c>
      <c r="K298" s="15">
        <f>IF(关卡产出!O463="","",关卡产出!O463)</f>
        <v>113</v>
      </c>
      <c r="L298" s="15">
        <f>IF(关卡产出!P463="","",关卡产出!P463)</f>
        <v>500</v>
      </c>
      <c r="N298" t="str">
        <f t="shared" ref="N298:N299" si="294">_xlfn.TEXTJOIN("|",TRUE,V298:Y298)</f>
        <v>104,95|105,48|106,23|1,1375</v>
      </c>
      <c r="P298" t="str">
        <f t="shared" si="256"/>
        <v>11,1|1,23250</v>
      </c>
      <c r="Q298" t="str">
        <f t="shared" si="257"/>
        <v>163,1|1,46000|4,6</v>
      </c>
      <c r="R298" t="str">
        <f t="shared" ref="R298:R299" si="295">_xlfn.TEXTJOIN("|",TRUE,AB298:AE298)</f>
        <v>104,480|105,240|106,113|3,500</v>
      </c>
      <c r="S298" t="str">
        <f t="shared" ref="S298:S299" si="296">_xlfn.TEXTJOIN("|",TRUE,AG298:AJ298)</f>
        <v>104,48|105,24|106,12|1,1719</v>
      </c>
      <c r="V298" t="str">
        <f t="shared" ref="V298:V299" si="297">IF(B298="","",B$1&amp;","&amp;B298)</f>
        <v>104,95</v>
      </c>
      <c r="W298" t="str">
        <f t="shared" ref="W298:W347" si="298">IF(C298="","",C$1&amp;","&amp;C298)</f>
        <v>105,48</v>
      </c>
      <c r="X298" t="str">
        <f t="shared" ref="X298:X347" si="299">IF(D298="","",D$1&amp;","&amp;D298)</f>
        <v>106,23</v>
      </c>
      <c r="Y298" t="str">
        <f t="shared" ref="Y298:Y347" si="300">IF(E298="","",E$1&amp;","&amp;E298)</f>
        <v>1,1375</v>
      </c>
      <c r="AB298" t="str">
        <f t="shared" ref="AB298:AB299" si="301">IF(I298="","",I$1&amp;","&amp;I298)</f>
        <v>104,480</v>
      </c>
      <c r="AC298" t="str">
        <f t="shared" ref="AC298:AC347" si="302">IF(J298="","",J$1&amp;","&amp;J298)</f>
        <v>105,240</v>
      </c>
      <c r="AD298" t="str">
        <f t="shared" ref="AD298:AD347" si="303">IF(K298="","",K$1&amp;","&amp;K298)</f>
        <v>106,113</v>
      </c>
      <c r="AE298" t="str">
        <f t="shared" ref="AE298:AE347" si="304">IF(L298="","",L$1&amp;","&amp;L298)</f>
        <v>3,500</v>
      </c>
      <c r="AG298" t="str">
        <f t="shared" ref="AG298:AG299" si="305">IF(B298="","",B$1&amp;","&amp;ROUNDUP(B298/2,0))</f>
        <v>104,48</v>
      </c>
      <c r="AH298" t="str">
        <f t="shared" ref="AH298:AH347" si="306">IF(C298="","",C$1&amp;","&amp;ROUNDUP(C298/2,0))</f>
        <v>105,24</v>
      </c>
      <c r="AI298" t="str">
        <f t="shared" ref="AI298:AI347" si="307">IF(D298="","",D$1&amp;","&amp;ROUNDUP(D298/2,0))</f>
        <v>106,12</v>
      </c>
      <c r="AJ298" t="str">
        <f t="shared" ref="AJ298:AJ299" si="308">IF(E298="","",E$1&amp;","&amp;ROUNDUP(E298/2*2.5,0))</f>
        <v>1,1719</v>
      </c>
    </row>
    <row r="299" spans="1:36" x14ac:dyDescent="0.25">
      <c r="A299" s="14">
        <v>51</v>
      </c>
      <c r="B299" s="15">
        <f>IF(关卡产出!C464="","",关卡产出!C464)</f>
        <v>98</v>
      </c>
      <c r="C299" s="15">
        <f>IF(关卡产出!D464="","",关卡产出!D464)</f>
        <v>48</v>
      </c>
      <c r="D299" s="15">
        <f>IF(关卡产出!E464="","",关卡产出!E464)</f>
        <v>23</v>
      </c>
      <c r="E299" s="15">
        <f>IF(关卡产出!F464="","",关卡产出!F464)</f>
        <v>1425</v>
      </c>
      <c r="F299" s="15">
        <f>IF(关卡产出!H464="","",关卡产出!H464)</f>
        <v>23750</v>
      </c>
      <c r="G299" s="15">
        <f>IF(关卡产出!J464="","",关卡产出!J464)</f>
        <v>47000</v>
      </c>
      <c r="H299" s="15">
        <f>IF(关卡产出!K464="","",关卡产出!K464)</f>
        <v>6</v>
      </c>
      <c r="I299" s="15">
        <f>IF(关卡产出!M464="","",关卡产出!M464)</f>
        <v>490</v>
      </c>
      <c r="J299" s="15">
        <f>IF(关卡产出!N464="","",关卡产出!N464)</f>
        <v>245</v>
      </c>
      <c r="K299" s="15">
        <f>IF(关卡产出!O464="","",关卡产出!O464)</f>
        <v>115</v>
      </c>
      <c r="L299" s="15">
        <f>IF(关卡产出!P464="","",关卡产出!P464)</f>
        <v>500</v>
      </c>
      <c r="N299" t="str">
        <f t="shared" si="294"/>
        <v>104,98|105,48|106,23|1,1425</v>
      </c>
      <c r="P299" t="str">
        <f t="shared" si="256"/>
        <v>11,1|1,23750</v>
      </c>
      <c r="Q299" t="str">
        <f t="shared" si="257"/>
        <v>163,1|1,47000|4,6</v>
      </c>
      <c r="R299" t="str">
        <f t="shared" si="295"/>
        <v>104,490|105,245|106,115|3,500</v>
      </c>
      <c r="S299" t="str">
        <f t="shared" si="296"/>
        <v>104,49|105,24|106,12|1,1782</v>
      </c>
      <c r="V299" t="str">
        <f t="shared" si="297"/>
        <v>104,98</v>
      </c>
      <c r="W299" t="str">
        <f t="shared" si="298"/>
        <v>105,48</v>
      </c>
      <c r="X299" t="str">
        <f t="shared" si="299"/>
        <v>106,23</v>
      </c>
      <c r="Y299" t="str">
        <f t="shared" si="300"/>
        <v>1,1425</v>
      </c>
      <c r="AB299" t="str">
        <f t="shared" si="301"/>
        <v>104,490</v>
      </c>
      <c r="AC299" t="str">
        <f t="shared" si="302"/>
        <v>105,245</v>
      </c>
      <c r="AD299" t="str">
        <f t="shared" si="303"/>
        <v>106,115</v>
      </c>
      <c r="AE299" t="str">
        <f t="shared" si="304"/>
        <v>3,500</v>
      </c>
      <c r="AG299" t="str">
        <f t="shared" si="305"/>
        <v>104,49</v>
      </c>
      <c r="AH299" t="str">
        <f t="shared" si="306"/>
        <v>105,24</v>
      </c>
      <c r="AI299" t="str">
        <f t="shared" si="307"/>
        <v>106,12</v>
      </c>
      <c r="AJ299" t="str">
        <f t="shared" si="308"/>
        <v>1,1782</v>
      </c>
    </row>
    <row r="300" spans="1:36" x14ac:dyDescent="0.25">
      <c r="A300" s="14">
        <v>52</v>
      </c>
      <c r="B300" s="15">
        <f>IF(关卡产出!C465="","",关卡产出!C465)</f>
        <v>100</v>
      </c>
      <c r="C300" s="15">
        <f>IF(关卡产出!D465="","",关卡产出!D465)</f>
        <v>50</v>
      </c>
      <c r="D300" s="15">
        <f>IF(关卡产出!E465="","",关卡产出!E465)</f>
        <v>23</v>
      </c>
      <c r="E300" s="15">
        <f>IF(关卡产出!F465="","",关卡产出!F465)</f>
        <v>1425</v>
      </c>
      <c r="F300" s="15">
        <f>IF(关卡产出!H465="","",关卡产出!H465)</f>
        <v>24250</v>
      </c>
      <c r="G300" s="15">
        <f>IF(关卡产出!J465="","",关卡产出!J465)</f>
        <v>48000</v>
      </c>
      <c r="H300" s="15">
        <f>IF(关卡产出!K465="","",关卡产出!K465)</f>
        <v>6</v>
      </c>
      <c r="I300" s="15">
        <f>IF(关卡产出!M465="","",关卡产出!M465)</f>
        <v>500</v>
      </c>
      <c r="J300" s="15">
        <f>IF(关卡产出!N465="","",关卡产出!N465)</f>
        <v>250</v>
      </c>
      <c r="K300" s="15">
        <f>IF(关卡产出!O465="","",关卡产出!O465)</f>
        <v>118</v>
      </c>
      <c r="L300" s="15">
        <f>IF(关卡产出!P465="","",关卡产出!P465)</f>
        <v>500</v>
      </c>
      <c r="N300" t="str">
        <f t="shared" ref="N300:N318" si="309">_xlfn.TEXTJOIN("|",TRUE,V300:Y300)</f>
        <v>104,100|105,50|106,23|1,1425</v>
      </c>
      <c r="P300" t="str">
        <f t="shared" si="256"/>
        <v>11,1|1,24250</v>
      </c>
      <c r="Q300" t="str">
        <f t="shared" si="257"/>
        <v>163,1|1,48000|4,6</v>
      </c>
      <c r="R300" t="str">
        <f t="shared" ref="R300:R318" si="310">_xlfn.TEXTJOIN("|",TRUE,AB300:AE300)</f>
        <v>104,500|105,250|106,118|3,500</v>
      </c>
      <c r="S300" t="str">
        <f t="shared" ref="S300:S318" si="311">_xlfn.TEXTJOIN("|",TRUE,AG300:AJ300)</f>
        <v>104,50|105,25|106,12|1,1782</v>
      </c>
      <c r="V300" t="str">
        <f t="shared" ref="V300:V318" si="312">IF(B300="","",B$1&amp;","&amp;B300)</f>
        <v>104,100</v>
      </c>
      <c r="W300" t="str">
        <f t="shared" si="298"/>
        <v>105,50</v>
      </c>
      <c r="X300" t="str">
        <f t="shared" si="299"/>
        <v>106,23</v>
      </c>
      <c r="Y300" t="str">
        <f t="shared" si="300"/>
        <v>1,1425</v>
      </c>
      <c r="AB300" t="str">
        <f t="shared" ref="AB300:AB318" si="313">IF(I300="","",I$1&amp;","&amp;I300)</f>
        <v>104,500</v>
      </c>
      <c r="AC300" t="str">
        <f t="shared" si="302"/>
        <v>105,250</v>
      </c>
      <c r="AD300" t="str">
        <f t="shared" si="303"/>
        <v>106,118</v>
      </c>
      <c r="AE300" t="str">
        <f t="shared" si="304"/>
        <v>3,500</v>
      </c>
      <c r="AG300" t="str">
        <f t="shared" ref="AG300:AG318" si="314">IF(B300="","",B$1&amp;","&amp;ROUNDUP(B300/2,0))</f>
        <v>104,50</v>
      </c>
      <c r="AH300" t="str">
        <f t="shared" si="306"/>
        <v>105,25</v>
      </c>
      <c r="AI300" t="str">
        <f t="shared" si="307"/>
        <v>106,12</v>
      </c>
      <c r="AJ300" t="str">
        <f t="shared" ref="AJ300:AJ318" si="315">IF(E300="","",E$1&amp;","&amp;ROUNDUP(E300/2*2.5,0))</f>
        <v>1,1782</v>
      </c>
    </row>
    <row r="301" spans="1:36" x14ac:dyDescent="0.25">
      <c r="A301" s="14">
        <v>53</v>
      </c>
      <c r="B301" s="15">
        <f>IF(关卡产出!C466="","",关卡产出!C466)</f>
        <v>103</v>
      </c>
      <c r="C301" s="15">
        <f>IF(关卡产出!D466="","",关卡产出!D466)</f>
        <v>50</v>
      </c>
      <c r="D301" s="15">
        <f>IF(关卡产出!E466="","",关卡产出!E466)</f>
        <v>25</v>
      </c>
      <c r="E301" s="15">
        <f>IF(关卡产出!F466="","",关卡产出!F466)</f>
        <v>1475</v>
      </c>
      <c r="F301" s="15">
        <f>IF(关卡产出!H466="","",关卡产出!H466)</f>
        <v>24750</v>
      </c>
      <c r="G301" s="15">
        <f>IF(关卡产出!J466="","",关卡产出!J466)</f>
        <v>49000</v>
      </c>
      <c r="H301" s="15">
        <f>IF(关卡产出!K466="","",关卡产出!K466)</f>
        <v>6</v>
      </c>
      <c r="I301" s="15">
        <f>IF(关卡产出!M466="","",关卡产出!M466)</f>
        <v>510</v>
      </c>
      <c r="J301" s="15">
        <f>IF(关卡产出!N466="","",关卡产出!N466)</f>
        <v>255</v>
      </c>
      <c r="K301" s="15">
        <f>IF(关卡产出!O466="","",关卡产出!O466)</f>
        <v>120</v>
      </c>
      <c r="L301" s="15">
        <f>IF(关卡产出!P466="","",关卡产出!P466)</f>
        <v>500</v>
      </c>
      <c r="N301" t="str">
        <f t="shared" si="309"/>
        <v>104,103|105,50|106,25|1,1475</v>
      </c>
      <c r="P301" t="str">
        <f t="shared" si="256"/>
        <v>11,1|1,24750</v>
      </c>
      <c r="Q301" t="str">
        <f t="shared" si="257"/>
        <v>163,1|1,49000|4,6</v>
      </c>
      <c r="R301" t="str">
        <f t="shared" si="310"/>
        <v>104,510|105,255|106,120|3,500</v>
      </c>
      <c r="S301" t="str">
        <f t="shared" si="311"/>
        <v>104,52|105,25|106,13|1,1844</v>
      </c>
      <c r="V301" t="str">
        <f t="shared" si="312"/>
        <v>104,103</v>
      </c>
      <c r="W301" t="str">
        <f t="shared" si="298"/>
        <v>105,50</v>
      </c>
      <c r="X301" t="str">
        <f t="shared" si="299"/>
        <v>106,25</v>
      </c>
      <c r="Y301" t="str">
        <f t="shared" si="300"/>
        <v>1,1475</v>
      </c>
      <c r="AB301" t="str">
        <f t="shared" si="313"/>
        <v>104,510</v>
      </c>
      <c r="AC301" t="str">
        <f t="shared" si="302"/>
        <v>105,255</v>
      </c>
      <c r="AD301" t="str">
        <f t="shared" si="303"/>
        <v>106,120</v>
      </c>
      <c r="AE301" t="str">
        <f t="shared" si="304"/>
        <v>3,500</v>
      </c>
      <c r="AG301" t="str">
        <f t="shared" si="314"/>
        <v>104,52</v>
      </c>
      <c r="AH301" t="str">
        <f t="shared" si="306"/>
        <v>105,25</v>
      </c>
      <c r="AI301" t="str">
        <f t="shared" si="307"/>
        <v>106,13</v>
      </c>
      <c r="AJ301" t="str">
        <f t="shared" si="315"/>
        <v>1,1844</v>
      </c>
    </row>
    <row r="302" spans="1:36" x14ac:dyDescent="0.25">
      <c r="A302" s="14">
        <v>54</v>
      </c>
      <c r="B302" s="15">
        <f>IF(关卡产出!C467="","",关卡产出!C467)</f>
        <v>105</v>
      </c>
      <c r="C302" s="15">
        <f>IF(关卡产出!D467="","",关卡产出!D467)</f>
        <v>53</v>
      </c>
      <c r="D302" s="15">
        <f>IF(关卡产出!E467="","",关卡产出!E467)</f>
        <v>25</v>
      </c>
      <c r="E302" s="15">
        <f>IF(关卡产出!F467="","",关卡产出!F467)</f>
        <v>1475</v>
      </c>
      <c r="F302" s="15">
        <f>IF(关卡产出!H467="","",关卡产出!H467)</f>
        <v>25250</v>
      </c>
      <c r="G302" s="15">
        <f>IF(关卡产出!J467="","",关卡产出!J467)</f>
        <v>50000</v>
      </c>
      <c r="H302" s="15">
        <f>IF(关卡产出!K467="","",关卡产出!K467)</f>
        <v>6</v>
      </c>
      <c r="I302" s="15">
        <f>IF(关卡产出!M467="","",关卡产出!M467)</f>
        <v>520</v>
      </c>
      <c r="J302" s="15">
        <f>IF(关卡产出!N467="","",关卡产出!N467)</f>
        <v>260</v>
      </c>
      <c r="K302" s="15">
        <f>IF(关卡产出!O467="","",关卡产出!O467)</f>
        <v>123</v>
      </c>
      <c r="L302" s="15">
        <f>IF(关卡产出!P467="","",关卡产出!P467)</f>
        <v>500</v>
      </c>
      <c r="N302" t="str">
        <f t="shared" si="309"/>
        <v>104,105|105,53|106,25|1,1475</v>
      </c>
      <c r="P302" t="str">
        <f t="shared" si="256"/>
        <v>11,1|1,25250</v>
      </c>
      <c r="Q302" t="str">
        <f t="shared" si="257"/>
        <v>163,1|1,50000|4,6</v>
      </c>
      <c r="R302" t="str">
        <f t="shared" si="310"/>
        <v>104,520|105,260|106,123|3,500</v>
      </c>
      <c r="S302" t="str">
        <f t="shared" si="311"/>
        <v>104,53|105,27|106,13|1,1844</v>
      </c>
      <c r="V302" t="str">
        <f t="shared" si="312"/>
        <v>104,105</v>
      </c>
      <c r="W302" t="str">
        <f t="shared" si="298"/>
        <v>105,53</v>
      </c>
      <c r="X302" t="str">
        <f t="shared" si="299"/>
        <v>106,25</v>
      </c>
      <c r="Y302" t="str">
        <f t="shared" si="300"/>
        <v>1,1475</v>
      </c>
      <c r="AB302" t="str">
        <f t="shared" si="313"/>
        <v>104,520</v>
      </c>
      <c r="AC302" t="str">
        <f t="shared" si="302"/>
        <v>105,260</v>
      </c>
      <c r="AD302" t="str">
        <f t="shared" si="303"/>
        <v>106,123</v>
      </c>
      <c r="AE302" t="str">
        <f t="shared" si="304"/>
        <v>3,500</v>
      </c>
      <c r="AG302" t="str">
        <f t="shared" si="314"/>
        <v>104,53</v>
      </c>
      <c r="AH302" t="str">
        <f t="shared" si="306"/>
        <v>105,27</v>
      </c>
      <c r="AI302" t="str">
        <f t="shared" si="307"/>
        <v>106,13</v>
      </c>
      <c r="AJ302" t="str">
        <f t="shared" si="315"/>
        <v>1,1844</v>
      </c>
    </row>
    <row r="303" spans="1:36" x14ac:dyDescent="0.25">
      <c r="A303" s="14">
        <v>55</v>
      </c>
      <c r="B303" s="15">
        <f>IF(关卡产出!C468="","",关卡产出!C468)</f>
        <v>105</v>
      </c>
      <c r="C303" s="15">
        <f>IF(关卡产出!D468="","",关卡产出!D468)</f>
        <v>53</v>
      </c>
      <c r="D303" s="15">
        <f>IF(关卡产出!E468="","",关卡产出!E468)</f>
        <v>25</v>
      </c>
      <c r="E303" s="15">
        <f>IF(关卡产出!F468="","",关卡产出!F468)</f>
        <v>1525</v>
      </c>
      <c r="F303" s="15">
        <f>IF(关卡产出!H468="","",关卡产出!H468)</f>
        <v>25750</v>
      </c>
      <c r="G303" s="15">
        <f>IF(关卡产出!J468="","",关卡产出!J468)</f>
        <v>51000</v>
      </c>
      <c r="H303" s="15">
        <f>IF(关卡产出!K468="","",关卡产出!K468)</f>
        <v>6</v>
      </c>
      <c r="I303" s="15">
        <f>IF(关卡产出!M468="","",关卡产出!M468)</f>
        <v>530</v>
      </c>
      <c r="J303" s="15">
        <f>IF(关卡产出!N468="","",关卡产出!N468)</f>
        <v>265</v>
      </c>
      <c r="K303" s="15">
        <f>IF(关卡产出!O468="","",关卡产出!O468)</f>
        <v>125</v>
      </c>
      <c r="L303" s="15">
        <f>IF(关卡产出!P468="","",关卡产出!P468)</f>
        <v>500</v>
      </c>
      <c r="N303" t="str">
        <f t="shared" si="309"/>
        <v>104,105|105,53|106,25|1,1525</v>
      </c>
      <c r="P303" t="str">
        <f t="shared" si="256"/>
        <v>11,1|1,25750</v>
      </c>
      <c r="Q303" t="str">
        <f t="shared" si="257"/>
        <v>163,1|1,51000|4,6</v>
      </c>
      <c r="R303" t="str">
        <f t="shared" si="310"/>
        <v>104,530|105,265|106,125|3,500</v>
      </c>
      <c r="S303" t="str">
        <f t="shared" si="311"/>
        <v>104,53|105,27|106,13|1,1907</v>
      </c>
      <c r="V303" t="str">
        <f t="shared" si="312"/>
        <v>104,105</v>
      </c>
      <c r="W303" t="str">
        <f t="shared" si="298"/>
        <v>105,53</v>
      </c>
      <c r="X303" t="str">
        <f t="shared" si="299"/>
        <v>106,25</v>
      </c>
      <c r="Y303" t="str">
        <f t="shared" si="300"/>
        <v>1,1525</v>
      </c>
      <c r="AB303" t="str">
        <f t="shared" si="313"/>
        <v>104,530</v>
      </c>
      <c r="AC303" t="str">
        <f t="shared" si="302"/>
        <v>105,265</v>
      </c>
      <c r="AD303" t="str">
        <f t="shared" si="303"/>
        <v>106,125</v>
      </c>
      <c r="AE303" t="str">
        <f t="shared" si="304"/>
        <v>3,500</v>
      </c>
      <c r="AG303" t="str">
        <f t="shared" si="314"/>
        <v>104,53</v>
      </c>
      <c r="AH303" t="str">
        <f t="shared" si="306"/>
        <v>105,27</v>
      </c>
      <c r="AI303" t="str">
        <f t="shared" si="307"/>
        <v>106,13</v>
      </c>
      <c r="AJ303" t="str">
        <f t="shared" si="315"/>
        <v>1,1907</v>
      </c>
    </row>
    <row r="304" spans="1:36" x14ac:dyDescent="0.25">
      <c r="A304" s="14">
        <v>56</v>
      </c>
      <c r="B304" s="15">
        <f>IF(关卡产出!C469="","",关卡产出!C469)</f>
        <v>108</v>
      </c>
      <c r="C304" s="15">
        <f>IF(关卡产出!D469="","",关卡产出!D469)</f>
        <v>53</v>
      </c>
      <c r="D304" s="15">
        <f>IF(关卡产出!E469="","",关卡产出!E469)</f>
        <v>25</v>
      </c>
      <c r="E304" s="15">
        <f>IF(关卡产出!F469="","",关卡产出!F469)</f>
        <v>1525</v>
      </c>
      <c r="F304" s="15">
        <f>IF(关卡产出!H469="","",关卡产出!H469)</f>
        <v>26250</v>
      </c>
      <c r="G304" s="15">
        <f>IF(关卡产出!J469="","",关卡产出!J469)</f>
        <v>52000</v>
      </c>
      <c r="H304" s="15">
        <f>IF(关卡产出!K469="","",关卡产出!K469)</f>
        <v>6</v>
      </c>
      <c r="I304" s="15">
        <f>IF(关卡产出!M469="","",关卡产出!M469)</f>
        <v>540</v>
      </c>
      <c r="J304" s="15">
        <f>IF(关卡产出!N469="","",关卡产出!N469)</f>
        <v>270</v>
      </c>
      <c r="K304" s="15">
        <f>IF(关卡产出!O469="","",关卡产出!O469)</f>
        <v>128</v>
      </c>
      <c r="L304" s="15">
        <f>IF(关卡产出!P469="","",关卡产出!P469)</f>
        <v>500</v>
      </c>
      <c r="N304" t="str">
        <f t="shared" si="309"/>
        <v>104,108|105,53|106,25|1,1525</v>
      </c>
      <c r="P304" t="str">
        <f t="shared" si="256"/>
        <v>11,1|1,26250</v>
      </c>
      <c r="Q304" t="str">
        <f t="shared" si="257"/>
        <v>163,1|1,52000|4,6</v>
      </c>
      <c r="R304" t="str">
        <f t="shared" si="310"/>
        <v>104,540|105,270|106,128|3,500</v>
      </c>
      <c r="S304" t="str">
        <f t="shared" si="311"/>
        <v>104,54|105,27|106,13|1,1907</v>
      </c>
      <c r="V304" t="str">
        <f t="shared" si="312"/>
        <v>104,108</v>
      </c>
      <c r="W304" t="str">
        <f t="shared" si="298"/>
        <v>105,53</v>
      </c>
      <c r="X304" t="str">
        <f t="shared" si="299"/>
        <v>106,25</v>
      </c>
      <c r="Y304" t="str">
        <f t="shared" si="300"/>
        <v>1,1525</v>
      </c>
      <c r="AB304" t="str">
        <f t="shared" si="313"/>
        <v>104,540</v>
      </c>
      <c r="AC304" t="str">
        <f t="shared" si="302"/>
        <v>105,270</v>
      </c>
      <c r="AD304" t="str">
        <f t="shared" si="303"/>
        <v>106,128</v>
      </c>
      <c r="AE304" t="str">
        <f t="shared" si="304"/>
        <v>3,500</v>
      </c>
      <c r="AG304" t="str">
        <f t="shared" si="314"/>
        <v>104,54</v>
      </c>
      <c r="AH304" t="str">
        <f t="shared" si="306"/>
        <v>105,27</v>
      </c>
      <c r="AI304" t="str">
        <f t="shared" si="307"/>
        <v>106,13</v>
      </c>
      <c r="AJ304" t="str">
        <f t="shared" si="315"/>
        <v>1,1907</v>
      </c>
    </row>
    <row r="305" spans="1:36" x14ac:dyDescent="0.25">
      <c r="A305" s="14">
        <v>57</v>
      </c>
      <c r="B305" s="15">
        <f>IF(关卡产出!C470="","",关卡产出!C470)</f>
        <v>110</v>
      </c>
      <c r="C305" s="15">
        <f>IF(关卡产出!D470="","",关卡产出!D470)</f>
        <v>55</v>
      </c>
      <c r="D305" s="15">
        <f>IF(关卡产出!E470="","",关卡产出!E470)</f>
        <v>25</v>
      </c>
      <c r="E305" s="15">
        <f>IF(关卡产出!F470="","",关卡产出!F470)</f>
        <v>1575</v>
      </c>
      <c r="F305" s="15">
        <f>IF(关卡产出!H470="","",关卡产出!H470)</f>
        <v>26750</v>
      </c>
      <c r="G305" s="15">
        <f>IF(关卡产出!J470="","",关卡产出!J470)</f>
        <v>53000</v>
      </c>
      <c r="H305" s="15">
        <f>IF(关卡产出!K470="","",关卡产出!K470)</f>
        <v>6</v>
      </c>
      <c r="I305" s="15">
        <f>IF(关卡产出!M470="","",关卡产出!M470)</f>
        <v>550</v>
      </c>
      <c r="J305" s="15">
        <f>IF(关卡产出!N470="","",关卡产出!N470)</f>
        <v>275</v>
      </c>
      <c r="K305" s="15">
        <f>IF(关卡产出!O470="","",关卡产出!O470)</f>
        <v>130</v>
      </c>
      <c r="L305" s="15">
        <f>IF(关卡产出!P470="","",关卡产出!P470)</f>
        <v>500</v>
      </c>
      <c r="N305" t="str">
        <f t="shared" si="309"/>
        <v>104,110|105,55|106,25|1,1575</v>
      </c>
      <c r="P305" t="str">
        <f t="shared" si="256"/>
        <v>11,1|1,26750</v>
      </c>
      <c r="Q305" t="str">
        <f t="shared" si="257"/>
        <v>163,1|1,53000|4,6</v>
      </c>
      <c r="R305" t="str">
        <f t="shared" si="310"/>
        <v>104,550|105,275|106,130|3,500</v>
      </c>
      <c r="S305" t="str">
        <f t="shared" si="311"/>
        <v>104,55|105,28|106,13|1,1969</v>
      </c>
      <c r="V305" t="str">
        <f t="shared" si="312"/>
        <v>104,110</v>
      </c>
      <c r="W305" t="str">
        <f t="shared" si="298"/>
        <v>105,55</v>
      </c>
      <c r="X305" t="str">
        <f t="shared" si="299"/>
        <v>106,25</v>
      </c>
      <c r="Y305" t="str">
        <f t="shared" si="300"/>
        <v>1,1575</v>
      </c>
      <c r="AB305" t="str">
        <f t="shared" si="313"/>
        <v>104,550</v>
      </c>
      <c r="AC305" t="str">
        <f t="shared" si="302"/>
        <v>105,275</v>
      </c>
      <c r="AD305" t="str">
        <f t="shared" si="303"/>
        <v>106,130</v>
      </c>
      <c r="AE305" t="str">
        <f t="shared" si="304"/>
        <v>3,500</v>
      </c>
      <c r="AG305" t="str">
        <f t="shared" si="314"/>
        <v>104,55</v>
      </c>
      <c r="AH305" t="str">
        <f t="shared" si="306"/>
        <v>105,28</v>
      </c>
      <c r="AI305" t="str">
        <f t="shared" si="307"/>
        <v>106,13</v>
      </c>
      <c r="AJ305" t="str">
        <f t="shared" si="315"/>
        <v>1,1969</v>
      </c>
    </row>
    <row r="306" spans="1:36" x14ac:dyDescent="0.25">
      <c r="A306" s="14">
        <v>58</v>
      </c>
      <c r="B306" s="15">
        <f>IF(关卡产出!C471="","",关卡产出!C471)</f>
        <v>113</v>
      </c>
      <c r="C306" s="15">
        <f>IF(关卡产出!D471="","",关卡产出!D471)</f>
        <v>55</v>
      </c>
      <c r="D306" s="15">
        <f>IF(关卡产出!E471="","",关卡产出!E471)</f>
        <v>28</v>
      </c>
      <c r="E306" s="15">
        <f>IF(关卡产出!F471="","",关卡产出!F471)</f>
        <v>1575</v>
      </c>
      <c r="F306" s="15">
        <f>IF(关卡产出!H471="","",关卡产出!H471)</f>
        <v>27250</v>
      </c>
      <c r="G306" s="15">
        <f>IF(关卡产出!J471="","",关卡产出!J471)</f>
        <v>54000</v>
      </c>
      <c r="H306" s="15">
        <f>IF(关卡产出!K471="","",关卡产出!K471)</f>
        <v>6</v>
      </c>
      <c r="I306" s="15">
        <f>IF(关卡产出!M471="","",关卡产出!M471)</f>
        <v>560</v>
      </c>
      <c r="J306" s="15">
        <f>IF(关卡产出!N471="","",关卡产出!N471)</f>
        <v>280</v>
      </c>
      <c r="K306" s="15">
        <f>IF(关卡产出!O471="","",关卡产出!O471)</f>
        <v>133</v>
      </c>
      <c r="L306" s="15">
        <f>IF(关卡产出!P471="","",关卡产出!P471)</f>
        <v>500</v>
      </c>
      <c r="N306" t="str">
        <f t="shared" si="309"/>
        <v>104,113|105,55|106,28|1,1575</v>
      </c>
      <c r="P306" t="str">
        <f t="shared" si="256"/>
        <v>11,1|1,27250</v>
      </c>
      <c r="Q306" t="str">
        <f t="shared" si="257"/>
        <v>163,1|1,54000|4,6</v>
      </c>
      <c r="R306" t="str">
        <f t="shared" si="310"/>
        <v>104,560|105,280|106,133|3,500</v>
      </c>
      <c r="S306" t="str">
        <f t="shared" si="311"/>
        <v>104,57|105,28|106,14|1,1969</v>
      </c>
      <c r="V306" t="str">
        <f t="shared" si="312"/>
        <v>104,113</v>
      </c>
      <c r="W306" t="str">
        <f t="shared" si="298"/>
        <v>105,55</v>
      </c>
      <c r="X306" t="str">
        <f t="shared" si="299"/>
        <v>106,28</v>
      </c>
      <c r="Y306" t="str">
        <f t="shared" si="300"/>
        <v>1,1575</v>
      </c>
      <c r="AB306" t="str">
        <f t="shared" si="313"/>
        <v>104,560</v>
      </c>
      <c r="AC306" t="str">
        <f t="shared" si="302"/>
        <v>105,280</v>
      </c>
      <c r="AD306" t="str">
        <f t="shared" si="303"/>
        <v>106,133</v>
      </c>
      <c r="AE306" t="str">
        <f t="shared" si="304"/>
        <v>3,500</v>
      </c>
      <c r="AG306" t="str">
        <f t="shared" si="314"/>
        <v>104,57</v>
      </c>
      <c r="AH306" t="str">
        <f t="shared" si="306"/>
        <v>105,28</v>
      </c>
      <c r="AI306" t="str">
        <f t="shared" si="307"/>
        <v>106,14</v>
      </c>
      <c r="AJ306" t="str">
        <f t="shared" si="315"/>
        <v>1,1969</v>
      </c>
    </row>
    <row r="307" spans="1:36" x14ac:dyDescent="0.25">
      <c r="A307" s="14">
        <v>59</v>
      </c>
      <c r="B307" s="15">
        <f>IF(关卡产出!C472="","",关卡产出!C472)</f>
        <v>115</v>
      </c>
      <c r="C307" s="15">
        <f>IF(关卡产出!D472="","",关卡产出!D472)</f>
        <v>58</v>
      </c>
      <c r="D307" s="15">
        <f>IF(关卡产出!E472="","",关卡产出!E472)</f>
        <v>28</v>
      </c>
      <c r="E307" s="15">
        <f>IF(关卡产出!F472="","",关卡产出!F472)</f>
        <v>1625</v>
      </c>
      <c r="F307" s="15">
        <f>IF(关卡产出!H472="","",关卡产出!H472)</f>
        <v>27750</v>
      </c>
      <c r="G307" s="15">
        <f>IF(关卡产出!J472="","",关卡产出!J472)</f>
        <v>55000</v>
      </c>
      <c r="H307" s="15">
        <f>IF(关卡产出!K472="","",关卡产出!K472)</f>
        <v>6</v>
      </c>
      <c r="I307" s="15">
        <f>IF(关卡产出!M472="","",关卡产出!M472)</f>
        <v>570</v>
      </c>
      <c r="J307" s="15">
        <f>IF(关卡产出!N472="","",关卡产出!N472)</f>
        <v>285</v>
      </c>
      <c r="K307" s="15">
        <f>IF(关卡产出!O472="","",关卡产出!O472)</f>
        <v>135</v>
      </c>
      <c r="L307" s="15">
        <f>IF(关卡产出!P472="","",关卡产出!P472)</f>
        <v>500</v>
      </c>
      <c r="N307" t="str">
        <f t="shared" si="309"/>
        <v>104,115|105,58|106,28|1,1625</v>
      </c>
      <c r="P307" t="str">
        <f t="shared" si="256"/>
        <v>11,1|1,27750</v>
      </c>
      <c r="Q307" t="str">
        <f t="shared" si="257"/>
        <v>163,1|1,55000|4,6</v>
      </c>
      <c r="R307" t="str">
        <f t="shared" si="310"/>
        <v>104,570|105,285|106,135|3,500</v>
      </c>
      <c r="S307" t="str">
        <f t="shared" si="311"/>
        <v>104,58|105,29|106,14|1,2032</v>
      </c>
      <c r="V307" t="str">
        <f t="shared" si="312"/>
        <v>104,115</v>
      </c>
      <c r="W307" t="str">
        <f t="shared" si="298"/>
        <v>105,58</v>
      </c>
      <c r="X307" t="str">
        <f t="shared" si="299"/>
        <v>106,28</v>
      </c>
      <c r="Y307" t="str">
        <f t="shared" si="300"/>
        <v>1,1625</v>
      </c>
      <c r="AB307" t="str">
        <f t="shared" si="313"/>
        <v>104,570</v>
      </c>
      <c r="AC307" t="str">
        <f t="shared" si="302"/>
        <v>105,285</v>
      </c>
      <c r="AD307" t="str">
        <f t="shared" si="303"/>
        <v>106,135</v>
      </c>
      <c r="AE307" t="str">
        <f t="shared" si="304"/>
        <v>3,500</v>
      </c>
      <c r="AG307" t="str">
        <f t="shared" si="314"/>
        <v>104,58</v>
      </c>
      <c r="AH307" t="str">
        <f t="shared" si="306"/>
        <v>105,29</v>
      </c>
      <c r="AI307" t="str">
        <f t="shared" si="307"/>
        <v>106,14</v>
      </c>
      <c r="AJ307" t="str">
        <f t="shared" si="315"/>
        <v>1,2032</v>
      </c>
    </row>
    <row r="308" spans="1:36" x14ac:dyDescent="0.25">
      <c r="A308" s="14">
        <v>60</v>
      </c>
      <c r="B308" s="15">
        <f>IF(关卡产出!C473="","",关卡产出!C473)</f>
        <v>115</v>
      </c>
      <c r="C308" s="15">
        <f>IF(关卡产出!D473="","",关卡产出!D473)</f>
        <v>58</v>
      </c>
      <c r="D308" s="15">
        <f>IF(关卡产出!E473="","",关卡产出!E473)</f>
        <v>28</v>
      </c>
      <c r="E308" s="15">
        <f>IF(关卡产出!F473="","",关卡产出!F473)</f>
        <v>1625</v>
      </c>
      <c r="F308" s="15">
        <f>IF(关卡产出!H473="","",关卡产出!H473)</f>
        <v>28250</v>
      </c>
      <c r="G308" s="15">
        <f>IF(关卡产出!J473="","",关卡产出!J473)</f>
        <v>56000</v>
      </c>
      <c r="H308" s="15">
        <f>IF(关卡产出!K473="","",关卡产出!K473)</f>
        <v>6</v>
      </c>
      <c r="I308" s="15">
        <f>IF(关卡产出!M473="","",关卡产出!M473)</f>
        <v>580</v>
      </c>
      <c r="J308" s="15">
        <f>IF(关卡产出!N473="","",关卡产出!N473)</f>
        <v>290</v>
      </c>
      <c r="K308" s="15">
        <f>IF(关卡产出!O473="","",关卡产出!O473)</f>
        <v>138</v>
      </c>
      <c r="L308" s="15">
        <f>IF(关卡产出!P473="","",关卡产出!P473)</f>
        <v>500</v>
      </c>
      <c r="N308" t="str">
        <f t="shared" si="309"/>
        <v>104,115|105,58|106,28|1,1625</v>
      </c>
      <c r="P308" t="str">
        <f t="shared" si="256"/>
        <v>11,1|1,28250</v>
      </c>
      <c r="Q308" t="str">
        <f t="shared" si="257"/>
        <v>163,1|1,56000|4,6</v>
      </c>
      <c r="R308" t="str">
        <f t="shared" si="310"/>
        <v>104,580|105,290|106,138|3,500</v>
      </c>
      <c r="S308" t="str">
        <f t="shared" si="311"/>
        <v>104,58|105,29|106,14|1,2032</v>
      </c>
      <c r="V308" t="str">
        <f t="shared" si="312"/>
        <v>104,115</v>
      </c>
      <c r="W308" t="str">
        <f t="shared" si="298"/>
        <v>105,58</v>
      </c>
      <c r="X308" t="str">
        <f t="shared" si="299"/>
        <v>106,28</v>
      </c>
      <c r="Y308" t="str">
        <f t="shared" si="300"/>
        <v>1,1625</v>
      </c>
      <c r="AB308" t="str">
        <f t="shared" si="313"/>
        <v>104,580</v>
      </c>
      <c r="AC308" t="str">
        <f t="shared" si="302"/>
        <v>105,290</v>
      </c>
      <c r="AD308" t="str">
        <f t="shared" si="303"/>
        <v>106,138</v>
      </c>
      <c r="AE308" t="str">
        <f t="shared" si="304"/>
        <v>3,500</v>
      </c>
      <c r="AG308" t="str">
        <f t="shared" si="314"/>
        <v>104,58</v>
      </c>
      <c r="AH308" t="str">
        <f t="shared" si="306"/>
        <v>105,29</v>
      </c>
      <c r="AI308" t="str">
        <f t="shared" si="307"/>
        <v>106,14</v>
      </c>
      <c r="AJ308" t="str">
        <f t="shared" si="315"/>
        <v>1,2032</v>
      </c>
    </row>
    <row r="309" spans="1:36" s="2" customFormat="1" x14ac:dyDescent="0.25">
      <c r="A309" s="17">
        <v>61</v>
      </c>
      <c r="B309" s="18">
        <f>IF(关卡产出!C474="","",关卡产出!C474)</f>
        <v>118</v>
      </c>
      <c r="C309" s="18">
        <f>IF(关卡产出!D474="","",关卡产出!D474)</f>
        <v>58</v>
      </c>
      <c r="D309" s="18">
        <f>IF(关卡产出!E474="","",关卡产出!E474)</f>
        <v>28</v>
      </c>
      <c r="E309" s="18">
        <f>IF(关卡产出!F474="","",关卡产出!F474)</f>
        <v>1675</v>
      </c>
      <c r="F309" s="18">
        <f>IF(关卡产出!H474="","",关卡产出!H474)</f>
        <v>28750</v>
      </c>
      <c r="G309" s="18">
        <f>IF(关卡产出!J474="","",关卡产出!J474)</f>
        <v>57000</v>
      </c>
      <c r="H309" s="18">
        <f>IF(关卡产出!K474="","",关卡产出!K474)</f>
        <v>6</v>
      </c>
      <c r="I309" s="18">
        <f>IF(关卡产出!M474="","",关卡产出!M474)</f>
        <v>590</v>
      </c>
      <c r="J309" s="18">
        <f>IF(关卡产出!N474="","",关卡产出!N474)</f>
        <v>295</v>
      </c>
      <c r="K309" s="18">
        <f>IF(关卡产出!O474="","",关卡产出!O474)</f>
        <v>140</v>
      </c>
      <c r="L309" s="18">
        <f>IF(关卡产出!P474="","",关卡产出!P474)</f>
        <v>500</v>
      </c>
      <c r="N309" s="2" t="str">
        <f t="shared" si="309"/>
        <v>104,118|105,58|106,28|1,1675</v>
      </c>
      <c r="P309" t="str">
        <f t="shared" si="256"/>
        <v>11,1|1,28750</v>
      </c>
      <c r="Q309" t="str">
        <f t="shared" si="257"/>
        <v>163,1|1,57000|4,6</v>
      </c>
      <c r="R309" s="2" t="str">
        <f t="shared" si="310"/>
        <v>104,590|105,295|106,140|3,500</v>
      </c>
      <c r="S309" s="2" t="str">
        <f t="shared" si="311"/>
        <v>104,59|105,29|106,14|1,2094</v>
      </c>
      <c r="V309" s="2" t="str">
        <f t="shared" si="312"/>
        <v>104,118</v>
      </c>
      <c r="W309" s="2" t="str">
        <f t="shared" si="298"/>
        <v>105,58</v>
      </c>
      <c r="X309" s="2" t="str">
        <f t="shared" si="299"/>
        <v>106,28</v>
      </c>
      <c r="Y309" s="2" t="str">
        <f t="shared" si="300"/>
        <v>1,1675</v>
      </c>
      <c r="AB309" s="2" t="str">
        <f t="shared" si="313"/>
        <v>104,590</v>
      </c>
      <c r="AC309" s="2" t="str">
        <f t="shared" si="302"/>
        <v>105,295</v>
      </c>
      <c r="AD309" s="2" t="str">
        <f t="shared" si="303"/>
        <v>106,140</v>
      </c>
      <c r="AE309" s="2" t="str">
        <f t="shared" si="304"/>
        <v>3,500</v>
      </c>
      <c r="AG309" s="2" t="str">
        <f t="shared" si="314"/>
        <v>104,59</v>
      </c>
      <c r="AH309" s="2" t="str">
        <f t="shared" si="306"/>
        <v>105,29</v>
      </c>
      <c r="AI309" s="2" t="str">
        <f t="shared" si="307"/>
        <v>106,14</v>
      </c>
      <c r="AJ309" s="2" t="str">
        <f t="shared" si="315"/>
        <v>1,2094</v>
      </c>
    </row>
    <row r="310" spans="1:36" s="2" customFormat="1" x14ac:dyDescent="0.25">
      <c r="A310" s="17">
        <v>62</v>
      </c>
      <c r="B310" s="18">
        <f>IF(关卡产出!C475="","",关卡产出!C475)</f>
        <v>120</v>
      </c>
      <c r="C310" s="18">
        <f>IF(关卡产出!D475="","",关卡产出!D475)</f>
        <v>60</v>
      </c>
      <c r="D310" s="18">
        <f>IF(关卡产出!E475="","",关卡产出!E475)</f>
        <v>28</v>
      </c>
      <c r="E310" s="18">
        <f>IF(关卡产出!F475="","",关卡产出!F475)</f>
        <v>1675</v>
      </c>
      <c r="F310" s="18">
        <f>IF(关卡产出!H475="","",关卡产出!H475)</f>
        <v>29250</v>
      </c>
      <c r="G310" s="18">
        <f>IF(关卡产出!J475="","",关卡产出!J475)</f>
        <v>58000</v>
      </c>
      <c r="H310" s="18">
        <f>IF(关卡产出!K475="","",关卡产出!K475)</f>
        <v>6</v>
      </c>
      <c r="I310" s="18">
        <f>IF(关卡产出!M475="","",关卡产出!M475)</f>
        <v>600</v>
      </c>
      <c r="J310" s="18">
        <f>IF(关卡产出!N475="","",关卡产出!N475)</f>
        <v>300</v>
      </c>
      <c r="K310" s="18">
        <f>IF(关卡产出!O475="","",关卡产出!O475)</f>
        <v>143</v>
      </c>
      <c r="L310" s="18">
        <f>IF(关卡产出!P475="","",关卡产出!P475)</f>
        <v>500</v>
      </c>
      <c r="N310" s="2" t="str">
        <f t="shared" si="309"/>
        <v>104,120|105,60|106,28|1,1675</v>
      </c>
      <c r="P310" t="str">
        <f t="shared" si="256"/>
        <v>11,1|1,29250</v>
      </c>
      <c r="Q310" t="str">
        <f t="shared" si="257"/>
        <v>163,1|1,58000|4,6</v>
      </c>
      <c r="R310" s="2" t="str">
        <f t="shared" si="310"/>
        <v>104,600|105,300|106,143|3,500</v>
      </c>
      <c r="S310" s="2" t="str">
        <f t="shared" si="311"/>
        <v>104,60|105,30|106,14|1,2094</v>
      </c>
      <c r="V310" s="2" t="str">
        <f t="shared" si="312"/>
        <v>104,120</v>
      </c>
      <c r="W310" s="2" t="str">
        <f t="shared" si="298"/>
        <v>105,60</v>
      </c>
      <c r="X310" s="2" t="str">
        <f t="shared" si="299"/>
        <v>106,28</v>
      </c>
      <c r="Y310" s="2" t="str">
        <f t="shared" si="300"/>
        <v>1,1675</v>
      </c>
      <c r="AB310" s="2" t="str">
        <f t="shared" si="313"/>
        <v>104,600</v>
      </c>
      <c r="AC310" s="2" t="str">
        <f t="shared" si="302"/>
        <v>105,300</v>
      </c>
      <c r="AD310" s="2" t="str">
        <f t="shared" si="303"/>
        <v>106,143</v>
      </c>
      <c r="AE310" s="2" t="str">
        <f t="shared" si="304"/>
        <v>3,500</v>
      </c>
      <c r="AG310" s="2" t="str">
        <f t="shared" si="314"/>
        <v>104,60</v>
      </c>
      <c r="AH310" s="2" t="str">
        <f t="shared" si="306"/>
        <v>105,30</v>
      </c>
      <c r="AI310" s="2" t="str">
        <f t="shared" si="307"/>
        <v>106,14</v>
      </c>
      <c r="AJ310" s="2" t="str">
        <f t="shared" si="315"/>
        <v>1,2094</v>
      </c>
    </row>
    <row r="311" spans="1:36" s="2" customFormat="1" x14ac:dyDescent="0.25">
      <c r="A311" s="17">
        <v>63</v>
      </c>
      <c r="B311" s="18">
        <f>IF(关卡产出!C476="","",关卡产出!C476)</f>
        <v>123</v>
      </c>
      <c r="C311" s="18">
        <f>IF(关卡产出!D476="","",关卡产出!D476)</f>
        <v>60</v>
      </c>
      <c r="D311" s="18">
        <f>IF(关卡产出!E476="","",关卡产出!E476)</f>
        <v>30</v>
      </c>
      <c r="E311" s="18">
        <f>IF(关卡产出!F476="","",关卡产出!F476)</f>
        <v>1725</v>
      </c>
      <c r="F311" s="18">
        <f>IF(关卡产出!H476="","",关卡产出!H476)</f>
        <v>29750</v>
      </c>
      <c r="G311" s="18">
        <f>IF(关卡产出!J476="","",关卡产出!J476)</f>
        <v>59000</v>
      </c>
      <c r="H311" s="18">
        <f>IF(关卡产出!K476="","",关卡产出!K476)</f>
        <v>6</v>
      </c>
      <c r="I311" s="18">
        <f>IF(关卡产出!M476="","",关卡产出!M476)</f>
        <v>610</v>
      </c>
      <c r="J311" s="18">
        <f>IF(关卡产出!N476="","",关卡产出!N476)</f>
        <v>305</v>
      </c>
      <c r="K311" s="18">
        <f>IF(关卡产出!O476="","",关卡产出!O476)</f>
        <v>145</v>
      </c>
      <c r="L311" s="18">
        <f>IF(关卡产出!P476="","",关卡产出!P476)</f>
        <v>500</v>
      </c>
      <c r="N311" s="2" t="str">
        <f t="shared" si="309"/>
        <v>104,123|105,60|106,30|1,1725</v>
      </c>
      <c r="P311" t="str">
        <f t="shared" si="256"/>
        <v>11,1|1,29750</v>
      </c>
      <c r="Q311" t="str">
        <f t="shared" si="257"/>
        <v>163,1|1,59000|4,6</v>
      </c>
      <c r="R311" s="2" t="str">
        <f t="shared" si="310"/>
        <v>104,610|105,305|106,145|3,500</v>
      </c>
      <c r="S311" s="2" t="str">
        <f t="shared" si="311"/>
        <v>104,62|105,30|106,15|1,2157</v>
      </c>
      <c r="V311" s="2" t="str">
        <f t="shared" si="312"/>
        <v>104,123</v>
      </c>
      <c r="W311" s="2" t="str">
        <f t="shared" si="298"/>
        <v>105,60</v>
      </c>
      <c r="X311" s="2" t="str">
        <f t="shared" si="299"/>
        <v>106,30</v>
      </c>
      <c r="Y311" s="2" t="str">
        <f t="shared" si="300"/>
        <v>1,1725</v>
      </c>
      <c r="AB311" s="2" t="str">
        <f t="shared" si="313"/>
        <v>104,610</v>
      </c>
      <c r="AC311" s="2" t="str">
        <f t="shared" si="302"/>
        <v>105,305</v>
      </c>
      <c r="AD311" s="2" t="str">
        <f t="shared" si="303"/>
        <v>106,145</v>
      </c>
      <c r="AE311" s="2" t="str">
        <f t="shared" si="304"/>
        <v>3,500</v>
      </c>
      <c r="AG311" s="2" t="str">
        <f t="shared" si="314"/>
        <v>104,62</v>
      </c>
      <c r="AH311" s="2" t="str">
        <f t="shared" si="306"/>
        <v>105,30</v>
      </c>
      <c r="AI311" s="2" t="str">
        <f t="shared" si="307"/>
        <v>106,15</v>
      </c>
      <c r="AJ311" s="2" t="str">
        <f t="shared" si="315"/>
        <v>1,2157</v>
      </c>
    </row>
    <row r="312" spans="1:36" s="2" customFormat="1" x14ac:dyDescent="0.25">
      <c r="A312" s="17">
        <v>64</v>
      </c>
      <c r="B312" s="18">
        <f>IF(关卡产出!C477="","",关卡产出!C477)</f>
        <v>125</v>
      </c>
      <c r="C312" s="18">
        <f>IF(关卡产出!D477="","",关卡产出!D477)</f>
        <v>63</v>
      </c>
      <c r="D312" s="18">
        <f>IF(关卡产出!E477="","",关卡产出!E477)</f>
        <v>30</v>
      </c>
      <c r="E312" s="18">
        <f>IF(关卡产出!F477="","",关卡产出!F477)</f>
        <v>1725</v>
      </c>
      <c r="F312" s="18">
        <f>IF(关卡产出!H477="","",关卡产出!H477)</f>
        <v>30250</v>
      </c>
      <c r="G312" s="18">
        <f>IF(关卡产出!J477="","",关卡产出!J477)</f>
        <v>60000</v>
      </c>
      <c r="H312" s="18">
        <f>IF(关卡产出!K477="","",关卡产出!K477)</f>
        <v>6</v>
      </c>
      <c r="I312" s="18">
        <f>IF(关卡产出!M477="","",关卡产出!M477)</f>
        <v>620</v>
      </c>
      <c r="J312" s="18">
        <f>IF(关卡产出!N477="","",关卡产出!N477)</f>
        <v>310</v>
      </c>
      <c r="K312" s="18">
        <f>IF(关卡产出!O477="","",关卡产出!O477)</f>
        <v>148</v>
      </c>
      <c r="L312" s="18">
        <f>IF(关卡产出!P477="","",关卡产出!P477)</f>
        <v>500</v>
      </c>
      <c r="N312" s="2" t="str">
        <f t="shared" si="309"/>
        <v>104,125|105,63|106,30|1,1725</v>
      </c>
      <c r="P312" t="str">
        <f t="shared" si="256"/>
        <v>11,1|1,30250</v>
      </c>
      <c r="Q312" t="str">
        <f t="shared" si="257"/>
        <v>163,1|1,60000|4,6</v>
      </c>
      <c r="R312" s="2" t="str">
        <f t="shared" si="310"/>
        <v>104,620|105,310|106,148|3,500</v>
      </c>
      <c r="S312" s="2" t="str">
        <f t="shared" si="311"/>
        <v>104,63|105,32|106,15|1,2157</v>
      </c>
      <c r="V312" s="2" t="str">
        <f t="shared" si="312"/>
        <v>104,125</v>
      </c>
      <c r="W312" s="2" t="str">
        <f t="shared" si="298"/>
        <v>105,63</v>
      </c>
      <c r="X312" s="2" t="str">
        <f t="shared" si="299"/>
        <v>106,30</v>
      </c>
      <c r="Y312" s="2" t="str">
        <f t="shared" si="300"/>
        <v>1,1725</v>
      </c>
      <c r="AB312" s="2" t="str">
        <f t="shared" si="313"/>
        <v>104,620</v>
      </c>
      <c r="AC312" s="2" t="str">
        <f t="shared" si="302"/>
        <v>105,310</v>
      </c>
      <c r="AD312" s="2" t="str">
        <f t="shared" si="303"/>
        <v>106,148</v>
      </c>
      <c r="AE312" s="2" t="str">
        <f t="shared" si="304"/>
        <v>3,500</v>
      </c>
      <c r="AG312" s="2" t="str">
        <f t="shared" si="314"/>
        <v>104,63</v>
      </c>
      <c r="AH312" s="2" t="str">
        <f t="shared" si="306"/>
        <v>105,32</v>
      </c>
      <c r="AI312" s="2" t="str">
        <f t="shared" si="307"/>
        <v>106,15</v>
      </c>
      <c r="AJ312" s="2" t="str">
        <f t="shared" si="315"/>
        <v>1,2157</v>
      </c>
    </row>
    <row r="313" spans="1:36" s="2" customFormat="1" x14ac:dyDescent="0.25">
      <c r="A313" s="17">
        <v>65</v>
      </c>
      <c r="B313" s="18">
        <f>IF(关卡产出!C478="","",关卡产出!C478)</f>
        <v>125</v>
      </c>
      <c r="C313" s="18">
        <f>IF(关卡产出!D478="","",关卡产出!D478)</f>
        <v>63</v>
      </c>
      <c r="D313" s="18">
        <f>IF(关卡产出!E478="","",关卡产出!E478)</f>
        <v>30</v>
      </c>
      <c r="E313" s="18">
        <f>IF(关卡产出!F478="","",关卡产出!F478)</f>
        <v>1775</v>
      </c>
      <c r="F313" s="18">
        <f>IF(关卡产出!H478="","",关卡产出!H478)</f>
        <v>30750</v>
      </c>
      <c r="G313" s="18">
        <f>IF(关卡产出!J478="","",关卡产出!J478)</f>
        <v>61000</v>
      </c>
      <c r="H313" s="18">
        <f>IF(关卡产出!K478="","",关卡产出!K478)</f>
        <v>6</v>
      </c>
      <c r="I313" s="18">
        <f>IF(关卡产出!M478="","",关卡产出!M478)</f>
        <v>630</v>
      </c>
      <c r="J313" s="18">
        <f>IF(关卡产出!N478="","",关卡产出!N478)</f>
        <v>315</v>
      </c>
      <c r="K313" s="18">
        <f>IF(关卡产出!O478="","",关卡产出!O478)</f>
        <v>150</v>
      </c>
      <c r="L313" s="18">
        <f>IF(关卡产出!P478="","",关卡产出!P478)</f>
        <v>500</v>
      </c>
      <c r="N313" s="2" t="str">
        <f t="shared" si="309"/>
        <v>104,125|105,63|106,30|1,1775</v>
      </c>
      <c r="P313" t="str">
        <f t="shared" si="256"/>
        <v>11,1|1,30750</v>
      </c>
      <c r="Q313" t="str">
        <f t="shared" si="257"/>
        <v>163,1|1,61000|4,6</v>
      </c>
      <c r="R313" s="2" t="str">
        <f t="shared" si="310"/>
        <v>104,630|105,315|106,150|3,500</v>
      </c>
      <c r="S313" s="2" t="str">
        <f t="shared" si="311"/>
        <v>104,63|105,32|106,15|1,2219</v>
      </c>
      <c r="V313" s="2" t="str">
        <f t="shared" si="312"/>
        <v>104,125</v>
      </c>
      <c r="W313" s="2" t="str">
        <f t="shared" si="298"/>
        <v>105,63</v>
      </c>
      <c r="X313" s="2" t="str">
        <f t="shared" si="299"/>
        <v>106,30</v>
      </c>
      <c r="Y313" s="2" t="str">
        <f t="shared" si="300"/>
        <v>1,1775</v>
      </c>
      <c r="AB313" s="2" t="str">
        <f t="shared" si="313"/>
        <v>104,630</v>
      </c>
      <c r="AC313" s="2" t="str">
        <f t="shared" si="302"/>
        <v>105,315</v>
      </c>
      <c r="AD313" s="2" t="str">
        <f t="shared" si="303"/>
        <v>106,150</v>
      </c>
      <c r="AE313" s="2" t="str">
        <f t="shared" si="304"/>
        <v>3,500</v>
      </c>
      <c r="AG313" s="2" t="str">
        <f t="shared" si="314"/>
        <v>104,63</v>
      </c>
      <c r="AH313" s="2" t="str">
        <f t="shared" si="306"/>
        <v>105,32</v>
      </c>
      <c r="AI313" s="2" t="str">
        <f t="shared" si="307"/>
        <v>106,15</v>
      </c>
      <c r="AJ313" s="2" t="str">
        <f t="shared" si="315"/>
        <v>1,2219</v>
      </c>
    </row>
    <row r="314" spans="1:36" s="2" customFormat="1" x14ac:dyDescent="0.25">
      <c r="A314" s="17">
        <v>66</v>
      </c>
      <c r="B314" s="18">
        <f>IF(关卡产出!C479="","",关卡产出!C479)</f>
        <v>128</v>
      </c>
      <c r="C314" s="18">
        <f>IF(关卡产出!D479="","",关卡产出!D479)</f>
        <v>63</v>
      </c>
      <c r="D314" s="18">
        <f>IF(关卡产出!E479="","",关卡产出!E479)</f>
        <v>30</v>
      </c>
      <c r="E314" s="18">
        <f>IF(关卡产出!F479="","",关卡产出!F479)</f>
        <v>1775</v>
      </c>
      <c r="F314" s="18">
        <f>IF(关卡产出!H479="","",关卡产出!H479)</f>
        <v>31250</v>
      </c>
      <c r="G314" s="18">
        <f>IF(关卡产出!J479="","",关卡产出!J479)</f>
        <v>62000</v>
      </c>
      <c r="H314" s="18">
        <f>IF(关卡产出!K479="","",关卡产出!K479)</f>
        <v>6</v>
      </c>
      <c r="I314" s="18">
        <f>IF(关卡产出!M479="","",关卡产出!M479)</f>
        <v>640</v>
      </c>
      <c r="J314" s="18">
        <f>IF(关卡产出!N479="","",关卡产出!N479)</f>
        <v>320</v>
      </c>
      <c r="K314" s="18">
        <f>IF(关卡产出!O479="","",关卡产出!O479)</f>
        <v>153</v>
      </c>
      <c r="L314" s="18">
        <f>IF(关卡产出!P479="","",关卡产出!P479)</f>
        <v>500</v>
      </c>
      <c r="N314" s="2" t="str">
        <f t="shared" si="309"/>
        <v>104,128|105,63|106,30|1,1775</v>
      </c>
      <c r="P314" t="str">
        <f t="shared" ref="P314:P348" si="316">11&amp;","&amp;1&amp;"|"&amp;$F$1&amp;","&amp;F314</f>
        <v>11,1|1,31250</v>
      </c>
      <c r="Q314" t="str">
        <f t="shared" ref="Q314:Q348" si="317">"163,1|"&amp;$G$1&amp;","&amp;G314&amp;"|"&amp;$H$1&amp;","&amp;H314</f>
        <v>163,1|1,62000|4,6</v>
      </c>
      <c r="R314" s="2" t="str">
        <f t="shared" si="310"/>
        <v>104,640|105,320|106,153|3,500</v>
      </c>
      <c r="S314" s="2" t="str">
        <f t="shared" si="311"/>
        <v>104,64|105,32|106,15|1,2219</v>
      </c>
      <c r="V314" s="2" t="str">
        <f t="shared" si="312"/>
        <v>104,128</v>
      </c>
      <c r="W314" s="2" t="str">
        <f t="shared" si="298"/>
        <v>105,63</v>
      </c>
      <c r="X314" s="2" t="str">
        <f t="shared" si="299"/>
        <v>106,30</v>
      </c>
      <c r="Y314" s="2" t="str">
        <f t="shared" si="300"/>
        <v>1,1775</v>
      </c>
      <c r="AB314" s="2" t="str">
        <f t="shared" si="313"/>
        <v>104,640</v>
      </c>
      <c r="AC314" s="2" t="str">
        <f t="shared" si="302"/>
        <v>105,320</v>
      </c>
      <c r="AD314" s="2" t="str">
        <f t="shared" si="303"/>
        <v>106,153</v>
      </c>
      <c r="AE314" s="2" t="str">
        <f t="shared" si="304"/>
        <v>3,500</v>
      </c>
      <c r="AG314" s="2" t="str">
        <f t="shared" si="314"/>
        <v>104,64</v>
      </c>
      <c r="AH314" s="2" t="str">
        <f t="shared" si="306"/>
        <v>105,32</v>
      </c>
      <c r="AI314" s="2" t="str">
        <f t="shared" si="307"/>
        <v>106,15</v>
      </c>
      <c r="AJ314" s="2" t="str">
        <f t="shared" si="315"/>
        <v>1,2219</v>
      </c>
    </row>
    <row r="315" spans="1:36" s="2" customFormat="1" x14ac:dyDescent="0.25">
      <c r="A315" s="17">
        <v>67</v>
      </c>
      <c r="B315" s="18">
        <f>IF(关卡产出!C480="","",关卡产出!C480)</f>
        <v>130</v>
      </c>
      <c r="C315" s="18">
        <f>IF(关卡产出!D480="","",关卡产出!D480)</f>
        <v>65</v>
      </c>
      <c r="D315" s="18">
        <f>IF(关卡产出!E480="","",关卡产出!E480)</f>
        <v>30</v>
      </c>
      <c r="E315" s="18">
        <f>IF(关卡产出!F480="","",关卡产出!F480)</f>
        <v>1825</v>
      </c>
      <c r="F315" s="18">
        <f>IF(关卡产出!H480="","",关卡产出!H480)</f>
        <v>31750</v>
      </c>
      <c r="G315" s="18">
        <f>IF(关卡产出!J480="","",关卡产出!J480)</f>
        <v>63000</v>
      </c>
      <c r="H315" s="18">
        <f>IF(关卡产出!K480="","",关卡产出!K480)</f>
        <v>6</v>
      </c>
      <c r="I315" s="18">
        <f>IF(关卡产出!M480="","",关卡产出!M480)</f>
        <v>650</v>
      </c>
      <c r="J315" s="18">
        <f>IF(关卡产出!N480="","",关卡产出!N480)</f>
        <v>325</v>
      </c>
      <c r="K315" s="18">
        <f>IF(关卡产出!O480="","",关卡产出!O480)</f>
        <v>155</v>
      </c>
      <c r="L315" s="18">
        <f>IF(关卡产出!P480="","",关卡产出!P480)</f>
        <v>500</v>
      </c>
      <c r="N315" s="2" t="str">
        <f t="shared" si="309"/>
        <v>104,130|105,65|106,30|1,1825</v>
      </c>
      <c r="P315" t="str">
        <f t="shared" si="316"/>
        <v>11,1|1,31750</v>
      </c>
      <c r="Q315" t="str">
        <f t="shared" si="317"/>
        <v>163,1|1,63000|4,6</v>
      </c>
      <c r="R315" s="2" t="str">
        <f t="shared" si="310"/>
        <v>104,650|105,325|106,155|3,500</v>
      </c>
      <c r="S315" s="2" t="str">
        <f t="shared" si="311"/>
        <v>104,65|105,33|106,15|1,2282</v>
      </c>
      <c r="V315" s="2" t="str">
        <f t="shared" si="312"/>
        <v>104,130</v>
      </c>
      <c r="W315" s="2" t="str">
        <f t="shared" si="298"/>
        <v>105,65</v>
      </c>
      <c r="X315" s="2" t="str">
        <f t="shared" si="299"/>
        <v>106,30</v>
      </c>
      <c r="Y315" s="2" t="str">
        <f t="shared" si="300"/>
        <v>1,1825</v>
      </c>
      <c r="AB315" s="2" t="str">
        <f t="shared" si="313"/>
        <v>104,650</v>
      </c>
      <c r="AC315" s="2" t="str">
        <f t="shared" si="302"/>
        <v>105,325</v>
      </c>
      <c r="AD315" s="2" t="str">
        <f t="shared" si="303"/>
        <v>106,155</v>
      </c>
      <c r="AE315" s="2" t="str">
        <f t="shared" si="304"/>
        <v>3,500</v>
      </c>
      <c r="AG315" s="2" t="str">
        <f t="shared" si="314"/>
        <v>104,65</v>
      </c>
      <c r="AH315" s="2" t="str">
        <f t="shared" si="306"/>
        <v>105,33</v>
      </c>
      <c r="AI315" s="2" t="str">
        <f t="shared" si="307"/>
        <v>106,15</v>
      </c>
      <c r="AJ315" s="2" t="str">
        <f t="shared" si="315"/>
        <v>1,2282</v>
      </c>
    </row>
    <row r="316" spans="1:36" s="2" customFormat="1" x14ac:dyDescent="0.25">
      <c r="A316" s="17">
        <v>68</v>
      </c>
      <c r="B316" s="18">
        <f>IF(关卡产出!C481="","",关卡产出!C481)</f>
        <v>133</v>
      </c>
      <c r="C316" s="18">
        <f>IF(关卡产出!D481="","",关卡产出!D481)</f>
        <v>65</v>
      </c>
      <c r="D316" s="18">
        <f>IF(关卡产出!E481="","",关卡产出!E481)</f>
        <v>33</v>
      </c>
      <c r="E316" s="18">
        <f>IF(关卡产出!F481="","",关卡产出!F481)</f>
        <v>1825</v>
      </c>
      <c r="F316" s="18">
        <f>IF(关卡产出!H481="","",关卡产出!H481)</f>
        <v>32250</v>
      </c>
      <c r="G316" s="18">
        <f>IF(关卡产出!J481="","",关卡产出!J481)</f>
        <v>64000</v>
      </c>
      <c r="H316" s="18">
        <f>IF(关卡产出!K481="","",关卡产出!K481)</f>
        <v>6</v>
      </c>
      <c r="I316" s="18">
        <f>IF(关卡产出!M481="","",关卡产出!M481)</f>
        <v>660</v>
      </c>
      <c r="J316" s="18">
        <f>IF(关卡产出!N481="","",关卡产出!N481)</f>
        <v>330</v>
      </c>
      <c r="K316" s="18">
        <f>IF(关卡产出!O481="","",关卡产出!O481)</f>
        <v>158</v>
      </c>
      <c r="L316" s="18">
        <f>IF(关卡产出!P481="","",关卡产出!P481)</f>
        <v>500</v>
      </c>
      <c r="N316" s="2" t="str">
        <f t="shared" si="309"/>
        <v>104,133|105,65|106,33|1,1825</v>
      </c>
      <c r="P316" t="str">
        <f t="shared" si="316"/>
        <v>11,1|1,32250</v>
      </c>
      <c r="Q316" t="str">
        <f t="shared" si="317"/>
        <v>163,1|1,64000|4,6</v>
      </c>
      <c r="R316" s="2" t="str">
        <f t="shared" si="310"/>
        <v>104,660|105,330|106,158|3,500</v>
      </c>
      <c r="S316" s="2" t="str">
        <f t="shared" si="311"/>
        <v>104,67|105,33|106,17|1,2282</v>
      </c>
      <c r="V316" s="2" t="str">
        <f t="shared" si="312"/>
        <v>104,133</v>
      </c>
      <c r="W316" s="2" t="str">
        <f t="shared" si="298"/>
        <v>105,65</v>
      </c>
      <c r="X316" s="2" t="str">
        <f t="shared" si="299"/>
        <v>106,33</v>
      </c>
      <c r="Y316" s="2" t="str">
        <f t="shared" si="300"/>
        <v>1,1825</v>
      </c>
      <c r="AB316" s="2" t="str">
        <f t="shared" si="313"/>
        <v>104,660</v>
      </c>
      <c r="AC316" s="2" t="str">
        <f t="shared" si="302"/>
        <v>105,330</v>
      </c>
      <c r="AD316" s="2" t="str">
        <f t="shared" si="303"/>
        <v>106,158</v>
      </c>
      <c r="AE316" s="2" t="str">
        <f t="shared" si="304"/>
        <v>3,500</v>
      </c>
      <c r="AG316" s="2" t="str">
        <f t="shared" si="314"/>
        <v>104,67</v>
      </c>
      <c r="AH316" s="2" t="str">
        <f t="shared" si="306"/>
        <v>105,33</v>
      </c>
      <c r="AI316" s="2" t="str">
        <f t="shared" si="307"/>
        <v>106,17</v>
      </c>
      <c r="AJ316" s="2" t="str">
        <f t="shared" si="315"/>
        <v>1,2282</v>
      </c>
    </row>
    <row r="317" spans="1:36" s="2" customFormat="1" x14ac:dyDescent="0.25">
      <c r="A317" s="17">
        <v>69</v>
      </c>
      <c r="B317" s="18">
        <f>IF(关卡产出!C482="","",关卡产出!C482)</f>
        <v>135</v>
      </c>
      <c r="C317" s="18">
        <f>IF(关卡产出!D482="","",关卡产出!D482)</f>
        <v>68</v>
      </c>
      <c r="D317" s="18">
        <f>IF(关卡产出!E482="","",关卡产出!E482)</f>
        <v>33</v>
      </c>
      <c r="E317" s="18">
        <f>IF(关卡产出!F482="","",关卡产出!F482)</f>
        <v>1875</v>
      </c>
      <c r="F317" s="18">
        <f>IF(关卡产出!H482="","",关卡产出!H482)</f>
        <v>32750</v>
      </c>
      <c r="G317" s="18">
        <f>IF(关卡产出!J482="","",关卡产出!J482)</f>
        <v>65000</v>
      </c>
      <c r="H317" s="18">
        <f>IF(关卡产出!K482="","",关卡产出!K482)</f>
        <v>6</v>
      </c>
      <c r="I317" s="18">
        <f>IF(关卡产出!M482="","",关卡产出!M482)</f>
        <v>670</v>
      </c>
      <c r="J317" s="18">
        <f>IF(关卡产出!N482="","",关卡产出!N482)</f>
        <v>335</v>
      </c>
      <c r="K317" s="18">
        <f>IF(关卡产出!O482="","",关卡产出!O482)</f>
        <v>160</v>
      </c>
      <c r="L317" s="18">
        <f>IF(关卡产出!P482="","",关卡产出!P482)</f>
        <v>500</v>
      </c>
      <c r="N317" s="2" t="str">
        <f t="shared" si="309"/>
        <v>104,135|105,68|106,33|1,1875</v>
      </c>
      <c r="P317" t="str">
        <f t="shared" si="316"/>
        <v>11,1|1,32750</v>
      </c>
      <c r="Q317" t="str">
        <f t="shared" si="317"/>
        <v>163,1|1,65000|4,6</v>
      </c>
      <c r="R317" s="2" t="str">
        <f t="shared" si="310"/>
        <v>104,670|105,335|106,160|3,500</v>
      </c>
      <c r="S317" s="2" t="str">
        <f t="shared" si="311"/>
        <v>104,68|105,34|106,17|1,2344</v>
      </c>
      <c r="V317" s="2" t="str">
        <f t="shared" si="312"/>
        <v>104,135</v>
      </c>
      <c r="W317" s="2" t="str">
        <f t="shared" si="298"/>
        <v>105,68</v>
      </c>
      <c r="X317" s="2" t="str">
        <f t="shared" si="299"/>
        <v>106,33</v>
      </c>
      <c r="Y317" s="2" t="str">
        <f t="shared" si="300"/>
        <v>1,1875</v>
      </c>
      <c r="AB317" s="2" t="str">
        <f t="shared" si="313"/>
        <v>104,670</v>
      </c>
      <c r="AC317" s="2" t="str">
        <f t="shared" si="302"/>
        <v>105,335</v>
      </c>
      <c r="AD317" s="2" t="str">
        <f t="shared" si="303"/>
        <v>106,160</v>
      </c>
      <c r="AE317" s="2" t="str">
        <f t="shared" si="304"/>
        <v>3,500</v>
      </c>
      <c r="AG317" s="2" t="str">
        <f t="shared" si="314"/>
        <v>104,68</v>
      </c>
      <c r="AH317" s="2" t="str">
        <f t="shared" si="306"/>
        <v>105,34</v>
      </c>
      <c r="AI317" s="2" t="str">
        <f t="shared" si="307"/>
        <v>106,17</v>
      </c>
      <c r="AJ317" s="2" t="str">
        <f t="shared" si="315"/>
        <v>1,2344</v>
      </c>
    </row>
    <row r="318" spans="1:36" s="2" customFormat="1" x14ac:dyDescent="0.25">
      <c r="A318" s="17">
        <v>70</v>
      </c>
      <c r="B318" s="18">
        <f>IF(关卡产出!C483="","",关卡产出!C483)</f>
        <v>135</v>
      </c>
      <c r="C318" s="18">
        <f>IF(关卡产出!D483="","",关卡产出!D483)</f>
        <v>68</v>
      </c>
      <c r="D318" s="18">
        <f>IF(关卡产出!E483="","",关卡产出!E483)</f>
        <v>33</v>
      </c>
      <c r="E318" s="18">
        <f>IF(关卡产出!F483="","",关卡产出!F483)</f>
        <v>1875</v>
      </c>
      <c r="F318" s="18">
        <f>IF(关卡产出!H483="","",关卡产出!H483)</f>
        <v>33250</v>
      </c>
      <c r="G318" s="18">
        <f>IF(关卡产出!J483="","",关卡产出!J483)</f>
        <v>66000</v>
      </c>
      <c r="H318" s="18">
        <f>IF(关卡产出!K483="","",关卡产出!K483)</f>
        <v>6</v>
      </c>
      <c r="I318" s="18">
        <f>IF(关卡产出!M483="","",关卡产出!M483)</f>
        <v>680</v>
      </c>
      <c r="J318" s="18">
        <f>IF(关卡产出!N483="","",关卡产出!N483)</f>
        <v>340</v>
      </c>
      <c r="K318" s="18">
        <f>IF(关卡产出!O483="","",关卡产出!O483)</f>
        <v>163</v>
      </c>
      <c r="L318" s="18">
        <f>IF(关卡产出!P483="","",关卡产出!P483)</f>
        <v>500</v>
      </c>
      <c r="N318" s="2" t="str">
        <f t="shared" si="309"/>
        <v>104,135|105,68|106,33|1,1875</v>
      </c>
      <c r="P318" t="str">
        <f t="shared" si="316"/>
        <v>11,1|1,33250</v>
      </c>
      <c r="Q318" t="str">
        <f t="shared" si="317"/>
        <v>163,1|1,66000|4,6</v>
      </c>
      <c r="R318" s="2" t="str">
        <f t="shared" si="310"/>
        <v>104,680|105,340|106,163|3,500</v>
      </c>
      <c r="S318" s="2" t="str">
        <f t="shared" si="311"/>
        <v>104,68|105,34|106,17|1,2344</v>
      </c>
      <c r="V318" s="2" t="str">
        <f t="shared" si="312"/>
        <v>104,135</v>
      </c>
      <c r="W318" s="2" t="str">
        <f t="shared" si="298"/>
        <v>105,68</v>
      </c>
      <c r="X318" s="2" t="str">
        <f t="shared" si="299"/>
        <v>106,33</v>
      </c>
      <c r="Y318" s="2" t="str">
        <f t="shared" si="300"/>
        <v>1,1875</v>
      </c>
      <c r="AB318" s="2" t="str">
        <f t="shared" si="313"/>
        <v>104,680</v>
      </c>
      <c r="AC318" s="2" t="str">
        <f t="shared" si="302"/>
        <v>105,340</v>
      </c>
      <c r="AD318" s="2" t="str">
        <f t="shared" si="303"/>
        <v>106,163</v>
      </c>
      <c r="AE318" s="2" t="str">
        <f t="shared" si="304"/>
        <v>3,500</v>
      </c>
      <c r="AG318" s="2" t="str">
        <f t="shared" si="314"/>
        <v>104,68</v>
      </c>
      <c r="AH318" s="2" t="str">
        <f t="shared" si="306"/>
        <v>105,34</v>
      </c>
      <c r="AI318" s="2" t="str">
        <f t="shared" si="307"/>
        <v>106,17</v>
      </c>
      <c r="AJ318" s="2" t="str">
        <f t="shared" si="315"/>
        <v>1,2344</v>
      </c>
    </row>
    <row r="319" spans="1:36" s="4" customFormat="1" x14ac:dyDescent="0.25">
      <c r="A319" s="21">
        <v>71</v>
      </c>
      <c r="B319" s="22">
        <f>IF(关卡产出!C484="","",关卡产出!C484)</f>
        <v>138</v>
      </c>
      <c r="C319" s="22">
        <f>IF(关卡产出!D484="","",关卡产出!D484)</f>
        <v>68</v>
      </c>
      <c r="D319" s="22">
        <f>IF(关卡产出!E484="","",关卡产出!E484)</f>
        <v>33</v>
      </c>
      <c r="E319" s="22">
        <f>IF(关卡产出!F484="","",关卡产出!F484)</f>
        <v>1925</v>
      </c>
      <c r="F319" s="22">
        <f>IF(关卡产出!H484="","",关卡产出!H484)</f>
        <v>33750</v>
      </c>
      <c r="G319" s="22">
        <f>IF(关卡产出!J484="","",关卡产出!J484)</f>
        <v>67000</v>
      </c>
      <c r="H319" s="22">
        <f>IF(关卡产出!K484="","",关卡产出!K484)</f>
        <v>6</v>
      </c>
      <c r="I319" s="22">
        <f>IF(关卡产出!M484="","",关卡产出!M484)</f>
        <v>690</v>
      </c>
      <c r="J319" s="22">
        <f>IF(关卡产出!N484="","",关卡产出!N484)</f>
        <v>345</v>
      </c>
      <c r="K319" s="22">
        <f>IF(关卡产出!O484="","",关卡产出!O484)</f>
        <v>165</v>
      </c>
      <c r="L319" s="22">
        <f>IF(关卡产出!P484="","",关卡产出!P484)</f>
        <v>500</v>
      </c>
      <c r="N319" s="4" t="str">
        <f t="shared" ref="N319:N348" si="318">_xlfn.TEXTJOIN("|",TRUE,V319:Y319)</f>
        <v>104,138|105,68|106,33|1,1925</v>
      </c>
      <c r="P319" t="str">
        <f t="shared" si="316"/>
        <v>11,1|1,33750</v>
      </c>
      <c r="Q319" t="str">
        <f t="shared" si="317"/>
        <v>163,1|1,67000|4,6</v>
      </c>
      <c r="R319" s="4" t="str">
        <f t="shared" ref="R319:R348" si="319">_xlfn.TEXTJOIN("|",TRUE,AB319:AE319)</f>
        <v>104,690|105,345|106,165|3,500</v>
      </c>
      <c r="S319" s="4" t="str">
        <f t="shared" ref="S319:S348" si="320">_xlfn.TEXTJOIN("|",TRUE,AG319:AJ319)</f>
        <v>104,69|105,34|106,17|1,2407</v>
      </c>
      <c r="V319" s="4" t="str">
        <f t="shared" ref="V319:V348" si="321">IF(B319="","",B$1&amp;","&amp;B319)</f>
        <v>104,138</v>
      </c>
      <c r="W319" s="4" t="str">
        <f t="shared" si="298"/>
        <v>105,68</v>
      </c>
      <c r="X319" s="4" t="str">
        <f t="shared" si="299"/>
        <v>106,33</v>
      </c>
      <c r="Y319" s="4" t="str">
        <f t="shared" si="300"/>
        <v>1,1925</v>
      </c>
      <c r="AB319" s="4" t="str">
        <f t="shared" ref="AB319:AB348" si="322">IF(I319="","",I$1&amp;","&amp;I319)</f>
        <v>104,690</v>
      </c>
      <c r="AC319" s="4" t="str">
        <f t="shared" si="302"/>
        <v>105,345</v>
      </c>
      <c r="AD319" s="4" t="str">
        <f t="shared" si="303"/>
        <v>106,165</v>
      </c>
      <c r="AE319" s="4" t="str">
        <f t="shared" si="304"/>
        <v>3,500</v>
      </c>
      <c r="AG319" s="4" t="str">
        <f t="shared" ref="AG319:AG348" si="323">IF(B319="","",B$1&amp;","&amp;ROUNDUP(B319/2,0))</f>
        <v>104,69</v>
      </c>
      <c r="AH319" s="4" t="str">
        <f t="shared" si="306"/>
        <v>105,34</v>
      </c>
      <c r="AI319" s="4" t="str">
        <f t="shared" si="307"/>
        <v>106,17</v>
      </c>
      <c r="AJ319" s="4" t="str">
        <f t="shared" ref="AJ319:AJ348" si="324">IF(E319="","",E$1&amp;","&amp;ROUNDUP(E319/2*2.5,0))</f>
        <v>1,2407</v>
      </c>
    </row>
    <row r="320" spans="1:36" s="4" customFormat="1" x14ac:dyDescent="0.25">
      <c r="A320" s="21">
        <v>72</v>
      </c>
      <c r="B320" s="22">
        <f>IF(关卡产出!C485="","",关卡产出!C485)</f>
        <v>140</v>
      </c>
      <c r="C320" s="22">
        <f>IF(关卡产出!D485="","",关卡产出!D485)</f>
        <v>70</v>
      </c>
      <c r="D320" s="22">
        <f>IF(关卡产出!E485="","",关卡产出!E485)</f>
        <v>33</v>
      </c>
      <c r="E320" s="22">
        <f>IF(关卡产出!F485="","",关卡产出!F485)</f>
        <v>1925</v>
      </c>
      <c r="F320" s="22">
        <f>IF(关卡产出!H485="","",关卡产出!H485)</f>
        <v>34250</v>
      </c>
      <c r="G320" s="22">
        <f>IF(关卡产出!J485="","",关卡产出!J485)</f>
        <v>68000</v>
      </c>
      <c r="H320" s="22">
        <f>IF(关卡产出!K485="","",关卡产出!K485)</f>
        <v>6</v>
      </c>
      <c r="I320" s="22">
        <f>IF(关卡产出!M485="","",关卡产出!M485)</f>
        <v>700</v>
      </c>
      <c r="J320" s="22">
        <f>IF(关卡产出!N485="","",关卡产出!N485)</f>
        <v>350</v>
      </c>
      <c r="K320" s="22">
        <f>IF(关卡产出!O485="","",关卡产出!O485)</f>
        <v>168</v>
      </c>
      <c r="L320" s="22">
        <f>IF(关卡产出!P485="","",关卡产出!P485)</f>
        <v>500</v>
      </c>
      <c r="N320" s="4" t="str">
        <f t="shared" si="318"/>
        <v>104,140|105,70|106,33|1,1925</v>
      </c>
      <c r="P320" t="str">
        <f t="shared" si="316"/>
        <v>11,1|1,34250</v>
      </c>
      <c r="Q320" t="str">
        <f t="shared" si="317"/>
        <v>163,1|1,68000|4,6</v>
      </c>
      <c r="R320" s="4" t="str">
        <f t="shared" si="319"/>
        <v>104,700|105,350|106,168|3,500</v>
      </c>
      <c r="S320" s="4" t="str">
        <f t="shared" si="320"/>
        <v>104,70|105,35|106,17|1,2407</v>
      </c>
      <c r="V320" s="4" t="str">
        <f t="shared" si="321"/>
        <v>104,140</v>
      </c>
      <c r="W320" s="4" t="str">
        <f t="shared" si="298"/>
        <v>105,70</v>
      </c>
      <c r="X320" s="4" t="str">
        <f t="shared" si="299"/>
        <v>106,33</v>
      </c>
      <c r="Y320" s="4" t="str">
        <f t="shared" si="300"/>
        <v>1,1925</v>
      </c>
      <c r="AB320" s="4" t="str">
        <f t="shared" si="322"/>
        <v>104,700</v>
      </c>
      <c r="AC320" s="4" t="str">
        <f t="shared" si="302"/>
        <v>105,350</v>
      </c>
      <c r="AD320" s="4" t="str">
        <f t="shared" si="303"/>
        <v>106,168</v>
      </c>
      <c r="AE320" s="4" t="str">
        <f t="shared" si="304"/>
        <v>3,500</v>
      </c>
      <c r="AG320" s="4" t="str">
        <f t="shared" si="323"/>
        <v>104,70</v>
      </c>
      <c r="AH320" s="4" t="str">
        <f t="shared" si="306"/>
        <v>105,35</v>
      </c>
      <c r="AI320" s="4" t="str">
        <f t="shared" si="307"/>
        <v>106,17</v>
      </c>
      <c r="AJ320" s="4" t="str">
        <f t="shared" si="324"/>
        <v>1,2407</v>
      </c>
    </row>
    <row r="321" spans="1:36" s="4" customFormat="1" x14ac:dyDescent="0.25">
      <c r="A321" s="21">
        <v>73</v>
      </c>
      <c r="B321" s="22">
        <f>IF(关卡产出!C486="","",关卡产出!C486)</f>
        <v>143</v>
      </c>
      <c r="C321" s="22">
        <f>IF(关卡产出!D486="","",关卡产出!D486)</f>
        <v>70</v>
      </c>
      <c r="D321" s="22">
        <f>IF(关卡产出!E486="","",关卡产出!E486)</f>
        <v>35</v>
      </c>
      <c r="E321" s="22">
        <f>IF(关卡产出!F486="","",关卡产出!F486)</f>
        <v>1975</v>
      </c>
      <c r="F321" s="22">
        <f>IF(关卡产出!H486="","",关卡产出!H486)</f>
        <v>34750</v>
      </c>
      <c r="G321" s="22">
        <f>IF(关卡产出!J486="","",关卡产出!J486)</f>
        <v>69000</v>
      </c>
      <c r="H321" s="22">
        <f>IF(关卡产出!K486="","",关卡产出!K486)</f>
        <v>6</v>
      </c>
      <c r="I321" s="22">
        <f>IF(关卡产出!M486="","",关卡产出!M486)</f>
        <v>710</v>
      </c>
      <c r="J321" s="22">
        <f>IF(关卡产出!N486="","",关卡产出!N486)</f>
        <v>355</v>
      </c>
      <c r="K321" s="22">
        <f>IF(关卡产出!O486="","",关卡产出!O486)</f>
        <v>170</v>
      </c>
      <c r="L321" s="22">
        <f>IF(关卡产出!P486="","",关卡产出!P486)</f>
        <v>500</v>
      </c>
      <c r="N321" s="4" t="str">
        <f t="shared" si="318"/>
        <v>104,143|105,70|106,35|1,1975</v>
      </c>
      <c r="P321" t="str">
        <f t="shared" si="316"/>
        <v>11,1|1,34750</v>
      </c>
      <c r="Q321" t="str">
        <f t="shared" si="317"/>
        <v>163,1|1,69000|4,6</v>
      </c>
      <c r="R321" s="4" t="str">
        <f t="shared" si="319"/>
        <v>104,710|105,355|106,170|3,500</v>
      </c>
      <c r="S321" s="4" t="str">
        <f t="shared" si="320"/>
        <v>104,72|105,35|106,18|1,2469</v>
      </c>
      <c r="V321" s="4" t="str">
        <f t="shared" si="321"/>
        <v>104,143</v>
      </c>
      <c r="W321" s="4" t="str">
        <f t="shared" si="298"/>
        <v>105,70</v>
      </c>
      <c r="X321" s="4" t="str">
        <f t="shared" si="299"/>
        <v>106,35</v>
      </c>
      <c r="Y321" s="4" t="str">
        <f t="shared" si="300"/>
        <v>1,1975</v>
      </c>
      <c r="AB321" s="4" t="str">
        <f t="shared" si="322"/>
        <v>104,710</v>
      </c>
      <c r="AC321" s="4" t="str">
        <f t="shared" si="302"/>
        <v>105,355</v>
      </c>
      <c r="AD321" s="4" t="str">
        <f t="shared" si="303"/>
        <v>106,170</v>
      </c>
      <c r="AE321" s="4" t="str">
        <f t="shared" si="304"/>
        <v>3,500</v>
      </c>
      <c r="AG321" s="4" t="str">
        <f t="shared" si="323"/>
        <v>104,72</v>
      </c>
      <c r="AH321" s="4" t="str">
        <f t="shared" si="306"/>
        <v>105,35</v>
      </c>
      <c r="AI321" s="4" t="str">
        <f t="shared" si="307"/>
        <v>106,18</v>
      </c>
      <c r="AJ321" s="4" t="str">
        <f t="shared" si="324"/>
        <v>1,2469</v>
      </c>
    </row>
    <row r="322" spans="1:36" s="4" customFormat="1" x14ac:dyDescent="0.25">
      <c r="A322" s="21">
        <v>74</v>
      </c>
      <c r="B322" s="22">
        <f>IF(关卡产出!C487="","",关卡产出!C487)</f>
        <v>145</v>
      </c>
      <c r="C322" s="22">
        <f>IF(关卡产出!D487="","",关卡产出!D487)</f>
        <v>73</v>
      </c>
      <c r="D322" s="22">
        <f>IF(关卡产出!E487="","",关卡产出!E487)</f>
        <v>35</v>
      </c>
      <c r="E322" s="22">
        <f>IF(关卡产出!F487="","",关卡产出!F487)</f>
        <v>1975</v>
      </c>
      <c r="F322" s="22">
        <f>IF(关卡产出!H487="","",关卡产出!H487)</f>
        <v>35250</v>
      </c>
      <c r="G322" s="22">
        <f>IF(关卡产出!J487="","",关卡产出!J487)</f>
        <v>70000</v>
      </c>
      <c r="H322" s="22">
        <f>IF(关卡产出!K487="","",关卡产出!K487)</f>
        <v>6</v>
      </c>
      <c r="I322" s="22">
        <f>IF(关卡产出!M487="","",关卡产出!M487)</f>
        <v>720</v>
      </c>
      <c r="J322" s="22">
        <f>IF(关卡产出!N487="","",关卡产出!N487)</f>
        <v>360</v>
      </c>
      <c r="K322" s="22">
        <f>IF(关卡产出!O487="","",关卡产出!O487)</f>
        <v>173</v>
      </c>
      <c r="L322" s="22">
        <f>IF(关卡产出!P487="","",关卡产出!P487)</f>
        <v>500</v>
      </c>
      <c r="N322" s="4" t="str">
        <f t="shared" si="318"/>
        <v>104,145|105,73|106,35|1,1975</v>
      </c>
      <c r="P322" t="str">
        <f t="shared" si="316"/>
        <v>11,1|1,35250</v>
      </c>
      <c r="Q322" t="str">
        <f t="shared" si="317"/>
        <v>163,1|1,70000|4,6</v>
      </c>
      <c r="R322" s="4" t="str">
        <f t="shared" si="319"/>
        <v>104,720|105,360|106,173|3,500</v>
      </c>
      <c r="S322" s="4" t="str">
        <f t="shared" si="320"/>
        <v>104,73|105,37|106,18|1,2469</v>
      </c>
      <c r="V322" s="4" t="str">
        <f t="shared" si="321"/>
        <v>104,145</v>
      </c>
      <c r="W322" s="4" t="str">
        <f t="shared" si="298"/>
        <v>105,73</v>
      </c>
      <c r="X322" s="4" t="str">
        <f t="shared" si="299"/>
        <v>106,35</v>
      </c>
      <c r="Y322" s="4" t="str">
        <f t="shared" si="300"/>
        <v>1,1975</v>
      </c>
      <c r="AB322" s="4" t="str">
        <f t="shared" si="322"/>
        <v>104,720</v>
      </c>
      <c r="AC322" s="4" t="str">
        <f t="shared" si="302"/>
        <v>105,360</v>
      </c>
      <c r="AD322" s="4" t="str">
        <f t="shared" si="303"/>
        <v>106,173</v>
      </c>
      <c r="AE322" s="4" t="str">
        <f t="shared" si="304"/>
        <v>3,500</v>
      </c>
      <c r="AG322" s="4" t="str">
        <f t="shared" si="323"/>
        <v>104,73</v>
      </c>
      <c r="AH322" s="4" t="str">
        <f t="shared" si="306"/>
        <v>105,37</v>
      </c>
      <c r="AI322" s="4" t="str">
        <f t="shared" si="307"/>
        <v>106,18</v>
      </c>
      <c r="AJ322" s="4" t="str">
        <f t="shared" si="324"/>
        <v>1,2469</v>
      </c>
    </row>
    <row r="323" spans="1:36" s="4" customFormat="1" x14ac:dyDescent="0.25">
      <c r="A323" s="21">
        <v>75</v>
      </c>
      <c r="B323" s="22">
        <f>IF(关卡产出!C488="","",关卡产出!C488)</f>
        <v>145</v>
      </c>
      <c r="C323" s="22">
        <f>IF(关卡产出!D488="","",关卡产出!D488)</f>
        <v>73</v>
      </c>
      <c r="D323" s="22">
        <f>IF(关卡产出!E488="","",关卡产出!E488)</f>
        <v>35</v>
      </c>
      <c r="E323" s="22">
        <f>IF(关卡产出!F488="","",关卡产出!F488)</f>
        <v>2025</v>
      </c>
      <c r="F323" s="22">
        <f>IF(关卡产出!H488="","",关卡产出!H488)</f>
        <v>35750</v>
      </c>
      <c r="G323" s="22">
        <f>IF(关卡产出!J488="","",关卡产出!J488)</f>
        <v>71000</v>
      </c>
      <c r="H323" s="22">
        <f>IF(关卡产出!K488="","",关卡产出!K488)</f>
        <v>6</v>
      </c>
      <c r="I323" s="22">
        <f>IF(关卡产出!M488="","",关卡产出!M488)</f>
        <v>730</v>
      </c>
      <c r="J323" s="22">
        <f>IF(关卡产出!N488="","",关卡产出!N488)</f>
        <v>365</v>
      </c>
      <c r="K323" s="22">
        <f>IF(关卡产出!O488="","",关卡产出!O488)</f>
        <v>175</v>
      </c>
      <c r="L323" s="22">
        <f>IF(关卡产出!P488="","",关卡产出!P488)</f>
        <v>500</v>
      </c>
      <c r="N323" s="4" t="str">
        <f t="shared" si="318"/>
        <v>104,145|105,73|106,35|1,2025</v>
      </c>
      <c r="P323" t="str">
        <f t="shared" si="316"/>
        <v>11,1|1,35750</v>
      </c>
      <c r="Q323" t="str">
        <f t="shared" si="317"/>
        <v>163,1|1,71000|4,6</v>
      </c>
      <c r="R323" s="4" t="str">
        <f t="shared" si="319"/>
        <v>104,730|105,365|106,175|3,500</v>
      </c>
      <c r="S323" s="4" t="str">
        <f t="shared" si="320"/>
        <v>104,73|105,37|106,18|1,2532</v>
      </c>
      <c r="V323" s="4" t="str">
        <f t="shared" si="321"/>
        <v>104,145</v>
      </c>
      <c r="W323" s="4" t="str">
        <f t="shared" si="298"/>
        <v>105,73</v>
      </c>
      <c r="X323" s="4" t="str">
        <f t="shared" si="299"/>
        <v>106,35</v>
      </c>
      <c r="Y323" s="4" t="str">
        <f t="shared" si="300"/>
        <v>1,2025</v>
      </c>
      <c r="AB323" s="4" t="str">
        <f t="shared" si="322"/>
        <v>104,730</v>
      </c>
      <c r="AC323" s="4" t="str">
        <f t="shared" si="302"/>
        <v>105,365</v>
      </c>
      <c r="AD323" s="4" t="str">
        <f t="shared" si="303"/>
        <v>106,175</v>
      </c>
      <c r="AE323" s="4" t="str">
        <f t="shared" si="304"/>
        <v>3,500</v>
      </c>
      <c r="AG323" s="4" t="str">
        <f t="shared" si="323"/>
        <v>104,73</v>
      </c>
      <c r="AH323" s="4" t="str">
        <f t="shared" si="306"/>
        <v>105,37</v>
      </c>
      <c r="AI323" s="4" t="str">
        <f t="shared" si="307"/>
        <v>106,18</v>
      </c>
      <c r="AJ323" s="4" t="str">
        <f t="shared" si="324"/>
        <v>1,2532</v>
      </c>
    </row>
    <row r="324" spans="1:36" s="4" customFormat="1" x14ac:dyDescent="0.25">
      <c r="A324" s="21">
        <v>76</v>
      </c>
      <c r="B324" s="22">
        <f>IF(关卡产出!C489="","",关卡产出!C489)</f>
        <v>148</v>
      </c>
      <c r="C324" s="22">
        <f>IF(关卡产出!D489="","",关卡产出!D489)</f>
        <v>73</v>
      </c>
      <c r="D324" s="22">
        <f>IF(关卡产出!E489="","",关卡产出!E489)</f>
        <v>35</v>
      </c>
      <c r="E324" s="22">
        <f>IF(关卡产出!F489="","",关卡产出!F489)</f>
        <v>2025</v>
      </c>
      <c r="F324" s="22">
        <f>IF(关卡产出!H489="","",关卡产出!H489)</f>
        <v>36250</v>
      </c>
      <c r="G324" s="22">
        <f>IF(关卡产出!J489="","",关卡产出!J489)</f>
        <v>72000</v>
      </c>
      <c r="H324" s="22">
        <f>IF(关卡产出!K489="","",关卡产出!K489)</f>
        <v>6</v>
      </c>
      <c r="I324" s="22">
        <f>IF(关卡产出!M489="","",关卡产出!M489)</f>
        <v>740</v>
      </c>
      <c r="J324" s="22">
        <f>IF(关卡产出!N489="","",关卡产出!N489)</f>
        <v>370</v>
      </c>
      <c r="K324" s="22">
        <f>IF(关卡产出!O489="","",关卡产出!O489)</f>
        <v>178</v>
      </c>
      <c r="L324" s="22">
        <f>IF(关卡产出!P489="","",关卡产出!P489)</f>
        <v>500</v>
      </c>
      <c r="N324" s="4" t="str">
        <f t="shared" si="318"/>
        <v>104,148|105,73|106,35|1,2025</v>
      </c>
      <c r="P324" t="str">
        <f t="shared" si="316"/>
        <v>11,1|1,36250</v>
      </c>
      <c r="Q324" t="str">
        <f t="shared" si="317"/>
        <v>163,1|1,72000|4,6</v>
      </c>
      <c r="R324" s="4" t="str">
        <f t="shared" si="319"/>
        <v>104,740|105,370|106,178|3,500</v>
      </c>
      <c r="S324" s="4" t="str">
        <f t="shared" si="320"/>
        <v>104,74|105,37|106,18|1,2532</v>
      </c>
      <c r="V324" s="4" t="str">
        <f t="shared" si="321"/>
        <v>104,148</v>
      </c>
      <c r="W324" s="4" t="str">
        <f t="shared" si="298"/>
        <v>105,73</v>
      </c>
      <c r="X324" s="4" t="str">
        <f t="shared" si="299"/>
        <v>106,35</v>
      </c>
      <c r="Y324" s="4" t="str">
        <f t="shared" si="300"/>
        <v>1,2025</v>
      </c>
      <c r="AB324" s="4" t="str">
        <f t="shared" si="322"/>
        <v>104,740</v>
      </c>
      <c r="AC324" s="4" t="str">
        <f t="shared" si="302"/>
        <v>105,370</v>
      </c>
      <c r="AD324" s="4" t="str">
        <f t="shared" si="303"/>
        <v>106,178</v>
      </c>
      <c r="AE324" s="4" t="str">
        <f t="shared" si="304"/>
        <v>3,500</v>
      </c>
      <c r="AG324" s="4" t="str">
        <f t="shared" si="323"/>
        <v>104,74</v>
      </c>
      <c r="AH324" s="4" t="str">
        <f t="shared" si="306"/>
        <v>105,37</v>
      </c>
      <c r="AI324" s="4" t="str">
        <f t="shared" si="307"/>
        <v>106,18</v>
      </c>
      <c r="AJ324" s="4" t="str">
        <f t="shared" si="324"/>
        <v>1,2532</v>
      </c>
    </row>
    <row r="325" spans="1:36" s="4" customFormat="1" x14ac:dyDescent="0.25">
      <c r="A325" s="21">
        <v>77</v>
      </c>
      <c r="B325" s="22">
        <f>IF(关卡产出!C490="","",关卡产出!C490)</f>
        <v>150</v>
      </c>
      <c r="C325" s="22">
        <f>IF(关卡产出!D490="","",关卡产出!D490)</f>
        <v>75</v>
      </c>
      <c r="D325" s="22">
        <f>IF(关卡产出!E490="","",关卡产出!E490)</f>
        <v>35</v>
      </c>
      <c r="E325" s="22">
        <f>IF(关卡产出!F490="","",关卡产出!F490)</f>
        <v>2075</v>
      </c>
      <c r="F325" s="22">
        <f>IF(关卡产出!H490="","",关卡产出!H490)</f>
        <v>36750</v>
      </c>
      <c r="G325" s="22">
        <f>IF(关卡产出!J490="","",关卡产出!J490)</f>
        <v>73000</v>
      </c>
      <c r="H325" s="22">
        <f>IF(关卡产出!K490="","",关卡产出!K490)</f>
        <v>6</v>
      </c>
      <c r="I325" s="22">
        <f>IF(关卡产出!M490="","",关卡产出!M490)</f>
        <v>750</v>
      </c>
      <c r="J325" s="22">
        <f>IF(关卡产出!N490="","",关卡产出!N490)</f>
        <v>375</v>
      </c>
      <c r="K325" s="22">
        <f>IF(关卡产出!O490="","",关卡产出!O490)</f>
        <v>180</v>
      </c>
      <c r="L325" s="22">
        <f>IF(关卡产出!P490="","",关卡产出!P490)</f>
        <v>500</v>
      </c>
      <c r="N325" s="4" t="str">
        <f t="shared" si="318"/>
        <v>104,150|105,75|106,35|1,2075</v>
      </c>
      <c r="P325" t="str">
        <f t="shared" si="316"/>
        <v>11,1|1,36750</v>
      </c>
      <c r="Q325" t="str">
        <f t="shared" si="317"/>
        <v>163,1|1,73000|4,6</v>
      </c>
      <c r="R325" s="4" t="str">
        <f t="shared" si="319"/>
        <v>104,750|105,375|106,180|3,500</v>
      </c>
      <c r="S325" s="4" t="str">
        <f t="shared" si="320"/>
        <v>104,75|105,38|106,18|1,2594</v>
      </c>
      <c r="V325" s="4" t="str">
        <f t="shared" si="321"/>
        <v>104,150</v>
      </c>
      <c r="W325" s="4" t="str">
        <f t="shared" si="298"/>
        <v>105,75</v>
      </c>
      <c r="X325" s="4" t="str">
        <f t="shared" si="299"/>
        <v>106,35</v>
      </c>
      <c r="Y325" s="4" t="str">
        <f t="shared" si="300"/>
        <v>1,2075</v>
      </c>
      <c r="AB325" s="4" t="str">
        <f t="shared" si="322"/>
        <v>104,750</v>
      </c>
      <c r="AC325" s="4" t="str">
        <f t="shared" si="302"/>
        <v>105,375</v>
      </c>
      <c r="AD325" s="4" t="str">
        <f t="shared" si="303"/>
        <v>106,180</v>
      </c>
      <c r="AE325" s="4" t="str">
        <f t="shared" si="304"/>
        <v>3,500</v>
      </c>
      <c r="AG325" s="4" t="str">
        <f t="shared" si="323"/>
        <v>104,75</v>
      </c>
      <c r="AH325" s="4" t="str">
        <f t="shared" si="306"/>
        <v>105,38</v>
      </c>
      <c r="AI325" s="4" t="str">
        <f t="shared" si="307"/>
        <v>106,18</v>
      </c>
      <c r="AJ325" s="4" t="str">
        <f t="shared" si="324"/>
        <v>1,2594</v>
      </c>
    </row>
    <row r="326" spans="1:36" s="4" customFormat="1" x14ac:dyDescent="0.25">
      <c r="A326" s="21">
        <v>78</v>
      </c>
      <c r="B326" s="22">
        <f>IF(关卡产出!C491="","",关卡产出!C491)</f>
        <v>153</v>
      </c>
      <c r="C326" s="22">
        <f>IF(关卡产出!D491="","",关卡产出!D491)</f>
        <v>75</v>
      </c>
      <c r="D326" s="22">
        <f>IF(关卡产出!E491="","",关卡产出!E491)</f>
        <v>38</v>
      </c>
      <c r="E326" s="22">
        <f>IF(关卡产出!F491="","",关卡产出!F491)</f>
        <v>2075</v>
      </c>
      <c r="F326" s="22">
        <f>IF(关卡产出!H491="","",关卡产出!H491)</f>
        <v>37250</v>
      </c>
      <c r="G326" s="22">
        <f>IF(关卡产出!J491="","",关卡产出!J491)</f>
        <v>74000</v>
      </c>
      <c r="H326" s="22">
        <f>IF(关卡产出!K491="","",关卡产出!K491)</f>
        <v>6</v>
      </c>
      <c r="I326" s="22">
        <f>IF(关卡产出!M491="","",关卡产出!M491)</f>
        <v>760</v>
      </c>
      <c r="J326" s="22">
        <f>IF(关卡产出!N491="","",关卡产出!N491)</f>
        <v>380</v>
      </c>
      <c r="K326" s="22">
        <f>IF(关卡产出!O491="","",关卡产出!O491)</f>
        <v>183</v>
      </c>
      <c r="L326" s="22">
        <f>IF(关卡产出!P491="","",关卡产出!P491)</f>
        <v>500</v>
      </c>
      <c r="N326" s="4" t="str">
        <f t="shared" si="318"/>
        <v>104,153|105,75|106,38|1,2075</v>
      </c>
      <c r="P326" t="str">
        <f t="shared" si="316"/>
        <v>11,1|1,37250</v>
      </c>
      <c r="Q326" t="str">
        <f t="shared" si="317"/>
        <v>163,1|1,74000|4,6</v>
      </c>
      <c r="R326" s="4" t="str">
        <f t="shared" si="319"/>
        <v>104,760|105,380|106,183|3,500</v>
      </c>
      <c r="S326" s="4" t="str">
        <f t="shared" si="320"/>
        <v>104,77|105,38|106,19|1,2594</v>
      </c>
      <c r="V326" s="4" t="str">
        <f t="shared" si="321"/>
        <v>104,153</v>
      </c>
      <c r="W326" s="4" t="str">
        <f t="shared" si="298"/>
        <v>105,75</v>
      </c>
      <c r="X326" s="4" t="str">
        <f t="shared" si="299"/>
        <v>106,38</v>
      </c>
      <c r="Y326" s="4" t="str">
        <f t="shared" si="300"/>
        <v>1,2075</v>
      </c>
      <c r="AB326" s="4" t="str">
        <f t="shared" si="322"/>
        <v>104,760</v>
      </c>
      <c r="AC326" s="4" t="str">
        <f t="shared" si="302"/>
        <v>105,380</v>
      </c>
      <c r="AD326" s="4" t="str">
        <f t="shared" si="303"/>
        <v>106,183</v>
      </c>
      <c r="AE326" s="4" t="str">
        <f t="shared" si="304"/>
        <v>3,500</v>
      </c>
      <c r="AG326" s="4" t="str">
        <f t="shared" si="323"/>
        <v>104,77</v>
      </c>
      <c r="AH326" s="4" t="str">
        <f t="shared" si="306"/>
        <v>105,38</v>
      </c>
      <c r="AI326" s="4" t="str">
        <f t="shared" si="307"/>
        <v>106,19</v>
      </c>
      <c r="AJ326" s="4" t="str">
        <f t="shared" si="324"/>
        <v>1,2594</v>
      </c>
    </row>
    <row r="327" spans="1:36" s="5" customFormat="1" x14ac:dyDescent="0.25">
      <c r="A327" s="21">
        <v>79</v>
      </c>
      <c r="B327" s="23">
        <f>IF(关卡产出!C492="","",关卡产出!C492)</f>
        <v>155</v>
      </c>
      <c r="C327" s="23">
        <f>IF(关卡产出!D492="","",关卡产出!D492)</f>
        <v>78</v>
      </c>
      <c r="D327" s="23">
        <f>IF(关卡产出!E492="","",关卡产出!E492)</f>
        <v>38</v>
      </c>
      <c r="E327" s="23">
        <f>IF(关卡产出!F492="","",关卡产出!F492)</f>
        <v>2125</v>
      </c>
      <c r="F327" s="23">
        <f>IF(关卡产出!H492="","",关卡产出!H492)</f>
        <v>37750</v>
      </c>
      <c r="G327" s="23">
        <f>IF(关卡产出!J492="","",关卡产出!J492)</f>
        <v>75000</v>
      </c>
      <c r="H327" s="23">
        <f>IF(关卡产出!K492="","",关卡产出!K492)</f>
        <v>6</v>
      </c>
      <c r="I327" s="23">
        <f>IF(关卡产出!M492="","",关卡产出!M492)</f>
        <v>770</v>
      </c>
      <c r="J327" s="23">
        <f>IF(关卡产出!N492="","",关卡产出!N492)</f>
        <v>385</v>
      </c>
      <c r="K327" s="23">
        <f>IF(关卡产出!O492="","",关卡产出!O492)</f>
        <v>185</v>
      </c>
      <c r="L327" s="23">
        <f>IF(关卡产出!P492="","",关卡产出!P492)</f>
        <v>500</v>
      </c>
      <c r="N327" s="5" t="str">
        <f t="shared" si="318"/>
        <v>104,155|105,78|106,38|1,2125</v>
      </c>
      <c r="P327" t="str">
        <f t="shared" si="316"/>
        <v>11,1|1,37750</v>
      </c>
      <c r="Q327" t="str">
        <f t="shared" si="317"/>
        <v>163,1|1,75000|4,6</v>
      </c>
      <c r="R327" s="5" t="str">
        <f t="shared" si="319"/>
        <v>104,770|105,385|106,185|3,500</v>
      </c>
      <c r="S327" s="5" t="str">
        <f t="shared" si="320"/>
        <v>104,78|105,39|106,19|1,2657</v>
      </c>
      <c r="V327" s="5" t="str">
        <f t="shared" si="321"/>
        <v>104,155</v>
      </c>
      <c r="W327" s="5" t="str">
        <f t="shared" si="298"/>
        <v>105,78</v>
      </c>
      <c r="X327" s="5" t="str">
        <f t="shared" si="299"/>
        <v>106,38</v>
      </c>
      <c r="Y327" s="5" t="str">
        <f t="shared" si="300"/>
        <v>1,2125</v>
      </c>
      <c r="AB327" s="5" t="str">
        <f t="shared" si="322"/>
        <v>104,770</v>
      </c>
      <c r="AC327" s="5" t="str">
        <f t="shared" si="302"/>
        <v>105,385</v>
      </c>
      <c r="AD327" s="5" t="str">
        <f t="shared" si="303"/>
        <v>106,185</v>
      </c>
      <c r="AE327" s="5" t="str">
        <f t="shared" si="304"/>
        <v>3,500</v>
      </c>
      <c r="AG327" s="5" t="str">
        <f t="shared" si="323"/>
        <v>104,78</v>
      </c>
      <c r="AH327" s="5" t="str">
        <f t="shared" si="306"/>
        <v>105,39</v>
      </c>
      <c r="AI327" s="5" t="str">
        <f t="shared" si="307"/>
        <v>106,19</v>
      </c>
      <c r="AJ327" s="5" t="str">
        <f t="shared" si="324"/>
        <v>1,2657</v>
      </c>
    </row>
    <row r="328" spans="1:36" s="4" customFormat="1" x14ac:dyDescent="0.25">
      <c r="A328" s="21">
        <v>80</v>
      </c>
      <c r="B328" s="22">
        <f>IF(关卡产出!C493="","",关卡产出!C493)</f>
        <v>155</v>
      </c>
      <c r="C328" s="22">
        <f>IF(关卡产出!D493="","",关卡产出!D493)</f>
        <v>78</v>
      </c>
      <c r="D328" s="22">
        <f>IF(关卡产出!E493="","",关卡产出!E493)</f>
        <v>38</v>
      </c>
      <c r="E328" s="22">
        <f>IF(关卡产出!F493="","",关卡产出!F493)</f>
        <v>2125</v>
      </c>
      <c r="F328" s="22">
        <f>IF(关卡产出!H493="","",关卡产出!H493)</f>
        <v>38250</v>
      </c>
      <c r="G328" s="22">
        <f>IF(关卡产出!J493="","",关卡产出!J493)</f>
        <v>76000</v>
      </c>
      <c r="H328" s="22">
        <f>IF(关卡产出!K493="","",关卡产出!K493)</f>
        <v>6</v>
      </c>
      <c r="I328" s="22">
        <f>IF(关卡产出!M493="","",关卡产出!M493)</f>
        <v>780</v>
      </c>
      <c r="J328" s="22">
        <f>IF(关卡产出!N493="","",关卡产出!N493)</f>
        <v>390</v>
      </c>
      <c r="K328" s="22">
        <f>IF(关卡产出!O493="","",关卡产出!O493)</f>
        <v>188</v>
      </c>
      <c r="L328" s="22">
        <f>IF(关卡产出!P493="","",关卡产出!P493)</f>
        <v>500</v>
      </c>
      <c r="N328" s="4" t="str">
        <f t="shared" si="318"/>
        <v>104,155|105,78|106,38|1,2125</v>
      </c>
      <c r="P328" t="str">
        <f t="shared" si="316"/>
        <v>11,1|1,38250</v>
      </c>
      <c r="Q328" t="str">
        <f t="shared" si="317"/>
        <v>163,1|1,76000|4,6</v>
      </c>
      <c r="R328" s="4" t="str">
        <f t="shared" si="319"/>
        <v>104,780|105,390|106,188|3,500</v>
      </c>
      <c r="S328" s="4" t="str">
        <f t="shared" si="320"/>
        <v>104,78|105,39|106,19|1,2657</v>
      </c>
      <c r="V328" s="4" t="str">
        <f t="shared" si="321"/>
        <v>104,155</v>
      </c>
      <c r="W328" s="4" t="str">
        <f t="shared" si="298"/>
        <v>105,78</v>
      </c>
      <c r="X328" s="4" t="str">
        <f t="shared" si="299"/>
        <v>106,38</v>
      </c>
      <c r="Y328" s="4" t="str">
        <f t="shared" si="300"/>
        <v>1,2125</v>
      </c>
      <c r="AB328" s="4" t="str">
        <f t="shared" si="322"/>
        <v>104,780</v>
      </c>
      <c r="AC328" s="4" t="str">
        <f t="shared" si="302"/>
        <v>105,390</v>
      </c>
      <c r="AD328" s="4" t="str">
        <f t="shared" si="303"/>
        <v>106,188</v>
      </c>
      <c r="AE328" s="4" t="str">
        <f t="shared" si="304"/>
        <v>3,500</v>
      </c>
      <c r="AG328" s="4" t="str">
        <f t="shared" si="323"/>
        <v>104,78</v>
      </c>
      <c r="AH328" s="4" t="str">
        <f t="shared" si="306"/>
        <v>105,39</v>
      </c>
      <c r="AI328" s="4" t="str">
        <f t="shared" si="307"/>
        <v>106,19</v>
      </c>
      <c r="AJ328" s="4" t="str">
        <f t="shared" si="324"/>
        <v>1,2657</v>
      </c>
    </row>
    <row r="329" spans="1:36" x14ac:dyDescent="0.25">
      <c r="A329" s="14">
        <v>81</v>
      </c>
      <c r="B329" s="15">
        <f>IF(关卡产出!C494="","",关卡产出!C494)</f>
        <v>158</v>
      </c>
      <c r="C329" s="15">
        <f>IF(关卡产出!D494="","",关卡产出!D494)</f>
        <v>78</v>
      </c>
      <c r="D329" s="15">
        <f>IF(关卡产出!E494="","",关卡产出!E494)</f>
        <v>38</v>
      </c>
      <c r="E329" s="15">
        <f>IF(关卡产出!F494="","",关卡产出!F494)</f>
        <v>2175</v>
      </c>
      <c r="F329" s="15">
        <f>IF(关卡产出!H494="","",关卡产出!H494)</f>
        <v>38750</v>
      </c>
      <c r="G329" s="15">
        <f>IF(关卡产出!J494="","",关卡产出!J494)</f>
        <v>77000</v>
      </c>
      <c r="H329" s="15">
        <f>IF(关卡产出!K494="","",关卡产出!K494)</f>
        <v>6</v>
      </c>
      <c r="I329" s="15">
        <f>IF(关卡产出!M494="","",关卡产出!M494)</f>
        <v>790</v>
      </c>
      <c r="J329" s="15">
        <f>IF(关卡产出!N494="","",关卡产出!N494)</f>
        <v>395</v>
      </c>
      <c r="K329" s="15">
        <f>IF(关卡产出!O494="","",关卡产出!O494)</f>
        <v>190</v>
      </c>
      <c r="L329" s="15">
        <f>IF(关卡产出!P494="","",关卡产出!P494)</f>
        <v>500</v>
      </c>
      <c r="N329" t="str">
        <f t="shared" si="318"/>
        <v>104,158|105,78|106,38|1,2175</v>
      </c>
      <c r="P329" t="str">
        <f t="shared" si="316"/>
        <v>11,1|1,38750</v>
      </c>
      <c r="Q329" t="str">
        <f t="shared" si="317"/>
        <v>163,1|1,77000|4,6</v>
      </c>
      <c r="R329" t="str">
        <f t="shared" si="319"/>
        <v>104,790|105,395|106,190|3,500</v>
      </c>
      <c r="S329" t="str">
        <f t="shared" si="320"/>
        <v>104,79|105,39|106,19|1,2719</v>
      </c>
      <c r="V329" t="str">
        <f t="shared" si="321"/>
        <v>104,158</v>
      </c>
      <c r="W329" t="str">
        <f t="shared" si="298"/>
        <v>105,78</v>
      </c>
      <c r="X329" t="str">
        <f t="shared" si="299"/>
        <v>106,38</v>
      </c>
      <c r="Y329" t="str">
        <f t="shared" si="300"/>
        <v>1,2175</v>
      </c>
      <c r="AB329" t="str">
        <f t="shared" si="322"/>
        <v>104,790</v>
      </c>
      <c r="AC329" t="str">
        <f t="shared" si="302"/>
        <v>105,395</v>
      </c>
      <c r="AD329" t="str">
        <f t="shared" si="303"/>
        <v>106,190</v>
      </c>
      <c r="AE329" t="str">
        <f t="shared" si="304"/>
        <v>3,500</v>
      </c>
      <c r="AG329" t="str">
        <f t="shared" si="323"/>
        <v>104,79</v>
      </c>
      <c r="AH329" t="str">
        <f t="shared" si="306"/>
        <v>105,39</v>
      </c>
      <c r="AI329" t="str">
        <f t="shared" si="307"/>
        <v>106,19</v>
      </c>
      <c r="AJ329" t="str">
        <f t="shared" si="324"/>
        <v>1,2719</v>
      </c>
    </row>
    <row r="330" spans="1:36" x14ac:dyDescent="0.25">
      <c r="A330" s="14">
        <v>82</v>
      </c>
      <c r="B330" s="15">
        <f>IF(关卡产出!C495="","",关卡产出!C495)</f>
        <v>160</v>
      </c>
      <c r="C330" s="15">
        <f>IF(关卡产出!D495="","",关卡产出!D495)</f>
        <v>80</v>
      </c>
      <c r="D330" s="15">
        <f>IF(关卡产出!E495="","",关卡产出!E495)</f>
        <v>38</v>
      </c>
      <c r="E330" s="15">
        <f>IF(关卡产出!F495="","",关卡产出!F495)</f>
        <v>2175</v>
      </c>
      <c r="F330" s="15">
        <f>IF(关卡产出!H495="","",关卡产出!H495)</f>
        <v>39250</v>
      </c>
      <c r="G330" s="15">
        <f>IF(关卡产出!J495="","",关卡产出!J495)</f>
        <v>78000</v>
      </c>
      <c r="H330" s="15">
        <f>IF(关卡产出!K495="","",关卡产出!K495)</f>
        <v>6</v>
      </c>
      <c r="I330" s="15">
        <f>IF(关卡产出!M495="","",关卡产出!M495)</f>
        <v>800</v>
      </c>
      <c r="J330" s="15">
        <f>IF(关卡产出!N495="","",关卡产出!N495)</f>
        <v>400</v>
      </c>
      <c r="K330" s="15">
        <f>IF(关卡产出!O495="","",关卡产出!O495)</f>
        <v>193</v>
      </c>
      <c r="L330" s="15">
        <f>IF(关卡产出!P495="","",关卡产出!P495)</f>
        <v>500</v>
      </c>
      <c r="N330" t="str">
        <f t="shared" si="318"/>
        <v>104,160|105,80|106,38|1,2175</v>
      </c>
      <c r="P330" t="str">
        <f t="shared" si="316"/>
        <v>11,1|1,39250</v>
      </c>
      <c r="Q330" t="str">
        <f t="shared" si="317"/>
        <v>163,1|1,78000|4,6</v>
      </c>
      <c r="R330" t="str">
        <f t="shared" si="319"/>
        <v>104,800|105,400|106,193|3,500</v>
      </c>
      <c r="S330" t="str">
        <f t="shared" si="320"/>
        <v>104,80|105,40|106,19|1,2719</v>
      </c>
      <c r="V330" t="str">
        <f t="shared" si="321"/>
        <v>104,160</v>
      </c>
      <c r="W330" t="str">
        <f t="shared" si="298"/>
        <v>105,80</v>
      </c>
      <c r="X330" t="str">
        <f t="shared" si="299"/>
        <v>106,38</v>
      </c>
      <c r="Y330" t="str">
        <f t="shared" si="300"/>
        <v>1,2175</v>
      </c>
      <c r="AB330" t="str">
        <f t="shared" si="322"/>
        <v>104,800</v>
      </c>
      <c r="AC330" t="str">
        <f t="shared" si="302"/>
        <v>105,400</v>
      </c>
      <c r="AD330" t="str">
        <f t="shared" si="303"/>
        <v>106,193</v>
      </c>
      <c r="AE330" t="str">
        <f t="shared" si="304"/>
        <v>3,500</v>
      </c>
      <c r="AG330" t="str">
        <f t="shared" si="323"/>
        <v>104,80</v>
      </c>
      <c r="AH330" t="str">
        <f t="shared" si="306"/>
        <v>105,40</v>
      </c>
      <c r="AI330" t="str">
        <f t="shared" si="307"/>
        <v>106,19</v>
      </c>
      <c r="AJ330" t="str">
        <f t="shared" si="324"/>
        <v>1,2719</v>
      </c>
    </row>
    <row r="331" spans="1:36" x14ac:dyDescent="0.25">
      <c r="A331" s="14">
        <v>83</v>
      </c>
      <c r="B331" s="15">
        <f>IF(关卡产出!C496="","",关卡产出!C496)</f>
        <v>163</v>
      </c>
      <c r="C331" s="15">
        <f>IF(关卡产出!D496="","",关卡产出!D496)</f>
        <v>80</v>
      </c>
      <c r="D331" s="15">
        <f>IF(关卡产出!E496="","",关卡产出!E496)</f>
        <v>40</v>
      </c>
      <c r="E331" s="15">
        <f>IF(关卡产出!F496="","",关卡产出!F496)</f>
        <v>2225</v>
      </c>
      <c r="F331" s="15">
        <f>IF(关卡产出!H496="","",关卡产出!H496)</f>
        <v>39750</v>
      </c>
      <c r="G331" s="15">
        <f>IF(关卡产出!J496="","",关卡产出!J496)</f>
        <v>79000</v>
      </c>
      <c r="H331" s="15">
        <f>IF(关卡产出!K496="","",关卡产出!K496)</f>
        <v>6</v>
      </c>
      <c r="I331" s="15">
        <f>IF(关卡产出!M496="","",关卡产出!M496)</f>
        <v>810</v>
      </c>
      <c r="J331" s="15">
        <f>IF(关卡产出!N496="","",关卡产出!N496)</f>
        <v>405</v>
      </c>
      <c r="K331" s="15">
        <f>IF(关卡产出!O496="","",关卡产出!O496)</f>
        <v>195</v>
      </c>
      <c r="L331" s="15">
        <f>IF(关卡产出!P496="","",关卡产出!P496)</f>
        <v>500</v>
      </c>
      <c r="N331" t="str">
        <f t="shared" si="318"/>
        <v>104,163|105,80|106,40|1,2225</v>
      </c>
      <c r="P331" t="str">
        <f t="shared" si="316"/>
        <v>11,1|1,39750</v>
      </c>
      <c r="Q331" t="str">
        <f t="shared" si="317"/>
        <v>163,1|1,79000|4,6</v>
      </c>
      <c r="R331" t="str">
        <f t="shared" si="319"/>
        <v>104,810|105,405|106,195|3,500</v>
      </c>
      <c r="S331" t="str">
        <f t="shared" si="320"/>
        <v>104,82|105,40|106,20|1,2782</v>
      </c>
      <c r="V331" t="str">
        <f t="shared" si="321"/>
        <v>104,163</v>
      </c>
      <c r="W331" t="str">
        <f t="shared" si="298"/>
        <v>105,80</v>
      </c>
      <c r="X331" t="str">
        <f t="shared" si="299"/>
        <v>106,40</v>
      </c>
      <c r="Y331" t="str">
        <f t="shared" si="300"/>
        <v>1,2225</v>
      </c>
      <c r="AB331" t="str">
        <f t="shared" si="322"/>
        <v>104,810</v>
      </c>
      <c r="AC331" t="str">
        <f t="shared" si="302"/>
        <v>105,405</v>
      </c>
      <c r="AD331" t="str">
        <f t="shared" si="303"/>
        <v>106,195</v>
      </c>
      <c r="AE331" t="str">
        <f t="shared" si="304"/>
        <v>3,500</v>
      </c>
      <c r="AG331" t="str">
        <f t="shared" si="323"/>
        <v>104,82</v>
      </c>
      <c r="AH331" t="str">
        <f t="shared" si="306"/>
        <v>105,40</v>
      </c>
      <c r="AI331" t="str">
        <f t="shared" si="307"/>
        <v>106,20</v>
      </c>
      <c r="AJ331" t="str">
        <f t="shared" si="324"/>
        <v>1,2782</v>
      </c>
    </row>
    <row r="332" spans="1:36" x14ac:dyDescent="0.25">
      <c r="A332" s="14">
        <v>84</v>
      </c>
      <c r="B332" s="15">
        <f>IF(关卡产出!C497="","",关卡产出!C497)</f>
        <v>165</v>
      </c>
      <c r="C332" s="15">
        <f>IF(关卡产出!D497="","",关卡产出!D497)</f>
        <v>83</v>
      </c>
      <c r="D332" s="15">
        <f>IF(关卡产出!E497="","",关卡产出!E497)</f>
        <v>40</v>
      </c>
      <c r="E332" s="15">
        <f>IF(关卡产出!F497="","",关卡产出!F497)</f>
        <v>2225</v>
      </c>
      <c r="F332" s="15">
        <f>IF(关卡产出!H497="","",关卡产出!H497)</f>
        <v>40250</v>
      </c>
      <c r="G332" s="15">
        <f>IF(关卡产出!J497="","",关卡产出!J497)</f>
        <v>80000</v>
      </c>
      <c r="H332" s="15">
        <f>IF(关卡产出!K497="","",关卡产出!K497)</f>
        <v>6</v>
      </c>
      <c r="I332" s="15">
        <f>IF(关卡产出!M497="","",关卡产出!M497)</f>
        <v>820</v>
      </c>
      <c r="J332" s="15">
        <f>IF(关卡产出!N497="","",关卡产出!N497)</f>
        <v>410</v>
      </c>
      <c r="K332" s="15">
        <f>IF(关卡产出!O497="","",关卡产出!O497)</f>
        <v>198</v>
      </c>
      <c r="L332" s="15">
        <f>IF(关卡产出!P497="","",关卡产出!P497)</f>
        <v>500</v>
      </c>
      <c r="N332" t="str">
        <f t="shared" si="318"/>
        <v>104,165|105,83|106,40|1,2225</v>
      </c>
      <c r="P332" t="str">
        <f t="shared" si="316"/>
        <v>11,1|1,40250</v>
      </c>
      <c r="Q332" t="str">
        <f t="shared" si="317"/>
        <v>163,1|1,80000|4,6</v>
      </c>
      <c r="R332" t="str">
        <f t="shared" si="319"/>
        <v>104,820|105,410|106,198|3,500</v>
      </c>
      <c r="S332" t="str">
        <f t="shared" si="320"/>
        <v>104,83|105,42|106,20|1,2782</v>
      </c>
      <c r="V332" t="str">
        <f t="shared" si="321"/>
        <v>104,165</v>
      </c>
      <c r="W332" t="str">
        <f t="shared" si="298"/>
        <v>105,83</v>
      </c>
      <c r="X332" t="str">
        <f t="shared" si="299"/>
        <v>106,40</v>
      </c>
      <c r="Y332" t="str">
        <f t="shared" si="300"/>
        <v>1,2225</v>
      </c>
      <c r="AB332" t="str">
        <f t="shared" si="322"/>
        <v>104,820</v>
      </c>
      <c r="AC332" t="str">
        <f t="shared" si="302"/>
        <v>105,410</v>
      </c>
      <c r="AD332" t="str">
        <f t="shared" si="303"/>
        <v>106,198</v>
      </c>
      <c r="AE332" t="str">
        <f t="shared" si="304"/>
        <v>3,500</v>
      </c>
      <c r="AG332" t="str">
        <f t="shared" si="323"/>
        <v>104,83</v>
      </c>
      <c r="AH332" t="str">
        <f t="shared" si="306"/>
        <v>105,42</v>
      </c>
      <c r="AI332" t="str">
        <f t="shared" si="307"/>
        <v>106,20</v>
      </c>
      <c r="AJ332" t="str">
        <f t="shared" si="324"/>
        <v>1,2782</v>
      </c>
    </row>
    <row r="333" spans="1:36" x14ac:dyDescent="0.25">
      <c r="A333" s="14">
        <v>85</v>
      </c>
      <c r="B333" s="15">
        <f>IF(关卡产出!C498="","",关卡产出!C498)</f>
        <v>165</v>
      </c>
      <c r="C333" s="15">
        <f>IF(关卡产出!D498="","",关卡产出!D498)</f>
        <v>83</v>
      </c>
      <c r="D333" s="15">
        <f>IF(关卡产出!E498="","",关卡产出!E498)</f>
        <v>40</v>
      </c>
      <c r="E333" s="15">
        <f>IF(关卡产出!F498="","",关卡产出!F498)</f>
        <v>2275</v>
      </c>
      <c r="F333" s="15">
        <f>IF(关卡产出!H498="","",关卡产出!H498)</f>
        <v>40750</v>
      </c>
      <c r="G333" s="15">
        <f>IF(关卡产出!J498="","",关卡产出!J498)</f>
        <v>81000</v>
      </c>
      <c r="H333" s="15">
        <f>IF(关卡产出!K498="","",关卡产出!K498)</f>
        <v>6</v>
      </c>
      <c r="I333" s="15">
        <f>IF(关卡产出!M498="","",关卡产出!M498)</f>
        <v>830</v>
      </c>
      <c r="J333" s="15">
        <f>IF(关卡产出!N498="","",关卡产出!N498)</f>
        <v>415</v>
      </c>
      <c r="K333" s="15">
        <f>IF(关卡产出!O498="","",关卡产出!O498)</f>
        <v>200</v>
      </c>
      <c r="L333" s="15">
        <f>IF(关卡产出!P498="","",关卡产出!P498)</f>
        <v>500</v>
      </c>
      <c r="N333" t="str">
        <f t="shared" si="318"/>
        <v>104,165|105,83|106,40|1,2275</v>
      </c>
      <c r="P333" t="str">
        <f t="shared" si="316"/>
        <v>11,1|1,40750</v>
      </c>
      <c r="Q333" t="str">
        <f t="shared" si="317"/>
        <v>163,1|1,81000|4,6</v>
      </c>
      <c r="R333" t="str">
        <f t="shared" si="319"/>
        <v>104,830|105,415|106,200|3,500</v>
      </c>
      <c r="S333" t="str">
        <f t="shared" si="320"/>
        <v>104,83|105,42|106,20|1,2844</v>
      </c>
      <c r="V333" t="str">
        <f t="shared" si="321"/>
        <v>104,165</v>
      </c>
      <c r="W333" t="str">
        <f t="shared" si="298"/>
        <v>105,83</v>
      </c>
      <c r="X333" t="str">
        <f t="shared" si="299"/>
        <v>106,40</v>
      </c>
      <c r="Y333" t="str">
        <f t="shared" si="300"/>
        <v>1,2275</v>
      </c>
      <c r="AB333" t="str">
        <f t="shared" si="322"/>
        <v>104,830</v>
      </c>
      <c r="AC333" t="str">
        <f t="shared" si="302"/>
        <v>105,415</v>
      </c>
      <c r="AD333" t="str">
        <f t="shared" si="303"/>
        <v>106,200</v>
      </c>
      <c r="AE333" t="str">
        <f t="shared" si="304"/>
        <v>3,500</v>
      </c>
      <c r="AG333" t="str">
        <f t="shared" si="323"/>
        <v>104,83</v>
      </c>
      <c r="AH333" t="str">
        <f t="shared" si="306"/>
        <v>105,42</v>
      </c>
      <c r="AI333" t="str">
        <f t="shared" si="307"/>
        <v>106,20</v>
      </c>
      <c r="AJ333" t="str">
        <f t="shared" si="324"/>
        <v>1,2844</v>
      </c>
    </row>
    <row r="334" spans="1:36" x14ac:dyDescent="0.25">
      <c r="A334" s="14">
        <v>86</v>
      </c>
      <c r="B334" s="15">
        <f>IF(关卡产出!C499="","",关卡产出!C499)</f>
        <v>168</v>
      </c>
      <c r="C334" s="15">
        <f>IF(关卡产出!D499="","",关卡产出!D499)</f>
        <v>83</v>
      </c>
      <c r="D334" s="15">
        <f>IF(关卡产出!E499="","",关卡产出!E499)</f>
        <v>40</v>
      </c>
      <c r="E334" s="15">
        <f>IF(关卡产出!F499="","",关卡产出!F499)</f>
        <v>2275</v>
      </c>
      <c r="F334" s="15">
        <f>IF(关卡产出!H499="","",关卡产出!H499)</f>
        <v>41250</v>
      </c>
      <c r="G334" s="15">
        <f>IF(关卡产出!J499="","",关卡产出!J499)</f>
        <v>82000</v>
      </c>
      <c r="H334" s="15">
        <f>IF(关卡产出!K499="","",关卡产出!K499)</f>
        <v>6</v>
      </c>
      <c r="I334" s="15">
        <f>IF(关卡产出!M499="","",关卡产出!M499)</f>
        <v>840</v>
      </c>
      <c r="J334" s="15">
        <f>IF(关卡产出!N499="","",关卡产出!N499)</f>
        <v>420</v>
      </c>
      <c r="K334" s="15">
        <f>IF(关卡产出!O499="","",关卡产出!O499)</f>
        <v>203</v>
      </c>
      <c r="L334" s="15">
        <f>IF(关卡产出!P499="","",关卡产出!P499)</f>
        <v>500</v>
      </c>
      <c r="N334" t="str">
        <f t="shared" si="318"/>
        <v>104,168|105,83|106,40|1,2275</v>
      </c>
      <c r="P334" t="str">
        <f t="shared" si="316"/>
        <v>11,1|1,41250</v>
      </c>
      <c r="Q334" t="str">
        <f t="shared" si="317"/>
        <v>163,1|1,82000|4,6</v>
      </c>
      <c r="R334" t="str">
        <f t="shared" si="319"/>
        <v>104,840|105,420|106,203|3,500</v>
      </c>
      <c r="S334" t="str">
        <f t="shared" si="320"/>
        <v>104,84|105,42|106,20|1,2844</v>
      </c>
      <c r="V334" t="str">
        <f t="shared" si="321"/>
        <v>104,168</v>
      </c>
      <c r="W334" t="str">
        <f t="shared" si="298"/>
        <v>105,83</v>
      </c>
      <c r="X334" t="str">
        <f t="shared" si="299"/>
        <v>106,40</v>
      </c>
      <c r="Y334" t="str">
        <f t="shared" si="300"/>
        <v>1,2275</v>
      </c>
      <c r="AB334" t="str">
        <f t="shared" si="322"/>
        <v>104,840</v>
      </c>
      <c r="AC334" t="str">
        <f t="shared" si="302"/>
        <v>105,420</v>
      </c>
      <c r="AD334" t="str">
        <f t="shared" si="303"/>
        <v>106,203</v>
      </c>
      <c r="AE334" t="str">
        <f t="shared" si="304"/>
        <v>3,500</v>
      </c>
      <c r="AG334" t="str">
        <f t="shared" si="323"/>
        <v>104,84</v>
      </c>
      <c r="AH334" t="str">
        <f t="shared" si="306"/>
        <v>105,42</v>
      </c>
      <c r="AI334" t="str">
        <f t="shared" si="307"/>
        <v>106,20</v>
      </c>
      <c r="AJ334" t="str">
        <f t="shared" si="324"/>
        <v>1,2844</v>
      </c>
    </row>
    <row r="335" spans="1:36" x14ac:dyDescent="0.25">
      <c r="A335" s="14">
        <v>87</v>
      </c>
      <c r="B335" s="15">
        <f>IF(关卡产出!C500="","",关卡产出!C500)</f>
        <v>170</v>
      </c>
      <c r="C335" s="15">
        <f>IF(关卡产出!D500="","",关卡产出!D500)</f>
        <v>85</v>
      </c>
      <c r="D335" s="15">
        <f>IF(关卡产出!E500="","",关卡产出!E500)</f>
        <v>40</v>
      </c>
      <c r="E335" s="15">
        <f>IF(关卡产出!F500="","",关卡产出!F500)</f>
        <v>2325</v>
      </c>
      <c r="F335" s="15">
        <f>IF(关卡产出!H500="","",关卡产出!H500)</f>
        <v>41750</v>
      </c>
      <c r="G335" s="15">
        <f>IF(关卡产出!J500="","",关卡产出!J500)</f>
        <v>83000</v>
      </c>
      <c r="H335" s="15">
        <f>IF(关卡产出!K500="","",关卡产出!K500)</f>
        <v>6</v>
      </c>
      <c r="I335" s="15">
        <f>IF(关卡产出!M500="","",关卡产出!M500)</f>
        <v>850</v>
      </c>
      <c r="J335" s="15">
        <f>IF(关卡产出!N500="","",关卡产出!N500)</f>
        <v>425</v>
      </c>
      <c r="K335" s="15">
        <f>IF(关卡产出!O500="","",关卡产出!O500)</f>
        <v>205</v>
      </c>
      <c r="L335" s="15">
        <f>IF(关卡产出!P500="","",关卡产出!P500)</f>
        <v>500</v>
      </c>
      <c r="N335" t="str">
        <f t="shared" si="318"/>
        <v>104,170|105,85|106,40|1,2325</v>
      </c>
      <c r="P335" t="str">
        <f t="shared" si="316"/>
        <v>11,1|1,41750</v>
      </c>
      <c r="Q335" t="str">
        <f t="shared" si="317"/>
        <v>163,1|1,83000|4,6</v>
      </c>
      <c r="R335" t="str">
        <f t="shared" si="319"/>
        <v>104,850|105,425|106,205|3,500</v>
      </c>
      <c r="S335" t="str">
        <f t="shared" si="320"/>
        <v>104,85|105,43|106,20|1,2907</v>
      </c>
      <c r="V335" t="str">
        <f t="shared" si="321"/>
        <v>104,170</v>
      </c>
      <c r="W335" t="str">
        <f t="shared" si="298"/>
        <v>105,85</v>
      </c>
      <c r="X335" t="str">
        <f t="shared" si="299"/>
        <v>106,40</v>
      </c>
      <c r="Y335" t="str">
        <f t="shared" si="300"/>
        <v>1,2325</v>
      </c>
      <c r="AB335" t="str">
        <f t="shared" si="322"/>
        <v>104,850</v>
      </c>
      <c r="AC335" t="str">
        <f t="shared" si="302"/>
        <v>105,425</v>
      </c>
      <c r="AD335" t="str">
        <f t="shared" si="303"/>
        <v>106,205</v>
      </c>
      <c r="AE335" t="str">
        <f t="shared" si="304"/>
        <v>3,500</v>
      </c>
      <c r="AG335" t="str">
        <f t="shared" si="323"/>
        <v>104,85</v>
      </c>
      <c r="AH335" t="str">
        <f t="shared" si="306"/>
        <v>105,43</v>
      </c>
      <c r="AI335" t="str">
        <f t="shared" si="307"/>
        <v>106,20</v>
      </c>
      <c r="AJ335" t="str">
        <f t="shared" si="324"/>
        <v>1,2907</v>
      </c>
    </row>
    <row r="336" spans="1:36" ht="13.5" customHeight="1" x14ac:dyDescent="0.25">
      <c r="A336" s="14">
        <v>88</v>
      </c>
      <c r="B336" s="15">
        <f>IF(关卡产出!C501="","",关卡产出!C501)</f>
        <v>173</v>
      </c>
      <c r="C336" s="15">
        <f>IF(关卡产出!D501="","",关卡产出!D501)</f>
        <v>85</v>
      </c>
      <c r="D336" s="15">
        <f>IF(关卡产出!E501="","",关卡产出!E501)</f>
        <v>43</v>
      </c>
      <c r="E336" s="15">
        <f>IF(关卡产出!F501="","",关卡产出!F501)</f>
        <v>2325</v>
      </c>
      <c r="F336" s="15">
        <f>IF(关卡产出!H501="","",关卡产出!H501)</f>
        <v>42250</v>
      </c>
      <c r="G336" s="15">
        <f>IF(关卡产出!J501="","",关卡产出!J501)</f>
        <v>84000</v>
      </c>
      <c r="H336" s="15">
        <f>IF(关卡产出!K501="","",关卡产出!K501)</f>
        <v>6</v>
      </c>
      <c r="I336" s="15">
        <f>IF(关卡产出!M501="","",关卡产出!M501)</f>
        <v>860</v>
      </c>
      <c r="J336" s="15">
        <f>IF(关卡产出!N501="","",关卡产出!N501)</f>
        <v>430</v>
      </c>
      <c r="K336" s="15">
        <f>IF(关卡产出!O501="","",关卡产出!O501)</f>
        <v>208</v>
      </c>
      <c r="L336" s="15">
        <f>IF(关卡产出!P501="","",关卡产出!P501)</f>
        <v>500</v>
      </c>
      <c r="N336" t="str">
        <f t="shared" si="318"/>
        <v>104,173|105,85|106,43|1,2325</v>
      </c>
      <c r="P336" t="str">
        <f t="shared" si="316"/>
        <v>11,1|1,42250</v>
      </c>
      <c r="Q336" t="str">
        <f t="shared" si="317"/>
        <v>163,1|1,84000|4,6</v>
      </c>
      <c r="R336" t="str">
        <f t="shared" si="319"/>
        <v>104,860|105,430|106,208|3,500</v>
      </c>
      <c r="S336" t="str">
        <f t="shared" si="320"/>
        <v>104,87|105,43|106,22|1,2907</v>
      </c>
      <c r="V336" t="str">
        <f t="shared" si="321"/>
        <v>104,173</v>
      </c>
      <c r="W336" t="str">
        <f t="shared" si="298"/>
        <v>105,85</v>
      </c>
      <c r="X336" t="str">
        <f t="shared" si="299"/>
        <v>106,43</v>
      </c>
      <c r="Y336" t="str">
        <f t="shared" si="300"/>
        <v>1,2325</v>
      </c>
      <c r="AB336" t="str">
        <f t="shared" si="322"/>
        <v>104,860</v>
      </c>
      <c r="AC336" t="str">
        <f t="shared" si="302"/>
        <v>105,430</v>
      </c>
      <c r="AD336" t="str">
        <f t="shared" si="303"/>
        <v>106,208</v>
      </c>
      <c r="AE336" t="str">
        <f t="shared" si="304"/>
        <v>3,500</v>
      </c>
      <c r="AG336" t="str">
        <f t="shared" si="323"/>
        <v>104,87</v>
      </c>
      <c r="AH336" t="str">
        <f t="shared" si="306"/>
        <v>105,43</v>
      </c>
      <c r="AI336" t="str">
        <f t="shared" si="307"/>
        <v>106,22</v>
      </c>
      <c r="AJ336" t="str">
        <f t="shared" si="324"/>
        <v>1,2907</v>
      </c>
    </row>
    <row r="337" spans="1:36" ht="13.5" customHeight="1" x14ac:dyDescent="0.25">
      <c r="A337" s="14">
        <v>89</v>
      </c>
      <c r="B337" s="15">
        <f>IF(关卡产出!C502="","",关卡产出!C502)</f>
        <v>175</v>
      </c>
      <c r="C337" s="15">
        <f>IF(关卡产出!D502="","",关卡产出!D502)</f>
        <v>88</v>
      </c>
      <c r="D337" s="15">
        <f>IF(关卡产出!E502="","",关卡产出!E502)</f>
        <v>43</v>
      </c>
      <c r="E337" s="15">
        <f>IF(关卡产出!F502="","",关卡产出!F502)</f>
        <v>2375</v>
      </c>
      <c r="F337" s="15">
        <f>IF(关卡产出!H502="","",关卡产出!H502)</f>
        <v>42750</v>
      </c>
      <c r="G337" s="15">
        <f>IF(关卡产出!J502="","",关卡产出!J502)</f>
        <v>85000</v>
      </c>
      <c r="H337" s="15">
        <f>IF(关卡产出!K502="","",关卡产出!K502)</f>
        <v>6</v>
      </c>
      <c r="I337" s="15">
        <f>IF(关卡产出!M502="","",关卡产出!M502)</f>
        <v>870</v>
      </c>
      <c r="J337" s="15">
        <f>IF(关卡产出!N502="","",关卡产出!N502)</f>
        <v>435</v>
      </c>
      <c r="K337" s="15">
        <f>IF(关卡产出!O502="","",关卡产出!O502)</f>
        <v>210</v>
      </c>
      <c r="L337" s="15">
        <f>IF(关卡产出!P502="","",关卡产出!P502)</f>
        <v>500</v>
      </c>
      <c r="N337" t="str">
        <f t="shared" si="318"/>
        <v>104,175|105,88|106,43|1,2375</v>
      </c>
      <c r="P337" t="str">
        <f t="shared" si="316"/>
        <v>11,1|1,42750</v>
      </c>
      <c r="Q337" t="str">
        <f t="shared" si="317"/>
        <v>163,1|1,85000|4,6</v>
      </c>
      <c r="R337" t="str">
        <f t="shared" si="319"/>
        <v>104,870|105,435|106,210|3,500</v>
      </c>
      <c r="S337" t="str">
        <f t="shared" si="320"/>
        <v>104,88|105,44|106,22|1,2969</v>
      </c>
      <c r="V337" t="str">
        <f t="shared" si="321"/>
        <v>104,175</v>
      </c>
      <c r="W337" t="str">
        <f t="shared" si="298"/>
        <v>105,88</v>
      </c>
      <c r="X337" t="str">
        <f t="shared" si="299"/>
        <v>106,43</v>
      </c>
      <c r="Y337" t="str">
        <f t="shared" si="300"/>
        <v>1,2375</v>
      </c>
      <c r="AB337" t="str">
        <f t="shared" si="322"/>
        <v>104,870</v>
      </c>
      <c r="AC337" t="str">
        <f t="shared" si="302"/>
        <v>105,435</v>
      </c>
      <c r="AD337" t="str">
        <f t="shared" si="303"/>
        <v>106,210</v>
      </c>
      <c r="AE337" t="str">
        <f t="shared" si="304"/>
        <v>3,500</v>
      </c>
      <c r="AG337" t="str">
        <f t="shared" si="323"/>
        <v>104,88</v>
      </c>
      <c r="AH337" t="str">
        <f t="shared" si="306"/>
        <v>105,44</v>
      </c>
      <c r="AI337" t="str">
        <f t="shared" si="307"/>
        <v>106,22</v>
      </c>
      <c r="AJ337" t="str">
        <f t="shared" si="324"/>
        <v>1,2969</v>
      </c>
    </row>
    <row r="338" spans="1:36" s="1" customFormat="1" x14ac:dyDescent="0.25">
      <c r="A338" s="14">
        <v>90</v>
      </c>
      <c r="B338" s="16">
        <f>IF(关卡产出!C503="","",关卡产出!C503)</f>
        <v>175</v>
      </c>
      <c r="C338" s="16">
        <f>IF(关卡产出!D503="","",关卡产出!D503)</f>
        <v>88</v>
      </c>
      <c r="D338" s="16">
        <f>IF(关卡产出!E503="","",关卡产出!E503)</f>
        <v>43</v>
      </c>
      <c r="E338" s="16">
        <f>IF(关卡产出!F503="","",关卡产出!F503)</f>
        <v>2375</v>
      </c>
      <c r="F338" s="16">
        <f>IF(关卡产出!H503="","",关卡产出!H503)</f>
        <v>43250</v>
      </c>
      <c r="G338" s="16">
        <f>IF(关卡产出!J503="","",关卡产出!J503)</f>
        <v>86000</v>
      </c>
      <c r="H338" s="16">
        <f>IF(关卡产出!K503="","",关卡产出!K503)</f>
        <v>6</v>
      </c>
      <c r="I338" s="16">
        <f>IF(关卡产出!M503="","",关卡产出!M503)</f>
        <v>880</v>
      </c>
      <c r="J338" s="16">
        <f>IF(关卡产出!N503="","",关卡产出!N503)</f>
        <v>440</v>
      </c>
      <c r="K338" s="16">
        <f>IF(关卡产出!O503="","",关卡产出!O503)</f>
        <v>213</v>
      </c>
      <c r="L338" s="16">
        <f>IF(关卡产出!P503="","",关卡产出!P503)</f>
        <v>500</v>
      </c>
      <c r="N338" s="1" t="str">
        <f t="shared" si="318"/>
        <v>104,175|105,88|106,43|1,2375</v>
      </c>
      <c r="P338" t="str">
        <f t="shared" si="316"/>
        <v>11,1|1,43250</v>
      </c>
      <c r="Q338" t="str">
        <f t="shared" si="317"/>
        <v>163,1|1,86000|4,6</v>
      </c>
      <c r="R338" s="1" t="str">
        <f t="shared" si="319"/>
        <v>104,880|105,440|106,213|3,500</v>
      </c>
      <c r="S338" s="1" t="str">
        <f t="shared" si="320"/>
        <v>104,88|105,44|106,22|1,2969</v>
      </c>
      <c r="V338" s="1" t="str">
        <f t="shared" si="321"/>
        <v>104,175</v>
      </c>
      <c r="W338" s="1" t="str">
        <f t="shared" si="298"/>
        <v>105,88</v>
      </c>
      <c r="X338" s="1" t="str">
        <f t="shared" si="299"/>
        <v>106,43</v>
      </c>
      <c r="Y338" s="1" t="str">
        <f t="shared" si="300"/>
        <v>1,2375</v>
      </c>
      <c r="AB338" s="1" t="str">
        <f t="shared" si="322"/>
        <v>104,880</v>
      </c>
      <c r="AC338" s="1" t="str">
        <f t="shared" si="302"/>
        <v>105,440</v>
      </c>
      <c r="AD338" s="1" t="str">
        <f t="shared" si="303"/>
        <v>106,213</v>
      </c>
      <c r="AE338" s="1" t="str">
        <f t="shared" si="304"/>
        <v>3,500</v>
      </c>
      <c r="AG338" s="1" t="str">
        <f t="shared" si="323"/>
        <v>104,88</v>
      </c>
      <c r="AH338" s="1" t="str">
        <f t="shared" si="306"/>
        <v>105,44</v>
      </c>
      <c r="AI338" s="1" t="str">
        <f t="shared" si="307"/>
        <v>106,22</v>
      </c>
      <c r="AJ338" s="1" t="str">
        <f t="shared" si="324"/>
        <v>1,2969</v>
      </c>
    </row>
    <row r="339" spans="1:36" x14ac:dyDescent="0.25">
      <c r="A339" s="14">
        <v>91</v>
      </c>
      <c r="B339" s="15">
        <f>IF(关卡产出!C504="","",关卡产出!C504)</f>
        <v>178</v>
      </c>
      <c r="C339" s="15">
        <f>IF(关卡产出!D504="","",关卡产出!D504)</f>
        <v>88</v>
      </c>
      <c r="D339" s="15">
        <f>IF(关卡产出!E504="","",关卡产出!E504)</f>
        <v>43</v>
      </c>
      <c r="E339" s="15">
        <f>IF(关卡产出!F504="","",关卡产出!F504)</f>
        <v>2425</v>
      </c>
      <c r="F339" s="15">
        <f>IF(关卡产出!H504="","",关卡产出!H504)</f>
        <v>43750</v>
      </c>
      <c r="G339" s="15">
        <f>IF(关卡产出!J504="","",关卡产出!J504)</f>
        <v>87000</v>
      </c>
      <c r="H339" s="15">
        <f>IF(关卡产出!K504="","",关卡产出!K504)</f>
        <v>6</v>
      </c>
      <c r="I339" s="15">
        <f>IF(关卡产出!M504="","",关卡产出!M504)</f>
        <v>890</v>
      </c>
      <c r="J339" s="15">
        <f>IF(关卡产出!N504="","",关卡产出!N504)</f>
        <v>445</v>
      </c>
      <c r="K339" s="15">
        <f>IF(关卡产出!O504="","",关卡产出!O504)</f>
        <v>215</v>
      </c>
      <c r="L339" s="15">
        <f>IF(关卡产出!P504="","",关卡产出!P504)</f>
        <v>500</v>
      </c>
      <c r="N339" t="str">
        <f t="shared" si="318"/>
        <v>104,178|105,88|106,43|1,2425</v>
      </c>
      <c r="P339" t="str">
        <f t="shared" si="316"/>
        <v>11,1|1,43750</v>
      </c>
      <c r="Q339" t="str">
        <f t="shared" si="317"/>
        <v>163,1|1,87000|4,6</v>
      </c>
      <c r="R339" t="str">
        <f t="shared" si="319"/>
        <v>104,890|105,445|106,215|3,500</v>
      </c>
      <c r="S339" t="str">
        <f t="shared" si="320"/>
        <v>104,89|105,44|106,22|1,3032</v>
      </c>
      <c r="V339" t="str">
        <f t="shared" si="321"/>
        <v>104,178</v>
      </c>
      <c r="W339" t="str">
        <f t="shared" si="298"/>
        <v>105,88</v>
      </c>
      <c r="X339" t="str">
        <f t="shared" si="299"/>
        <v>106,43</v>
      </c>
      <c r="Y339" t="str">
        <f t="shared" si="300"/>
        <v>1,2425</v>
      </c>
      <c r="AB339" t="str">
        <f t="shared" si="322"/>
        <v>104,890</v>
      </c>
      <c r="AC339" t="str">
        <f t="shared" si="302"/>
        <v>105,445</v>
      </c>
      <c r="AD339" t="str">
        <f t="shared" si="303"/>
        <v>106,215</v>
      </c>
      <c r="AE339" t="str">
        <f t="shared" si="304"/>
        <v>3,500</v>
      </c>
      <c r="AG339" t="str">
        <f t="shared" si="323"/>
        <v>104,89</v>
      </c>
      <c r="AH339" t="str">
        <f t="shared" si="306"/>
        <v>105,44</v>
      </c>
      <c r="AI339" t="str">
        <f t="shared" si="307"/>
        <v>106,22</v>
      </c>
      <c r="AJ339" t="str">
        <f t="shared" si="324"/>
        <v>1,3032</v>
      </c>
    </row>
    <row r="340" spans="1:36" x14ac:dyDescent="0.25">
      <c r="A340" s="14">
        <v>92</v>
      </c>
      <c r="B340" s="15">
        <f>IF(关卡产出!C505="","",关卡产出!C505)</f>
        <v>180</v>
      </c>
      <c r="C340" s="15">
        <f>IF(关卡产出!D505="","",关卡产出!D505)</f>
        <v>90</v>
      </c>
      <c r="D340" s="15">
        <f>IF(关卡产出!E505="","",关卡产出!E505)</f>
        <v>43</v>
      </c>
      <c r="E340" s="15">
        <f>IF(关卡产出!F505="","",关卡产出!F505)</f>
        <v>2425</v>
      </c>
      <c r="F340" s="15">
        <f>IF(关卡产出!H505="","",关卡产出!H505)</f>
        <v>44250</v>
      </c>
      <c r="G340" s="15">
        <f>IF(关卡产出!J505="","",关卡产出!J505)</f>
        <v>88000</v>
      </c>
      <c r="H340" s="15">
        <f>IF(关卡产出!K505="","",关卡产出!K505)</f>
        <v>6</v>
      </c>
      <c r="I340" s="15">
        <f>IF(关卡产出!M505="","",关卡产出!M505)</f>
        <v>900</v>
      </c>
      <c r="J340" s="15">
        <f>IF(关卡产出!N505="","",关卡产出!N505)</f>
        <v>450</v>
      </c>
      <c r="K340" s="15">
        <f>IF(关卡产出!O505="","",关卡产出!O505)</f>
        <v>218</v>
      </c>
      <c r="L340" s="15">
        <f>IF(关卡产出!P505="","",关卡产出!P505)</f>
        <v>500</v>
      </c>
      <c r="N340" t="str">
        <f t="shared" si="318"/>
        <v>104,180|105,90|106,43|1,2425</v>
      </c>
      <c r="P340" t="str">
        <f t="shared" si="316"/>
        <v>11,1|1,44250</v>
      </c>
      <c r="Q340" t="str">
        <f t="shared" si="317"/>
        <v>163,1|1,88000|4,6</v>
      </c>
      <c r="R340" t="str">
        <f t="shared" si="319"/>
        <v>104,900|105,450|106,218|3,500</v>
      </c>
      <c r="S340" t="str">
        <f t="shared" si="320"/>
        <v>104,90|105,45|106,22|1,3032</v>
      </c>
      <c r="V340" t="str">
        <f t="shared" si="321"/>
        <v>104,180</v>
      </c>
      <c r="W340" t="str">
        <f t="shared" si="298"/>
        <v>105,90</v>
      </c>
      <c r="X340" t="str">
        <f t="shared" si="299"/>
        <v>106,43</v>
      </c>
      <c r="Y340" t="str">
        <f t="shared" si="300"/>
        <v>1,2425</v>
      </c>
      <c r="AB340" t="str">
        <f t="shared" si="322"/>
        <v>104,900</v>
      </c>
      <c r="AC340" t="str">
        <f t="shared" si="302"/>
        <v>105,450</v>
      </c>
      <c r="AD340" t="str">
        <f t="shared" si="303"/>
        <v>106,218</v>
      </c>
      <c r="AE340" t="str">
        <f t="shared" si="304"/>
        <v>3,500</v>
      </c>
      <c r="AG340" t="str">
        <f t="shared" si="323"/>
        <v>104,90</v>
      </c>
      <c r="AH340" t="str">
        <f t="shared" si="306"/>
        <v>105,45</v>
      </c>
      <c r="AI340" t="str">
        <f t="shared" si="307"/>
        <v>106,22</v>
      </c>
      <c r="AJ340" t="str">
        <f t="shared" si="324"/>
        <v>1,3032</v>
      </c>
    </row>
    <row r="341" spans="1:36" x14ac:dyDescent="0.25">
      <c r="A341" s="14">
        <v>93</v>
      </c>
      <c r="B341" s="15">
        <f>IF(关卡产出!C506="","",关卡产出!C506)</f>
        <v>183</v>
      </c>
      <c r="C341" s="15">
        <f>IF(关卡产出!D506="","",关卡产出!D506)</f>
        <v>90</v>
      </c>
      <c r="D341" s="15">
        <f>IF(关卡产出!E506="","",关卡产出!E506)</f>
        <v>45</v>
      </c>
      <c r="E341" s="15">
        <f>IF(关卡产出!F506="","",关卡产出!F506)</f>
        <v>2475</v>
      </c>
      <c r="F341" s="15">
        <f>IF(关卡产出!H506="","",关卡产出!H506)</f>
        <v>44750</v>
      </c>
      <c r="G341" s="15">
        <f>IF(关卡产出!J506="","",关卡产出!J506)</f>
        <v>89000</v>
      </c>
      <c r="H341" s="15">
        <f>IF(关卡产出!K506="","",关卡产出!K506)</f>
        <v>6</v>
      </c>
      <c r="I341" s="15">
        <f>IF(关卡产出!M506="","",关卡产出!M506)</f>
        <v>910</v>
      </c>
      <c r="J341" s="15">
        <f>IF(关卡产出!N506="","",关卡产出!N506)</f>
        <v>455</v>
      </c>
      <c r="K341" s="15">
        <f>IF(关卡产出!O506="","",关卡产出!O506)</f>
        <v>220</v>
      </c>
      <c r="L341" s="15">
        <f>IF(关卡产出!P506="","",关卡产出!P506)</f>
        <v>500</v>
      </c>
      <c r="N341" t="str">
        <f t="shared" si="318"/>
        <v>104,183|105,90|106,45|1,2475</v>
      </c>
      <c r="P341" t="str">
        <f t="shared" si="316"/>
        <v>11,1|1,44750</v>
      </c>
      <c r="Q341" t="str">
        <f t="shared" si="317"/>
        <v>163,1|1,89000|4,6</v>
      </c>
      <c r="R341" t="str">
        <f t="shared" si="319"/>
        <v>104,910|105,455|106,220|3,500</v>
      </c>
      <c r="S341" t="str">
        <f t="shared" si="320"/>
        <v>104,92|105,45|106,23|1,3094</v>
      </c>
      <c r="V341" t="str">
        <f t="shared" si="321"/>
        <v>104,183</v>
      </c>
      <c r="W341" t="str">
        <f t="shared" si="298"/>
        <v>105,90</v>
      </c>
      <c r="X341" t="str">
        <f t="shared" si="299"/>
        <v>106,45</v>
      </c>
      <c r="Y341" t="str">
        <f t="shared" si="300"/>
        <v>1,2475</v>
      </c>
      <c r="AB341" t="str">
        <f t="shared" si="322"/>
        <v>104,910</v>
      </c>
      <c r="AC341" t="str">
        <f t="shared" si="302"/>
        <v>105,455</v>
      </c>
      <c r="AD341" t="str">
        <f t="shared" si="303"/>
        <v>106,220</v>
      </c>
      <c r="AE341" t="str">
        <f t="shared" si="304"/>
        <v>3,500</v>
      </c>
      <c r="AG341" t="str">
        <f t="shared" si="323"/>
        <v>104,92</v>
      </c>
      <c r="AH341" t="str">
        <f t="shared" si="306"/>
        <v>105,45</v>
      </c>
      <c r="AI341" t="str">
        <f t="shared" si="307"/>
        <v>106,23</v>
      </c>
      <c r="AJ341" t="str">
        <f t="shared" si="324"/>
        <v>1,3094</v>
      </c>
    </row>
    <row r="342" spans="1:36" x14ac:dyDescent="0.25">
      <c r="A342" s="14">
        <v>94</v>
      </c>
      <c r="B342" s="15">
        <f>IF(关卡产出!C507="","",关卡产出!C507)</f>
        <v>185</v>
      </c>
      <c r="C342" s="15">
        <f>IF(关卡产出!D507="","",关卡产出!D507)</f>
        <v>93</v>
      </c>
      <c r="D342" s="15">
        <f>IF(关卡产出!E507="","",关卡产出!E507)</f>
        <v>45</v>
      </c>
      <c r="E342" s="15">
        <f>IF(关卡产出!F507="","",关卡产出!F507)</f>
        <v>2475</v>
      </c>
      <c r="F342" s="15">
        <f>IF(关卡产出!H507="","",关卡产出!H507)</f>
        <v>45250</v>
      </c>
      <c r="G342" s="15">
        <f>IF(关卡产出!J507="","",关卡产出!J507)</f>
        <v>90000</v>
      </c>
      <c r="H342" s="15">
        <f>IF(关卡产出!K507="","",关卡产出!K507)</f>
        <v>6</v>
      </c>
      <c r="I342" s="15">
        <f>IF(关卡产出!M507="","",关卡产出!M507)</f>
        <v>920</v>
      </c>
      <c r="J342" s="15">
        <f>IF(关卡产出!N507="","",关卡产出!N507)</f>
        <v>460</v>
      </c>
      <c r="K342" s="15">
        <f>IF(关卡产出!O507="","",关卡产出!O507)</f>
        <v>223</v>
      </c>
      <c r="L342" s="15">
        <f>IF(关卡产出!P507="","",关卡产出!P507)</f>
        <v>500</v>
      </c>
      <c r="N342" t="str">
        <f t="shared" si="318"/>
        <v>104,185|105,93|106,45|1,2475</v>
      </c>
      <c r="P342" t="str">
        <f t="shared" si="316"/>
        <v>11,1|1,45250</v>
      </c>
      <c r="Q342" t="str">
        <f t="shared" si="317"/>
        <v>163,1|1,90000|4,6</v>
      </c>
      <c r="R342" t="str">
        <f t="shared" si="319"/>
        <v>104,920|105,460|106,223|3,500</v>
      </c>
      <c r="S342" t="str">
        <f t="shared" si="320"/>
        <v>104,93|105,47|106,23|1,3094</v>
      </c>
      <c r="V342" t="str">
        <f t="shared" si="321"/>
        <v>104,185</v>
      </c>
      <c r="W342" t="str">
        <f t="shared" si="298"/>
        <v>105,93</v>
      </c>
      <c r="X342" t="str">
        <f t="shared" si="299"/>
        <v>106,45</v>
      </c>
      <c r="Y342" t="str">
        <f t="shared" si="300"/>
        <v>1,2475</v>
      </c>
      <c r="AB342" t="str">
        <f t="shared" si="322"/>
        <v>104,920</v>
      </c>
      <c r="AC342" t="str">
        <f t="shared" si="302"/>
        <v>105,460</v>
      </c>
      <c r="AD342" t="str">
        <f t="shared" si="303"/>
        <v>106,223</v>
      </c>
      <c r="AE342" t="str">
        <f t="shared" si="304"/>
        <v>3,500</v>
      </c>
      <c r="AG342" t="str">
        <f t="shared" si="323"/>
        <v>104,93</v>
      </c>
      <c r="AH342" t="str">
        <f t="shared" si="306"/>
        <v>105,47</v>
      </c>
      <c r="AI342" t="str">
        <f t="shared" si="307"/>
        <v>106,23</v>
      </c>
      <c r="AJ342" t="str">
        <f t="shared" si="324"/>
        <v>1,3094</v>
      </c>
    </row>
    <row r="343" spans="1:36" x14ac:dyDescent="0.25">
      <c r="A343" s="14">
        <v>95</v>
      </c>
      <c r="B343" s="15">
        <f>IF(关卡产出!C508="","",关卡产出!C508)</f>
        <v>185</v>
      </c>
      <c r="C343" s="15">
        <f>IF(关卡产出!D508="","",关卡产出!D508)</f>
        <v>93</v>
      </c>
      <c r="D343" s="15">
        <f>IF(关卡产出!E508="","",关卡产出!E508)</f>
        <v>45</v>
      </c>
      <c r="E343" s="15">
        <f>IF(关卡产出!F508="","",关卡产出!F508)</f>
        <v>2525</v>
      </c>
      <c r="F343" s="15">
        <f>IF(关卡产出!H508="","",关卡产出!H508)</f>
        <v>45750</v>
      </c>
      <c r="G343" s="15">
        <f>IF(关卡产出!J508="","",关卡产出!J508)</f>
        <v>91000</v>
      </c>
      <c r="H343" s="15">
        <f>IF(关卡产出!K508="","",关卡产出!K508)</f>
        <v>6</v>
      </c>
      <c r="I343" s="15">
        <f>IF(关卡产出!M508="","",关卡产出!M508)</f>
        <v>930</v>
      </c>
      <c r="J343" s="15">
        <f>IF(关卡产出!N508="","",关卡产出!N508)</f>
        <v>465</v>
      </c>
      <c r="K343" s="15">
        <f>IF(关卡产出!O508="","",关卡产出!O508)</f>
        <v>225</v>
      </c>
      <c r="L343" s="15">
        <f>IF(关卡产出!P508="","",关卡产出!P508)</f>
        <v>500</v>
      </c>
      <c r="N343" t="str">
        <f t="shared" si="318"/>
        <v>104,185|105,93|106,45|1,2525</v>
      </c>
      <c r="P343" t="str">
        <f t="shared" si="316"/>
        <v>11,1|1,45750</v>
      </c>
      <c r="Q343" t="str">
        <f t="shared" si="317"/>
        <v>163,1|1,91000|4,6</v>
      </c>
      <c r="R343" t="str">
        <f t="shared" si="319"/>
        <v>104,930|105,465|106,225|3,500</v>
      </c>
      <c r="S343" t="str">
        <f t="shared" si="320"/>
        <v>104,93|105,47|106,23|1,3157</v>
      </c>
      <c r="V343" t="str">
        <f t="shared" si="321"/>
        <v>104,185</v>
      </c>
      <c r="W343" t="str">
        <f t="shared" si="298"/>
        <v>105,93</v>
      </c>
      <c r="X343" t="str">
        <f t="shared" si="299"/>
        <v>106,45</v>
      </c>
      <c r="Y343" t="str">
        <f t="shared" si="300"/>
        <v>1,2525</v>
      </c>
      <c r="AB343" t="str">
        <f t="shared" si="322"/>
        <v>104,930</v>
      </c>
      <c r="AC343" t="str">
        <f t="shared" si="302"/>
        <v>105,465</v>
      </c>
      <c r="AD343" t="str">
        <f t="shared" si="303"/>
        <v>106,225</v>
      </c>
      <c r="AE343" t="str">
        <f t="shared" si="304"/>
        <v>3,500</v>
      </c>
      <c r="AG343" t="str">
        <f t="shared" si="323"/>
        <v>104,93</v>
      </c>
      <c r="AH343" t="str">
        <f t="shared" si="306"/>
        <v>105,47</v>
      </c>
      <c r="AI343" t="str">
        <f t="shared" si="307"/>
        <v>106,23</v>
      </c>
      <c r="AJ343" t="str">
        <f t="shared" si="324"/>
        <v>1,3157</v>
      </c>
    </row>
    <row r="344" spans="1:36" x14ac:dyDescent="0.25">
      <c r="A344" s="14">
        <v>96</v>
      </c>
      <c r="B344" s="15">
        <f>IF(关卡产出!C509="","",关卡产出!C509)</f>
        <v>188</v>
      </c>
      <c r="C344" s="15">
        <f>IF(关卡产出!D509="","",关卡产出!D509)</f>
        <v>93</v>
      </c>
      <c r="D344" s="15">
        <f>IF(关卡产出!E509="","",关卡产出!E509)</f>
        <v>45</v>
      </c>
      <c r="E344" s="15">
        <f>IF(关卡产出!F509="","",关卡产出!F509)</f>
        <v>2525</v>
      </c>
      <c r="F344" s="15">
        <f>IF(关卡产出!H509="","",关卡产出!H509)</f>
        <v>46250</v>
      </c>
      <c r="G344" s="15">
        <f>IF(关卡产出!J509="","",关卡产出!J509)</f>
        <v>92000</v>
      </c>
      <c r="H344" s="15">
        <f>IF(关卡产出!K509="","",关卡产出!K509)</f>
        <v>6</v>
      </c>
      <c r="I344" s="15">
        <f>IF(关卡产出!M509="","",关卡产出!M509)</f>
        <v>940</v>
      </c>
      <c r="J344" s="15">
        <f>IF(关卡产出!N509="","",关卡产出!N509)</f>
        <v>470</v>
      </c>
      <c r="K344" s="15">
        <f>IF(关卡产出!O509="","",关卡产出!O509)</f>
        <v>228</v>
      </c>
      <c r="L344" s="15">
        <f>IF(关卡产出!P509="","",关卡产出!P509)</f>
        <v>500</v>
      </c>
      <c r="N344" t="str">
        <f t="shared" si="318"/>
        <v>104,188|105,93|106,45|1,2525</v>
      </c>
      <c r="P344" t="str">
        <f t="shared" si="316"/>
        <v>11,1|1,46250</v>
      </c>
      <c r="Q344" t="str">
        <f t="shared" si="317"/>
        <v>163,1|1,92000|4,6</v>
      </c>
      <c r="R344" t="str">
        <f t="shared" si="319"/>
        <v>104,940|105,470|106,228|3,500</v>
      </c>
      <c r="S344" t="str">
        <f t="shared" si="320"/>
        <v>104,94|105,47|106,23|1,3157</v>
      </c>
      <c r="V344" t="str">
        <f t="shared" si="321"/>
        <v>104,188</v>
      </c>
      <c r="W344" t="str">
        <f t="shared" si="298"/>
        <v>105,93</v>
      </c>
      <c r="X344" t="str">
        <f t="shared" si="299"/>
        <v>106,45</v>
      </c>
      <c r="Y344" t="str">
        <f t="shared" si="300"/>
        <v>1,2525</v>
      </c>
      <c r="AB344" t="str">
        <f t="shared" si="322"/>
        <v>104,940</v>
      </c>
      <c r="AC344" t="str">
        <f t="shared" si="302"/>
        <v>105,470</v>
      </c>
      <c r="AD344" t="str">
        <f t="shared" si="303"/>
        <v>106,228</v>
      </c>
      <c r="AE344" t="str">
        <f t="shared" si="304"/>
        <v>3,500</v>
      </c>
      <c r="AG344" t="str">
        <f t="shared" si="323"/>
        <v>104,94</v>
      </c>
      <c r="AH344" t="str">
        <f t="shared" si="306"/>
        <v>105,47</v>
      </c>
      <c r="AI344" t="str">
        <f t="shared" si="307"/>
        <v>106,23</v>
      </c>
      <c r="AJ344" t="str">
        <f t="shared" si="324"/>
        <v>1,3157</v>
      </c>
    </row>
    <row r="345" spans="1:36" x14ac:dyDescent="0.25">
      <c r="A345" s="14">
        <v>97</v>
      </c>
      <c r="B345" s="15">
        <f>IF(关卡产出!C510="","",关卡产出!C510)</f>
        <v>190</v>
      </c>
      <c r="C345" s="15">
        <f>IF(关卡产出!D510="","",关卡产出!D510)</f>
        <v>95</v>
      </c>
      <c r="D345" s="15">
        <f>IF(关卡产出!E510="","",关卡产出!E510)</f>
        <v>45</v>
      </c>
      <c r="E345" s="15">
        <f>IF(关卡产出!F510="","",关卡产出!F510)</f>
        <v>2575</v>
      </c>
      <c r="F345" s="15">
        <f>IF(关卡产出!H510="","",关卡产出!H510)</f>
        <v>46750</v>
      </c>
      <c r="G345" s="15">
        <f>IF(关卡产出!J510="","",关卡产出!J510)</f>
        <v>93000</v>
      </c>
      <c r="H345" s="15">
        <f>IF(关卡产出!K510="","",关卡产出!K510)</f>
        <v>6</v>
      </c>
      <c r="I345" s="15">
        <f>IF(关卡产出!M510="","",关卡产出!M510)</f>
        <v>950</v>
      </c>
      <c r="J345" s="15">
        <f>IF(关卡产出!N510="","",关卡产出!N510)</f>
        <v>475</v>
      </c>
      <c r="K345" s="15">
        <f>IF(关卡产出!O510="","",关卡产出!O510)</f>
        <v>230</v>
      </c>
      <c r="L345" s="15">
        <f>IF(关卡产出!P510="","",关卡产出!P510)</f>
        <v>500</v>
      </c>
      <c r="N345" t="str">
        <f t="shared" si="318"/>
        <v>104,190|105,95|106,45|1,2575</v>
      </c>
      <c r="P345" t="str">
        <f t="shared" si="316"/>
        <v>11,1|1,46750</v>
      </c>
      <c r="Q345" t="str">
        <f t="shared" si="317"/>
        <v>163,1|1,93000|4,6</v>
      </c>
      <c r="R345" t="str">
        <f t="shared" si="319"/>
        <v>104,950|105,475|106,230|3,500</v>
      </c>
      <c r="S345" t="str">
        <f t="shared" si="320"/>
        <v>104,95|105,48|106,23|1,3219</v>
      </c>
      <c r="V345" t="str">
        <f t="shared" si="321"/>
        <v>104,190</v>
      </c>
      <c r="W345" t="str">
        <f t="shared" si="298"/>
        <v>105,95</v>
      </c>
      <c r="X345" t="str">
        <f t="shared" si="299"/>
        <v>106,45</v>
      </c>
      <c r="Y345" t="str">
        <f t="shared" si="300"/>
        <v>1,2575</v>
      </c>
      <c r="AB345" t="str">
        <f t="shared" si="322"/>
        <v>104,950</v>
      </c>
      <c r="AC345" t="str">
        <f t="shared" si="302"/>
        <v>105,475</v>
      </c>
      <c r="AD345" t="str">
        <f t="shared" si="303"/>
        <v>106,230</v>
      </c>
      <c r="AE345" t="str">
        <f t="shared" si="304"/>
        <v>3,500</v>
      </c>
      <c r="AG345" t="str">
        <f t="shared" si="323"/>
        <v>104,95</v>
      </c>
      <c r="AH345" t="str">
        <f t="shared" si="306"/>
        <v>105,48</v>
      </c>
      <c r="AI345" t="str">
        <f t="shared" si="307"/>
        <v>106,23</v>
      </c>
      <c r="AJ345" t="str">
        <f t="shared" si="324"/>
        <v>1,3219</v>
      </c>
    </row>
    <row r="346" spans="1:36" x14ac:dyDescent="0.25">
      <c r="A346" s="14">
        <v>98</v>
      </c>
      <c r="B346" s="15">
        <f>IF(关卡产出!C511="","",关卡产出!C511)</f>
        <v>193</v>
      </c>
      <c r="C346" s="15">
        <f>IF(关卡产出!D511="","",关卡产出!D511)</f>
        <v>95</v>
      </c>
      <c r="D346" s="15">
        <f>IF(关卡产出!E511="","",关卡产出!E511)</f>
        <v>48</v>
      </c>
      <c r="E346" s="15">
        <f>IF(关卡产出!F511="","",关卡产出!F511)</f>
        <v>2575</v>
      </c>
      <c r="F346" s="15">
        <f>IF(关卡产出!H511="","",关卡产出!H511)</f>
        <v>47250</v>
      </c>
      <c r="G346" s="15">
        <f>IF(关卡产出!J511="","",关卡产出!J511)</f>
        <v>94000</v>
      </c>
      <c r="H346" s="15">
        <f>IF(关卡产出!K511="","",关卡产出!K511)</f>
        <v>6</v>
      </c>
      <c r="I346" s="15">
        <f>IF(关卡产出!M511="","",关卡产出!M511)</f>
        <v>960</v>
      </c>
      <c r="J346" s="15">
        <f>IF(关卡产出!N511="","",关卡产出!N511)</f>
        <v>480</v>
      </c>
      <c r="K346" s="15">
        <f>IF(关卡产出!O511="","",关卡产出!O511)</f>
        <v>233</v>
      </c>
      <c r="L346" s="15">
        <f>IF(关卡产出!P511="","",关卡产出!P511)</f>
        <v>500</v>
      </c>
      <c r="N346" t="str">
        <f t="shared" si="318"/>
        <v>104,193|105,95|106,48|1,2575</v>
      </c>
      <c r="P346" t="str">
        <f t="shared" si="316"/>
        <v>11,1|1,47250</v>
      </c>
      <c r="Q346" t="str">
        <f t="shared" si="317"/>
        <v>163,1|1,94000|4,6</v>
      </c>
      <c r="R346" t="str">
        <f t="shared" si="319"/>
        <v>104,960|105,480|106,233|3,500</v>
      </c>
      <c r="S346" t="str">
        <f t="shared" si="320"/>
        <v>104,97|105,48|106,24|1,3219</v>
      </c>
      <c r="V346" t="str">
        <f t="shared" si="321"/>
        <v>104,193</v>
      </c>
      <c r="W346" t="str">
        <f t="shared" si="298"/>
        <v>105,95</v>
      </c>
      <c r="X346" t="str">
        <f t="shared" si="299"/>
        <v>106,48</v>
      </c>
      <c r="Y346" t="str">
        <f t="shared" si="300"/>
        <v>1,2575</v>
      </c>
      <c r="AB346" t="str">
        <f t="shared" si="322"/>
        <v>104,960</v>
      </c>
      <c r="AC346" t="str">
        <f t="shared" si="302"/>
        <v>105,480</v>
      </c>
      <c r="AD346" t="str">
        <f t="shared" si="303"/>
        <v>106,233</v>
      </c>
      <c r="AE346" t="str">
        <f t="shared" si="304"/>
        <v>3,500</v>
      </c>
      <c r="AG346" t="str">
        <f t="shared" si="323"/>
        <v>104,97</v>
      </c>
      <c r="AH346" t="str">
        <f t="shared" si="306"/>
        <v>105,48</v>
      </c>
      <c r="AI346" t="str">
        <f t="shared" si="307"/>
        <v>106,24</v>
      </c>
      <c r="AJ346" t="str">
        <f t="shared" si="324"/>
        <v>1,3219</v>
      </c>
    </row>
    <row r="347" spans="1:36" ht="13.5" customHeight="1" x14ac:dyDescent="0.25">
      <c r="A347" s="14">
        <v>99</v>
      </c>
      <c r="B347" s="15">
        <f>IF(关卡产出!C512="","",关卡产出!C512)</f>
        <v>195</v>
      </c>
      <c r="C347" s="15">
        <f>IF(关卡产出!D512="","",关卡产出!D512)</f>
        <v>98</v>
      </c>
      <c r="D347" s="15">
        <f>IF(关卡产出!E512="","",关卡产出!E512)</f>
        <v>48</v>
      </c>
      <c r="E347" s="15">
        <f>IF(关卡产出!F512="","",关卡产出!F512)</f>
        <v>2625</v>
      </c>
      <c r="F347" s="15">
        <f>IF(关卡产出!H512="","",关卡产出!H512)</f>
        <v>47750</v>
      </c>
      <c r="G347" s="15">
        <f>IF(关卡产出!J512="","",关卡产出!J512)</f>
        <v>95000</v>
      </c>
      <c r="H347" s="15">
        <f>IF(关卡产出!K512="","",关卡产出!K512)</f>
        <v>6</v>
      </c>
      <c r="I347" s="15">
        <f>IF(关卡产出!M512="","",关卡产出!M512)</f>
        <v>970</v>
      </c>
      <c r="J347" s="15">
        <f>IF(关卡产出!N512="","",关卡产出!N512)</f>
        <v>485</v>
      </c>
      <c r="K347" s="15">
        <f>IF(关卡产出!O512="","",关卡产出!O512)</f>
        <v>235</v>
      </c>
      <c r="L347" s="15">
        <f>IF(关卡产出!P512="","",关卡产出!P512)</f>
        <v>500</v>
      </c>
      <c r="N347" t="str">
        <f t="shared" si="318"/>
        <v>104,195|105,98|106,48|1,2625</v>
      </c>
      <c r="P347" t="str">
        <f t="shared" si="316"/>
        <v>11,1|1,47750</v>
      </c>
      <c r="Q347" t="str">
        <f t="shared" si="317"/>
        <v>163,1|1,95000|4,6</v>
      </c>
      <c r="R347" t="str">
        <f t="shared" si="319"/>
        <v>104,970|105,485|106,235|3,500</v>
      </c>
      <c r="S347" t="str">
        <f t="shared" si="320"/>
        <v>104,98|105,49|106,24|1,3282</v>
      </c>
      <c r="V347" t="str">
        <f t="shared" si="321"/>
        <v>104,195</v>
      </c>
      <c r="W347" t="str">
        <f t="shared" si="298"/>
        <v>105,98</v>
      </c>
      <c r="X347" t="str">
        <f t="shared" si="299"/>
        <v>106,48</v>
      </c>
      <c r="Y347" t="str">
        <f t="shared" si="300"/>
        <v>1,2625</v>
      </c>
      <c r="AB347" t="str">
        <f t="shared" si="322"/>
        <v>104,970</v>
      </c>
      <c r="AC347" t="str">
        <f t="shared" si="302"/>
        <v>105,485</v>
      </c>
      <c r="AD347" t="str">
        <f t="shared" si="303"/>
        <v>106,235</v>
      </c>
      <c r="AE347" t="str">
        <f t="shared" si="304"/>
        <v>3,500</v>
      </c>
      <c r="AG347" t="str">
        <f t="shared" si="323"/>
        <v>104,98</v>
      </c>
      <c r="AH347" t="str">
        <f t="shared" si="306"/>
        <v>105,49</v>
      </c>
      <c r="AI347" t="str">
        <f t="shared" si="307"/>
        <v>106,24</v>
      </c>
      <c r="AJ347" t="str">
        <f t="shared" si="324"/>
        <v>1,3282</v>
      </c>
    </row>
    <row r="348" spans="1:36" ht="13.5" customHeight="1" x14ac:dyDescent="0.25">
      <c r="A348" s="14">
        <v>100</v>
      </c>
      <c r="B348" s="15">
        <f>IF(关卡产出!C513="","",关卡产出!C513)</f>
        <v>195</v>
      </c>
      <c r="C348" s="15">
        <f>IF(关卡产出!D513="","",关卡产出!D513)</f>
        <v>98</v>
      </c>
      <c r="D348" s="15">
        <f>IF(关卡产出!E513="","",关卡产出!E513)</f>
        <v>48</v>
      </c>
      <c r="E348" s="15">
        <f>IF(关卡产出!F513="","",关卡产出!F513)</f>
        <v>2625</v>
      </c>
      <c r="F348" s="15">
        <f>IF(关卡产出!H513="","",关卡产出!H513)</f>
        <v>48250</v>
      </c>
      <c r="G348" s="15">
        <f>IF(关卡产出!J513="","",关卡产出!J513)</f>
        <v>96000</v>
      </c>
      <c r="H348" s="15">
        <f>IF(关卡产出!K513="","",关卡产出!K513)</f>
        <v>6</v>
      </c>
      <c r="I348" s="15">
        <f>IF(关卡产出!M513="","",关卡产出!M513)</f>
        <v>980</v>
      </c>
      <c r="J348" s="15">
        <f>IF(关卡产出!N513="","",关卡产出!N513)</f>
        <v>490</v>
      </c>
      <c r="K348" s="15">
        <f>IF(关卡产出!O513="","",关卡产出!O513)</f>
        <v>238</v>
      </c>
      <c r="L348" s="15">
        <f>IF(关卡产出!P513="","",关卡产出!P513)</f>
        <v>500</v>
      </c>
      <c r="N348" t="str">
        <f t="shared" si="318"/>
        <v>104,195|105,98|106,48|1,2625</v>
      </c>
      <c r="P348" t="str">
        <f t="shared" si="316"/>
        <v>11,1|1,48250</v>
      </c>
      <c r="Q348" t="str">
        <f t="shared" si="317"/>
        <v>163,1|1,96000|4,6</v>
      </c>
      <c r="R348" t="str">
        <f t="shared" si="319"/>
        <v>104,980|105,490|106,238|3,500</v>
      </c>
      <c r="S348" t="str">
        <f t="shared" si="320"/>
        <v>104,98|105,49|106,24|1,3282</v>
      </c>
      <c r="V348" t="str">
        <f t="shared" si="321"/>
        <v>104,195</v>
      </c>
      <c r="W348" t="str">
        <f t="shared" ref="W348" si="325">IF(C348="","",C$1&amp;","&amp;C348)</f>
        <v>105,98</v>
      </c>
      <c r="X348" t="str">
        <f t="shared" ref="X348" si="326">IF(D348="","",D$1&amp;","&amp;D348)</f>
        <v>106,48</v>
      </c>
      <c r="Y348" t="str">
        <f t="shared" ref="Y348" si="327">IF(E348="","",E$1&amp;","&amp;E348)</f>
        <v>1,2625</v>
      </c>
      <c r="AB348" t="str">
        <f t="shared" si="322"/>
        <v>104,980</v>
      </c>
      <c r="AC348" t="str">
        <f t="shared" ref="AC348" si="328">IF(J348="","",J$1&amp;","&amp;J348)</f>
        <v>105,490</v>
      </c>
      <c r="AD348" t="str">
        <f t="shared" ref="AD348" si="329">IF(K348="","",K$1&amp;","&amp;K348)</f>
        <v>106,238</v>
      </c>
      <c r="AE348" t="str">
        <f t="shared" ref="AE348" si="330">IF(L348="","",L$1&amp;","&amp;L348)</f>
        <v>3,500</v>
      </c>
      <c r="AG348" t="str">
        <f t="shared" si="323"/>
        <v>104,98</v>
      </c>
      <c r="AH348" t="str">
        <f t="shared" ref="AH348" si="331">IF(C348="","",C$1&amp;","&amp;ROUNDUP(C348/2,0))</f>
        <v>105,49</v>
      </c>
      <c r="AI348" t="str">
        <f t="shared" ref="AI348" si="332">IF(D348="","",D$1&amp;","&amp;ROUNDUP(D348/2,0))</f>
        <v>106,24</v>
      </c>
      <c r="AJ348" t="str">
        <f t="shared" si="324"/>
        <v>1,3282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功能解锁</vt:lpstr>
      <vt:lpstr>产出</vt:lpstr>
      <vt:lpstr>玩家节奏1</vt:lpstr>
      <vt:lpstr>玩家节奏2</vt:lpstr>
      <vt:lpstr>关卡产出</vt:lpstr>
      <vt:lpstr>关卡对比</vt:lpstr>
      <vt:lpstr>图鉴</vt:lpstr>
      <vt:lpstr>局外广告</vt:lpstr>
      <vt:lpstr>武器升级消耗</vt:lpstr>
      <vt:lpstr>商城宝箱</vt:lpstr>
      <vt:lpstr>角色升级</vt:lpstr>
      <vt:lpstr>皮肤宠物</vt:lpstr>
      <vt:lpstr>配置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 hu</dc:creator>
  <cp:lastModifiedBy>zq</cp:lastModifiedBy>
  <dcterms:created xsi:type="dcterms:W3CDTF">2015-06-05T18:19:00Z</dcterms:created>
  <dcterms:modified xsi:type="dcterms:W3CDTF">2026-07-16T03:53:17Z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D9D2200EEEE94238B90FC4A9E5EEFFE4_12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